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itsui365apc-my.sharepoint.com/personal/da_liang_mitsui_com/Documents/Desktop/quantitative project/"/>
    </mc:Choice>
  </mc:AlternateContent>
  <xr:revisionPtr revIDLastSave="15946" documentId="11_F25DC773A252ABDACC10487E199E67F05ADE58F1" xr6:coauthVersionLast="47" xr6:coauthVersionMax="47" xr10:uidLastSave="{755055D1-B083-4E3C-9C81-ED8FB29B58E6}"/>
  <bookViews>
    <workbookView xWindow="-14445" yWindow="-16320" windowWidth="29040" windowHeight="15720" xr2:uid="{00000000-000D-0000-FFFF-FFFF00000000}"/>
  </bookViews>
  <sheets>
    <sheet name="crude clean" sheetId="2" r:id="rId1"/>
    <sheet name="raw data Crude oi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2" l="1"/>
  <c r="AA4" i="2"/>
  <c r="AB4" i="2"/>
  <c r="AC4" i="2"/>
  <c r="AD4" i="2"/>
  <c r="AE4" i="2"/>
  <c r="AF4" i="2"/>
  <c r="AG4" i="2"/>
  <c r="AH4" i="2"/>
  <c r="AI4" i="2"/>
  <c r="AJ4" i="2"/>
  <c r="AK4" i="2"/>
  <c r="Z5" i="2"/>
  <c r="AA5" i="2"/>
  <c r="AB5" i="2"/>
  <c r="AC5" i="2"/>
  <c r="AD5" i="2"/>
  <c r="AE5" i="2"/>
  <c r="AF5" i="2"/>
  <c r="AG5" i="2"/>
  <c r="AH5" i="2"/>
  <c r="AI5" i="2"/>
  <c r="AJ5" i="2"/>
  <c r="AK5" i="2"/>
  <c r="Z6" i="2"/>
  <c r="AA6" i="2"/>
  <c r="AB6" i="2"/>
  <c r="AC6" i="2"/>
  <c r="AD6" i="2"/>
  <c r="AE6" i="2"/>
  <c r="AF6" i="2"/>
  <c r="AG6" i="2"/>
  <c r="AH6" i="2"/>
  <c r="AI6" i="2"/>
  <c r="AJ6" i="2"/>
  <c r="AK6" i="2"/>
  <c r="Z7" i="2"/>
  <c r="AA7" i="2"/>
  <c r="AB7" i="2"/>
  <c r="AC7" i="2"/>
  <c r="AD7" i="2"/>
  <c r="AE7" i="2"/>
  <c r="AF7" i="2"/>
  <c r="AG7" i="2"/>
  <c r="AH7" i="2"/>
  <c r="AI7" i="2"/>
  <c r="AJ7" i="2"/>
  <c r="AK7" i="2"/>
  <c r="Z8" i="2"/>
  <c r="AA8" i="2"/>
  <c r="AB8" i="2"/>
  <c r="AC8" i="2"/>
  <c r="AD8" i="2"/>
  <c r="AE8" i="2"/>
  <c r="AF8" i="2"/>
  <c r="AG8" i="2"/>
  <c r="AH8" i="2"/>
  <c r="AI8" i="2"/>
  <c r="AJ8" i="2"/>
  <c r="AK8" i="2"/>
  <c r="Z9" i="2"/>
  <c r="AA9" i="2"/>
  <c r="AB9" i="2"/>
  <c r="AC9" i="2"/>
  <c r="AD9" i="2"/>
  <c r="AE9" i="2"/>
  <c r="AF9" i="2"/>
  <c r="AG9" i="2"/>
  <c r="AH9" i="2"/>
  <c r="AI9" i="2"/>
  <c r="AJ9" i="2"/>
  <c r="AK9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Z133" i="2"/>
  <c r="AA133" i="2"/>
  <c r="AB133" i="2"/>
  <c r="AC133" i="2"/>
  <c r="AD133" i="2"/>
  <c r="AE133" i="2"/>
  <c r="AF133" i="2"/>
  <c r="AG133" i="2"/>
  <c r="AH133" i="2"/>
  <c r="AI133" i="2"/>
  <c r="AJ133" i="2"/>
  <c r="AK133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Z139" i="2"/>
  <c r="AA139" i="2"/>
  <c r="AB139" i="2"/>
  <c r="AC139" i="2"/>
  <c r="AD139" i="2"/>
  <c r="AE139" i="2"/>
  <c r="AF139" i="2"/>
  <c r="AG139" i="2"/>
  <c r="AH139" i="2"/>
  <c r="AI139" i="2"/>
  <c r="AJ139" i="2"/>
  <c r="AK139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Z143" i="2"/>
  <c r="AA143" i="2"/>
  <c r="AB143" i="2"/>
  <c r="AC143" i="2"/>
  <c r="AD143" i="2"/>
  <c r="AE143" i="2"/>
  <c r="AF143" i="2"/>
  <c r="AG143" i="2"/>
  <c r="AH143" i="2"/>
  <c r="AI143" i="2"/>
  <c r="AJ143" i="2"/>
  <c r="AK143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Z145" i="2"/>
  <c r="AA145" i="2"/>
  <c r="AB145" i="2"/>
  <c r="AC145" i="2"/>
  <c r="AD145" i="2"/>
  <c r="AE145" i="2"/>
  <c r="AF145" i="2"/>
  <c r="AG145" i="2"/>
  <c r="AH145" i="2"/>
  <c r="AI145" i="2"/>
  <c r="AJ145" i="2"/>
  <c r="AK145" i="2"/>
  <c r="Z146" i="2"/>
  <c r="AA146" i="2"/>
  <c r="AB146" i="2"/>
  <c r="AC146" i="2"/>
  <c r="AD146" i="2"/>
  <c r="AE146" i="2"/>
  <c r="AF146" i="2"/>
  <c r="AG146" i="2"/>
  <c r="AH146" i="2"/>
  <c r="AI146" i="2"/>
  <c r="AJ146" i="2"/>
  <c r="AK146" i="2"/>
  <c r="Z147" i="2"/>
  <c r="AA147" i="2"/>
  <c r="AB147" i="2"/>
  <c r="AC147" i="2"/>
  <c r="AD147" i="2"/>
  <c r="AE147" i="2"/>
  <c r="AF147" i="2"/>
  <c r="AG147" i="2"/>
  <c r="AH147" i="2"/>
  <c r="AI147" i="2"/>
  <c r="AJ147" i="2"/>
  <c r="AK147" i="2"/>
  <c r="Z148" i="2"/>
  <c r="AA148" i="2"/>
  <c r="AB148" i="2"/>
  <c r="AC148" i="2"/>
  <c r="AD148" i="2"/>
  <c r="AE148" i="2"/>
  <c r="AF148" i="2"/>
  <c r="AG148" i="2"/>
  <c r="AH148" i="2"/>
  <c r="AI148" i="2"/>
  <c r="AJ148" i="2"/>
  <c r="AK148" i="2"/>
  <c r="Z149" i="2"/>
  <c r="AA149" i="2"/>
  <c r="AB149" i="2"/>
  <c r="AC149" i="2"/>
  <c r="AD149" i="2"/>
  <c r="AE149" i="2"/>
  <c r="AF149" i="2"/>
  <c r="AG149" i="2"/>
  <c r="AH149" i="2"/>
  <c r="AI149" i="2"/>
  <c r="AJ149" i="2"/>
  <c r="AK149" i="2"/>
  <c r="Z150" i="2"/>
  <c r="AA150" i="2"/>
  <c r="AB150" i="2"/>
  <c r="AC150" i="2"/>
  <c r="AD150" i="2"/>
  <c r="AE150" i="2"/>
  <c r="AF150" i="2"/>
  <c r="AG150" i="2"/>
  <c r="AH150" i="2"/>
  <c r="AI150" i="2"/>
  <c r="AJ150" i="2"/>
  <c r="AK150" i="2"/>
  <c r="Z151" i="2"/>
  <c r="AA151" i="2"/>
  <c r="AB151" i="2"/>
  <c r="AC151" i="2"/>
  <c r="AD151" i="2"/>
  <c r="AE151" i="2"/>
  <c r="AF151" i="2"/>
  <c r="AG151" i="2"/>
  <c r="AH151" i="2"/>
  <c r="AI151" i="2"/>
  <c r="AJ151" i="2"/>
  <c r="AK151" i="2"/>
  <c r="Z152" i="2"/>
  <c r="AA152" i="2"/>
  <c r="AB152" i="2"/>
  <c r="AC152" i="2"/>
  <c r="AD152" i="2"/>
  <c r="AE152" i="2"/>
  <c r="AF152" i="2"/>
  <c r="AG152" i="2"/>
  <c r="AH152" i="2"/>
  <c r="AI152" i="2"/>
  <c r="AJ152" i="2"/>
  <c r="AK152" i="2"/>
  <c r="Z153" i="2"/>
  <c r="AA153" i="2"/>
  <c r="AB153" i="2"/>
  <c r="AC153" i="2"/>
  <c r="AD153" i="2"/>
  <c r="AE153" i="2"/>
  <c r="AF153" i="2"/>
  <c r="AG153" i="2"/>
  <c r="AH153" i="2"/>
  <c r="AI153" i="2"/>
  <c r="AJ153" i="2"/>
  <c r="AK153" i="2"/>
  <c r="Z154" i="2"/>
  <c r="AA154" i="2"/>
  <c r="AB154" i="2"/>
  <c r="AC154" i="2"/>
  <c r="AD154" i="2"/>
  <c r="AE154" i="2"/>
  <c r="AF154" i="2"/>
  <c r="AG154" i="2"/>
  <c r="AH154" i="2"/>
  <c r="AI154" i="2"/>
  <c r="AJ154" i="2"/>
  <c r="AK154" i="2"/>
  <c r="Z155" i="2"/>
  <c r="AA155" i="2"/>
  <c r="AB155" i="2"/>
  <c r="AC155" i="2"/>
  <c r="AD155" i="2"/>
  <c r="AE155" i="2"/>
  <c r="AF155" i="2"/>
  <c r="AG155" i="2"/>
  <c r="AH155" i="2"/>
  <c r="AI155" i="2"/>
  <c r="AJ155" i="2"/>
  <c r="AK155" i="2"/>
  <c r="Z156" i="2"/>
  <c r="AA156" i="2"/>
  <c r="AB156" i="2"/>
  <c r="AC156" i="2"/>
  <c r="AD156" i="2"/>
  <c r="AE156" i="2"/>
  <c r="AF156" i="2"/>
  <c r="AG156" i="2"/>
  <c r="AH156" i="2"/>
  <c r="AI156" i="2"/>
  <c r="AJ156" i="2"/>
  <c r="AK156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Z158" i="2"/>
  <c r="AA158" i="2"/>
  <c r="AB158" i="2"/>
  <c r="AC158" i="2"/>
  <c r="AD158" i="2"/>
  <c r="AE158" i="2"/>
  <c r="AF158" i="2"/>
  <c r="AG158" i="2"/>
  <c r="AH158" i="2"/>
  <c r="AI158" i="2"/>
  <c r="AJ158" i="2"/>
  <c r="AK158" i="2"/>
  <c r="Z159" i="2"/>
  <c r="AA159" i="2"/>
  <c r="AB159" i="2"/>
  <c r="AC159" i="2"/>
  <c r="AD159" i="2"/>
  <c r="AE159" i="2"/>
  <c r="AF159" i="2"/>
  <c r="AG159" i="2"/>
  <c r="AH159" i="2"/>
  <c r="AI159" i="2"/>
  <c r="AJ159" i="2"/>
  <c r="AK159" i="2"/>
  <c r="Z160" i="2"/>
  <c r="AA160" i="2"/>
  <c r="AB160" i="2"/>
  <c r="AC160" i="2"/>
  <c r="AD160" i="2"/>
  <c r="AE160" i="2"/>
  <c r="AF160" i="2"/>
  <c r="AG160" i="2"/>
  <c r="AH160" i="2"/>
  <c r="AI160" i="2"/>
  <c r="AJ160" i="2"/>
  <c r="AK160" i="2"/>
  <c r="Z161" i="2"/>
  <c r="AA161" i="2"/>
  <c r="AB161" i="2"/>
  <c r="AC161" i="2"/>
  <c r="AD161" i="2"/>
  <c r="AE161" i="2"/>
  <c r="AF161" i="2"/>
  <c r="AG161" i="2"/>
  <c r="AH161" i="2"/>
  <c r="AI161" i="2"/>
  <c r="AJ161" i="2"/>
  <c r="AK161" i="2"/>
  <c r="Z162" i="2"/>
  <c r="AA162" i="2"/>
  <c r="AB162" i="2"/>
  <c r="AC162" i="2"/>
  <c r="AD162" i="2"/>
  <c r="AE162" i="2"/>
  <c r="AF162" i="2"/>
  <c r="AG162" i="2"/>
  <c r="AH162" i="2"/>
  <c r="AI162" i="2"/>
  <c r="AJ162" i="2"/>
  <c r="AK162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Z164" i="2"/>
  <c r="AA164" i="2"/>
  <c r="AB164" i="2"/>
  <c r="AC164" i="2"/>
  <c r="AD164" i="2"/>
  <c r="AE164" i="2"/>
  <c r="AF164" i="2"/>
  <c r="AG164" i="2"/>
  <c r="AH164" i="2"/>
  <c r="AI164" i="2"/>
  <c r="AJ164" i="2"/>
  <c r="AK164" i="2"/>
  <c r="Z165" i="2"/>
  <c r="AA165" i="2"/>
  <c r="AB165" i="2"/>
  <c r="AC165" i="2"/>
  <c r="AD165" i="2"/>
  <c r="AE165" i="2"/>
  <c r="AF165" i="2"/>
  <c r="AG165" i="2"/>
  <c r="AH165" i="2"/>
  <c r="AI165" i="2"/>
  <c r="AJ165" i="2"/>
  <c r="AK165" i="2"/>
  <c r="Z166" i="2"/>
  <c r="AA166" i="2"/>
  <c r="AB166" i="2"/>
  <c r="AC166" i="2"/>
  <c r="AD166" i="2"/>
  <c r="AE166" i="2"/>
  <c r="AF166" i="2"/>
  <c r="AG166" i="2"/>
  <c r="AH166" i="2"/>
  <c r="AI166" i="2"/>
  <c r="AJ166" i="2"/>
  <c r="AK166" i="2"/>
  <c r="Z167" i="2"/>
  <c r="AA167" i="2"/>
  <c r="AB167" i="2"/>
  <c r="AC167" i="2"/>
  <c r="AD167" i="2"/>
  <c r="AE167" i="2"/>
  <c r="AF167" i="2"/>
  <c r="AG167" i="2"/>
  <c r="AH167" i="2"/>
  <c r="AI167" i="2"/>
  <c r="AJ167" i="2"/>
  <c r="AK167" i="2"/>
  <c r="Z168" i="2"/>
  <c r="AA168" i="2"/>
  <c r="AB168" i="2"/>
  <c r="AC168" i="2"/>
  <c r="AD168" i="2"/>
  <c r="AE168" i="2"/>
  <c r="AF168" i="2"/>
  <c r="AG168" i="2"/>
  <c r="AH168" i="2"/>
  <c r="AI168" i="2"/>
  <c r="AJ168" i="2"/>
  <c r="AK168" i="2"/>
  <c r="Z169" i="2"/>
  <c r="AA169" i="2"/>
  <c r="AB169" i="2"/>
  <c r="AC169" i="2"/>
  <c r="AD169" i="2"/>
  <c r="AE169" i="2"/>
  <c r="AF169" i="2"/>
  <c r="AG169" i="2"/>
  <c r="AH169" i="2"/>
  <c r="AI169" i="2"/>
  <c r="AJ169" i="2"/>
  <c r="AK169" i="2"/>
  <c r="Z170" i="2"/>
  <c r="AA170" i="2"/>
  <c r="AB170" i="2"/>
  <c r="AC170" i="2"/>
  <c r="AD170" i="2"/>
  <c r="AE170" i="2"/>
  <c r="AF170" i="2"/>
  <c r="AG170" i="2"/>
  <c r="AH170" i="2"/>
  <c r="AI170" i="2"/>
  <c r="AJ170" i="2"/>
  <c r="AK170" i="2"/>
  <c r="Z171" i="2"/>
  <c r="AA171" i="2"/>
  <c r="AB171" i="2"/>
  <c r="AC171" i="2"/>
  <c r="AD171" i="2"/>
  <c r="AE171" i="2"/>
  <c r="AF171" i="2"/>
  <c r="AG171" i="2"/>
  <c r="AH171" i="2"/>
  <c r="AI171" i="2"/>
  <c r="AJ171" i="2"/>
  <c r="AK171" i="2"/>
  <c r="Z172" i="2"/>
  <c r="AA172" i="2"/>
  <c r="AB172" i="2"/>
  <c r="AC172" i="2"/>
  <c r="AD172" i="2"/>
  <c r="AE172" i="2"/>
  <c r="AF172" i="2"/>
  <c r="AG172" i="2"/>
  <c r="AH172" i="2"/>
  <c r="AI172" i="2"/>
  <c r="AJ172" i="2"/>
  <c r="AK172" i="2"/>
  <c r="Z173" i="2"/>
  <c r="AA173" i="2"/>
  <c r="AB173" i="2"/>
  <c r="AC173" i="2"/>
  <c r="AD173" i="2"/>
  <c r="AE173" i="2"/>
  <c r="AF173" i="2"/>
  <c r="AG173" i="2"/>
  <c r="AH173" i="2"/>
  <c r="AI173" i="2"/>
  <c r="AJ173" i="2"/>
  <c r="AK173" i="2"/>
  <c r="Z174" i="2"/>
  <c r="AA174" i="2"/>
  <c r="AB174" i="2"/>
  <c r="AC174" i="2"/>
  <c r="AD174" i="2"/>
  <c r="AE174" i="2"/>
  <c r="AF174" i="2"/>
  <c r="AG174" i="2"/>
  <c r="AH174" i="2"/>
  <c r="AI174" i="2"/>
  <c r="AJ174" i="2"/>
  <c r="AK174" i="2"/>
  <c r="Z175" i="2"/>
  <c r="AA175" i="2"/>
  <c r="AB175" i="2"/>
  <c r="AC175" i="2"/>
  <c r="AD175" i="2"/>
  <c r="AE175" i="2"/>
  <c r="AF175" i="2"/>
  <c r="AG175" i="2"/>
  <c r="AH175" i="2"/>
  <c r="AI175" i="2"/>
  <c r="AJ175" i="2"/>
  <c r="AK175" i="2"/>
  <c r="Z176" i="2"/>
  <c r="AA176" i="2"/>
  <c r="AB176" i="2"/>
  <c r="AC176" i="2"/>
  <c r="AD176" i="2"/>
  <c r="AE176" i="2"/>
  <c r="AF176" i="2"/>
  <c r="AG176" i="2"/>
  <c r="AH176" i="2"/>
  <c r="AI176" i="2"/>
  <c r="AJ176" i="2"/>
  <c r="AK176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Z178" i="2"/>
  <c r="AA178" i="2"/>
  <c r="AB178" i="2"/>
  <c r="AC178" i="2"/>
  <c r="AD178" i="2"/>
  <c r="AE178" i="2"/>
  <c r="AF178" i="2"/>
  <c r="AG178" i="2"/>
  <c r="AH178" i="2"/>
  <c r="AI178" i="2"/>
  <c r="AJ178" i="2"/>
  <c r="AK178" i="2"/>
  <c r="Z179" i="2"/>
  <c r="AA179" i="2"/>
  <c r="AB179" i="2"/>
  <c r="AC179" i="2"/>
  <c r="AD179" i="2"/>
  <c r="AE179" i="2"/>
  <c r="AF179" i="2"/>
  <c r="AG179" i="2"/>
  <c r="AH179" i="2"/>
  <c r="AI179" i="2"/>
  <c r="AJ179" i="2"/>
  <c r="AK179" i="2"/>
  <c r="Z180" i="2"/>
  <c r="AA180" i="2"/>
  <c r="AB180" i="2"/>
  <c r="AC180" i="2"/>
  <c r="AD180" i="2"/>
  <c r="AE180" i="2"/>
  <c r="AF180" i="2"/>
  <c r="AG180" i="2"/>
  <c r="AH180" i="2"/>
  <c r="AI180" i="2"/>
  <c r="AJ180" i="2"/>
  <c r="AK180" i="2"/>
  <c r="Z181" i="2"/>
  <c r="AA181" i="2"/>
  <c r="AB181" i="2"/>
  <c r="AC181" i="2"/>
  <c r="AD181" i="2"/>
  <c r="AE181" i="2"/>
  <c r="AF181" i="2"/>
  <c r="AG181" i="2"/>
  <c r="AH181" i="2"/>
  <c r="AI181" i="2"/>
  <c r="AJ181" i="2"/>
  <c r="AK181" i="2"/>
  <c r="Z182" i="2"/>
  <c r="AA182" i="2"/>
  <c r="AB182" i="2"/>
  <c r="AC182" i="2"/>
  <c r="AD182" i="2"/>
  <c r="AE182" i="2"/>
  <c r="AF182" i="2"/>
  <c r="AG182" i="2"/>
  <c r="AH182" i="2"/>
  <c r="AI182" i="2"/>
  <c r="AJ182" i="2"/>
  <c r="AK182" i="2"/>
  <c r="Z183" i="2"/>
  <c r="AA183" i="2"/>
  <c r="AB183" i="2"/>
  <c r="AC183" i="2"/>
  <c r="AD183" i="2"/>
  <c r="AE183" i="2"/>
  <c r="AF183" i="2"/>
  <c r="AG183" i="2"/>
  <c r="AH183" i="2"/>
  <c r="AI183" i="2"/>
  <c r="AJ183" i="2"/>
  <c r="AK183" i="2"/>
  <c r="Z184" i="2"/>
  <c r="AA184" i="2"/>
  <c r="AB184" i="2"/>
  <c r="AC184" i="2"/>
  <c r="AD184" i="2"/>
  <c r="AE184" i="2"/>
  <c r="AF184" i="2"/>
  <c r="AG184" i="2"/>
  <c r="AH184" i="2"/>
  <c r="AI184" i="2"/>
  <c r="AJ184" i="2"/>
  <c r="AK184" i="2"/>
  <c r="Z185" i="2"/>
  <c r="AA185" i="2"/>
  <c r="AB185" i="2"/>
  <c r="AC185" i="2"/>
  <c r="AD185" i="2"/>
  <c r="AE185" i="2"/>
  <c r="AF185" i="2"/>
  <c r="AG185" i="2"/>
  <c r="AH185" i="2"/>
  <c r="AI185" i="2"/>
  <c r="AJ185" i="2"/>
  <c r="AK185" i="2"/>
  <c r="Z186" i="2"/>
  <c r="AA186" i="2"/>
  <c r="AB186" i="2"/>
  <c r="AC186" i="2"/>
  <c r="AD186" i="2"/>
  <c r="AE186" i="2"/>
  <c r="AF186" i="2"/>
  <c r="AG186" i="2"/>
  <c r="AH186" i="2"/>
  <c r="AI186" i="2"/>
  <c r="AJ186" i="2"/>
  <c r="AK186" i="2"/>
  <c r="Z187" i="2"/>
  <c r="AA187" i="2"/>
  <c r="AB187" i="2"/>
  <c r="AC187" i="2"/>
  <c r="AD187" i="2"/>
  <c r="AE187" i="2"/>
  <c r="AF187" i="2"/>
  <c r="AG187" i="2"/>
  <c r="AH187" i="2"/>
  <c r="AI187" i="2"/>
  <c r="AJ187" i="2"/>
  <c r="AK187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Z189" i="2"/>
  <c r="AA189" i="2"/>
  <c r="AB189" i="2"/>
  <c r="AC189" i="2"/>
  <c r="AD189" i="2"/>
  <c r="AE189" i="2"/>
  <c r="AF189" i="2"/>
  <c r="AG189" i="2"/>
  <c r="AH189" i="2"/>
  <c r="AI189" i="2"/>
  <c r="AJ189" i="2"/>
  <c r="AK189" i="2"/>
  <c r="Z190" i="2"/>
  <c r="AA190" i="2"/>
  <c r="AB190" i="2"/>
  <c r="AC190" i="2"/>
  <c r="AD190" i="2"/>
  <c r="AE190" i="2"/>
  <c r="AF190" i="2"/>
  <c r="AG190" i="2"/>
  <c r="AH190" i="2"/>
  <c r="AI190" i="2"/>
  <c r="AJ190" i="2"/>
  <c r="AK190" i="2"/>
  <c r="Z191" i="2"/>
  <c r="AA191" i="2"/>
  <c r="AB191" i="2"/>
  <c r="AC191" i="2"/>
  <c r="AD191" i="2"/>
  <c r="AE191" i="2"/>
  <c r="AF191" i="2"/>
  <c r="AG191" i="2"/>
  <c r="AH191" i="2"/>
  <c r="AI191" i="2"/>
  <c r="AJ191" i="2"/>
  <c r="AK191" i="2"/>
  <c r="Z192" i="2"/>
  <c r="AA192" i="2"/>
  <c r="AB192" i="2"/>
  <c r="AC192" i="2"/>
  <c r="AD192" i="2"/>
  <c r="AE192" i="2"/>
  <c r="AF192" i="2"/>
  <c r="AG192" i="2"/>
  <c r="AH192" i="2"/>
  <c r="AI192" i="2"/>
  <c r="AJ192" i="2"/>
  <c r="AK192" i="2"/>
  <c r="Z193" i="2"/>
  <c r="AA193" i="2"/>
  <c r="AB193" i="2"/>
  <c r="AC193" i="2"/>
  <c r="AD193" i="2"/>
  <c r="AE193" i="2"/>
  <c r="AF193" i="2"/>
  <c r="AG193" i="2"/>
  <c r="AH193" i="2"/>
  <c r="AI193" i="2"/>
  <c r="AJ193" i="2"/>
  <c r="AK193" i="2"/>
  <c r="Z194" i="2"/>
  <c r="AA194" i="2"/>
  <c r="AB194" i="2"/>
  <c r="AC194" i="2"/>
  <c r="AD194" i="2"/>
  <c r="AE194" i="2"/>
  <c r="AF194" i="2"/>
  <c r="AG194" i="2"/>
  <c r="AH194" i="2"/>
  <c r="AI194" i="2"/>
  <c r="AJ194" i="2"/>
  <c r="AK194" i="2"/>
  <c r="Z195" i="2"/>
  <c r="AA195" i="2"/>
  <c r="AB195" i="2"/>
  <c r="AC195" i="2"/>
  <c r="AD195" i="2"/>
  <c r="AE195" i="2"/>
  <c r="AF195" i="2"/>
  <c r="AG195" i="2"/>
  <c r="AH195" i="2"/>
  <c r="AI195" i="2"/>
  <c r="AJ195" i="2"/>
  <c r="AK195" i="2"/>
  <c r="Z196" i="2"/>
  <c r="AA196" i="2"/>
  <c r="AB196" i="2"/>
  <c r="AC196" i="2"/>
  <c r="AD196" i="2"/>
  <c r="AE196" i="2"/>
  <c r="AF196" i="2"/>
  <c r="AG196" i="2"/>
  <c r="AH196" i="2"/>
  <c r="AI196" i="2"/>
  <c r="AJ196" i="2"/>
  <c r="AK196" i="2"/>
  <c r="Z197" i="2"/>
  <c r="AA197" i="2"/>
  <c r="AB197" i="2"/>
  <c r="AC197" i="2"/>
  <c r="AD197" i="2"/>
  <c r="AE197" i="2"/>
  <c r="AF197" i="2"/>
  <c r="AG197" i="2"/>
  <c r="AH197" i="2"/>
  <c r="AI197" i="2"/>
  <c r="AJ197" i="2"/>
  <c r="AK197" i="2"/>
  <c r="Z198" i="2"/>
  <c r="AA198" i="2"/>
  <c r="AB198" i="2"/>
  <c r="AC198" i="2"/>
  <c r="AD198" i="2"/>
  <c r="AE198" i="2"/>
  <c r="AF198" i="2"/>
  <c r="AG198" i="2"/>
  <c r="AH198" i="2"/>
  <c r="AI198" i="2"/>
  <c r="AJ198" i="2"/>
  <c r="AK198" i="2"/>
  <c r="Z199" i="2"/>
  <c r="AA199" i="2"/>
  <c r="AB199" i="2"/>
  <c r="AC199" i="2"/>
  <c r="AD199" i="2"/>
  <c r="AE199" i="2"/>
  <c r="AF199" i="2"/>
  <c r="AG199" i="2"/>
  <c r="AH199" i="2"/>
  <c r="AI199" i="2"/>
  <c r="AJ199" i="2"/>
  <c r="AK199" i="2"/>
  <c r="Z200" i="2"/>
  <c r="AA200" i="2"/>
  <c r="AB200" i="2"/>
  <c r="AC200" i="2"/>
  <c r="AD200" i="2"/>
  <c r="AE200" i="2"/>
  <c r="AF200" i="2"/>
  <c r="AG200" i="2"/>
  <c r="AH200" i="2"/>
  <c r="AI200" i="2"/>
  <c r="AJ200" i="2"/>
  <c r="AK200" i="2"/>
  <c r="Z201" i="2"/>
  <c r="AA201" i="2"/>
  <c r="AB201" i="2"/>
  <c r="AC201" i="2"/>
  <c r="AD201" i="2"/>
  <c r="AE201" i="2"/>
  <c r="AF201" i="2"/>
  <c r="AG201" i="2"/>
  <c r="AH201" i="2"/>
  <c r="AI201" i="2"/>
  <c r="AJ201" i="2"/>
  <c r="AK201" i="2"/>
  <c r="Z202" i="2"/>
  <c r="AA202" i="2"/>
  <c r="AB202" i="2"/>
  <c r="AC202" i="2"/>
  <c r="AD202" i="2"/>
  <c r="AE202" i="2"/>
  <c r="AF202" i="2"/>
  <c r="AG202" i="2"/>
  <c r="AH202" i="2"/>
  <c r="AI202" i="2"/>
  <c r="AJ202" i="2"/>
  <c r="AK202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Z204" i="2"/>
  <c r="AA204" i="2"/>
  <c r="AB204" i="2"/>
  <c r="AC204" i="2"/>
  <c r="AD204" i="2"/>
  <c r="AE204" i="2"/>
  <c r="AF204" i="2"/>
  <c r="AG204" i="2"/>
  <c r="AH204" i="2"/>
  <c r="AI204" i="2"/>
  <c r="AJ204" i="2"/>
  <c r="AK204" i="2"/>
  <c r="Z205" i="2"/>
  <c r="AA205" i="2"/>
  <c r="AB205" i="2"/>
  <c r="AC205" i="2"/>
  <c r="AD205" i="2"/>
  <c r="AE205" i="2"/>
  <c r="AF205" i="2"/>
  <c r="AG205" i="2"/>
  <c r="AH205" i="2"/>
  <c r="AI205" i="2"/>
  <c r="AJ205" i="2"/>
  <c r="AK205" i="2"/>
  <c r="Z206" i="2"/>
  <c r="AA206" i="2"/>
  <c r="AB206" i="2"/>
  <c r="AC206" i="2"/>
  <c r="AD206" i="2"/>
  <c r="AE206" i="2"/>
  <c r="AF206" i="2"/>
  <c r="AG206" i="2"/>
  <c r="AH206" i="2"/>
  <c r="AI206" i="2"/>
  <c r="AJ206" i="2"/>
  <c r="AK206" i="2"/>
  <c r="Z207" i="2"/>
  <c r="AA207" i="2"/>
  <c r="AB207" i="2"/>
  <c r="AC207" i="2"/>
  <c r="AD207" i="2"/>
  <c r="AE207" i="2"/>
  <c r="AF207" i="2"/>
  <c r="AG207" i="2"/>
  <c r="AH207" i="2"/>
  <c r="AI207" i="2"/>
  <c r="AJ207" i="2"/>
  <c r="AK207" i="2"/>
  <c r="Z208" i="2"/>
  <c r="AA208" i="2"/>
  <c r="AB208" i="2"/>
  <c r="AC208" i="2"/>
  <c r="AD208" i="2"/>
  <c r="AE208" i="2"/>
  <c r="AF208" i="2"/>
  <c r="AG208" i="2"/>
  <c r="AH208" i="2"/>
  <c r="AI208" i="2"/>
  <c r="AJ208" i="2"/>
  <c r="AK208" i="2"/>
  <c r="Z209" i="2"/>
  <c r="AA209" i="2"/>
  <c r="AB209" i="2"/>
  <c r="AC209" i="2"/>
  <c r="AD209" i="2"/>
  <c r="AE209" i="2"/>
  <c r="AF209" i="2"/>
  <c r="AG209" i="2"/>
  <c r="AH209" i="2"/>
  <c r="AI209" i="2"/>
  <c r="AJ209" i="2"/>
  <c r="AK209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Z211" i="2"/>
  <c r="AA211" i="2"/>
  <c r="AB211" i="2"/>
  <c r="AC211" i="2"/>
  <c r="AD211" i="2"/>
  <c r="AE211" i="2"/>
  <c r="AF211" i="2"/>
  <c r="AG211" i="2"/>
  <c r="AH211" i="2"/>
  <c r="AI211" i="2"/>
  <c r="AJ211" i="2"/>
  <c r="AK211" i="2"/>
  <c r="Z212" i="2"/>
  <c r="AA212" i="2"/>
  <c r="AB212" i="2"/>
  <c r="AC212" i="2"/>
  <c r="AD212" i="2"/>
  <c r="AE212" i="2"/>
  <c r="AF212" i="2"/>
  <c r="AG212" i="2"/>
  <c r="AH212" i="2"/>
  <c r="AI212" i="2"/>
  <c r="AJ212" i="2"/>
  <c r="AK212" i="2"/>
  <c r="Z213" i="2"/>
  <c r="AA213" i="2"/>
  <c r="AB213" i="2"/>
  <c r="AC213" i="2"/>
  <c r="AD213" i="2"/>
  <c r="AE213" i="2"/>
  <c r="AF213" i="2"/>
  <c r="AG213" i="2"/>
  <c r="AH213" i="2"/>
  <c r="AI213" i="2"/>
  <c r="AJ213" i="2"/>
  <c r="AK213" i="2"/>
  <c r="Z214" i="2"/>
  <c r="AA214" i="2"/>
  <c r="AB214" i="2"/>
  <c r="AC214" i="2"/>
  <c r="AD214" i="2"/>
  <c r="AE214" i="2"/>
  <c r="AF214" i="2"/>
  <c r="AG214" i="2"/>
  <c r="AH214" i="2"/>
  <c r="AI214" i="2"/>
  <c r="AJ214" i="2"/>
  <c r="AK214" i="2"/>
  <c r="Z215" i="2"/>
  <c r="AA215" i="2"/>
  <c r="AB215" i="2"/>
  <c r="AC215" i="2"/>
  <c r="AD215" i="2"/>
  <c r="AE215" i="2"/>
  <c r="AF215" i="2"/>
  <c r="AG215" i="2"/>
  <c r="AH215" i="2"/>
  <c r="AI215" i="2"/>
  <c r="AJ215" i="2"/>
  <c r="AK215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Z217" i="2"/>
  <c r="AA217" i="2"/>
  <c r="AB217" i="2"/>
  <c r="AC217" i="2"/>
  <c r="AD217" i="2"/>
  <c r="AE217" i="2"/>
  <c r="AF217" i="2"/>
  <c r="AG217" i="2"/>
  <c r="AH217" i="2"/>
  <c r="AI217" i="2"/>
  <c r="AJ217" i="2"/>
  <c r="AK217" i="2"/>
  <c r="Z218" i="2"/>
  <c r="AA218" i="2"/>
  <c r="AB218" i="2"/>
  <c r="AC218" i="2"/>
  <c r="AD218" i="2"/>
  <c r="AE218" i="2"/>
  <c r="AF218" i="2"/>
  <c r="AG218" i="2"/>
  <c r="AH218" i="2"/>
  <c r="AI218" i="2"/>
  <c r="AJ218" i="2"/>
  <c r="AK218" i="2"/>
  <c r="Z219" i="2"/>
  <c r="AA219" i="2"/>
  <c r="AB219" i="2"/>
  <c r="AC219" i="2"/>
  <c r="AD219" i="2"/>
  <c r="AE219" i="2"/>
  <c r="AF219" i="2"/>
  <c r="AG219" i="2"/>
  <c r="AH219" i="2"/>
  <c r="AI219" i="2"/>
  <c r="AJ219" i="2"/>
  <c r="AK219" i="2"/>
  <c r="Z220" i="2"/>
  <c r="AA220" i="2"/>
  <c r="AB220" i="2"/>
  <c r="AC220" i="2"/>
  <c r="AD220" i="2"/>
  <c r="AE220" i="2"/>
  <c r="AF220" i="2"/>
  <c r="AG220" i="2"/>
  <c r="AH220" i="2"/>
  <c r="AI220" i="2"/>
  <c r="AJ220" i="2"/>
  <c r="AK220" i="2"/>
  <c r="Z221" i="2"/>
  <c r="AA221" i="2"/>
  <c r="AB221" i="2"/>
  <c r="AC221" i="2"/>
  <c r="AD221" i="2"/>
  <c r="AE221" i="2"/>
  <c r="AF221" i="2"/>
  <c r="AG221" i="2"/>
  <c r="AH221" i="2"/>
  <c r="AI221" i="2"/>
  <c r="AJ221" i="2"/>
  <c r="AK221" i="2"/>
  <c r="Z222" i="2"/>
  <c r="AA222" i="2"/>
  <c r="AB222" i="2"/>
  <c r="AC222" i="2"/>
  <c r="AD222" i="2"/>
  <c r="AE222" i="2"/>
  <c r="AF222" i="2"/>
  <c r="AG222" i="2"/>
  <c r="AH222" i="2"/>
  <c r="AI222" i="2"/>
  <c r="AJ222" i="2"/>
  <c r="AK222" i="2"/>
  <c r="Z223" i="2"/>
  <c r="AA223" i="2"/>
  <c r="AB223" i="2"/>
  <c r="AC223" i="2"/>
  <c r="AD223" i="2"/>
  <c r="AE223" i="2"/>
  <c r="AF223" i="2"/>
  <c r="AG223" i="2"/>
  <c r="AH223" i="2"/>
  <c r="AI223" i="2"/>
  <c r="AJ223" i="2"/>
  <c r="AK223" i="2"/>
  <c r="Z224" i="2"/>
  <c r="AA224" i="2"/>
  <c r="AB224" i="2"/>
  <c r="AC224" i="2"/>
  <c r="AD224" i="2"/>
  <c r="AE224" i="2"/>
  <c r="AF224" i="2"/>
  <c r="AG224" i="2"/>
  <c r="AH224" i="2"/>
  <c r="AI224" i="2"/>
  <c r="AJ224" i="2"/>
  <c r="AK224" i="2"/>
  <c r="Z225" i="2"/>
  <c r="AA225" i="2"/>
  <c r="AB225" i="2"/>
  <c r="AC225" i="2"/>
  <c r="AD225" i="2"/>
  <c r="AE225" i="2"/>
  <c r="AF225" i="2"/>
  <c r="AG225" i="2"/>
  <c r="AH225" i="2"/>
  <c r="AI225" i="2"/>
  <c r="AJ225" i="2"/>
  <c r="AK225" i="2"/>
  <c r="Z226" i="2"/>
  <c r="AA226" i="2"/>
  <c r="AB226" i="2"/>
  <c r="AC226" i="2"/>
  <c r="AD226" i="2"/>
  <c r="AE226" i="2"/>
  <c r="AF226" i="2"/>
  <c r="AG226" i="2"/>
  <c r="AH226" i="2"/>
  <c r="AI226" i="2"/>
  <c r="AJ226" i="2"/>
  <c r="AK226" i="2"/>
  <c r="Z227" i="2"/>
  <c r="AA227" i="2"/>
  <c r="AB227" i="2"/>
  <c r="AC227" i="2"/>
  <c r="AD227" i="2"/>
  <c r="AE227" i="2"/>
  <c r="AF227" i="2"/>
  <c r="AG227" i="2"/>
  <c r="AH227" i="2"/>
  <c r="AI227" i="2"/>
  <c r="AJ227" i="2"/>
  <c r="AK227" i="2"/>
  <c r="Z228" i="2"/>
  <c r="AA228" i="2"/>
  <c r="AB228" i="2"/>
  <c r="AC228" i="2"/>
  <c r="AD228" i="2"/>
  <c r="AE228" i="2"/>
  <c r="AF228" i="2"/>
  <c r="AG228" i="2"/>
  <c r="AH228" i="2"/>
  <c r="AI228" i="2"/>
  <c r="AJ228" i="2"/>
  <c r="AK228" i="2"/>
  <c r="Z229" i="2"/>
  <c r="AA229" i="2"/>
  <c r="AB229" i="2"/>
  <c r="AC229" i="2"/>
  <c r="AD229" i="2"/>
  <c r="AE229" i="2"/>
  <c r="AF229" i="2"/>
  <c r="AG229" i="2"/>
  <c r="AH229" i="2"/>
  <c r="AI229" i="2"/>
  <c r="AJ229" i="2"/>
  <c r="AK229" i="2"/>
  <c r="Z230" i="2"/>
  <c r="AA230" i="2"/>
  <c r="AB230" i="2"/>
  <c r="AC230" i="2"/>
  <c r="AD230" i="2"/>
  <c r="AE230" i="2"/>
  <c r="AF230" i="2"/>
  <c r="AG230" i="2"/>
  <c r="AH230" i="2"/>
  <c r="AI230" i="2"/>
  <c r="AJ230" i="2"/>
  <c r="AK230" i="2"/>
  <c r="Z231" i="2"/>
  <c r="AA231" i="2"/>
  <c r="AB231" i="2"/>
  <c r="AC231" i="2"/>
  <c r="AD231" i="2"/>
  <c r="AE231" i="2"/>
  <c r="AF231" i="2"/>
  <c r="AG231" i="2"/>
  <c r="AH231" i="2"/>
  <c r="AI231" i="2"/>
  <c r="AJ231" i="2"/>
  <c r="AK231" i="2"/>
  <c r="Z232" i="2"/>
  <c r="AA232" i="2"/>
  <c r="AB232" i="2"/>
  <c r="AC232" i="2"/>
  <c r="AD232" i="2"/>
  <c r="AE232" i="2"/>
  <c r="AF232" i="2"/>
  <c r="AG232" i="2"/>
  <c r="AH232" i="2"/>
  <c r="AI232" i="2"/>
  <c r="AJ232" i="2"/>
  <c r="AK232" i="2"/>
  <c r="Z233" i="2"/>
  <c r="AA233" i="2"/>
  <c r="AB233" i="2"/>
  <c r="AC233" i="2"/>
  <c r="AD233" i="2"/>
  <c r="AE233" i="2"/>
  <c r="AF233" i="2"/>
  <c r="AG233" i="2"/>
  <c r="AH233" i="2"/>
  <c r="AI233" i="2"/>
  <c r="AJ233" i="2"/>
  <c r="AK233" i="2"/>
  <c r="Z234" i="2"/>
  <c r="AA234" i="2"/>
  <c r="AB234" i="2"/>
  <c r="AC234" i="2"/>
  <c r="AD234" i="2"/>
  <c r="AE234" i="2"/>
  <c r="AF234" i="2"/>
  <c r="AG234" i="2"/>
  <c r="AH234" i="2"/>
  <c r="AI234" i="2"/>
  <c r="AJ234" i="2"/>
  <c r="AK234" i="2"/>
  <c r="Z235" i="2"/>
  <c r="AA235" i="2"/>
  <c r="AB235" i="2"/>
  <c r="AC235" i="2"/>
  <c r="AD235" i="2"/>
  <c r="AE235" i="2"/>
  <c r="AF235" i="2"/>
  <c r="AG235" i="2"/>
  <c r="AH235" i="2"/>
  <c r="AI235" i="2"/>
  <c r="AJ235" i="2"/>
  <c r="AK235" i="2"/>
  <c r="Z236" i="2"/>
  <c r="AA236" i="2"/>
  <c r="AB236" i="2"/>
  <c r="AC236" i="2"/>
  <c r="AD236" i="2"/>
  <c r="AE236" i="2"/>
  <c r="AF236" i="2"/>
  <c r="AG236" i="2"/>
  <c r="AH236" i="2"/>
  <c r="AI236" i="2"/>
  <c r="AJ236" i="2"/>
  <c r="AK236" i="2"/>
  <c r="Z237" i="2"/>
  <c r="AA237" i="2"/>
  <c r="AB237" i="2"/>
  <c r="AC237" i="2"/>
  <c r="AD237" i="2"/>
  <c r="AE237" i="2"/>
  <c r="AF237" i="2"/>
  <c r="AG237" i="2"/>
  <c r="AH237" i="2"/>
  <c r="AI237" i="2"/>
  <c r="AJ237" i="2"/>
  <c r="AK237" i="2"/>
  <c r="Z238" i="2"/>
  <c r="AA238" i="2"/>
  <c r="AB238" i="2"/>
  <c r="AC238" i="2"/>
  <c r="AD238" i="2"/>
  <c r="AE238" i="2"/>
  <c r="AF238" i="2"/>
  <c r="AG238" i="2"/>
  <c r="AH238" i="2"/>
  <c r="AI238" i="2"/>
  <c r="AJ238" i="2"/>
  <c r="AK238" i="2"/>
  <c r="Z239" i="2"/>
  <c r="AA239" i="2"/>
  <c r="AB239" i="2"/>
  <c r="AC239" i="2"/>
  <c r="AD239" i="2"/>
  <c r="AE239" i="2"/>
  <c r="AF239" i="2"/>
  <c r="AG239" i="2"/>
  <c r="AH239" i="2"/>
  <c r="AI239" i="2"/>
  <c r="AJ239" i="2"/>
  <c r="AK239" i="2"/>
  <c r="Z240" i="2"/>
  <c r="AA240" i="2"/>
  <c r="AB240" i="2"/>
  <c r="AC240" i="2"/>
  <c r="AD240" i="2"/>
  <c r="AE240" i="2"/>
  <c r="AF240" i="2"/>
  <c r="AG240" i="2"/>
  <c r="AH240" i="2"/>
  <c r="AI240" i="2"/>
  <c r="AJ240" i="2"/>
  <c r="AK240" i="2"/>
  <c r="Z241" i="2"/>
  <c r="AA241" i="2"/>
  <c r="AB241" i="2"/>
  <c r="AC241" i="2"/>
  <c r="AD241" i="2"/>
  <c r="AE241" i="2"/>
  <c r="AF241" i="2"/>
  <c r="AG241" i="2"/>
  <c r="AH241" i="2"/>
  <c r="AI241" i="2"/>
  <c r="AJ241" i="2"/>
  <c r="AK241" i="2"/>
  <c r="Z242" i="2"/>
  <c r="AA242" i="2"/>
  <c r="AB242" i="2"/>
  <c r="AC242" i="2"/>
  <c r="AD242" i="2"/>
  <c r="AE242" i="2"/>
  <c r="AF242" i="2"/>
  <c r="AG242" i="2"/>
  <c r="AH242" i="2"/>
  <c r="AI242" i="2"/>
  <c r="AJ242" i="2"/>
  <c r="AK242" i="2"/>
  <c r="Z243" i="2"/>
  <c r="AA243" i="2"/>
  <c r="AB243" i="2"/>
  <c r="AC243" i="2"/>
  <c r="AD243" i="2"/>
  <c r="AE243" i="2"/>
  <c r="AF243" i="2"/>
  <c r="AG243" i="2"/>
  <c r="AH243" i="2"/>
  <c r="AI243" i="2"/>
  <c r="AJ243" i="2"/>
  <c r="AK243" i="2"/>
  <c r="Z244" i="2"/>
  <c r="AA244" i="2"/>
  <c r="AB244" i="2"/>
  <c r="AC244" i="2"/>
  <c r="AD244" i="2"/>
  <c r="AE244" i="2"/>
  <c r="AF244" i="2"/>
  <c r="AG244" i="2"/>
  <c r="AH244" i="2"/>
  <c r="AI244" i="2"/>
  <c r="AJ244" i="2"/>
  <c r="AK244" i="2"/>
  <c r="Z245" i="2"/>
  <c r="AA245" i="2"/>
  <c r="AB245" i="2"/>
  <c r="AC245" i="2"/>
  <c r="AD245" i="2"/>
  <c r="AE245" i="2"/>
  <c r="AF245" i="2"/>
  <c r="AG245" i="2"/>
  <c r="AH245" i="2"/>
  <c r="AI245" i="2"/>
  <c r="AJ245" i="2"/>
  <c r="AK245" i="2"/>
  <c r="Z246" i="2"/>
  <c r="AA246" i="2"/>
  <c r="AB246" i="2"/>
  <c r="AC246" i="2"/>
  <c r="AD246" i="2"/>
  <c r="AE246" i="2"/>
  <c r="AF246" i="2"/>
  <c r="AG246" i="2"/>
  <c r="AH246" i="2"/>
  <c r="AI246" i="2"/>
  <c r="AJ246" i="2"/>
  <c r="AK246" i="2"/>
  <c r="Z247" i="2"/>
  <c r="AA247" i="2"/>
  <c r="AB247" i="2"/>
  <c r="AC247" i="2"/>
  <c r="AD247" i="2"/>
  <c r="AE247" i="2"/>
  <c r="AF247" i="2"/>
  <c r="AG247" i="2"/>
  <c r="AH247" i="2"/>
  <c r="AI247" i="2"/>
  <c r="AJ247" i="2"/>
  <c r="AK247" i="2"/>
  <c r="Z248" i="2"/>
  <c r="AA248" i="2"/>
  <c r="AB248" i="2"/>
  <c r="AC248" i="2"/>
  <c r="AD248" i="2"/>
  <c r="AE248" i="2"/>
  <c r="AF248" i="2"/>
  <c r="AG248" i="2"/>
  <c r="AH248" i="2"/>
  <c r="AI248" i="2"/>
  <c r="AJ248" i="2"/>
  <c r="AK248" i="2"/>
  <c r="Z249" i="2"/>
  <c r="AA249" i="2"/>
  <c r="AB249" i="2"/>
  <c r="AC249" i="2"/>
  <c r="AD249" i="2"/>
  <c r="AE249" i="2"/>
  <c r="AF249" i="2"/>
  <c r="AG249" i="2"/>
  <c r="AH249" i="2"/>
  <c r="AI249" i="2"/>
  <c r="AJ249" i="2"/>
  <c r="AK249" i="2"/>
  <c r="Z250" i="2"/>
  <c r="AA250" i="2"/>
  <c r="AB250" i="2"/>
  <c r="AC250" i="2"/>
  <c r="AD250" i="2"/>
  <c r="AE250" i="2"/>
  <c r="AF250" i="2"/>
  <c r="AG250" i="2"/>
  <c r="AH250" i="2"/>
  <c r="AI250" i="2"/>
  <c r="AJ250" i="2"/>
  <c r="AK250" i="2"/>
  <c r="Z251" i="2"/>
  <c r="AA251" i="2"/>
  <c r="AB251" i="2"/>
  <c r="AC251" i="2"/>
  <c r="AD251" i="2"/>
  <c r="AE251" i="2"/>
  <c r="AF251" i="2"/>
  <c r="AG251" i="2"/>
  <c r="AH251" i="2"/>
  <c r="AI251" i="2"/>
  <c r="AJ251" i="2"/>
  <c r="AK251" i="2"/>
  <c r="Z252" i="2"/>
  <c r="AA252" i="2"/>
  <c r="AB252" i="2"/>
  <c r="AC252" i="2"/>
  <c r="AD252" i="2"/>
  <c r="AE252" i="2"/>
  <c r="AF252" i="2"/>
  <c r="AG252" i="2"/>
  <c r="AH252" i="2"/>
  <c r="AI252" i="2"/>
  <c r="AJ252" i="2"/>
  <c r="AK252" i="2"/>
  <c r="Z253" i="2"/>
  <c r="AA253" i="2"/>
  <c r="AB253" i="2"/>
  <c r="AC253" i="2"/>
  <c r="AD253" i="2"/>
  <c r="AE253" i="2"/>
  <c r="AF253" i="2"/>
  <c r="AG253" i="2"/>
  <c r="AH253" i="2"/>
  <c r="AI253" i="2"/>
  <c r="AJ253" i="2"/>
  <c r="AK253" i="2"/>
  <c r="Z254" i="2"/>
  <c r="AA254" i="2"/>
  <c r="AB254" i="2"/>
  <c r="AC254" i="2"/>
  <c r="AD254" i="2"/>
  <c r="AE254" i="2"/>
  <c r="AF254" i="2"/>
  <c r="AG254" i="2"/>
  <c r="AH254" i="2"/>
  <c r="AI254" i="2"/>
  <c r="AJ254" i="2"/>
  <c r="AK254" i="2"/>
  <c r="Z255" i="2"/>
  <c r="AA255" i="2"/>
  <c r="AB255" i="2"/>
  <c r="AC255" i="2"/>
  <c r="AD255" i="2"/>
  <c r="AE255" i="2"/>
  <c r="AF255" i="2"/>
  <c r="AG255" i="2"/>
  <c r="AH255" i="2"/>
  <c r="AI255" i="2"/>
  <c r="AJ255" i="2"/>
  <c r="AK255" i="2"/>
  <c r="Z256" i="2"/>
  <c r="AA256" i="2"/>
  <c r="AB256" i="2"/>
  <c r="AC256" i="2"/>
  <c r="AD256" i="2"/>
  <c r="AE256" i="2"/>
  <c r="AF256" i="2"/>
  <c r="AG256" i="2"/>
  <c r="AH256" i="2"/>
  <c r="AI256" i="2"/>
  <c r="AJ256" i="2"/>
  <c r="AK256" i="2"/>
  <c r="Z257" i="2"/>
  <c r="AA257" i="2"/>
  <c r="AB257" i="2"/>
  <c r="AC257" i="2"/>
  <c r="AD257" i="2"/>
  <c r="AE257" i="2"/>
  <c r="AF257" i="2"/>
  <c r="AG257" i="2"/>
  <c r="AH257" i="2"/>
  <c r="AI257" i="2"/>
  <c r="AJ257" i="2"/>
  <c r="AK257" i="2"/>
  <c r="Z258" i="2"/>
  <c r="AA258" i="2"/>
  <c r="AB258" i="2"/>
  <c r="AC258" i="2"/>
  <c r="AD258" i="2"/>
  <c r="AE258" i="2"/>
  <c r="AF258" i="2"/>
  <c r="AG258" i="2"/>
  <c r="AH258" i="2"/>
  <c r="AI258" i="2"/>
  <c r="AJ258" i="2"/>
  <c r="AK258" i="2"/>
  <c r="Z259" i="2"/>
  <c r="AA259" i="2"/>
  <c r="AB259" i="2"/>
  <c r="AC259" i="2"/>
  <c r="AD259" i="2"/>
  <c r="AE259" i="2"/>
  <c r="AF259" i="2"/>
  <c r="AG259" i="2"/>
  <c r="AH259" i="2"/>
  <c r="AI259" i="2"/>
  <c r="AJ259" i="2"/>
  <c r="AK259" i="2"/>
  <c r="Z260" i="2"/>
  <c r="AA260" i="2"/>
  <c r="AB260" i="2"/>
  <c r="AC260" i="2"/>
  <c r="AD260" i="2"/>
  <c r="AE260" i="2"/>
  <c r="AF260" i="2"/>
  <c r="AG260" i="2"/>
  <c r="AH260" i="2"/>
  <c r="AI260" i="2"/>
  <c r="AJ260" i="2"/>
  <c r="AK260" i="2"/>
  <c r="Z261" i="2"/>
  <c r="AA261" i="2"/>
  <c r="AB261" i="2"/>
  <c r="AC261" i="2"/>
  <c r="AD261" i="2"/>
  <c r="AE261" i="2"/>
  <c r="AF261" i="2"/>
  <c r="AG261" i="2"/>
  <c r="AH261" i="2"/>
  <c r="AI261" i="2"/>
  <c r="AJ261" i="2"/>
  <c r="AK261" i="2"/>
  <c r="Z262" i="2"/>
  <c r="AA262" i="2"/>
  <c r="AB262" i="2"/>
  <c r="AC262" i="2"/>
  <c r="AD262" i="2"/>
  <c r="AE262" i="2"/>
  <c r="AF262" i="2"/>
  <c r="AG262" i="2"/>
  <c r="AH262" i="2"/>
  <c r="AI262" i="2"/>
  <c r="AJ262" i="2"/>
  <c r="AK262" i="2"/>
  <c r="Z263" i="2"/>
  <c r="AA263" i="2"/>
  <c r="AB263" i="2"/>
  <c r="AC263" i="2"/>
  <c r="AD263" i="2"/>
  <c r="AE263" i="2"/>
  <c r="AF263" i="2"/>
  <c r="AG263" i="2"/>
  <c r="AH263" i="2"/>
  <c r="AI263" i="2"/>
  <c r="AJ263" i="2"/>
  <c r="AK263" i="2"/>
  <c r="Z264" i="2"/>
  <c r="AA264" i="2"/>
  <c r="AB264" i="2"/>
  <c r="AC264" i="2"/>
  <c r="AD264" i="2"/>
  <c r="AE264" i="2"/>
  <c r="AF264" i="2"/>
  <c r="AG264" i="2"/>
  <c r="AH264" i="2"/>
  <c r="AI264" i="2"/>
  <c r="AJ264" i="2"/>
  <c r="AK264" i="2"/>
  <c r="Z265" i="2"/>
  <c r="AA265" i="2"/>
  <c r="AB265" i="2"/>
  <c r="AC265" i="2"/>
  <c r="AD265" i="2"/>
  <c r="AE265" i="2"/>
  <c r="AF265" i="2"/>
  <c r="AG265" i="2"/>
  <c r="AH265" i="2"/>
  <c r="AI265" i="2"/>
  <c r="AJ265" i="2"/>
  <c r="AK265" i="2"/>
  <c r="Z266" i="2"/>
  <c r="AA266" i="2"/>
  <c r="AB266" i="2"/>
  <c r="AC266" i="2"/>
  <c r="AD266" i="2"/>
  <c r="AE266" i="2"/>
  <c r="AF266" i="2"/>
  <c r="AG266" i="2"/>
  <c r="AH266" i="2"/>
  <c r="AI266" i="2"/>
  <c r="AJ266" i="2"/>
  <c r="AK266" i="2"/>
  <c r="Z267" i="2"/>
  <c r="AA267" i="2"/>
  <c r="AB267" i="2"/>
  <c r="AC267" i="2"/>
  <c r="AD267" i="2"/>
  <c r="AE267" i="2"/>
  <c r="AF267" i="2"/>
  <c r="AG267" i="2"/>
  <c r="AH267" i="2"/>
  <c r="AI267" i="2"/>
  <c r="AJ267" i="2"/>
  <c r="AK267" i="2"/>
  <c r="Z268" i="2"/>
  <c r="AA268" i="2"/>
  <c r="AB268" i="2"/>
  <c r="AC268" i="2"/>
  <c r="AD268" i="2"/>
  <c r="AE268" i="2"/>
  <c r="AF268" i="2"/>
  <c r="AG268" i="2"/>
  <c r="AH268" i="2"/>
  <c r="AI268" i="2"/>
  <c r="AJ268" i="2"/>
  <c r="AK268" i="2"/>
  <c r="Z269" i="2"/>
  <c r="AA269" i="2"/>
  <c r="AB269" i="2"/>
  <c r="AC269" i="2"/>
  <c r="AD269" i="2"/>
  <c r="AE269" i="2"/>
  <c r="AF269" i="2"/>
  <c r="AG269" i="2"/>
  <c r="AH269" i="2"/>
  <c r="AI269" i="2"/>
  <c r="AJ269" i="2"/>
  <c r="AK269" i="2"/>
  <c r="Z270" i="2"/>
  <c r="AA270" i="2"/>
  <c r="AB270" i="2"/>
  <c r="AC270" i="2"/>
  <c r="AD270" i="2"/>
  <c r="AE270" i="2"/>
  <c r="AF270" i="2"/>
  <c r="AG270" i="2"/>
  <c r="AH270" i="2"/>
  <c r="AI270" i="2"/>
  <c r="AJ270" i="2"/>
  <c r="AK270" i="2"/>
  <c r="Z271" i="2"/>
  <c r="AA271" i="2"/>
  <c r="AB271" i="2"/>
  <c r="AC271" i="2"/>
  <c r="AD271" i="2"/>
  <c r="AE271" i="2"/>
  <c r="AF271" i="2"/>
  <c r="AG271" i="2"/>
  <c r="AH271" i="2"/>
  <c r="AI271" i="2"/>
  <c r="AJ271" i="2"/>
  <c r="AK271" i="2"/>
  <c r="Z272" i="2"/>
  <c r="AA272" i="2"/>
  <c r="AB272" i="2"/>
  <c r="AC272" i="2"/>
  <c r="AD272" i="2"/>
  <c r="AE272" i="2"/>
  <c r="AF272" i="2"/>
  <c r="AG272" i="2"/>
  <c r="AH272" i="2"/>
  <c r="AI272" i="2"/>
  <c r="AJ272" i="2"/>
  <c r="AK272" i="2"/>
  <c r="Z273" i="2"/>
  <c r="AA273" i="2"/>
  <c r="AB273" i="2"/>
  <c r="AC273" i="2"/>
  <c r="AD273" i="2"/>
  <c r="AE273" i="2"/>
  <c r="AF273" i="2"/>
  <c r="AG273" i="2"/>
  <c r="AH273" i="2"/>
  <c r="AI273" i="2"/>
  <c r="AJ273" i="2"/>
  <c r="AK273" i="2"/>
  <c r="Z274" i="2"/>
  <c r="AA274" i="2"/>
  <c r="AB274" i="2"/>
  <c r="AC274" i="2"/>
  <c r="AD274" i="2"/>
  <c r="AE274" i="2"/>
  <c r="AF274" i="2"/>
  <c r="AG274" i="2"/>
  <c r="AH274" i="2"/>
  <c r="AI274" i="2"/>
  <c r="AJ274" i="2"/>
  <c r="AK274" i="2"/>
  <c r="Z275" i="2"/>
  <c r="AA275" i="2"/>
  <c r="AB275" i="2"/>
  <c r="AC275" i="2"/>
  <c r="AD275" i="2"/>
  <c r="AE275" i="2"/>
  <c r="AF275" i="2"/>
  <c r="AG275" i="2"/>
  <c r="AH275" i="2"/>
  <c r="AI275" i="2"/>
  <c r="AJ275" i="2"/>
  <c r="AK275" i="2"/>
  <c r="Z276" i="2"/>
  <c r="AA276" i="2"/>
  <c r="AB276" i="2"/>
  <c r="AC276" i="2"/>
  <c r="AD276" i="2"/>
  <c r="AE276" i="2"/>
  <c r="AF276" i="2"/>
  <c r="AG276" i="2"/>
  <c r="AH276" i="2"/>
  <c r="AI276" i="2"/>
  <c r="AJ276" i="2"/>
  <c r="AK276" i="2"/>
  <c r="Z277" i="2"/>
  <c r="AA277" i="2"/>
  <c r="AB277" i="2"/>
  <c r="AC277" i="2"/>
  <c r="AD277" i="2"/>
  <c r="AE277" i="2"/>
  <c r="AF277" i="2"/>
  <c r="AG277" i="2"/>
  <c r="AH277" i="2"/>
  <c r="AI277" i="2"/>
  <c r="AJ277" i="2"/>
  <c r="AK277" i="2"/>
  <c r="Z278" i="2"/>
  <c r="AA278" i="2"/>
  <c r="AB278" i="2"/>
  <c r="AC278" i="2"/>
  <c r="AD278" i="2"/>
  <c r="AE278" i="2"/>
  <c r="AF278" i="2"/>
  <c r="AG278" i="2"/>
  <c r="AH278" i="2"/>
  <c r="AI278" i="2"/>
  <c r="AJ278" i="2"/>
  <c r="AK278" i="2"/>
  <c r="Z279" i="2"/>
  <c r="AA279" i="2"/>
  <c r="AB279" i="2"/>
  <c r="AC279" i="2"/>
  <c r="AD279" i="2"/>
  <c r="AE279" i="2"/>
  <c r="AF279" i="2"/>
  <c r="AG279" i="2"/>
  <c r="AH279" i="2"/>
  <c r="AI279" i="2"/>
  <c r="AJ279" i="2"/>
  <c r="AK279" i="2"/>
  <c r="Z280" i="2"/>
  <c r="AA280" i="2"/>
  <c r="AB280" i="2"/>
  <c r="AC280" i="2"/>
  <c r="AD280" i="2"/>
  <c r="AE280" i="2"/>
  <c r="AF280" i="2"/>
  <c r="AG280" i="2"/>
  <c r="AH280" i="2"/>
  <c r="AI280" i="2"/>
  <c r="AJ280" i="2"/>
  <c r="AK280" i="2"/>
  <c r="Z281" i="2"/>
  <c r="AA281" i="2"/>
  <c r="AB281" i="2"/>
  <c r="AC281" i="2"/>
  <c r="AD281" i="2"/>
  <c r="AE281" i="2"/>
  <c r="AF281" i="2"/>
  <c r="AG281" i="2"/>
  <c r="AH281" i="2"/>
  <c r="AI281" i="2"/>
  <c r="AJ281" i="2"/>
  <c r="AK281" i="2"/>
  <c r="Z282" i="2"/>
  <c r="AA282" i="2"/>
  <c r="AB282" i="2"/>
  <c r="AC282" i="2"/>
  <c r="AD282" i="2"/>
  <c r="AE282" i="2"/>
  <c r="AF282" i="2"/>
  <c r="AG282" i="2"/>
  <c r="AH282" i="2"/>
  <c r="AI282" i="2"/>
  <c r="AJ282" i="2"/>
  <c r="AK282" i="2"/>
  <c r="Z283" i="2"/>
  <c r="AA283" i="2"/>
  <c r="AB283" i="2"/>
  <c r="AC283" i="2"/>
  <c r="AD283" i="2"/>
  <c r="AE283" i="2"/>
  <c r="AF283" i="2"/>
  <c r="AG283" i="2"/>
  <c r="AH283" i="2"/>
  <c r="AI283" i="2"/>
  <c r="AJ283" i="2"/>
  <c r="AK283" i="2"/>
  <c r="Z284" i="2"/>
  <c r="AA284" i="2"/>
  <c r="AB284" i="2"/>
  <c r="AC284" i="2"/>
  <c r="AD284" i="2"/>
  <c r="AE284" i="2"/>
  <c r="AF284" i="2"/>
  <c r="AG284" i="2"/>
  <c r="AH284" i="2"/>
  <c r="AI284" i="2"/>
  <c r="AJ284" i="2"/>
  <c r="AK284" i="2"/>
  <c r="Z285" i="2"/>
  <c r="AA285" i="2"/>
  <c r="AB285" i="2"/>
  <c r="AC285" i="2"/>
  <c r="AD285" i="2"/>
  <c r="AE285" i="2"/>
  <c r="AF285" i="2"/>
  <c r="AG285" i="2"/>
  <c r="AH285" i="2"/>
  <c r="AI285" i="2"/>
  <c r="AJ285" i="2"/>
  <c r="AK285" i="2"/>
  <c r="Z286" i="2"/>
  <c r="AA286" i="2"/>
  <c r="AB286" i="2"/>
  <c r="AC286" i="2"/>
  <c r="AD286" i="2"/>
  <c r="AE286" i="2"/>
  <c r="AF286" i="2"/>
  <c r="AG286" i="2"/>
  <c r="AH286" i="2"/>
  <c r="AI286" i="2"/>
  <c r="AJ286" i="2"/>
  <c r="AK286" i="2"/>
  <c r="Z287" i="2"/>
  <c r="AA287" i="2"/>
  <c r="AB287" i="2"/>
  <c r="AC287" i="2"/>
  <c r="AD287" i="2"/>
  <c r="AE287" i="2"/>
  <c r="AF287" i="2"/>
  <c r="AG287" i="2"/>
  <c r="AH287" i="2"/>
  <c r="AI287" i="2"/>
  <c r="AJ287" i="2"/>
  <c r="AK287" i="2"/>
  <c r="Z288" i="2"/>
  <c r="AA288" i="2"/>
  <c r="AB288" i="2"/>
  <c r="AC288" i="2"/>
  <c r="AD288" i="2"/>
  <c r="AE288" i="2"/>
  <c r="AF288" i="2"/>
  <c r="AG288" i="2"/>
  <c r="AH288" i="2"/>
  <c r="AI288" i="2"/>
  <c r="AJ288" i="2"/>
  <c r="AK288" i="2"/>
  <c r="Z289" i="2"/>
  <c r="AA289" i="2"/>
  <c r="AB289" i="2"/>
  <c r="AC289" i="2"/>
  <c r="AD289" i="2"/>
  <c r="AE289" i="2"/>
  <c r="AF289" i="2"/>
  <c r="AG289" i="2"/>
  <c r="AH289" i="2"/>
  <c r="AI289" i="2"/>
  <c r="AJ289" i="2"/>
  <c r="AK289" i="2"/>
  <c r="Z290" i="2"/>
  <c r="AA290" i="2"/>
  <c r="AB290" i="2"/>
  <c r="AC290" i="2"/>
  <c r="AD290" i="2"/>
  <c r="AE290" i="2"/>
  <c r="AF290" i="2"/>
  <c r="AG290" i="2"/>
  <c r="AH290" i="2"/>
  <c r="AI290" i="2"/>
  <c r="AJ290" i="2"/>
  <c r="AK290" i="2"/>
  <c r="Z291" i="2"/>
  <c r="AA291" i="2"/>
  <c r="AB291" i="2"/>
  <c r="AC291" i="2"/>
  <c r="AD291" i="2"/>
  <c r="AE291" i="2"/>
  <c r="AF291" i="2"/>
  <c r="AG291" i="2"/>
  <c r="AH291" i="2"/>
  <c r="AI291" i="2"/>
  <c r="AJ291" i="2"/>
  <c r="AK291" i="2"/>
  <c r="Z292" i="2"/>
  <c r="AA292" i="2"/>
  <c r="AB292" i="2"/>
  <c r="AC292" i="2"/>
  <c r="AD292" i="2"/>
  <c r="AE292" i="2"/>
  <c r="AF292" i="2"/>
  <c r="AG292" i="2"/>
  <c r="AH292" i="2"/>
  <c r="AI292" i="2"/>
  <c r="AJ292" i="2"/>
  <c r="AK292" i="2"/>
  <c r="Z293" i="2"/>
  <c r="AA293" i="2"/>
  <c r="AB293" i="2"/>
  <c r="AC293" i="2"/>
  <c r="AD293" i="2"/>
  <c r="AE293" i="2"/>
  <c r="AF293" i="2"/>
  <c r="AG293" i="2"/>
  <c r="AH293" i="2"/>
  <c r="AI293" i="2"/>
  <c r="AJ293" i="2"/>
  <c r="AK293" i="2"/>
  <c r="Z294" i="2"/>
  <c r="AA294" i="2"/>
  <c r="AB294" i="2"/>
  <c r="AC294" i="2"/>
  <c r="AD294" i="2"/>
  <c r="AE294" i="2"/>
  <c r="AF294" i="2"/>
  <c r="AG294" i="2"/>
  <c r="AH294" i="2"/>
  <c r="AI294" i="2"/>
  <c r="AJ294" i="2"/>
  <c r="AK294" i="2"/>
  <c r="Z295" i="2"/>
  <c r="AA295" i="2"/>
  <c r="AB295" i="2"/>
  <c r="AC295" i="2"/>
  <c r="AD295" i="2"/>
  <c r="AE295" i="2"/>
  <c r="AF295" i="2"/>
  <c r="AG295" i="2"/>
  <c r="AH295" i="2"/>
  <c r="AI295" i="2"/>
  <c r="AJ295" i="2"/>
  <c r="AK295" i="2"/>
  <c r="Z296" i="2"/>
  <c r="AA296" i="2"/>
  <c r="AB296" i="2"/>
  <c r="AC296" i="2"/>
  <c r="AD296" i="2"/>
  <c r="AE296" i="2"/>
  <c r="AF296" i="2"/>
  <c r="AG296" i="2"/>
  <c r="AH296" i="2"/>
  <c r="AI296" i="2"/>
  <c r="AJ296" i="2"/>
  <c r="AK296" i="2"/>
  <c r="Z297" i="2"/>
  <c r="AA297" i="2"/>
  <c r="AB297" i="2"/>
  <c r="AC297" i="2"/>
  <c r="AD297" i="2"/>
  <c r="AE297" i="2"/>
  <c r="AF297" i="2"/>
  <c r="AG297" i="2"/>
  <c r="AH297" i="2"/>
  <c r="AI297" i="2"/>
  <c r="AJ297" i="2"/>
  <c r="AK297" i="2"/>
  <c r="Z298" i="2"/>
  <c r="AA298" i="2"/>
  <c r="AB298" i="2"/>
  <c r="AC298" i="2"/>
  <c r="AD298" i="2"/>
  <c r="AE298" i="2"/>
  <c r="AF298" i="2"/>
  <c r="AG298" i="2"/>
  <c r="AH298" i="2"/>
  <c r="AI298" i="2"/>
  <c r="AJ298" i="2"/>
  <c r="AK298" i="2"/>
  <c r="Z299" i="2"/>
  <c r="AA299" i="2"/>
  <c r="AB299" i="2"/>
  <c r="AC299" i="2"/>
  <c r="AD299" i="2"/>
  <c r="AE299" i="2"/>
  <c r="AF299" i="2"/>
  <c r="AG299" i="2"/>
  <c r="AH299" i="2"/>
  <c r="AI299" i="2"/>
  <c r="AJ299" i="2"/>
  <c r="AK299" i="2"/>
  <c r="Z300" i="2"/>
  <c r="AA300" i="2"/>
  <c r="AB300" i="2"/>
  <c r="AC300" i="2"/>
  <c r="AD300" i="2"/>
  <c r="AE300" i="2"/>
  <c r="AF300" i="2"/>
  <c r="AG300" i="2"/>
  <c r="AH300" i="2"/>
  <c r="AI300" i="2"/>
  <c r="AJ300" i="2"/>
  <c r="AK300" i="2"/>
  <c r="Z301" i="2"/>
  <c r="AA301" i="2"/>
  <c r="AB301" i="2"/>
  <c r="AC301" i="2"/>
  <c r="AD301" i="2"/>
  <c r="AE301" i="2"/>
  <c r="AF301" i="2"/>
  <c r="AG301" i="2"/>
  <c r="AH301" i="2"/>
  <c r="AI301" i="2"/>
  <c r="AJ301" i="2"/>
  <c r="AK301" i="2"/>
  <c r="Z302" i="2"/>
  <c r="AA302" i="2"/>
  <c r="AB302" i="2"/>
  <c r="AC302" i="2"/>
  <c r="AD302" i="2"/>
  <c r="AE302" i="2"/>
  <c r="AF302" i="2"/>
  <c r="AG302" i="2"/>
  <c r="AH302" i="2"/>
  <c r="AI302" i="2"/>
  <c r="AJ302" i="2"/>
  <c r="AK302" i="2"/>
  <c r="Z303" i="2"/>
  <c r="AA303" i="2"/>
  <c r="AB303" i="2"/>
  <c r="AC303" i="2"/>
  <c r="AD303" i="2"/>
  <c r="AE303" i="2"/>
  <c r="AF303" i="2"/>
  <c r="AG303" i="2"/>
  <c r="AH303" i="2"/>
  <c r="AI303" i="2"/>
  <c r="AJ303" i="2"/>
  <c r="AK303" i="2"/>
  <c r="Z304" i="2"/>
  <c r="AA304" i="2"/>
  <c r="AB304" i="2"/>
  <c r="AC304" i="2"/>
  <c r="AD304" i="2"/>
  <c r="AE304" i="2"/>
  <c r="AF304" i="2"/>
  <c r="AG304" i="2"/>
  <c r="AH304" i="2"/>
  <c r="AI304" i="2"/>
  <c r="AJ304" i="2"/>
  <c r="AK304" i="2"/>
  <c r="Z305" i="2"/>
  <c r="AA305" i="2"/>
  <c r="AB305" i="2"/>
  <c r="AC305" i="2"/>
  <c r="AD305" i="2"/>
  <c r="AE305" i="2"/>
  <c r="AF305" i="2"/>
  <c r="AG305" i="2"/>
  <c r="AH305" i="2"/>
  <c r="AI305" i="2"/>
  <c r="AJ305" i="2"/>
  <c r="AK305" i="2"/>
  <c r="Z306" i="2"/>
  <c r="AA306" i="2"/>
  <c r="AB306" i="2"/>
  <c r="AC306" i="2"/>
  <c r="AD306" i="2"/>
  <c r="AE306" i="2"/>
  <c r="AF306" i="2"/>
  <c r="AG306" i="2"/>
  <c r="AH306" i="2"/>
  <c r="AI306" i="2"/>
  <c r="AJ306" i="2"/>
  <c r="AK306" i="2"/>
  <c r="Z307" i="2"/>
  <c r="AA307" i="2"/>
  <c r="AB307" i="2"/>
  <c r="AC307" i="2"/>
  <c r="AD307" i="2"/>
  <c r="AE307" i="2"/>
  <c r="AF307" i="2"/>
  <c r="AG307" i="2"/>
  <c r="AH307" i="2"/>
  <c r="AI307" i="2"/>
  <c r="AJ307" i="2"/>
  <c r="AK307" i="2"/>
  <c r="Z308" i="2"/>
  <c r="AA308" i="2"/>
  <c r="AB308" i="2"/>
  <c r="AC308" i="2"/>
  <c r="AD308" i="2"/>
  <c r="AE308" i="2"/>
  <c r="AF308" i="2"/>
  <c r="AG308" i="2"/>
  <c r="AH308" i="2"/>
  <c r="AI308" i="2"/>
  <c r="AJ308" i="2"/>
  <c r="AK308" i="2"/>
  <c r="Z309" i="2"/>
  <c r="AA309" i="2"/>
  <c r="AB309" i="2"/>
  <c r="AC309" i="2"/>
  <c r="AD309" i="2"/>
  <c r="AE309" i="2"/>
  <c r="AF309" i="2"/>
  <c r="AG309" i="2"/>
  <c r="AH309" i="2"/>
  <c r="AI309" i="2"/>
  <c r="AJ309" i="2"/>
  <c r="AK309" i="2"/>
  <c r="Z310" i="2"/>
  <c r="AA310" i="2"/>
  <c r="AB310" i="2"/>
  <c r="AC310" i="2"/>
  <c r="AD310" i="2"/>
  <c r="AE310" i="2"/>
  <c r="AF310" i="2"/>
  <c r="AG310" i="2"/>
  <c r="AH310" i="2"/>
  <c r="AI310" i="2"/>
  <c r="AJ310" i="2"/>
  <c r="AK310" i="2"/>
  <c r="Z311" i="2"/>
  <c r="AA311" i="2"/>
  <c r="AB311" i="2"/>
  <c r="AC311" i="2"/>
  <c r="AD311" i="2"/>
  <c r="AE311" i="2"/>
  <c r="AF311" i="2"/>
  <c r="AG311" i="2"/>
  <c r="AH311" i="2"/>
  <c r="AI311" i="2"/>
  <c r="AJ311" i="2"/>
  <c r="AK311" i="2"/>
  <c r="Z312" i="2"/>
  <c r="AA312" i="2"/>
  <c r="AB312" i="2"/>
  <c r="AC312" i="2"/>
  <c r="AD312" i="2"/>
  <c r="AE312" i="2"/>
  <c r="AF312" i="2"/>
  <c r="AG312" i="2"/>
  <c r="AH312" i="2"/>
  <c r="AI312" i="2"/>
  <c r="AJ312" i="2"/>
  <c r="AK312" i="2"/>
  <c r="Z313" i="2"/>
  <c r="AA313" i="2"/>
  <c r="AB313" i="2"/>
  <c r="AC313" i="2"/>
  <c r="AD313" i="2"/>
  <c r="AE313" i="2"/>
  <c r="AF313" i="2"/>
  <c r="AG313" i="2"/>
  <c r="AH313" i="2"/>
  <c r="AI313" i="2"/>
  <c r="AJ313" i="2"/>
  <c r="AK313" i="2"/>
  <c r="Z314" i="2"/>
  <c r="AA314" i="2"/>
  <c r="AB314" i="2"/>
  <c r="AC314" i="2"/>
  <c r="AD314" i="2"/>
  <c r="AE314" i="2"/>
  <c r="AF314" i="2"/>
  <c r="AG314" i="2"/>
  <c r="AH314" i="2"/>
  <c r="AI314" i="2"/>
  <c r="AJ314" i="2"/>
  <c r="AK314" i="2"/>
  <c r="Z315" i="2"/>
  <c r="AA315" i="2"/>
  <c r="AB315" i="2"/>
  <c r="AC315" i="2"/>
  <c r="AD315" i="2"/>
  <c r="AE315" i="2"/>
  <c r="AF315" i="2"/>
  <c r="AG315" i="2"/>
  <c r="AH315" i="2"/>
  <c r="AI315" i="2"/>
  <c r="AJ315" i="2"/>
  <c r="AK315" i="2"/>
  <c r="Z316" i="2"/>
  <c r="AA316" i="2"/>
  <c r="AB316" i="2"/>
  <c r="AC316" i="2"/>
  <c r="AD316" i="2"/>
  <c r="AE316" i="2"/>
  <c r="AF316" i="2"/>
  <c r="AG316" i="2"/>
  <c r="AH316" i="2"/>
  <c r="AI316" i="2"/>
  <c r="AJ316" i="2"/>
  <c r="AK316" i="2"/>
  <c r="Z317" i="2"/>
  <c r="AA317" i="2"/>
  <c r="AB317" i="2"/>
  <c r="AC317" i="2"/>
  <c r="AD317" i="2"/>
  <c r="AE317" i="2"/>
  <c r="AF317" i="2"/>
  <c r="AG317" i="2"/>
  <c r="AH317" i="2"/>
  <c r="AI317" i="2"/>
  <c r="AJ317" i="2"/>
  <c r="AK317" i="2"/>
  <c r="Z318" i="2"/>
  <c r="AA318" i="2"/>
  <c r="AB318" i="2"/>
  <c r="AC318" i="2"/>
  <c r="AD318" i="2"/>
  <c r="AE318" i="2"/>
  <c r="AF318" i="2"/>
  <c r="AG318" i="2"/>
  <c r="AH318" i="2"/>
  <c r="AI318" i="2"/>
  <c r="AJ318" i="2"/>
  <c r="AK318" i="2"/>
  <c r="Z319" i="2"/>
  <c r="AA319" i="2"/>
  <c r="AB319" i="2"/>
  <c r="AC319" i="2"/>
  <c r="AD319" i="2"/>
  <c r="AE319" i="2"/>
  <c r="AF319" i="2"/>
  <c r="AG319" i="2"/>
  <c r="AH319" i="2"/>
  <c r="AI319" i="2"/>
  <c r="AJ319" i="2"/>
  <c r="AK319" i="2"/>
  <c r="Z320" i="2"/>
  <c r="AA320" i="2"/>
  <c r="AB320" i="2"/>
  <c r="AC320" i="2"/>
  <c r="AD320" i="2"/>
  <c r="AE320" i="2"/>
  <c r="AF320" i="2"/>
  <c r="AG320" i="2"/>
  <c r="AH320" i="2"/>
  <c r="AI320" i="2"/>
  <c r="AJ320" i="2"/>
  <c r="AK320" i="2"/>
  <c r="Z321" i="2"/>
  <c r="AA321" i="2"/>
  <c r="AB321" i="2"/>
  <c r="AC321" i="2"/>
  <c r="AD321" i="2"/>
  <c r="AE321" i="2"/>
  <c r="AF321" i="2"/>
  <c r="AG321" i="2"/>
  <c r="AH321" i="2"/>
  <c r="AI321" i="2"/>
  <c r="AJ321" i="2"/>
  <c r="AK321" i="2"/>
  <c r="Z322" i="2"/>
  <c r="AA322" i="2"/>
  <c r="AB322" i="2"/>
  <c r="AC322" i="2"/>
  <c r="AD322" i="2"/>
  <c r="AE322" i="2"/>
  <c r="AF322" i="2"/>
  <c r="AG322" i="2"/>
  <c r="AH322" i="2"/>
  <c r="AI322" i="2"/>
  <c r="AJ322" i="2"/>
  <c r="AK322" i="2"/>
  <c r="Z323" i="2"/>
  <c r="AA323" i="2"/>
  <c r="AB323" i="2"/>
  <c r="AC323" i="2"/>
  <c r="AD323" i="2"/>
  <c r="AE323" i="2"/>
  <c r="AF323" i="2"/>
  <c r="AG323" i="2"/>
  <c r="AH323" i="2"/>
  <c r="AI323" i="2"/>
  <c r="AJ323" i="2"/>
  <c r="AK323" i="2"/>
  <c r="Z324" i="2"/>
  <c r="AA324" i="2"/>
  <c r="AB324" i="2"/>
  <c r="AC324" i="2"/>
  <c r="AD324" i="2"/>
  <c r="AE324" i="2"/>
  <c r="AF324" i="2"/>
  <c r="AG324" i="2"/>
  <c r="AH324" i="2"/>
  <c r="AI324" i="2"/>
  <c r="AJ324" i="2"/>
  <c r="AK324" i="2"/>
  <c r="Z325" i="2"/>
  <c r="AA325" i="2"/>
  <c r="AB325" i="2"/>
  <c r="AC325" i="2"/>
  <c r="AD325" i="2"/>
  <c r="AE325" i="2"/>
  <c r="AF325" i="2"/>
  <c r="AG325" i="2"/>
  <c r="AH325" i="2"/>
  <c r="AI325" i="2"/>
  <c r="AJ325" i="2"/>
  <c r="AK325" i="2"/>
  <c r="Z326" i="2"/>
  <c r="AA326" i="2"/>
  <c r="AB326" i="2"/>
  <c r="AC326" i="2"/>
  <c r="AD326" i="2"/>
  <c r="AE326" i="2"/>
  <c r="AF326" i="2"/>
  <c r="AG326" i="2"/>
  <c r="AH326" i="2"/>
  <c r="AI326" i="2"/>
  <c r="AJ326" i="2"/>
  <c r="AK326" i="2"/>
  <c r="Z327" i="2"/>
  <c r="AA327" i="2"/>
  <c r="AB327" i="2"/>
  <c r="AC327" i="2"/>
  <c r="AD327" i="2"/>
  <c r="AE327" i="2"/>
  <c r="AF327" i="2"/>
  <c r="AG327" i="2"/>
  <c r="AH327" i="2"/>
  <c r="AI327" i="2"/>
  <c r="AJ327" i="2"/>
  <c r="AK327" i="2"/>
  <c r="Z328" i="2"/>
  <c r="AA328" i="2"/>
  <c r="AB328" i="2"/>
  <c r="AC328" i="2"/>
  <c r="AD328" i="2"/>
  <c r="AE328" i="2"/>
  <c r="AF328" i="2"/>
  <c r="AG328" i="2"/>
  <c r="AH328" i="2"/>
  <c r="AI328" i="2"/>
  <c r="AJ328" i="2"/>
  <c r="AK328" i="2"/>
  <c r="Z329" i="2"/>
  <c r="AA329" i="2"/>
  <c r="AB329" i="2"/>
  <c r="AC329" i="2"/>
  <c r="AD329" i="2"/>
  <c r="AE329" i="2"/>
  <c r="AF329" i="2"/>
  <c r="AG329" i="2"/>
  <c r="AH329" i="2"/>
  <c r="AI329" i="2"/>
  <c r="AJ329" i="2"/>
  <c r="AK329" i="2"/>
  <c r="Z330" i="2"/>
  <c r="AA330" i="2"/>
  <c r="AB330" i="2"/>
  <c r="AC330" i="2"/>
  <c r="AD330" i="2"/>
  <c r="AE330" i="2"/>
  <c r="AF330" i="2"/>
  <c r="AG330" i="2"/>
  <c r="AH330" i="2"/>
  <c r="AI330" i="2"/>
  <c r="AJ330" i="2"/>
  <c r="AK330" i="2"/>
  <c r="Z331" i="2"/>
  <c r="AA331" i="2"/>
  <c r="AB331" i="2"/>
  <c r="AC331" i="2"/>
  <c r="AD331" i="2"/>
  <c r="AE331" i="2"/>
  <c r="AF331" i="2"/>
  <c r="AG331" i="2"/>
  <c r="AH331" i="2"/>
  <c r="AI331" i="2"/>
  <c r="AJ331" i="2"/>
  <c r="AK331" i="2"/>
  <c r="Z332" i="2"/>
  <c r="AA332" i="2"/>
  <c r="AB332" i="2"/>
  <c r="AC332" i="2"/>
  <c r="AD332" i="2"/>
  <c r="AE332" i="2"/>
  <c r="AF332" i="2"/>
  <c r="AG332" i="2"/>
  <c r="AH332" i="2"/>
  <c r="AI332" i="2"/>
  <c r="AJ332" i="2"/>
  <c r="AK332" i="2"/>
  <c r="Z333" i="2"/>
  <c r="AA333" i="2"/>
  <c r="AB333" i="2"/>
  <c r="AC333" i="2"/>
  <c r="AD333" i="2"/>
  <c r="AE333" i="2"/>
  <c r="AF333" i="2"/>
  <c r="AG333" i="2"/>
  <c r="AH333" i="2"/>
  <c r="AI333" i="2"/>
  <c r="AJ333" i="2"/>
  <c r="AK333" i="2"/>
  <c r="Z334" i="2"/>
  <c r="AA334" i="2"/>
  <c r="AB334" i="2"/>
  <c r="AC334" i="2"/>
  <c r="AD334" i="2"/>
  <c r="AE334" i="2"/>
  <c r="AF334" i="2"/>
  <c r="AG334" i="2"/>
  <c r="AH334" i="2"/>
  <c r="AI334" i="2"/>
  <c r="AJ334" i="2"/>
  <c r="AK334" i="2"/>
  <c r="Z335" i="2"/>
  <c r="AA335" i="2"/>
  <c r="AB335" i="2"/>
  <c r="AC335" i="2"/>
  <c r="AD335" i="2"/>
  <c r="AE335" i="2"/>
  <c r="AF335" i="2"/>
  <c r="AG335" i="2"/>
  <c r="AH335" i="2"/>
  <c r="AI335" i="2"/>
  <c r="AJ335" i="2"/>
  <c r="AK335" i="2"/>
  <c r="Z336" i="2"/>
  <c r="AA336" i="2"/>
  <c r="AB336" i="2"/>
  <c r="AC336" i="2"/>
  <c r="AD336" i="2"/>
  <c r="AE336" i="2"/>
  <c r="AF336" i="2"/>
  <c r="AG336" i="2"/>
  <c r="AH336" i="2"/>
  <c r="AI336" i="2"/>
  <c r="AJ336" i="2"/>
  <c r="AK336" i="2"/>
  <c r="Z337" i="2"/>
  <c r="AA337" i="2"/>
  <c r="AB337" i="2"/>
  <c r="AC337" i="2"/>
  <c r="AD337" i="2"/>
  <c r="AE337" i="2"/>
  <c r="AF337" i="2"/>
  <c r="AG337" i="2"/>
  <c r="AH337" i="2"/>
  <c r="AI337" i="2"/>
  <c r="AJ337" i="2"/>
  <c r="AK337" i="2"/>
  <c r="Z338" i="2"/>
  <c r="AA338" i="2"/>
  <c r="AB338" i="2"/>
  <c r="AC338" i="2"/>
  <c r="AD338" i="2"/>
  <c r="AE338" i="2"/>
  <c r="AF338" i="2"/>
  <c r="AG338" i="2"/>
  <c r="AH338" i="2"/>
  <c r="AI338" i="2"/>
  <c r="AJ338" i="2"/>
  <c r="AK338" i="2"/>
  <c r="Z339" i="2"/>
  <c r="AA339" i="2"/>
  <c r="AB339" i="2"/>
  <c r="AC339" i="2"/>
  <c r="AD339" i="2"/>
  <c r="AE339" i="2"/>
  <c r="AF339" i="2"/>
  <c r="AG339" i="2"/>
  <c r="AH339" i="2"/>
  <c r="AI339" i="2"/>
  <c r="AJ339" i="2"/>
  <c r="AK339" i="2"/>
  <c r="Z340" i="2"/>
  <c r="AA340" i="2"/>
  <c r="AB340" i="2"/>
  <c r="AC340" i="2"/>
  <c r="AD340" i="2"/>
  <c r="AE340" i="2"/>
  <c r="AF340" i="2"/>
  <c r="AG340" i="2"/>
  <c r="AH340" i="2"/>
  <c r="AI340" i="2"/>
  <c r="AJ340" i="2"/>
  <c r="AK340" i="2"/>
  <c r="Z341" i="2"/>
  <c r="AA341" i="2"/>
  <c r="AB341" i="2"/>
  <c r="AC341" i="2"/>
  <c r="AD341" i="2"/>
  <c r="AE341" i="2"/>
  <c r="AF341" i="2"/>
  <c r="AG341" i="2"/>
  <c r="AH341" i="2"/>
  <c r="AI341" i="2"/>
  <c r="AJ341" i="2"/>
  <c r="AK341" i="2"/>
  <c r="Z342" i="2"/>
  <c r="AA342" i="2"/>
  <c r="AB342" i="2"/>
  <c r="AC342" i="2"/>
  <c r="AD342" i="2"/>
  <c r="AE342" i="2"/>
  <c r="AF342" i="2"/>
  <c r="AG342" i="2"/>
  <c r="AH342" i="2"/>
  <c r="AI342" i="2"/>
  <c r="AJ342" i="2"/>
  <c r="AK342" i="2"/>
  <c r="Z343" i="2"/>
  <c r="AA343" i="2"/>
  <c r="AB343" i="2"/>
  <c r="AC343" i="2"/>
  <c r="AD343" i="2"/>
  <c r="AE343" i="2"/>
  <c r="AF343" i="2"/>
  <c r="AG343" i="2"/>
  <c r="AH343" i="2"/>
  <c r="AI343" i="2"/>
  <c r="AJ343" i="2"/>
  <c r="AK343" i="2"/>
  <c r="Z344" i="2"/>
  <c r="AA344" i="2"/>
  <c r="AB344" i="2"/>
  <c r="AC344" i="2"/>
  <c r="AD344" i="2"/>
  <c r="AE344" i="2"/>
  <c r="AF344" i="2"/>
  <c r="AG344" i="2"/>
  <c r="AH344" i="2"/>
  <c r="AI344" i="2"/>
  <c r="AJ344" i="2"/>
  <c r="AK344" i="2"/>
  <c r="Z345" i="2"/>
  <c r="AA345" i="2"/>
  <c r="AB345" i="2"/>
  <c r="AC345" i="2"/>
  <c r="AD345" i="2"/>
  <c r="AE345" i="2"/>
  <c r="AF345" i="2"/>
  <c r="AG345" i="2"/>
  <c r="AH345" i="2"/>
  <c r="AI345" i="2"/>
  <c r="AJ345" i="2"/>
  <c r="AK345" i="2"/>
  <c r="Z346" i="2"/>
  <c r="AA346" i="2"/>
  <c r="AB346" i="2"/>
  <c r="AC346" i="2"/>
  <c r="AD346" i="2"/>
  <c r="AE346" i="2"/>
  <c r="AF346" i="2"/>
  <c r="AG346" i="2"/>
  <c r="AH346" i="2"/>
  <c r="AI346" i="2"/>
  <c r="AJ346" i="2"/>
  <c r="AK346" i="2"/>
  <c r="Z347" i="2"/>
  <c r="AA347" i="2"/>
  <c r="AB347" i="2"/>
  <c r="AC347" i="2"/>
  <c r="AD347" i="2"/>
  <c r="AE347" i="2"/>
  <c r="AF347" i="2"/>
  <c r="AG347" i="2"/>
  <c r="AH347" i="2"/>
  <c r="AI347" i="2"/>
  <c r="AJ347" i="2"/>
  <c r="AK347" i="2"/>
  <c r="Z348" i="2"/>
  <c r="AA348" i="2"/>
  <c r="AB348" i="2"/>
  <c r="AC348" i="2"/>
  <c r="AD348" i="2"/>
  <c r="AE348" i="2"/>
  <c r="AF348" i="2"/>
  <c r="AG348" i="2"/>
  <c r="AH348" i="2"/>
  <c r="AI348" i="2"/>
  <c r="AJ348" i="2"/>
  <c r="AK348" i="2"/>
  <c r="Z349" i="2"/>
  <c r="AA349" i="2"/>
  <c r="AB349" i="2"/>
  <c r="AC349" i="2"/>
  <c r="AD349" i="2"/>
  <c r="AE349" i="2"/>
  <c r="AF349" i="2"/>
  <c r="AG349" i="2"/>
  <c r="AH349" i="2"/>
  <c r="AI349" i="2"/>
  <c r="AJ349" i="2"/>
  <c r="AK349" i="2"/>
  <c r="Z350" i="2"/>
  <c r="AA350" i="2"/>
  <c r="AB350" i="2"/>
  <c r="AC350" i="2"/>
  <c r="AD350" i="2"/>
  <c r="AE350" i="2"/>
  <c r="AF350" i="2"/>
  <c r="AG350" i="2"/>
  <c r="AH350" i="2"/>
  <c r="AI350" i="2"/>
  <c r="AJ350" i="2"/>
  <c r="AK350" i="2"/>
  <c r="Z351" i="2"/>
  <c r="AA351" i="2"/>
  <c r="AB351" i="2"/>
  <c r="AC351" i="2"/>
  <c r="AD351" i="2"/>
  <c r="AE351" i="2"/>
  <c r="AF351" i="2"/>
  <c r="AG351" i="2"/>
  <c r="AH351" i="2"/>
  <c r="AI351" i="2"/>
  <c r="AJ351" i="2"/>
  <c r="AK351" i="2"/>
  <c r="Z352" i="2"/>
  <c r="AA352" i="2"/>
  <c r="AB352" i="2"/>
  <c r="AC352" i="2"/>
  <c r="AD352" i="2"/>
  <c r="AE352" i="2"/>
  <c r="AF352" i="2"/>
  <c r="AG352" i="2"/>
  <c r="AH352" i="2"/>
  <c r="AI352" i="2"/>
  <c r="AJ352" i="2"/>
  <c r="AK352" i="2"/>
  <c r="Z353" i="2"/>
  <c r="AA353" i="2"/>
  <c r="AB353" i="2"/>
  <c r="AC353" i="2"/>
  <c r="AD353" i="2"/>
  <c r="AE353" i="2"/>
  <c r="AF353" i="2"/>
  <c r="AG353" i="2"/>
  <c r="AH353" i="2"/>
  <c r="AI353" i="2"/>
  <c r="AJ353" i="2"/>
  <c r="AK353" i="2"/>
  <c r="Z354" i="2"/>
  <c r="AA354" i="2"/>
  <c r="AB354" i="2"/>
  <c r="AC354" i="2"/>
  <c r="AD354" i="2"/>
  <c r="AE354" i="2"/>
  <c r="AF354" i="2"/>
  <c r="AG354" i="2"/>
  <c r="AH354" i="2"/>
  <c r="AI354" i="2"/>
  <c r="AJ354" i="2"/>
  <c r="AK354" i="2"/>
  <c r="Z355" i="2"/>
  <c r="AA355" i="2"/>
  <c r="AB355" i="2"/>
  <c r="AC355" i="2"/>
  <c r="AD355" i="2"/>
  <c r="AE355" i="2"/>
  <c r="AF355" i="2"/>
  <c r="AG355" i="2"/>
  <c r="AH355" i="2"/>
  <c r="AI355" i="2"/>
  <c r="AJ355" i="2"/>
  <c r="AK355" i="2"/>
  <c r="Z356" i="2"/>
  <c r="AA356" i="2"/>
  <c r="AB356" i="2"/>
  <c r="AC356" i="2"/>
  <c r="AD356" i="2"/>
  <c r="AE356" i="2"/>
  <c r="AF356" i="2"/>
  <c r="AG356" i="2"/>
  <c r="AH356" i="2"/>
  <c r="AI356" i="2"/>
  <c r="AJ356" i="2"/>
  <c r="AK356" i="2"/>
  <c r="Z357" i="2"/>
  <c r="AA357" i="2"/>
  <c r="AB357" i="2"/>
  <c r="AC357" i="2"/>
  <c r="AD357" i="2"/>
  <c r="AE357" i="2"/>
  <c r="AF357" i="2"/>
  <c r="AG357" i="2"/>
  <c r="AH357" i="2"/>
  <c r="AI357" i="2"/>
  <c r="AJ357" i="2"/>
  <c r="AK357" i="2"/>
  <c r="Z358" i="2"/>
  <c r="AA358" i="2"/>
  <c r="AB358" i="2"/>
  <c r="AC358" i="2"/>
  <c r="AD358" i="2"/>
  <c r="AE358" i="2"/>
  <c r="AF358" i="2"/>
  <c r="AG358" i="2"/>
  <c r="AH358" i="2"/>
  <c r="AI358" i="2"/>
  <c r="AJ358" i="2"/>
  <c r="AK358" i="2"/>
  <c r="Z359" i="2"/>
  <c r="AA359" i="2"/>
  <c r="AB359" i="2"/>
  <c r="AC359" i="2"/>
  <c r="AD359" i="2"/>
  <c r="AE359" i="2"/>
  <c r="AF359" i="2"/>
  <c r="AG359" i="2"/>
  <c r="AH359" i="2"/>
  <c r="AI359" i="2"/>
  <c r="AJ359" i="2"/>
  <c r="AK359" i="2"/>
  <c r="Z360" i="2"/>
  <c r="AA360" i="2"/>
  <c r="AB360" i="2"/>
  <c r="AC360" i="2"/>
  <c r="AD360" i="2"/>
  <c r="AE360" i="2"/>
  <c r="AF360" i="2"/>
  <c r="AG360" i="2"/>
  <c r="AH360" i="2"/>
  <c r="AI360" i="2"/>
  <c r="AJ360" i="2"/>
  <c r="AK360" i="2"/>
  <c r="Z361" i="2"/>
  <c r="AA361" i="2"/>
  <c r="AB361" i="2"/>
  <c r="AC361" i="2"/>
  <c r="AD361" i="2"/>
  <c r="AE361" i="2"/>
  <c r="AF361" i="2"/>
  <c r="AG361" i="2"/>
  <c r="AH361" i="2"/>
  <c r="AI361" i="2"/>
  <c r="AJ361" i="2"/>
  <c r="AK361" i="2"/>
  <c r="Z362" i="2"/>
  <c r="AA362" i="2"/>
  <c r="AB362" i="2"/>
  <c r="AC362" i="2"/>
  <c r="AD362" i="2"/>
  <c r="AE362" i="2"/>
  <c r="AF362" i="2"/>
  <c r="AG362" i="2"/>
  <c r="AH362" i="2"/>
  <c r="AI362" i="2"/>
  <c r="AJ362" i="2"/>
  <c r="AK362" i="2"/>
  <c r="Z363" i="2"/>
  <c r="AA363" i="2"/>
  <c r="AB363" i="2"/>
  <c r="AC363" i="2"/>
  <c r="AD363" i="2"/>
  <c r="AE363" i="2"/>
  <c r="AF363" i="2"/>
  <c r="AG363" i="2"/>
  <c r="AH363" i="2"/>
  <c r="AI363" i="2"/>
  <c r="AJ363" i="2"/>
  <c r="AK363" i="2"/>
  <c r="Z364" i="2"/>
  <c r="AA364" i="2"/>
  <c r="AB364" i="2"/>
  <c r="AC364" i="2"/>
  <c r="AD364" i="2"/>
  <c r="AE364" i="2"/>
  <c r="AF364" i="2"/>
  <c r="AG364" i="2"/>
  <c r="AH364" i="2"/>
  <c r="AI364" i="2"/>
  <c r="AJ364" i="2"/>
  <c r="AK364" i="2"/>
  <c r="Z365" i="2"/>
  <c r="AA365" i="2"/>
  <c r="AB365" i="2"/>
  <c r="AC365" i="2"/>
  <c r="AD365" i="2"/>
  <c r="AE365" i="2"/>
  <c r="AF365" i="2"/>
  <c r="AG365" i="2"/>
  <c r="AH365" i="2"/>
  <c r="AI365" i="2"/>
  <c r="AJ365" i="2"/>
  <c r="AK365" i="2"/>
  <c r="Z366" i="2"/>
  <c r="AA366" i="2"/>
  <c r="AB366" i="2"/>
  <c r="AC366" i="2"/>
  <c r="AD366" i="2"/>
  <c r="AE366" i="2"/>
  <c r="AF366" i="2"/>
  <c r="AG366" i="2"/>
  <c r="AH366" i="2"/>
  <c r="AI366" i="2"/>
  <c r="AJ366" i="2"/>
  <c r="AK366" i="2"/>
  <c r="Z367" i="2"/>
  <c r="AA367" i="2"/>
  <c r="AB367" i="2"/>
  <c r="AC367" i="2"/>
  <c r="AD367" i="2"/>
  <c r="AE367" i="2"/>
  <c r="AF367" i="2"/>
  <c r="AG367" i="2"/>
  <c r="AH367" i="2"/>
  <c r="AI367" i="2"/>
  <c r="AJ367" i="2"/>
  <c r="AK367" i="2"/>
  <c r="Z368" i="2"/>
  <c r="AA368" i="2"/>
  <c r="AB368" i="2"/>
  <c r="AC368" i="2"/>
  <c r="AD368" i="2"/>
  <c r="AE368" i="2"/>
  <c r="AF368" i="2"/>
  <c r="AG368" i="2"/>
  <c r="AH368" i="2"/>
  <c r="AI368" i="2"/>
  <c r="AJ368" i="2"/>
  <c r="AK368" i="2"/>
  <c r="Z369" i="2"/>
  <c r="AA369" i="2"/>
  <c r="AB369" i="2"/>
  <c r="AC369" i="2"/>
  <c r="AD369" i="2"/>
  <c r="AE369" i="2"/>
  <c r="AF369" i="2"/>
  <c r="AG369" i="2"/>
  <c r="AH369" i="2"/>
  <c r="AI369" i="2"/>
  <c r="AJ369" i="2"/>
  <c r="AK369" i="2"/>
  <c r="Z370" i="2"/>
  <c r="AA370" i="2"/>
  <c r="AB370" i="2"/>
  <c r="AC370" i="2"/>
  <c r="AD370" i="2"/>
  <c r="AE370" i="2"/>
  <c r="AF370" i="2"/>
  <c r="AG370" i="2"/>
  <c r="AH370" i="2"/>
  <c r="AI370" i="2"/>
  <c r="AJ370" i="2"/>
  <c r="AK370" i="2"/>
  <c r="Z371" i="2"/>
  <c r="AA371" i="2"/>
  <c r="AB371" i="2"/>
  <c r="AC371" i="2"/>
  <c r="AD371" i="2"/>
  <c r="AE371" i="2"/>
  <c r="AF371" i="2"/>
  <c r="AG371" i="2"/>
  <c r="AH371" i="2"/>
  <c r="AI371" i="2"/>
  <c r="AJ371" i="2"/>
  <c r="AK371" i="2"/>
  <c r="Z372" i="2"/>
  <c r="AA372" i="2"/>
  <c r="AB372" i="2"/>
  <c r="AC372" i="2"/>
  <c r="AD372" i="2"/>
  <c r="AE372" i="2"/>
  <c r="AF372" i="2"/>
  <c r="AG372" i="2"/>
  <c r="AH372" i="2"/>
  <c r="AI372" i="2"/>
  <c r="AJ372" i="2"/>
  <c r="AK372" i="2"/>
  <c r="Z373" i="2"/>
  <c r="AA373" i="2"/>
  <c r="AB373" i="2"/>
  <c r="AC373" i="2"/>
  <c r="AD373" i="2"/>
  <c r="AE373" i="2"/>
  <c r="AF373" i="2"/>
  <c r="AG373" i="2"/>
  <c r="AH373" i="2"/>
  <c r="AI373" i="2"/>
  <c r="AJ373" i="2"/>
  <c r="AK373" i="2"/>
  <c r="Z374" i="2"/>
  <c r="AA374" i="2"/>
  <c r="AB374" i="2"/>
  <c r="AC374" i="2"/>
  <c r="AD374" i="2"/>
  <c r="AE374" i="2"/>
  <c r="AF374" i="2"/>
  <c r="AG374" i="2"/>
  <c r="AH374" i="2"/>
  <c r="AI374" i="2"/>
  <c r="AJ374" i="2"/>
  <c r="AK374" i="2"/>
  <c r="Z375" i="2"/>
  <c r="AA375" i="2"/>
  <c r="AB375" i="2"/>
  <c r="AC375" i="2"/>
  <c r="AD375" i="2"/>
  <c r="AE375" i="2"/>
  <c r="AF375" i="2"/>
  <c r="AG375" i="2"/>
  <c r="AH375" i="2"/>
  <c r="AI375" i="2"/>
  <c r="AJ375" i="2"/>
  <c r="AK375" i="2"/>
  <c r="Z376" i="2"/>
  <c r="AA376" i="2"/>
  <c r="AB376" i="2"/>
  <c r="AC376" i="2"/>
  <c r="AD376" i="2"/>
  <c r="AE376" i="2"/>
  <c r="AF376" i="2"/>
  <c r="AG376" i="2"/>
  <c r="AH376" i="2"/>
  <c r="AI376" i="2"/>
  <c r="AJ376" i="2"/>
  <c r="AK376" i="2"/>
  <c r="Z377" i="2"/>
  <c r="AA377" i="2"/>
  <c r="AB377" i="2"/>
  <c r="AC377" i="2"/>
  <c r="AD377" i="2"/>
  <c r="AE377" i="2"/>
  <c r="AF377" i="2"/>
  <c r="AG377" i="2"/>
  <c r="AH377" i="2"/>
  <c r="AI377" i="2"/>
  <c r="AJ377" i="2"/>
  <c r="AK377" i="2"/>
  <c r="Z378" i="2"/>
  <c r="AA378" i="2"/>
  <c r="AB378" i="2"/>
  <c r="AC378" i="2"/>
  <c r="AD378" i="2"/>
  <c r="AE378" i="2"/>
  <c r="AF378" i="2"/>
  <c r="AG378" i="2"/>
  <c r="AH378" i="2"/>
  <c r="AI378" i="2"/>
  <c r="AJ378" i="2"/>
  <c r="AK378" i="2"/>
  <c r="Z379" i="2"/>
  <c r="AA379" i="2"/>
  <c r="AB379" i="2"/>
  <c r="AC379" i="2"/>
  <c r="AD379" i="2"/>
  <c r="AE379" i="2"/>
  <c r="AF379" i="2"/>
  <c r="AG379" i="2"/>
  <c r="AH379" i="2"/>
  <c r="AI379" i="2"/>
  <c r="AJ379" i="2"/>
  <c r="AK379" i="2"/>
  <c r="Z380" i="2"/>
  <c r="AA380" i="2"/>
  <c r="AB380" i="2"/>
  <c r="AC380" i="2"/>
  <c r="AD380" i="2"/>
  <c r="AE380" i="2"/>
  <c r="AF380" i="2"/>
  <c r="AG380" i="2"/>
  <c r="AH380" i="2"/>
  <c r="AI380" i="2"/>
  <c r="AJ380" i="2"/>
  <c r="AK380" i="2"/>
  <c r="Z381" i="2"/>
  <c r="AA381" i="2"/>
  <c r="AB381" i="2"/>
  <c r="AC381" i="2"/>
  <c r="AD381" i="2"/>
  <c r="AE381" i="2"/>
  <c r="AF381" i="2"/>
  <c r="AG381" i="2"/>
  <c r="AH381" i="2"/>
  <c r="AI381" i="2"/>
  <c r="AJ381" i="2"/>
  <c r="AK381" i="2"/>
  <c r="Z382" i="2"/>
  <c r="AA382" i="2"/>
  <c r="AB382" i="2"/>
  <c r="AC382" i="2"/>
  <c r="AD382" i="2"/>
  <c r="AE382" i="2"/>
  <c r="AF382" i="2"/>
  <c r="AG382" i="2"/>
  <c r="AH382" i="2"/>
  <c r="AI382" i="2"/>
  <c r="AJ382" i="2"/>
  <c r="AK382" i="2"/>
  <c r="Z383" i="2"/>
  <c r="AA383" i="2"/>
  <c r="AB383" i="2"/>
  <c r="AC383" i="2"/>
  <c r="AD383" i="2"/>
  <c r="AE383" i="2"/>
  <c r="AF383" i="2"/>
  <c r="AG383" i="2"/>
  <c r="AH383" i="2"/>
  <c r="AI383" i="2"/>
  <c r="AJ383" i="2"/>
  <c r="AK383" i="2"/>
  <c r="Z384" i="2"/>
  <c r="AA384" i="2"/>
  <c r="AB384" i="2"/>
  <c r="AC384" i="2"/>
  <c r="AD384" i="2"/>
  <c r="AE384" i="2"/>
  <c r="AF384" i="2"/>
  <c r="AG384" i="2"/>
  <c r="AH384" i="2"/>
  <c r="AI384" i="2"/>
  <c r="AJ384" i="2"/>
  <c r="AK384" i="2"/>
  <c r="Z385" i="2"/>
  <c r="AA385" i="2"/>
  <c r="AB385" i="2"/>
  <c r="AC385" i="2"/>
  <c r="AD385" i="2"/>
  <c r="AE385" i="2"/>
  <c r="AF385" i="2"/>
  <c r="AG385" i="2"/>
  <c r="AH385" i="2"/>
  <c r="AI385" i="2"/>
  <c r="AJ385" i="2"/>
  <c r="AK385" i="2"/>
  <c r="Z386" i="2"/>
  <c r="AA386" i="2"/>
  <c r="AB386" i="2"/>
  <c r="AC386" i="2"/>
  <c r="AD386" i="2"/>
  <c r="AE386" i="2"/>
  <c r="AF386" i="2"/>
  <c r="AG386" i="2"/>
  <c r="AH386" i="2"/>
  <c r="AI386" i="2"/>
  <c r="AJ386" i="2"/>
  <c r="AK386" i="2"/>
  <c r="Z387" i="2"/>
  <c r="AA387" i="2"/>
  <c r="AB387" i="2"/>
  <c r="AC387" i="2"/>
  <c r="AD387" i="2"/>
  <c r="AE387" i="2"/>
  <c r="AF387" i="2"/>
  <c r="AG387" i="2"/>
  <c r="AH387" i="2"/>
  <c r="AI387" i="2"/>
  <c r="AJ387" i="2"/>
  <c r="AK387" i="2"/>
  <c r="Z388" i="2"/>
  <c r="AA388" i="2"/>
  <c r="AB388" i="2"/>
  <c r="AC388" i="2"/>
  <c r="AD388" i="2"/>
  <c r="AE388" i="2"/>
  <c r="AF388" i="2"/>
  <c r="AG388" i="2"/>
  <c r="AH388" i="2"/>
  <c r="AI388" i="2"/>
  <c r="AJ388" i="2"/>
  <c r="AK388" i="2"/>
  <c r="Z389" i="2"/>
  <c r="AA389" i="2"/>
  <c r="AB389" i="2"/>
  <c r="AC389" i="2"/>
  <c r="AD389" i="2"/>
  <c r="AE389" i="2"/>
  <c r="AF389" i="2"/>
  <c r="AG389" i="2"/>
  <c r="AH389" i="2"/>
  <c r="AI389" i="2"/>
  <c r="AJ389" i="2"/>
  <c r="AK389" i="2"/>
  <c r="Z390" i="2"/>
  <c r="AA390" i="2"/>
  <c r="AB390" i="2"/>
  <c r="AC390" i="2"/>
  <c r="AD390" i="2"/>
  <c r="AE390" i="2"/>
  <c r="AF390" i="2"/>
  <c r="AG390" i="2"/>
  <c r="AH390" i="2"/>
  <c r="AI390" i="2"/>
  <c r="AJ390" i="2"/>
  <c r="AK390" i="2"/>
  <c r="Z391" i="2"/>
  <c r="AA391" i="2"/>
  <c r="AB391" i="2"/>
  <c r="AC391" i="2"/>
  <c r="AD391" i="2"/>
  <c r="AE391" i="2"/>
  <c r="AF391" i="2"/>
  <c r="AG391" i="2"/>
  <c r="AH391" i="2"/>
  <c r="AI391" i="2"/>
  <c r="AJ391" i="2"/>
  <c r="AK391" i="2"/>
  <c r="Z392" i="2"/>
  <c r="AA392" i="2"/>
  <c r="AB392" i="2"/>
  <c r="AC392" i="2"/>
  <c r="AD392" i="2"/>
  <c r="AE392" i="2"/>
  <c r="AF392" i="2"/>
  <c r="AG392" i="2"/>
  <c r="AH392" i="2"/>
  <c r="AI392" i="2"/>
  <c r="AJ392" i="2"/>
  <c r="AK392" i="2"/>
  <c r="Z393" i="2"/>
  <c r="AA393" i="2"/>
  <c r="AB393" i="2"/>
  <c r="AC393" i="2"/>
  <c r="AD393" i="2"/>
  <c r="AE393" i="2"/>
  <c r="AF393" i="2"/>
  <c r="AG393" i="2"/>
  <c r="AH393" i="2"/>
  <c r="AI393" i="2"/>
  <c r="AJ393" i="2"/>
  <c r="AK393" i="2"/>
  <c r="Z394" i="2"/>
  <c r="AA394" i="2"/>
  <c r="AB394" i="2"/>
  <c r="AC394" i="2"/>
  <c r="AD394" i="2"/>
  <c r="AE394" i="2"/>
  <c r="AF394" i="2"/>
  <c r="AG394" i="2"/>
  <c r="AH394" i="2"/>
  <c r="AI394" i="2"/>
  <c r="AJ394" i="2"/>
  <c r="AK394" i="2"/>
  <c r="Z395" i="2"/>
  <c r="AA395" i="2"/>
  <c r="AB395" i="2"/>
  <c r="AC395" i="2"/>
  <c r="AD395" i="2"/>
  <c r="AE395" i="2"/>
  <c r="AF395" i="2"/>
  <c r="AG395" i="2"/>
  <c r="AH395" i="2"/>
  <c r="AI395" i="2"/>
  <c r="AJ395" i="2"/>
  <c r="AK395" i="2"/>
  <c r="Z396" i="2"/>
  <c r="AA396" i="2"/>
  <c r="AB396" i="2"/>
  <c r="AC396" i="2"/>
  <c r="AD396" i="2"/>
  <c r="AE396" i="2"/>
  <c r="AF396" i="2"/>
  <c r="AG396" i="2"/>
  <c r="AH396" i="2"/>
  <c r="AI396" i="2"/>
  <c r="AJ396" i="2"/>
  <c r="AK396" i="2"/>
  <c r="Z397" i="2"/>
  <c r="AA397" i="2"/>
  <c r="AB397" i="2"/>
  <c r="AC397" i="2"/>
  <c r="AD397" i="2"/>
  <c r="AE397" i="2"/>
  <c r="AF397" i="2"/>
  <c r="AG397" i="2"/>
  <c r="AH397" i="2"/>
  <c r="AI397" i="2"/>
  <c r="AJ397" i="2"/>
  <c r="AK397" i="2"/>
  <c r="Z398" i="2"/>
  <c r="AA398" i="2"/>
  <c r="AB398" i="2"/>
  <c r="AC398" i="2"/>
  <c r="AD398" i="2"/>
  <c r="AE398" i="2"/>
  <c r="AF398" i="2"/>
  <c r="AG398" i="2"/>
  <c r="AH398" i="2"/>
  <c r="AI398" i="2"/>
  <c r="AJ398" i="2"/>
  <c r="AK398" i="2"/>
  <c r="Z399" i="2"/>
  <c r="AA399" i="2"/>
  <c r="AB399" i="2"/>
  <c r="AC399" i="2"/>
  <c r="AD399" i="2"/>
  <c r="AE399" i="2"/>
  <c r="AF399" i="2"/>
  <c r="AG399" i="2"/>
  <c r="AH399" i="2"/>
  <c r="AI399" i="2"/>
  <c r="AJ399" i="2"/>
  <c r="AK399" i="2"/>
  <c r="Z400" i="2"/>
  <c r="AA400" i="2"/>
  <c r="AB400" i="2"/>
  <c r="AC400" i="2"/>
  <c r="AD400" i="2"/>
  <c r="AE400" i="2"/>
  <c r="AF400" i="2"/>
  <c r="AG400" i="2"/>
  <c r="AH400" i="2"/>
  <c r="AI400" i="2"/>
  <c r="AJ400" i="2"/>
  <c r="AK400" i="2"/>
  <c r="Z401" i="2"/>
  <c r="AA401" i="2"/>
  <c r="AB401" i="2"/>
  <c r="AC401" i="2"/>
  <c r="AD401" i="2"/>
  <c r="AE401" i="2"/>
  <c r="AF401" i="2"/>
  <c r="AG401" i="2"/>
  <c r="AH401" i="2"/>
  <c r="AI401" i="2"/>
  <c r="AJ401" i="2"/>
  <c r="AK401" i="2"/>
  <c r="Z402" i="2"/>
  <c r="AA402" i="2"/>
  <c r="AB402" i="2"/>
  <c r="AC402" i="2"/>
  <c r="AD402" i="2"/>
  <c r="AE402" i="2"/>
  <c r="AF402" i="2"/>
  <c r="AG402" i="2"/>
  <c r="AH402" i="2"/>
  <c r="AI402" i="2"/>
  <c r="AJ402" i="2"/>
  <c r="AK402" i="2"/>
  <c r="Z403" i="2"/>
  <c r="AA403" i="2"/>
  <c r="AB403" i="2"/>
  <c r="AC403" i="2"/>
  <c r="AD403" i="2"/>
  <c r="AE403" i="2"/>
  <c r="AF403" i="2"/>
  <c r="AG403" i="2"/>
  <c r="AH403" i="2"/>
  <c r="AI403" i="2"/>
  <c r="AJ403" i="2"/>
  <c r="AK403" i="2"/>
  <c r="Z404" i="2"/>
  <c r="AA404" i="2"/>
  <c r="AB404" i="2"/>
  <c r="AC404" i="2"/>
  <c r="AD404" i="2"/>
  <c r="AE404" i="2"/>
  <c r="AF404" i="2"/>
  <c r="AG404" i="2"/>
  <c r="AH404" i="2"/>
  <c r="AI404" i="2"/>
  <c r="AJ404" i="2"/>
  <c r="AK404" i="2"/>
  <c r="Z405" i="2"/>
  <c r="AA405" i="2"/>
  <c r="AB405" i="2"/>
  <c r="AC405" i="2"/>
  <c r="AD405" i="2"/>
  <c r="AE405" i="2"/>
  <c r="AF405" i="2"/>
  <c r="AG405" i="2"/>
  <c r="AH405" i="2"/>
  <c r="AI405" i="2"/>
  <c r="AJ405" i="2"/>
  <c r="AK405" i="2"/>
  <c r="Z406" i="2"/>
  <c r="AA406" i="2"/>
  <c r="AB406" i="2"/>
  <c r="AC406" i="2"/>
  <c r="AD406" i="2"/>
  <c r="AE406" i="2"/>
  <c r="AF406" i="2"/>
  <c r="AG406" i="2"/>
  <c r="AH406" i="2"/>
  <c r="AI406" i="2"/>
  <c r="AJ406" i="2"/>
  <c r="AK406" i="2"/>
  <c r="Z407" i="2"/>
  <c r="AA407" i="2"/>
  <c r="AB407" i="2"/>
  <c r="AC407" i="2"/>
  <c r="AD407" i="2"/>
  <c r="AE407" i="2"/>
  <c r="AF407" i="2"/>
  <c r="AG407" i="2"/>
  <c r="AH407" i="2"/>
  <c r="AI407" i="2"/>
  <c r="AJ407" i="2"/>
  <c r="AK407" i="2"/>
  <c r="Z408" i="2"/>
  <c r="AA408" i="2"/>
  <c r="AB408" i="2"/>
  <c r="AC408" i="2"/>
  <c r="AD408" i="2"/>
  <c r="AE408" i="2"/>
  <c r="AF408" i="2"/>
  <c r="AG408" i="2"/>
  <c r="AH408" i="2"/>
  <c r="AI408" i="2"/>
  <c r="AJ408" i="2"/>
  <c r="AK408" i="2"/>
  <c r="Z409" i="2"/>
  <c r="AA409" i="2"/>
  <c r="AB409" i="2"/>
  <c r="AC409" i="2"/>
  <c r="AD409" i="2"/>
  <c r="AE409" i="2"/>
  <c r="AF409" i="2"/>
  <c r="AG409" i="2"/>
  <c r="AH409" i="2"/>
  <c r="AI409" i="2"/>
  <c r="AJ409" i="2"/>
  <c r="AK409" i="2"/>
  <c r="Z410" i="2"/>
  <c r="AA410" i="2"/>
  <c r="AB410" i="2"/>
  <c r="AC410" i="2"/>
  <c r="AD410" i="2"/>
  <c r="AE410" i="2"/>
  <c r="AF410" i="2"/>
  <c r="AG410" i="2"/>
  <c r="AH410" i="2"/>
  <c r="AI410" i="2"/>
  <c r="AJ410" i="2"/>
  <c r="AK410" i="2"/>
  <c r="Z411" i="2"/>
  <c r="AA411" i="2"/>
  <c r="AB411" i="2"/>
  <c r="AC411" i="2"/>
  <c r="AD411" i="2"/>
  <c r="AE411" i="2"/>
  <c r="AF411" i="2"/>
  <c r="AG411" i="2"/>
  <c r="AH411" i="2"/>
  <c r="AI411" i="2"/>
  <c r="AJ411" i="2"/>
  <c r="AK411" i="2"/>
  <c r="Z412" i="2"/>
  <c r="AA412" i="2"/>
  <c r="AB412" i="2"/>
  <c r="AC412" i="2"/>
  <c r="AD412" i="2"/>
  <c r="AE412" i="2"/>
  <c r="AF412" i="2"/>
  <c r="AG412" i="2"/>
  <c r="AH412" i="2"/>
  <c r="AI412" i="2"/>
  <c r="AJ412" i="2"/>
  <c r="AK412" i="2"/>
  <c r="Z413" i="2"/>
  <c r="AA413" i="2"/>
  <c r="AB413" i="2"/>
  <c r="AC413" i="2"/>
  <c r="AD413" i="2"/>
  <c r="AE413" i="2"/>
  <c r="AF413" i="2"/>
  <c r="AG413" i="2"/>
  <c r="AH413" i="2"/>
  <c r="AI413" i="2"/>
  <c r="AJ413" i="2"/>
  <c r="AK413" i="2"/>
  <c r="Z414" i="2"/>
  <c r="AA414" i="2"/>
  <c r="AB414" i="2"/>
  <c r="AC414" i="2"/>
  <c r="AD414" i="2"/>
  <c r="AE414" i="2"/>
  <c r="AF414" i="2"/>
  <c r="AG414" i="2"/>
  <c r="AH414" i="2"/>
  <c r="AI414" i="2"/>
  <c r="AJ414" i="2"/>
  <c r="AK414" i="2"/>
  <c r="Z415" i="2"/>
  <c r="AA415" i="2"/>
  <c r="AB415" i="2"/>
  <c r="AC415" i="2"/>
  <c r="AD415" i="2"/>
  <c r="AE415" i="2"/>
  <c r="AF415" i="2"/>
  <c r="AG415" i="2"/>
  <c r="AH415" i="2"/>
  <c r="AI415" i="2"/>
  <c r="AJ415" i="2"/>
  <c r="AK415" i="2"/>
  <c r="Z416" i="2"/>
  <c r="AA416" i="2"/>
  <c r="AB416" i="2"/>
  <c r="AC416" i="2"/>
  <c r="AD416" i="2"/>
  <c r="AE416" i="2"/>
  <c r="AF416" i="2"/>
  <c r="AG416" i="2"/>
  <c r="AH416" i="2"/>
  <c r="AI416" i="2"/>
  <c r="AJ416" i="2"/>
  <c r="AK416" i="2"/>
  <c r="Z417" i="2"/>
  <c r="AA417" i="2"/>
  <c r="AB417" i="2"/>
  <c r="AC417" i="2"/>
  <c r="AD417" i="2"/>
  <c r="AE417" i="2"/>
  <c r="AF417" i="2"/>
  <c r="AG417" i="2"/>
  <c r="AH417" i="2"/>
  <c r="AI417" i="2"/>
  <c r="AJ417" i="2"/>
  <c r="AK417" i="2"/>
  <c r="Z418" i="2"/>
  <c r="AA418" i="2"/>
  <c r="AB418" i="2"/>
  <c r="AC418" i="2"/>
  <c r="AD418" i="2"/>
  <c r="AE418" i="2"/>
  <c r="AF418" i="2"/>
  <c r="AG418" i="2"/>
  <c r="AH418" i="2"/>
  <c r="AI418" i="2"/>
  <c r="AJ418" i="2"/>
  <c r="AK418" i="2"/>
  <c r="Z419" i="2"/>
  <c r="AA419" i="2"/>
  <c r="AB419" i="2"/>
  <c r="AC419" i="2"/>
  <c r="AD419" i="2"/>
  <c r="AE419" i="2"/>
  <c r="AF419" i="2"/>
  <c r="AG419" i="2"/>
  <c r="AH419" i="2"/>
  <c r="AI419" i="2"/>
  <c r="AJ419" i="2"/>
  <c r="AK419" i="2"/>
  <c r="Z420" i="2"/>
  <c r="AA420" i="2"/>
  <c r="AB420" i="2"/>
  <c r="AC420" i="2"/>
  <c r="AD420" i="2"/>
  <c r="AE420" i="2"/>
  <c r="AF420" i="2"/>
  <c r="AG420" i="2"/>
  <c r="AH420" i="2"/>
  <c r="AI420" i="2"/>
  <c r="AJ420" i="2"/>
  <c r="AK420" i="2"/>
  <c r="Z421" i="2"/>
  <c r="AA421" i="2"/>
  <c r="AB421" i="2"/>
  <c r="AC421" i="2"/>
  <c r="AD421" i="2"/>
  <c r="AE421" i="2"/>
  <c r="AF421" i="2"/>
  <c r="AG421" i="2"/>
  <c r="AH421" i="2"/>
  <c r="AI421" i="2"/>
  <c r="AJ421" i="2"/>
  <c r="AK421" i="2"/>
  <c r="Z422" i="2"/>
  <c r="AA422" i="2"/>
  <c r="AB422" i="2"/>
  <c r="AC422" i="2"/>
  <c r="AD422" i="2"/>
  <c r="AE422" i="2"/>
  <c r="AF422" i="2"/>
  <c r="AG422" i="2"/>
  <c r="AH422" i="2"/>
  <c r="AI422" i="2"/>
  <c r="AJ422" i="2"/>
  <c r="AK422" i="2"/>
  <c r="Z423" i="2"/>
  <c r="AA423" i="2"/>
  <c r="AB423" i="2"/>
  <c r="AC423" i="2"/>
  <c r="AD423" i="2"/>
  <c r="AE423" i="2"/>
  <c r="AF423" i="2"/>
  <c r="AG423" i="2"/>
  <c r="AH423" i="2"/>
  <c r="AI423" i="2"/>
  <c r="AJ423" i="2"/>
  <c r="AK423" i="2"/>
  <c r="Z424" i="2"/>
  <c r="AA424" i="2"/>
  <c r="AB424" i="2"/>
  <c r="AC424" i="2"/>
  <c r="AD424" i="2"/>
  <c r="AE424" i="2"/>
  <c r="AF424" i="2"/>
  <c r="AG424" i="2"/>
  <c r="AH424" i="2"/>
  <c r="AI424" i="2"/>
  <c r="AJ424" i="2"/>
  <c r="AK424" i="2"/>
  <c r="Z425" i="2"/>
  <c r="AA425" i="2"/>
  <c r="AB425" i="2"/>
  <c r="AC425" i="2"/>
  <c r="AD425" i="2"/>
  <c r="AE425" i="2"/>
  <c r="AF425" i="2"/>
  <c r="AG425" i="2"/>
  <c r="AH425" i="2"/>
  <c r="AI425" i="2"/>
  <c r="AJ425" i="2"/>
  <c r="AK425" i="2"/>
  <c r="Z426" i="2"/>
  <c r="AA426" i="2"/>
  <c r="AB426" i="2"/>
  <c r="AC426" i="2"/>
  <c r="AD426" i="2"/>
  <c r="AE426" i="2"/>
  <c r="AF426" i="2"/>
  <c r="AG426" i="2"/>
  <c r="AH426" i="2"/>
  <c r="AI426" i="2"/>
  <c r="AJ426" i="2"/>
  <c r="AK426" i="2"/>
  <c r="Z427" i="2"/>
  <c r="AA427" i="2"/>
  <c r="AB427" i="2"/>
  <c r="AC427" i="2"/>
  <c r="AD427" i="2"/>
  <c r="AE427" i="2"/>
  <c r="AF427" i="2"/>
  <c r="AG427" i="2"/>
  <c r="AH427" i="2"/>
  <c r="AI427" i="2"/>
  <c r="AJ427" i="2"/>
  <c r="AK427" i="2"/>
  <c r="Z428" i="2"/>
  <c r="AA428" i="2"/>
  <c r="AB428" i="2"/>
  <c r="AC428" i="2"/>
  <c r="AD428" i="2"/>
  <c r="AE428" i="2"/>
  <c r="AF428" i="2"/>
  <c r="AG428" i="2"/>
  <c r="AH428" i="2"/>
  <c r="AI428" i="2"/>
  <c r="AJ428" i="2"/>
  <c r="AK428" i="2"/>
  <c r="Z429" i="2"/>
  <c r="AA429" i="2"/>
  <c r="AB429" i="2"/>
  <c r="AC429" i="2"/>
  <c r="AD429" i="2"/>
  <c r="AE429" i="2"/>
  <c r="AF429" i="2"/>
  <c r="AG429" i="2"/>
  <c r="AH429" i="2"/>
  <c r="AI429" i="2"/>
  <c r="AJ429" i="2"/>
  <c r="AK429" i="2"/>
  <c r="Z430" i="2"/>
  <c r="AA430" i="2"/>
  <c r="AB430" i="2"/>
  <c r="AC430" i="2"/>
  <c r="AD430" i="2"/>
  <c r="AE430" i="2"/>
  <c r="AF430" i="2"/>
  <c r="AG430" i="2"/>
  <c r="AH430" i="2"/>
  <c r="AI430" i="2"/>
  <c r="AJ430" i="2"/>
  <c r="AK430" i="2"/>
  <c r="Z431" i="2"/>
  <c r="AA431" i="2"/>
  <c r="AB431" i="2"/>
  <c r="AC431" i="2"/>
  <c r="AD431" i="2"/>
  <c r="AE431" i="2"/>
  <c r="AF431" i="2"/>
  <c r="AG431" i="2"/>
  <c r="AH431" i="2"/>
  <c r="AI431" i="2"/>
  <c r="AJ431" i="2"/>
  <c r="AK431" i="2"/>
  <c r="Z432" i="2"/>
  <c r="AA432" i="2"/>
  <c r="AB432" i="2"/>
  <c r="AC432" i="2"/>
  <c r="AD432" i="2"/>
  <c r="AE432" i="2"/>
  <c r="AF432" i="2"/>
  <c r="AG432" i="2"/>
  <c r="AH432" i="2"/>
  <c r="AI432" i="2"/>
  <c r="AJ432" i="2"/>
  <c r="AK432" i="2"/>
  <c r="Z433" i="2"/>
  <c r="AA433" i="2"/>
  <c r="AB433" i="2"/>
  <c r="AC433" i="2"/>
  <c r="AD433" i="2"/>
  <c r="AE433" i="2"/>
  <c r="AF433" i="2"/>
  <c r="AG433" i="2"/>
  <c r="AH433" i="2"/>
  <c r="AI433" i="2"/>
  <c r="AJ433" i="2"/>
  <c r="AK433" i="2"/>
  <c r="Z434" i="2"/>
  <c r="AA434" i="2"/>
  <c r="AB434" i="2"/>
  <c r="AC434" i="2"/>
  <c r="AD434" i="2"/>
  <c r="AE434" i="2"/>
  <c r="AF434" i="2"/>
  <c r="AG434" i="2"/>
  <c r="AH434" i="2"/>
  <c r="AI434" i="2"/>
  <c r="AJ434" i="2"/>
  <c r="AK434" i="2"/>
  <c r="Z435" i="2"/>
  <c r="AA435" i="2"/>
  <c r="AB435" i="2"/>
  <c r="AC435" i="2"/>
  <c r="AD435" i="2"/>
  <c r="AE435" i="2"/>
  <c r="AF435" i="2"/>
  <c r="AG435" i="2"/>
  <c r="AH435" i="2"/>
  <c r="AI435" i="2"/>
  <c r="AJ435" i="2"/>
  <c r="AK435" i="2"/>
  <c r="Z436" i="2"/>
  <c r="AA436" i="2"/>
  <c r="AB436" i="2"/>
  <c r="AC436" i="2"/>
  <c r="AD436" i="2"/>
  <c r="AE436" i="2"/>
  <c r="AF436" i="2"/>
  <c r="AG436" i="2"/>
  <c r="AH436" i="2"/>
  <c r="AI436" i="2"/>
  <c r="AJ436" i="2"/>
  <c r="AK436" i="2"/>
  <c r="Z437" i="2"/>
  <c r="AA437" i="2"/>
  <c r="AB437" i="2"/>
  <c r="AC437" i="2"/>
  <c r="AD437" i="2"/>
  <c r="AE437" i="2"/>
  <c r="AF437" i="2"/>
  <c r="AG437" i="2"/>
  <c r="AH437" i="2"/>
  <c r="AI437" i="2"/>
  <c r="AJ437" i="2"/>
  <c r="AK437" i="2"/>
  <c r="Z438" i="2"/>
  <c r="AA438" i="2"/>
  <c r="AB438" i="2"/>
  <c r="AC438" i="2"/>
  <c r="AD438" i="2"/>
  <c r="AE438" i="2"/>
  <c r="AF438" i="2"/>
  <c r="AG438" i="2"/>
  <c r="AH438" i="2"/>
  <c r="AI438" i="2"/>
  <c r="AJ438" i="2"/>
  <c r="AK438" i="2"/>
  <c r="Z439" i="2"/>
  <c r="AA439" i="2"/>
  <c r="AB439" i="2"/>
  <c r="AC439" i="2"/>
  <c r="AD439" i="2"/>
  <c r="AE439" i="2"/>
  <c r="AF439" i="2"/>
  <c r="AG439" i="2"/>
  <c r="AH439" i="2"/>
  <c r="AI439" i="2"/>
  <c r="AJ439" i="2"/>
  <c r="AK439" i="2"/>
  <c r="Z440" i="2"/>
  <c r="AA440" i="2"/>
  <c r="AB440" i="2"/>
  <c r="AC440" i="2"/>
  <c r="AD440" i="2"/>
  <c r="AE440" i="2"/>
  <c r="AF440" i="2"/>
  <c r="AG440" i="2"/>
  <c r="AH440" i="2"/>
  <c r="AI440" i="2"/>
  <c r="AJ440" i="2"/>
  <c r="AK440" i="2"/>
  <c r="Z441" i="2"/>
  <c r="AA441" i="2"/>
  <c r="AB441" i="2"/>
  <c r="AC441" i="2"/>
  <c r="AD441" i="2"/>
  <c r="AE441" i="2"/>
  <c r="AF441" i="2"/>
  <c r="AG441" i="2"/>
  <c r="AH441" i="2"/>
  <c r="AI441" i="2"/>
  <c r="AJ441" i="2"/>
  <c r="AK441" i="2"/>
  <c r="Z442" i="2"/>
  <c r="AA442" i="2"/>
  <c r="AB442" i="2"/>
  <c r="AC442" i="2"/>
  <c r="AD442" i="2"/>
  <c r="AE442" i="2"/>
  <c r="AF442" i="2"/>
  <c r="AG442" i="2"/>
  <c r="AH442" i="2"/>
  <c r="AI442" i="2"/>
  <c r="AJ442" i="2"/>
  <c r="AK442" i="2"/>
  <c r="Z443" i="2"/>
  <c r="AA443" i="2"/>
  <c r="AB443" i="2"/>
  <c r="AC443" i="2"/>
  <c r="AD443" i="2"/>
  <c r="AE443" i="2"/>
  <c r="AF443" i="2"/>
  <c r="AG443" i="2"/>
  <c r="AH443" i="2"/>
  <c r="AI443" i="2"/>
  <c r="AJ443" i="2"/>
  <c r="AK443" i="2"/>
  <c r="Z444" i="2"/>
  <c r="AA444" i="2"/>
  <c r="AB444" i="2"/>
  <c r="AC444" i="2"/>
  <c r="AD444" i="2"/>
  <c r="AE444" i="2"/>
  <c r="AF444" i="2"/>
  <c r="AG444" i="2"/>
  <c r="AH444" i="2"/>
  <c r="AI444" i="2"/>
  <c r="AJ444" i="2"/>
  <c r="AK444" i="2"/>
  <c r="Z445" i="2"/>
  <c r="AA445" i="2"/>
  <c r="AB445" i="2"/>
  <c r="AC445" i="2"/>
  <c r="AD445" i="2"/>
  <c r="AE445" i="2"/>
  <c r="AF445" i="2"/>
  <c r="AG445" i="2"/>
  <c r="AH445" i="2"/>
  <c r="AI445" i="2"/>
  <c r="AJ445" i="2"/>
  <c r="AK445" i="2"/>
  <c r="Z446" i="2"/>
  <c r="AA446" i="2"/>
  <c r="AB446" i="2"/>
  <c r="AC446" i="2"/>
  <c r="AD446" i="2"/>
  <c r="AE446" i="2"/>
  <c r="AF446" i="2"/>
  <c r="AG446" i="2"/>
  <c r="AH446" i="2"/>
  <c r="AI446" i="2"/>
  <c r="AJ446" i="2"/>
  <c r="AK446" i="2"/>
  <c r="Z447" i="2"/>
  <c r="AA447" i="2"/>
  <c r="AB447" i="2"/>
  <c r="AC447" i="2"/>
  <c r="AD447" i="2"/>
  <c r="AE447" i="2"/>
  <c r="AF447" i="2"/>
  <c r="AG447" i="2"/>
  <c r="AH447" i="2"/>
  <c r="AI447" i="2"/>
  <c r="AJ447" i="2"/>
  <c r="AK447" i="2"/>
  <c r="Z448" i="2"/>
  <c r="AA448" i="2"/>
  <c r="AB448" i="2"/>
  <c r="AC448" i="2"/>
  <c r="AD448" i="2"/>
  <c r="AE448" i="2"/>
  <c r="AF448" i="2"/>
  <c r="AG448" i="2"/>
  <c r="AH448" i="2"/>
  <c r="AI448" i="2"/>
  <c r="AJ448" i="2"/>
  <c r="AK448" i="2"/>
  <c r="Z449" i="2"/>
  <c r="AA449" i="2"/>
  <c r="AB449" i="2"/>
  <c r="AC449" i="2"/>
  <c r="AD449" i="2"/>
  <c r="AE449" i="2"/>
  <c r="AF449" i="2"/>
  <c r="AG449" i="2"/>
  <c r="AH449" i="2"/>
  <c r="AI449" i="2"/>
  <c r="AJ449" i="2"/>
  <c r="AK449" i="2"/>
  <c r="Z450" i="2"/>
  <c r="AA450" i="2"/>
  <c r="AB450" i="2"/>
  <c r="AC450" i="2"/>
  <c r="AD450" i="2"/>
  <c r="AE450" i="2"/>
  <c r="AF450" i="2"/>
  <c r="AG450" i="2"/>
  <c r="AH450" i="2"/>
  <c r="AI450" i="2"/>
  <c r="AJ450" i="2"/>
  <c r="AK450" i="2"/>
  <c r="Z451" i="2"/>
  <c r="AA451" i="2"/>
  <c r="AB451" i="2"/>
  <c r="AC451" i="2"/>
  <c r="AD451" i="2"/>
  <c r="AE451" i="2"/>
  <c r="AF451" i="2"/>
  <c r="AG451" i="2"/>
  <c r="AH451" i="2"/>
  <c r="AI451" i="2"/>
  <c r="AJ451" i="2"/>
  <c r="AK451" i="2"/>
  <c r="Z452" i="2"/>
  <c r="AA452" i="2"/>
  <c r="AB452" i="2"/>
  <c r="AC452" i="2"/>
  <c r="AD452" i="2"/>
  <c r="AE452" i="2"/>
  <c r="AF452" i="2"/>
  <c r="AG452" i="2"/>
  <c r="AH452" i="2"/>
  <c r="AI452" i="2"/>
  <c r="AJ452" i="2"/>
  <c r="AK452" i="2"/>
  <c r="Z453" i="2"/>
  <c r="AA453" i="2"/>
  <c r="AB453" i="2"/>
  <c r="AC453" i="2"/>
  <c r="AD453" i="2"/>
  <c r="AE453" i="2"/>
  <c r="AF453" i="2"/>
  <c r="AG453" i="2"/>
  <c r="AH453" i="2"/>
  <c r="AI453" i="2"/>
  <c r="AJ453" i="2"/>
  <c r="AK453" i="2"/>
  <c r="Z454" i="2"/>
  <c r="AA454" i="2"/>
  <c r="AB454" i="2"/>
  <c r="AC454" i="2"/>
  <c r="AD454" i="2"/>
  <c r="AE454" i="2"/>
  <c r="AF454" i="2"/>
  <c r="AG454" i="2"/>
  <c r="AH454" i="2"/>
  <c r="AI454" i="2"/>
  <c r="AJ454" i="2"/>
  <c r="AK454" i="2"/>
  <c r="Z455" i="2"/>
  <c r="AA455" i="2"/>
  <c r="AB455" i="2"/>
  <c r="AC455" i="2"/>
  <c r="AD455" i="2"/>
  <c r="AE455" i="2"/>
  <c r="AF455" i="2"/>
  <c r="AG455" i="2"/>
  <c r="AH455" i="2"/>
  <c r="AI455" i="2"/>
  <c r="AJ455" i="2"/>
  <c r="AK455" i="2"/>
  <c r="Z456" i="2"/>
  <c r="AA456" i="2"/>
  <c r="AB456" i="2"/>
  <c r="AC456" i="2"/>
  <c r="AD456" i="2"/>
  <c r="AE456" i="2"/>
  <c r="AF456" i="2"/>
  <c r="AG456" i="2"/>
  <c r="AH456" i="2"/>
  <c r="AI456" i="2"/>
  <c r="AJ456" i="2"/>
  <c r="AK456" i="2"/>
  <c r="Z457" i="2"/>
  <c r="AA457" i="2"/>
  <c r="AB457" i="2"/>
  <c r="AC457" i="2"/>
  <c r="AD457" i="2"/>
  <c r="AE457" i="2"/>
  <c r="AF457" i="2"/>
  <c r="AG457" i="2"/>
  <c r="AH457" i="2"/>
  <c r="AI457" i="2"/>
  <c r="AJ457" i="2"/>
  <c r="AK457" i="2"/>
  <c r="Z458" i="2"/>
  <c r="AA458" i="2"/>
  <c r="AB458" i="2"/>
  <c r="AC458" i="2"/>
  <c r="AD458" i="2"/>
  <c r="AE458" i="2"/>
  <c r="AF458" i="2"/>
  <c r="AG458" i="2"/>
  <c r="AH458" i="2"/>
  <c r="AI458" i="2"/>
  <c r="AJ458" i="2"/>
  <c r="AK458" i="2"/>
  <c r="Z459" i="2"/>
  <c r="AA459" i="2"/>
  <c r="AB459" i="2"/>
  <c r="AC459" i="2"/>
  <c r="AD459" i="2"/>
  <c r="AE459" i="2"/>
  <c r="AF459" i="2"/>
  <c r="AG459" i="2"/>
  <c r="AH459" i="2"/>
  <c r="AI459" i="2"/>
  <c r="AJ459" i="2"/>
  <c r="AK459" i="2"/>
  <c r="Z460" i="2"/>
  <c r="AA460" i="2"/>
  <c r="AB460" i="2"/>
  <c r="AC460" i="2"/>
  <c r="AD460" i="2"/>
  <c r="AE460" i="2"/>
  <c r="AF460" i="2"/>
  <c r="AG460" i="2"/>
  <c r="AH460" i="2"/>
  <c r="AI460" i="2"/>
  <c r="AJ460" i="2"/>
  <c r="AK460" i="2"/>
  <c r="Z461" i="2"/>
  <c r="AA461" i="2"/>
  <c r="AB461" i="2"/>
  <c r="AC461" i="2"/>
  <c r="AD461" i="2"/>
  <c r="AE461" i="2"/>
  <c r="AF461" i="2"/>
  <c r="AG461" i="2"/>
  <c r="AH461" i="2"/>
  <c r="AI461" i="2"/>
  <c r="AJ461" i="2"/>
  <c r="AK461" i="2"/>
  <c r="Z462" i="2"/>
  <c r="AA462" i="2"/>
  <c r="AB462" i="2"/>
  <c r="AC462" i="2"/>
  <c r="AD462" i="2"/>
  <c r="AE462" i="2"/>
  <c r="AF462" i="2"/>
  <c r="AG462" i="2"/>
  <c r="AH462" i="2"/>
  <c r="AI462" i="2"/>
  <c r="AJ462" i="2"/>
  <c r="AK462" i="2"/>
  <c r="Z463" i="2"/>
  <c r="AA463" i="2"/>
  <c r="AB463" i="2"/>
  <c r="AC463" i="2"/>
  <c r="AD463" i="2"/>
  <c r="AE463" i="2"/>
  <c r="AF463" i="2"/>
  <c r="AG463" i="2"/>
  <c r="AH463" i="2"/>
  <c r="AI463" i="2"/>
  <c r="AJ463" i="2"/>
  <c r="AK463" i="2"/>
  <c r="Z464" i="2"/>
  <c r="AA464" i="2"/>
  <c r="AB464" i="2"/>
  <c r="AC464" i="2"/>
  <c r="AD464" i="2"/>
  <c r="AE464" i="2"/>
  <c r="AF464" i="2"/>
  <c r="AG464" i="2"/>
  <c r="AH464" i="2"/>
  <c r="AI464" i="2"/>
  <c r="AJ464" i="2"/>
  <c r="AK464" i="2"/>
  <c r="Z465" i="2"/>
  <c r="AA465" i="2"/>
  <c r="AB465" i="2"/>
  <c r="AC465" i="2"/>
  <c r="AD465" i="2"/>
  <c r="AE465" i="2"/>
  <c r="AF465" i="2"/>
  <c r="AG465" i="2"/>
  <c r="AH465" i="2"/>
  <c r="AI465" i="2"/>
  <c r="AJ465" i="2"/>
  <c r="AK465" i="2"/>
  <c r="Z466" i="2"/>
  <c r="AA466" i="2"/>
  <c r="AB466" i="2"/>
  <c r="AC466" i="2"/>
  <c r="AD466" i="2"/>
  <c r="AE466" i="2"/>
  <c r="AF466" i="2"/>
  <c r="AG466" i="2"/>
  <c r="AH466" i="2"/>
  <c r="AI466" i="2"/>
  <c r="AJ466" i="2"/>
  <c r="AK466" i="2"/>
  <c r="Z467" i="2"/>
  <c r="AA467" i="2"/>
  <c r="AB467" i="2"/>
  <c r="AC467" i="2"/>
  <c r="AD467" i="2"/>
  <c r="AE467" i="2"/>
  <c r="AF467" i="2"/>
  <c r="AG467" i="2"/>
  <c r="AH467" i="2"/>
  <c r="AI467" i="2"/>
  <c r="AJ467" i="2"/>
  <c r="AK467" i="2"/>
  <c r="Z468" i="2"/>
  <c r="AA468" i="2"/>
  <c r="AB468" i="2"/>
  <c r="AC468" i="2"/>
  <c r="AD468" i="2"/>
  <c r="AE468" i="2"/>
  <c r="AF468" i="2"/>
  <c r="AG468" i="2"/>
  <c r="AH468" i="2"/>
  <c r="AI468" i="2"/>
  <c r="AJ468" i="2"/>
  <c r="AK468" i="2"/>
  <c r="Z469" i="2"/>
  <c r="AA469" i="2"/>
  <c r="AB469" i="2"/>
  <c r="AC469" i="2"/>
  <c r="AD469" i="2"/>
  <c r="AE469" i="2"/>
  <c r="AF469" i="2"/>
  <c r="AG469" i="2"/>
  <c r="AH469" i="2"/>
  <c r="AI469" i="2"/>
  <c r="AJ469" i="2"/>
  <c r="AK469" i="2"/>
  <c r="Z470" i="2"/>
  <c r="AA470" i="2"/>
  <c r="AB470" i="2"/>
  <c r="AC470" i="2"/>
  <c r="AD470" i="2"/>
  <c r="AE470" i="2"/>
  <c r="AF470" i="2"/>
  <c r="AG470" i="2"/>
  <c r="AH470" i="2"/>
  <c r="AI470" i="2"/>
  <c r="AJ470" i="2"/>
  <c r="AK470" i="2"/>
  <c r="Z471" i="2"/>
  <c r="AA471" i="2"/>
  <c r="AB471" i="2"/>
  <c r="AC471" i="2"/>
  <c r="AD471" i="2"/>
  <c r="AE471" i="2"/>
  <c r="AF471" i="2"/>
  <c r="AG471" i="2"/>
  <c r="AH471" i="2"/>
  <c r="AI471" i="2"/>
  <c r="AJ471" i="2"/>
  <c r="AK471" i="2"/>
  <c r="Z472" i="2"/>
  <c r="AA472" i="2"/>
  <c r="AB472" i="2"/>
  <c r="AC472" i="2"/>
  <c r="AD472" i="2"/>
  <c r="AE472" i="2"/>
  <c r="AF472" i="2"/>
  <c r="AG472" i="2"/>
  <c r="AH472" i="2"/>
  <c r="AI472" i="2"/>
  <c r="AJ472" i="2"/>
  <c r="AK472" i="2"/>
  <c r="Z473" i="2"/>
  <c r="AA473" i="2"/>
  <c r="AB473" i="2"/>
  <c r="AC473" i="2"/>
  <c r="AD473" i="2"/>
  <c r="AE473" i="2"/>
  <c r="AF473" i="2"/>
  <c r="AG473" i="2"/>
  <c r="AH473" i="2"/>
  <c r="AI473" i="2"/>
  <c r="AJ473" i="2"/>
  <c r="AK473" i="2"/>
  <c r="Z474" i="2"/>
  <c r="AA474" i="2"/>
  <c r="AB474" i="2"/>
  <c r="AC474" i="2"/>
  <c r="AD474" i="2"/>
  <c r="AE474" i="2"/>
  <c r="AF474" i="2"/>
  <c r="AG474" i="2"/>
  <c r="AH474" i="2"/>
  <c r="AI474" i="2"/>
  <c r="AJ474" i="2"/>
  <c r="AK474" i="2"/>
  <c r="Z475" i="2"/>
  <c r="AA475" i="2"/>
  <c r="AB475" i="2"/>
  <c r="AC475" i="2"/>
  <c r="AD475" i="2"/>
  <c r="AE475" i="2"/>
  <c r="AF475" i="2"/>
  <c r="AG475" i="2"/>
  <c r="AH475" i="2"/>
  <c r="AI475" i="2"/>
  <c r="AJ475" i="2"/>
  <c r="AK475" i="2"/>
  <c r="Z476" i="2"/>
  <c r="AA476" i="2"/>
  <c r="AB476" i="2"/>
  <c r="AC476" i="2"/>
  <c r="AD476" i="2"/>
  <c r="AE476" i="2"/>
  <c r="AF476" i="2"/>
  <c r="AG476" i="2"/>
  <c r="AH476" i="2"/>
  <c r="AI476" i="2"/>
  <c r="AJ476" i="2"/>
  <c r="AK476" i="2"/>
  <c r="Z477" i="2"/>
  <c r="AA477" i="2"/>
  <c r="AB477" i="2"/>
  <c r="AC477" i="2"/>
  <c r="AD477" i="2"/>
  <c r="AE477" i="2"/>
  <c r="AF477" i="2"/>
  <c r="AG477" i="2"/>
  <c r="AH477" i="2"/>
  <c r="AI477" i="2"/>
  <c r="AJ477" i="2"/>
  <c r="AK477" i="2"/>
  <c r="Z478" i="2"/>
  <c r="AA478" i="2"/>
  <c r="AB478" i="2"/>
  <c r="AC478" i="2"/>
  <c r="AD478" i="2"/>
  <c r="AE478" i="2"/>
  <c r="AF478" i="2"/>
  <c r="AG478" i="2"/>
  <c r="AH478" i="2"/>
  <c r="AI478" i="2"/>
  <c r="AJ478" i="2"/>
  <c r="AK478" i="2"/>
  <c r="Z479" i="2"/>
  <c r="AA479" i="2"/>
  <c r="AB479" i="2"/>
  <c r="AC479" i="2"/>
  <c r="AD479" i="2"/>
  <c r="AE479" i="2"/>
  <c r="AF479" i="2"/>
  <c r="AG479" i="2"/>
  <c r="AH479" i="2"/>
  <c r="AI479" i="2"/>
  <c r="AJ479" i="2"/>
  <c r="AK479" i="2"/>
  <c r="Z480" i="2"/>
  <c r="AA480" i="2"/>
  <c r="AB480" i="2"/>
  <c r="AC480" i="2"/>
  <c r="AD480" i="2"/>
  <c r="AE480" i="2"/>
  <c r="AF480" i="2"/>
  <c r="AG480" i="2"/>
  <c r="AH480" i="2"/>
  <c r="AI480" i="2"/>
  <c r="AJ480" i="2"/>
  <c r="AK480" i="2"/>
  <c r="Z481" i="2"/>
  <c r="AA481" i="2"/>
  <c r="AB481" i="2"/>
  <c r="AC481" i="2"/>
  <c r="AD481" i="2"/>
  <c r="AE481" i="2"/>
  <c r="AF481" i="2"/>
  <c r="AG481" i="2"/>
  <c r="AH481" i="2"/>
  <c r="AI481" i="2"/>
  <c r="AJ481" i="2"/>
  <c r="AK481" i="2"/>
  <c r="Z482" i="2"/>
  <c r="AA482" i="2"/>
  <c r="AB482" i="2"/>
  <c r="AC482" i="2"/>
  <c r="AD482" i="2"/>
  <c r="AE482" i="2"/>
  <c r="AF482" i="2"/>
  <c r="AG482" i="2"/>
  <c r="AH482" i="2"/>
  <c r="AI482" i="2"/>
  <c r="AJ482" i="2"/>
  <c r="AK482" i="2"/>
  <c r="Z483" i="2"/>
  <c r="AA483" i="2"/>
  <c r="AB483" i="2"/>
  <c r="AC483" i="2"/>
  <c r="AD483" i="2"/>
  <c r="AE483" i="2"/>
  <c r="AF483" i="2"/>
  <c r="AG483" i="2"/>
  <c r="AH483" i="2"/>
  <c r="AI483" i="2"/>
  <c r="AJ483" i="2"/>
  <c r="AK483" i="2"/>
  <c r="Z484" i="2"/>
  <c r="AA484" i="2"/>
  <c r="AB484" i="2"/>
  <c r="AC484" i="2"/>
  <c r="AD484" i="2"/>
  <c r="AE484" i="2"/>
  <c r="AF484" i="2"/>
  <c r="AG484" i="2"/>
  <c r="AH484" i="2"/>
  <c r="AI484" i="2"/>
  <c r="AJ484" i="2"/>
  <c r="AK484" i="2"/>
  <c r="Z485" i="2"/>
  <c r="AA485" i="2"/>
  <c r="AB485" i="2"/>
  <c r="AC485" i="2"/>
  <c r="AD485" i="2"/>
  <c r="AE485" i="2"/>
  <c r="AF485" i="2"/>
  <c r="AG485" i="2"/>
  <c r="AH485" i="2"/>
  <c r="AI485" i="2"/>
  <c r="AJ485" i="2"/>
  <c r="AK485" i="2"/>
  <c r="Z486" i="2"/>
  <c r="AA486" i="2"/>
  <c r="AB486" i="2"/>
  <c r="AC486" i="2"/>
  <c r="AD486" i="2"/>
  <c r="AE486" i="2"/>
  <c r="AF486" i="2"/>
  <c r="AG486" i="2"/>
  <c r="AH486" i="2"/>
  <c r="AI486" i="2"/>
  <c r="AJ486" i="2"/>
  <c r="AK486" i="2"/>
  <c r="Z487" i="2"/>
  <c r="AA487" i="2"/>
  <c r="AB487" i="2"/>
  <c r="AC487" i="2"/>
  <c r="AD487" i="2"/>
  <c r="AE487" i="2"/>
  <c r="AF487" i="2"/>
  <c r="AG487" i="2"/>
  <c r="AH487" i="2"/>
  <c r="AI487" i="2"/>
  <c r="AJ487" i="2"/>
  <c r="AK487" i="2"/>
  <c r="Z488" i="2"/>
  <c r="AA488" i="2"/>
  <c r="AB488" i="2"/>
  <c r="AC488" i="2"/>
  <c r="AD488" i="2"/>
  <c r="AE488" i="2"/>
  <c r="AF488" i="2"/>
  <c r="AG488" i="2"/>
  <c r="AH488" i="2"/>
  <c r="AI488" i="2"/>
  <c r="AJ488" i="2"/>
  <c r="AK488" i="2"/>
  <c r="Z489" i="2"/>
  <c r="AA489" i="2"/>
  <c r="AB489" i="2"/>
  <c r="AC489" i="2"/>
  <c r="AD489" i="2"/>
  <c r="AE489" i="2"/>
  <c r="AF489" i="2"/>
  <c r="AG489" i="2"/>
  <c r="AH489" i="2"/>
  <c r="AI489" i="2"/>
  <c r="AJ489" i="2"/>
  <c r="AK489" i="2"/>
  <c r="Z490" i="2"/>
  <c r="AA490" i="2"/>
  <c r="AB490" i="2"/>
  <c r="AC490" i="2"/>
  <c r="AD490" i="2"/>
  <c r="AE490" i="2"/>
  <c r="AF490" i="2"/>
  <c r="AG490" i="2"/>
  <c r="AH490" i="2"/>
  <c r="AI490" i="2"/>
  <c r="AJ490" i="2"/>
  <c r="AK490" i="2"/>
  <c r="Z491" i="2"/>
  <c r="AA491" i="2"/>
  <c r="AB491" i="2"/>
  <c r="AC491" i="2"/>
  <c r="AD491" i="2"/>
  <c r="AE491" i="2"/>
  <c r="AF491" i="2"/>
  <c r="AG491" i="2"/>
  <c r="AH491" i="2"/>
  <c r="AI491" i="2"/>
  <c r="AJ491" i="2"/>
  <c r="AK491" i="2"/>
  <c r="Z492" i="2"/>
  <c r="AA492" i="2"/>
  <c r="AB492" i="2"/>
  <c r="AC492" i="2"/>
  <c r="AD492" i="2"/>
  <c r="AE492" i="2"/>
  <c r="AF492" i="2"/>
  <c r="AG492" i="2"/>
  <c r="AH492" i="2"/>
  <c r="AI492" i="2"/>
  <c r="AJ492" i="2"/>
  <c r="AK492" i="2"/>
  <c r="Z493" i="2"/>
  <c r="AA493" i="2"/>
  <c r="AB493" i="2"/>
  <c r="AC493" i="2"/>
  <c r="AD493" i="2"/>
  <c r="AE493" i="2"/>
  <c r="AF493" i="2"/>
  <c r="AG493" i="2"/>
  <c r="AH493" i="2"/>
  <c r="AI493" i="2"/>
  <c r="AJ493" i="2"/>
  <c r="AK493" i="2"/>
  <c r="Z494" i="2"/>
  <c r="AA494" i="2"/>
  <c r="AB494" i="2"/>
  <c r="AC494" i="2"/>
  <c r="AD494" i="2"/>
  <c r="AE494" i="2"/>
  <c r="AF494" i="2"/>
  <c r="AG494" i="2"/>
  <c r="AH494" i="2"/>
  <c r="AI494" i="2"/>
  <c r="AJ494" i="2"/>
  <c r="AK494" i="2"/>
  <c r="Z495" i="2"/>
  <c r="AA495" i="2"/>
  <c r="AB495" i="2"/>
  <c r="AC495" i="2"/>
  <c r="AD495" i="2"/>
  <c r="AE495" i="2"/>
  <c r="AF495" i="2"/>
  <c r="AG495" i="2"/>
  <c r="AH495" i="2"/>
  <c r="AI495" i="2"/>
  <c r="AJ495" i="2"/>
  <c r="AK495" i="2"/>
  <c r="Z496" i="2"/>
  <c r="AA496" i="2"/>
  <c r="AB496" i="2"/>
  <c r="AC496" i="2"/>
  <c r="AD496" i="2"/>
  <c r="AE496" i="2"/>
  <c r="AF496" i="2"/>
  <c r="AG496" i="2"/>
  <c r="AH496" i="2"/>
  <c r="AI496" i="2"/>
  <c r="AJ496" i="2"/>
  <c r="AK496" i="2"/>
  <c r="Z497" i="2"/>
  <c r="AA497" i="2"/>
  <c r="AB497" i="2"/>
  <c r="AC497" i="2"/>
  <c r="AD497" i="2"/>
  <c r="AE497" i="2"/>
  <c r="AF497" i="2"/>
  <c r="AG497" i="2"/>
  <c r="AH497" i="2"/>
  <c r="AI497" i="2"/>
  <c r="AJ497" i="2"/>
  <c r="AK497" i="2"/>
  <c r="Z498" i="2"/>
  <c r="AA498" i="2"/>
  <c r="AB498" i="2"/>
  <c r="AC498" i="2"/>
  <c r="AD498" i="2"/>
  <c r="AE498" i="2"/>
  <c r="AF498" i="2"/>
  <c r="AG498" i="2"/>
  <c r="AH498" i="2"/>
  <c r="AI498" i="2"/>
  <c r="AJ498" i="2"/>
  <c r="AK498" i="2"/>
  <c r="Z499" i="2"/>
  <c r="AA499" i="2"/>
  <c r="AB499" i="2"/>
  <c r="AC499" i="2"/>
  <c r="AD499" i="2"/>
  <c r="AE499" i="2"/>
  <c r="AF499" i="2"/>
  <c r="AG499" i="2"/>
  <c r="AH499" i="2"/>
  <c r="AI499" i="2"/>
  <c r="AJ499" i="2"/>
  <c r="AK499" i="2"/>
  <c r="Z500" i="2"/>
  <c r="AA500" i="2"/>
  <c r="AB500" i="2"/>
  <c r="AC500" i="2"/>
  <c r="AD500" i="2"/>
  <c r="AE500" i="2"/>
  <c r="AF500" i="2"/>
  <c r="AG500" i="2"/>
  <c r="AH500" i="2"/>
  <c r="AI500" i="2"/>
  <c r="AJ500" i="2"/>
  <c r="AK500" i="2"/>
  <c r="Z501" i="2"/>
  <c r="AA501" i="2"/>
  <c r="AB501" i="2"/>
  <c r="AC501" i="2"/>
  <c r="AD501" i="2"/>
  <c r="AE501" i="2"/>
  <c r="AF501" i="2"/>
  <c r="AG501" i="2"/>
  <c r="AH501" i="2"/>
  <c r="AI501" i="2"/>
  <c r="AJ501" i="2"/>
  <c r="AK501" i="2"/>
  <c r="Z502" i="2"/>
  <c r="AA502" i="2"/>
  <c r="AB502" i="2"/>
  <c r="AC502" i="2"/>
  <c r="AD502" i="2"/>
  <c r="AE502" i="2"/>
  <c r="AF502" i="2"/>
  <c r="AG502" i="2"/>
  <c r="AH502" i="2"/>
  <c r="AI502" i="2"/>
  <c r="AJ502" i="2"/>
  <c r="AK502" i="2"/>
  <c r="Z503" i="2"/>
  <c r="AA503" i="2"/>
  <c r="AB503" i="2"/>
  <c r="AC503" i="2"/>
  <c r="AD503" i="2"/>
  <c r="AE503" i="2"/>
  <c r="AF503" i="2"/>
  <c r="AG503" i="2"/>
  <c r="AH503" i="2"/>
  <c r="AI503" i="2"/>
  <c r="AJ503" i="2"/>
  <c r="AK503" i="2"/>
  <c r="Z504" i="2"/>
  <c r="AA504" i="2"/>
  <c r="AB504" i="2"/>
  <c r="AC504" i="2"/>
  <c r="AD504" i="2"/>
  <c r="AE504" i="2"/>
  <c r="AF504" i="2"/>
  <c r="AG504" i="2"/>
  <c r="AH504" i="2"/>
  <c r="AI504" i="2"/>
  <c r="AJ504" i="2"/>
  <c r="AK504" i="2"/>
  <c r="Z505" i="2"/>
  <c r="AA505" i="2"/>
  <c r="AB505" i="2"/>
  <c r="AC505" i="2"/>
  <c r="AD505" i="2"/>
  <c r="AE505" i="2"/>
  <c r="AF505" i="2"/>
  <c r="AG505" i="2"/>
  <c r="AH505" i="2"/>
  <c r="AI505" i="2"/>
  <c r="AJ505" i="2"/>
  <c r="AK505" i="2"/>
  <c r="Z506" i="2"/>
  <c r="AA506" i="2"/>
  <c r="AB506" i="2"/>
  <c r="AC506" i="2"/>
  <c r="AD506" i="2"/>
  <c r="AE506" i="2"/>
  <c r="AF506" i="2"/>
  <c r="AG506" i="2"/>
  <c r="AH506" i="2"/>
  <c r="AI506" i="2"/>
  <c r="AJ506" i="2"/>
  <c r="AK506" i="2"/>
  <c r="Z507" i="2"/>
  <c r="AA507" i="2"/>
  <c r="AB507" i="2"/>
  <c r="AC507" i="2"/>
  <c r="AD507" i="2"/>
  <c r="AE507" i="2"/>
  <c r="AF507" i="2"/>
  <c r="AG507" i="2"/>
  <c r="AH507" i="2"/>
  <c r="AI507" i="2"/>
  <c r="AJ507" i="2"/>
  <c r="AK507" i="2"/>
  <c r="Z508" i="2"/>
  <c r="AA508" i="2"/>
  <c r="AB508" i="2"/>
  <c r="AC508" i="2"/>
  <c r="AD508" i="2"/>
  <c r="AE508" i="2"/>
  <c r="AF508" i="2"/>
  <c r="AG508" i="2"/>
  <c r="AH508" i="2"/>
  <c r="AI508" i="2"/>
  <c r="AJ508" i="2"/>
  <c r="AK508" i="2"/>
  <c r="Z509" i="2"/>
  <c r="AA509" i="2"/>
  <c r="AB509" i="2"/>
  <c r="AC509" i="2"/>
  <c r="AD509" i="2"/>
  <c r="AE509" i="2"/>
  <c r="AF509" i="2"/>
  <c r="AG509" i="2"/>
  <c r="AH509" i="2"/>
  <c r="AI509" i="2"/>
  <c r="AJ509" i="2"/>
  <c r="AK509" i="2"/>
  <c r="Z510" i="2"/>
  <c r="AA510" i="2"/>
  <c r="AB510" i="2"/>
  <c r="AC510" i="2"/>
  <c r="AD510" i="2"/>
  <c r="AE510" i="2"/>
  <c r="AF510" i="2"/>
  <c r="AG510" i="2"/>
  <c r="AH510" i="2"/>
  <c r="AI510" i="2"/>
  <c r="AJ510" i="2"/>
  <c r="AK510" i="2"/>
  <c r="Z511" i="2"/>
  <c r="AA511" i="2"/>
  <c r="AB511" i="2"/>
  <c r="AC511" i="2"/>
  <c r="AD511" i="2"/>
  <c r="AE511" i="2"/>
  <c r="AF511" i="2"/>
  <c r="AG511" i="2"/>
  <c r="AH511" i="2"/>
  <c r="AI511" i="2"/>
  <c r="AJ511" i="2"/>
  <c r="AK511" i="2"/>
  <c r="Z512" i="2"/>
  <c r="AA512" i="2"/>
  <c r="AB512" i="2"/>
  <c r="AC512" i="2"/>
  <c r="AD512" i="2"/>
  <c r="AE512" i="2"/>
  <c r="AF512" i="2"/>
  <c r="AG512" i="2"/>
  <c r="AH512" i="2"/>
  <c r="AI512" i="2"/>
  <c r="AJ512" i="2"/>
  <c r="AK512" i="2"/>
  <c r="Z513" i="2"/>
  <c r="AA513" i="2"/>
  <c r="AB513" i="2"/>
  <c r="AC513" i="2"/>
  <c r="AD513" i="2"/>
  <c r="AE513" i="2"/>
  <c r="AF513" i="2"/>
  <c r="AG513" i="2"/>
  <c r="AH513" i="2"/>
  <c r="AI513" i="2"/>
  <c r="AJ513" i="2"/>
  <c r="AK513" i="2"/>
  <c r="Z514" i="2"/>
  <c r="AA514" i="2"/>
  <c r="AB514" i="2"/>
  <c r="AC514" i="2"/>
  <c r="AD514" i="2"/>
  <c r="AE514" i="2"/>
  <c r="AF514" i="2"/>
  <c r="AG514" i="2"/>
  <c r="AH514" i="2"/>
  <c r="AI514" i="2"/>
  <c r="AJ514" i="2"/>
  <c r="AK514" i="2"/>
  <c r="Z515" i="2"/>
  <c r="AA515" i="2"/>
  <c r="AB515" i="2"/>
  <c r="AC515" i="2"/>
  <c r="AD515" i="2"/>
  <c r="AE515" i="2"/>
  <c r="AF515" i="2"/>
  <c r="AG515" i="2"/>
  <c r="AH515" i="2"/>
  <c r="AI515" i="2"/>
  <c r="AJ515" i="2"/>
  <c r="AK515" i="2"/>
  <c r="Z516" i="2"/>
  <c r="AA516" i="2"/>
  <c r="AB516" i="2"/>
  <c r="AC516" i="2"/>
  <c r="AD516" i="2"/>
  <c r="AE516" i="2"/>
  <c r="AF516" i="2"/>
  <c r="AG516" i="2"/>
  <c r="AH516" i="2"/>
  <c r="AI516" i="2"/>
  <c r="AJ516" i="2"/>
  <c r="AK516" i="2"/>
  <c r="Z517" i="2"/>
  <c r="AA517" i="2"/>
  <c r="AB517" i="2"/>
  <c r="AC517" i="2"/>
  <c r="AD517" i="2"/>
  <c r="AE517" i="2"/>
  <c r="AF517" i="2"/>
  <c r="AG517" i="2"/>
  <c r="AH517" i="2"/>
  <c r="AI517" i="2"/>
  <c r="AJ517" i="2"/>
  <c r="AK517" i="2"/>
  <c r="Z518" i="2"/>
  <c r="AA518" i="2"/>
  <c r="AB518" i="2"/>
  <c r="AC518" i="2"/>
  <c r="AD518" i="2"/>
  <c r="AE518" i="2"/>
  <c r="AF518" i="2"/>
  <c r="AG518" i="2"/>
  <c r="AH518" i="2"/>
  <c r="AI518" i="2"/>
  <c r="AJ518" i="2"/>
  <c r="AK518" i="2"/>
  <c r="Z519" i="2"/>
  <c r="AA519" i="2"/>
  <c r="AB519" i="2"/>
  <c r="AC519" i="2"/>
  <c r="AD519" i="2"/>
  <c r="AE519" i="2"/>
  <c r="AF519" i="2"/>
  <c r="AG519" i="2"/>
  <c r="AH519" i="2"/>
  <c r="AI519" i="2"/>
  <c r="AJ519" i="2"/>
  <c r="AK519" i="2"/>
  <c r="Z520" i="2"/>
  <c r="AA520" i="2"/>
  <c r="AB520" i="2"/>
  <c r="AC520" i="2"/>
  <c r="AD520" i="2"/>
  <c r="AE520" i="2"/>
  <c r="AF520" i="2"/>
  <c r="AG520" i="2"/>
  <c r="AH520" i="2"/>
  <c r="AI520" i="2"/>
  <c r="AJ520" i="2"/>
  <c r="AK520" i="2"/>
  <c r="Z521" i="2"/>
  <c r="AA521" i="2"/>
  <c r="AB521" i="2"/>
  <c r="AC521" i="2"/>
  <c r="AD521" i="2"/>
  <c r="AE521" i="2"/>
  <c r="AF521" i="2"/>
  <c r="AG521" i="2"/>
  <c r="AH521" i="2"/>
  <c r="AI521" i="2"/>
  <c r="AJ521" i="2"/>
  <c r="AK521" i="2"/>
  <c r="Z522" i="2"/>
  <c r="AA522" i="2"/>
  <c r="AB522" i="2"/>
  <c r="AC522" i="2"/>
  <c r="AD522" i="2"/>
  <c r="AE522" i="2"/>
  <c r="AF522" i="2"/>
  <c r="AG522" i="2"/>
  <c r="AH522" i="2"/>
  <c r="AI522" i="2"/>
  <c r="AJ522" i="2"/>
  <c r="AK522" i="2"/>
  <c r="Z523" i="2"/>
  <c r="AA523" i="2"/>
  <c r="AB523" i="2"/>
  <c r="AC523" i="2"/>
  <c r="AD523" i="2"/>
  <c r="AE523" i="2"/>
  <c r="AF523" i="2"/>
  <c r="AG523" i="2"/>
  <c r="AH523" i="2"/>
  <c r="AI523" i="2"/>
  <c r="AJ523" i="2"/>
  <c r="AK523" i="2"/>
  <c r="Z524" i="2"/>
  <c r="AA524" i="2"/>
  <c r="AB524" i="2"/>
  <c r="AC524" i="2"/>
  <c r="AD524" i="2"/>
  <c r="AE524" i="2"/>
  <c r="AF524" i="2"/>
  <c r="AG524" i="2"/>
  <c r="AH524" i="2"/>
  <c r="AI524" i="2"/>
  <c r="AJ524" i="2"/>
  <c r="AK524" i="2"/>
  <c r="Z525" i="2"/>
  <c r="AA525" i="2"/>
  <c r="AB525" i="2"/>
  <c r="AC525" i="2"/>
  <c r="AD525" i="2"/>
  <c r="AE525" i="2"/>
  <c r="AF525" i="2"/>
  <c r="AG525" i="2"/>
  <c r="AH525" i="2"/>
  <c r="AI525" i="2"/>
  <c r="AJ525" i="2"/>
  <c r="AK525" i="2"/>
  <c r="Z526" i="2"/>
  <c r="AA526" i="2"/>
  <c r="AB526" i="2"/>
  <c r="AC526" i="2"/>
  <c r="AD526" i="2"/>
  <c r="AE526" i="2"/>
  <c r="AF526" i="2"/>
  <c r="AG526" i="2"/>
  <c r="AH526" i="2"/>
  <c r="AI526" i="2"/>
  <c r="AJ526" i="2"/>
  <c r="AK526" i="2"/>
  <c r="Z527" i="2"/>
  <c r="AA527" i="2"/>
  <c r="AB527" i="2"/>
  <c r="AC527" i="2"/>
  <c r="AD527" i="2"/>
  <c r="AE527" i="2"/>
  <c r="AF527" i="2"/>
  <c r="AG527" i="2"/>
  <c r="AH527" i="2"/>
  <c r="AI527" i="2"/>
  <c r="AJ527" i="2"/>
  <c r="AK527" i="2"/>
  <c r="Z528" i="2"/>
  <c r="AA528" i="2"/>
  <c r="AB528" i="2"/>
  <c r="AC528" i="2"/>
  <c r="AD528" i="2"/>
  <c r="AE528" i="2"/>
  <c r="AF528" i="2"/>
  <c r="AG528" i="2"/>
  <c r="AH528" i="2"/>
  <c r="AI528" i="2"/>
  <c r="AJ528" i="2"/>
  <c r="AK528" i="2"/>
  <c r="Z529" i="2"/>
  <c r="AA529" i="2"/>
  <c r="AB529" i="2"/>
  <c r="AC529" i="2"/>
  <c r="AD529" i="2"/>
  <c r="AE529" i="2"/>
  <c r="AF529" i="2"/>
  <c r="AG529" i="2"/>
  <c r="AH529" i="2"/>
  <c r="AI529" i="2"/>
  <c r="AJ529" i="2"/>
  <c r="AK529" i="2"/>
  <c r="Z530" i="2"/>
  <c r="AA530" i="2"/>
  <c r="AB530" i="2"/>
  <c r="AC530" i="2"/>
  <c r="AD530" i="2"/>
  <c r="AE530" i="2"/>
  <c r="AF530" i="2"/>
  <c r="AG530" i="2"/>
  <c r="AH530" i="2"/>
  <c r="AI530" i="2"/>
  <c r="AJ530" i="2"/>
  <c r="AK530" i="2"/>
  <c r="Z531" i="2"/>
  <c r="AA531" i="2"/>
  <c r="AB531" i="2"/>
  <c r="AC531" i="2"/>
  <c r="AD531" i="2"/>
  <c r="AE531" i="2"/>
  <c r="AF531" i="2"/>
  <c r="AG531" i="2"/>
  <c r="AH531" i="2"/>
  <c r="AI531" i="2"/>
  <c r="AJ531" i="2"/>
  <c r="AK531" i="2"/>
  <c r="Z532" i="2"/>
  <c r="AA532" i="2"/>
  <c r="AB532" i="2"/>
  <c r="AC532" i="2"/>
  <c r="AD532" i="2"/>
  <c r="AE532" i="2"/>
  <c r="AF532" i="2"/>
  <c r="AG532" i="2"/>
  <c r="AH532" i="2"/>
  <c r="AI532" i="2"/>
  <c r="AJ532" i="2"/>
  <c r="AK532" i="2"/>
  <c r="Z533" i="2"/>
  <c r="AA533" i="2"/>
  <c r="AB533" i="2"/>
  <c r="AC533" i="2"/>
  <c r="AD533" i="2"/>
  <c r="AE533" i="2"/>
  <c r="AF533" i="2"/>
  <c r="AG533" i="2"/>
  <c r="AH533" i="2"/>
  <c r="AI533" i="2"/>
  <c r="AJ533" i="2"/>
  <c r="AK533" i="2"/>
  <c r="Z534" i="2"/>
  <c r="AA534" i="2"/>
  <c r="AB534" i="2"/>
  <c r="AC534" i="2"/>
  <c r="AD534" i="2"/>
  <c r="AE534" i="2"/>
  <c r="AF534" i="2"/>
  <c r="AG534" i="2"/>
  <c r="AH534" i="2"/>
  <c r="AI534" i="2"/>
  <c r="AJ534" i="2"/>
  <c r="AK534" i="2"/>
  <c r="Z535" i="2"/>
  <c r="AA535" i="2"/>
  <c r="AB535" i="2"/>
  <c r="AC535" i="2"/>
  <c r="AD535" i="2"/>
  <c r="AE535" i="2"/>
  <c r="AF535" i="2"/>
  <c r="AG535" i="2"/>
  <c r="AH535" i="2"/>
  <c r="AI535" i="2"/>
  <c r="AJ535" i="2"/>
  <c r="AK535" i="2"/>
  <c r="Z536" i="2"/>
  <c r="AA536" i="2"/>
  <c r="AB536" i="2"/>
  <c r="AC536" i="2"/>
  <c r="AD536" i="2"/>
  <c r="AE536" i="2"/>
  <c r="AF536" i="2"/>
  <c r="AG536" i="2"/>
  <c r="AH536" i="2"/>
  <c r="AI536" i="2"/>
  <c r="AJ536" i="2"/>
  <c r="AK536" i="2"/>
  <c r="Z537" i="2"/>
  <c r="AA537" i="2"/>
  <c r="AB537" i="2"/>
  <c r="AC537" i="2"/>
  <c r="AD537" i="2"/>
  <c r="AE537" i="2"/>
  <c r="AF537" i="2"/>
  <c r="AG537" i="2"/>
  <c r="AH537" i="2"/>
  <c r="AI537" i="2"/>
  <c r="AJ537" i="2"/>
  <c r="AK537" i="2"/>
  <c r="Z538" i="2"/>
  <c r="AA538" i="2"/>
  <c r="AB538" i="2"/>
  <c r="AC538" i="2"/>
  <c r="AD538" i="2"/>
  <c r="AE538" i="2"/>
  <c r="AF538" i="2"/>
  <c r="AG538" i="2"/>
  <c r="AH538" i="2"/>
  <c r="AI538" i="2"/>
  <c r="AJ538" i="2"/>
  <c r="AK538" i="2"/>
  <c r="Z539" i="2"/>
  <c r="AA539" i="2"/>
  <c r="AB539" i="2"/>
  <c r="AC539" i="2"/>
  <c r="AD539" i="2"/>
  <c r="AE539" i="2"/>
  <c r="AF539" i="2"/>
  <c r="AG539" i="2"/>
  <c r="AH539" i="2"/>
  <c r="AI539" i="2"/>
  <c r="AJ539" i="2"/>
  <c r="AK539" i="2"/>
  <c r="Z540" i="2"/>
  <c r="AA540" i="2"/>
  <c r="AB540" i="2"/>
  <c r="AC540" i="2"/>
  <c r="AD540" i="2"/>
  <c r="AE540" i="2"/>
  <c r="AF540" i="2"/>
  <c r="AG540" i="2"/>
  <c r="AH540" i="2"/>
  <c r="AI540" i="2"/>
  <c r="AJ540" i="2"/>
  <c r="AK540" i="2"/>
  <c r="Z541" i="2"/>
  <c r="AA541" i="2"/>
  <c r="AB541" i="2"/>
  <c r="AC541" i="2"/>
  <c r="AD541" i="2"/>
  <c r="AE541" i="2"/>
  <c r="AF541" i="2"/>
  <c r="AG541" i="2"/>
  <c r="AH541" i="2"/>
  <c r="AI541" i="2"/>
  <c r="AJ541" i="2"/>
  <c r="AK541" i="2"/>
  <c r="Z542" i="2"/>
  <c r="AA542" i="2"/>
  <c r="AB542" i="2"/>
  <c r="AC542" i="2"/>
  <c r="AD542" i="2"/>
  <c r="AE542" i="2"/>
  <c r="AF542" i="2"/>
  <c r="AG542" i="2"/>
  <c r="AH542" i="2"/>
  <c r="AI542" i="2"/>
  <c r="AJ542" i="2"/>
  <c r="AK542" i="2"/>
  <c r="Z543" i="2"/>
  <c r="AA543" i="2"/>
  <c r="AB543" i="2"/>
  <c r="AC543" i="2"/>
  <c r="AD543" i="2"/>
  <c r="AE543" i="2"/>
  <c r="AF543" i="2"/>
  <c r="AG543" i="2"/>
  <c r="AH543" i="2"/>
  <c r="AI543" i="2"/>
  <c r="AJ543" i="2"/>
  <c r="AK543" i="2"/>
  <c r="Z544" i="2"/>
  <c r="AA544" i="2"/>
  <c r="AB544" i="2"/>
  <c r="AC544" i="2"/>
  <c r="AD544" i="2"/>
  <c r="AE544" i="2"/>
  <c r="AF544" i="2"/>
  <c r="AG544" i="2"/>
  <c r="AH544" i="2"/>
  <c r="AI544" i="2"/>
  <c r="AJ544" i="2"/>
  <c r="AK544" i="2"/>
  <c r="Z545" i="2"/>
  <c r="AA545" i="2"/>
  <c r="AB545" i="2"/>
  <c r="AC545" i="2"/>
  <c r="AD545" i="2"/>
  <c r="AE545" i="2"/>
  <c r="AF545" i="2"/>
  <c r="AG545" i="2"/>
  <c r="AH545" i="2"/>
  <c r="AI545" i="2"/>
  <c r="AJ545" i="2"/>
  <c r="AK545" i="2"/>
  <c r="Z546" i="2"/>
  <c r="AA546" i="2"/>
  <c r="AB546" i="2"/>
  <c r="AC546" i="2"/>
  <c r="AD546" i="2"/>
  <c r="AE546" i="2"/>
  <c r="AF546" i="2"/>
  <c r="AG546" i="2"/>
  <c r="AH546" i="2"/>
  <c r="AI546" i="2"/>
  <c r="AJ546" i="2"/>
  <c r="AK546" i="2"/>
  <c r="Z547" i="2"/>
  <c r="AA547" i="2"/>
  <c r="AB547" i="2"/>
  <c r="AC547" i="2"/>
  <c r="AD547" i="2"/>
  <c r="AE547" i="2"/>
  <c r="AF547" i="2"/>
  <c r="AG547" i="2"/>
  <c r="AH547" i="2"/>
  <c r="AI547" i="2"/>
  <c r="AJ547" i="2"/>
  <c r="AK547" i="2"/>
  <c r="Z548" i="2"/>
  <c r="AA548" i="2"/>
  <c r="AB548" i="2"/>
  <c r="AC548" i="2"/>
  <c r="AD548" i="2"/>
  <c r="AE548" i="2"/>
  <c r="AF548" i="2"/>
  <c r="AG548" i="2"/>
  <c r="AH548" i="2"/>
  <c r="AI548" i="2"/>
  <c r="AJ548" i="2"/>
  <c r="AK548" i="2"/>
  <c r="Z549" i="2"/>
  <c r="AA549" i="2"/>
  <c r="AB549" i="2"/>
  <c r="AC549" i="2"/>
  <c r="AD549" i="2"/>
  <c r="AE549" i="2"/>
  <c r="AF549" i="2"/>
  <c r="AG549" i="2"/>
  <c r="AH549" i="2"/>
  <c r="AI549" i="2"/>
  <c r="AJ549" i="2"/>
  <c r="AK549" i="2"/>
  <c r="Z550" i="2"/>
  <c r="AA550" i="2"/>
  <c r="AB550" i="2"/>
  <c r="AC550" i="2"/>
  <c r="AD550" i="2"/>
  <c r="AE550" i="2"/>
  <c r="AF550" i="2"/>
  <c r="AG550" i="2"/>
  <c r="AH550" i="2"/>
  <c r="AI550" i="2"/>
  <c r="AJ550" i="2"/>
  <c r="AK550" i="2"/>
  <c r="Z551" i="2"/>
  <c r="AA551" i="2"/>
  <c r="AB551" i="2"/>
  <c r="AC551" i="2"/>
  <c r="AD551" i="2"/>
  <c r="AE551" i="2"/>
  <c r="AF551" i="2"/>
  <c r="AG551" i="2"/>
  <c r="AH551" i="2"/>
  <c r="AI551" i="2"/>
  <c r="AJ551" i="2"/>
  <c r="AK551" i="2"/>
  <c r="Z552" i="2"/>
  <c r="AA552" i="2"/>
  <c r="AB552" i="2"/>
  <c r="AC552" i="2"/>
  <c r="AD552" i="2"/>
  <c r="AE552" i="2"/>
  <c r="AF552" i="2"/>
  <c r="AG552" i="2"/>
  <c r="AH552" i="2"/>
  <c r="AI552" i="2"/>
  <c r="AJ552" i="2"/>
  <c r="AK552" i="2"/>
  <c r="Z553" i="2"/>
  <c r="AA553" i="2"/>
  <c r="AB553" i="2"/>
  <c r="AC553" i="2"/>
  <c r="AD553" i="2"/>
  <c r="AE553" i="2"/>
  <c r="AF553" i="2"/>
  <c r="AG553" i="2"/>
  <c r="AH553" i="2"/>
  <c r="AI553" i="2"/>
  <c r="AJ553" i="2"/>
  <c r="AK553" i="2"/>
  <c r="Z554" i="2"/>
  <c r="AA554" i="2"/>
  <c r="AB554" i="2"/>
  <c r="AC554" i="2"/>
  <c r="AD554" i="2"/>
  <c r="AE554" i="2"/>
  <c r="AF554" i="2"/>
  <c r="AG554" i="2"/>
  <c r="AH554" i="2"/>
  <c r="AI554" i="2"/>
  <c r="AJ554" i="2"/>
  <c r="AK554" i="2"/>
  <c r="Z555" i="2"/>
  <c r="AA555" i="2"/>
  <c r="AB555" i="2"/>
  <c r="AC555" i="2"/>
  <c r="AD555" i="2"/>
  <c r="AE555" i="2"/>
  <c r="AF555" i="2"/>
  <c r="AG555" i="2"/>
  <c r="AH555" i="2"/>
  <c r="AI555" i="2"/>
  <c r="AJ555" i="2"/>
  <c r="AK555" i="2"/>
  <c r="Z556" i="2"/>
  <c r="AA556" i="2"/>
  <c r="AB556" i="2"/>
  <c r="AC556" i="2"/>
  <c r="AD556" i="2"/>
  <c r="AE556" i="2"/>
  <c r="AF556" i="2"/>
  <c r="AG556" i="2"/>
  <c r="AH556" i="2"/>
  <c r="AI556" i="2"/>
  <c r="AJ556" i="2"/>
  <c r="AK556" i="2"/>
  <c r="Z557" i="2"/>
  <c r="AA557" i="2"/>
  <c r="AB557" i="2"/>
  <c r="AC557" i="2"/>
  <c r="AD557" i="2"/>
  <c r="AE557" i="2"/>
  <c r="AF557" i="2"/>
  <c r="AG557" i="2"/>
  <c r="AH557" i="2"/>
  <c r="AI557" i="2"/>
  <c r="AJ557" i="2"/>
  <c r="AK557" i="2"/>
  <c r="Z558" i="2"/>
  <c r="AA558" i="2"/>
  <c r="AB558" i="2"/>
  <c r="AC558" i="2"/>
  <c r="AD558" i="2"/>
  <c r="AE558" i="2"/>
  <c r="AF558" i="2"/>
  <c r="AG558" i="2"/>
  <c r="AH558" i="2"/>
  <c r="AI558" i="2"/>
  <c r="AJ558" i="2"/>
  <c r="AK558" i="2"/>
  <c r="Z559" i="2"/>
  <c r="AA559" i="2"/>
  <c r="AB559" i="2"/>
  <c r="AC559" i="2"/>
  <c r="AD559" i="2"/>
  <c r="AE559" i="2"/>
  <c r="AF559" i="2"/>
  <c r="AG559" i="2"/>
  <c r="AH559" i="2"/>
  <c r="AI559" i="2"/>
  <c r="AJ559" i="2"/>
  <c r="AK559" i="2"/>
  <c r="Z560" i="2"/>
  <c r="AA560" i="2"/>
  <c r="AB560" i="2"/>
  <c r="AC560" i="2"/>
  <c r="AD560" i="2"/>
  <c r="AE560" i="2"/>
  <c r="AF560" i="2"/>
  <c r="AG560" i="2"/>
  <c r="AH560" i="2"/>
  <c r="AI560" i="2"/>
  <c r="AJ560" i="2"/>
  <c r="AK560" i="2"/>
  <c r="Z561" i="2"/>
  <c r="AA561" i="2"/>
  <c r="AB561" i="2"/>
  <c r="AC561" i="2"/>
  <c r="AD561" i="2"/>
  <c r="AE561" i="2"/>
  <c r="AF561" i="2"/>
  <c r="AG561" i="2"/>
  <c r="AH561" i="2"/>
  <c r="AI561" i="2"/>
  <c r="AJ561" i="2"/>
  <c r="AK561" i="2"/>
  <c r="Z562" i="2"/>
  <c r="AA562" i="2"/>
  <c r="AB562" i="2"/>
  <c r="AC562" i="2"/>
  <c r="AD562" i="2"/>
  <c r="AE562" i="2"/>
  <c r="AF562" i="2"/>
  <c r="AG562" i="2"/>
  <c r="AH562" i="2"/>
  <c r="AI562" i="2"/>
  <c r="AJ562" i="2"/>
  <c r="AK562" i="2"/>
  <c r="Z563" i="2"/>
  <c r="AA563" i="2"/>
  <c r="AB563" i="2"/>
  <c r="AC563" i="2"/>
  <c r="AD563" i="2"/>
  <c r="AE563" i="2"/>
  <c r="AF563" i="2"/>
  <c r="AG563" i="2"/>
  <c r="AH563" i="2"/>
  <c r="AI563" i="2"/>
  <c r="AJ563" i="2"/>
  <c r="AK563" i="2"/>
  <c r="Z564" i="2"/>
  <c r="AA564" i="2"/>
  <c r="AB564" i="2"/>
  <c r="AC564" i="2"/>
  <c r="AD564" i="2"/>
  <c r="AE564" i="2"/>
  <c r="AF564" i="2"/>
  <c r="AG564" i="2"/>
  <c r="AH564" i="2"/>
  <c r="AI564" i="2"/>
  <c r="AJ564" i="2"/>
  <c r="AK564" i="2"/>
  <c r="Z565" i="2"/>
  <c r="AA565" i="2"/>
  <c r="AB565" i="2"/>
  <c r="AC565" i="2"/>
  <c r="AD565" i="2"/>
  <c r="AE565" i="2"/>
  <c r="AF565" i="2"/>
  <c r="AG565" i="2"/>
  <c r="AH565" i="2"/>
  <c r="AI565" i="2"/>
  <c r="AJ565" i="2"/>
  <c r="AK565" i="2"/>
  <c r="Z566" i="2"/>
  <c r="AA566" i="2"/>
  <c r="AB566" i="2"/>
  <c r="AC566" i="2"/>
  <c r="AD566" i="2"/>
  <c r="AE566" i="2"/>
  <c r="AF566" i="2"/>
  <c r="AG566" i="2"/>
  <c r="AH566" i="2"/>
  <c r="AI566" i="2"/>
  <c r="AJ566" i="2"/>
  <c r="AK566" i="2"/>
  <c r="Z567" i="2"/>
  <c r="AA567" i="2"/>
  <c r="AB567" i="2"/>
  <c r="AC567" i="2"/>
  <c r="AD567" i="2"/>
  <c r="AE567" i="2"/>
  <c r="AF567" i="2"/>
  <c r="AG567" i="2"/>
  <c r="AH567" i="2"/>
  <c r="AI567" i="2"/>
  <c r="AJ567" i="2"/>
  <c r="AK567" i="2"/>
  <c r="Z568" i="2"/>
  <c r="AA568" i="2"/>
  <c r="AB568" i="2"/>
  <c r="AC568" i="2"/>
  <c r="AD568" i="2"/>
  <c r="AE568" i="2"/>
  <c r="AF568" i="2"/>
  <c r="AG568" i="2"/>
  <c r="AH568" i="2"/>
  <c r="AI568" i="2"/>
  <c r="AJ568" i="2"/>
  <c r="AK568" i="2"/>
  <c r="Z569" i="2"/>
  <c r="AA569" i="2"/>
  <c r="AB569" i="2"/>
  <c r="AC569" i="2"/>
  <c r="AD569" i="2"/>
  <c r="AE569" i="2"/>
  <c r="AF569" i="2"/>
  <c r="AG569" i="2"/>
  <c r="AH569" i="2"/>
  <c r="AI569" i="2"/>
  <c r="AJ569" i="2"/>
  <c r="AK569" i="2"/>
  <c r="Z570" i="2"/>
  <c r="AA570" i="2"/>
  <c r="AB570" i="2"/>
  <c r="AC570" i="2"/>
  <c r="AD570" i="2"/>
  <c r="AE570" i="2"/>
  <c r="AF570" i="2"/>
  <c r="AG570" i="2"/>
  <c r="AH570" i="2"/>
  <c r="AI570" i="2"/>
  <c r="AJ570" i="2"/>
  <c r="AK570" i="2"/>
  <c r="Z571" i="2"/>
  <c r="AA571" i="2"/>
  <c r="AB571" i="2"/>
  <c r="AC571" i="2"/>
  <c r="AD571" i="2"/>
  <c r="AE571" i="2"/>
  <c r="AF571" i="2"/>
  <c r="AG571" i="2"/>
  <c r="AH571" i="2"/>
  <c r="AI571" i="2"/>
  <c r="AJ571" i="2"/>
  <c r="AK571" i="2"/>
  <c r="Z572" i="2"/>
  <c r="AA572" i="2"/>
  <c r="AB572" i="2"/>
  <c r="AC572" i="2"/>
  <c r="AD572" i="2"/>
  <c r="AE572" i="2"/>
  <c r="AF572" i="2"/>
  <c r="AG572" i="2"/>
  <c r="AH572" i="2"/>
  <c r="AI572" i="2"/>
  <c r="AJ572" i="2"/>
  <c r="AK572" i="2"/>
  <c r="Z573" i="2"/>
  <c r="AA573" i="2"/>
  <c r="AB573" i="2"/>
  <c r="AC573" i="2"/>
  <c r="AD573" i="2"/>
  <c r="AE573" i="2"/>
  <c r="AF573" i="2"/>
  <c r="AG573" i="2"/>
  <c r="AH573" i="2"/>
  <c r="AI573" i="2"/>
  <c r="AJ573" i="2"/>
  <c r="AK573" i="2"/>
  <c r="Z574" i="2"/>
  <c r="AA574" i="2"/>
  <c r="AB574" i="2"/>
  <c r="AC574" i="2"/>
  <c r="AD574" i="2"/>
  <c r="AE574" i="2"/>
  <c r="AF574" i="2"/>
  <c r="AG574" i="2"/>
  <c r="AH574" i="2"/>
  <c r="AI574" i="2"/>
  <c r="AJ574" i="2"/>
  <c r="AK574" i="2"/>
  <c r="Z575" i="2"/>
  <c r="AA575" i="2"/>
  <c r="AB575" i="2"/>
  <c r="AC575" i="2"/>
  <c r="AD575" i="2"/>
  <c r="AE575" i="2"/>
  <c r="AF575" i="2"/>
  <c r="AG575" i="2"/>
  <c r="AH575" i="2"/>
  <c r="AI575" i="2"/>
  <c r="AJ575" i="2"/>
  <c r="AK575" i="2"/>
  <c r="Z576" i="2"/>
  <c r="AA576" i="2"/>
  <c r="AB576" i="2"/>
  <c r="AC576" i="2"/>
  <c r="AD576" i="2"/>
  <c r="AE576" i="2"/>
  <c r="AF576" i="2"/>
  <c r="AG576" i="2"/>
  <c r="AH576" i="2"/>
  <c r="AI576" i="2"/>
  <c r="AJ576" i="2"/>
  <c r="AK576" i="2"/>
  <c r="Z577" i="2"/>
  <c r="AA577" i="2"/>
  <c r="AB577" i="2"/>
  <c r="AC577" i="2"/>
  <c r="AD577" i="2"/>
  <c r="AE577" i="2"/>
  <c r="AF577" i="2"/>
  <c r="AG577" i="2"/>
  <c r="AH577" i="2"/>
  <c r="AI577" i="2"/>
  <c r="AJ577" i="2"/>
  <c r="AK577" i="2"/>
  <c r="Z578" i="2"/>
  <c r="AA578" i="2"/>
  <c r="AB578" i="2"/>
  <c r="AC578" i="2"/>
  <c r="AD578" i="2"/>
  <c r="AE578" i="2"/>
  <c r="AF578" i="2"/>
  <c r="AG578" i="2"/>
  <c r="AH578" i="2"/>
  <c r="AI578" i="2"/>
  <c r="AJ578" i="2"/>
  <c r="AK578" i="2"/>
  <c r="Z579" i="2"/>
  <c r="AA579" i="2"/>
  <c r="AB579" i="2"/>
  <c r="AC579" i="2"/>
  <c r="AD579" i="2"/>
  <c r="AE579" i="2"/>
  <c r="AF579" i="2"/>
  <c r="AG579" i="2"/>
  <c r="AH579" i="2"/>
  <c r="AI579" i="2"/>
  <c r="AJ579" i="2"/>
  <c r="AK579" i="2"/>
  <c r="Z580" i="2"/>
  <c r="AA580" i="2"/>
  <c r="AB580" i="2"/>
  <c r="AC580" i="2"/>
  <c r="AD580" i="2"/>
  <c r="AE580" i="2"/>
  <c r="AF580" i="2"/>
  <c r="AG580" i="2"/>
  <c r="AH580" i="2"/>
  <c r="AI580" i="2"/>
  <c r="AJ580" i="2"/>
  <c r="AK580" i="2"/>
  <c r="Z581" i="2"/>
  <c r="AA581" i="2"/>
  <c r="AB581" i="2"/>
  <c r="AC581" i="2"/>
  <c r="AD581" i="2"/>
  <c r="AE581" i="2"/>
  <c r="AF581" i="2"/>
  <c r="AG581" i="2"/>
  <c r="AH581" i="2"/>
  <c r="AI581" i="2"/>
  <c r="AJ581" i="2"/>
  <c r="AK581" i="2"/>
  <c r="Z582" i="2"/>
  <c r="AA582" i="2"/>
  <c r="AB582" i="2"/>
  <c r="AC582" i="2"/>
  <c r="AD582" i="2"/>
  <c r="AE582" i="2"/>
  <c r="AF582" i="2"/>
  <c r="AG582" i="2"/>
  <c r="AH582" i="2"/>
  <c r="AI582" i="2"/>
  <c r="AJ582" i="2"/>
  <c r="AK582" i="2"/>
  <c r="Z583" i="2"/>
  <c r="AA583" i="2"/>
  <c r="AB583" i="2"/>
  <c r="AC583" i="2"/>
  <c r="AD583" i="2"/>
  <c r="AE583" i="2"/>
  <c r="AF583" i="2"/>
  <c r="AG583" i="2"/>
  <c r="AH583" i="2"/>
  <c r="AI583" i="2"/>
  <c r="AJ583" i="2"/>
  <c r="AK583" i="2"/>
  <c r="Z584" i="2"/>
  <c r="AA584" i="2"/>
  <c r="AB584" i="2"/>
  <c r="AC584" i="2"/>
  <c r="AD584" i="2"/>
  <c r="AE584" i="2"/>
  <c r="AF584" i="2"/>
  <c r="AG584" i="2"/>
  <c r="AH584" i="2"/>
  <c r="AI584" i="2"/>
  <c r="AJ584" i="2"/>
  <c r="AK584" i="2"/>
  <c r="Z585" i="2"/>
  <c r="AA585" i="2"/>
  <c r="AB585" i="2"/>
  <c r="AC585" i="2"/>
  <c r="AD585" i="2"/>
  <c r="AE585" i="2"/>
  <c r="AF585" i="2"/>
  <c r="AG585" i="2"/>
  <c r="AH585" i="2"/>
  <c r="AI585" i="2"/>
  <c r="AJ585" i="2"/>
  <c r="AK585" i="2"/>
  <c r="Z586" i="2"/>
  <c r="AA586" i="2"/>
  <c r="AB586" i="2"/>
  <c r="AC586" i="2"/>
  <c r="AD586" i="2"/>
  <c r="AE586" i="2"/>
  <c r="AF586" i="2"/>
  <c r="AG586" i="2"/>
  <c r="AH586" i="2"/>
  <c r="AI586" i="2"/>
  <c r="AJ586" i="2"/>
  <c r="AK586" i="2"/>
  <c r="Z587" i="2"/>
  <c r="AA587" i="2"/>
  <c r="AB587" i="2"/>
  <c r="AC587" i="2"/>
  <c r="AD587" i="2"/>
  <c r="AE587" i="2"/>
  <c r="AF587" i="2"/>
  <c r="AG587" i="2"/>
  <c r="AH587" i="2"/>
  <c r="AI587" i="2"/>
  <c r="AJ587" i="2"/>
  <c r="AK587" i="2"/>
  <c r="Z588" i="2"/>
  <c r="AA588" i="2"/>
  <c r="AB588" i="2"/>
  <c r="AC588" i="2"/>
  <c r="AD588" i="2"/>
  <c r="AE588" i="2"/>
  <c r="AF588" i="2"/>
  <c r="AG588" i="2"/>
  <c r="AH588" i="2"/>
  <c r="AI588" i="2"/>
  <c r="AJ588" i="2"/>
  <c r="AK588" i="2"/>
  <c r="Z589" i="2"/>
  <c r="AA589" i="2"/>
  <c r="AB589" i="2"/>
  <c r="AC589" i="2"/>
  <c r="AD589" i="2"/>
  <c r="AE589" i="2"/>
  <c r="AF589" i="2"/>
  <c r="AG589" i="2"/>
  <c r="AH589" i="2"/>
  <c r="AI589" i="2"/>
  <c r="AJ589" i="2"/>
  <c r="AK589" i="2"/>
  <c r="Z590" i="2"/>
  <c r="AA590" i="2"/>
  <c r="AB590" i="2"/>
  <c r="AC590" i="2"/>
  <c r="AD590" i="2"/>
  <c r="AE590" i="2"/>
  <c r="AF590" i="2"/>
  <c r="AG590" i="2"/>
  <c r="AH590" i="2"/>
  <c r="AI590" i="2"/>
  <c r="AJ590" i="2"/>
  <c r="AK590" i="2"/>
  <c r="Z591" i="2"/>
  <c r="AA591" i="2"/>
  <c r="AB591" i="2"/>
  <c r="AC591" i="2"/>
  <c r="AD591" i="2"/>
  <c r="AE591" i="2"/>
  <c r="AF591" i="2"/>
  <c r="AG591" i="2"/>
  <c r="AH591" i="2"/>
  <c r="AI591" i="2"/>
  <c r="AJ591" i="2"/>
  <c r="AK591" i="2"/>
  <c r="Z592" i="2"/>
  <c r="AA592" i="2"/>
  <c r="AB592" i="2"/>
  <c r="AC592" i="2"/>
  <c r="AD592" i="2"/>
  <c r="AE592" i="2"/>
  <c r="AF592" i="2"/>
  <c r="AG592" i="2"/>
  <c r="AH592" i="2"/>
  <c r="AI592" i="2"/>
  <c r="AJ592" i="2"/>
  <c r="AK592" i="2"/>
  <c r="Z593" i="2"/>
  <c r="AA593" i="2"/>
  <c r="AB593" i="2"/>
  <c r="AC593" i="2"/>
  <c r="AD593" i="2"/>
  <c r="AE593" i="2"/>
  <c r="AF593" i="2"/>
  <c r="AG593" i="2"/>
  <c r="AH593" i="2"/>
  <c r="AI593" i="2"/>
  <c r="AJ593" i="2"/>
  <c r="AK593" i="2"/>
  <c r="Z594" i="2"/>
  <c r="AA594" i="2"/>
  <c r="AB594" i="2"/>
  <c r="AC594" i="2"/>
  <c r="AD594" i="2"/>
  <c r="AE594" i="2"/>
  <c r="AF594" i="2"/>
  <c r="AG594" i="2"/>
  <c r="AH594" i="2"/>
  <c r="AI594" i="2"/>
  <c r="AJ594" i="2"/>
  <c r="AK594" i="2"/>
  <c r="Z595" i="2"/>
  <c r="AA595" i="2"/>
  <c r="AB595" i="2"/>
  <c r="AC595" i="2"/>
  <c r="AD595" i="2"/>
  <c r="AE595" i="2"/>
  <c r="AF595" i="2"/>
  <c r="AG595" i="2"/>
  <c r="AH595" i="2"/>
  <c r="AI595" i="2"/>
  <c r="AJ595" i="2"/>
  <c r="AK595" i="2"/>
  <c r="Z596" i="2"/>
  <c r="AA596" i="2"/>
  <c r="AB596" i="2"/>
  <c r="AC596" i="2"/>
  <c r="AD596" i="2"/>
  <c r="AE596" i="2"/>
  <c r="AF596" i="2"/>
  <c r="AG596" i="2"/>
  <c r="AH596" i="2"/>
  <c r="AI596" i="2"/>
  <c r="AJ596" i="2"/>
  <c r="AK596" i="2"/>
  <c r="Z597" i="2"/>
  <c r="AA597" i="2"/>
  <c r="AB597" i="2"/>
  <c r="AC597" i="2"/>
  <c r="AD597" i="2"/>
  <c r="AE597" i="2"/>
  <c r="AF597" i="2"/>
  <c r="AG597" i="2"/>
  <c r="AH597" i="2"/>
  <c r="AI597" i="2"/>
  <c r="AJ597" i="2"/>
  <c r="AK597" i="2"/>
  <c r="Z598" i="2"/>
  <c r="AA598" i="2"/>
  <c r="AB598" i="2"/>
  <c r="AC598" i="2"/>
  <c r="AD598" i="2"/>
  <c r="AE598" i="2"/>
  <c r="AF598" i="2"/>
  <c r="AG598" i="2"/>
  <c r="AH598" i="2"/>
  <c r="AI598" i="2"/>
  <c r="AJ598" i="2"/>
  <c r="AK598" i="2"/>
  <c r="Z599" i="2"/>
  <c r="AA599" i="2"/>
  <c r="AB599" i="2"/>
  <c r="AC599" i="2"/>
  <c r="AD599" i="2"/>
  <c r="AE599" i="2"/>
  <c r="AF599" i="2"/>
  <c r="AG599" i="2"/>
  <c r="AH599" i="2"/>
  <c r="AI599" i="2"/>
  <c r="AJ599" i="2"/>
  <c r="AK599" i="2"/>
  <c r="Z600" i="2"/>
  <c r="AA600" i="2"/>
  <c r="AB600" i="2"/>
  <c r="AC600" i="2"/>
  <c r="AD600" i="2"/>
  <c r="AE600" i="2"/>
  <c r="AF600" i="2"/>
  <c r="AG600" i="2"/>
  <c r="AH600" i="2"/>
  <c r="AI600" i="2"/>
  <c r="AJ600" i="2"/>
  <c r="AK600" i="2"/>
  <c r="Z601" i="2"/>
  <c r="AA601" i="2"/>
  <c r="AB601" i="2"/>
  <c r="AC601" i="2"/>
  <c r="AD601" i="2"/>
  <c r="AE601" i="2"/>
  <c r="AF601" i="2"/>
  <c r="AG601" i="2"/>
  <c r="AH601" i="2"/>
  <c r="AI601" i="2"/>
  <c r="AJ601" i="2"/>
  <c r="AK601" i="2"/>
  <c r="Z602" i="2"/>
  <c r="AA602" i="2"/>
  <c r="AB602" i="2"/>
  <c r="AC602" i="2"/>
  <c r="AD602" i="2"/>
  <c r="AE602" i="2"/>
  <c r="AF602" i="2"/>
  <c r="AG602" i="2"/>
  <c r="AH602" i="2"/>
  <c r="AI602" i="2"/>
  <c r="AJ602" i="2"/>
  <c r="AK602" i="2"/>
  <c r="Z603" i="2"/>
  <c r="AA603" i="2"/>
  <c r="AB603" i="2"/>
  <c r="AC603" i="2"/>
  <c r="AD603" i="2"/>
  <c r="AE603" i="2"/>
  <c r="AF603" i="2"/>
  <c r="AG603" i="2"/>
  <c r="AH603" i="2"/>
  <c r="AI603" i="2"/>
  <c r="AJ603" i="2"/>
  <c r="AK603" i="2"/>
  <c r="Z604" i="2"/>
  <c r="AA604" i="2"/>
  <c r="AB604" i="2"/>
  <c r="AC604" i="2"/>
  <c r="AD604" i="2"/>
  <c r="AE604" i="2"/>
  <c r="AF604" i="2"/>
  <c r="AG604" i="2"/>
  <c r="AH604" i="2"/>
  <c r="AI604" i="2"/>
  <c r="AJ604" i="2"/>
  <c r="AK604" i="2"/>
  <c r="Z605" i="2"/>
  <c r="AA605" i="2"/>
  <c r="AB605" i="2"/>
  <c r="AC605" i="2"/>
  <c r="AD605" i="2"/>
  <c r="AE605" i="2"/>
  <c r="AF605" i="2"/>
  <c r="AG605" i="2"/>
  <c r="AH605" i="2"/>
  <c r="AI605" i="2"/>
  <c r="AJ605" i="2"/>
  <c r="AK605" i="2"/>
  <c r="Z606" i="2"/>
  <c r="AA606" i="2"/>
  <c r="AB606" i="2"/>
  <c r="AC606" i="2"/>
  <c r="AD606" i="2"/>
  <c r="AE606" i="2"/>
  <c r="AF606" i="2"/>
  <c r="AG606" i="2"/>
  <c r="AH606" i="2"/>
  <c r="AI606" i="2"/>
  <c r="AJ606" i="2"/>
  <c r="AK606" i="2"/>
  <c r="Z607" i="2"/>
  <c r="AA607" i="2"/>
  <c r="AB607" i="2"/>
  <c r="AC607" i="2"/>
  <c r="AD607" i="2"/>
  <c r="AE607" i="2"/>
  <c r="AF607" i="2"/>
  <c r="AG607" i="2"/>
  <c r="AH607" i="2"/>
  <c r="AI607" i="2"/>
  <c r="AJ607" i="2"/>
  <c r="AK607" i="2"/>
  <c r="Z608" i="2"/>
  <c r="AA608" i="2"/>
  <c r="AB608" i="2"/>
  <c r="AC608" i="2"/>
  <c r="AD608" i="2"/>
  <c r="AE608" i="2"/>
  <c r="AF608" i="2"/>
  <c r="AG608" i="2"/>
  <c r="AH608" i="2"/>
  <c r="AI608" i="2"/>
  <c r="AJ608" i="2"/>
  <c r="AK608" i="2"/>
  <c r="Z609" i="2"/>
  <c r="AA609" i="2"/>
  <c r="AB609" i="2"/>
  <c r="AC609" i="2"/>
  <c r="AD609" i="2"/>
  <c r="AE609" i="2"/>
  <c r="AF609" i="2"/>
  <c r="AG609" i="2"/>
  <c r="AH609" i="2"/>
  <c r="AI609" i="2"/>
  <c r="AJ609" i="2"/>
  <c r="AK609" i="2"/>
  <c r="Z610" i="2"/>
  <c r="AA610" i="2"/>
  <c r="AB610" i="2"/>
  <c r="AC610" i="2"/>
  <c r="AD610" i="2"/>
  <c r="AE610" i="2"/>
  <c r="AF610" i="2"/>
  <c r="AG610" i="2"/>
  <c r="AH610" i="2"/>
  <c r="AI610" i="2"/>
  <c r="AJ610" i="2"/>
  <c r="AK610" i="2"/>
  <c r="Z611" i="2"/>
  <c r="AA611" i="2"/>
  <c r="AB611" i="2"/>
  <c r="AC611" i="2"/>
  <c r="AD611" i="2"/>
  <c r="AE611" i="2"/>
  <c r="AF611" i="2"/>
  <c r="AG611" i="2"/>
  <c r="AH611" i="2"/>
  <c r="AI611" i="2"/>
  <c r="AJ611" i="2"/>
  <c r="AK611" i="2"/>
  <c r="Z612" i="2"/>
  <c r="AA612" i="2"/>
  <c r="AB612" i="2"/>
  <c r="AC612" i="2"/>
  <c r="AD612" i="2"/>
  <c r="AE612" i="2"/>
  <c r="AF612" i="2"/>
  <c r="AG612" i="2"/>
  <c r="AH612" i="2"/>
  <c r="AI612" i="2"/>
  <c r="AJ612" i="2"/>
  <c r="AK612" i="2"/>
  <c r="Z613" i="2"/>
  <c r="AA613" i="2"/>
  <c r="AB613" i="2"/>
  <c r="AC613" i="2"/>
  <c r="AD613" i="2"/>
  <c r="AE613" i="2"/>
  <c r="AF613" i="2"/>
  <c r="AG613" i="2"/>
  <c r="AH613" i="2"/>
  <c r="AI613" i="2"/>
  <c r="AJ613" i="2"/>
  <c r="AK613" i="2"/>
  <c r="Z614" i="2"/>
  <c r="AA614" i="2"/>
  <c r="AB614" i="2"/>
  <c r="AC614" i="2"/>
  <c r="AD614" i="2"/>
  <c r="AE614" i="2"/>
  <c r="AF614" i="2"/>
  <c r="AG614" i="2"/>
  <c r="AH614" i="2"/>
  <c r="AI614" i="2"/>
  <c r="AJ614" i="2"/>
  <c r="AK614" i="2"/>
  <c r="Z615" i="2"/>
  <c r="AA615" i="2"/>
  <c r="AB615" i="2"/>
  <c r="AC615" i="2"/>
  <c r="AD615" i="2"/>
  <c r="AE615" i="2"/>
  <c r="AF615" i="2"/>
  <c r="AG615" i="2"/>
  <c r="AH615" i="2"/>
  <c r="AI615" i="2"/>
  <c r="AJ615" i="2"/>
  <c r="AK615" i="2"/>
  <c r="Z616" i="2"/>
  <c r="AA616" i="2"/>
  <c r="AB616" i="2"/>
  <c r="AC616" i="2"/>
  <c r="AD616" i="2"/>
  <c r="AE616" i="2"/>
  <c r="AF616" i="2"/>
  <c r="AG616" i="2"/>
  <c r="AH616" i="2"/>
  <c r="AI616" i="2"/>
  <c r="AJ616" i="2"/>
  <c r="AK616" i="2"/>
  <c r="Z617" i="2"/>
  <c r="AA617" i="2"/>
  <c r="AB617" i="2"/>
  <c r="AC617" i="2"/>
  <c r="AD617" i="2"/>
  <c r="AE617" i="2"/>
  <c r="AF617" i="2"/>
  <c r="AG617" i="2"/>
  <c r="AH617" i="2"/>
  <c r="AI617" i="2"/>
  <c r="AJ617" i="2"/>
  <c r="AK617" i="2"/>
  <c r="Z618" i="2"/>
  <c r="AA618" i="2"/>
  <c r="AB618" i="2"/>
  <c r="AC618" i="2"/>
  <c r="AD618" i="2"/>
  <c r="AE618" i="2"/>
  <c r="AF618" i="2"/>
  <c r="AG618" i="2"/>
  <c r="AH618" i="2"/>
  <c r="AI618" i="2"/>
  <c r="AJ618" i="2"/>
  <c r="AK618" i="2"/>
  <c r="Z619" i="2"/>
  <c r="AA619" i="2"/>
  <c r="AB619" i="2"/>
  <c r="AC619" i="2"/>
  <c r="AD619" i="2"/>
  <c r="AE619" i="2"/>
  <c r="AF619" i="2"/>
  <c r="AG619" i="2"/>
  <c r="AH619" i="2"/>
  <c r="AI619" i="2"/>
  <c r="AJ619" i="2"/>
  <c r="AK619" i="2"/>
  <c r="Z620" i="2"/>
  <c r="AA620" i="2"/>
  <c r="AB620" i="2"/>
  <c r="AC620" i="2"/>
  <c r="AD620" i="2"/>
  <c r="AE620" i="2"/>
  <c r="AF620" i="2"/>
  <c r="AG620" i="2"/>
  <c r="AH620" i="2"/>
  <c r="AI620" i="2"/>
  <c r="AJ620" i="2"/>
  <c r="AK620" i="2"/>
  <c r="Z621" i="2"/>
  <c r="AA621" i="2"/>
  <c r="AB621" i="2"/>
  <c r="AC621" i="2"/>
  <c r="AD621" i="2"/>
  <c r="AE621" i="2"/>
  <c r="AF621" i="2"/>
  <c r="AG621" i="2"/>
  <c r="AH621" i="2"/>
  <c r="AI621" i="2"/>
  <c r="AJ621" i="2"/>
  <c r="AK621" i="2"/>
  <c r="Z622" i="2"/>
  <c r="AA622" i="2"/>
  <c r="AB622" i="2"/>
  <c r="AC622" i="2"/>
  <c r="AD622" i="2"/>
  <c r="AE622" i="2"/>
  <c r="AF622" i="2"/>
  <c r="AG622" i="2"/>
  <c r="AH622" i="2"/>
  <c r="AI622" i="2"/>
  <c r="AJ622" i="2"/>
  <c r="AK622" i="2"/>
  <c r="Z623" i="2"/>
  <c r="AA623" i="2"/>
  <c r="AB623" i="2"/>
  <c r="AC623" i="2"/>
  <c r="AD623" i="2"/>
  <c r="AE623" i="2"/>
  <c r="AF623" i="2"/>
  <c r="AG623" i="2"/>
  <c r="AH623" i="2"/>
  <c r="AI623" i="2"/>
  <c r="AJ623" i="2"/>
  <c r="AK623" i="2"/>
  <c r="Z624" i="2"/>
  <c r="AA624" i="2"/>
  <c r="AB624" i="2"/>
  <c r="AC624" i="2"/>
  <c r="AD624" i="2"/>
  <c r="AE624" i="2"/>
  <c r="AF624" i="2"/>
  <c r="AG624" i="2"/>
  <c r="AH624" i="2"/>
  <c r="AI624" i="2"/>
  <c r="AJ624" i="2"/>
  <c r="AK624" i="2"/>
  <c r="Z625" i="2"/>
  <c r="AA625" i="2"/>
  <c r="AB625" i="2"/>
  <c r="AC625" i="2"/>
  <c r="AD625" i="2"/>
  <c r="AE625" i="2"/>
  <c r="AF625" i="2"/>
  <c r="AG625" i="2"/>
  <c r="AH625" i="2"/>
  <c r="AI625" i="2"/>
  <c r="AJ625" i="2"/>
  <c r="AK625" i="2"/>
  <c r="Z626" i="2"/>
  <c r="AA626" i="2"/>
  <c r="AB626" i="2"/>
  <c r="AC626" i="2"/>
  <c r="AD626" i="2"/>
  <c r="AE626" i="2"/>
  <c r="AF626" i="2"/>
  <c r="AG626" i="2"/>
  <c r="AH626" i="2"/>
  <c r="AI626" i="2"/>
  <c r="AJ626" i="2"/>
  <c r="AK626" i="2"/>
  <c r="Z627" i="2"/>
  <c r="AA627" i="2"/>
  <c r="AB627" i="2"/>
  <c r="AC627" i="2"/>
  <c r="AD627" i="2"/>
  <c r="AE627" i="2"/>
  <c r="AF627" i="2"/>
  <c r="AG627" i="2"/>
  <c r="AH627" i="2"/>
  <c r="AI627" i="2"/>
  <c r="AJ627" i="2"/>
  <c r="AK627" i="2"/>
  <c r="Z628" i="2"/>
  <c r="AA628" i="2"/>
  <c r="AB628" i="2"/>
  <c r="AC628" i="2"/>
  <c r="AD628" i="2"/>
  <c r="AE628" i="2"/>
  <c r="AF628" i="2"/>
  <c r="AG628" i="2"/>
  <c r="AH628" i="2"/>
  <c r="AI628" i="2"/>
  <c r="AJ628" i="2"/>
  <c r="AK628" i="2"/>
  <c r="Z629" i="2"/>
  <c r="AA629" i="2"/>
  <c r="AB629" i="2"/>
  <c r="AC629" i="2"/>
  <c r="AD629" i="2"/>
  <c r="AE629" i="2"/>
  <c r="AF629" i="2"/>
  <c r="AG629" i="2"/>
  <c r="AH629" i="2"/>
  <c r="AI629" i="2"/>
  <c r="AJ629" i="2"/>
  <c r="AK629" i="2"/>
  <c r="Z630" i="2"/>
  <c r="AA630" i="2"/>
  <c r="AB630" i="2"/>
  <c r="AC630" i="2"/>
  <c r="AD630" i="2"/>
  <c r="AE630" i="2"/>
  <c r="AF630" i="2"/>
  <c r="AG630" i="2"/>
  <c r="AH630" i="2"/>
  <c r="AI630" i="2"/>
  <c r="AJ630" i="2"/>
  <c r="AK630" i="2"/>
  <c r="Z631" i="2"/>
  <c r="AA631" i="2"/>
  <c r="AB631" i="2"/>
  <c r="AC631" i="2"/>
  <c r="AD631" i="2"/>
  <c r="AE631" i="2"/>
  <c r="AF631" i="2"/>
  <c r="AG631" i="2"/>
  <c r="AH631" i="2"/>
  <c r="AI631" i="2"/>
  <c r="AJ631" i="2"/>
  <c r="AK631" i="2"/>
  <c r="Z632" i="2"/>
  <c r="AA632" i="2"/>
  <c r="AB632" i="2"/>
  <c r="AC632" i="2"/>
  <c r="AD632" i="2"/>
  <c r="AE632" i="2"/>
  <c r="AF632" i="2"/>
  <c r="AG632" i="2"/>
  <c r="AH632" i="2"/>
  <c r="AI632" i="2"/>
  <c r="AJ632" i="2"/>
  <c r="AK632" i="2"/>
  <c r="Z633" i="2"/>
  <c r="AA633" i="2"/>
  <c r="AB633" i="2"/>
  <c r="AC633" i="2"/>
  <c r="AD633" i="2"/>
  <c r="AE633" i="2"/>
  <c r="AF633" i="2"/>
  <c r="AG633" i="2"/>
  <c r="AH633" i="2"/>
  <c r="AI633" i="2"/>
  <c r="AJ633" i="2"/>
  <c r="AK633" i="2"/>
  <c r="Z634" i="2"/>
  <c r="AA634" i="2"/>
  <c r="AB634" i="2"/>
  <c r="AC634" i="2"/>
  <c r="AD634" i="2"/>
  <c r="AE634" i="2"/>
  <c r="AF634" i="2"/>
  <c r="AG634" i="2"/>
  <c r="AH634" i="2"/>
  <c r="AI634" i="2"/>
  <c r="AJ634" i="2"/>
  <c r="AK634" i="2"/>
  <c r="Z635" i="2"/>
  <c r="AA635" i="2"/>
  <c r="AB635" i="2"/>
  <c r="AC635" i="2"/>
  <c r="AD635" i="2"/>
  <c r="AE635" i="2"/>
  <c r="AF635" i="2"/>
  <c r="AG635" i="2"/>
  <c r="AH635" i="2"/>
  <c r="AI635" i="2"/>
  <c r="AJ635" i="2"/>
  <c r="AK635" i="2"/>
  <c r="Z636" i="2"/>
  <c r="AA636" i="2"/>
  <c r="AB636" i="2"/>
  <c r="AC636" i="2"/>
  <c r="AD636" i="2"/>
  <c r="AE636" i="2"/>
  <c r="AF636" i="2"/>
  <c r="AG636" i="2"/>
  <c r="AH636" i="2"/>
  <c r="AI636" i="2"/>
  <c r="AJ636" i="2"/>
  <c r="AK636" i="2"/>
  <c r="Z637" i="2"/>
  <c r="AA637" i="2"/>
  <c r="AB637" i="2"/>
  <c r="AC637" i="2"/>
  <c r="AD637" i="2"/>
  <c r="AE637" i="2"/>
  <c r="AF637" i="2"/>
  <c r="AG637" i="2"/>
  <c r="AH637" i="2"/>
  <c r="AI637" i="2"/>
  <c r="AJ637" i="2"/>
  <c r="AK637" i="2"/>
  <c r="Z638" i="2"/>
  <c r="AA638" i="2"/>
  <c r="AB638" i="2"/>
  <c r="AC638" i="2"/>
  <c r="AD638" i="2"/>
  <c r="AE638" i="2"/>
  <c r="AF638" i="2"/>
  <c r="AG638" i="2"/>
  <c r="AH638" i="2"/>
  <c r="AI638" i="2"/>
  <c r="AJ638" i="2"/>
  <c r="AK638" i="2"/>
  <c r="Z639" i="2"/>
  <c r="AA639" i="2"/>
  <c r="AB639" i="2"/>
  <c r="AC639" i="2"/>
  <c r="AD639" i="2"/>
  <c r="AE639" i="2"/>
  <c r="AF639" i="2"/>
  <c r="AG639" i="2"/>
  <c r="AH639" i="2"/>
  <c r="AI639" i="2"/>
  <c r="AJ639" i="2"/>
  <c r="AK639" i="2"/>
  <c r="Z640" i="2"/>
  <c r="AA640" i="2"/>
  <c r="AB640" i="2"/>
  <c r="AC640" i="2"/>
  <c r="AD640" i="2"/>
  <c r="AE640" i="2"/>
  <c r="AF640" i="2"/>
  <c r="AG640" i="2"/>
  <c r="AH640" i="2"/>
  <c r="AI640" i="2"/>
  <c r="AJ640" i="2"/>
  <c r="AK640" i="2"/>
  <c r="Z641" i="2"/>
  <c r="AA641" i="2"/>
  <c r="AB641" i="2"/>
  <c r="AC641" i="2"/>
  <c r="AD641" i="2"/>
  <c r="AE641" i="2"/>
  <c r="AF641" i="2"/>
  <c r="AG641" i="2"/>
  <c r="AH641" i="2"/>
  <c r="AI641" i="2"/>
  <c r="AJ641" i="2"/>
  <c r="AK641" i="2"/>
  <c r="Z642" i="2"/>
  <c r="AA642" i="2"/>
  <c r="AB642" i="2"/>
  <c r="AC642" i="2"/>
  <c r="AD642" i="2"/>
  <c r="AE642" i="2"/>
  <c r="AF642" i="2"/>
  <c r="AG642" i="2"/>
  <c r="AH642" i="2"/>
  <c r="AI642" i="2"/>
  <c r="AJ642" i="2"/>
  <c r="AK642" i="2"/>
  <c r="Z643" i="2"/>
  <c r="AA643" i="2"/>
  <c r="AB643" i="2"/>
  <c r="AC643" i="2"/>
  <c r="AD643" i="2"/>
  <c r="AE643" i="2"/>
  <c r="AF643" i="2"/>
  <c r="AG643" i="2"/>
  <c r="AH643" i="2"/>
  <c r="AI643" i="2"/>
  <c r="AJ643" i="2"/>
  <c r="AK643" i="2"/>
  <c r="Z644" i="2"/>
  <c r="AA644" i="2"/>
  <c r="AB644" i="2"/>
  <c r="AC644" i="2"/>
  <c r="AD644" i="2"/>
  <c r="AE644" i="2"/>
  <c r="AF644" i="2"/>
  <c r="AG644" i="2"/>
  <c r="AH644" i="2"/>
  <c r="AI644" i="2"/>
  <c r="AJ644" i="2"/>
  <c r="AK644" i="2"/>
  <c r="Z645" i="2"/>
  <c r="AA645" i="2"/>
  <c r="AB645" i="2"/>
  <c r="AC645" i="2"/>
  <c r="AD645" i="2"/>
  <c r="AE645" i="2"/>
  <c r="AF645" i="2"/>
  <c r="AG645" i="2"/>
  <c r="AH645" i="2"/>
  <c r="AI645" i="2"/>
  <c r="AJ645" i="2"/>
  <c r="AK645" i="2"/>
  <c r="Z646" i="2"/>
  <c r="AA646" i="2"/>
  <c r="AB646" i="2"/>
  <c r="AC646" i="2"/>
  <c r="AD646" i="2"/>
  <c r="AE646" i="2"/>
  <c r="AF646" i="2"/>
  <c r="AG646" i="2"/>
  <c r="AH646" i="2"/>
  <c r="AI646" i="2"/>
  <c r="AJ646" i="2"/>
  <c r="AK646" i="2"/>
  <c r="Z647" i="2"/>
  <c r="AA647" i="2"/>
  <c r="AB647" i="2"/>
  <c r="AC647" i="2"/>
  <c r="AD647" i="2"/>
  <c r="AE647" i="2"/>
  <c r="AF647" i="2"/>
  <c r="AG647" i="2"/>
  <c r="AH647" i="2"/>
  <c r="AI647" i="2"/>
  <c r="AJ647" i="2"/>
  <c r="AK647" i="2"/>
  <c r="Z648" i="2"/>
  <c r="AA648" i="2"/>
  <c r="AB648" i="2"/>
  <c r="AC648" i="2"/>
  <c r="AD648" i="2"/>
  <c r="AE648" i="2"/>
  <c r="AF648" i="2"/>
  <c r="AG648" i="2"/>
  <c r="AH648" i="2"/>
  <c r="AI648" i="2"/>
  <c r="AJ648" i="2"/>
  <c r="AK648" i="2"/>
  <c r="Z649" i="2"/>
  <c r="AA649" i="2"/>
  <c r="AB649" i="2"/>
  <c r="AC649" i="2"/>
  <c r="AD649" i="2"/>
  <c r="AE649" i="2"/>
  <c r="AF649" i="2"/>
  <c r="AG649" i="2"/>
  <c r="AH649" i="2"/>
  <c r="AI649" i="2"/>
  <c r="AJ649" i="2"/>
  <c r="AK649" i="2"/>
  <c r="Z650" i="2"/>
  <c r="AA650" i="2"/>
  <c r="AB650" i="2"/>
  <c r="AC650" i="2"/>
  <c r="AD650" i="2"/>
  <c r="AE650" i="2"/>
  <c r="AF650" i="2"/>
  <c r="AG650" i="2"/>
  <c r="AH650" i="2"/>
  <c r="AI650" i="2"/>
  <c r="AJ650" i="2"/>
  <c r="AK650" i="2"/>
  <c r="Z651" i="2"/>
  <c r="AA651" i="2"/>
  <c r="AB651" i="2"/>
  <c r="AC651" i="2"/>
  <c r="AD651" i="2"/>
  <c r="AE651" i="2"/>
  <c r="AF651" i="2"/>
  <c r="AG651" i="2"/>
  <c r="AH651" i="2"/>
  <c r="AI651" i="2"/>
  <c r="AJ651" i="2"/>
  <c r="AK651" i="2"/>
  <c r="Z652" i="2"/>
  <c r="AA652" i="2"/>
  <c r="AB652" i="2"/>
  <c r="AC652" i="2"/>
  <c r="AD652" i="2"/>
  <c r="AE652" i="2"/>
  <c r="AF652" i="2"/>
  <c r="AG652" i="2"/>
  <c r="AH652" i="2"/>
  <c r="AI652" i="2"/>
  <c r="AJ652" i="2"/>
  <c r="AK652" i="2"/>
  <c r="Z653" i="2"/>
  <c r="AA653" i="2"/>
  <c r="AB653" i="2"/>
  <c r="AC653" i="2"/>
  <c r="AD653" i="2"/>
  <c r="AE653" i="2"/>
  <c r="AF653" i="2"/>
  <c r="AG653" i="2"/>
  <c r="AH653" i="2"/>
  <c r="AI653" i="2"/>
  <c r="AJ653" i="2"/>
  <c r="AK653" i="2"/>
  <c r="Z654" i="2"/>
  <c r="AA654" i="2"/>
  <c r="AB654" i="2"/>
  <c r="AC654" i="2"/>
  <c r="AD654" i="2"/>
  <c r="AE654" i="2"/>
  <c r="AF654" i="2"/>
  <c r="AG654" i="2"/>
  <c r="AH654" i="2"/>
  <c r="AI654" i="2"/>
  <c r="AJ654" i="2"/>
  <c r="AK654" i="2"/>
  <c r="Z655" i="2"/>
  <c r="AA655" i="2"/>
  <c r="AB655" i="2"/>
  <c r="AC655" i="2"/>
  <c r="AD655" i="2"/>
  <c r="AE655" i="2"/>
  <c r="AF655" i="2"/>
  <c r="AG655" i="2"/>
  <c r="AH655" i="2"/>
  <c r="AI655" i="2"/>
  <c r="AJ655" i="2"/>
  <c r="AK655" i="2"/>
  <c r="Z656" i="2"/>
  <c r="AA656" i="2"/>
  <c r="AB656" i="2"/>
  <c r="AC656" i="2"/>
  <c r="AD656" i="2"/>
  <c r="AE656" i="2"/>
  <c r="AF656" i="2"/>
  <c r="AG656" i="2"/>
  <c r="AH656" i="2"/>
  <c r="AI656" i="2"/>
  <c r="AJ656" i="2"/>
  <c r="AK656" i="2"/>
  <c r="Z657" i="2"/>
  <c r="AA657" i="2"/>
  <c r="AB657" i="2"/>
  <c r="AC657" i="2"/>
  <c r="AD657" i="2"/>
  <c r="AE657" i="2"/>
  <c r="AF657" i="2"/>
  <c r="AG657" i="2"/>
  <c r="AH657" i="2"/>
  <c r="AI657" i="2"/>
  <c r="AJ657" i="2"/>
  <c r="AK657" i="2"/>
  <c r="Z658" i="2"/>
  <c r="AA658" i="2"/>
  <c r="AB658" i="2"/>
  <c r="AC658" i="2"/>
  <c r="AD658" i="2"/>
  <c r="AE658" i="2"/>
  <c r="AF658" i="2"/>
  <c r="AG658" i="2"/>
  <c r="AH658" i="2"/>
  <c r="AI658" i="2"/>
  <c r="AJ658" i="2"/>
  <c r="AK658" i="2"/>
  <c r="Z659" i="2"/>
  <c r="AA659" i="2"/>
  <c r="AB659" i="2"/>
  <c r="AC659" i="2"/>
  <c r="AD659" i="2"/>
  <c r="AE659" i="2"/>
  <c r="AF659" i="2"/>
  <c r="AG659" i="2"/>
  <c r="AH659" i="2"/>
  <c r="AI659" i="2"/>
  <c r="AJ659" i="2"/>
  <c r="AK659" i="2"/>
  <c r="Z660" i="2"/>
  <c r="AA660" i="2"/>
  <c r="AB660" i="2"/>
  <c r="AC660" i="2"/>
  <c r="AD660" i="2"/>
  <c r="AE660" i="2"/>
  <c r="AF660" i="2"/>
  <c r="AG660" i="2"/>
  <c r="AH660" i="2"/>
  <c r="AI660" i="2"/>
  <c r="AJ660" i="2"/>
  <c r="AK660" i="2"/>
  <c r="Z661" i="2"/>
  <c r="AA661" i="2"/>
  <c r="AB661" i="2"/>
  <c r="AC661" i="2"/>
  <c r="AD661" i="2"/>
  <c r="AE661" i="2"/>
  <c r="AF661" i="2"/>
  <c r="AG661" i="2"/>
  <c r="AH661" i="2"/>
  <c r="AI661" i="2"/>
  <c r="AJ661" i="2"/>
  <c r="AK661" i="2"/>
  <c r="Z662" i="2"/>
  <c r="AA662" i="2"/>
  <c r="AB662" i="2"/>
  <c r="AC662" i="2"/>
  <c r="AD662" i="2"/>
  <c r="AE662" i="2"/>
  <c r="AF662" i="2"/>
  <c r="AG662" i="2"/>
  <c r="AH662" i="2"/>
  <c r="AI662" i="2"/>
  <c r="AJ662" i="2"/>
  <c r="AK662" i="2"/>
  <c r="Z663" i="2"/>
  <c r="AA663" i="2"/>
  <c r="AB663" i="2"/>
  <c r="AC663" i="2"/>
  <c r="AD663" i="2"/>
  <c r="AE663" i="2"/>
  <c r="AF663" i="2"/>
  <c r="AG663" i="2"/>
  <c r="AH663" i="2"/>
  <c r="AI663" i="2"/>
  <c r="AJ663" i="2"/>
  <c r="AK663" i="2"/>
  <c r="Z664" i="2"/>
  <c r="AA664" i="2"/>
  <c r="AB664" i="2"/>
  <c r="AC664" i="2"/>
  <c r="AD664" i="2"/>
  <c r="AE664" i="2"/>
  <c r="AF664" i="2"/>
  <c r="AG664" i="2"/>
  <c r="AH664" i="2"/>
  <c r="AI664" i="2"/>
  <c r="AJ664" i="2"/>
  <c r="AK664" i="2"/>
  <c r="Z665" i="2"/>
  <c r="AA665" i="2"/>
  <c r="AB665" i="2"/>
  <c r="AC665" i="2"/>
  <c r="AD665" i="2"/>
  <c r="AE665" i="2"/>
  <c r="AF665" i="2"/>
  <c r="AG665" i="2"/>
  <c r="AH665" i="2"/>
  <c r="AI665" i="2"/>
  <c r="AJ665" i="2"/>
  <c r="AK665" i="2"/>
  <c r="Z666" i="2"/>
  <c r="AA666" i="2"/>
  <c r="AB666" i="2"/>
  <c r="AC666" i="2"/>
  <c r="AD666" i="2"/>
  <c r="AE666" i="2"/>
  <c r="AF666" i="2"/>
  <c r="AG666" i="2"/>
  <c r="AH666" i="2"/>
  <c r="AI666" i="2"/>
  <c r="AJ666" i="2"/>
  <c r="AK666" i="2"/>
  <c r="Z667" i="2"/>
  <c r="AA667" i="2"/>
  <c r="AB667" i="2"/>
  <c r="AC667" i="2"/>
  <c r="AD667" i="2"/>
  <c r="AE667" i="2"/>
  <c r="AF667" i="2"/>
  <c r="AG667" i="2"/>
  <c r="AH667" i="2"/>
  <c r="AI667" i="2"/>
  <c r="AJ667" i="2"/>
  <c r="AK667" i="2"/>
  <c r="Z668" i="2"/>
  <c r="AA668" i="2"/>
  <c r="AB668" i="2"/>
  <c r="AC668" i="2"/>
  <c r="AD668" i="2"/>
  <c r="AE668" i="2"/>
  <c r="AF668" i="2"/>
  <c r="AG668" i="2"/>
  <c r="AH668" i="2"/>
  <c r="AI668" i="2"/>
  <c r="AJ668" i="2"/>
  <c r="AK668" i="2"/>
  <c r="Z669" i="2"/>
  <c r="AA669" i="2"/>
  <c r="AB669" i="2"/>
  <c r="AC669" i="2"/>
  <c r="AD669" i="2"/>
  <c r="AE669" i="2"/>
  <c r="AF669" i="2"/>
  <c r="AG669" i="2"/>
  <c r="AH669" i="2"/>
  <c r="AI669" i="2"/>
  <c r="AJ669" i="2"/>
  <c r="AK669" i="2"/>
  <c r="Z670" i="2"/>
  <c r="AA670" i="2"/>
  <c r="AB670" i="2"/>
  <c r="AC670" i="2"/>
  <c r="AD670" i="2"/>
  <c r="AE670" i="2"/>
  <c r="AF670" i="2"/>
  <c r="AG670" i="2"/>
  <c r="AH670" i="2"/>
  <c r="AI670" i="2"/>
  <c r="AJ670" i="2"/>
  <c r="AK670" i="2"/>
  <c r="Z671" i="2"/>
  <c r="AA671" i="2"/>
  <c r="AB671" i="2"/>
  <c r="AC671" i="2"/>
  <c r="AD671" i="2"/>
  <c r="AE671" i="2"/>
  <c r="AF671" i="2"/>
  <c r="AG671" i="2"/>
  <c r="AH671" i="2"/>
  <c r="AI671" i="2"/>
  <c r="AJ671" i="2"/>
  <c r="AK671" i="2"/>
  <c r="Z672" i="2"/>
  <c r="AA672" i="2"/>
  <c r="AB672" i="2"/>
  <c r="AC672" i="2"/>
  <c r="AD672" i="2"/>
  <c r="AE672" i="2"/>
  <c r="AF672" i="2"/>
  <c r="AG672" i="2"/>
  <c r="AH672" i="2"/>
  <c r="AI672" i="2"/>
  <c r="AJ672" i="2"/>
  <c r="AK672" i="2"/>
  <c r="Z673" i="2"/>
  <c r="AA673" i="2"/>
  <c r="AB673" i="2"/>
  <c r="AC673" i="2"/>
  <c r="AD673" i="2"/>
  <c r="AE673" i="2"/>
  <c r="AF673" i="2"/>
  <c r="AG673" i="2"/>
  <c r="AH673" i="2"/>
  <c r="AI673" i="2"/>
  <c r="AJ673" i="2"/>
  <c r="AK673" i="2"/>
  <c r="Z674" i="2"/>
  <c r="AA674" i="2"/>
  <c r="AB674" i="2"/>
  <c r="AC674" i="2"/>
  <c r="AD674" i="2"/>
  <c r="AE674" i="2"/>
  <c r="AF674" i="2"/>
  <c r="AG674" i="2"/>
  <c r="AH674" i="2"/>
  <c r="AI674" i="2"/>
  <c r="AJ674" i="2"/>
  <c r="AK674" i="2"/>
  <c r="Z675" i="2"/>
  <c r="AA675" i="2"/>
  <c r="AB675" i="2"/>
  <c r="AC675" i="2"/>
  <c r="AD675" i="2"/>
  <c r="AE675" i="2"/>
  <c r="AF675" i="2"/>
  <c r="AG675" i="2"/>
  <c r="AH675" i="2"/>
  <c r="AI675" i="2"/>
  <c r="AJ675" i="2"/>
  <c r="AK675" i="2"/>
  <c r="Z676" i="2"/>
  <c r="AA676" i="2"/>
  <c r="AB676" i="2"/>
  <c r="AC676" i="2"/>
  <c r="AD676" i="2"/>
  <c r="AE676" i="2"/>
  <c r="AF676" i="2"/>
  <c r="AG676" i="2"/>
  <c r="AH676" i="2"/>
  <c r="AI676" i="2"/>
  <c r="AJ676" i="2"/>
  <c r="AK676" i="2"/>
  <c r="Z677" i="2"/>
  <c r="AA677" i="2"/>
  <c r="AB677" i="2"/>
  <c r="AC677" i="2"/>
  <c r="AD677" i="2"/>
  <c r="AE677" i="2"/>
  <c r="AF677" i="2"/>
  <c r="AG677" i="2"/>
  <c r="AH677" i="2"/>
  <c r="AI677" i="2"/>
  <c r="AJ677" i="2"/>
  <c r="AK677" i="2"/>
  <c r="Z678" i="2"/>
  <c r="AA678" i="2"/>
  <c r="AB678" i="2"/>
  <c r="AC678" i="2"/>
  <c r="AD678" i="2"/>
  <c r="AE678" i="2"/>
  <c r="AF678" i="2"/>
  <c r="AG678" i="2"/>
  <c r="AH678" i="2"/>
  <c r="AI678" i="2"/>
  <c r="AJ678" i="2"/>
  <c r="AK678" i="2"/>
  <c r="Z679" i="2"/>
  <c r="AA679" i="2"/>
  <c r="AB679" i="2"/>
  <c r="AC679" i="2"/>
  <c r="AD679" i="2"/>
  <c r="AE679" i="2"/>
  <c r="AF679" i="2"/>
  <c r="AG679" i="2"/>
  <c r="AH679" i="2"/>
  <c r="AI679" i="2"/>
  <c r="AJ679" i="2"/>
  <c r="AK679" i="2"/>
  <c r="Z680" i="2"/>
  <c r="AA680" i="2"/>
  <c r="AB680" i="2"/>
  <c r="AC680" i="2"/>
  <c r="AD680" i="2"/>
  <c r="AE680" i="2"/>
  <c r="AF680" i="2"/>
  <c r="AG680" i="2"/>
  <c r="AH680" i="2"/>
  <c r="AI680" i="2"/>
  <c r="AJ680" i="2"/>
  <c r="AK680" i="2"/>
  <c r="Z681" i="2"/>
  <c r="AA681" i="2"/>
  <c r="AB681" i="2"/>
  <c r="AC681" i="2"/>
  <c r="AD681" i="2"/>
  <c r="AE681" i="2"/>
  <c r="AF681" i="2"/>
  <c r="AG681" i="2"/>
  <c r="AH681" i="2"/>
  <c r="AI681" i="2"/>
  <c r="AJ681" i="2"/>
  <c r="AK681" i="2"/>
  <c r="Z682" i="2"/>
  <c r="AA682" i="2"/>
  <c r="AB682" i="2"/>
  <c r="AC682" i="2"/>
  <c r="AD682" i="2"/>
  <c r="AE682" i="2"/>
  <c r="AF682" i="2"/>
  <c r="AG682" i="2"/>
  <c r="AH682" i="2"/>
  <c r="AI682" i="2"/>
  <c r="AJ682" i="2"/>
  <c r="AK682" i="2"/>
  <c r="Z683" i="2"/>
  <c r="AA683" i="2"/>
  <c r="AB683" i="2"/>
  <c r="AC683" i="2"/>
  <c r="AD683" i="2"/>
  <c r="AE683" i="2"/>
  <c r="AF683" i="2"/>
  <c r="AG683" i="2"/>
  <c r="AH683" i="2"/>
  <c r="AI683" i="2"/>
  <c r="AJ683" i="2"/>
  <c r="AK683" i="2"/>
  <c r="Z684" i="2"/>
  <c r="AA684" i="2"/>
  <c r="AB684" i="2"/>
  <c r="AC684" i="2"/>
  <c r="AD684" i="2"/>
  <c r="AE684" i="2"/>
  <c r="AF684" i="2"/>
  <c r="AG684" i="2"/>
  <c r="AH684" i="2"/>
  <c r="AI684" i="2"/>
  <c r="AJ684" i="2"/>
  <c r="AK684" i="2"/>
  <c r="Z685" i="2"/>
  <c r="AA685" i="2"/>
  <c r="AB685" i="2"/>
  <c r="AC685" i="2"/>
  <c r="AD685" i="2"/>
  <c r="AE685" i="2"/>
  <c r="AF685" i="2"/>
  <c r="AG685" i="2"/>
  <c r="AH685" i="2"/>
  <c r="AI685" i="2"/>
  <c r="AJ685" i="2"/>
  <c r="AK685" i="2"/>
  <c r="Z686" i="2"/>
  <c r="AA686" i="2"/>
  <c r="AB686" i="2"/>
  <c r="AC686" i="2"/>
  <c r="AD686" i="2"/>
  <c r="AE686" i="2"/>
  <c r="AF686" i="2"/>
  <c r="AG686" i="2"/>
  <c r="AH686" i="2"/>
  <c r="AI686" i="2"/>
  <c r="AJ686" i="2"/>
  <c r="AK686" i="2"/>
  <c r="Z687" i="2"/>
  <c r="AA687" i="2"/>
  <c r="AB687" i="2"/>
  <c r="AC687" i="2"/>
  <c r="AD687" i="2"/>
  <c r="AE687" i="2"/>
  <c r="AF687" i="2"/>
  <c r="AG687" i="2"/>
  <c r="AH687" i="2"/>
  <c r="AI687" i="2"/>
  <c r="AJ687" i="2"/>
  <c r="AK687" i="2"/>
  <c r="Z688" i="2"/>
  <c r="AA688" i="2"/>
  <c r="AB688" i="2"/>
  <c r="AC688" i="2"/>
  <c r="AD688" i="2"/>
  <c r="AE688" i="2"/>
  <c r="AF688" i="2"/>
  <c r="AG688" i="2"/>
  <c r="AH688" i="2"/>
  <c r="AI688" i="2"/>
  <c r="AJ688" i="2"/>
  <c r="AK688" i="2"/>
  <c r="Z689" i="2"/>
  <c r="AA689" i="2"/>
  <c r="AB689" i="2"/>
  <c r="AC689" i="2"/>
  <c r="AD689" i="2"/>
  <c r="AE689" i="2"/>
  <c r="AF689" i="2"/>
  <c r="AG689" i="2"/>
  <c r="AH689" i="2"/>
  <c r="AI689" i="2"/>
  <c r="AJ689" i="2"/>
  <c r="AK689" i="2"/>
  <c r="Z690" i="2"/>
  <c r="AA690" i="2"/>
  <c r="AB690" i="2"/>
  <c r="AC690" i="2"/>
  <c r="AD690" i="2"/>
  <c r="AE690" i="2"/>
  <c r="AF690" i="2"/>
  <c r="AG690" i="2"/>
  <c r="AH690" i="2"/>
  <c r="AI690" i="2"/>
  <c r="AJ690" i="2"/>
  <c r="AK690" i="2"/>
  <c r="Z691" i="2"/>
  <c r="AA691" i="2"/>
  <c r="AB691" i="2"/>
  <c r="AC691" i="2"/>
  <c r="AD691" i="2"/>
  <c r="AE691" i="2"/>
  <c r="AF691" i="2"/>
  <c r="AG691" i="2"/>
  <c r="AH691" i="2"/>
  <c r="AI691" i="2"/>
  <c r="AJ691" i="2"/>
  <c r="AK691" i="2"/>
  <c r="Z692" i="2"/>
  <c r="AA692" i="2"/>
  <c r="AB692" i="2"/>
  <c r="AC692" i="2"/>
  <c r="AD692" i="2"/>
  <c r="AE692" i="2"/>
  <c r="AF692" i="2"/>
  <c r="AG692" i="2"/>
  <c r="AH692" i="2"/>
  <c r="AI692" i="2"/>
  <c r="AJ692" i="2"/>
  <c r="AK692" i="2"/>
  <c r="Z693" i="2"/>
  <c r="AA693" i="2"/>
  <c r="AB693" i="2"/>
  <c r="AC693" i="2"/>
  <c r="AD693" i="2"/>
  <c r="AE693" i="2"/>
  <c r="AF693" i="2"/>
  <c r="AG693" i="2"/>
  <c r="AH693" i="2"/>
  <c r="AI693" i="2"/>
  <c r="AJ693" i="2"/>
  <c r="AK693" i="2"/>
  <c r="Z694" i="2"/>
  <c r="AA694" i="2"/>
  <c r="AB694" i="2"/>
  <c r="AC694" i="2"/>
  <c r="AD694" i="2"/>
  <c r="AE694" i="2"/>
  <c r="AF694" i="2"/>
  <c r="AG694" i="2"/>
  <c r="AH694" i="2"/>
  <c r="AI694" i="2"/>
  <c r="AJ694" i="2"/>
  <c r="AK694" i="2"/>
  <c r="Z695" i="2"/>
  <c r="AA695" i="2"/>
  <c r="AB695" i="2"/>
  <c r="AC695" i="2"/>
  <c r="AD695" i="2"/>
  <c r="AE695" i="2"/>
  <c r="AF695" i="2"/>
  <c r="AG695" i="2"/>
  <c r="AH695" i="2"/>
  <c r="AI695" i="2"/>
  <c r="AJ695" i="2"/>
  <c r="AK695" i="2"/>
  <c r="Z696" i="2"/>
  <c r="AA696" i="2"/>
  <c r="AB696" i="2"/>
  <c r="AC696" i="2"/>
  <c r="AD696" i="2"/>
  <c r="AE696" i="2"/>
  <c r="AF696" i="2"/>
  <c r="AG696" i="2"/>
  <c r="AH696" i="2"/>
  <c r="AI696" i="2"/>
  <c r="AJ696" i="2"/>
  <c r="AK696" i="2"/>
  <c r="Z697" i="2"/>
  <c r="AA697" i="2"/>
  <c r="AB697" i="2"/>
  <c r="AC697" i="2"/>
  <c r="AD697" i="2"/>
  <c r="AE697" i="2"/>
  <c r="AF697" i="2"/>
  <c r="AG697" i="2"/>
  <c r="AH697" i="2"/>
  <c r="AI697" i="2"/>
  <c r="AJ697" i="2"/>
  <c r="AK697" i="2"/>
  <c r="Z698" i="2"/>
  <c r="AA698" i="2"/>
  <c r="AB698" i="2"/>
  <c r="AC698" i="2"/>
  <c r="AD698" i="2"/>
  <c r="AE698" i="2"/>
  <c r="AF698" i="2"/>
  <c r="AG698" i="2"/>
  <c r="AH698" i="2"/>
  <c r="AI698" i="2"/>
  <c r="AJ698" i="2"/>
  <c r="AK698" i="2"/>
  <c r="Z699" i="2"/>
  <c r="AA699" i="2"/>
  <c r="AB699" i="2"/>
  <c r="AC699" i="2"/>
  <c r="AD699" i="2"/>
  <c r="AE699" i="2"/>
  <c r="AF699" i="2"/>
  <c r="AG699" i="2"/>
  <c r="AH699" i="2"/>
  <c r="AI699" i="2"/>
  <c r="AJ699" i="2"/>
  <c r="AK699" i="2"/>
  <c r="Z700" i="2"/>
  <c r="AA700" i="2"/>
  <c r="AB700" i="2"/>
  <c r="AC700" i="2"/>
  <c r="AD700" i="2"/>
  <c r="AE700" i="2"/>
  <c r="AF700" i="2"/>
  <c r="AG700" i="2"/>
  <c r="AH700" i="2"/>
  <c r="AI700" i="2"/>
  <c r="AJ700" i="2"/>
  <c r="AK700" i="2"/>
  <c r="Z701" i="2"/>
  <c r="AA701" i="2"/>
  <c r="AB701" i="2"/>
  <c r="AC701" i="2"/>
  <c r="AD701" i="2"/>
  <c r="AE701" i="2"/>
  <c r="AF701" i="2"/>
  <c r="AG701" i="2"/>
  <c r="AH701" i="2"/>
  <c r="AI701" i="2"/>
  <c r="AJ701" i="2"/>
  <c r="AK701" i="2"/>
  <c r="Z702" i="2"/>
  <c r="AA702" i="2"/>
  <c r="AB702" i="2"/>
  <c r="AC702" i="2"/>
  <c r="AD702" i="2"/>
  <c r="AE702" i="2"/>
  <c r="AF702" i="2"/>
  <c r="AG702" i="2"/>
  <c r="AH702" i="2"/>
  <c r="AI702" i="2"/>
  <c r="AJ702" i="2"/>
  <c r="AK702" i="2"/>
  <c r="Z703" i="2"/>
  <c r="AA703" i="2"/>
  <c r="AB703" i="2"/>
  <c r="AC703" i="2"/>
  <c r="AD703" i="2"/>
  <c r="AE703" i="2"/>
  <c r="AF703" i="2"/>
  <c r="AG703" i="2"/>
  <c r="AH703" i="2"/>
  <c r="AI703" i="2"/>
  <c r="AJ703" i="2"/>
  <c r="AK703" i="2"/>
  <c r="Z704" i="2"/>
  <c r="AA704" i="2"/>
  <c r="AB704" i="2"/>
  <c r="AC704" i="2"/>
  <c r="AD704" i="2"/>
  <c r="AE704" i="2"/>
  <c r="AF704" i="2"/>
  <c r="AG704" i="2"/>
  <c r="AH704" i="2"/>
  <c r="AI704" i="2"/>
  <c r="AJ704" i="2"/>
  <c r="AK704" i="2"/>
  <c r="Z705" i="2"/>
  <c r="AA705" i="2"/>
  <c r="AB705" i="2"/>
  <c r="AC705" i="2"/>
  <c r="AD705" i="2"/>
  <c r="AE705" i="2"/>
  <c r="AF705" i="2"/>
  <c r="AG705" i="2"/>
  <c r="AH705" i="2"/>
  <c r="AI705" i="2"/>
  <c r="AJ705" i="2"/>
  <c r="AK705" i="2"/>
  <c r="Z706" i="2"/>
  <c r="AA706" i="2"/>
  <c r="AB706" i="2"/>
  <c r="AC706" i="2"/>
  <c r="AD706" i="2"/>
  <c r="AE706" i="2"/>
  <c r="AF706" i="2"/>
  <c r="AG706" i="2"/>
  <c r="AH706" i="2"/>
  <c r="AI706" i="2"/>
  <c r="AJ706" i="2"/>
  <c r="AK706" i="2"/>
  <c r="Z707" i="2"/>
  <c r="AA707" i="2"/>
  <c r="AB707" i="2"/>
  <c r="AC707" i="2"/>
  <c r="AD707" i="2"/>
  <c r="AE707" i="2"/>
  <c r="AF707" i="2"/>
  <c r="AG707" i="2"/>
  <c r="AH707" i="2"/>
  <c r="AI707" i="2"/>
  <c r="AJ707" i="2"/>
  <c r="AK707" i="2"/>
  <c r="Z708" i="2"/>
  <c r="AA708" i="2"/>
  <c r="AB708" i="2"/>
  <c r="AC708" i="2"/>
  <c r="AD708" i="2"/>
  <c r="AE708" i="2"/>
  <c r="AF708" i="2"/>
  <c r="AG708" i="2"/>
  <c r="AH708" i="2"/>
  <c r="AI708" i="2"/>
  <c r="AJ708" i="2"/>
  <c r="AK708" i="2"/>
  <c r="Z709" i="2"/>
  <c r="AA709" i="2"/>
  <c r="AB709" i="2"/>
  <c r="AC709" i="2"/>
  <c r="AD709" i="2"/>
  <c r="AE709" i="2"/>
  <c r="AF709" i="2"/>
  <c r="AG709" i="2"/>
  <c r="AH709" i="2"/>
  <c r="AI709" i="2"/>
  <c r="AJ709" i="2"/>
  <c r="AK709" i="2"/>
  <c r="Z710" i="2"/>
  <c r="AA710" i="2"/>
  <c r="AB710" i="2"/>
  <c r="AC710" i="2"/>
  <c r="AD710" i="2"/>
  <c r="AE710" i="2"/>
  <c r="AF710" i="2"/>
  <c r="AG710" i="2"/>
  <c r="AH710" i="2"/>
  <c r="AI710" i="2"/>
  <c r="AJ710" i="2"/>
  <c r="AK710" i="2"/>
  <c r="Z711" i="2"/>
  <c r="AA711" i="2"/>
  <c r="AB711" i="2"/>
  <c r="AC711" i="2"/>
  <c r="AD711" i="2"/>
  <c r="AE711" i="2"/>
  <c r="AF711" i="2"/>
  <c r="AG711" i="2"/>
  <c r="AH711" i="2"/>
  <c r="AI711" i="2"/>
  <c r="AJ711" i="2"/>
  <c r="AK711" i="2"/>
  <c r="Z712" i="2"/>
  <c r="AA712" i="2"/>
  <c r="AB712" i="2"/>
  <c r="AC712" i="2"/>
  <c r="AD712" i="2"/>
  <c r="AE712" i="2"/>
  <c r="AF712" i="2"/>
  <c r="AG712" i="2"/>
  <c r="AH712" i="2"/>
  <c r="AI712" i="2"/>
  <c r="AJ712" i="2"/>
  <c r="AK712" i="2"/>
  <c r="Z713" i="2"/>
  <c r="AA713" i="2"/>
  <c r="AB713" i="2"/>
  <c r="AC713" i="2"/>
  <c r="AD713" i="2"/>
  <c r="AE713" i="2"/>
  <c r="AF713" i="2"/>
  <c r="AG713" i="2"/>
  <c r="AH713" i="2"/>
  <c r="AI713" i="2"/>
  <c r="AJ713" i="2"/>
  <c r="AK713" i="2"/>
  <c r="Z714" i="2"/>
  <c r="AA714" i="2"/>
  <c r="AB714" i="2"/>
  <c r="AC714" i="2"/>
  <c r="AD714" i="2"/>
  <c r="AE714" i="2"/>
  <c r="AF714" i="2"/>
  <c r="AG714" i="2"/>
  <c r="AH714" i="2"/>
  <c r="AI714" i="2"/>
  <c r="AJ714" i="2"/>
  <c r="AK714" i="2"/>
  <c r="Z715" i="2"/>
  <c r="AA715" i="2"/>
  <c r="AB715" i="2"/>
  <c r="AC715" i="2"/>
  <c r="AD715" i="2"/>
  <c r="AE715" i="2"/>
  <c r="AF715" i="2"/>
  <c r="AG715" i="2"/>
  <c r="AH715" i="2"/>
  <c r="AI715" i="2"/>
  <c r="AJ715" i="2"/>
  <c r="AK715" i="2"/>
  <c r="Z716" i="2"/>
  <c r="AA716" i="2"/>
  <c r="AB716" i="2"/>
  <c r="AC716" i="2"/>
  <c r="AD716" i="2"/>
  <c r="AE716" i="2"/>
  <c r="AF716" i="2"/>
  <c r="AG716" i="2"/>
  <c r="AH716" i="2"/>
  <c r="AI716" i="2"/>
  <c r="AJ716" i="2"/>
  <c r="AK716" i="2"/>
  <c r="Z717" i="2"/>
  <c r="AA717" i="2"/>
  <c r="AB717" i="2"/>
  <c r="AC717" i="2"/>
  <c r="AD717" i="2"/>
  <c r="AE717" i="2"/>
  <c r="AF717" i="2"/>
  <c r="AG717" i="2"/>
  <c r="AH717" i="2"/>
  <c r="AI717" i="2"/>
  <c r="AJ717" i="2"/>
  <c r="AK717" i="2"/>
  <c r="Z718" i="2"/>
  <c r="AA718" i="2"/>
  <c r="AB718" i="2"/>
  <c r="AC718" i="2"/>
  <c r="AD718" i="2"/>
  <c r="AE718" i="2"/>
  <c r="AF718" i="2"/>
  <c r="AG718" i="2"/>
  <c r="AH718" i="2"/>
  <c r="AI718" i="2"/>
  <c r="AJ718" i="2"/>
  <c r="AK718" i="2"/>
  <c r="Z719" i="2"/>
  <c r="AA719" i="2"/>
  <c r="AB719" i="2"/>
  <c r="AC719" i="2"/>
  <c r="AD719" i="2"/>
  <c r="AE719" i="2"/>
  <c r="AF719" i="2"/>
  <c r="AG719" i="2"/>
  <c r="AH719" i="2"/>
  <c r="AI719" i="2"/>
  <c r="AJ719" i="2"/>
  <c r="AK719" i="2"/>
  <c r="Z720" i="2"/>
  <c r="AA720" i="2"/>
  <c r="AB720" i="2"/>
  <c r="AC720" i="2"/>
  <c r="AD720" i="2"/>
  <c r="AE720" i="2"/>
  <c r="AF720" i="2"/>
  <c r="AG720" i="2"/>
  <c r="AH720" i="2"/>
  <c r="AI720" i="2"/>
  <c r="AJ720" i="2"/>
  <c r="AK720" i="2"/>
  <c r="Z721" i="2"/>
  <c r="AA721" i="2"/>
  <c r="AB721" i="2"/>
  <c r="AC721" i="2"/>
  <c r="AD721" i="2"/>
  <c r="AE721" i="2"/>
  <c r="AF721" i="2"/>
  <c r="AG721" i="2"/>
  <c r="AH721" i="2"/>
  <c r="AI721" i="2"/>
  <c r="AJ721" i="2"/>
  <c r="AK721" i="2"/>
  <c r="Z722" i="2"/>
  <c r="AA722" i="2"/>
  <c r="AB722" i="2"/>
  <c r="AC722" i="2"/>
  <c r="AD722" i="2"/>
  <c r="AE722" i="2"/>
  <c r="AF722" i="2"/>
  <c r="AG722" i="2"/>
  <c r="AH722" i="2"/>
  <c r="AI722" i="2"/>
  <c r="AJ722" i="2"/>
  <c r="AK722" i="2"/>
  <c r="Z723" i="2"/>
  <c r="AA723" i="2"/>
  <c r="AB723" i="2"/>
  <c r="AC723" i="2"/>
  <c r="AD723" i="2"/>
  <c r="AE723" i="2"/>
  <c r="AF723" i="2"/>
  <c r="AG723" i="2"/>
  <c r="AH723" i="2"/>
  <c r="AI723" i="2"/>
  <c r="AJ723" i="2"/>
  <c r="AK723" i="2"/>
  <c r="Z724" i="2"/>
  <c r="AA724" i="2"/>
  <c r="AB724" i="2"/>
  <c r="AC724" i="2"/>
  <c r="AD724" i="2"/>
  <c r="AE724" i="2"/>
  <c r="AF724" i="2"/>
  <c r="AG724" i="2"/>
  <c r="AH724" i="2"/>
  <c r="AI724" i="2"/>
  <c r="AJ724" i="2"/>
  <c r="AK724" i="2"/>
  <c r="Z725" i="2"/>
  <c r="AA725" i="2"/>
  <c r="AB725" i="2"/>
  <c r="AC725" i="2"/>
  <c r="AD725" i="2"/>
  <c r="AE725" i="2"/>
  <c r="AF725" i="2"/>
  <c r="AG725" i="2"/>
  <c r="AH725" i="2"/>
  <c r="AI725" i="2"/>
  <c r="AJ725" i="2"/>
  <c r="AK725" i="2"/>
  <c r="Z726" i="2"/>
  <c r="AA726" i="2"/>
  <c r="AB726" i="2"/>
  <c r="AC726" i="2"/>
  <c r="AD726" i="2"/>
  <c r="AE726" i="2"/>
  <c r="AF726" i="2"/>
  <c r="AG726" i="2"/>
  <c r="AH726" i="2"/>
  <c r="AI726" i="2"/>
  <c r="AJ726" i="2"/>
  <c r="AK726" i="2"/>
  <c r="Z727" i="2"/>
  <c r="AA727" i="2"/>
  <c r="AB727" i="2"/>
  <c r="AC727" i="2"/>
  <c r="AD727" i="2"/>
  <c r="AE727" i="2"/>
  <c r="AF727" i="2"/>
  <c r="AG727" i="2"/>
  <c r="AH727" i="2"/>
  <c r="AI727" i="2"/>
  <c r="AJ727" i="2"/>
  <c r="AK727" i="2"/>
  <c r="Z728" i="2"/>
  <c r="AA728" i="2"/>
  <c r="AB728" i="2"/>
  <c r="AC728" i="2"/>
  <c r="AD728" i="2"/>
  <c r="AE728" i="2"/>
  <c r="AF728" i="2"/>
  <c r="AG728" i="2"/>
  <c r="AH728" i="2"/>
  <c r="AI728" i="2"/>
  <c r="AJ728" i="2"/>
  <c r="AK728" i="2"/>
  <c r="Z729" i="2"/>
  <c r="AA729" i="2"/>
  <c r="AB729" i="2"/>
  <c r="AC729" i="2"/>
  <c r="AD729" i="2"/>
  <c r="AE729" i="2"/>
  <c r="AF729" i="2"/>
  <c r="AG729" i="2"/>
  <c r="AH729" i="2"/>
  <c r="AI729" i="2"/>
  <c r="AJ729" i="2"/>
  <c r="AK729" i="2"/>
  <c r="Z730" i="2"/>
  <c r="AA730" i="2"/>
  <c r="AB730" i="2"/>
  <c r="AC730" i="2"/>
  <c r="AD730" i="2"/>
  <c r="AE730" i="2"/>
  <c r="AF730" i="2"/>
  <c r="AG730" i="2"/>
  <c r="AH730" i="2"/>
  <c r="AI730" i="2"/>
  <c r="AJ730" i="2"/>
  <c r="AK730" i="2"/>
  <c r="Z731" i="2"/>
  <c r="AA731" i="2"/>
  <c r="AB731" i="2"/>
  <c r="AC731" i="2"/>
  <c r="AD731" i="2"/>
  <c r="AE731" i="2"/>
  <c r="AF731" i="2"/>
  <c r="AG731" i="2"/>
  <c r="AH731" i="2"/>
  <c r="AI731" i="2"/>
  <c r="AJ731" i="2"/>
  <c r="AK731" i="2"/>
  <c r="Z732" i="2"/>
  <c r="AA732" i="2"/>
  <c r="AB732" i="2"/>
  <c r="AC732" i="2"/>
  <c r="AD732" i="2"/>
  <c r="AE732" i="2"/>
  <c r="AF732" i="2"/>
  <c r="AG732" i="2"/>
  <c r="AH732" i="2"/>
  <c r="AI732" i="2"/>
  <c r="AJ732" i="2"/>
  <c r="AK732" i="2"/>
  <c r="Z733" i="2"/>
  <c r="AA733" i="2"/>
  <c r="AB733" i="2"/>
  <c r="AC733" i="2"/>
  <c r="AD733" i="2"/>
  <c r="AE733" i="2"/>
  <c r="AF733" i="2"/>
  <c r="AG733" i="2"/>
  <c r="AH733" i="2"/>
  <c r="AI733" i="2"/>
  <c r="AJ733" i="2"/>
  <c r="AK733" i="2"/>
  <c r="Z734" i="2"/>
  <c r="AA734" i="2"/>
  <c r="AB734" i="2"/>
  <c r="AC734" i="2"/>
  <c r="AD734" i="2"/>
  <c r="AE734" i="2"/>
  <c r="AF734" i="2"/>
  <c r="AG734" i="2"/>
  <c r="AH734" i="2"/>
  <c r="AI734" i="2"/>
  <c r="AJ734" i="2"/>
  <c r="AK734" i="2"/>
  <c r="Z735" i="2"/>
  <c r="AA735" i="2"/>
  <c r="AB735" i="2"/>
  <c r="AC735" i="2"/>
  <c r="AD735" i="2"/>
  <c r="AE735" i="2"/>
  <c r="AF735" i="2"/>
  <c r="AG735" i="2"/>
  <c r="AH735" i="2"/>
  <c r="AI735" i="2"/>
  <c r="AJ735" i="2"/>
  <c r="AK735" i="2"/>
  <c r="Z736" i="2"/>
  <c r="AA736" i="2"/>
  <c r="AB736" i="2"/>
  <c r="AC736" i="2"/>
  <c r="AD736" i="2"/>
  <c r="AE736" i="2"/>
  <c r="AF736" i="2"/>
  <c r="AG736" i="2"/>
  <c r="AH736" i="2"/>
  <c r="AI736" i="2"/>
  <c r="AJ736" i="2"/>
  <c r="AK736" i="2"/>
  <c r="Z737" i="2"/>
  <c r="AA737" i="2"/>
  <c r="AB737" i="2"/>
  <c r="AC737" i="2"/>
  <c r="AD737" i="2"/>
  <c r="AE737" i="2"/>
  <c r="AF737" i="2"/>
  <c r="AG737" i="2"/>
  <c r="AH737" i="2"/>
  <c r="AI737" i="2"/>
  <c r="AJ737" i="2"/>
  <c r="AK737" i="2"/>
  <c r="Z738" i="2"/>
  <c r="AA738" i="2"/>
  <c r="AB738" i="2"/>
  <c r="AC738" i="2"/>
  <c r="AD738" i="2"/>
  <c r="AE738" i="2"/>
  <c r="AF738" i="2"/>
  <c r="AG738" i="2"/>
  <c r="AH738" i="2"/>
  <c r="AI738" i="2"/>
  <c r="AJ738" i="2"/>
  <c r="AK738" i="2"/>
  <c r="Z739" i="2"/>
  <c r="AA739" i="2"/>
  <c r="AB739" i="2"/>
  <c r="AC739" i="2"/>
  <c r="AD739" i="2"/>
  <c r="AE739" i="2"/>
  <c r="AF739" i="2"/>
  <c r="AG739" i="2"/>
  <c r="AH739" i="2"/>
  <c r="AI739" i="2"/>
  <c r="AJ739" i="2"/>
  <c r="AK739" i="2"/>
  <c r="Z740" i="2"/>
  <c r="AA740" i="2"/>
  <c r="AB740" i="2"/>
  <c r="AC740" i="2"/>
  <c r="AD740" i="2"/>
  <c r="AE740" i="2"/>
  <c r="AF740" i="2"/>
  <c r="AG740" i="2"/>
  <c r="AH740" i="2"/>
  <c r="AI740" i="2"/>
  <c r="AJ740" i="2"/>
  <c r="AK740" i="2"/>
  <c r="Z741" i="2"/>
  <c r="AA741" i="2"/>
  <c r="AB741" i="2"/>
  <c r="AC741" i="2"/>
  <c r="AD741" i="2"/>
  <c r="AE741" i="2"/>
  <c r="AF741" i="2"/>
  <c r="AG741" i="2"/>
  <c r="AH741" i="2"/>
  <c r="AI741" i="2"/>
  <c r="AJ741" i="2"/>
  <c r="AK741" i="2"/>
  <c r="Z742" i="2"/>
  <c r="AA742" i="2"/>
  <c r="AB742" i="2"/>
  <c r="AC742" i="2"/>
  <c r="AD742" i="2"/>
  <c r="AE742" i="2"/>
  <c r="AF742" i="2"/>
  <c r="AG742" i="2"/>
  <c r="AH742" i="2"/>
  <c r="AI742" i="2"/>
  <c r="AJ742" i="2"/>
  <c r="AK742" i="2"/>
  <c r="Z743" i="2"/>
  <c r="AA743" i="2"/>
  <c r="AB743" i="2"/>
  <c r="AC743" i="2"/>
  <c r="AD743" i="2"/>
  <c r="AE743" i="2"/>
  <c r="AF743" i="2"/>
  <c r="AG743" i="2"/>
  <c r="AH743" i="2"/>
  <c r="AI743" i="2"/>
  <c r="AJ743" i="2"/>
  <c r="AK743" i="2"/>
  <c r="Z744" i="2"/>
  <c r="AA744" i="2"/>
  <c r="AB744" i="2"/>
  <c r="AC744" i="2"/>
  <c r="AD744" i="2"/>
  <c r="AE744" i="2"/>
  <c r="AF744" i="2"/>
  <c r="AG744" i="2"/>
  <c r="AH744" i="2"/>
  <c r="AI744" i="2"/>
  <c r="AJ744" i="2"/>
  <c r="AK744" i="2"/>
  <c r="Z745" i="2"/>
  <c r="AA745" i="2"/>
  <c r="AB745" i="2"/>
  <c r="AC745" i="2"/>
  <c r="AD745" i="2"/>
  <c r="AE745" i="2"/>
  <c r="AF745" i="2"/>
  <c r="AG745" i="2"/>
  <c r="AH745" i="2"/>
  <c r="AI745" i="2"/>
  <c r="AJ745" i="2"/>
  <c r="AK745" i="2"/>
  <c r="Z746" i="2"/>
  <c r="AA746" i="2"/>
  <c r="AB746" i="2"/>
  <c r="AC746" i="2"/>
  <c r="AD746" i="2"/>
  <c r="AE746" i="2"/>
  <c r="AF746" i="2"/>
  <c r="AG746" i="2"/>
  <c r="AH746" i="2"/>
  <c r="AI746" i="2"/>
  <c r="AJ746" i="2"/>
  <c r="AK746" i="2"/>
  <c r="Z747" i="2"/>
  <c r="AA747" i="2"/>
  <c r="AB747" i="2"/>
  <c r="AC747" i="2"/>
  <c r="AD747" i="2"/>
  <c r="AE747" i="2"/>
  <c r="AF747" i="2"/>
  <c r="AG747" i="2"/>
  <c r="AH747" i="2"/>
  <c r="AI747" i="2"/>
  <c r="AJ747" i="2"/>
  <c r="AK747" i="2"/>
  <c r="Z748" i="2"/>
  <c r="AA748" i="2"/>
  <c r="AB748" i="2"/>
  <c r="AC748" i="2"/>
  <c r="AD748" i="2"/>
  <c r="AE748" i="2"/>
  <c r="AF748" i="2"/>
  <c r="AG748" i="2"/>
  <c r="AH748" i="2"/>
  <c r="AI748" i="2"/>
  <c r="AJ748" i="2"/>
  <c r="AK748" i="2"/>
  <c r="Z749" i="2"/>
  <c r="AA749" i="2"/>
  <c r="AB749" i="2"/>
  <c r="AC749" i="2"/>
  <c r="AD749" i="2"/>
  <c r="AE749" i="2"/>
  <c r="AF749" i="2"/>
  <c r="AG749" i="2"/>
  <c r="AH749" i="2"/>
  <c r="AI749" i="2"/>
  <c r="AJ749" i="2"/>
  <c r="AK749" i="2"/>
  <c r="Z750" i="2"/>
  <c r="AA750" i="2"/>
  <c r="AB750" i="2"/>
  <c r="AC750" i="2"/>
  <c r="AD750" i="2"/>
  <c r="AE750" i="2"/>
  <c r="AF750" i="2"/>
  <c r="AG750" i="2"/>
  <c r="AH750" i="2"/>
  <c r="AI750" i="2"/>
  <c r="AJ750" i="2"/>
  <c r="AK750" i="2"/>
  <c r="Z751" i="2"/>
  <c r="AA751" i="2"/>
  <c r="AB751" i="2"/>
  <c r="AC751" i="2"/>
  <c r="AD751" i="2"/>
  <c r="AE751" i="2"/>
  <c r="AF751" i="2"/>
  <c r="AG751" i="2"/>
  <c r="AH751" i="2"/>
  <c r="AI751" i="2"/>
  <c r="AJ751" i="2"/>
  <c r="AK751" i="2"/>
  <c r="Z752" i="2"/>
  <c r="AA752" i="2"/>
  <c r="AB752" i="2"/>
  <c r="AC752" i="2"/>
  <c r="AD752" i="2"/>
  <c r="AE752" i="2"/>
  <c r="AF752" i="2"/>
  <c r="AG752" i="2"/>
  <c r="AH752" i="2"/>
  <c r="AI752" i="2"/>
  <c r="AJ752" i="2"/>
  <c r="AK752" i="2"/>
  <c r="Z753" i="2"/>
  <c r="AA753" i="2"/>
  <c r="AB753" i="2"/>
  <c r="AC753" i="2"/>
  <c r="AD753" i="2"/>
  <c r="AE753" i="2"/>
  <c r="AF753" i="2"/>
  <c r="AG753" i="2"/>
  <c r="AH753" i="2"/>
  <c r="AI753" i="2"/>
  <c r="AJ753" i="2"/>
  <c r="AK753" i="2"/>
  <c r="Z754" i="2"/>
  <c r="AA754" i="2"/>
  <c r="AB754" i="2"/>
  <c r="AC754" i="2"/>
  <c r="AD754" i="2"/>
  <c r="AE754" i="2"/>
  <c r="AF754" i="2"/>
  <c r="AG754" i="2"/>
  <c r="AH754" i="2"/>
  <c r="AI754" i="2"/>
  <c r="AJ754" i="2"/>
  <c r="AK754" i="2"/>
  <c r="Z755" i="2"/>
  <c r="AA755" i="2"/>
  <c r="AB755" i="2"/>
  <c r="AC755" i="2"/>
  <c r="AD755" i="2"/>
  <c r="AE755" i="2"/>
  <c r="AF755" i="2"/>
  <c r="AG755" i="2"/>
  <c r="AH755" i="2"/>
  <c r="AI755" i="2"/>
  <c r="AJ755" i="2"/>
  <c r="AK755" i="2"/>
  <c r="Z756" i="2"/>
  <c r="AA756" i="2"/>
  <c r="AB756" i="2"/>
  <c r="AC756" i="2"/>
  <c r="AD756" i="2"/>
  <c r="AE756" i="2"/>
  <c r="AF756" i="2"/>
  <c r="AG756" i="2"/>
  <c r="AH756" i="2"/>
  <c r="AI756" i="2"/>
  <c r="AJ756" i="2"/>
  <c r="AK756" i="2"/>
  <c r="Z757" i="2"/>
  <c r="AA757" i="2"/>
  <c r="AB757" i="2"/>
  <c r="AC757" i="2"/>
  <c r="AD757" i="2"/>
  <c r="AE757" i="2"/>
  <c r="AF757" i="2"/>
  <c r="AG757" i="2"/>
  <c r="AH757" i="2"/>
  <c r="AI757" i="2"/>
  <c r="AJ757" i="2"/>
  <c r="AK757" i="2"/>
  <c r="Z758" i="2"/>
  <c r="AA758" i="2"/>
  <c r="AB758" i="2"/>
  <c r="AC758" i="2"/>
  <c r="AD758" i="2"/>
  <c r="AE758" i="2"/>
  <c r="AF758" i="2"/>
  <c r="AG758" i="2"/>
  <c r="AH758" i="2"/>
  <c r="AI758" i="2"/>
  <c r="AJ758" i="2"/>
  <c r="AK758" i="2"/>
  <c r="Z759" i="2"/>
  <c r="AA759" i="2"/>
  <c r="AB759" i="2"/>
  <c r="AC759" i="2"/>
  <c r="AD759" i="2"/>
  <c r="AE759" i="2"/>
  <c r="AF759" i="2"/>
  <c r="AG759" i="2"/>
  <c r="AH759" i="2"/>
  <c r="AI759" i="2"/>
  <c r="AJ759" i="2"/>
  <c r="AK759" i="2"/>
  <c r="Z760" i="2"/>
  <c r="AA760" i="2"/>
  <c r="AB760" i="2"/>
  <c r="AC760" i="2"/>
  <c r="AD760" i="2"/>
  <c r="AE760" i="2"/>
  <c r="AF760" i="2"/>
  <c r="AG760" i="2"/>
  <c r="AH760" i="2"/>
  <c r="AI760" i="2"/>
  <c r="AJ760" i="2"/>
  <c r="AK760" i="2"/>
  <c r="Z761" i="2"/>
  <c r="AA761" i="2"/>
  <c r="AB761" i="2"/>
  <c r="AC761" i="2"/>
  <c r="AD761" i="2"/>
  <c r="AE761" i="2"/>
  <c r="AF761" i="2"/>
  <c r="AG761" i="2"/>
  <c r="AH761" i="2"/>
  <c r="AI761" i="2"/>
  <c r="AJ761" i="2"/>
  <c r="AK761" i="2"/>
  <c r="Z762" i="2"/>
  <c r="AA762" i="2"/>
  <c r="AB762" i="2"/>
  <c r="AC762" i="2"/>
  <c r="AD762" i="2"/>
  <c r="AE762" i="2"/>
  <c r="AF762" i="2"/>
  <c r="AG762" i="2"/>
  <c r="AH762" i="2"/>
  <c r="AI762" i="2"/>
  <c r="AJ762" i="2"/>
  <c r="AK762" i="2"/>
  <c r="Z763" i="2"/>
  <c r="AA763" i="2"/>
  <c r="AB763" i="2"/>
  <c r="AC763" i="2"/>
  <c r="AD763" i="2"/>
  <c r="AE763" i="2"/>
  <c r="AF763" i="2"/>
  <c r="AG763" i="2"/>
  <c r="AH763" i="2"/>
  <c r="AI763" i="2"/>
  <c r="AJ763" i="2"/>
  <c r="AK763" i="2"/>
  <c r="Z764" i="2"/>
  <c r="AA764" i="2"/>
  <c r="AB764" i="2"/>
  <c r="AC764" i="2"/>
  <c r="AD764" i="2"/>
  <c r="AE764" i="2"/>
  <c r="AF764" i="2"/>
  <c r="AG764" i="2"/>
  <c r="AH764" i="2"/>
  <c r="AI764" i="2"/>
  <c r="AJ764" i="2"/>
  <c r="AK764" i="2"/>
  <c r="Z765" i="2"/>
  <c r="AA765" i="2"/>
  <c r="AB765" i="2"/>
  <c r="AC765" i="2"/>
  <c r="AD765" i="2"/>
  <c r="AE765" i="2"/>
  <c r="AF765" i="2"/>
  <c r="AG765" i="2"/>
  <c r="AH765" i="2"/>
  <c r="AI765" i="2"/>
  <c r="AJ765" i="2"/>
  <c r="AK765" i="2"/>
  <c r="Z766" i="2"/>
  <c r="AA766" i="2"/>
  <c r="AB766" i="2"/>
  <c r="AC766" i="2"/>
  <c r="AD766" i="2"/>
  <c r="AE766" i="2"/>
  <c r="AF766" i="2"/>
  <c r="AG766" i="2"/>
  <c r="AH766" i="2"/>
  <c r="AI766" i="2"/>
  <c r="AJ766" i="2"/>
  <c r="AK766" i="2"/>
  <c r="Z767" i="2"/>
  <c r="AA767" i="2"/>
  <c r="AB767" i="2"/>
  <c r="AC767" i="2"/>
  <c r="AD767" i="2"/>
  <c r="AE767" i="2"/>
  <c r="AF767" i="2"/>
  <c r="AG767" i="2"/>
  <c r="AH767" i="2"/>
  <c r="AI767" i="2"/>
  <c r="AJ767" i="2"/>
  <c r="AK767" i="2"/>
  <c r="Z768" i="2"/>
  <c r="AA768" i="2"/>
  <c r="AB768" i="2"/>
  <c r="AC768" i="2"/>
  <c r="AD768" i="2"/>
  <c r="AE768" i="2"/>
  <c r="AF768" i="2"/>
  <c r="AG768" i="2"/>
  <c r="AH768" i="2"/>
  <c r="AI768" i="2"/>
  <c r="AJ768" i="2"/>
  <c r="AK768" i="2"/>
  <c r="Z769" i="2"/>
  <c r="AA769" i="2"/>
  <c r="AB769" i="2"/>
  <c r="AC769" i="2"/>
  <c r="AD769" i="2"/>
  <c r="AE769" i="2"/>
  <c r="AF769" i="2"/>
  <c r="AG769" i="2"/>
  <c r="AH769" i="2"/>
  <c r="AI769" i="2"/>
  <c r="AJ769" i="2"/>
  <c r="AK769" i="2"/>
  <c r="Z770" i="2"/>
  <c r="AA770" i="2"/>
  <c r="AB770" i="2"/>
  <c r="AC770" i="2"/>
  <c r="AD770" i="2"/>
  <c r="AE770" i="2"/>
  <c r="AF770" i="2"/>
  <c r="AG770" i="2"/>
  <c r="AH770" i="2"/>
  <c r="AI770" i="2"/>
  <c r="AJ770" i="2"/>
  <c r="AK770" i="2"/>
  <c r="Z771" i="2"/>
  <c r="AA771" i="2"/>
  <c r="AB771" i="2"/>
  <c r="AC771" i="2"/>
  <c r="AD771" i="2"/>
  <c r="AE771" i="2"/>
  <c r="AF771" i="2"/>
  <c r="AG771" i="2"/>
  <c r="AH771" i="2"/>
  <c r="AI771" i="2"/>
  <c r="AJ771" i="2"/>
  <c r="AK771" i="2"/>
  <c r="Z772" i="2"/>
  <c r="AA772" i="2"/>
  <c r="AB772" i="2"/>
  <c r="AC772" i="2"/>
  <c r="AD772" i="2"/>
  <c r="AE772" i="2"/>
  <c r="AF772" i="2"/>
  <c r="AG772" i="2"/>
  <c r="AH772" i="2"/>
  <c r="AI772" i="2"/>
  <c r="AJ772" i="2"/>
  <c r="AK772" i="2"/>
  <c r="Z773" i="2"/>
  <c r="AA773" i="2"/>
  <c r="AB773" i="2"/>
  <c r="AC773" i="2"/>
  <c r="AD773" i="2"/>
  <c r="AE773" i="2"/>
  <c r="AF773" i="2"/>
  <c r="AG773" i="2"/>
  <c r="AH773" i="2"/>
  <c r="AI773" i="2"/>
  <c r="AJ773" i="2"/>
  <c r="AK773" i="2"/>
  <c r="Z774" i="2"/>
  <c r="AA774" i="2"/>
  <c r="AB774" i="2"/>
  <c r="AC774" i="2"/>
  <c r="AD774" i="2"/>
  <c r="AE774" i="2"/>
  <c r="AF774" i="2"/>
  <c r="AG774" i="2"/>
  <c r="AH774" i="2"/>
  <c r="AI774" i="2"/>
  <c r="AJ774" i="2"/>
  <c r="AK774" i="2"/>
  <c r="Z775" i="2"/>
  <c r="AA775" i="2"/>
  <c r="AB775" i="2"/>
  <c r="AC775" i="2"/>
  <c r="AD775" i="2"/>
  <c r="AE775" i="2"/>
  <c r="AF775" i="2"/>
  <c r="AG775" i="2"/>
  <c r="AH775" i="2"/>
  <c r="AI775" i="2"/>
  <c r="AJ775" i="2"/>
  <c r="AK775" i="2"/>
  <c r="Z776" i="2"/>
  <c r="AA776" i="2"/>
  <c r="AB776" i="2"/>
  <c r="AC776" i="2"/>
  <c r="AD776" i="2"/>
  <c r="AE776" i="2"/>
  <c r="AF776" i="2"/>
  <c r="AG776" i="2"/>
  <c r="AH776" i="2"/>
  <c r="AI776" i="2"/>
  <c r="AJ776" i="2"/>
  <c r="AK776" i="2"/>
  <c r="Z777" i="2"/>
  <c r="AA777" i="2"/>
  <c r="AB777" i="2"/>
  <c r="AC777" i="2"/>
  <c r="AD777" i="2"/>
  <c r="AE777" i="2"/>
  <c r="AF777" i="2"/>
  <c r="AG777" i="2"/>
  <c r="AH777" i="2"/>
  <c r="AI777" i="2"/>
  <c r="AJ777" i="2"/>
  <c r="AK777" i="2"/>
  <c r="Z778" i="2"/>
  <c r="AA778" i="2"/>
  <c r="AB778" i="2"/>
  <c r="AC778" i="2"/>
  <c r="AD778" i="2"/>
  <c r="AE778" i="2"/>
  <c r="AF778" i="2"/>
  <c r="AG778" i="2"/>
  <c r="AH778" i="2"/>
  <c r="AI778" i="2"/>
  <c r="AJ778" i="2"/>
  <c r="AK778" i="2"/>
  <c r="Z779" i="2"/>
  <c r="AA779" i="2"/>
  <c r="AB779" i="2"/>
  <c r="AC779" i="2"/>
  <c r="AD779" i="2"/>
  <c r="AE779" i="2"/>
  <c r="AF779" i="2"/>
  <c r="AG779" i="2"/>
  <c r="AH779" i="2"/>
  <c r="AI779" i="2"/>
  <c r="AJ779" i="2"/>
  <c r="AK779" i="2"/>
  <c r="Z780" i="2"/>
  <c r="AA780" i="2"/>
  <c r="AB780" i="2"/>
  <c r="AC780" i="2"/>
  <c r="AD780" i="2"/>
  <c r="AE780" i="2"/>
  <c r="AF780" i="2"/>
  <c r="AG780" i="2"/>
  <c r="AH780" i="2"/>
  <c r="AI780" i="2"/>
  <c r="AJ780" i="2"/>
  <c r="AK780" i="2"/>
  <c r="Z781" i="2"/>
  <c r="AA781" i="2"/>
  <c r="AB781" i="2"/>
  <c r="AC781" i="2"/>
  <c r="AD781" i="2"/>
  <c r="AE781" i="2"/>
  <c r="AF781" i="2"/>
  <c r="AG781" i="2"/>
  <c r="AH781" i="2"/>
  <c r="AI781" i="2"/>
  <c r="AJ781" i="2"/>
  <c r="AK781" i="2"/>
  <c r="Z782" i="2"/>
  <c r="AA782" i="2"/>
  <c r="AB782" i="2"/>
  <c r="AC782" i="2"/>
  <c r="AD782" i="2"/>
  <c r="AE782" i="2"/>
  <c r="AF782" i="2"/>
  <c r="AG782" i="2"/>
  <c r="AH782" i="2"/>
  <c r="AI782" i="2"/>
  <c r="AJ782" i="2"/>
  <c r="AK782" i="2"/>
  <c r="Z783" i="2"/>
  <c r="AA783" i="2"/>
  <c r="AB783" i="2"/>
  <c r="AC783" i="2"/>
  <c r="AD783" i="2"/>
  <c r="AE783" i="2"/>
  <c r="AF783" i="2"/>
  <c r="AG783" i="2"/>
  <c r="AH783" i="2"/>
  <c r="AI783" i="2"/>
  <c r="AJ783" i="2"/>
  <c r="AK783" i="2"/>
  <c r="Z784" i="2"/>
  <c r="AA784" i="2"/>
  <c r="AB784" i="2"/>
  <c r="AC784" i="2"/>
  <c r="AD784" i="2"/>
  <c r="AE784" i="2"/>
  <c r="AF784" i="2"/>
  <c r="AG784" i="2"/>
  <c r="AH784" i="2"/>
  <c r="AI784" i="2"/>
  <c r="AJ784" i="2"/>
  <c r="AK784" i="2"/>
  <c r="Z785" i="2"/>
  <c r="AA785" i="2"/>
  <c r="AB785" i="2"/>
  <c r="AC785" i="2"/>
  <c r="AD785" i="2"/>
  <c r="AE785" i="2"/>
  <c r="AF785" i="2"/>
  <c r="AG785" i="2"/>
  <c r="AH785" i="2"/>
  <c r="AI785" i="2"/>
  <c r="AJ785" i="2"/>
  <c r="AK785" i="2"/>
  <c r="Z786" i="2"/>
  <c r="AA786" i="2"/>
  <c r="AB786" i="2"/>
  <c r="AC786" i="2"/>
  <c r="AD786" i="2"/>
  <c r="AE786" i="2"/>
  <c r="AF786" i="2"/>
  <c r="AG786" i="2"/>
  <c r="AH786" i="2"/>
  <c r="AI786" i="2"/>
  <c r="AJ786" i="2"/>
  <c r="AK786" i="2"/>
  <c r="Z787" i="2"/>
  <c r="AA787" i="2"/>
  <c r="AB787" i="2"/>
  <c r="AC787" i="2"/>
  <c r="AD787" i="2"/>
  <c r="AE787" i="2"/>
  <c r="AF787" i="2"/>
  <c r="AG787" i="2"/>
  <c r="AH787" i="2"/>
  <c r="AI787" i="2"/>
  <c r="AJ787" i="2"/>
  <c r="AK787" i="2"/>
  <c r="Z788" i="2"/>
  <c r="AA788" i="2"/>
  <c r="AB788" i="2"/>
  <c r="AC788" i="2"/>
  <c r="AD788" i="2"/>
  <c r="AE788" i="2"/>
  <c r="AF788" i="2"/>
  <c r="AG788" i="2"/>
  <c r="AH788" i="2"/>
  <c r="AI788" i="2"/>
  <c r="AJ788" i="2"/>
  <c r="AK788" i="2"/>
  <c r="Z789" i="2"/>
  <c r="AA789" i="2"/>
  <c r="AB789" i="2"/>
  <c r="AC789" i="2"/>
  <c r="AD789" i="2"/>
  <c r="AE789" i="2"/>
  <c r="AF789" i="2"/>
  <c r="AG789" i="2"/>
  <c r="AH789" i="2"/>
  <c r="AI789" i="2"/>
  <c r="AJ789" i="2"/>
  <c r="AK789" i="2"/>
  <c r="Z790" i="2"/>
  <c r="AA790" i="2"/>
  <c r="AB790" i="2"/>
  <c r="AC790" i="2"/>
  <c r="AD790" i="2"/>
  <c r="AE790" i="2"/>
  <c r="AF790" i="2"/>
  <c r="AG790" i="2"/>
  <c r="AH790" i="2"/>
  <c r="AI790" i="2"/>
  <c r="AJ790" i="2"/>
  <c r="AK790" i="2"/>
  <c r="Z791" i="2"/>
  <c r="AA791" i="2"/>
  <c r="AB791" i="2"/>
  <c r="AC791" i="2"/>
  <c r="AD791" i="2"/>
  <c r="AE791" i="2"/>
  <c r="AF791" i="2"/>
  <c r="AG791" i="2"/>
  <c r="AH791" i="2"/>
  <c r="AI791" i="2"/>
  <c r="AJ791" i="2"/>
  <c r="AK791" i="2"/>
  <c r="Z792" i="2"/>
  <c r="AA792" i="2"/>
  <c r="AB792" i="2"/>
  <c r="AC792" i="2"/>
  <c r="AD792" i="2"/>
  <c r="AE792" i="2"/>
  <c r="AF792" i="2"/>
  <c r="AG792" i="2"/>
  <c r="AH792" i="2"/>
  <c r="AI792" i="2"/>
  <c r="AJ792" i="2"/>
  <c r="AK792" i="2"/>
  <c r="Z793" i="2"/>
  <c r="AA793" i="2"/>
  <c r="AB793" i="2"/>
  <c r="AC793" i="2"/>
  <c r="AD793" i="2"/>
  <c r="AE793" i="2"/>
  <c r="AF793" i="2"/>
  <c r="AG793" i="2"/>
  <c r="AH793" i="2"/>
  <c r="AI793" i="2"/>
  <c r="AJ793" i="2"/>
  <c r="AK793" i="2"/>
  <c r="Z794" i="2"/>
  <c r="AA794" i="2"/>
  <c r="AB794" i="2"/>
  <c r="AC794" i="2"/>
  <c r="AD794" i="2"/>
  <c r="AE794" i="2"/>
  <c r="AF794" i="2"/>
  <c r="AG794" i="2"/>
  <c r="AH794" i="2"/>
  <c r="AI794" i="2"/>
  <c r="AJ794" i="2"/>
  <c r="AK794" i="2"/>
  <c r="Z795" i="2"/>
  <c r="AA795" i="2"/>
  <c r="AB795" i="2"/>
  <c r="AC795" i="2"/>
  <c r="AD795" i="2"/>
  <c r="AE795" i="2"/>
  <c r="AF795" i="2"/>
  <c r="AG795" i="2"/>
  <c r="AH795" i="2"/>
  <c r="AI795" i="2"/>
  <c r="AJ795" i="2"/>
  <c r="AK795" i="2"/>
  <c r="Z796" i="2"/>
  <c r="AA796" i="2"/>
  <c r="AB796" i="2"/>
  <c r="AC796" i="2"/>
  <c r="AD796" i="2"/>
  <c r="AE796" i="2"/>
  <c r="AF796" i="2"/>
  <c r="AG796" i="2"/>
  <c r="AH796" i="2"/>
  <c r="AI796" i="2"/>
  <c r="AJ796" i="2"/>
  <c r="AK796" i="2"/>
  <c r="Z797" i="2"/>
  <c r="AA797" i="2"/>
  <c r="AB797" i="2"/>
  <c r="AC797" i="2"/>
  <c r="AD797" i="2"/>
  <c r="AE797" i="2"/>
  <c r="AF797" i="2"/>
  <c r="AG797" i="2"/>
  <c r="AH797" i="2"/>
  <c r="AI797" i="2"/>
  <c r="AJ797" i="2"/>
  <c r="AK797" i="2"/>
  <c r="Z798" i="2"/>
  <c r="AA798" i="2"/>
  <c r="AB798" i="2"/>
  <c r="AC798" i="2"/>
  <c r="AD798" i="2"/>
  <c r="AE798" i="2"/>
  <c r="AF798" i="2"/>
  <c r="AG798" i="2"/>
  <c r="AH798" i="2"/>
  <c r="AI798" i="2"/>
  <c r="AJ798" i="2"/>
  <c r="AK798" i="2"/>
  <c r="Z799" i="2"/>
  <c r="AA799" i="2"/>
  <c r="AB799" i="2"/>
  <c r="AC799" i="2"/>
  <c r="AD799" i="2"/>
  <c r="AE799" i="2"/>
  <c r="AF799" i="2"/>
  <c r="AG799" i="2"/>
  <c r="AH799" i="2"/>
  <c r="AI799" i="2"/>
  <c r="AJ799" i="2"/>
  <c r="AK799" i="2"/>
  <c r="Z800" i="2"/>
  <c r="AA800" i="2"/>
  <c r="AB800" i="2"/>
  <c r="AC800" i="2"/>
  <c r="AD800" i="2"/>
  <c r="AE800" i="2"/>
  <c r="AF800" i="2"/>
  <c r="AG800" i="2"/>
  <c r="AH800" i="2"/>
  <c r="AI800" i="2"/>
  <c r="AJ800" i="2"/>
  <c r="AK800" i="2"/>
  <c r="Z801" i="2"/>
  <c r="AA801" i="2"/>
  <c r="AB801" i="2"/>
  <c r="AC801" i="2"/>
  <c r="AD801" i="2"/>
  <c r="AE801" i="2"/>
  <c r="AF801" i="2"/>
  <c r="AG801" i="2"/>
  <c r="AH801" i="2"/>
  <c r="AI801" i="2"/>
  <c r="AJ801" i="2"/>
  <c r="AK801" i="2"/>
  <c r="Z802" i="2"/>
  <c r="AA802" i="2"/>
  <c r="AB802" i="2"/>
  <c r="AC802" i="2"/>
  <c r="AD802" i="2"/>
  <c r="AE802" i="2"/>
  <c r="AF802" i="2"/>
  <c r="AG802" i="2"/>
  <c r="AH802" i="2"/>
  <c r="AI802" i="2"/>
  <c r="AJ802" i="2"/>
  <c r="AK802" i="2"/>
  <c r="Z803" i="2"/>
  <c r="AA803" i="2"/>
  <c r="AB803" i="2"/>
  <c r="AC803" i="2"/>
  <c r="AD803" i="2"/>
  <c r="AE803" i="2"/>
  <c r="AF803" i="2"/>
  <c r="AG803" i="2"/>
  <c r="AH803" i="2"/>
  <c r="AI803" i="2"/>
  <c r="AJ803" i="2"/>
  <c r="AK803" i="2"/>
  <c r="Z804" i="2"/>
  <c r="AA804" i="2"/>
  <c r="AB804" i="2"/>
  <c r="AC804" i="2"/>
  <c r="AD804" i="2"/>
  <c r="AE804" i="2"/>
  <c r="AF804" i="2"/>
  <c r="AG804" i="2"/>
  <c r="AH804" i="2"/>
  <c r="AI804" i="2"/>
  <c r="AJ804" i="2"/>
  <c r="AK804" i="2"/>
  <c r="Z805" i="2"/>
  <c r="AA805" i="2"/>
  <c r="AB805" i="2"/>
  <c r="AC805" i="2"/>
  <c r="AD805" i="2"/>
  <c r="AE805" i="2"/>
  <c r="AF805" i="2"/>
  <c r="AG805" i="2"/>
  <c r="AH805" i="2"/>
  <c r="AI805" i="2"/>
  <c r="AJ805" i="2"/>
  <c r="AK805" i="2"/>
  <c r="Z806" i="2"/>
  <c r="AA806" i="2"/>
  <c r="AB806" i="2"/>
  <c r="AC806" i="2"/>
  <c r="AD806" i="2"/>
  <c r="AE806" i="2"/>
  <c r="AF806" i="2"/>
  <c r="AG806" i="2"/>
  <c r="AH806" i="2"/>
  <c r="AI806" i="2"/>
  <c r="AJ806" i="2"/>
  <c r="AK806" i="2"/>
  <c r="Z807" i="2"/>
  <c r="AA807" i="2"/>
  <c r="AB807" i="2"/>
  <c r="AC807" i="2"/>
  <c r="AD807" i="2"/>
  <c r="AE807" i="2"/>
  <c r="AF807" i="2"/>
  <c r="AG807" i="2"/>
  <c r="AH807" i="2"/>
  <c r="AI807" i="2"/>
  <c r="AJ807" i="2"/>
  <c r="AK807" i="2"/>
  <c r="Z808" i="2"/>
  <c r="AA808" i="2"/>
  <c r="AB808" i="2"/>
  <c r="AC808" i="2"/>
  <c r="AD808" i="2"/>
  <c r="AE808" i="2"/>
  <c r="AF808" i="2"/>
  <c r="AG808" i="2"/>
  <c r="AH808" i="2"/>
  <c r="AI808" i="2"/>
  <c r="AJ808" i="2"/>
  <c r="AK808" i="2"/>
  <c r="Z809" i="2"/>
  <c r="AA809" i="2"/>
  <c r="AB809" i="2"/>
  <c r="AC809" i="2"/>
  <c r="AD809" i="2"/>
  <c r="AE809" i="2"/>
  <c r="AF809" i="2"/>
  <c r="AG809" i="2"/>
  <c r="AH809" i="2"/>
  <c r="AI809" i="2"/>
  <c r="AJ809" i="2"/>
  <c r="AK809" i="2"/>
  <c r="Z810" i="2"/>
  <c r="AA810" i="2"/>
  <c r="AB810" i="2"/>
  <c r="AC810" i="2"/>
  <c r="AD810" i="2"/>
  <c r="AE810" i="2"/>
  <c r="AF810" i="2"/>
  <c r="AG810" i="2"/>
  <c r="AH810" i="2"/>
  <c r="AI810" i="2"/>
  <c r="AJ810" i="2"/>
  <c r="AK810" i="2"/>
  <c r="Z811" i="2"/>
  <c r="AA811" i="2"/>
  <c r="AB811" i="2"/>
  <c r="AC811" i="2"/>
  <c r="AD811" i="2"/>
  <c r="AE811" i="2"/>
  <c r="AF811" i="2"/>
  <c r="AG811" i="2"/>
  <c r="AH811" i="2"/>
  <c r="AI811" i="2"/>
  <c r="AJ811" i="2"/>
  <c r="AK811" i="2"/>
  <c r="Z812" i="2"/>
  <c r="AA812" i="2"/>
  <c r="AB812" i="2"/>
  <c r="AC812" i="2"/>
  <c r="AD812" i="2"/>
  <c r="AE812" i="2"/>
  <c r="AF812" i="2"/>
  <c r="AG812" i="2"/>
  <c r="AH812" i="2"/>
  <c r="AI812" i="2"/>
  <c r="AJ812" i="2"/>
  <c r="AK812" i="2"/>
  <c r="Z813" i="2"/>
  <c r="AA813" i="2"/>
  <c r="AB813" i="2"/>
  <c r="AC813" i="2"/>
  <c r="AD813" i="2"/>
  <c r="AE813" i="2"/>
  <c r="AF813" i="2"/>
  <c r="AG813" i="2"/>
  <c r="AH813" i="2"/>
  <c r="AI813" i="2"/>
  <c r="AJ813" i="2"/>
  <c r="AK813" i="2"/>
  <c r="Z814" i="2"/>
  <c r="AA814" i="2"/>
  <c r="AB814" i="2"/>
  <c r="AC814" i="2"/>
  <c r="AD814" i="2"/>
  <c r="AE814" i="2"/>
  <c r="AF814" i="2"/>
  <c r="AG814" i="2"/>
  <c r="AH814" i="2"/>
  <c r="AI814" i="2"/>
  <c r="AJ814" i="2"/>
  <c r="AK814" i="2"/>
  <c r="Z815" i="2"/>
  <c r="AA815" i="2"/>
  <c r="AB815" i="2"/>
  <c r="AC815" i="2"/>
  <c r="AD815" i="2"/>
  <c r="AE815" i="2"/>
  <c r="AF815" i="2"/>
  <c r="AG815" i="2"/>
  <c r="AH815" i="2"/>
  <c r="AI815" i="2"/>
  <c r="AJ815" i="2"/>
  <c r="AK815" i="2"/>
  <c r="Z816" i="2"/>
  <c r="AA816" i="2"/>
  <c r="AB816" i="2"/>
  <c r="AC816" i="2"/>
  <c r="AD816" i="2"/>
  <c r="AE816" i="2"/>
  <c r="AF816" i="2"/>
  <c r="AG816" i="2"/>
  <c r="AH816" i="2"/>
  <c r="AI816" i="2"/>
  <c r="AJ816" i="2"/>
  <c r="AK816" i="2"/>
  <c r="Z817" i="2"/>
  <c r="AA817" i="2"/>
  <c r="AB817" i="2"/>
  <c r="AC817" i="2"/>
  <c r="AD817" i="2"/>
  <c r="AE817" i="2"/>
  <c r="AF817" i="2"/>
  <c r="AG817" i="2"/>
  <c r="AH817" i="2"/>
  <c r="AI817" i="2"/>
  <c r="AJ817" i="2"/>
  <c r="AK817" i="2"/>
  <c r="Z818" i="2"/>
  <c r="AA818" i="2"/>
  <c r="AB818" i="2"/>
  <c r="AC818" i="2"/>
  <c r="AD818" i="2"/>
  <c r="AE818" i="2"/>
  <c r="AF818" i="2"/>
  <c r="AG818" i="2"/>
  <c r="AH818" i="2"/>
  <c r="AI818" i="2"/>
  <c r="AJ818" i="2"/>
  <c r="AK818" i="2"/>
  <c r="Z819" i="2"/>
  <c r="AA819" i="2"/>
  <c r="AB819" i="2"/>
  <c r="AC819" i="2"/>
  <c r="AD819" i="2"/>
  <c r="AE819" i="2"/>
  <c r="AF819" i="2"/>
  <c r="AG819" i="2"/>
  <c r="AH819" i="2"/>
  <c r="AI819" i="2"/>
  <c r="AJ819" i="2"/>
  <c r="AK819" i="2"/>
  <c r="Z820" i="2"/>
  <c r="AA820" i="2"/>
  <c r="AB820" i="2"/>
  <c r="AC820" i="2"/>
  <c r="AD820" i="2"/>
  <c r="AE820" i="2"/>
  <c r="AF820" i="2"/>
  <c r="AG820" i="2"/>
  <c r="AH820" i="2"/>
  <c r="AI820" i="2"/>
  <c r="AJ820" i="2"/>
  <c r="AK820" i="2"/>
  <c r="Z821" i="2"/>
  <c r="AA821" i="2"/>
  <c r="AB821" i="2"/>
  <c r="AC821" i="2"/>
  <c r="AD821" i="2"/>
  <c r="AE821" i="2"/>
  <c r="AF821" i="2"/>
  <c r="AG821" i="2"/>
  <c r="AH821" i="2"/>
  <c r="AI821" i="2"/>
  <c r="AJ821" i="2"/>
  <c r="AK821" i="2"/>
  <c r="Z822" i="2"/>
  <c r="AA822" i="2"/>
  <c r="AB822" i="2"/>
  <c r="AC822" i="2"/>
  <c r="AD822" i="2"/>
  <c r="AE822" i="2"/>
  <c r="AF822" i="2"/>
  <c r="AG822" i="2"/>
  <c r="AH822" i="2"/>
  <c r="AI822" i="2"/>
  <c r="AJ822" i="2"/>
  <c r="AK822" i="2"/>
  <c r="Z823" i="2"/>
  <c r="AA823" i="2"/>
  <c r="AB823" i="2"/>
  <c r="AC823" i="2"/>
  <c r="AD823" i="2"/>
  <c r="AE823" i="2"/>
  <c r="AF823" i="2"/>
  <c r="AG823" i="2"/>
  <c r="AH823" i="2"/>
  <c r="AI823" i="2"/>
  <c r="AJ823" i="2"/>
  <c r="AK823" i="2"/>
  <c r="Z824" i="2"/>
  <c r="AA824" i="2"/>
  <c r="AB824" i="2"/>
  <c r="AC824" i="2"/>
  <c r="AD824" i="2"/>
  <c r="AE824" i="2"/>
  <c r="AF824" i="2"/>
  <c r="AG824" i="2"/>
  <c r="AH824" i="2"/>
  <c r="AI824" i="2"/>
  <c r="AJ824" i="2"/>
  <c r="AK824" i="2"/>
  <c r="Z825" i="2"/>
  <c r="AA825" i="2"/>
  <c r="AB825" i="2"/>
  <c r="AC825" i="2"/>
  <c r="AD825" i="2"/>
  <c r="AE825" i="2"/>
  <c r="AF825" i="2"/>
  <c r="AG825" i="2"/>
  <c r="AH825" i="2"/>
  <c r="AI825" i="2"/>
  <c r="AJ825" i="2"/>
  <c r="AK825" i="2"/>
  <c r="Z826" i="2"/>
  <c r="AA826" i="2"/>
  <c r="AB826" i="2"/>
  <c r="AC826" i="2"/>
  <c r="AD826" i="2"/>
  <c r="AE826" i="2"/>
  <c r="AF826" i="2"/>
  <c r="AG826" i="2"/>
  <c r="AH826" i="2"/>
  <c r="AI826" i="2"/>
  <c r="AJ826" i="2"/>
  <c r="AK826" i="2"/>
  <c r="Z827" i="2"/>
  <c r="AA827" i="2"/>
  <c r="AB827" i="2"/>
  <c r="AC827" i="2"/>
  <c r="AD827" i="2"/>
  <c r="AE827" i="2"/>
  <c r="AF827" i="2"/>
  <c r="AG827" i="2"/>
  <c r="AH827" i="2"/>
  <c r="AI827" i="2"/>
  <c r="AJ827" i="2"/>
  <c r="AK827" i="2"/>
  <c r="Z828" i="2"/>
  <c r="AA828" i="2"/>
  <c r="AB828" i="2"/>
  <c r="AC828" i="2"/>
  <c r="AD828" i="2"/>
  <c r="AE828" i="2"/>
  <c r="AF828" i="2"/>
  <c r="AG828" i="2"/>
  <c r="AH828" i="2"/>
  <c r="AI828" i="2"/>
  <c r="AJ828" i="2"/>
  <c r="AK828" i="2"/>
  <c r="Z829" i="2"/>
  <c r="AA829" i="2"/>
  <c r="AB829" i="2"/>
  <c r="AC829" i="2"/>
  <c r="AD829" i="2"/>
  <c r="AE829" i="2"/>
  <c r="AF829" i="2"/>
  <c r="AG829" i="2"/>
  <c r="AH829" i="2"/>
  <c r="AI829" i="2"/>
  <c r="AJ829" i="2"/>
  <c r="AK829" i="2"/>
  <c r="Z830" i="2"/>
  <c r="AA830" i="2"/>
  <c r="AB830" i="2"/>
  <c r="AC830" i="2"/>
  <c r="AD830" i="2"/>
  <c r="AE830" i="2"/>
  <c r="AF830" i="2"/>
  <c r="AG830" i="2"/>
  <c r="AH830" i="2"/>
  <c r="AI830" i="2"/>
  <c r="AJ830" i="2"/>
  <c r="AK830" i="2"/>
  <c r="Z831" i="2"/>
  <c r="AA831" i="2"/>
  <c r="AB831" i="2"/>
  <c r="AC831" i="2"/>
  <c r="AD831" i="2"/>
  <c r="AE831" i="2"/>
  <c r="AF831" i="2"/>
  <c r="AG831" i="2"/>
  <c r="AH831" i="2"/>
  <c r="AI831" i="2"/>
  <c r="AJ831" i="2"/>
  <c r="AK831" i="2"/>
  <c r="Z832" i="2"/>
  <c r="AA832" i="2"/>
  <c r="AB832" i="2"/>
  <c r="AC832" i="2"/>
  <c r="AD832" i="2"/>
  <c r="AE832" i="2"/>
  <c r="AF832" i="2"/>
  <c r="AG832" i="2"/>
  <c r="AH832" i="2"/>
  <c r="AI832" i="2"/>
  <c r="AJ832" i="2"/>
  <c r="AK832" i="2"/>
  <c r="Z833" i="2"/>
  <c r="AA833" i="2"/>
  <c r="AB833" i="2"/>
  <c r="AC833" i="2"/>
  <c r="AD833" i="2"/>
  <c r="AE833" i="2"/>
  <c r="AF833" i="2"/>
  <c r="AG833" i="2"/>
  <c r="AH833" i="2"/>
  <c r="AI833" i="2"/>
  <c r="AJ833" i="2"/>
  <c r="AK833" i="2"/>
  <c r="Z834" i="2"/>
  <c r="AA834" i="2"/>
  <c r="AB834" i="2"/>
  <c r="AC834" i="2"/>
  <c r="AD834" i="2"/>
  <c r="AE834" i="2"/>
  <c r="AF834" i="2"/>
  <c r="AG834" i="2"/>
  <c r="AH834" i="2"/>
  <c r="AI834" i="2"/>
  <c r="AJ834" i="2"/>
  <c r="AK834" i="2"/>
  <c r="Z835" i="2"/>
  <c r="AA835" i="2"/>
  <c r="AB835" i="2"/>
  <c r="AC835" i="2"/>
  <c r="AD835" i="2"/>
  <c r="AE835" i="2"/>
  <c r="AF835" i="2"/>
  <c r="AG835" i="2"/>
  <c r="AH835" i="2"/>
  <c r="AI835" i="2"/>
  <c r="AJ835" i="2"/>
  <c r="AK835" i="2"/>
  <c r="Z836" i="2"/>
  <c r="AA836" i="2"/>
  <c r="AB836" i="2"/>
  <c r="AC836" i="2"/>
  <c r="AD836" i="2"/>
  <c r="AE836" i="2"/>
  <c r="AF836" i="2"/>
  <c r="AG836" i="2"/>
  <c r="AH836" i="2"/>
  <c r="AI836" i="2"/>
  <c r="AJ836" i="2"/>
  <c r="AK836" i="2"/>
  <c r="Z837" i="2"/>
  <c r="AA837" i="2"/>
  <c r="AB837" i="2"/>
  <c r="AC837" i="2"/>
  <c r="AD837" i="2"/>
  <c r="AE837" i="2"/>
  <c r="AF837" i="2"/>
  <c r="AG837" i="2"/>
  <c r="AH837" i="2"/>
  <c r="AI837" i="2"/>
  <c r="AJ837" i="2"/>
  <c r="AK837" i="2"/>
  <c r="Z838" i="2"/>
  <c r="AA838" i="2"/>
  <c r="AB838" i="2"/>
  <c r="AC838" i="2"/>
  <c r="AD838" i="2"/>
  <c r="AE838" i="2"/>
  <c r="AF838" i="2"/>
  <c r="AG838" i="2"/>
  <c r="AH838" i="2"/>
  <c r="AI838" i="2"/>
  <c r="AJ838" i="2"/>
  <c r="AK838" i="2"/>
  <c r="Z839" i="2"/>
  <c r="AA839" i="2"/>
  <c r="AB839" i="2"/>
  <c r="AC839" i="2"/>
  <c r="AD839" i="2"/>
  <c r="AE839" i="2"/>
  <c r="AF839" i="2"/>
  <c r="AG839" i="2"/>
  <c r="AH839" i="2"/>
  <c r="AI839" i="2"/>
  <c r="AJ839" i="2"/>
  <c r="AK839" i="2"/>
  <c r="Z840" i="2"/>
  <c r="AA840" i="2"/>
  <c r="AB840" i="2"/>
  <c r="AC840" i="2"/>
  <c r="AD840" i="2"/>
  <c r="AE840" i="2"/>
  <c r="AF840" i="2"/>
  <c r="AG840" i="2"/>
  <c r="AH840" i="2"/>
  <c r="AI840" i="2"/>
  <c r="AJ840" i="2"/>
  <c r="AK840" i="2"/>
  <c r="Z841" i="2"/>
  <c r="AA841" i="2"/>
  <c r="AB841" i="2"/>
  <c r="AC841" i="2"/>
  <c r="AD841" i="2"/>
  <c r="AE841" i="2"/>
  <c r="AF841" i="2"/>
  <c r="AG841" i="2"/>
  <c r="AH841" i="2"/>
  <c r="AI841" i="2"/>
  <c r="AJ841" i="2"/>
  <c r="AK841" i="2"/>
  <c r="Z842" i="2"/>
  <c r="AA842" i="2"/>
  <c r="AB842" i="2"/>
  <c r="AC842" i="2"/>
  <c r="AD842" i="2"/>
  <c r="AE842" i="2"/>
  <c r="AF842" i="2"/>
  <c r="AG842" i="2"/>
  <c r="AH842" i="2"/>
  <c r="AI842" i="2"/>
  <c r="AJ842" i="2"/>
  <c r="AK842" i="2"/>
  <c r="Z843" i="2"/>
  <c r="AA843" i="2"/>
  <c r="AB843" i="2"/>
  <c r="AC843" i="2"/>
  <c r="AD843" i="2"/>
  <c r="AE843" i="2"/>
  <c r="AF843" i="2"/>
  <c r="AG843" i="2"/>
  <c r="AH843" i="2"/>
  <c r="AI843" i="2"/>
  <c r="AJ843" i="2"/>
  <c r="AK843" i="2"/>
  <c r="Z844" i="2"/>
  <c r="AA844" i="2"/>
  <c r="AB844" i="2"/>
  <c r="AC844" i="2"/>
  <c r="AD844" i="2"/>
  <c r="AE844" i="2"/>
  <c r="AF844" i="2"/>
  <c r="AG844" i="2"/>
  <c r="AH844" i="2"/>
  <c r="AI844" i="2"/>
  <c r="AJ844" i="2"/>
  <c r="AK844" i="2"/>
  <c r="Z845" i="2"/>
  <c r="AA845" i="2"/>
  <c r="AB845" i="2"/>
  <c r="AC845" i="2"/>
  <c r="AD845" i="2"/>
  <c r="AE845" i="2"/>
  <c r="AF845" i="2"/>
  <c r="AG845" i="2"/>
  <c r="AH845" i="2"/>
  <c r="AI845" i="2"/>
  <c r="AJ845" i="2"/>
  <c r="AK845" i="2"/>
  <c r="Z846" i="2"/>
  <c r="AA846" i="2"/>
  <c r="AB846" i="2"/>
  <c r="AC846" i="2"/>
  <c r="AD846" i="2"/>
  <c r="AE846" i="2"/>
  <c r="AF846" i="2"/>
  <c r="AG846" i="2"/>
  <c r="AH846" i="2"/>
  <c r="AI846" i="2"/>
  <c r="AJ846" i="2"/>
  <c r="AK846" i="2"/>
  <c r="Z847" i="2"/>
  <c r="AA847" i="2"/>
  <c r="AB847" i="2"/>
  <c r="AC847" i="2"/>
  <c r="AD847" i="2"/>
  <c r="AE847" i="2"/>
  <c r="AF847" i="2"/>
  <c r="AG847" i="2"/>
  <c r="AH847" i="2"/>
  <c r="AI847" i="2"/>
  <c r="AJ847" i="2"/>
  <c r="AK847" i="2"/>
  <c r="Z848" i="2"/>
  <c r="AA848" i="2"/>
  <c r="AB848" i="2"/>
  <c r="AC848" i="2"/>
  <c r="AD848" i="2"/>
  <c r="AE848" i="2"/>
  <c r="AF848" i="2"/>
  <c r="AG848" i="2"/>
  <c r="AH848" i="2"/>
  <c r="AI848" i="2"/>
  <c r="AJ848" i="2"/>
  <c r="AK848" i="2"/>
  <c r="Z849" i="2"/>
  <c r="AA849" i="2"/>
  <c r="AB849" i="2"/>
  <c r="AC849" i="2"/>
  <c r="AD849" i="2"/>
  <c r="AE849" i="2"/>
  <c r="AF849" i="2"/>
  <c r="AG849" i="2"/>
  <c r="AH849" i="2"/>
  <c r="AI849" i="2"/>
  <c r="AJ849" i="2"/>
  <c r="AK849" i="2"/>
  <c r="Z850" i="2"/>
  <c r="AA850" i="2"/>
  <c r="AB850" i="2"/>
  <c r="AC850" i="2"/>
  <c r="AD850" i="2"/>
  <c r="AE850" i="2"/>
  <c r="AF850" i="2"/>
  <c r="AG850" i="2"/>
  <c r="AH850" i="2"/>
  <c r="AI850" i="2"/>
  <c r="AJ850" i="2"/>
  <c r="AK850" i="2"/>
  <c r="Z851" i="2"/>
  <c r="AA851" i="2"/>
  <c r="AB851" i="2"/>
  <c r="AC851" i="2"/>
  <c r="AD851" i="2"/>
  <c r="AE851" i="2"/>
  <c r="AF851" i="2"/>
  <c r="AG851" i="2"/>
  <c r="AH851" i="2"/>
  <c r="AI851" i="2"/>
  <c r="AJ851" i="2"/>
  <c r="AK851" i="2"/>
  <c r="Z852" i="2"/>
  <c r="AA852" i="2"/>
  <c r="AB852" i="2"/>
  <c r="AC852" i="2"/>
  <c r="AD852" i="2"/>
  <c r="AE852" i="2"/>
  <c r="AF852" i="2"/>
  <c r="AG852" i="2"/>
  <c r="AH852" i="2"/>
  <c r="AI852" i="2"/>
  <c r="AJ852" i="2"/>
  <c r="AK852" i="2"/>
  <c r="Z853" i="2"/>
  <c r="AA853" i="2"/>
  <c r="AB853" i="2"/>
  <c r="AC853" i="2"/>
  <c r="AD853" i="2"/>
  <c r="AE853" i="2"/>
  <c r="AF853" i="2"/>
  <c r="AG853" i="2"/>
  <c r="AH853" i="2"/>
  <c r="AI853" i="2"/>
  <c r="AJ853" i="2"/>
  <c r="AK853" i="2"/>
  <c r="Z854" i="2"/>
  <c r="AA854" i="2"/>
  <c r="AB854" i="2"/>
  <c r="AC854" i="2"/>
  <c r="AD854" i="2"/>
  <c r="AE854" i="2"/>
  <c r="AF854" i="2"/>
  <c r="AG854" i="2"/>
  <c r="AH854" i="2"/>
  <c r="AI854" i="2"/>
  <c r="AJ854" i="2"/>
  <c r="AK854" i="2"/>
  <c r="Z855" i="2"/>
  <c r="AA855" i="2"/>
  <c r="AB855" i="2"/>
  <c r="AC855" i="2"/>
  <c r="AD855" i="2"/>
  <c r="AE855" i="2"/>
  <c r="AF855" i="2"/>
  <c r="AG855" i="2"/>
  <c r="AH855" i="2"/>
  <c r="AI855" i="2"/>
  <c r="AJ855" i="2"/>
  <c r="AK855" i="2"/>
  <c r="Z856" i="2"/>
  <c r="AA856" i="2"/>
  <c r="AB856" i="2"/>
  <c r="AC856" i="2"/>
  <c r="AD856" i="2"/>
  <c r="AE856" i="2"/>
  <c r="AF856" i="2"/>
  <c r="AG856" i="2"/>
  <c r="AH856" i="2"/>
  <c r="AI856" i="2"/>
  <c r="AJ856" i="2"/>
  <c r="AK856" i="2"/>
  <c r="Z857" i="2"/>
  <c r="AA857" i="2"/>
  <c r="AB857" i="2"/>
  <c r="AC857" i="2"/>
  <c r="AD857" i="2"/>
  <c r="AE857" i="2"/>
  <c r="AF857" i="2"/>
  <c r="AG857" i="2"/>
  <c r="AH857" i="2"/>
  <c r="AI857" i="2"/>
  <c r="AJ857" i="2"/>
  <c r="AK857" i="2"/>
  <c r="Z858" i="2"/>
  <c r="AA858" i="2"/>
  <c r="AB858" i="2"/>
  <c r="AC858" i="2"/>
  <c r="AD858" i="2"/>
  <c r="AE858" i="2"/>
  <c r="AF858" i="2"/>
  <c r="AG858" i="2"/>
  <c r="AH858" i="2"/>
  <c r="AI858" i="2"/>
  <c r="AJ858" i="2"/>
  <c r="AK858" i="2"/>
  <c r="Z859" i="2"/>
  <c r="AA859" i="2"/>
  <c r="AB859" i="2"/>
  <c r="AC859" i="2"/>
  <c r="AD859" i="2"/>
  <c r="AE859" i="2"/>
  <c r="AF859" i="2"/>
  <c r="AG859" i="2"/>
  <c r="AH859" i="2"/>
  <c r="AI859" i="2"/>
  <c r="AJ859" i="2"/>
  <c r="AK859" i="2"/>
  <c r="Z860" i="2"/>
  <c r="AA860" i="2"/>
  <c r="AB860" i="2"/>
  <c r="AC860" i="2"/>
  <c r="AD860" i="2"/>
  <c r="AE860" i="2"/>
  <c r="AF860" i="2"/>
  <c r="AG860" i="2"/>
  <c r="AH860" i="2"/>
  <c r="AI860" i="2"/>
  <c r="AJ860" i="2"/>
  <c r="AK860" i="2"/>
  <c r="Z861" i="2"/>
  <c r="AA861" i="2"/>
  <c r="AB861" i="2"/>
  <c r="AC861" i="2"/>
  <c r="AD861" i="2"/>
  <c r="AE861" i="2"/>
  <c r="AF861" i="2"/>
  <c r="AG861" i="2"/>
  <c r="AH861" i="2"/>
  <c r="AI861" i="2"/>
  <c r="AJ861" i="2"/>
  <c r="AK861" i="2"/>
  <c r="Z862" i="2"/>
  <c r="AA862" i="2"/>
  <c r="AB862" i="2"/>
  <c r="AC862" i="2"/>
  <c r="AD862" i="2"/>
  <c r="AE862" i="2"/>
  <c r="AF862" i="2"/>
  <c r="AG862" i="2"/>
  <c r="AH862" i="2"/>
  <c r="AI862" i="2"/>
  <c r="AJ862" i="2"/>
  <c r="AK862" i="2"/>
  <c r="Z863" i="2"/>
  <c r="AA863" i="2"/>
  <c r="AB863" i="2"/>
  <c r="AC863" i="2"/>
  <c r="AD863" i="2"/>
  <c r="AE863" i="2"/>
  <c r="AF863" i="2"/>
  <c r="AG863" i="2"/>
  <c r="AH863" i="2"/>
  <c r="AI863" i="2"/>
  <c r="AJ863" i="2"/>
  <c r="AK863" i="2"/>
  <c r="Z864" i="2"/>
  <c r="AA864" i="2"/>
  <c r="AB864" i="2"/>
  <c r="AC864" i="2"/>
  <c r="AD864" i="2"/>
  <c r="AE864" i="2"/>
  <c r="AF864" i="2"/>
  <c r="AG864" i="2"/>
  <c r="AH864" i="2"/>
  <c r="AI864" i="2"/>
  <c r="AJ864" i="2"/>
  <c r="AK864" i="2"/>
  <c r="Z865" i="2"/>
  <c r="AA865" i="2"/>
  <c r="AB865" i="2"/>
  <c r="AC865" i="2"/>
  <c r="AD865" i="2"/>
  <c r="AE865" i="2"/>
  <c r="AF865" i="2"/>
  <c r="AG865" i="2"/>
  <c r="AH865" i="2"/>
  <c r="AI865" i="2"/>
  <c r="AJ865" i="2"/>
  <c r="AK865" i="2"/>
  <c r="Z866" i="2"/>
  <c r="AA866" i="2"/>
  <c r="AB866" i="2"/>
  <c r="AC866" i="2"/>
  <c r="AD866" i="2"/>
  <c r="AE866" i="2"/>
  <c r="AF866" i="2"/>
  <c r="AG866" i="2"/>
  <c r="AH866" i="2"/>
  <c r="AI866" i="2"/>
  <c r="AJ866" i="2"/>
  <c r="AK866" i="2"/>
  <c r="Z867" i="2"/>
  <c r="AA867" i="2"/>
  <c r="AB867" i="2"/>
  <c r="AC867" i="2"/>
  <c r="AD867" i="2"/>
  <c r="AE867" i="2"/>
  <c r="AF867" i="2"/>
  <c r="AG867" i="2"/>
  <c r="AH867" i="2"/>
  <c r="AI867" i="2"/>
  <c r="AJ867" i="2"/>
  <c r="AK867" i="2"/>
  <c r="Z868" i="2"/>
  <c r="AA868" i="2"/>
  <c r="AB868" i="2"/>
  <c r="AC868" i="2"/>
  <c r="AD868" i="2"/>
  <c r="AE868" i="2"/>
  <c r="AF868" i="2"/>
  <c r="AG868" i="2"/>
  <c r="AH868" i="2"/>
  <c r="AI868" i="2"/>
  <c r="AJ868" i="2"/>
  <c r="AK868" i="2"/>
  <c r="Z869" i="2"/>
  <c r="AA869" i="2"/>
  <c r="AB869" i="2"/>
  <c r="AC869" i="2"/>
  <c r="AD869" i="2"/>
  <c r="AE869" i="2"/>
  <c r="AF869" i="2"/>
  <c r="AG869" i="2"/>
  <c r="AH869" i="2"/>
  <c r="AI869" i="2"/>
  <c r="AJ869" i="2"/>
  <c r="AK869" i="2"/>
  <c r="Z870" i="2"/>
  <c r="AA870" i="2"/>
  <c r="AB870" i="2"/>
  <c r="AC870" i="2"/>
  <c r="AD870" i="2"/>
  <c r="AE870" i="2"/>
  <c r="AF870" i="2"/>
  <c r="AG870" i="2"/>
  <c r="AH870" i="2"/>
  <c r="AI870" i="2"/>
  <c r="AJ870" i="2"/>
  <c r="AK870" i="2"/>
  <c r="Z871" i="2"/>
  <c r="AA871" i="2"/>
  <c r="AB871" i="2"/>
  <c r="AC871" i="2"/>
  <c r="AD871" i="2"/>
  <c r="AE871" i="2"/>
  <c r="AF871" i="2"/>
  <c r="AG871" i="2"/>
  <c r="AH871" i="2"/>
  <c r="AI871" i="2"/>
  <c r="AJ871" i="2"/>
  <c r="AK871" i="2"/>
  <c r="Z872" i="2"/>
  <c r="AA872" i="2"/>
  <c r="AB872" i="2"/>
  <c r="AC872" i="2"/>
  <c r="AD872" i="2"/>
  <c r="AE872" i="2"/>
  <c r="AF872" i="2"/>
  <c r="AG872" i="2"/>
  <c r="AH872" i="2"/>
  <c r="AI872" i="2"/>
  <c r="AJ872" i="2"/>
  <c r="AK872" i="2"/>
  <c r="Z873" i="2"/>
  <c r="AA873" i="2"/>
  <c r="AB873" i="2"/>
  <c r="AC873" i="2"/>
  <c r="AD873" i="2"/>
  <c r="AE873" i="2"/>
  <c r="AF873" i="2"/>
  <c r="AG873" i="2"/>
  <c r="AH873" i="2"/>
  <c r="AI873" i="2"/>
  <c r="AJ873" i="2"/>
  <c r="AK873" i="2"/>
  <c r="Z874" i="2"/>
  <c r="AA874" i="2"/>
  <c r="AB874" i="2"/>
  <c r="AC874" i="2"/>
  <c r="AD874" i="2"/>
  <c r="AE874" i="2"/>
  <c r="AF874" i="2"/>
  <c r="AG874" i="2"/>
  <c r="AH874" i="2"/>
  <c r="AI874" i="2"/>
  <c r="AJ874" i="2"/>
  <c r="AK874" i="2"/>
  <c r="Z875" i="2"/>
  <c r="AA875" i="2"/>
  <c r="AB875" i="2"/>
  <c r="AC875" i="2"/>
  <c r="AD875" i="2"/>
  <c r="AE875" i="2"/>
  <c r="AF875" i="2"/>
  <c r="AG875" i="2"/>
  <c r="AH875" i="2"/>
  <c r="AI875" i="2"/>
  <c r="AJ875" i="2"/>
  <c r="AK875" i="2"/>
  <c r="Z876" i="2"/>
  <c r="AA876" i="2"/>
  <c r="AB876" i="2"/>
  <c r="AC876" i="2"/>
  <c r="AD876" i="2"/>
  <c r="AE876" i="2"/>
  <c r="AF876" i="2"/>
  <c r="AG876" i="2"/>
  <c r="AH876" i="2"/>
  <c r="AI876" i="2"/>
  <c r="AJ876" i="2"/>
  <c r="AK876" i="2"/>
  <c r="Z877" i="2"/>
  <c r="AA877" i="2"/>
  <c r="AB877" i="2"/>
  <c r="AC877" i="2"/>
  <c r="AD877" i="2"/>
  <c r="AE877" i="2"/>
  <c r="AF877" i="2"/>
  <c r="AG877" i="2"/>
  <c r="AH877" i="2"/>
  <c r="AI877" i="2"/>
  <c r="AJ877" i="2"/>
  <c r="AK877" i="2"/>
  <c r="Z878" i="2"/>
  <c r="AA878" i="2"/>
  <c r="AB878" i="2"/>
  <c r="AC878" i="2"/>
  <c r="AD878" i="2"/>
  <c r="AE878" i="2"/>
  <c r="AF878" i="2"/>
  <c r="AG878" i="2"/>
  <c r="AH878" i="2"/>
  <c r="AI878" i="2"/>
  <c r="AJ878" i="2"/>
  <c r="AK878" i="2"/>
  <c r="Z879" i="2"/>
  <c r="AA879" i="2"/>
  <c r="AB879" i="2"/>
  <c r="AC879" i="2"/>
  <c r="AD879" i="2"/>
  <c r="AE879" i="2"/>
  <c r="AF879" i="2"/>
  <c r="AG879" i="2"/>
  <c r="AH879" i="2"/>
  <c r="AI879" i="2"/>
  <c r="AJ879" i="2"/>
  <c r="AK879" i="2"/>
  <c r="Z880" i="2"/>
  <c r="AA880" i="2"/>
  <c r="AB880" i="2"/>
  <c r="AC880" i="2"/>
  <c r="AD880" i="2"/>
  <c r="AE880" i="2"/>
  <c r="AF880" i="2"/>
  <c r="AG880" i="2"/>
  <c r="AH880" i="2"/>
  <c r="AI880" i="2"/>
  <c r="AJ880" i="2"/>
  <c r="AK880" i="2"/>
  <c r="Z881" i="2"/>
  <c r="AA881" i="2"/>
  <c r="AB881" i="2"/>
  <c r="AC881" i="2"/>
  <c r="AD881" i="2"/>
  <c r="AE881" i="2"/>
  <c r="AF881" i="2"/>
  <c r="AG881" i="2"/>
  <c r="AH881" i="2"/>
  <c r="AI881" i="2"/>
  <c r="AJ881" i="2"/>
  <c r="AK881" i="2"/>
  <c r="Z882" i="2"/>
  <c r="AA882" i="2"/>
  <c r="AB882" i="2"/>
  <c r="AC882" i="2"/>
  <c r="AD882" i="2"/>
  <c r="AE882" i="2"/>
  <c r="AF882" i="2"/>
  <c r="AG882" i="2"/>
  <c r="AH882" i="2"/>
  <c r="AI882" i="2"/>
  <c r="AJ882" i="2"/>
  <c r="AK882" i="2"/>
  <c r="Z883" i="2"/>
  <c r="AA883" i="2"/>
  <c r="AB883" i="2"/>
  <c r="AC883" i="2"/>
  <c r="AD883" i="2"/>
  <c r="AE883" i="2"/>
  <c r="AF883" i="2"/>
  <c r="AG883" i="2"/>
  <c r="AH883" i="2"/>
  <c r="AI883" i="2"/>
  <c r="AJ883" i="2"/>
  <c r="AK883" i="2"/>
  <c r="Z884" i="2"/>
  <c r="AA884" i="2"/>
  <c r="AB884" i="2"/>
  <c r="AC884" i="2"/>
  <c r="AD884" i="2"/>
  <c r="AE884" i="2"/>
  <c r="AF884" i="2"/>
  <c r="AG884" i="2"/>
  <c r="AH884" i="2"/>
  <c r="AI884" i="2"/>
  <c r="AJ884" i="2"/>
  <c r="AK884" i="2"/>
  <c r="Z885" i="2"/>
  <c r="AA885" i="2"/>
  <c r="AB885" i="2"/>
  <c r="AC885" i="2"/>
  <c r="AD885" i="2"/>
  <c r="AE885" i="2"/>
  <c r="AF885" i="2"/>
  <c r="AG885" i="2"/>
  <c r="AH885" i="2"/>
  <c r="AI885" i="2"/>
  <c r="AJ885" i="2"/>
  <c r="AK885" i="2"/>
  <c r="Z886" i="2"/>
  <c r="AA886" i="2"/>
  <c r="AB886" i="2"/>
  <c r="AC886" i="2"/>
  <c r="AD886" i="2"/>
  <c r="AE886" i="2"/>
  <c r="AF886" i="2"/>
  <c r="AG886" i="2"/>
  <c r="AH886" i="2"/>
  <c r="AI886" i="2"/>
  <c r="AJ886" i="2"/>
  <c r="AK886" i="2"/>
  <c r="Z887" i="2"/>
  <c r="AA887" i="2"/>
  <c r="AB887" i="2"/>
  <c r="AC887" i="2"/>
  <c r="AD887" i="2"/>
  <c r="AE887" i="2"/>
  <c r="AF887" i="2"/>
  <c r="AG887" i="2"/>
  <c r="AH887" i="2"/>
  <c r="AI887" i="2"/>
  <c r="AJ887" i="2"/>
  <c r="AK887" i="2"/>
  <c r="Z888" i="2"/>
  <c r="AA888" i="2"/>
  <c r="AB888" i="2"/>
  <c r="AC888" i="2"/>
  <c r="AD888" i="2"/>
  <c r="AE888" i="2"/>
  <c r="AF888" i="2"/>
  <c r="AG888" i="2"/>
  <c r="AH888" i="2"/>
  <c r="AI888" i="2"/>
  <c r="AJ888" i="2"/>
  <c r="AK888" i="2"/>
  <c r="Z889" i="2"/>
  <c r="AA889" i="2"/>
  <c r="AB889" i="2"/>
  <c r="AC889" i="2"/>
  <c r="AD889" i="2"/>
  <c r="AE889" i="2"/>
  <c r="AF889" i="2"/>
  <c r="AG889" i="2"/>
  <c r="AH889" i="2"/>
  <c r="AI889" i="2"/>
  <c r="AJ889" i="2"/>
  <c r="AK889" i="2"/>
  <c r="Z890" i="2"/>
  <c r="AA890" i="2"/>
  <c r="AB890" i="2"/>
  <c r="AC890" i="2"/>
  <c r="AD890" i="2"/>
  <c r="AE890" i="2"/>
  <c r="AF890" i="2"/>
  <c r="AG890" i="2"/>
  <c r="AH890" i="2"/>
  <c r="AI890" i="2"/>
  <c r="AJ890" i="2"/>
  <c r="AK890" i="2"/>
  <c r="Z891" i="2"/>
  <c r="AA891" i="2"/>
  <c r="AB891" i="2"/>
  <c r="AC891" i="2"/>
  <c r="AD891" i="2"/>
  <c r="AE891" i="2"/>
  <c r="AF891" i="2"/>
  <c r="AG891" i="2"/>
  <c r="AH891" i="2"/>
  <c r="AI891" i="2"/>
  <c r="AJ891" i="2"/>
  <c r="AK891" i="2"/>
  <c r="Z892" i="2"/>
  <c r="AA892" i="2"/>
  <c r="AB892" i="2"/>
  <c r="AC892" i="2"/>
  <c r="AD892" i="2"/>
  <c r="AE892" i="2"/>
  <c r="AF892" i="2"/>
  <c r="AG892" i="2"/>
  <c r="AH892" i="2"/>
  <c r="AI892" i="2"/>
  <c r="AJ892" i="2"/>
  <c r="AK892" i="2"/>
  <c r="Z893" i="2"/>
  <c r="AA893" i="2"/>
  <c r="AB893" i="2"/>
  <c r="AC893" i="2"/>
  <c r="AD893" i="2"/>
  <c r="AE893" i="2"/>
  <c r="AF893" i="2"/>
  <c r="AG893" i="2"/>
  <c r="AH893" i="2"/>
  <c r="AI893" i="2"/>
  <c r="AJ893" i="2"/>
  <c r="AK893" i="2"/>
  <c r="Z894" i="2"/>
  <c r="AA894" i="2"/>
  <c r="AB894" i="2"/>
  <c r="AC894" i="2"/>
  <c r="AD894" i="2"/>
  <c r="AE894" i="2"/>
  <c r="AF894" i="2"/>
  <c r="AG894" i="2"/>
  <c r="AH894" i="2"/>
  <c r="AI894" i="2"/>
  <c r="AJ894" i="2"/>
  <c r="AK894" i="2"/>
  <c r="Z895" i="2"/>
  <c r="AA895" i="2"/>
  <c r="AB895" i="2"/>
  <c r="AC895" i="2"/>
  <c r="AD895" i="2"/>
  <c r="AE895" i="2"/>
  <c r="AF895" i="2"/>
  <c r="AG895" i="2"/>
  <c r="AH895" i="2"/>
  <c r="AI895" i="2"/>
  <c r="AJ895" i="2"/>
  <c r="AK895" i="2"/>
  <c r="Z896" i="2"/>
  <c r="AA896" i="2"/>
  <c r="AB896" i="2"/>
  <c r="AC896" i="2"/>
  <c r="AD896" i="2"/>
  <c r="AE896" i="2"/>
  <c r="AF896" i="2"/>
  <c r="AG896" i="2"/>
  <c r="AH896" i="2"/>
  <c r="AI896" i="2"/>
  <c r="AJ896" i="2"/>
  <c r="AK896" i="2"/>
  <c r="Z897" i="2"/>
  <c r="AA897" i="2"/>
  <c r="AB897" i="2"/>
  <c r="AC897" i="2"/>
  <c r="AD897" i="2"/>
  <c r="AE897" i="2"/>
  <c r="AF897" i="2"/>
  <c r="AG897" i="2"/>
  <c r="AH897" i="2"/>
  <c r="AI897" i="2"/>
  <c r="AJ897" i="2"/>
  <c r="AK897" i="2"/>
  <c r="Z898" i="2"/>
  <c r="AA898" i="2"/>
  <c r="AB898" i="2"/>
  <c r="AC898" i="2"/>
  <c r="AD898" i="2"/>
  <c r="AE898" i="2"/>
  <c r="AF898" i="2"/>
  <c r="AG898" i="2"/>
  <c r="AH898" i="2"/>
  <c r="AI898" i="2"/>
  <c r="AJ898" i="2"/>
  <c r="AK898" i="2"/>
  <c r="Z899" i="2"/>
  <c r="AA899" i="2"/>
  <c r="AB899" i="2"/>
  <c r="AC899" i="2"/>
  <c r="AD899" i="2"/>
  <c r="AE899" i="2"/>
  <c r="AF899" i="2"/>
  <c r="AG899" i="2"/>
  <c r="AH899" i="2"/>
  <c r="AI899" i="2"/>
  <c r="AJ899" i="2"/>
  <c r="AK899" i="2"/>
  <c r="Z900" i="2"/>
  <c r="AA900" i="2"/>
  <c r="AB900" i="2"/>
  <c r="AC900" i="2"/>
  <c r="AD900" i="2"/>
  <c r="AE900" i="2"/>
  <c r="AF900" i="2"/>
  <c r="AG900" i="2"/>
  <c r="AH900" i="2"/>
  <c r="AI900" i="2"/>
  <c r="AJ900" i="2"/>
  <c r="AK900" i="2"/>
  <c r="Z901" i="2"/>
  <c r="AA901" i="2"/>
  <c r="AB901" i="2"/>
  <c r="AC901" i="2"/>
  <c r="AD901" i="2"/>
  <c r="AE901" i="2"/>
  <c r="AF901" i="2"/>
  <c r="AG901" i="2"/>
  <c r="AH901" i="2"/>
  <c r="AI901" i="2"/>
  <c r="AJ901" i="2"/>
  <c r="AK901" i="2"/>
  <c r="Z902" i="2"/>
  <c r="AA902" i="2"/>
  <c r="AB902" i="2"/>
  <c r="AC902" i="2"/>
  <c r="AD902" i="2"/>
  <c r="AE902" i="2"/>
  <c r="AF902" i="2"/>
  <c r="AG902" i="2"/>
  <c r="AH902" i="2"/>
  <c r="AI902" i="2"/>
  <c r="AJ902" i="2"/>
  <c r="AK902" i="2"/>
  <c r="Z903" i="2"/>
  <c r="AA903" i="2"/>
  <c r="AB903" i="2"/>
  <c r="AC903" i="2"/>
  <c r="AD903" i="2"/>
  <c r="AE903" i="2"/>
  <c r="AF903" i="2"/>
  <c r="AG903" i="2"/>
  <c r="AH903" i="2"/>
  <c r="AI903" i="2"/>
  <c r="AJ903" i="2"/>
  <c r="AK903" i="2"/>
  <c r="Z904" i="2"/>
  <c r="AA904" i="2"/>
  <c r="AB904" i="2"/>
  <c r="AC904" i="2"/>
  <c r="AD904" i="2"/>
  <c r="AE904" i="2"/>
  <c r="AF904" i="2"/>
  <c r="AG904" i="2"/>
  <c r="AH904" i="2"/>
  <c r="AI904" i="2"/>
  <c r="AJ904" i="2"/>
  <c r="AK904" i="2"/>
  <c r="Z905" i="2"/>
  <c r="AA905" i="2"/>
  <c r="AB905" i="2"/>
  <c r="AC905" i="2"/>
  <c r="AD905" i="2"/>
  <c r="AE905" i="2"/>
  <c r="AF905" i="2"/>
  <c r="AG905" i="2"/>
  <c r="AH905" i="2"/>
  <c r="AI905" i="2"/>
  <c r="AJ905" i="2"/>
  <c r="AK905" i="2"/>
  <c r="Z906" i="2"/>
  <c r="AA906" i="2"/>
  <c r="AB906" i="2"/>
  <c r="AC906" i="2"/>
  <c r="AD906" i="2"/>
  <c r="AE906" i="2"/>
  <c r="AF906" i="2"/>
  <c r="AG906" i="2"/>
  <c r="AH906" i="2"/>
  <c r="AI906" i="2"/>
  <c r="AJ906" i="2"/>
  <c r="AK906" i="2"/>
  <c r="Z907" i="2"/>
  <c r="AA907" i="2"/>
  <c r="AB907" i="2"/>
  <c r="AC907" i="2"/>
  <c r="AD907" i="2"/>
  <c r="AE907" i="2"/>
  <c r="AF907" i="2"/>
  <c r="AG907" i="2"/>
  <c r="AH907" i="2"/>
  <c r="AI907" i="2"/>
  <c r="AJ907" i="2"/>
  <c r="AK907" i="2"/>
  <c r="Z908" i="2"/>
  <c r="AA908" i="2"/>
  <c r="AB908" i="2"/>
  <c r="AC908" i="2"/>
  <c r="AD908" i="2"/>
  <c r="AE908" i="2"/>
  <c r="AF908" i="2"/>
  <c r="AG908" i="2"/>
  <c r="AH908" i="2"/>
  <c r="AI908" i="2"/>
  <c r="AJ908" i="2"/>
  <c r="AK908" i="2"/>
  <c r="Z909" i="2"/>
  <c r="AA909" i="2"/>
  <c r="AB909" i="2"/>
  <c r="AC909" i="2"/>
  <c r="AD909" i="2"/>
  <c r="AE909" i="2"/>
  <c r="AF909" i="2"/>
  <c r="AG909" i="2"/>
  <c r="AH909" i="2"/>
  <c r="AI909" i="2"/>
  <c r="AJ909" i="2"/>
  <c r="AK909" i="2"/>
  <c r="Z910" i="2"/>
  <c r="AA910" i="2"/>
  <c r="AB910" i="2"/>
  <c r="AC910" i="2"/>
  <c r="AD910" i="2"/>
  <c r="AE910" i="2"/>
  <c r="AF910" i="2"/>
  <c r="AG910" i="2"/>
  <c r="AH910" i="2"/>
  <c r="AI910" i="2"/>
  <c r="AJ910" i="2"/>
  <c r="AK910" i="2"/>
  <c r="Z911" i="2"/>
  <c r="AA911" i="2"/>
  <c r="AB911" i="2"/>
  <c r="AC911" i="2"/>
  <c r="AD911" i="2"/>
  <c r="AE911" i="2"/>
  <c r="AF911" i="2"/>
  <c r="AG911" i="2"/>
  <c r="AH911" i="2"/>
  <c r="AI911" i="2"/>
  <c r="AJ911" i="2"/>
  <c r="AK911" i="2"/>
  <c r="Z912" i="2"/>
  <c r="AA912" i="2"/>
  <c r="AB912" i="2"/>
  <c r="AC912" i="2"/>
  <c r="AD912" i="2"/>
  <c r="AE912" i="2"/>
  <c r="AF912" i="2"/>
  <c r="AG912" i="2"/>
  <c r="AH912" i="2"/>
  <c r="AI912" i="2"/>
  <c r="AJ912" i="2"/>
  <c r="AK912" i="2"/>
  <c r="Z913" i="2"/>
  <c r="AA913" i="2"/>
  <c r="AB913" i="2"/>
  <c r="AC913" i="2"/>
  <c r="AD913" i="2"/>
  <c r="AE913" i="2"/>
  <c r="AF913" i="2"/>
  <c r="AG913" i="2"/>
  <c r="AH913" i="2"/>
  <c r="AI913" i="2"/>
  <c r="AJ913" i="2"/>
  <c r="AK913" i="2"/>
  <c r="Z914" i="2"/>
  <c r="AA914" i="2"/>
  <c r="AB914" i="2"/>
  <c r="AC914" i="2"/>
  <c r="AD914" i="2"/>
  <c r="AE914" i="2"/>
  <c r="AF914" i="2"/>
  <c r="AG914" i="2"/>
  <c r="AH914" i="2"/>
  <c r="AI914" i="2"/>
  <c r="AJ914" i="2"/>
  <c r="AK914" i="2"/>
  <c r="Z915" i="2"/>
  <c r="AA915" i="2"/>
  <c r="AB915" i="2"/>
  <c r="AC915" i="2"/>
  <c r="AD915" i="2"/>
  <c r="AE915" i="2"/>
  <c r="AF915" i="2"/>
  <c r="AG915" i="2"/>
  <c r="AH915" i="2"/>
  <c r="AI915" i="2"/>
  <c r="AJ915" i="2"/>
  <c r="AK915" i="2"/>
  <c r="Z916" i="2"/>
  <c r="AA916" i="2"/>
  <c r="AB916" i="2"/>
  <c r="AC916" i="2"/>
  <c r="AD916" i="2"/>
  <c r="AE916" i="2"/>
  <c r="AF916" i="2"/>
  <c r="AG916" i="2"/>
  <c r="AH916" i="2"/>
  <c r="AI916" i="2"/>
  <c r="AJ916" i="2"/>
  <c r="AK916" i="2"/>
  <c r="Z917" i="2"/>
  <c r="AA917" i="2"/>
  <c r="AB917" i="2"/>
  <c r="AC917" i="2"/>
  <c r="AD917" i="2"/>
  <c r="AE917" i="2"/>
  <c r="AF917" i="2"/>
  <c r="AG917" i="2"/>
  <c r="AH917" i="2"/>
  <c r="AI917" i="2"/>
  <c r="AJ917" i="2"/>
  <c r="AK917" i="2"/>
  <c r="Z918" i="2"/>
  <c r="AA918" i="2"/>
  <c r="AB918" i="2"/>
  <c r="AC918" i="2"/>
  <c r="AD918" i="2"/>
  <c r="AE918" i="2"/>
  <c r="AF918" i="2"/>
  <c r="AG918" i="2"/>
  <c r="AH918" i="2"/>
  <c r="AI918" i="2"/>
  <c r="AJ918" i="2"/>
  <c r="AK918" i="2"/>
  <c r="Z919" i="2"/>
  <c r="AA919" i="2"/>
  <c r="AB919" i="2"/>
  <c r="AC919" i="2"/>
  <c r="AD919" i="2"/>
  <c r="AE919" i="2"/>
  <c r="AF919" i="2"/>
  <c r="AG919" i="2"/>
  <c r="AH919" i="2"/>
  <c r="AI919" i="2"/>
  <c r="AJ919" i="2"/>
  <c r="AK919" i="2"/>
  <c r="Z920" i="2"/>
  <c r="AA920" i="2"/>
  <c r="AB920" i="2"/>
  <c r="AC920" i="2"/>
  <c r="AD920" i="2"/>
  <c r="AE920" i="2"/>
  <c r="AF920" i="2"/>
  <c r="AG920" i="2"/>
  <c r="AH920" i="2"/>
  <c r="AI920" i="2"/>
  <c r="AJ920" i="2"/>
  <c r="AK920" i="2"/>
  <c r="Z921" i="2"/>
  <c r="AA921" i="2"/>
  <c r="AB921" i="2"/>
  <c r="AC921" i="2"/>
  <c r="AD921" i="2"/>
  <c r="AE921" i="2"/>
  <c r="AF921" i="2"/>
  <c r="AG921" i="2"/>
  <c r="AH921" i="2"/>
  <c r="AI921" i="2"/>
  <c r="AJ921" i="2"/>
  <c r="AK921" i="2"/>
  <c r="Z922" i="2"/>
  <c r="AA922" i="2"/>
  <c r="AB922" i="2"/>
  <c r="AC922" i="2"/>
  <c r="AD922" i="2"/>
  <c r="AE922" i="2"/>
  <c r="AF922" i="2"/>
  <c r="AG922" i="2"/>
  <c r="AH922" i="2"/>
  <c r="AI922" i="2"/>
  <c r="AJ922" i="2"/>
  <c r="AK922" i="2"/>
  <c r="Z923" i="2"/>
  <c r="AA923" i="2"/>
  <c r="AB923" i="2"/>
  <c r="AC923" i="2"/>
  <c r="AD923" i="2"/>
  <c r="AE923" i="2"/>
  <c r="AF923" i="2"/>
  <c r="AG923" i="2"/>
  <c r="AH923" i="2"/>
  <c r="AI923" i="2"/>
  <c r="AJ923" i="2"/>
  <c r="AK923" i="2"/>
  <c r="Z924" i="2"/>
  <c r="AA924" i="2"/>
  <c r="AB924" i="2"/>
  <c r="AC924" i="2"/>
  <c r="AD924" i="2"/>
  <c r="AE924" i="2"/>
  <c r="AF924" i="2"/>
  <c r="AG924" i="2"/>
  <c r="AH924" i="2"/>
  <c r="AI924" i="2"/>
  <c r="AJ924" i="2"/>
  <c r="AK924" i="2"/>
  <c r="Z925" i="2"/>
  <c r="AA925" i="2"/>
  <c r="AB925" i="2"/>
  <c r="AC925" i="2"/>
  <c r="AD925" i="2"/>
  <c r="AE925" i="2"/>
  <c r="AF925" i="2"/>
  <c r="AG925" i="2"/>
  <c r="AH925" i="2"/>
  <c r="AI925" i="2"/>
  <c r="AJ925" i="2"/>
  <c r="AK925" i="2"/>
  <c r="Z926" i="2"/>
  <c r="AA926" i="2"/>
  <c r="AB926" i="2"/>
  <c r="AC926" i="2"/>
  <c r="AD926" i="2"/>
  <c r="AE926" i="2"/>
  <c r="AF926" i="2"/>
  <c r="AG926" i="2"/>
  <c r="AH926" i="2"/>
  <c r="AI926" i="2"/>
  <c r="AJ926" i="2"/>
  <c r="AK926" i="2"/>
  <c r="Z927" i="2"/>
  <c r="AA927" i="2"/>
  <c r="AB927" i="2"/>
  <c r="AC927" i="2"/>
  <c r="AD927" i="2"/>
  <c r="AE927" i="2"/>
  <c r="AF927" i="2"/>
  <c r="AG927" i="2"/>
  <c r="AH927" i="2"/>
  <c r="AI927" i="2"/>
  <c r="AJ927" i="2"/>
  <c r="AK927" i="2"/>
  <c r="Z928" i="2"/>
  <c r="AA928" i="2"/>
  <c r="AB928" i="2"/>
  <c r="AC928" i="2"/>
  <c r="AD928" i="2"/>
  <c r="AE928" i="2"/>
  <c r="AF928" i="2"/>
  <c r="AG928" i="2"/>
  <c r="AH928" i="2"/>
  <c r="AI928" i="2"/>
  <c r="AJ928" i="2"/>
  <c r="AK928" i="2"/>
  <c r="Z929" i="2"/>
  <c r="AA929" i="2"/>
  <c r="AB929" i="2"/>
  <c r="AC929" i="2"/>
  <c r="AD929" i="2"/>
  <c r="AE929" i="2"/>
  <c r="AF929" i="2"/>
  <c r="AG929" i="2"/>
  <c r="AH929" i="2"/>
  <c r="AI929" i="2"/>
  <c r="AJ929" i="2"/>
  <c r="AK929" i="2"/>
  <c r="Z930" i="2"/>
  <c r="AA930" i="2"/>
  <c r="AB930" i="2"/>
  <c r="AC930" i="2"/>
  <c r="AD930" i="2"/>
  <c r="AE930" i="2"/>
  <c r="AF930" i="2"/>
  <c r="AG930" i="2"/>
  <c r="AH930" i="2"/>
  <c r="AI930" i="2"/>
  <c r="AJ930" i="2"/>
  <c r="AK930" i="2"/>
  <c r="Z931" i="2"/>
  <c r="AA931" i="2"/>
  <c r="AB931" i="2"/>
  <c r="AC931" i="2"/>
  <c r="AD931" i="2"/>
  <c r="AE931" i="2"/>
  <c r="AF931" i="2"/>
  <c r="AG931" i="2"/>
  <c r="AH931" i="2"/>
  <c r="AI931" i="2"/>
  <c r="AJ931" i="2"/>
  <c r="AK931" i="2"/>
  <c r="Z932" i="2"/>
  <c r="AA932" i="2"/>
  <c r="AB932" i="2"/>
  <c r="AC932" i="2"/>
  <c r="AD932" i="2"/>
  <c r="AE932" i="2"/>
  <c r="AF932" i="2"/>
  <c r="AG932" i="2"/>
  <c r="AH932" i="2"/>
  <c r="AI932" i="2"/>
  <c r="AJ932" i="2"/>
  <c r="AK932" i="2"/>
  <c r="Z933" i="2"/>
  <c r="AA933" i="2"/>
  <c r="AB933" i="2"/>
  <c r="AC933" i="2"/>
  <c r="AD933" i="2"/>
  <c r="AE933" i="2"/>
  <c r="AF933" i="2"/>
  <c r="AG933" i="2"/>
  <c r="AH933" i="2"/>
  <c r="AI933" i="2"/>
  <c r="AJ933" i="2"/>
  <c r="AK933" i="2"/>
  <c r="Z934" i="2"/>
  <c r="AA934" i="2"/>
  <c r="AB934" i="2"/>
  <c r="AC934" i="2"/>
  <c r="AD934" i="2"/>
  <c r="AE934" i="2"/>
  <c r="AF934" i="2"/>
  <c r="AG934" i="2"/>
  <c r="AH934" i="2"/>
  <c r="AI934" i="2"/>
  <c r="AJ934" i="2"/>
  <c r="AK934" i="2"/>
  <c r="Z935" i="2"/>
  <c r="AA935" i="2"/>
  <c r="AB935" i="2"/>
  <c r="AC935" i="2"/>
  <c r="AD935" i="2"/>
  <c r="AE935" i="2"/>
  <c r="AF935" i="2"/>
  <c r="AG935" i="2"/>
  <c r="AH935" i="2"/>
  <c r="AI935" i="2"/>
  <c r="AJ935" i="2"/>
  <c r="AK935" i="2"/>
  <c r="Z936" i="2"/>
  <c r="AA936" i="2"/>
  <c r="AB936" i="2"/>
  <c r="AC936" i="2"/>
  <c r="AD936" i="2"/>
  <c r="AE936" i="2"/>
  <c r="AF936" i="2"/>
  <c r="AG936" i="2"/>
  <c r="AH936" i="2"/>
  <c r="AI936" i="2"/>
  <c r="AJ936" i="2"/>
  <c r="AK936" i="2"/>
  <c r="Z937" i="2"/>
  <c r="AA937" i="2"/>
  <c r="AB937" i="2"/>
  <c r="AC937" i="2"/>
  <c r="AD937" i="2"/>
  <c r="AE937" i="2"/>
  <c r="AF937" i="2"/>
  <c r="AG937" i="2"/>
  <c r="AH937" i="2"/>
  <c r="AI937" i="2"/>
  <c r="AJ937" i="2"/>
  <c r="AK937" i="2"/>
  <c r="Z938" i="2"/>
  <c r="AA938" i="2"/>
  <c r="AB938" i="2"/>
  <c r="AC938" i="2"/>
  <c r="AD938" i="2"/>
  <c r="AE938" i="2"/>
  <c r="AF938" i="2"/>
  <c r="AG938" i="2"/>
  <c r="AH938" i="2"/>
  <c r="AI938" i="2"/>
  <c r="AJ938" i="2"/>
  <c r="AK938" i="2"/>
  <c r="Z939" i="2"/>
  <c r="AA939" i="2"/>
  <c r="AB939" i="2"/>
  <c r="AC939" i="2"/>
  <c r="AD939" i="2"/>
  <c r="AE939" i="2"/>
  <c r="AF939" i="2"/>
  <c r="AG939" i="2"/>
  <c r="AH939" i="2"/>
  <c r="AI939" i="2"/>
  <c r="AJ939" i="2"/>
  <c r="AK939" i="2"/>
  <c r="Z940" i="2"/>
  <c r="AA940" i="2"/>
  <c r="AB940" i="2"/>
  <c r="AC940" i="2"/>
  <c r="AD940" i="2"/>
  <c r="AE940" i="2"/>
  <c r="AF940" i="2"/>
  <c r="AG940" i="2"/>
  <c r="AH940" i="2"/>
  <c r="AI940" i="2"/>
  <c r="AJ940" i="2"/>
  <c r="AK940" i="2"/>
  <c r="Z941" i="2"/>
  <c r="AA941" i="2"/>
  <c r="AB941" i="2"/>
  <c r="AC941" i="2"/>
  <c r="AD941" i="2"/>
  <c r="AE941" i="2"/>
  <c r="AF941" i="2"/>
  <c r="AG941" i="2"/>
  <c r="AH941" i="2"/>
  <c r="AI941" i="2"/>
  <c r="AJ941" i="2"/>
  <c r="AK941" i="2"/>
  <c r="Z942" i="2"/>
  <c r="AA942" i="2"/>
  <c r="AB942" i="2"/>
  <c r="AC942" i="2"/>
  <c r="AD942" i="2"/>
  <c r="AE942" i="2"/>
  <c r="AF942" i="2"/>
  <c r="AG942" i="2"/>
  <c r="AH942" i="2"/>
  <c r="AI942" i="2"/>
  <c r="AJ942" i="2"/>
  <c r="AK942" i="2"/>
  <c r="Z943" i="2"/>
  <c r="AA943" i="2"/>
  <c r="AB943" i="2"/>
  <c r="AC943" i="2"/>
  <c r="AD943" i="2"/>
  <c r="AE943" i="2"/>
  <c r="AF943" i="2"/>
  <c r="AG943" i="2"/>
  <c r="AH943" i="2"/>
  <c r="AI943" i="2"/>
  <c r="AJ943" i="2"/>
  <c r="AK943" i="2"/>
  <c r="Z944" i="2"/>
  <c r="AA944" i="2"/>
  <c r="AB944" i="2"/>
  <c r="AC944" i="2"/>
  <c r="AD944" i="2"/>
  <c r="AE944" i="2"/>
  <c r="AF944" i="2"/>
  <c r="AG944" i="2"/>
  <c r="AH944" i="2"/>
  <c r="AI944" i="2"/>
  <c r="AJ944" i="2"/>
  <c r="AK944" i="2"/>
  <c r="Z945" i="2"/>
  <c r="AA945" i="2"/>
  <c r="AB945" i="2"/>
  <c r="AC945" i="2"/>
  <c r="AD945" i="2"/>
  <c r="AE945" i="2"/>
  <c r="AF945" i="2"/>
  <c r="AG945" i="2"/>
  <c r="AH945" i="2"/>
  <c r="AI945" i="2"/>
  <c r="AJ945" i="2"/>
  <c r="AK945" i="2"/>
  <c r="Z946" i="2"/>
  <c r="AA946" i="2"/>
  <c r="AB946" i="2"/>
  <c r="AC946" i="2"/>
  <c r="AD946" i="2"/>
  <c r="AE946" i="2"/>
  <c r="AF946" i="2"/>
  <c r="AG946" i="2"/>
  <c r="AH946" i="2"/>
  <c r="AI946" i="2"/>
  <c r="AJ946" i="2"/>
  <c r="AK946" i="2"/>
  <c r="Z947" i="2"/>
  <c r="AA947" i="2"/>
  <c r="AB947" i="2"/>
  <c r="AC947" i="2"/>
  <c r="AD947" i="2"/>
  <c r="AE947" i="2"/>
  <c r="AF947" i="2"/>
  <c r="AG947" i="2"/>
  <c r="AH947" i="2"/>
  <c r="AI947" i="2"/>
  <c r="AJ947" i="2"/>
  <c r="AK947" i="2"/>
  <c r="Z948" i="2"/>
  <c r="AA948" i="2"/>
  <c r="AB948" i="2"/>
  <c r="AC948" i="2"/>
  <c r="AD948" i="2"/>
  <c r="AE948" i="2"/>
  <c r="AF948" i="2"/>
  <c r="AG948" i="2"/>
  <c r="AH948" i="2"/>
  <c r="AI948" i="2"/>
  <c r="AJ948" i="2"/>
  <c r="AK948" i="2"/>
  <c r="Z949" i="2"/>
  <c r="AA949" i="2"/>
  <c r="AB949" i="2"/>
  <c r="AC949" i="2"/>
  <c r="AD949" i="2"/>
  <c r="AE949" i="2"/>
  <c r="AF949" i="2"/>
  <c r="AG949" i="2"/>
  <c r="AH949" i="2"/>
  <c r="AI949" i="2"/>
  <c r="AJ949" i="2"/>
  <c r="AK949" i="2"/>
  <c r="Z950" i="2"/>
  <c r="AA950" i="2"/>
  <c r="AB950" i="2"/>
  <c r="AC950" i="2"/>
  <c r="AD950" i="2"/>
  <c r="AE950" i="2"/>
  <c r="AF950" i="2"/>
  <c r="AG950" i="2"/>
  <c r="AH950" i="2"/>
  <c r="AI950" i="2"/>
  <c r="AJ950" i="2"/>
  <c r="AK950" i="2"/>
  <c r="Z951" i="2"/>
  <c r="AA951" i="2"/>
  <c r="AB951" i="2"/>
  <c r="AC951" i="2"/>
  <c r="AD951" i="2"/>
  <c r="AE951" i="2"/>
  <c r="AF951" i="2"/>
  <c r="AG951" i="2"/>
  <c r="AH951" i="2"/>
  <c r="AI951" i="2"/>
  <c r="AJ951" i="2"/>
  <c r="AK951" i="2"/>
  <c r="Z952" i="2"/>
  <c r="AA952" i="2"/>
  <c r="AB952" i="2"/>
  <c r="AC952" i="2"/>
  <c r="AD952" i="2"/>
  <c r="AE952" i="2"/>
  <c r="AF952" i="2"/>
  <c r="AG952" i="2"/>
  <c r="AH952" i="2"/>
  <c r="AI952" i="2"/>
  <c r="AJ952" i="2"/>
  <c r="AK952" i="2"/>
  <c r="Z953" i="2"/>
  <c r="AA953" i="2"/>
  <c r="AB953" i="2"/>
  <c r="AC953" i="2"/>
  <c r="AD953" i="2"/>
  <c r="AE953" i="2"/>
  <c r="AF953" i="2"/>
  <c r="AG953" i="2"/>
  <c r="AH953" i="2"/>
  <c r="AI953" i="2"/>
  <c r="AJ953" i="2"/>
  <c r="AK953" i="2"/>
  <c r="Z954" i="2"/>
  <c r="AA954" i="2"/>
  <c r="AB954" i="2"/>
  <c r="AC954" i="2"/>
  <c r="AD954" i="2"/>
  <c r="AE954" i="2"/>
  <c r="AF954" i="2"/>
  <c r="AG954" i="2"/>
  <c r="AH954" i="2"/>
  <c r="AI954" i="2"/>
  <c r="AJ954" i="2"/>
  <c r="AK954" i="2"/>
  <c r="Z955" i="2"/>
  <c r="AA955" i="2"/>
  <c r="AB955" i="2"/>
  <c r="AC955" i="2"/>
  <c r="AD955" i="2"/>
  <c r="AE955" i="2"/>
  <c r="AF955" i="2"/>
  <c r="AG955" i="2"/>
  <c r="AH955" i="2"/>
  <c r="AI955" i="2"/>
  <c r="AJ955" i="2"/>
  <c r="AK955" i="2"/>
  <c r="Z956" i="2"/>
  <c r="AA956" i="2"/>
  <c r="AB956" i="2"/>
  <c r="AC956" i="2"/>
  <c r="AD956" i="2"/>
  <c r="AE956" i="2"/>
  <c r="AF956" i="2"/>
  <c r="AG956" i="2"/>
  <c r="AH956" i="2"/>
  <c r="AI956" i="2"/>
  <c r="AJ956" i="2"/>
  <c r="AK956" i="2"/>
  <c r="Z957" i="2"/>
  <c r="AA957" i="2"/>
  <c r="AB957" i="2"/>
  <c r="AC957" i="2"/>
  <c r="AD957" i="2"/>
  <c r="AE957" i="2"/>
  <c r="AF957" i="2"/>
  <c r="AG957" i="2"/>
  <c r="AH957" i="2"/>
  <c r="AI957" i="2"/>
  <c r="AJ957" i="2"/>
  <c r="AK957" i="2"/>
  <c r="Z958" i="2"/>
  <c r="AA958" i="2"/>
  <c r="AB958" i="2"/>
  <c r="AC958" i="2"/>
  <c r="AD958" i="2"/>
  <c r="AE958" i="2"/>
  <c r="AF958" i="2"/>
  <c r="AG958" i="2"/>
  <c r="AH958" i="2"/>
  <c r="AI958" i="2"/>
  <c r="AJ958" i="2"/>
  <c r="AK958" i="2"/>
  <c r="Z959" i="2"/>
  <c r="AA959" i="2"/>
  <c r="AB959" i="2"/>
  <c r="AC959" i="2"/>
  <c r="AD959" i="2"/>
  <c r="AE959" i="2"/>
  <c r="AF959" i="2"/>
  <c r="AG959" i="2"/>
  <c r="AH959" i="2"/>
  <c r="AI959" i="2"/>
  <c r="AJ959" i="2"/>
  <c r="AK959" i="2"/>
  <c r="Z960" i="2"/>
  <c r="AA960" i="2"/>
  <c r="AB960" i="2"/>
  <c r="AC960" i="2"/>
  <c r="AD960" i="2"/>
  <c r="AE960" i="2"/>
  <c r="AF960" i="2"/>
  <c r="AG960" i="2"/>
  <c r="AH960" i="2"/>
  <c r="AI960" i="2"/>
  <c r="AJ960" i="2"/>
  <c r="AK960" i="2"/>
  <c r="Z961" i="2"/>
  <c r="AA961" i="2"/>
  <c r="AB961" i="2"/>
  <c r="AC961" i="2"/>
  <c r="AD961" i="2"/>
  <c r="AE961" i="2"/>
  <c r="AF961" i="2"/>
  <c r="AG961" i="2"/>
  <c r="AH961" i="2"/>
  <c r="AI961" i="2"/>
  <c r="AJ961" i="2"/>
  <c r="AK961" i="2"/>
  <c r="Z962" i="2"/>
  <c r="AA962" i="2"/>
  <c r="AB962" i="2"/>
  <c r="AC962" i="2"/>
  <c r="AD962" i="2"/>
  <c r="AE962" i="2"/>
  <c r="AF962" i="2"/>
  <c r="AG962" i="2"/>
  <c r="AH962" i="2"/>
  <c r="AI962" i="2"/>
  <c r="AJ962" i="2"/>
  <c r="AK962" i="2"/>
  <c r="Z963" i="2"/>
  <c r="AA963" i="2"/>
  <c r="AB963" i="2"/>
  <c r="AC963" i="2"/>
  <c r="AD963" i="2"/>
  <c r="AE963" i="2"/>
  <c r="AF963" i="2"/>
  <c r="AG963" i="2"/>
  <c r="AH963" i="2"/>
  <c r="AI963" i="2"/>
  <c r="AJ963" i="2"/>
  <c r="AK963" i="2"/>
  <c r="Z964" i="2"/>
  <c r="AA964" i="2"/>
  <c r="AB964" i="2"/>
  <c r="AC964" i="2"/>
  <c r="AD964" i="2"/>
  <c r="AE964" i="2"/>
  <c r="AF964" i="2"/>
  <c r="AG964" i="2"/>
  <c r="AH964" i="2"/>
  <c r="AI964" i="2"/>
  <c r="AJ964" i="2"/>
  <c r="AK964" i="2"/>
  <c r="Z965" i="2"/>
  <c r="AA965" i="2"/>
  <c r="AB965" i="2"/>
  <c r="AC965" i="2"/>
  <c r="AD965" i="2"/>
  <c r="AE965" i="2"/>
  <c r="AF965" i="2"/>
  <c r="AG965" i="2"/>
  <c r="AH965" i="2"/>
  <c r="AI965" i="2"/>
  <c r="AJ965" i="2"/>
  <c r="AK965" i="2"/>
  <c r="Z966" i="2"/>
  <c r="AA966" i="2"/>
  <c r="AB966" i="2"/>
  <c r="AC966" i="2"/>
  <c r="AD966" i="2"/>
  <c r="AE966" i="2"/>
  <c r="AF966" i="2"/>
  <c r="AG966" i="2"/>
  <c r="AH966" i="2"/>
  <c r="AI966" i="2"/>
  <c r="AJ966" i="2"/>
  <c r="AK966" i="2"/>
  <c r="Z967" i="2"/>
  <c r="AA967" i="2"/>
  <c r="AB967" i="2"/>
  <c r="AC967" i="2"/>
  <c r="AD967" i="2"/>
  <c r="AE967" i="2"/>
  <c r="AF967" i="2"/>
  <c r="AG967" i="2"/>
  <c r="AH967" i="2"/>
  <c r="AI967" i="2"/>
  <c r="AJ967" i="2"/>
  <c r="AK967" i="2"/>
  <c r="Z968" i="2"/>
  <c r="AA968" i="2"/>
  <c r="AB968" i="2"/>
  <c r="AC968" i="2"/>
  <c r="AD968" i="2"/>
  <c r="AE968" i="2"/>
  <c r="AF968" i="2"/>
  <c r="AG968" i="2"/>
  <c r="AH968" i="2"/>
  <c r="AI968" i="2"/>
  <c r="AJ968" i="2"/>
  <c r="AK968" i="2"/>
  <c r="Z969" i="2"/>
  <c r="AA969" i="2"/>
  <c r="AB969" i="2"/>
  <c r="AC969" i="2"/>
  <c r="AD969" i="2"/>
  <c r="AE969" i="2"/>
  <c r="AF969" i="2"/>
  <c r="AG969" i="2"/>
  <c r="AH969" i="2"/>
  <c r="AI969" i="2"/>
  <c r="AJ969" i="2"/>
  <c r="AK969" i="2"/>
  <c r="Z970" i="2"/>
  <c r="AA970" i="2"/>
  <c r="AB970" i="2"/>
  <c r="AC970" i="2"/>
  <c r="AD970" i="2"/>
  <c r="AE970" i="2"/>
  <c r="AF970" i="2"/>
  <c r="AG970" i="2"/>
  <c r="AH970" i="2"/>
  <c r="AI970" i="2"/>
  <c r="AJ970" i="2"/>
  <c r="AK970" i="2"/>
  <c r="Z971" i="2"/>
  <c r="AA971" i="2"/>
  <c r="AB971" i="2"/>
  <c r="AC971" i="2"/>
  <c r="AD971" i="2"/>
  <c r="AE971" i="2"/>
  <c r="AF971" i="2"/>
  <c r="AG971" i="2"/>
  <c r="AH971" i="2"/>
  <c r="AI971" i="2"/>
  <c r="AJ971" i="2"/>
  <c r="AK971" i="2"/>
  <c r="Z972" i="2"/>
  <c r="AA972" i="2"/>
  <c r="AB972" i="2"/>
  <c r="AC972" i="2"/>
  <c r="AD972" i="2"/>
  <c r="AE972" i="2"/>
  <c r="AF972" i="2"/>
  <c r="AG972" i="2"/>
  <c r="AH972" i="2"/>
  <c r="AI972" i="2"/>
  <c r="AJ972" i="2"/>
  <c r="AK972" i="2"/>
  <c r="Z973" i="2"/>
  <c r="AA973" i="2"/>
  <c r="AB973" i="2"/>
  <c r="AC973" i="2"/>
  <c r="AD973" i="2"/>
  <c r="AE973" i="2"/>
  <c r="AF973" i="2"/>
  <c r="AG973" i="2"/>
  <c r="AH973" i="2"/>
  <c r="AI973" i="2"/>
  <c r="AJ973" i="2"/>
  <c r="AK973" i="2"/>
  <c r="Z974" i="2"/>
  <c r="AA974" i="2"/>
  <c r="AB974" i="2"/>
  <c r="AC974" i="2"/>
  <c r="AD974" i="2"/>
  <c r="AE974" i="2"/>
  <c r="AF974" i="2"/>
  <c r="AG974" i="2"/>
  <c r="AH974" i="2"/>
  <c r="AI974" i="2"/>
  <c r="AJ974" i="2"/>
  <c r="AK974" i="2"/>
  <c r="Z975" i="2"/>
  <c r="AA975" i="2"/>
  <c r="AB975" i="2"/>
  <c r="AC975" i="2"/>
  <c r="AD975" i="2"/>
  <c r="AE975" i="2"/>
  <c r="AF975" i="2"/>
  <c r="AG975" i="2"/>
  <c r="AH975" i="2"/>
  <c r="AI975" i="2"/>
  <c r="AJ975" i="2"/>
  <c r="AK975" i="2"/>
  <c r="Z976" i="2"/>
  <c r="AA976" i="2"/>
  <c r="AB976" i="2"/>
  <c r="AC976" i="2"/>
  <c r="AD976" i="2"/>
  <c r="AE976" i="2"/>
  <c r="AF976" i="2"/>
  <c r="AG976" i="2"/>
  <c r="AH976" i="2"/>
  <c r="AI976" i="2"/>
  <c r="AJ976" i="2"/>
  <c r="AK976" i="2"/>
  <c r="Z977" i="2"/>
  <c r="AA977" i="2"/>
  <c r="AB977" i="2"/>
  <c r="AC977" i="2"/>
  <c r="AD977" i="2"/>
  <c r="AE977" i="2"/>
  <c r="AF977" i="2"/>
  <c r="AG977" i="2"/>
  <c r="AH977" i="2"/>
  <c r="AI977" i="2"/>
  <c r="AJ977" i="2"/>
  <c r="AK977" i="2"/>
  <c r="Z978" i="2"/>
  <c r="AA978" i="2"/>
  <c r="AB978" i="2"/>
  <c r="AC978" i="2"/>
  <c r="AD978" i="2"/>
  <c r="AE978" i="2"/>
  <c r="AF978" i="2"/>
  <c r="AG978" i="2"/>
  <c r="AH978" i="2"/>
  <c r="AI978" i="2"/>
  <c r="AJ978" i="2"/>
  <c r="AK978" i="2"/>
  <c r="Z979" i="2"/>
  <c r="AA979" i="2"/>
  <c r="AB979" i="2"/>
  <c r="AC979" i="2"/>
  <c r="AD979" i="2"/>
  <c r="AE979" i="2"/>
  <c r="AF979" i="2"/>
  <c r="AG979" i="2"/>
  <c r="AH979" i="2"/>
  <c r="AI979" i="2"/>
  <c r="AJ979" i="2"/>
  <c r="AK979" i="2"/>
  <c r="Z980" i="2"/>
  <c r="AA980" i="2"/>
  <c r="AB980" i="2"/>
  <c r="AC980" i="2"/>
  <c r="AD980" i="2"/>
  <c r="AE980" i="2"/>
  <c r="AF980" i="2"/>
  <c r="AG980" i="2"/>
  <c r="AH980" i="2"/>
  <c r="AI980" i="2"/>
  <c r="AJ980" i="2"/>
  <c r="AK980" i="2"/>
  <c r="Z981" i="2"/>
  <c r="AA981" i="2"/>
  <c r="AB981" i="2"/>
  <c r="AC981" i="2"/>
  <c r="AD981" i="2"/>
  <c r="AE981" i="2"/>
  <c r="AF981" i="2"/>
  <c r="AG981" i="2"/>
  <c r="AH981" i="2"/>
  <c r="AI981" i="2"/>
  <c r="AJ981" i="2"/>
  <c r="AK981" i="2"/>
  <c r="Z982" i="2"/>
  <c r="AA982" i="2"/>
  <c r="AB982" i="2"/>
  <c r="AC982" i="2"/>
  <c r="AD982" i="2"/>
  <c r="AE982" i="2"/>
  <c r="AF982" i="2"/>
  <c r="AG982" i="2"/>
  <c r="AH982" i="2"/>
  <c r="AI982" i="2"/>
  <c r="AJ982" i="2"/>
  <c r="AK982" i="2"/>
  <c r="Z983" i="2"/>
  <c r="AA983" i="2"/>
  <c r="AB983" i="2"/>
  <c r="AC983" i="2"/>
  <c r="AD983" i="2"/>
  <c r="AE983" i="2"/>
  <c r="AF983" i="2"/>
  <c r="AG983" i="2"/>
  <c r="AH983" i="2"/>
  <c r="AI983" i="2"/>
  <c r="AJ983" i="2"/>
  <c r="AK983" i="2"/>
  <c r="Z984" i="2"/>
  <c r="AA984" i="2"/>
  <c r="AB984" i="2"/>
  <c r="AC984" i="2"/>
  <c r="AD984" i="2"/>
  <c r="AE984" i="2"/>
  <c r="AF984" i="2"/>
  <c r="AG984" i="2"/>
  <c r="AH984" i="2"/>
  <c r="AI984" i="2"/>
  <c r="AJ984" i="2"/>
  <c r="AK984" i="2"/>
  <c r="Z985" i="2"/>
  <c r="AA985" i="2"/>
  <c r="AB985" i="2"/>
  <c r="AC985" i="2"/>
  <c r="AD985" i="2"/>
  <c r="AE985" i="2"/>
  <c r="AF985" i="2"/>
  <c r="AG985" i="2"/>
  <c r="AH985" i="2"/>
  <c r="AI985" i="2"/>
  <c r="AJ985" i="2"/>
  <c r="AK985" i="2"/>
  <c r="Z986" i="2"/>
  <c r="AA986" i="2"/>
  <c r="AB986" i="2"/>
  <c r="AC986" i="2"/>
  <c r="AD986" i="2"/>
  <c r="AE986" i="2"/>
  <c r="AF986" i="2"/>
  <c r="AG986" i="2"/>
  <c r="AH986" i="2"/>
  <c r="AI986" i="2"/>
  <c r="AJ986" i="2"/>
  <c r="AK986" i="2"/>
  <c r="Z987" i="2"/>
  <c r="AA987" i="2"/>
  <c r="AB987" i="2"/>
  <c r="AC987" i="2"/>
  <c r="AD987" i="2"/>
  <c r="AE987" i="2"/>
  <c r="AF987" i="2"/>
  <c r="AG987" i="2"/>
  <c r="AH987" i="2"/>
  <c r="AI987" i="2"/>
  <c r="AJ987" i="2"/>
  <c r="AK987" i="2"/>
  <c r="Z988" i="2"/>
  <c r="AA988" i="2"/>
  <c r="AB988" i="2"/>
  <c r="AC988" i="2"/>
  <c r="AD988" i="2"/>
  <c r="AE988" i="2"/>
  <c r="AF988" i="2"/>
  <c r="AG988" i="2"/>
  <c r="AH988" i="2"/>
  <c r="AI988" i="2"/>
  <c r="AJ988" i="2"/>
  <c r="AK988" i="2"/>
  <c r="Z989" i="2"/>
  <c r="AA989" i="2"/>
  <c r="AB989" i="2"/>
  <c r="AC989" i="2"/>
  <c r="AD989" i="2"/>
  <c r="AE989" i="2"/>
  <c r="AF989" i="2"/>
  <c r="AG989" i="2"/>
  <c r="AH989" i="2"/>
  <c r="AI989" i="2"/>
  <c r="AJ989" i="2"/>
  <c r="AK989" i="2"/>
  <c r="Z990" i="2"/>
  <c r="AA990" i="2"/>
  <c r="AB990" i="2"/>
  <c r="AC990" i="2"/>
  <c r="AD990" i="2"/>
  <c r="AE990" i="2"/>
  <c r="AF990" i="2"/>
  <c r="AG990" i="2"/>
  <c r="AH990" i="2"/>
  <c r="AI990" i="2"/>
  <c r="AJ990" i="2"/>
  <c r="AK990" i="2"/>
  <c r="Z991" i="2"/>
  <c r="AA991" i="2"/>
  <c r="AB991" i="2"/>
  <c r="AC991" i="2"/>
  <c r="AD991" i="2"/>
  <c r="AE991" i="2"/>
  <c r="AF991" i="2"/>
  <c r="AG991" i="2"/>
  <c r="AH991" i="2"/>
  <c r="AI991" i="2"/>
  <c r="AJ991" i="2"/>
  <c r="AK991" i="2"/>
  <c r="Z992" i="2"/>
  <c r="AA992" i="2"/>
  <c r="AB992" i="2"/>
  <c r="AC992" i="2"/>
  <c r="AD992" i="2"/>
  <c r="AE992" i="2"/>
  <c r="AF992" i="2"/>
  <c r="AG992" i="2"/>
  <c r="AH992" i="2"/>
  <c r="AI992" i="2"/>
  <c r="AJ992" i="2"/>
  <c r="AK992" i="2"/>
  <c r="Z993" i="2"/>
  <c r="AA993" i="2"/>
  <c r="AB993" i="2"/>
  <c r="AC993" i="2"/>
  <c r="AD993" i="2"/>
  <c r="AE993" i="2"/>
  <c r="AF993" i="2"/>
  <c r="AG993" i="2"/>
  <c r="AH993" i="2"/>
  <c r="AI993" i="2"/>
  <c r="AJ993" i="2"/>
  <c r="AK993" i="2"/>
  <c r="Z994" i="2"/>
  <c r="AA994" i="2"/>
  <c r="AB994" i="2"/>
  <c r="AC994" i="2"/>
  <c r="AD994" i="2"/>
  <c r="AE994" i="2"/>
  <c r="AF994" i="2"/>
  <c r="AG994" i="2"/>
  <c r="AH994" i="2"/>
  <c r="AI994" i="2"/>
  <c r="AJ994" i="2"/>
  <c r="AK994" i="2"/>
  <c r="Z995" i="2"/>
  <c r="AA995" i="2"/>
  <c r="AB995" i="2"/>
  <c r="AC995" i="2"/>
  <c r="AD995" i="2"/>
  <c r="AE995" i="2"/>
  <c r="AF995" i="2"/>
  <c r="AG995" i="2"/>
  <c r="AH995" i="2"/>
  <c r="AI995" i="2"/>
  <c r="AJ995" i="2"/>
  <c r="AK995" i="2"/>
  <c r="Z996" i="2"/>
  <c r="AA996" i="2"/>
  <c r="AB996" i="2"/>
  <c r="AC996" i="2"/>
  <c r="AD996" i="2"/>
  <c r="AE996" i="2"/>
  <c r="AF996" i="2"/>
  <c r="AG996" i="2"/>
  <c r="AH996" i="2"/>
  <c r="AI996" i="2"/>
  <c r="AJ996" i="2"/>
  <c r="AK996" i="2"/>
  <c r="Z997" i="2"/>
  <c r="AA997" i="2"/>
  <c r="AB997" i="2"/>
  <c r="AC997" i="2"/>
  <c r="AD997" i="2"/>
  <c r="AE997" i="2"/>
  <c r="AF997" i="2"/>
  <c r="AG997" i="2"/>
  <c r="AH997" i="2"/>
  <c r="AI997" i="2"/>
  <c r="AJ997" i="2"/>
  <c r="AK997" i="2"/>
  <c r="Z998" i="2"/>
  <c r="AA998" i="2"/>
  <c r="AB998" i="2"/>
  <c r="AC998" i="2"/>
  <c r="AD998" i="2"/>
  <c r="AE998" i="2"/>
  <c r="AF998" i="2"/>
  <c r="AG998" i="2"/>
  <c r="AH998" i="2"/>
  <c r="AI998" i="2"/>
  <c r="AJ998" i="2"/>
  <c r="AK998" i="2"/>
  <c r="Z999" i="2"/>
  <c r="AA999" i="2"/>
  <c r="AB999" i="2"/>
  <c r="AC999" i="2"/>
  <c r="AD999" i="2"/>
  <c r="AE999" i="2"/>
  <c r="AF999" i="2"/>
  <c r="AG999" i="2"/>
  <c r="AH999" i="2"/>
  <c r="AI999" i="2"/>
  <c r="AJ999" i="2"/>
  <c r="AK999" i="2"/>
  <c r="Z1000" i="2"/>
  <c r="AA1000" i="2"/>
  <c r="AB1000" i="2"/>
  <c r="AC1000" i="2"/>
  <c r="AD1000" i="2"/>
  <c r="AE1000" i="2"/>
  <c r="AF1000" i="2"/>
  <c r="AG1000" i="2"/>
  <c r="AH1000" i="2"/>
  <c r="AI1000" i="2"/>
  <c r="AJ1000" i="2"/>
  <c r="AK1000" i="2"/>
  <c r="Z1001" i="2"/>
  <c r="AA1001" i="2"/>
  <c r="AB1001" i="2"/>
  <c r="AC1001" i="2"/>
  <c r="AD1001" i="2"/>
  <c r="AE1001" i="2"/>
  <c r="AF1001" i="2"/>
  <c r="AG1001" i="2"/>
  <c r="AH1001" i="2"/>
  <c r="AI1001" i="2"/>
  <c r="AJ1001" i="2"/>
  <c r="AK1001" i="2"/>
  <c r="Z1002" i="2"/>
  <c r="AA1002" i="2"/>
  <c r="AB1002" i="2"/>
  <c r="AC1002" i="2"/>
  <c r="AD1002" i="2"/>
  <c r="AE1002" i="2"/>
  <c r="AF1002" i="2"/>
  <c r="AG1002" i="2"/>
  <c r="AH1002" i="2"/>
  <c r="AI1002" i="2"/>
  <c r="AJ1002" i="2"/>
  <c r="AK1002" i="2"/>
  <c r="Z1003" i="2"/>
  <c r="AA1003" i="2"/>
  <c r="AB1003" i="2"/>
  <c r="AC1003" i="2"/>
  <c r="AD1003" i="2"/>
  <c r="AE1003" i="2"/>
  <c r="AF1003" i="2"/>
  <c r="AG1003" i="2"/>
  <c r="AH1003" i="2"/>
  <c r="AI1003" i="2"/>
  <c r="AJ1003" i="2"/>
  <c r="AK1003" i="2"/>
  <c r="Z1004" i="2"/>
  <c r="AA1004" i="2"/>
  <c r="AB1004" i="2"/>
  <c r="AC1004" i="2"/>
  <c r="AD1004" i="2"/>
  <c r="AE1004" i="2"/>
  <c r="AF1004" i="2"/>
  <c r="AG1004" i="2"/>
  <c r="AH1004" i="2"/>
  <c r="AI1004" i="2"/>
  <c r="AJ1004" i="2"/>
  <c r="AK1004" i="2"/>
  <c r="Z1005" i="2"/>
  <c r="AA1005" i="2"/>
  <c r="AB1005" i="2"/>
  <c r="AC1005" i="2"/>
  <c r="AD1005" i="2"/>
  <c r="AE1005" i="2"/>
  <c r="AF1005" i="2"/>
  <c r="AG1005" i="2"/>
  <c r="AH1005" i="2"/>
  <c r="AI1005" i="2"/>
  <c r="AJ1005" i="2"/>
  <c r="AK1005" i="2"/>
  <c r="Z1006" i="2"/>
  <c r="AA1006" i="2"/>
  <c r="AB1006" i="2"/>
  <c r="AC1006" i="2"/>
  <c r="AD1006" i="2"/>
  <c r="AE1006" i="2"/>
  <c r="AF1006" i="2"/>
  <c r="AG1006" i="2"/>
  <c r="AH1006" i="2"/>
  <c r="AI1006" i="2"/>
  <c r="AJ1006" i="2"/>
  <c r="AK1006" i="2"/>
  <c r="Z1007" i="2"/>
  <c r="AA1007" i="2"/>
  <c r="AB1007" i="2"/>
  <c r="AC1007" i="2"/>
  <c r="AD1007" i="2"/>
  <c r="AE1007" i="2"/>
  <c r="AF1007" i="2"/>
  <c r="AG1007" i="2"/>
  <c r="AH1007" i="2"/>
  <c r="AI1007" i="2"/>
  <c r="AJ1007" i="2"/>
  <c r="AK1007" i="2"/>
  <c r="Z1008" i="2"/>
  <c r="AA1008" i="2"/>
  <c r="AB1008" i="2"/>
  <c r="AC1008" i="2"/>
  <c r="AD1008" i="2"/>
  <c r="AE1008" i="2"/>
  <c r="AF1008" i="2"/>
  <c r="AG1008" i="2"/>
  <c r="AH1008" i="2"/>
  <c r="AI1008" i="2"/>
  <c r="AJ1008" i="2"/>
  <c r="AK1008" i="2"/>
  <c r="Z1009" i="2"/>
  <c r="AA1009" i="2"/>
  <c r="AB1009" i="2"/>
  <c r="AC1009" i="2"/>
  <c r="AD1009" i="2"/>
  <c r="AE1009" i="2"/>
  <c r="AF1009" i="2"/>
  <c r="AG1009" i="2"/>
  <c r="AH1009" i="2"/>
  <c r="AI1009" i="2"/>
  <c r="AJ1009" i="2"/>
  <c r="AK1009" i="2"/>
  <c r="Z1010" i="2"/>
  <c r="AA1010" i="2"/>
  <c r="AB1010" i="2"/>
  <c r="AC1010" i="2"/>
  <c r="AD1010" i="2"/>
  <c r="AE1010" i="2"/>
  <c r="AF1010" i="2"/>
  <c r="AG1010" i="2"/>
  <c r="AH1010" i="2"/>
  <c r="AI1010" i="2"/>
  <c r="AJ1010" i="2"/>
  <c r="AK1010" i="2"/>
  <c r="Z1011" i="2"/>
  <c r="AA1011" i="2"/>
  <c r="AB1011" i="2"/>
  <c r="AC1011" i="2"/>
  <c r="AD1011" i="2"/>
  <c r="AE1011" i="2"/>
  <c r="AF1011" i="2"/>
  <c r="AG1011" i="2"/>
  <c r="AH1011" i="2"/>
  <c r="AI1011" i="2"/>
  <c r="AJ1011" i="2"/>
  <c r="AK1011" i="2"/>
  <c r="Z1012" i="2"/>
  <c r="AA1012" i="2"/>
  <c r="AB1012" i="2"/>
  <c r="AC1012" i="2"/>
  <c r="AD1012" i="2"/>
  <c r="AE1012" i="2"/>
  <c r="AF1012" i="2"/>
  <c r="AG1012" i="2"/>
  <c r="AH1012" i="2"/>
  <c r="AI1012" i="2"/>
  <c r="AJ1012" i="2"/>
  <c r="AK1012" i="2"/>
  <c r="Z1013" i="2"/>
  <c r="AA1013" i="2"/>
  <c r="AB1013" i="2"/>
  <c r="AC1013" i="2"/>
  <c r="AD1013" i="2"/>
  <c r="AE1013" i="2"/>
  <c r="AF1013" i="2"/>
  <c r="AG1013" i="2"/>
  <c r="AH1013" i="2"/>
  <c r="AI1013" i="2"/>
  <c r="AJ1013" i="2"/>
  <c r="AK1013" i="2"/>
  <c r="Z1014" i="2"/>
  <c r="AA1014" i="2"/>
  <c r="AB1014" i="2"/>
  <c r="AC1014" i="2"/>
  <c r="AD1014" i="2"/>
  <c r="AE1014" i="2"/>
  <c r="AF1014" i="2"/>
  <c r="AG1014" i="2"/>
  <c r="AH1014" i="2"/>
  <c r="AI1014" i="2"/>
  <c r="AJ1014" i="2"/>
  <c r="AK1014" i="2"/>
  <c r="Z1015" i="2"/>
  <c r="AA1015" i="2"/>
  <c r="AB1015" i="2"/>
  <c r="AC1015" i="2"/>
  <c r="AD1015" i="2"/>
  <c r="AE1015" i="2"/>
  <c r="AF1015" i="2"/>
  <c r="AG1015" i="2"/>
  <c r="AH1015" i="2"/>
  <c r="AI1015" i="2"/>
  <c r="AJ1015" i="2"/>
  <c r="AK1015" i="2"/>
  <c r="Z1016" i="2"/>
  <c r="AA1016" i="2"/>
  <c r="AB1016" i="2"/>
  <c r="AC1016" i="2"/>
  <c r="AD1016" i="2"/>
  <c r="AE1016" i="2"/>
  <c r="AF1016" i="2"/>
  <c r="AG1016" i="2"/>
  <c r="AH1016" i="2"/>
  <c r="AI1016" i="2"/>
  <c r="AJ1016" i="2"/>
  <c r="AK1016" i="2"/>
  <c r="Z1017" i="2"/>
  <c r="AA1017" i="2"/>
  <c r="AB1017" i="2"/>
  <c r="AC1017" i="2"/>
  <c r="AD1017" i="2"/>
  <c r="AE1017" i="2"/>
  <c r="AF1017" i="2"/>
  <c r="AG1017" i="2"/>
  <c r="AH1017" i="2"/>
  <c r="AI1017" i="2"/>
  <c r="AJ1017" i="2"/>
  <c r="AK1017" i="2"/>
  <c r="Z1018" i="2"/>
  <c r="AA1018" i="2"/>
  <c r="AB1018" i="2"/>
  <c r="AC1018" i="2"/>
  <c r="AD1018" i="2"/>
  <c r="AE1018" i="2"/>
  <c r="AF1018" i="2"/>
  <c r="AG1018" i="2"/>
  <c r="AH1018" i="2"/>
  <c r="AI1018" i="2"/>
  <c r="AJ1018" i="2"/>
  <c r="AK1018" i="2"/>
  <c r="Z1019" i="2"/>
  <c r="AA1019" i="2"/>
  <c r="AB1019" i="2"/>
  <c r="AC1019" i="2"/>
  <c r="AD1019" i="2"/>
  <c r="AE1019" i="2"/>
  <c r="AF1019" i="2"/>
  <c r="AG1019" i="2"/>
  <c r="AH1019" i="2"/>
  <c r="AI1019" i="2"/>
  <c r="AJ1019" i="2"/>
  <c r="AK1019" i="2"/>
  <c r="Z1020" i="2"/>
  <c r="AA1020" i="2"/>
  <c r="AB1020" i="2"/>
  <c r="AC1020" i="2"/>
  <c r="AD1020" i="2"/>
  <c r="AE1020" i="2"/>
  <c r="AF1020" i="2"/>
  <c r="AG1020" i="2"/>
  <c r="AH1020" i="2"/>
  <c r="AI1020" i="2"/>
  <c r="AJ1020" i="2"/>
  <c r="AK1020" i="2"/>
  <c r="Z1021" i="2"/>
  <c r="AA1021" i="2"/>
  <c r="AB1021" i="2"/>
  <c r="AC1021" i="2"/>
  <c r="AD1021" i="2"/>
  <c r="AE1021" i="2"/>
  <c r="AF1021" i="2"/>
  <c r="AG1021" i="2"/>
  <c r="AH1021" i="2"/>
  <c r="AI1021" i="2"/>
  <c r="AJ1021" i="2"/>
  <c r="AK1021" i="2"/>
  <c r="Z1022" i="2"/>
  <c r="AA1022" i="2"/>
  <c r="AB1022" i="2"/>
  <c r="AC1022" i="2"/>
  <c r="AD1022" i="2"/>
  <c r="AE1022" i="2"/>
  <c r="AF1022" i="2"/>
  <c r="AG1022" i="2"/>
  <c r="AH1022" i="2"/>
  <c r="AI1022" i="2"/>
  <c r="AJ1022" i="2"/>
  <c r="AK1022" i="2"/>
  <c r="Z1023" i="2"/>
  <c r="AA1023" i="2"/>
  <c r="AB1023" i="2"/>
  <c r="AC1023" i="2"/>
  <c r="AD1023" i="2"/>
  <c r="AE1023" i="2"/>
  <c r="AF1023" i="2"/>
  <c r="AG1023" i="2"/>
  <c r="AH1023" i="2"/>
  <c r="AI1023" i="2"/>
  <c r="AJ1023" i="2"/>
  <c r="AK1023" i="2"/>
  <c r="Z1024" i="2"/>
  <c r="AA1024" i="2"/>
  <c r="AB1024" i="2"/>
  <c r="AC1024" i="2"/>
  <c r="AD1024" i="2"/>
  <c r="AE1024" i="2"/>
  <c r="AF1024" i="2"/>
  <c r="AG1024" i="2"/>
  <c r="AH1024" i="2"/>
  <c r="AI1024" i="2"/>
  <c r="AJ1024" i="2"/>
  <c r="AK1024" i="2"/>
  <c r="Z1025" i="2"/>
  <c r="AA1025" i="2"/>
  <c r="AB1025" i="2"/>
  <c r="AC1025" i="2"/>
  <c r="AD1025" i="2"/>
  <c r="AE1025" i="2"/>
  <c r="AF1025" i="2"/>
  <c r="AG1025" i="2"/>
  <c r="AH1025" i="2"/>
  <c r="AI1025" i="2"/>
  <c r="AJ1025" i="2"/>
  <c r="AK1025" i="2"/>
  <c r="Z1026" i="2"/>
  <c r="AA1026" i="2"/>
  <c r="AB1026" i="2"/>
  <c r="AC1026" i="2"/>
  <c r="AD1026" i="2"/>
  <c r="AE1026" i="2"/>
  <c r="AF1026" i="2"/>
  <c r="AG1026" i="2"/>
  <c r="AH1026" i="2"/>
  <c r="AI1026" i="2"/>
  <c r="AJ1026" i="2"/>
  <c r="AK1026" i="2"/>
  <c r="Z1027" i="2"/>
  <c r="AA1027" i="2"/>
  <c r="AB1027" i="2"/>
  <c r="AC1027" i="2"/>
  <c r="AD1027" i="2"/>
  <c r="AE1027" i="2"/>
  <c r="AF1027" i="2"/>
  <c r="AG1027" i="2"/>
  <c r="AH1027" i="2"/>
  <c r="AI1027" i="2"/>
  <c r="AJ1027" i="2"/>
  <c r="AK1027" i="2"/>
  <c r="Z1028" i="2"/>
  <c r="AA1028" i="2"/>
  <c r="AB1028" i="2"/>
  <c r="AC1028" i="2"/>
  <c r="AD1028" i="2"/>
  <c r="AE1028" i="2"/>
  <c r="AF1028" i="2"/>
  <c r="AG1028" i="2"/>
  <c r="AH1028" i="2"/>
  <c r="AI1028" i="2"/>
  <c r="AJ1028" i="2"/>
  <c r="AK1028" i="2"/>
  <c r="Z1029" i="2"/>
  <c r="AA1029" i="2"/>
  <c r="AB1029" i="2"/>
  <c r="AC1029" i="2"/>
  <c r="AD1029" i="2"/>
  <c r="AE1029" i="2"/>
  <c r="AF1029" i="2"/>
  <c r="AG1029" i="2"/>
  <c r="AH1029" i="2"/>
  <c r="AI1029" i="2"/>
  <c r="AJ1029" i="2"/>
  <c r="AK1029" i="2"/>
  <c r="Z1030" i="2"/>
  <c r="AA1030" i="2"/>
  <c r="AB1030" i="2"/>
  <c r="AC1030" i="2"/>
  <c r="AD1030" i="2"/>
  <c r="AE1030" i="2"/>
  <c r="AF1030" i="2"/>
  <c r="AG1030" i="2"/>
  <c r="AH1030" i="2"/>
  <c r="AI1030" i="2"/>
  <c r="AJ1030" i="2"/>
  <c r="AK1030" i="2"/>
  <c r="Z1031" i="2"/>
  <c r="AA1031" i="2"/>
  <c r="AB1031" i="2"/>
  <c r="AC1031" i="2"/>
  <c r="AD1031" i="2"/>
  <c r="AE1031" i="2"/>
  <c r="AF1031" i="2"/>
  <c r="AG1031" i="2"/>
  <c r="AH1031" i="2"/>
  <c r="AI1031" i="2"/>
  <c r="AJ1031" i="2"/>
  <c r="AK1031" i="2"/>
  <c r="Z1032" i="2"/>
  <c r="AA1032" i="2"/>
  <c r="AB1032" i="2"/>
  <c r="AC1032" i="2"/>
  <c r="AD1032" i="2"/>
  <c r="AE1032" i="2"/>
  <c r="AF1032" i="2"/>
  <c r="AG1032" i="2"/>
  <c r="AH1032" i="2"/>
  <c r="AI1032" i="2"/>
  <c r="AJ1032" i="2"/>
  <c r="AK1032" i="2"/>
  <c r="Z1033" i="2"/>
  <c r="AA1033" i="2"/>
  <c r="AB1033" i="2"/>
  <c r="AC1033" i="2"/>
  <c r="AD1033" i="2"/>
  <c r="AE1033" i="2"/>
  <c r="AF1033" i="2"/>
  <c r="AG1033" i="2"/>
  <c r="AH1033" i="2"/>
  <c r="AI1033" i="2"/>
  <c r="AJ1033" i="2"/>
  <c r="AK1033" i="2"/>
  <c r="Z1034" i="2"/>
  <c r="AA1034" i="2"/>
  <c r="AB1034" i="2"/>
  <c r="AC1034" i="2"/>
  <c r="AD1034" i="2"/>
  <c r="AE1034" i="2"/>
  <c r="AF1034" i="2"/>
  <c r="AG1034" i="2"/>
  <c r="AH1034" i="2"/>
  <c r="AI1034" i="2"/>
  <c r="AJ1034" i="2"/>
  <c r="AK1034" i="2"/>
  <c r="Z1035" i="2"/>
  <c r="AA1035" i="2"/>
  <c r="AB1035" i="2"/>
  <c r="AC1035" i="2"/>
  <c r="AD1035" i="2"/>
  <c r="AE1035" i="2"/>
  <c r="AF1035" i="2"/>
  <c r="AG1035" i="2"/>
  <c r="AH1035" i="2"/>
  <c r="AI1035" i="2"/>
  <c r="AJ1035" i="2"/>
  <c r="AK1035" i="2"/>
  <c r="Z1036" i="2"/>
  <c r="AA1036" i="2"/>
  <c r="AB1036" i="2"/>
  <c r="AC1036" i="2"/>
  <c r="AD1036" i="2"/>
  <c r="AE1036" i="2"/>
  <c r="AF1036" i="2"/>
  <c r="AG1036" i="2"/>
  <c r="AH1036" i="2"/>
  <c r="AI1036" i="2"/>
  <c r="AJ1036" i="2"/>
  <c r="AK1036" i="2"/>
  <c r="Z1037" i="2"/>
  <c r="AA1037" i="2"/>
  <c r="AB1037" i="2"/>
  <c r="AC1037" i="2"/>
  <c r="AD1037" i="2"/>
  <c r="AE1037" i="2"/>
  <c r="AF1037" i="2"/>
  <c r="AG1037" i="2"/>
  <c r="AH1037" i="2"/>
  <c r="AI1037" i="2"/>
  <c r="AJ1037" i="2"/>
  <c r="AK1037" i="2"/>
  <c r="Z1038" i="2"/>
  <c r="AA1038" i="2"/>
  <c r="AB1038" i="2"/>
  <c r="AC1038" i="2"/>
  <c r="AD1038" i="2"/>
  <c r="AE1038" i="2"/>
  <c r="AF1038" i="2"/>
  <c r="AG1038" i="2"/>
  <c r="AH1038" i="2"/>
  <c r="AI1038" i="2"/>
  <c r="AJ1038" i="2"/>
  <c r="AK1038" i="2"/>
  <c r="Z1039" i="2"/>
  <c r="AA1039" i="2"/>
  <c r="AB1039" i="2"/>
  <c r="AC1039" i="2"/>
  <c r="AD1039" i="2"/>
  <c r="AE1039" i="2"/>
  <c r="AF1039" i="2"/>
  <c r="AG1039" i="2"/>
  <c r="AH1039" i="2"/>
  <c r="AI1039" i="2"/>
  <c r="AJ1039" i="2"/>
  <c r="AK1039" i="2"/>
  <c r="Z1040" i="2"/>
  <c r="AA1040" i="2"/>
  <c r="AB1040" i="2"/>
  <c r="AC1040" i="2"/>
  <c r="AD1040" i="2"/>
  <c r="AE1040" i="2"/>
  <c r="AF1040" i="2"/>
  <c r="AG1040" i="2"/>
  <c r="AH1040" i="2"/>
  <c r="AI1040" i="2"/>
  <c r="AJ1040" i="2"/>
  <c r="AK1040" i="2"/>
  <c r="Z1041" i="2"/>
  <c r="AA1041" i="2"/>
  <c r="AB1041" i="2"/>
  <c r="AC1041" i="2"/>
  <c r="AD1041" i="2"/>
  <c r="AE1041" i="2"/>
  <c r="AF1041" i="2"/>
  <c r="AG1041" i="2"/>
  <c r="AH1041" i="2"/>
  <c r="AI1041" i="2"/>
  <c r="AJ1041" i="2"/>
  <c r="AK1041" i="2"/>
  <c r="Z1042" i="2"/>
  <c r="AA1042" i="2"/>
  <c r="AB1042" i="2"/>
  <c r="AC1042" i="2"/>
  <c r="AD1042" i="2"/>
  <c r="AE1042" i="2"/>
  <c r="AF1042" i="2"/>
  <c r="AG1042" i="2"/>
  <c r="AH1042" i="2"/>
  <c r="AI1042" i="2"/>
  <c r="AJ1042" i="2"/>
  <c r="AK1042" i="2"/>
  <c r="Z1043" i="2"/>
  <c r="AA1043" i="2"/>
  <c r="AB1043" i="2"/>
  <c r="AC1043" i="2"/>
  <c r="AD1043" i="2"/>
  <c r="AE1043" i="2"/>
  <c r="AF1043" i="2"/>
  <c r="AG1043" i="2"/>
  <c r="AH1043" i="2"/>
  <c r="AI1043" i="2"/>
  <c r="AJ1043" i="2"/>
  <c r="AK1043" i="2"/>
  <c r="Z1044" i="2"/>
  <c r="AA1044" i="2"/>
  <c r="AB1044" i="2"/>
  <c r="AC1044" i="2"/>
  <c r="AD1044" i="2"/>
  <c r="AE1044" i="2"/>
  <c r="AF1044" i="2"/>
  <c r="AG1044" i="2"/>
  <c r="AH1044" i="2"/>
  <c r="AI1044" i="2"/>
  <c r="AJ1044" i="2"/>
  <c r="AK1044" i="2"/>
  <c r="Z1045" i="2"/>
  <c r="AA1045" i="2"/>
  <c r="AB1045" i="2"/>
  <c r="AC1045" i="2"/>
  <c r="AD1045" i="2"/>
  <c r="AE1045" i="2"/>
  <c r="AF1045" i="2"/>
  <c r="AG1045" i="2"/>
  <c r="AH1045" i="2"/>
  <c r="AI1045" i="2"/>
  <c r="AJ1045" i="2"/>
  <c r="AK1045" i="2"/>
  <c r="Z1046" i="2"/>
  <c r="AA1046" i="2"/>
  <c r="AB1046" i="2"/>
  <c r="AC1046" i="2"/>
  <c r="AD1046" i="2"/>
  <c r="AE1046" i="2"/>
  <c r="AF1046" i="2"/>
  <c r="AG1046" i="2"/>
  <c r="AH1046" i="2"/>
  <c r="AI1046" i="2"/>
  <c r="AJ1046" i="2"/>
  <c r="AK1046" i="2"/>
  <c r="Z1047" i="2"/>
  <c r="AA1047" i="2"/>
  <c r="AB1047" i="2"/>
  <c r="AC1047" i="2"/>
  <c r="AD1047" i="2"/>
  <c r="AE1047" i="2"/>
  <c r="AF1047" i="2"/>
  <c r="AG1047" i="2"/>
  <c r="AH1047" i="2"/>
  <c r="AI1047" i="2"/>
  <c r="AJ1047" i="2"/>
  <c r="AK1047" i="2"/>
  <c r="Z1048" i="2"/>
  <c r="AA1048" i="2"/>
  <c r="AB1048" i="2"/>
  <c r="AC1048" i="2"/>
  <c r="AD1048" i="2"/>
  <c r="AE1048" i="2"/>
  <c r="AF1048" i="2"/>
  <c r="AG1048" i="2"/>
  <c r="AH1048" i="2"/>
  <c r="AI1048" i="2"/>
  <c r="AJ1048" i="2"/>
  <c r="AK1048" i="2"/>
  <c r="Z1049" i="2"/>
  <c r="AA1049" i="2"/>
  <c r="AB1049" i="2"/>
  <c r="AC1049" i="2"/>
  <c r="AD1049" i="2"/>
  <c r="AE1049" i="2"/>
  <c r="AF1049" i="2"/>
  <c r="AG1049" i="2"/>
  <c r="AH1049" i="2"/>
  <c r="AI1049" i="2"/>
  <c r="AJ1049" i="2"/>
  <c r="AK1049" i="2"/>
  <c r="Z1050" i="2"/>
  <c r="AA1050" i="2"/>
  <c r="AB1050" i="2"/>
  <c r="AC1050" i="2"/>
  <c r="AD1050" i="2"/>
  <c r="AE1050" i="2"/>
  <c r="AF1050" i="2"/>
  <c r="AG1050" i="2"/>
  <c r="AH1050" i="2"/>
  <c r="AI1050" i="2"/>
  <c r="AJ1050" i="2"/>
  <c r="AK1050" i="2"/>
  <c r="Z1051" i="2"/>
  <c r="AA1051" i="2"/>
  <c r="AB1051" i="2"/>
  <c r="AC1051" i="2"/>
  <c r="AD1051" i="2"/>
  <c r="AE1051" i="2"/>
  <c r="AF1051" i="2"/>
  <c r="AG1051" i="2"/>
  <c r="AH1051" i="2"/>
  <c r="AI1051" i="2"/>
  <c r="AJ1051" i="2"/>
  <c r="AK1051" i="2"/>
  <c r="Z1052" i="2"/>
  <c r="AA1052" i="2"/>
  <c r="AB1052" i="2"/>
  <c r="AC1052" i="2"/>
  <c r="AD1052" i="2"/>
  <c r="AE1052" i="2"/>
  <c r="AF1052" i="2"/>
  <c r="AG1052" i="2"/>
  <c r="AH1052" i="2"/>
  <c r="AI1052" i="2"/>
  <c r="AJ1052" i="2"/>
  <c r="AK1052" i="2"/>
  <c r="Z1053" i="2"/>
  <c r="AA1053" i="2"/>
  <c r="AB1053" i="2"/>
  <c r="AC1053" i="2"/>
  <c r="AD1053" i="2"/>
  <c r="AE1053" i="2"/>
  <c r="AF1053" i="2"/>
  <c r="AG1053" i="2"/>
  <c r="AH1053" i="2"/>
  <c r="AI1053" i="2"/>
  <c r="AJ1053" i="2"/>
  <c r="AK1053" i="2"/>
  <c r="Z1054" i="2"/>
  <c r="AA1054" i="2"/>
  <c r="AB1054" i="2"/>
  <c r="AC1054" i="2"/>
  <c r="AD1054" i="2"/>
  <c r="AE1054" i="2"/>
  <c r="AF1054" i="2"/>
  <c r="AG1054" i="2"/>
  <c r="AH1054" i="2"/>
  <c r="AI1054" i="2"/>
  <c r="AJ1054" i="2"/>
  <c r="AK1054" i="2"/>
  <c r="Z1055" i="2"/>
  <c r="AA1055" i="2"/>
  <c r="AB1055" i="2"/>
  <c r="AC1055" i="2"/>
  <c r="AD1055" i="2"/>
  <c r="AE1055" i="2"/>
  <c r="AF1055" i="2"/>
  <c r="AG1055" i="2"/>
  <c r="AH1055" i="2"/>
  <c r="AI1055" i="2"/>
  <c r="AJ1055" i="2"/>
  <c r="AK1055" i="2"/>
  <c r="Z1056" i="2"/>
  <c r="AA1056" i="2"/>
  <c r="AB1056" i="2"/>
  <c r="AC1056" i="2"/>
  <c r="AD1056" i="2"/>
  <c r="AE1056" i="2"/>
  <c r="AF1056" i="2"/>
  <c r="AG1056" i="2"/>
  <c r="AH1056" i="2"/>
  <c r="AI1056" i="2"/>
  <c r="AJ1056" i="2"/>
  <c r="AK1056" i="2"/>
  <c r="Z1057" i="2"/>
  <c r="AA1057" i="2"/>
  <c r="AB1057" i="2"/>
  <c r="AC1057" i="2"/>
  <c r="AD1057" i="2"/>
  <c r="AE1057" i="2"/>
  <c r="AF1057" i="2"/>
  <c r="AG1057" i="2"/>
  <c r="AH1057" i="2"/>
  <c r="AI1057" i="2"/>
  <c r="AJ1057" i="2"/>
  <c r="AK1057" i="2"/>
  <c r="Z1058" i="2"/>
  <c r="AA1058" i="2"/>
  <c r="AB1058" i="2"/>
  <c r="AC1058" i="2"/>
  <c r="AD1058" i="2"/>
  <c r="AE1058" i="2"/>
  <c r="AF1058" i="2"/>
  <c r="AG1058" i="2"/>
  <c r="AH1058" i="2"/>
  <c r="AI1058" i="2"/>
  <c r="AJ1058" i="2"/>
  <c r="AK1058" i="2"/>
  <c r="Z1059" i="2"/>
  <c r="AA1059" i="2"/>
  <c r="AB1059" i="2"/>
  <c r="AC1059" i="2"/>
  <c r="AD1059" i="2"/>
  <c r="AE1059" i="2"/>
  <c r="AF1059" i="2"/>
  <c r="AG1059" i="2"/>
  <c r="AH1059" i="2"/>
  <c r="AI1059" i="2"/>
  <c r="AJ1059" i="2"/>
  <c r="AK1059" i="2"/>
  <c r="Z1060" i="2"/>
  <c r="AA1060" i="2"/>
  <c r="AB1060" i="2"/>
  <c r="AC1060" i="2"/>
  <c r="AD1060" i="2"/>
  <c r="AE1060" i="2"/>
  <c r="AF1060" i="2"/>
  <c r="AG1060" i="2"/>
  <c r="AH1060" i="2"/>
  <c r="AI1060" i="2"/>
  <c r="AJ1060" i="2"/>
  <c r="AK1060" i="2"/>
  <c r="Z1061" i="2"/>
  <c r="AA1061" i="2"/>
  <c r="AB1061" i="2"/>
  <c r="AC1061" i="2"/>
  <c r="AD1061" i="2"/>
  <c r="AE1061" i="2"/>
  <c r="AF1061" i="2"/>
  <c r="AG1061" i="2"/>
  <c r="AH1061" i="2"/>
  <c r="AI1061" i="2"/>
  <c r="AJ1061" i="2"/>
  <c r="AK1061" i="2"/>
  <c r="Z1062" i="2"/>
  <c r="AA1062" i="2"/>
  <c r="AB1062" i="2"/>
  <c r="AC1062" i="2"/>
  <c r="AD1062" i="2"/>
  <c r="AE1062" i="2"/>
  <c r="AF1062" i="2"/>
  <c r="AG1062" i="2"/>
  <c r="AH1062" i="2"/>
  <c r="AI1062" i="2"/>
  <c r="AJ1062" i="2"/>
  <c r="AK1062" i="2"/>
  <c r="Z1063" i="2"/>
  <c r="AA1063" i="2"/>
  <c r="AB1063" i="2"/>
  <c r="AC1063" i="2"/>
  <c r="AD1063" i="2"/>
  <c r="AE1063" i="2"/>
  <c r="AF1063" i="2"/>
  <c r="AG1063" i="2"/>
  <c r="AH1063" i="2"/>
  <c r="AI1063" i="2"/>
  <c r="AJ1063" i="2"/>
  <c r="AK1063" i="2"/>
  <c r="Z1064" i="2"/>
  <c r="AA1064" i="2"/>
  <c r="AB1064" i="2"/>
  <c r="AC1064" i="2"/>
  <c r="AD1064" i="2"/>
  <c r="AE1064" i="2"/>
  <c r="AF1064" i="2"/>
  <c r="AG1064" i="2"/>
  <c r="AH1064" i="2"/>
  <c r="AI1064" i="2"/>
  <c r="AJ1064" i="2"/>
  <c r="AK1064" i="2"/>
  <c r="Z1065" i="2"/>
  <c r="AA1065" i="2"/>
  <c r="AB1065" i="2"/>
  <c r="AC1065" i="2"/>
  <c r="AD1065" i="2"/>
  <c r="AE1065" i="2"/>
  <c r="AF1065" i="2"/>
  <c r="AG1065" i="2"/>
  <c r="AH1065" i="2"/>
  <c r="AI1065" i="2"/>
  <c r="AJ1065" i="2"/>
  <c r="AK1065" i="2"/>
  <c r="Z1066" i="2"/>
  <c r="AA1066" i="2"/>
  <c r="AB1066" i="2"/>
  <c r="AC1066" i="2"/>
  <c r="AD1066" i="2"/>
  <c r="AE1066" i="2"/>
  <c r="AF1066" i="2"/>
  <c r="AG1066" i="2"/>
  <c r="AH1066" i="2"/>
  <c r="AI1066" i="2"/>
  <c r="AJ1066" i="2"/>
  <c r="AK1066" i="2"/>
  <c r="Z1067" i="2"/>
  <c r="AA1067" i="2"/>
  <c r="AB1067" i="2"/>
  <c r="AC1067" i="2"/>
  <c r="AD1067" i="2"/>
  <c r="AE1067" i="2"/>
  <c r="AF1067" i="2"/>
  <c r="AG1067" i="2"/>
  <c r="AH1067" i="2"/>
  <c r="AI1067" i="2"/>
  <c r="AJ1067" i="2"/>
  <c r="AK1067" i="2"/>
  <c r="Z1068" i="2"/>
  <c r="AA1068" i="2"/>
  <c r="AB1068" i="2"/>
  <c r="AC1068" i="2"/>
  <c r="AD1068" i="2"/>
  <c r="AE1068" i="2"/>
  <c r="AF1068" i="2"/>
  <c r="AG1068" i="2"/>
  <c r="AH1068" i="2"/>
  <c r="AI1068" i="2"/>
  <c r="AJ1068" i="2"/>
  <c r="AK1068" i="2"/>
  <c r="Z1069" i="2"/>
  <c r="AA1069" i="2"/>
  <c r="AB1069" i="2"/>
  <c r="AC1069" i="2"/>
  <c r="AD1069" i="2"/>
  <c r="AE1069" i="2"/>
  <c r="AF1069" i="2"/>
  <c r="AG1069" i="2"/>
  <c r="AH1069" i="2"/>
  <c r="AI1069" i="2"/>
  <c r="AJ1069" i="2"/>
  <c r="AK1069" i="2"/>
  <c r="Z1070" i="2"/>
  <c r="AA1070" i="2"/>
  <c r="AB1070" i="2"/>
  <c r="AC1070" i="2"/>
  <c r="AD1070" i="2"/>
  <c r="AE1070" i="2"/>
  <c r="AF1070" i="2"/>
  <c r="AG1070" i="2"/>
  <c r="AH1070" i="2"/>
  <c r="AI1070" i="2"/>
  <c r="AJ1070" i="2"/>
  <c r="AK1070" i="2"/>
  <c r="Z1071" i="2"/>
  <c r="AA1071" i="2"/>
  <c r="AB1071" i="2"/>
  <c r="AC1071" i="2"/>
  <c r="AD1071" i="2"/>
  <c r="AE1071" i="2"/>
  <c r="AF1071" i="2"/>
  <c r="AG1071" i="2"/>
  <c r="AH1071" i="2"/>
  <c r="AI1071" i="2"/>
  <c r="AJ1071" i="2"/>
  <c r="AK1071" i="2"/>
  <c r="Z1072" i="2"/>
  <c r="AA1072" i="2"/>
  <c r="AB1072" i="2"/>
  <c r="AC1072" i="2"/>
  <c r="AD1072" i="2"/>
  <c r="AE1072" i="2"/>
  <c r="AF1072" i="2"/>
  <c r="AG1072" i="2"/>
  <c r="AH1072" i="2"/>
  <c r="AI1072" i="2"/>
  <c r="AJ1072" i="2"/>
  <c r="AK1072" i="2"/>
  <c r="Z1073" i="2"/>
  <c r="AA1073" i="2"/>
  <c r="AB1073" i="2"/>
  <c r="AC1073" i="2"/>
  <c r="AD1073" i="2"/>
  <c r="AE1073" i="2"/>
  <c r="AF1073" i="2"/>
  <c r="AG1073" i="2"/>
  <c r="AH1073" i="2"/>
  <c r="AI1073" i="2"/>
  <c r="AJ1073" i="2"/>
  <c r="AK1073" i="2"/>
  <c r="Z1074" i="2"/>
  <c r="AA1074" i="2"/>
  <c r="AB1074" i="2"/>
  <c r="AC1074" i="2"/>
  <c r="AD1074" i="2"/>
  <c r="AE1074" i="2"/>
  <c r="AF1074" i="2"/>
  <c r="AG1074" i="2"/>
  <c r="AH1074" i="2"/>
  <c r="AI1074" i="2"/>
  <c r="AJ1074" i="2"/>
  <c r="AK1074" i="2"/>
  <c r="Z1075" i="2"/>
  <c r="AA1075" i="2"/>
  <c r="AB1075" i="2"/>
  <c r="AC1075" i="2"/>
  <c r="AD1075" i="2"/>
  <c r="AE1075" i="2"/>
  <c r="AF1075" i="2"/>
  <c r="AG1075" i="2"/>
  <c r="AH1075" i="2"/>
  <c r="AI1075" i="2"/>
  <c r="AJ1075" i="2"/>
  <c r="AK1075" i="2"/>
  <c r="Z1076" i="2"/>
  <c r="AA1076" i="2"/>
  <c r="AB1076" i="2"/>
  <c r="AC1076" i="2"/>
  <c r="AD1076" i="2"/>
  <c r="AE1076" i="2"/>
  <c r="AF1076" i="2"/>
  <c r="AG1076" i="2"/>
  <c r="AH1076" i="2"/>
  <c r="AI1076" i="2"/>
  <c r="AJ1076" i="2"/>
  <c r="AK1076" i="2"/>
  <c r="Z1077" i="2"/>
  <c r="AA1077" i="2"/>
  <c r="AB1077" i="2"/>
  <c r="AC1077" i="2"/>
  <c r="AD1077" i="2"/>
  <c r="AE1077" i="2"/>
  <c r="AF1077" i="2"/>
  <c r="AG1077" i="2"/>
  <c r="AH1077" i="2"/>
  <c r="AI1077" i="2"/>
  <c r="AJ1077" i="2"/>
  <c r="AK1077" i="2"/>
  <c r="Z1078" i="2"/>
  <c r="AA1078" i="2"/>
  <c r="AB1078" i="2"/>
  <c r="AC1078" i="2"/>
  <c r="AD1078" i="2"/>
  <c r="AE1078" i="2"/>
  <c r="AF1078" i="2"/>
  <c r="AG1078" i="2"/>
  <c r="AH1078" i="2"/>
  <c r="AI1078" i="2"/>
  <c r="AJ1078" i="2"/>
  <c r="AK1078" i="2"/>
  <c r="Z1079" i="2"/>
  <c r="AA1079" i="2"/>
  <c r="AB1079" i="2"/>
  <c r="AC1079" i="2"/>
  <c r="AD1079" i="2"/>
  <c r="AE1079" i="2"/>
  <c r="AF1079" i="2"/>
  <c r="AG1079" i="2"/>
  <c r="AH1079" i="2"/>
  <c r="AI1079" i="2"/>
  <c r="AJ1079" i="2"/>
  <c r="AK1079" i="2"/>
  <c r="Z1080" i="2"/>
  <c r="AA1080" i="2"/>
  <c r="AB1080" i="2"/>
  <c r="AC1080" i="2"/>
  <c r="AD1080" i="2"/>
  <c r="AE1080" i="2"/>
  <c r="AF1080" i="2"/>
  <c r="AG1080" i="2"/>
  <c r="AH1080" i="2"/>
  <c r="AI1080" i="2"/>
  <c r="AJ1080" i="2"/>
  <c r="AK1080" i="2"/>
  <c r="Z1081" i="2"/>
  <c r="AA1081" i="2"/>
  <c r="AB1081" i="2"/>
  <c r="AC1081" i="2"/>
  <c r="AD1081" i="2"/>
  <c r="AE1081" i="2"/>
  <c r="AF1081" i="2"/>
  <c r="AG1081" i="2"/>
  <c r="AH1081" i="2"/>
  <c r="AI1081" i="2"/>
  <c r="AJ1081" i="2"/>
  <c r="AK1081" i="2"/>
  <c r="Z1082" i="2"/>
  <c r="AA1082" i="2"/>
  <c r="AB1082" i="2"/>
  <c r="AC1082" i="2"/>
  <c r="AD1082" i="2"/>
  <c r="AE1082" i="2"/>
  <c r="AF1082" i="2"/>
  <c r="AG1082" i="2"/>
  <c r="AH1082" i="2"/>
  <c r="AI1082" i="2"/>
  <c r="AJ1082" i="2"/>
  <c r="AK1082" i="2"/>
  <c r="Z1083" i="2"/>
  <c r="AA1083" i="2"/>
  <c r="AB1083" i="2"/>
  <c r="AC1083" i="2"/>
  <c r="AD1083" i="2"/>
  <c r="AE1083" i="2"/>
  <c r="AF1083" i="2"/>
  <c r="AG1083" i="2"/>
  <c r="AH1083" i="2"/>
  <c r="AI1083" i="2"/>
  <c r="AJ1083" i="2"/>
  <c r="AK1083" i="2"/>
  <c r="Z1084" i="2"/>
  <c r="AA1084" i="2"/>
  <c r="AB1084" i="2"/>
  <c r="AC1084" i="2"/>
  <c r="AD1084" i="2"/>
  <c r="AE1084" i="2"/>
  <c r="AF1084" i="2"/>
  <c r="AG1084" i="2"/>
  <c r="AH1084" i="2"/>
  <c r="AI1084" i="2"/>
  <c r="AJ1084" i="2"/>
  <c r="AK1084" i="2"/>
  <c r="Z1085" i="2"/>
  <c r="AA1085" i="2"/>
  <c r="AB1085" i="2"/>
  <c r="AC1085" i="2"/>
  <c r="AD1085" i="2"/>
  <c r="AE1085" i="2"/>
  <c r="AF1085" i="2"/>
  <c r="AG1085" i="2"/>
  <c r="AH1085" i="2"/>
  <c r="AI1085" i="2"/>
  <c r="AJ1085" i="2"/>
  <c r="AK1085" i="2"/>
  <c r="Z1086" i="2"/>
  <c r="AA1086" i="2"/>
  <c r="AB1086" i="2"/>
  <c r="AC1086" i="2"/>
  <c r="AD1086" i="2"/>
  <c r="AE1086" i="2"/>
  <c r="AF1086" i="2"/>
  <c r="AG1086" i="2"/>
  <c r="AH1086" i="2"/>
  <c r="AI1086" i="2"/>
  <c r="AJ1086" i="2"/>
  <c r="AK1086" i="2"/>
  <c r="Z1087" i="2"/>
  <c r="AA1087" i="2"/>
  <c r="AB1087" i="2"/>
  <c r="AC1087" i="2"/>
  <c r="AD1087" i="2"/>
  <c r="AE1087" i="2"/>
  <c r="AF1087" i="2"/>
  <c r="AG1087" i="2"/>
  <c r="AH1087" i="2"/>
  <c r="AI1087" i="2"/>
  <c r="AJ1087" i="2"/>
  <c r="AK1087" i="2"/>
  <c r="Z1088" i="2"/>
  <c r="AA1088" i="2"/>
  <c r="AB1088" i="2"/>
  <c r="AC1088" i="2"/>
  <c r="AD1088" i="2"/>
  <c r="AE1088" i="2"/>
  <c r="AF1088" i="2"/>
  <c r="AG1088" i="2"/>
  <c r="AH1088" i="2"/>
  <c r="AI1088" i="2"/>
  <c r="AJ1088" i="2"/>
  <c r="AK1088" i="2"/>
  <c r="Z1089" i="2"/>
  <c r="AA1089" i="2"/>
  <c r="AB1089" i="2"/>
  <c r="AC1089" i="2"/>
  <c r="AD1089" i="2"/>
  <c r="AE1089" i="2"/>
  <c r="AF1089" i="2"/>
  <c r="AG1089" i="2"/>
  <c r="AH1089" i="2"/>
  <c r="AI1089" i="2"/>
  <c r="AJ1089" i="2"/>
  <c r="AK1089" i="2"/>
  <c r="Z1090" i="2"/>
  <c r="AA1090" i="2"/>
  <c r="AB1090" i="2"/>
  <c r="AC1090" i="2"/>
  <c r="AD1090" i="2"/>
  <c r="AE1090" i="2"/>
  <c r="AF1090" i="2"/>
  <c r="AG1090" i="2"/>
  <c r="AH1090" i="2"/>
  <c r="AI1090" i="2"/>
  <c r="AJ1090" i="2"/>
  <c r="AK1090" i="2"/>
  <c r="Z1091" i="2"/>
  <c r="AA1091" i="2"/>
  <c r="AB1091" i="2"/>
  <c r="AC1091" i="2"/>
  <c r="AD1091" i="2"/>
  <c r="AE1091" i="2"/>
  <c r="AF1091" i="2"/>
  <c r="AG1091" i="2"/>
  <c r="AH1091" i="2"/>
  <c r="AI1091" i="2"/>
  <c r="AJ1091" i="2"/>
  <c r="AK1091" i="2"/>
  <c r="Z1092" i="2"/>
  <c r="AA1092" i="2"/>
  <c r="AB1092" i="2"/>
  <c r="AC1092" i="2"/>
  <c r="AD1092" i="2"/>
  <c r="AE1092" i="2"/>
  <c r="AF1092" i="2"/>
  <c r="AG1092" i="2"/>
  <c r="AH1092" i="2"/>
  <c r="AI1092" i="2"/>
  <c r="AJ1092" i="2"/>
  <c r="AK1092" i="2"/>
  <c r="Z1093" i="2"/>
  <c r="AA1093" i="2"/>
  <c r="AB1093" i="2"/>
  <c r="AC1093" i="2"/>
  <c r="AD1093" i="2"/>
  <c r="AE1093" i="2"/>
  <c r="AF1093" i="2"/>
  <c r="AG1093" i="2"/>
  <c r="AH1093" i="2"/>
  <c r="AI1093" i="2"/>
  <c r="AJ1093" i="2"/>
  <c r="AK1093" i="2"/>
  <c r="Z1094" i="2"/>
  <c r="AA1094" i="2"/>
  <c r="AB1094" i="2"/>
  <c r="AC1094" i="2"/>
  <c r="AD1094" i="2"/>
  <c r="AE1094" i="2"/>
  <c r="AF1094" i="2"/>
  <c r="AG1094" i="2"/>
  <c r="AH1094" i="2"/>
  <c r="AI1094" i="2"/>
  <c r="AJ1094" i="2"/>
  <c r="AK1094" i="2"/>
  <c r="Z1095" i="2"/>
  <c r="AA1095" i="2"/>
  <c r="AB1095" i="2"/>
  <c r="AC1095" i="2"/>
  <c r="AD1095" i="2"/>
  <c r="AE1095" i="2"/>
  <c r="AF1095" i="2"/>
  <c r="AG1095" i="2"/>
  <c r="AH1095" i="2"/>
  <c r="AI1095" i="2"/>
  <c r="AJ1095" i="2"/>
  <c r="AK1095" i="2"/>
  <c r="Z1096" i="2"/>
  <c r="AA1096" i="2"/>
  <c r="AB1096" i="2"/>
  <c r="AC1096" i="2"/>
  <c r="AD1096" i="2"/>
  <c r="AE1096" i="2"/>
  <c r="AF1096" i="2"/>
  <c r="AG1096" i="2"/>
  <c r="AH1096" i="2"/>
  <c r="AI1096" i="2"/>
  <c r="AJ1096" i="2"/>
  <c r="AK1096" i="2"/>
  <c r="Z1097" i="2"/>
  <c r="AA1097" i="2"/>
  <c r="AB1097" i="2"/>
  <c r="AC1097" i="2"/>
  <c r="AD1097" i="2"/>
  <c r="AE1097" i="2"/>
  <c r="AF1097" i="2"/>
  <c r="AG1097" i="2"/>
  <c r="AH1097" i="2"/>
  <c r="AI1097" i="2"/>
  <c r="AJ1097" i="2"/>
  <c r="AK1097" i="2"/>
  <c r="Z1098" i="2"/>
  <c r="AA1098" i="2"/>
  <c r="AB1098" i="2"/>
  <c r="AC1098" i="2"/>
  <c r="AD1098" i="2"/>
  <c r="AE1098" i="2"/>
  <c r="AF1098" i="2"/>
  <c r="AG1098" i="2"/>
  <c r="AH1098" i="2"/>
  <c r="AI1098" i="2"/>
  <c r="AJ1098" i="2"/>
  <c r="AK1098" i="2"/>
  <c r="Z1099" i="2"/>
  <c r="AA1099" i="2"/>
  <c r="AB1099" i="2"/>
  <c r="AC1099" i="2"/>
  <c r="AD1099" i="2"/>
  <c r="AE1099" i="2"/>
  <c r="AF1099" i="2"/>
  <c r="AG1099" i="2"/>
  <c r="AH1099" i="2"/>
  <c r="AI1099" i="2"/>
  <c r="AJ1099" i="2"/>
  <c r="AK1099" i="2"/>
  <c r="Z1100" i="2"/>
  <c r="AA1100" i="2"/>
  <c r="AB1100" i="2"/>
  <c r="AC1100" i="2"/>
  <c r="AD1100" i="2"/>
  <c r="AE1100" i="2"/>
  <c r="AF1100" i="2"/>
  <c r="AG1100" i="2"/>
  <c r="AH1100" i="2"/>
  <c r="AI1100" i="2"/>
  <c r="AJ1100" i="2"/>
  <c r="AK1100" i="2"/>
  <c r="Z1101" i="2"/>
  <c r="AA1101" i="2"/>
  <c r="AB1101" i="2"/>
  <c r="AC1101" i="2"/>
  <c r="AD1101" i="2"/>
  <c r="AE1101" i="2"/>
  <c r="AF1101" i="2"/>
  <c r="AG1101" i="2"/>
  <c r="AH1101" i="2"/>
  <c r="AI1101" i="2"/>
  <c r="AJ1101" i="2"/>
  <c r="AK1101" i="2"/>
  <c r="Z1102" i="2"/>
  <c r="AA1102" i="2"/>
  <c r="AB1102" i="2"/>
  <c r="AC1102" i="2"/>
  <c r="AD1102" i="2"/>
  <c r="AE1102" i="2"/>
  <c r="AF1102" i="2"/>
  <c r="AG1102" i="2"/>
  <c r="AH1102" i="2"/>
  <c r="AI1102" i="2"/>
  <c r="AJ1102" i="2"/>
  <c r="AK1102" i="2"/>
  <c r="Z1103" i="2"/>
  <c r="AA1103" i="2"/>
  <c r="AB1103" i="2"/>
  <c r="AC1103" i="2"/>
  <c r="AD1103" i="2"/>
  <c r="AE1103" i="2"/>
  <c r="AF1103" i="2"/>
  <c r="AG1103" i="2"/>
  <c r="AH1103" i="2"/>
  <c r="AI1103" i="2"/>
  <c r="AJ1103" i="2"/>
  <c r="AK1103" i="2"/>
  <c r="Z1104" i="2"/>
  <c r="AA1104" i="2"/>
  <c r="AB1104" i="2"/>
  <c r="AC1104" i="2"/>
  <c r="AD1104" i="2"/>
  <c r="AE1104" i="2"/>
  <c r="AF1104" i="2"/>
  <c r="AG1104" i="2"/>
  <c r="AH1104" i="2"/>
  <c r="AI1104" i="2"/>
  <c r="AJ1104" i="2"/>
  <c r="AK1104" i="2"/>
  <c r="Z1105" i="2"/>
  <c r="AA1105" i="2"/>
  <c r="AB1105" i="2"/>
  <c r="AC1105" i="2"/>
  <c r="AD1105" i="2"/>
  <c r="AE1105" i="2"/>
  <c r="AF1105" i="2"/>
  <c r="AG1105" i="2"/>
  <c r="AH1105" i="2"/>
  <c r="AI1105" i="2"/>
  <c r="AJ1105" i="2"/>
  <c r="AK1105" i="2"/>
  <c r="Z1106" i="2"/>
  <c r="AA1106" i="2"/>
  <c r="AB1106" i="2"/>
  <c r="AC1106" i="2"/>
  <c r="AD1106" i="2"/>
  <c r="AE1106" i="2"/>
  <c r="AF1106" i="2"/>
  <c r="AG1106" i="2"/>
  <c r="AH1106" i="2"/>
  <c r="AI1106" i="2"/>
  <c r="AJ1106" i="2"/>
  <c r="AK1106" i="2"/>
  <c r="Z1107" i="2"/>
  <c r="AA1107" i="2"/>
  <c r="AB1107" i="2"/>
  <c r="AC1107" i="2"/>
  <c r="AD1107" i="2"/>
  <c r="AE1107" i="2"/>
  <c r="AF1107" i="2"/>
  <c r="AG1107" i="2"/>
  <c r="AH1107" i="2"/>
  <c r="AI1107" i="2"/>
  <c r="AJ1107" i="2"/>
  <c r="AK1107" i="2"/>
  <c r="Z1108" i="2"/>
  <c r="AA1108" i="2"/>
  <c r="AB1108" i="2"/>
  <c r="AC1108" i="2"/>
  <c r="AD1108" i="2"/>
  <c r="AE1108" i="2"/>
  <c r="AF1108" i="2"/>
  <c r="AG1108" i="2"/>
  <c r="AH1108" i="2"/>
  <c r="AI1108" i="2"/>
  <c r="AJ1108" i="2"/>
  <c r="AK1108" i="2"/>
  <c r="Z1109" i="2"/>
  <c r="AA1109" i="2"/>
  <c r="AB1109" i="2"/>
  <c r="AC1109" i="2"/>
  <c r="AD1109" i="2"/>
  <c r="AE1109" i="2"/>
  <c r="AF1109" i="2"/>
  <c r="AG1109" i="2"/>
  <c r="AH1109" i="2"/>
  <c r="AI1109" i="2"/>
  <c r="AJ1109" i="2"/>
  <c r="AK1109" i="2"/>
  <c r="Z1110" i="2"/>
  <c r="AA1110" i="2"/>
  <c r="AB1110" i="2"/>
  <c r="AC1110" i="2"/>
  <c r="AD1110" i="2"/>
  <c r="AE1110" i="2"/>
  <c r="AF1110" i="2"/>
  <c r="AG1110" i="2"/>
  <c r="AH1110" i="2"/>
  <c r="AI1110" i="2"/>
  <c r="AJ1110" i="2"/>
  <c r="AK1110" i="2"/>
  <c r="Z1111" i="2"/>
  <c r="AA1111" i="2"/>
  <c r="AB1111" i="2"/>
  <c r="AC1111" i="2"/>
  <c r="AD1111" i="2"/>
  <c r="AE1111" i="2"/>
  <c r="AF1111" i="2"/>
  <c r="AG1111" i="2"/>
  <c r="AH1111" i="2"/>
  <c r="AI1111" i="2"/>
  <c r="AJ1111" i="2"/>
  <c r="AK1111" i="2"/>
  <c r="Z1112" i="2"/>
  <c r="AA1112" i="2"/>
  <c r="AB1112" i="2"/>
  <c r="AC1112" i="2"/>
  <c r="AD1112" i="2"/>
  <c r="AE1112" i="2"/>
  <c r="AF1112" i="2"/>
  <c r="AG1112" i="2"/>
  <c r="AH1112" i="2"/>
  <c r="AI1112" i="2"/>
  <c r="AJ1112" i="2"/>
  <c r="AK1112" i="2"/>
  <c r="Z1113" i="2"/>
  <c r="AA1113" i="2"/>
  <c r="AB1113" i="2"/>
  <c r="AC1113" i="2"/>
  <c r="AD1113" i="2"/>
  <c r="AE1113" i="2"/>
  <c r="AF1113" i="2"/>
  <c r="AG1113" i="2"/>
  <c r="AH1113" i="2"/>
  <c r="AI1113" i="2"/>
  <c r="AJ1113" i="2"/>
  <c r="AK1113" i="2"/>
  <c r="Z1114" i="2"/>
  <c r="AA1114" i="2"/>
  <c r="AB1114" i="2"/>
  <c r="AC1114" i="2"/>
  <c r="AD1114" i="2"/>
  <c r="AE1114" i="2"/>
  <c r="AF1114" i="2"/>
  <c r="AG1114" i="2"/>
  <c r="AH1114" i="2"/>
  <c r="AI1114" i="2"/>
  <c r="AJ1114" i="2"/>
  <c r="AK1114" i="2"/>
  <c r="Z1115" i="2"/>
  <c r="AA1115" i="2"/>
  <c r="AB1115" i="2"/>
  <c r="AC1115" i="2"/>
  <c r="AD1115" i="2"/>
  <c r="AE1115" i="2"/>
  <c r="AF1115" i="2"/>
  <c r="AG1115" i="2"/>
  <c r="AH1115" i="2"/>
  <c r="AI1115" i="2"/>
  <c r="AJ1115" i="2"/>
  <c r="AK1115" i="2"/>
  <c r="Z1116" i="2"/>
  <c r="AA1116" i="2"/>
  <c r="AB1116" i="2"/>
  <c r="AC1116" i="2"/>
  <c r="AD1116" i="2"/>
  <c r="AE1116" i="2"/>
  <c r="AF1116" i="2"/>
  <c r="AG1116" i="2"/>
  <c r="AH1116" i="2"/>
  <c r="AI1116" i="2"/>
  <c r="AJ1116" i="2"/>
  <c r="AK1116" i="2"/>
  <c r="Z1117" i="2"/>
  <c r="AA1117" i="2"/>
  <c r="AB1117" i="2"/>
  <c r="AC1117" i="2"/>
  <c r="AD1117" i="2"/>
  <c r="AE1117" i="2"/>
  <c r="AF1117" i="2"/>
  <c r="AG1117" i="2"/>
  <c r="AH1117" i="2"/>
  <c r="AI1117" i="2"/>
  <c r="AJ1117" i="2"/>
  <c r="AK1117" i="2"/>
  <c r="Z1118" i="2"/>
  <c r="AA1118" i="2"/>
  <c r="AB1118" i="2"/>
  <c r="AC1118" i="2"/>
  <c r="AD1118" i="2"/>
  <c r="AE1118" i="2"/>
  <c r="AF1118" i="2"/>
  <c r="AG1118" i="2"/>
  <c r="AH1118" i="2"/>
  <c r="AI1118" i="2"/>
  <c r="AJ1118" i="2"/>
  <c r="AK1118" i="2"/>
  <c r="Z1119" i="2"/>
  <c r="AA1119" i="2"/>
  <c r="AB1119" i="2"/>
  <c r="AC1119" i="2"/>
  <c r="AD1119" i="2"/>
  <c r="AE1119" i="2"/>
  <c r="AF1119" i="2"/>
  <c r="AG1119" i="2"/>
  <c r="AH1119" i="2"/>
  <c r="AI1119" i="2"/>
  <c r="AJ1119" i="2"/>
  <c r="AK1119" i="2"/>
  <c r="Z1120" i="2"/>
  <c r="AA1120" i="2"/>
  <c r="AB1120" i="2"/>
  <c r="AC1120" i="2"/>
  <c r="AD1120" i="2"/>
  <c r="AE1120" i="2"/>
  <c r="AF1120" i="2"/>
  <c r="AG1120" i="2"/>
  <c r="AH1120" i="2"/>
  <c r="AI1120" i="2"/>
  <c r="AJ1120" i="2"/>
  <c r="AK1120" i="2"/>
  <c r="Z1121" i="2"/>
  <c r="AA1121" i="2"/>
  <c r="AB1121" i="2"/>
  <c r="AC1121" i="2"/>
  <c r="AD1121" i="2"/>
  <c r="AE1121" i="2"/>
  <c r="AF1121" i="2"/>
  <c r="AG1121" i="2"/>
  <c r="AH1121" i="2"/>
  <c r="AI1121" i="2"/>
  <c r="AJ1121" i="2"/>
  <c r="AK1121" i="2"/>
  <c r="Z1122" i="2"/>
  <c r="AA1122" i="2"/>
  <c r="AB1122" i="2"/>
  <c r="AC1122" i="2"/>
  <c r="AD1122" i="2"/>
  <c r="AE1122" i="2"/>
  <c r="AF1122" i="2"/>
  <c r="AG1122" i="2"/>
  <c r="AH1122" i="2"/>
  <c r="AI1122" i="2"/>
  <c r="AJ1122" i="2"/>
  <c r="AK1122" i="2"/>
  <c r="Z1123" i="2"/>
  <c r="AA1123" i="2"/>
  <c r="AB1123" i="2"/>
  <c r="AC1123" i="2"/>
  <c r="AD1123" i="2"/>
  <c r="AE1123" i="2"/>
  <c r="AF1123" i="2"/>
  <c r="AG1123" i="2"/>
  <c r="AH1123" i="2"/>
  <c r="AI1123" i="2"/>
  <c r="AJ1123" i="2"/>
  <c r="AK1123" i="2"/>
  <c r="Z1124" i="2"/>
  <c r="AA1124" i="2"/>
  <c r="AB1124" i="2"/>
  <c r="AC1124" i="2"/>
  <c r="AD1124" i="2"/>
  <c r="AE1124" i="2"/>
  <c r="AF1124" i="2"/>
  <c r="AG1124" i="2"/>
  <c r="AH1124" i="2"/>
  <c r="AI1124" i="2"/>
  <c r="AJ1124" i="2"/>
  <c r="AK1124" i="2"/>
  <c r="Z1125" i="2"/>
  <c r="AA1125" i="2"/>
  <c r="AB1125" i="2"/>
  <c r="AC1125" i="2"/>
  <c r="AD1125" i="2"/>
  <c r="AE1125" i="2"/>
  <c r="AF1125" i="2"/>
  <c r="AG1125" i="2"/>
  <c r="AH1125" i="2"/>
  <c r="AI1125" i="2"/>
  <c r="AJ1125" i="2"/>
  <c r="AK1125" i="2"/>
  <c r="Z1126" i="2"/>
  <c r="AA1126" i="2"/>
  <c r="AB1126" i="2"/>
  <c r="AC1126" i="2"/>
  <c r="AD1126" i="2"/>
  <c r="AE1126" i="2"/>
  <c r="AF1126" i="2"/>
  <c r="AG1126" i="2"/>
  <c r="AH1126" i="2"/>
  <c r="AI1126" i="2"/>
  <c r="AJ1126" i="2"/>
  <c r="AK1126" i="2"/>
  <c r="Z1127" i="2"/>
  <c r="AA1127" i="2"/>
  <c r="AB1127" i="2"/>
  <c r="AC1127" i="2"/>
  <c r="AD1127" i="2"/>
  <c r="AE1127" i="2"/>
  <c r="AF1127" i="2"/>
  <c r="AG1127" i="2"/>
  <c r="AH1127" i="2"/>
  <c r="AI1127" i="2"/>
  <c r="AJ1127" i="2"/>
  <c r="AK1127" i="2"/>
  <c r="Z1128" i="2"/>
  <c r="AA1128" i="2"/>
  <c r="AB1128" i="2"/>
  <c r="AC1128" i="2"/>
  <c r="AD1128" i="2"/>
  <c r="AE1128" i="2"/>
  <c r="AF1128" i="2"/>
  <c r="AG1128" i="2"/>
  <c r="AH1128" i="2"/>
  <c r="AI1128" i="2"/>
  <c r="AJ1128" i="2"/>
  <c r="AK1128" i="2"/>
  <c r="Z1129" i="2"/>
  <c r="AA1129" i="2"/>
  <c r="AB1129" i="2"/>
  <c r="AC1129" i="2"/>
  <c r="AD1129" i="2"/>
  <c r="AE1129" i="2"/>
  <c r="AF1129" i="2"/>
  <c r="AG1129" i="2"/>
  <c r="AH1129" i="2"/>
  <c r="AI1129" i="2"/>
  <c r="AJ1129" i="2"/>
  <c r="AK1129" i="2"/>
  <c r="Z1130" i="2"/>
  <c r="AA1130" i="2"/>
  <c r="AB1130" i="2"/>
  <c r="AC1130" i="2"/>
  <c r="AD1130" i="2"/>
  <c r="AE1130" i="2"/>
  <c r="AF1130" i="2"/>
  <c r="AG1130" i="2"/>
  <c r="AH1130" i="2"/>
  <c r="AI1130" i="2"/>
  <c r="AJ1130" i="2"/>
  <c r="AK1130" i="2"/>
  <c r="Z1131" i="2"/>
  <c r="AA1131" i="2"/>
  <c r="AB1131" i="2"/>
  <c r="AC1131" i="2"/>
  <c r="AD1131" i="2"/>
  <c r="AE1131" i="2"/>
  <c r="AF1131" i="2"/>
  <c r="AG1131" i="2"/>
  <c r="AH1131" i="2"/>
  <c r="AI1131" i="2"/>
  <c r="AJ1131" i="2"/>
  <c r="AK1131" i="2"/>
  <c r="Z1132" i="2"/>
  <c r="AA1132" i="2"/>
  <c r="AB1132" i="2"/>
  <c r="AC1132" i="2"/>
  <c r="AD1132" i="2"/>
  <c r="AE1132" i="2"/>
  <c r="AF1132" i="2"/>
  <c r="AG1132" i="2"/>
  <c r="AH1132" i="2"/>
  <c r="AI1132" i="2"/>
  <c r="AJ1132" i="2"/>
  <c r="AK1132" i="2"/>
  <c r="Z1133" i="2"/>
  <c r="AA1133" i="2"/>
  <c r="AB1133" i="2"/>
  <c r="AC1133" i="2"/>
  <c r="AD1133" i="2"/>
  <c r="AE1133" i="2"/>
  <c r="AF1133" i="2"/>
  <c r="AG1133" i="2"/>
  <c r="AH1133" i="2"/>
  <c r="AI1133" i="2"/>
  <c r="AJ1133" i="2"/>
  <c r="AK1133" i="2"/>
  <c r="Z1134" i="2"/>
  <c r="AA1134" i="2"/>
  <c r="AB1134" i="2"/>
  <c r="AC1134" i="2"/>
  <c r="AD1134" i="2"/>
  <c r="AE1134" i="2"/>
  <c r="AF1134" i="2"/>
  <c r="AG1134" i="2"/>
  <c r="AH1134" i="2"/>
  <c r="AI1134" i="2"/>
  <c r="AJ1134" i="2"/>
  <c r="AK1134" i="2"/>
  <c r="Z1135" i="2"/>
  <c r="AA1135" i="2"/>
  <c r="AB1135" i="2"/>
  <c r="AC1135" i="2"/>
  <c r="AD1135" i="2"/>
  <c r="AE1135" i="2"/>
  <c r="AF1135" i="2"/>
  <c r="AG1135" i="2"/>
  <c r="AH1135" i="2"/>
  <c r="AI1135" i="2"/>
  <c r="AJ1135" i="2"/>
  <c r="AK1135" i="2"/>
  <c r="Z1136" i="2"/>
  <c r="AA1136" i="2"/>
  <c r="AB1136" i="2"/>
  <c r="AC1136" i="2"/>
  <c r="AD1136" i="2"/>
  <c r="AE1136" i="2"/>
  <c r="AF1136" i="2"/>
  <c r="AG1136" i="2"/>
  <c r="AH1136" i="2"/>
  <c r="AI1136" i="2"/>
  <c r="AJ1136" i="2"/>
  <c r="AK1136" i="2"/>
  <c r="Z1137" i="2"/>
  <c r="AA1137" i="2"/>
  <c r="AB1137" i="2"/>
  <c r="AC1137" i="2"/>
  <c r="AD1137" i="2"/>
  <c r="AE1137" i="2"/>
  <c r="AF1137" i="2"/>
  <c r="AG1137" i="2"/>
  <c r="AH1137" i="2"/>
  <c r="AI1137" i="2"/>
  <c r="AJ1137" i="2"/>
  <c r="AK1137" i="2"/>
  <c r="Z1138" i="2"/>
  <c r="AA1138" i="2"/>
  <c r="AB1138" i="2"/>
  <c r="AC1138" i="2"/>
  <c r="AD1138" i="2"/>
  <c r="AE1138" i="2"/>
  <c r="AF1138" i="2"/>
  <c r="AG1138" i="2"/>
  <c r="AH1138" i="2"/>
  <c r="AI1138" i="2"/>
  <c r="AJ1138" i="2"/>
  <c r="AK1138" i="2"/>
  <c r="Z1139" i="2"/>
  <c r="AA1139" i="2"/>
  <c r="AB1139" i="2"/>
  <c r="AC1139" i="2"/>
  <c r="AD1139" i="2"/>
  <c r="AE1139" i="2"/>
  <c r="AF1139" i="2"/>
  <c r="AG1139" i="2"/>
  <c r="AH1139" i="2"/>
  <c r="AI1139" i="2"/>
  <c r="AJ1139" i="2"/>
  <c r="AK1139" i="2"/>
  <c r="Z1140" i="2"/>
  <c r="AA1140" i="2"/>
  <c r="AB1140" i="2"/>
  <c r="AC1140" i="2"/>
  <c r="AD1140" i="2"/>
  <c r="AE1140" i="2"/>
  <c r="AF1140" i="2"/>
  <c r="AG1140" i="2"/>
  <c r="AH1140" i="2"/>
  <c r="AI1140" i="2"/>
  <c r="AJ1140" i="2"/>
  <c r="AK1140" i="2"/>
  <c r="Z1141" i="2"/>
  <c r="AA1141" i="2"/>
  <c r="AB1141" i="2"/>
  <c r="AC1141" i="2"/>
  <c r="AD1141" i="2"/>
  <c r="AE1141" i="2"/>
  <c r="AF1141" i="2"/>
  <c r="AG1141" i="2"/>
  <c r="AH1141" i="2"/>
  <c r="AI1141" i="2"/>
  <c r="AJ1141" i="2"/>
  <c r="AK1141" i="2"/>
  <c r="Z1142" i="2"/>
  <c r="AA1142" i="2"/>
  <c r="AB1142" i="2"/>
  <c r="AC1142" i="2"/>
  <c r="AD1142" i="2"/>
  <c r="AE1142" i="2"/>
  <c r="AF1142" i="2"/>
  <c r="AG1142" i="2"/>
  <c r="AH1142" i="2"/>
  <c r="AI1142" i="2"/>
  <c r="AJ1142" i="2"/>
  <c r="AK1142" i="2"/>
  <c r="Z1143" i="2"/>
  <c r="AA1143" i="2"/>
  <c r="AB1143" i="2"/>
  <c r="AC1143" i="2"/>
  <c r="AD1143" i="2"/>
  <c r="AE1143" i="2"/>
  <c r="AF1143" i="2"/>
  <c r="AG1143" i="2"/>
  <c r="AH1143" i="2"/>
  <c r="AI1143" i="2"/>
  <c r="AJ1143" i="2"/>
  <c r="AK1143" i="2"/>
  <c r="Z1144" i="2"/>
  <c r="AA1144" i="2"/>
  <c r="AB1144" i="2"/>
  <c r="AC1144" i="2"/>
  <c r="AD1144" i="2"/>
  <c r="AE1144" i="2"/>
  <c r="AF1144" i="2"/>
  <c r="AG1144" i="2"/>
  <c r="AH1144" i="2"/>
  <c r="AI1144" i="2"/>
  <c r="AJ1144" i="2"/>
  <c r="AK1144" i="2"/>
  <c r="Z1145" i="2"/>
  <c r="AA1145" i="2"/>
  <c r="AB1145" i="2"/>
  <c r="AC1145" i="2"/>
  <c r="AD1145" i="2"/>
  <c r="AE1145" i="2"/>
  <c r="AF1145" i="2"/>
  <c r="AG1145" i="2"/>
  <c r="AH1145" i="2"/>
  <c r="AI1145" i="2"/>
  <c r="AJ1145" i="2"/>
  <c r="AK1145" i="2"/>
  <c r="Z1146" i="2"/>
  <c r="AA1146" i="2"/>
  <c r="AB1146" i="2"/>
  <c r="AC1146" i="2"/>
  <c r="AD1146" i="2"/>
  <c r="AE1146" i="2"/>
  <c r="AF1146" i="2"/>
  <c r="AG1146" i="2"/>
  <c r="AH1146" i="2"/>
  <c r="AI1146" i="2"/>
  <c r="AJ1146" i="2"/>
  <c r="AK1146" i="2"/>
  <c r="Z1147" i="2"/>
  <c r="AA1147" i="2"/>
  <c r="AB1147" i="2"/>
  <c r="AC1147" i="2"/>
  <c r="AD1147" i="2"/>
  <c r="AE1147" i="2"/>
  <c r="AF1147" i="2"/>
  <c r="AG1147" i="2"/>
  <c r="AH1147" i="2"/>
  <c r="AI1147" i="2"/>
  <c r="AJ1147" i="2"/>
  <c r="AK1147" i="2"/>
  <c r="Z1148" i="2"/>
  <c r="AA1148" i="2"/>
  <c r="AB1148" i="2"/>
  <c r="AC1148" i="2"/>
  <c r="AD1148" i="2"/>
  <c r="AE1148" i="2"/>
  <c r="AF1148" i="2"/>
  <c r="AG1148" i="2"/>
  <c r="AH1148" i="2"/>
  <c r="AI1148" i="2"/>
  <c r="AJ1148" i="2"/>
  <c r="AK1148" i="2"/>
  <c r="Z1149" i="2"/>
  <c r="AA1149" i="2"/>
  <c r="AB1149" i="2"/>
  <c r="AC1149" i="2"/>
  <c r="AD1149" i="2"/>
  <c r="AE1149" i="2"/>
  <c r="AF1149" i="2"/>
  <c r="AG1149" i="2"/>
  <c r="AH1149" i="2"/>
  <c r="AI1149" i="2"/>
  <c r="AJ1149" i="2"/>
  <c r="AK1149" i="2"/>
  <c r="Z1150" i="2"/>
  <c r="AA1150" i="2"/>
  <c r="AB1150" i="2"/>
  <c r="AC1150" i="2"/>
  <c r="AD1150" i="2"/>
  <c r="AE1150" i="2"/>
  <c r="AF1150" i="2"/>
  <c r="AG1150" i="2"/>
  <c r="AH1150" i="2"/>
  <c r="AI1150" i="2"/>
  <c r="AJ1150" i="2"/>
  <c r="AK1150" i="2"/>
  <c r="Z1151" i="2"/>
  <c r="AA1151" i="2"/>
  <c r="AB1151" i="2"/>
  <c r="AC1151" i="2"/>
  <c r="AD1151" i="2"/>
  <c r="AE1151" i="2"/>
  <c r="AF1151" i="2"/>
  <c r="AG1151" i="2"/>
  <c r="AH1151" i="2"/>
  <c r="AI1151" i="2"/>
  <c r="AJ1151" i="2"/>
  <c r="AK1151" i="2"/>
  <c r="Z1152" i="2"/>
  <c r="AA1152" i="2"/>
  <c r="AB1152" i="2"/>
  <c r="AC1152" i="2"/>
  <c r="AD1152" i="2"/>
  <c r="AE1152" i="2"/>
  <c r="AF1152" i="2"/>
  <c r="AG1152" i="2"/>
  <c r="AH1152" i="2"/>
  <c r="AI1152" i="2"/>
  <c r="AJ1152" i="2"/>
  <c r="AK1152" i="2"/>
  <c r="Z1153" i="2"/>
  <c r="AA1153" i="2"/>
  <c r="AB1153" i="2"/>
  <c r="AC1153" i="2"/>
  <c r="AD1153" i="2"/>
  <c r="AE1153" i="2"/>
  <c r="AF1153" i="2"/>
  <c r="AG1153" i="2"/>
  <c r="AH1153" i="2"/>
  <c r="AI1153" i="2"/>
  <c r="AJ1153" i="2"/>
  <c r="AK1153" i="2"/>
  <c r="Z1154" i="2"/>
  <c r="AA1154" i="2"/>
  <c r="AB1154" i="2"/>
  <c r="AC1154" i="2"/>
  <c r="AD1154" i="2"/>
  <c r="AE1154" i="2"/>
  <c r="AF1154" i="2"/>
  <c r="AG1154" i="2"/>
  <c r="AH1154" i="2"/>
  <c r="AI1154" i="2"/>
  <c r="AJ1154" i="2"/>
  <c r="AK1154" i="2"/>
  <c r="Z1155" i="2"/>
  <c r="AA1155" i="2"/>
  <c r="AB1155" i="2"/>
  <c r="AC1155" i="2"/>
  <c r="AD1155" i="2"/>
  <c r="AE1155" i="2"/>
  <c r="AF1155" i="2"/>
  <c r="AG1155" i="2"/>
  <c r="AH1155" i="2"/>
  <c r="AI1155" i="2"/>
  <c r="AJ1155" i="2"/>
  <c r="AK1155" i="2"/>
  <c r="Z1156" i="2"/>
  <c r="AA1156" i="2"/>
  <c r="AB1156" i="2"/>
  <c r="AC1156" i="2"/>
  <c r="AD1156" i="2"/>
  <c r="AE1156" i="2"/>
  <c r="AF1156" i="2"/>
  <c r="AG1156" i="2"/>
  <c r="AH1156" i="2"/>
  <c r="AI1156" i="2"/>
  <c r="AJ1156" i="2"/>
  <c r="AK1156" i="2"/>
  <c r="Z1157" i="2"/>
  <c r="AA1157" i="2"/>
  <c r="AB1157" i="2"/>
  <c r="AC1157" i="2"/>
  <c r="AD1157" i="2"/>
  <c r="AE1157" i="2"/>
  <c r="AF1157" i="2"/>
  <c r="AG1157" i="2"/>
  <c r="AH1157" i="2"/>
  <c r="AI1157" i="2"/>
  <c r="AJ1157" i="2"/>
  <c r="AK1157" i="2"/>
  <c r="Z1158" i="2"/>
  <c r="AA1158" i="2"/>
  <c r="AB1158" i="2"/>
  <c r="AC1158" i="2"/>
  <c r="AD1158" i="2"/>
  <c r="AE1158" i="2"/>
  <c r="AF1158" i="2"/>
  <c r="AG1158" i="2"/>
  <c r="AH1158" i="2"/>
  <c r="AI1158" i="2"/>
  <c r="AJ1158" i="2"/>
  <c r="AK1158" i="2"/>
  <c r="Z1159" i="2"/>
  <c r="AA1159" i="2"/>
  <c r="AB1159" i="2"/>
  <c r="AC1159" i="2"/>
  <c r="AD1159" i="2"/>
  <c r="AE1159" i="2"/>
  <c r="AF1159" i="2"/>
  <c r="AG1159" i="2"/>
  <c r="AH1159" i="2"/>
  <c r="AI1159" i="2"/>
  <c r="AJ1159" i="2"/>
  <c r="AK1159" i="2"/>
  <c r="Z1160" i="2"/>
  <c r="AA1160" i="2"/>
  <c r="AB1160" i="2"/>
  <c r="AC1160" i="2"/>
  <c r="AD1160" i="2"/>
  <c r="AE1160" i="2"/>
  <c r="AF1160" i="2"/>
  <c r="AG1160" i="2"/>
  <c r="AH1160" i="2"/>
  <c r="AI1160" i="2"/>
  <c r="AJ1160" i="2"/>
  <c r="AK1160" i="2"/>
  <c r="Z1161" i="2"/>
  <c r="AA1161" i="2"/>
  <c r="AB1161" i="2"/>
  <c r="AC1161" i="2"/>
  <c r="AD1161" i="2"/>
  <c r="AE1161" i="2"/>
  <c r="AF1161" i="2"/>
  <c r="AG1161" i="2"/>
  <c r="AH1161" i="2"/>
  <c r="AI1161" i="2"/>
  <c r="AJ1161" i="2"/>
  <c r="AK1161" i="2"/>
  <c r="Z1162" i="2"/>
  <c r="AA1162" i="2"/>
  <c r="AB1162" i="2"/>
  <c r="AC1162" i="2"/>
  <c r="AD1162" i="2"/>
  <c r="AE1162" i="2"/>
  <c r="AF1162" i="2"/>
  <c r="AG1162" i="2"/>
  <c r="AH1162" i="2"/>
  <c r="AI1162" i="2"/>
  <c r="AJ1162" i="2"/>
  <c r="AK1162" i="2"/>
  <c r="Z1163" i="2"/>
  <c r="AA1163" i="2"/>
  <c r="AB1163" i="2"/>
  <c r="AC1163" i="2"/>
  <c r="AD1163" i="2"/>
  <c r="AE1163" i="2"/>
  <c r="AF1163" i="2"/>
  <c r="AG1163" i="2"/>
  <c r="AH1163" i="2"/>
  <c r="AI1163" i="2"/>
  <c r="AJ1163" i="2"/>
  <c r="AK1163" i="2"/>
  <c r="Z1164" i="2"/>
  <c r="AA1164" i="2"/>
  <c r="AB1164" i="2"/>
  <c r="AC1164" i="2"/>
  <c r="AD1164" i="2"/>
  <c r="AE1164" i="2"/>
  <c r="AF1164" i="2"/>
  <c r="AG1164" i="2"/>
  <c r="AH1164" i="2"/>
  <c r="AI1164" i="2"/>
  <c r="AJ1164" i="2"/>
  <c r="AK1164" i="2"/>
  <c r="Z1165" i="2"/>
  <c r="AA1165" i="2"/>
  <c r="AB1165" i="2"/>
  <c r="AC1165" i="2"/>
  <c r="AD1165" i="2"/>
  <c r="AE1165" i="2"/>
  <c r="AF1165" i="2"/>
  <c r="AG1165" i="2"/>
  <c r="AH1165" i="2"/>
  <c r="AI1165" i="2"/>
  <c r="AJ1165" i="2"/>
  <c r="AK1165" i="2"/>
  <c r="Z1166" i="2"/>
  <c r="AA1166" i="2"/>
  <c r="AB1166" i="2"/>
  <c r="AC1166" i="2"/>
  <c r="AD1166" i="2"/>
  <c r="AE1166" i="2"/>
  <c r="AF1166" i="2"/>
  <c r="AG1166" i="2"/>
  <c r="AH1166" i="2"/>
  <c r="AI1166" i="2"/>
  <c r="AJ1166" i="2"/>
  <c r="AK1166" i="2"/>
  <c r="Z1167" i="2"/>
  <c r="AA1167" i="2"/>
  <c r="AB1167" i="2"/>
  <c r="AC1167" i="2"/>
  <c r="AD1167" i="2"/>
  <c r="AE1167" i="2"/>
  <c r="AF1167" i="2"/>
  <c r="AG1167" i="2"/>
  <c r="AH1167" i="2"/>
  <c r="AI1167" i="2"/>
  <c r="AJ1167" i="2"/>
  <c r="AK1167" i="2"/>
  <c r="Z1168" i="2"/>
  <c r="AA1168" i="2"/>
  <c r="AB1168" i="2"/>
  <c r="AC1168" i="2"/>
  <c r="AD1168" i="2"/>
  <c r="AE1168" i="2"/>
  <c r="AF1168" i="2"/>
  <c r="AG1168" i="2"/>
  <c r="AH1168" i="2"/>
  <c r="AI1168" i="2"/>
  <c r="AJ1168" i="2"/>
  <c r="AK1168" i="2"/>
  <c r="Z1169" i="2"/>
  <c r="AA1169" i="2"/>
  <c r="AB1169" i="2"/>
  <c r="AC1169" i="2"/>
  <c r="AD1169" i="2"/>
  <c r="AE1169" i="2"/>
  <c r="AF1169" i="2"/>
  <c r="AG1169" i="2"/>
  <c r="AH1169" i="2"/>
  <c r="AI1169" i="2"/>
  <c r="AJ1169" i="2"/>
  <c r="AK1169" i="2"/>
  <c r="Z1170" i="2"/>
  <c r="AA1170" i="2"/>
  <c r="AB1170" i="2"/>
  <c r="AC1170" i="2"/>
  <c r="AD1170" i="2"/>
  <c r="AE1170" i="2"/>
  <c r="AF1170" i="2"/>
  <c r="AG1170" i="2"/>
  <c r="AH1170" i="2"/>
  <c r="AI1170" i="2"/>
  <c r="AJ1170" i="2"/>
  <c r="AK1170" i="2"/>
  <c r="Z1171" i="2"/>
  <c r="AA1171" i="2"/>
  <c r="AB1171" i="2"/>
  <c r="AC1171" i="2"/>
  <c r="AD1171" i="2"/>
  <c r="AE1171" i="2"/>
  <c r="AF1171" i="2"/>
  <c r="AG1171" i="2"/>
  <c r="AH1171" i="2"/>
  <c r="AI1171" i="2"/>
  <c r="AJ1171" i="2"/>
  <c r="AK1171" i="2"/>
  <c r="Z1172" i="2"/>
  <c r="AA1172" i="2"/>
  <c r="AB1172" i="2"/>
  <c r="AC1172" i="2"/>
  <c r="AD1172" i="2"/>
  <c r="AE1172" i="2"/>
  <c r="AF1172" i="2"/>
  <c r="AG1172" i="2"/>
  <c r="AH1172" i="2"/>
  <c r="AI1172" i="2"/>
  <c r="AJ1172" i="2"/>
  <c r="AK1172" i="2"/>
  <c r="Z1173" i="2"/>
  <c r="AA1173" i="2"/>
  <c r="AB1173" i="2"/>
  <c r="AC1173" i="2"/>
  <c r="AD1173" i="2"/>
  <c r="AE1173" i="2"/>
  <c r="AF1173" i="2"/>
  <c r="AG1173" i="2"/>
  <c r="AH1173" i="2"/>
  <c r="AI1173" i="2"/>
  <c r="AJ1173" i="2"/>
  <c r="AK1173" i="2"/>
  <c r="Z1174" i="2"/>
  <c r="AA1174" i="2"/>
  <c r="AB1174" i="2"/>
  <c r="AC1174" i="2"/>
  <c r="AD1174" i="2"/>
  <c r="AE1174" i="2"/>
  <c r="AF1174" i="2"/>
  <c r="AG1174" i="2"/>
  <c r="AH1174" i="2"/>
  <c r="AI1174" i="2"/>
  <c r="AJ1174" i="2"/>
  <c r="AK1174" i="2"/>
  <c r="Z1175" i="2"/>
  <c r="AA1175" i="2"/>
  <c r="AB1175" i="2"/>
  <c r="AC1175" i="2"/>
  <c r="AD1175" i="2"/>
  <c r="AE1175" i="2"/>
  <c r="AF1175" i="2"/>
  <c r="AG1175" i="2"/>
  <c r="AH1175" i="2"/>
  <c r="AI1175" i="2"/>
  <c r="AJ1175" i="2"/>
  <c r="AK1175" i="2"/>
  <c r="Z1176" i="2"/>
  <c r="AA1176" i="2"/>
  <c r="AB1176" i="2"/>
  <c r="AC1176" i="2"/>
  <c r="AD1176" i="2"/>
  <c r="AE1176" i="2"/>
  <c r="AF1176" i="2"/>
  <c r="AG1176" i="2"/>
  <c r="AH1176" i="2"/>
  <c r="AI1176" i="2"/>
  <c r="AJ1176" i="2"/>
  <c r="AK1176" i="2"/>
  <c r="Z1177" i="2"/>
  <c r="AA1177" i="2"/>
  <c r="AB1177" i="2"/>
  <c r="AC1177" i="2"/>
  <c r="AD1177" i="2"/>
  <c r="AE1177" i="2"/>
  <c r="AF1177" i="2"/>
  <c r="AG1177" i="2"/>
  <c r="AH1177" i="2"/>
  <c r="AI1177" i="2"/>
  <c r="AJ1177" i="2"/>
  <c r="AK1177" i="2"/>
  <c r="Z1178" i="2"/>
  <c r="AA1178" i="2"/>
  <c r="AB1178" i="2"/>
  <c r="AC1178" i="2"/>
  <c r="AD1178" i="2"/>
  <c r="AE1178" i="2"/>
  <c r="AF1178" i="2"/>
  <c r="AG1178" i="2"/>
  <c r="AH1178" i="2"/>
  <c r="AI1178" i="2"/>
  <c r="AJ1178" i="2"/>
  <c r="AK1178" i="2"/>
  <c r="Z1179" i="2"/>
  <c r="AA1179" i="2"/>
  <c r="AB1179" i="2"/>
  <c r="AC1179" i="2"/>
  <c r="AD1179" i="2"/>
  <c r="AE1179" i="2"/>
  <c r="AF1179" i="2"/>
  <c r="AG1179" i="2"/>
  <c r="AH1179" i="2"/>
  <c r="AI1179" i="2"/>
  <c r="AJ1179" i="2"/>
  <c r="AK1179" i="2"/>
  <c r="Z1180" i="2"/>
  <c r="AA1180" i="2"/>
  <c r="AB1180" i="2"/>
  <c r="AC1180" i="2"/>
  <c r="AD1180" i="2"/>
  <c r="AE1180" i="2"/>
  <c r="AF1180" i="2"/>
  <c r="AG1180" i="2"/>
  <c r="AH1180" i="2"/>
  <c r="AI1180" i="2"/>
  <c r="AJ1180" i="2"/>
  <c r="AK1180" i="2"/>
  <c r="Z1181" i="2"/>
  <c r="AA1181" i="2"/>
  <c r="AB1181" i="2"/>
  <c r="AC1181" i="2"/>
  <c r="AD1181" i="2"/>
  <c r="AE1181" i="2"/>
  <c r="AF1181" i="2"/>
  <c r="AG1181" i="2"/>
  <c r="AH1181" i="2"/>
  <c r="AI1181" i="2"/>
  <c r="AJ1181" i="2"/>
  <c r="AK1181" i="2"/>
  <c r="Z1182" i="2"/>
  <c r="AA1182" i="2"/>
  <c r="AB1182" i="2"/>
  <c r="AC1182" i="2"/>
  <c r="AD1182" i="2"/>
  <c r="AE1182" i="2"/>
  <c r="AF1182" i="2"/>
  <c r="AG1182" i="2"/>
  <c r="AH1182" i="2"/>
  <c r="AI1182" i="2"/>
  <c r="AJ1182" i="2"/>
  <c r="AK1182" i="2"/>
  <c r="Z1183" i="2"/>
  <c r="AA1183" i="2"/>
  <c r="AB1183" i="2"/>
  <c r="AC1183" i="2"/>
  <c r="AD1183" i="2"/>
  <c r="AE1183" i="2"/>
  <c r="AF1183" i="2"/>
  <c r="AG1183" i="2"/>
  <c r="AH1183" i="2"/>
  <c r="AI1183" i="2"/>
  <c r="AJ1183" i="2"/>
  <c r="AK1183" i="2"/>
  <c r="Z1184" i="2"/>
  <c r="AA1184" i="2"/>
  <c r="AB1184" i="2"/>
  <c r="AC1184" i="2"/>
  <c r="AD1184" i="2"/>
  <c r="AE1184" i="2"/>
  <c r="AF1184" i="2"/>
  <c r="AG1184" i="2"/>
  <c r="AH1184" i="2"/>
  <c r="AI1184" i="2"/>
  <c r="AJ1184" i="2"/>
  <c r="AK1184" i="2"/>
  <c r="Z1185" i="2"/>
  <c r="AA1185" i="2"/>
  <c r="AB1185" i="2"/>
  <c r="AC1185" i="2"/>
  <c r="AD1185" i="2"/>
  <c r="AE1185" i="2"/>
  <c r="AF1185" i="2"/>
  <c r="AG1185" i="2"/>
  <c r="AH1185" i="2"/>
  <c r="AI1185" i="2"/>
  <c r="AJ1185" i="2"/>
  <c r="AK1185" i="2"/>
  <c r="Z1186" i="2"/>
  <c r="AA1186" i="2"/>
  <c r="AB1186" i="2"/>
  <c r="AC1186" i="2"/>
  <c r="AD1186" i="2"/>
  <c r="AE1186" i="2"/>
  <c r="AF1186" i="2"/>
  <c r="AG1186" i="2"/>
  <c r="AH1186" i="2"/>
  <c r="AI1186" i="2"/>
  <c r="AJ1186" i="2"/>
  <c r="AK1186" i="2"/>
  <c r="Z1187" i="2"/>
  <c r="AA1187" i="2"/>
  <c r="AB1187" i="2"/>
  <c r="AC1187" i="2"/>
  <c r="AD1187" i="2"/>
  <c r="AE1187" i="2"/>
  <c r="AF1187" i="2"/>
  <c r="AG1187" i="2"/>
  <c r="AH1187" i="2"/>
  <c r="AI1187" i="2"/>
  <c r="AJ1187" i="2"/>
  <c r="AK1187" i="2"/>
  <c r="Z1188" i="2"/>
  <c r="AA1188" i="2"/>
  <c r="AB1188" i="2"/>
  <c r="AC1188" i="2"/>
  <c r="AD1188" i="2"/>
  <c r="AE1188" i="2"/>
  <c r="AF1188" i="2"/>
  <c r="AG1188" i="2"/>
  <c r="AH1188" i="2"/>
  <c r="AI1188" i="2"/>
  <c r="AJ1188" i="2"/>
  <c r="AK1188" i="2"/>
  <c r="Z1189" i="2"/>
  <c r="AA1189" i="2"/>
  <c r="AB1189" i="2"/>
  <c r="AC1189" i="2"/>
  <c r="AD1189" i="2"/>
  <c r="AE1189" i="2"/>
  <c r="AF1189" i="2"/>
  <c r="AG1189" i="2"/>
  <c r="AH1189" i="2"/>
  <c r="AI1189" i="2"/>
  <c r="AJ1189" i="2"/>
  <c r="AK1189" i="2"/>
  <c r="Z1190" i="2"/>
  <c r="AA1190" i="2"/>
  <c r="AB1190" i="2"/>
  <c r="AC1190" i="2"/>
  <c r="AD1190" i="2"/>
  <c r="AE1190" i="2"/>
  <c r="AF1190" i="2"/>
  <c r="AG1190" i="2"/>
  <c r="AH1190" i="2"/>
  <c r="AI1190" i="2"/>
  <c r="AJ1190" i="2"/>
  <c r="AK1190" i="2"/>
  <c r="Z1191" i="2"/>
  <c r="AA1191" i="2"/>
  <c r="AB1191" i="2"/>
  <c r="AC1191" i="2"/>
  <c r="AD1191" i="2"/>
  <c r="AE1191" i="2"/>
  <c r="AF1191" i="2"/>
  <c r="AG1191" i="2"/>
  <c r="AH1191" i="2"/>
  <c r="AI1191" i="2"/>
  <c r="AJ1191" i="2"/>
  <c r="AK1191" i="2"/>
  <c r="Z1192" i="2"/>
  <c r="AA1192" i="2"/>
  <c r="AB1192" i="2"/>
  <c r="AC1192" i="2"/>
  <c r="AD1192" i="2"/>
  <c r="AE1192" i="2"/>
  <c r="AF1192" i="2"/>
  <c r="AG1192" i="2"/>
  <c r="AH1192" i="2"/>
  <c r="AI1192" i="2"/>
  <c r="AJ1192" i="2"/>
  <c r="AK1192" i="2"/>
  <c r="Z1193" i="2"/>
  <c r="AA1193" i="2"/>
  <c r="AB1193" i="2"/>
  <c r="AC1193" i="2"/>
  <c r="AD1193" i="2"/>
  <c r="AE1193" i="2"/>
  <c r="AF1193" i="2"/>
  <c r="AG1193" i="2"/>
  <c r="AH1193" i="2"/>
  <c r="AI1193" i="2"/>
  <c r="AJ1193" i="2"/>
  <c r="AK1193" i="2"/>
  <c r="Z1194" i="2"/>
  <c r="AA1194" i="2"/>
  <c r="AB1194" i="2"/>
  <c r="AC1194" i="2"/>
  <c r="AD1194" i="2"/>
  <c r="AE1194" i="2"/>
  <c r="AF1194" i="2"/>
  <c r="AG1194" i="2"/>
  <c r="AH1194" i="2"/>
  <c r="AI1194" i="2"/>
  <c r="AJ1194" i="2"/>
  <c r="AK1194" i="2"/>
  <c r="Z1195" i="2"/>
  <c r="AA1195" i="2"/>
  <c r="AB1195" i="2"/>
  <c r="AC1195" i="2"/>
  <c r="AD1195" i="2"/>
  <c r="AE1195" i="2"/>
  <c r="AF1195" i="2"/>
  <c r="AG1195" i="2"/>
  <c r="AH1195" i="2"/>
  <c r="AI1195" i="2"/>
  <c r="AJ1195" i="2"/>
  <c r="AK1195" i="2"/>
  <c r="Z1196" i="2"/>
  <c r="AA1196" i="2"/>
  <c r="AB1196" i="2"/>
  <c r="AC1196" i="2"/>
  <c r="AD1196" i="2"/>
  <c r="AE1196" i="2"/>
  <c r="AF1196" i="2"/>
  <c r="AG1196" i="2"/>
  <c r="AH1196" i="2"/>
  <c r="AI1196" i="2"/>
  <c r="AJ1196" i="2"/>
  <c r="AK1196" i="2"/>
  <c r="Z1197" i="2"/>
  <c r="AA1197" i="2"/>
  <c r="AB1197" i="2"/>
  <c r="AC1197" i="2"/>
  <c r="AD1197" i="2"/>
  <c r="AE1197" i="2"/>
  <c r="AF1197" i="2"/>
  <c r="AG1197" i="2"/>
  <c r="AH1197" i="2"/>
  <c r="AI1197" i="2"/>
  <c r="AJ1197" i="2"/>
  <c r="AK1197" i="2"/>
  <c r="Z1198" i="2"/>
  <c r="AA1198" i="2"/>
  <c r="AB1198" i="2"/>
  <c r="AC1198" i="2"/>
  <c r="AD1198" i="2"/>
  <c r="AE1198" i="2"/>
  <c r="AF1198" i="2"/>
  <c r="AG1198" i="2"/>
  <c r="AH1198" i="2"/>
  <c r="AI1198" i="2"/>
  <c r="AJ1198" i="2"/>
  <c r="AK1198" i="2"/>
  <c r="Z1199" i="2"/>
  <c r="AA1199" i="2"/>
  <c r="AB1199" i="2"/>
  <c r="AC1199" i="2"/>
  <c r="AD1199" i="2"/>
  <c r="AE1199" i="2"/>
  <c r="AF1199" i="2"/>
  <c r="AG1199" i="2"/>
  <c r="AH1199" i="2"/>
  <c r="AI1199" i="2"/>
  <c r="AJ1199" i="2"/>
  <c r="AK1199" i="2"/>
  <c r="Z1200" i="2"/>
  <c r="AA1200" i="2"/>
  <c r="AB1200" i="2"/>
  <c r="AC1200" i="2"/>
  <c r="AD1200" i="2"/>
  <c r="AE1200" i="2"/>
  <c r="AF1200" i="2"/>
  <c r="AG1200" i="2"/>
  <c r="AH1200" i="2"/>
  <c r="AI1200" i="2"/>
  <c r="AJ1200" i="2"/>
  <c r="AK1200" i="2"/>
  <c r="Z1201" i="2"/>
  <c r="AA1201" i="2"/>
  <c r="AB1201" i="2"/>
  <c r="AC1201" i="2"/>
  <c r="AD1201" i="2"/>
  <c r="AE1201" i="2"/>
  <c r="AF1201" i="2"/>
  <c r="AG1201" i="2"/>
  <c r="AH1201" i="2"/>
  <c r="AI1201" i="2"/>
  <c r="AJ1201" i="2"/>
  <c r="AK1201" i="2"/>
  <c r="Z1202" i="2"/>
  <c r="AA1202" i="2"/>
  <c r="AB1202" i="2"/>
  <c r="AC1202" i="2"/>
  <c r="AD1202" i="2"/>
  <c r="AE1202" i="2"/>
  <c r="AF1202" i="2"/>
  <c r="AG1202" i="2"/>
  <c r="AH1202" i="2"/>
  <c r="AI1202" i="2"/>
  <c r="AJ1202" i="2"/>
  <c r="AK1202" i="2"/>
  <c r="Z1203" i="2"/>
  <c r="AA1203" i="2"/>
  <c r="AB1203" i="2"/>
  <c r="AC1203" i="2"/>
  <c r="AD1203" i="2"/>
  <c r="AE1203" i="2"/>
  <c r="AF1203" i="2"/>
  <c r="AG1203" i="2"/>
  <c r="AH1203" i="2"/>
  <c r="AI1203" i="2"/>
  <c r="AJ1203" i="2"/>
  <c r="AK1203" i="2"/>
  <c r="Z1204" i="2"/>
  <c r="AA1204" i="2"/>
  <c r="AB1204" i="2"/>
  <c r="AC1204" i="2"/>
  <c r="AD1204" i="2"/>
  <c r="AE1204" i="2"/>
  <c r="AF1204" i="2"/>
  <c r="AG1204" i="2"/>
  <c r="AH1204" i="2"/>
  <c r="AI1204" i="2"/>
  <c r="AJ1204" i="2"/>
  <c r="AK1204" i="2"/>
  <c r="Z1205" i="2"/>
  <c r="AA1205" i="2"/>
  <c r="AB1205" i="2"/>
  <c r="AC1205" i="2"/>
  <c r="AD1205" i="2"/>
  <c r="AE1205" i="2"/>
  <c r="AF1205" i="2"/>
  <c r="AG1205" i="2"/>
  <c r="AH1205" i="2"/>
  <c r="AI1205" i="2"/>
  <c r="AJ1205" i="2"/>
  <c r="AK1205" i="2"/>
  <c r="Z1206" i="2"/>
  <c r="AA1206" i="2"/>
  <c r="AB1206" i="2"/>
  <c r="AC1206" i="2"/>
  <c r="AD1206" i="2"/>
  <c r="AE1206" i="2"/>
  <c r="AF1206" i="2"/>
  <c r="AG1206" i="2"/>
  <c r="AH1206" i="2"/>
  <c r="AI1206" i="2"/>
  <c r="AJ1206" i="2"/>
  <c r="AK1206" i="2"/>
  <c r="Z1207" i="2"/>
  <c r="AA1207" i="2"/>
  <c r="AB1207" i="2"/>
  <c r="AC1207" i="2"/>
  <c r="AD1207" i="2"/>
  <c r="AE1207" i="2"/>
  <c r="AF1207" i="2"/>
  <c r="AG1207" i="2"/>
  <c r="AH1207" i="2"/>
  <c r="AI1207" i="2"/>
  <c r="AJ1207" i="2"/>
  <c r="AK1207" i="2"/>
  <c r="Z1208" i="2"/>
  <c r="AA1208" i="2"/>
  <c r="AB1208" i="2"/>
  <c r="AC1208" i="2"/>
  <c r="AD1208" i="2"/>
  <c r="AE1208" i="2"/>
  <c r="AF1208" i="2"/>
  <c r="AG1208" i="2"/>
  <c r="AH1208" i="2"/>
  <c r="AI1208" i="2"/>
  <c r="AJ1208" i="2"/>
  <c r="AK1208" i="2"/>
  <c r="Z1209" i="2"/>
  <c r="AA1209" i="2"/>
  <c r="AB1209" i="2"/>
  <c r="AC1209" i="2"/>
  <c r="AD1209" i="2"/>
  <c r="AE1209" i="2"/>
  <c r="AF1209" i="2"/>
  <c r="AG1209" i="2"/>
  <c r="AH1209" i="2"/>
  <c r="AI1209" i="2"/>
  <c r="AJ1209" i="2"/>
  <c r="AK1209" i="2"/>
  <c r="Z1210" i="2"/>
  <c r="AA1210" i="2"/>
  <c r="AB1210" i="2"/>
  <c r="AC1210" i="2"/>
  <c r="AD1210" i="2"/>
  <c r="AE1210" i="2"/>
  <c r="AF1210" i="2"/>
  <c r="AG1210" i="2"/>
  <c r="AH1210" i="2"/>
  <c r="AI1210" i="2"/>
  <c r="AJ1210" i="2"/>
  <c r="AK1210" i="2"/>
  <c r="Z1211" i="2"/>
  <c r="AA1211" i="2"/>
  <c r="AB1211" i="2"/>
  <c r="AC1211" i="2"/>
  <c r="AD1211" i="2"/>
  <c r="AE1211" i="2"/>
  <c r="AF1211" i="2"/>
  <c r="AG1211" i="2"/>
  <c r="AH1211" i="2"/>
  <c r="AI1211" i="2"/>
  <c r="AJ1211" i="2"/>
  <c r="AK1211" i="2"/>
  <c r="Z1212" i="2"/>
  <c r="AA1212" i="2"/>
  <c r="AB1212" i="2"/>
  <c r="AC1212" i="2"/>
  <c r="AD1212" i="2"/>
  <c r="AE1212" i="2"/>
  <c r="AF1212" i="2"/>
  <c r="AG1212" i="2"/>
  <c r="AH1212" i="2"/>
  <c r="AI1212" i="2"/>
  <c r="AJ1212" i="2"/>
  <c r="AK1212" i="2"/>
  <c r="Z1213" i="2"/>
  <c r="AA1213" i="2"/>
  <c r="AB1213" i="2"/>
  <c r="AC1213" i="2"/>
  <c r="AD1213" i="2"/>
  <c r="AE1213" i="2"/>
  <c r="AF1213" i="2"/>
  <c r="AG1213" i="2"/>
  <c r="AH1213" i="2"/>
  <c r="AI1213" i="2"/>
  <c r="AJ1213" i="2"/>
  <c r="AK1213" i="2"/>
  <c r="Z1214" i="2"/>
  <c r="AA1214" i="2"/>
  <c r="AB1214" i="2"/>
  <c r="AC1214" i="2"/>
  <c r="AD1214" i="2"/>
  <c r="AE1214" i="2"/>
  <c r="AF1214" i="2"/>
  <c r="AG1214" i="2"/>
  <c r="AH1214" i="2"/>
  <c r="AI1214" i="2"/>
  <c r="AJ1214" i="2"/>
  <c r="AK1214" i="2"/>
  <c r="Z1215" i="2"/>
  <c r="AA1215" i="2"/>
  <c r="AB1215" i="2"/>
  <c r="AC1215" i="2"/>
  <c r="AD1215" i="2"/>
  <c r="AE1215" i="2"/>
  <c r="AF1215" i="2"/>
  <c r="AG1215" i="2"/>
  <c r="AH1215" i="2"/>
  <c r="AI1215" i="2"/>
  <c r="AJ1215" i="2"/>
  <c r="AK1215" i="2"/>
  <c r="Z1216" i="2"/>
  <c r="AA1216" i="2"/>
  <c r="AB1216" i="2"/>
  <c r="AC1216" i="2"/>
  <c r="AD1216" i="2"/>
  <c r="AE1216" i="2"/>
  <c r="AF1216" i="2"/>
  <c r="AG1216" i="2"/>
  <c r="AH1216" i="2"/>
  <c r="AI1216" i="2"/>
  <c r="AJ1216" i="2"/>
  <c r="AK1216" i="2"/>
  <c r="Z1217" i="2"/>
  <c r="AA1217" i="2"/>
  <c r="AB1217" i="2"/>
  <c r="AC1217" i="2"/>
  <c r="AD1217" i="2"/>
  <c r="AE1217" i="2"/>
  <c r="AF1217" i="2"/>
  <c r="AG1217" i="2"/>
  <c r="AH1217" i="2"/>
  <c r="AI1217" i="2"/>
  <c r="AJ1217" i="2"/>
  <c r="AK1217" i="2"/>
  <c r="Z1218" i="2"/>
  <c r="AA1218" i="2"/>
  <c r="AB1218" i="2"/>
  <c r="AC1218" i="2"/>
  <c r="AD1218" i="2"/>
  <c r="AE1218" i="2"/>
  <c r="AF1218" i="2"/>
  <c r="AG1218" i="2"/>
  <c r="AH1218" i="2"/>
  <c r="AI1218" i="2"/>
  <c r="AJ1218" i="2"/>
  <c r="AK1218" i="2"/>
  <c r="Z1219" i="2"/>
  <c r="AA1219" i="2"/>
  <c r="AB1219" i="2"/>
  <c r="AC1219" i="2"/>
  <c r="AD1219" i="2"/>
  <c r="AE1219" i="2"/>
  <c r="AF1219" i="2"/>
  <c r="AG1219" i="2"/>
  <c r="AH1219" i="2"/>
  <c r="AI1219" i="2"/>
  <c r="AJ1219" i="2"/>
  <c r="AK1219" i="2"/>
  <c r="Z1220" i="2"/>
  <c r="AA1220" i="2"/>
  <c r="AB1220" i="2"/>
  <c r="AC1220" i="2"/>
  <c r="AD1220" i="2"/>
  <c r="AE1220" i="2"/>
  <c r="AF1220" i="2"/>
  <c r="AG1220" i="2"/>
  <c r="AH1220" i="2"/>
  <c r="AI1220" i="2"/>
  <c r="AJ1220" i="2"/>
  <c r="AK1220" i="2"/>
  <c r="Z1221" i="2"/>
  <c r="AA1221" i="2"/>
  <c r="AB1221" i="2"/>
  <c r="AC1221" i="2"/>
  <c r="AD1221" i="2"/>
  <c r="AE1221" i="2"/>
  <c r="AF1221" i="2"/>
  <c r="AG1221" i="2"/>
  <c r="AH1221" i="2"/>
  <c r="AI1221" i="2"/>
  <c r="AJ1221" i="2"/>
  <c r="AK1221" i="2"/>
  <c r="Z1222" i="2"/>
  <c r="AA1222" i="2"/>
  <c r="AB1222" i="2"/>
  <c r="AC1222" i="2"/>
  <c r="AD1222" i="2"/>
  <c r="AE1222" i="2"/>
  <c r="AF1222" i="2"/>
  <c r="AG1222" i="2"/>
  <c r="AH1222" i="2"/>
  <c r="AI1222" i="2"/>
  <c r="AJ1222" i="2"/>
  <c r="AK1222" i="2"/>
  <c r="Z1223" i="2"/>
  <c r="AA1223" i="2"/>
  <c r="AB1223" i="2"/>
  <c r="AC1223" i="2"/>
  <c r="AD1223" i="2"/>
  <c r="AE1223" i="2"/>
  <c r="AF1223" i="2"/>
  <c r="AG1223" i="2"/>
  <c r="AH1223" i="2"/>
  <c r="AI1223" i="2"/>
  <c r="AJ1223" i="2"/>
  <c r="AK1223" i="2"/>
  <c r="Z1224" i="2"/>
  <c r="AA1224" i="2"/>
  <c r="AB1224" i="2"/>
  <c r="AC1224" i="2"/>
  <c r="AD1224" i="2"/>
  <c r="AE1224" i="2"/>
  <c r="AF1224" i="2"/>
  <c r="AG1224" i="2"/>
  <c r="AH1224" i="2"/>
  <c r="AI1224" i="2"/>
  <c r="AJ1224" i="2"/>
  <c r="AK1224" i="2"/>
  <c r="Z1225" i="2"/>
  <c r="AA1225" i="2"/>
  <c r="AB1225" i="2"/>
  <c r="AC1225" i="2"/>
  <c r="AD1225" i="2"/>
  <c r="AE1225" i="2"/>
  <c r="AF1225" i="2"/>
  <c r="AG1225" i="2"/>
  <c r="AH1225" i="2"/>
  <c r="AI1225" i="2"/>
  <c r="AJ1225" i="2"/>
  <c r="AK1225" i="2"/>
  <c r="Z1226" i="2"/>
  <c r="AA1226" i="2"/>
  <c r="AB1226" i="2"/>
  <c r="AC1226" i="2"/>
  <c r="AD1226" i="2"/>
  <c r="AE1226" i="2"/>
  <c r="AF1226" i="2"/>
  <c r="AG1226" i="2"/>
  <c r="AH1226" i="2"/>
  <c r="AI1226" i="2"/>
  <c r="AJ1226" i="2"/>
  <c r="AK1226" i="2"/>
  <c r="Z1227" i="2"/>
  <c r="AA1227" i="2"/>
  <c r="AB1227" i="2"/>
  <c r="AC1227" i="2"/>
  <c r="AD1227" i="2"/>
  <c r="AE1227" i="2"/>
  <c r="AF1227" i="2"/>
  <c r="AG1227" i="2"/>
  <c r="AH1227" i="2"/>
  <c r="AI1227" i="2"/>
  <c r="AJ1227" i="2"/>
  <c r="AK1227" i="2"/>
  <c r="Z1228" i="2"/>
  <c r="AA1228" i="2"/>
  <c r="AB1228" i="2"/>
  <c r="AC1228" i="2"/>
  <c r="AD1228" i="2"/>
  <c r="AE1228" i="2"/>
  <c r="AF1228" i="2"/>
  <c r="AG1228" i="2"/>
  <c r="AH1228" i="2"/>
  <c r="AI1228" i="2"/>
  <c r="AJ1228" i="2"/>
  <c r="AK1228" i="2"/>
  <c r="Z1229" i="2"/>
  <c r="AA1229" i="2"/>
  <c r="AB1229" i="2"/>
  <c r="AC1229" i="2"/>
  <c r="AD1229" i="2"/>
  <c r="AE1229" i="2"/>
  <c r="AF1229" i="2"/>
  <c r="AG1229" i="2"/>
  <c r="AH1229" i="2"/>
  <c r="AI1229" i="2"/>
  <c r="AJ1229" i="2"/>
  <c r="AK1229" i="2"/>
  <c r="Z1230" i="2"/>
  <c r="AA1230" i="2"/>
  <c r="AB1230" i="2"/>
  <c r="AC1230" i="2"/>
  <c r="AD1230" i="2"/>
  <c r="AE1230" i="2"/>
  <c r="AF1230" i="2"/>
  <c r="AG1230" i="2"/>
  <c r="AH1230" i="2"/>
  <c r="AI1230" i="2"/>
  <c r="AJ1230" i="2"/>
  <c r="AK1230" i="2"/>
  <c r="Z1231" i="2"/>
  <c r="AA1231" i="2"/>
  <c r="AB1231" i="2"/>
  <c r="AC1231" i="2"/>
  <c r="AD1231" i="2"/>
  <c r="AE1231" i="2"/>
  <c r="AF1231" i="2"/>
  <c r="AG1231" i="2"/>
  <c r="AH1231" i="2"/>
  <c r="AI1231" i="2"/>
  <c r="AJ1231" i="2"/>
  <c r="AK1231" i="2"/>
  <c r="Z1232" i="2"/>
  <c r="AA1232" i="2"/>
  <c r="AB1232" i="2"/>
  <c r="AC1232" i="2"/>
  <c r="AD1232" i="2"/>
  <c r="AE1232" i="2"/>
  <c r="AF1232" i="2"/>
  <c r="AG1232" i="2"/>
  <c r="AH1232" i="2"/>
  <c r="AI1232" i="2"/>
  <c r="AJ1232" i="2"/>
  <c r="AK1232" i="2"/>
  <c r="Z1233" i="2"/>
  <c r="AA1233" i="2"/>
  <c r="AB1233" i="2"/>
  <c r="AC1233" i="2"/>
  <c r="AD1233" i="2"/>
  <c r="AE1233" i="2"/>
  <c r="AF1233" i="2"/>
  <c r="AG1233" i="2"/>
  <c r="AH1233" i="2"/>
  <c r="AI1233" i="2"/>
  <c r="AJ1233" i="2"/>
  <c r="AK1233" i="2"/>
  <c r="Z1234" i="2"/>
  <c r="AA1234" i="2"/>
  <c r="AB1234" i="2"/>
  <c r="AC1234" i="2"/>
  <c r="AD1234" i="2"/>
  <c r="AE1234" i="2"/>
  <c r="AF1234" i="2"/>
  <c r="AG1234" i="2"/>
  <c r="AH1234" i="2"/>
  <c r="AI1234" i="2"/>
  <c r="AJ1234" i="2"/>
  <c r="AK1234" i="2"/>
  <c r="Z1235" i="2"/>
  <c r="AA1235" i="2"/>
  <c r="AB1235" i="2"/>
  <c r="AC1235" i="2"/>
  <c r="AD1235" i="2"/>
  <c r="AE1235" i="2"/>
  <c r="AF1235" i="2"/>
  <c r="AG1235" i="2"/>
  <c r="AH1235" i="2"/>
  <c r="AI1235" i="2"/>
  <c r="AJ1235" i="2"/>
  <c r="AK1235" i="2"/>
  <c r="Z1236" i="2"/>
  <c r="AA1236" i="2"/>
  <c r="AB1236" i="2"/>
  <c r="AC1236" i="2"/>
  <c r="AD1236" i="2"/>
  <c r="AE1236" i="2"/>
  <c r="AF1236" i="2"/>
  <c r="AG1236" i="2"/>
  <c r="AH1236" i="2"/>
  <c r="AI1236" i="2"/>
  <c r="AJ1236" i="2"/>
  <c r="AK1236" i="2"/>
  <c r="Z1237" i="2"/>
  <c r="AA1237" i="2"/>
  <c r="AB1237" i="2"/>
  <c r="AC1237" i="2"/>
  <c r="AD1237" i="2"/>
  <c r="AE1237" i="2"/>
  <c r="AF1237" i="2"/>
  <c r="AG1237" i="2"/>
  <c r="AH1237" i="2"/>
  <c r="AI1237" i="2"/>
  <c r="AJ1237" i="2"/>
  <c r="AK1237" i="2"/>
  <c r="Z1238" i="2"/>
  <c r="AA1238" i="2"/>
  <c r="AB1238" i="2"/>
  <c r="AC1238" i="2"/>
  <c r="AD1238" i="2"/>
  <c r="AE1238" i="2"/>
  <c r="AF1238" i="2"/>
  <c r="AG1238" i="2"/>
  <c r="AH1238" i="2"/>
  <c r="AI1238" i="2"/>
  <c r="AJ1238" i="2"/>
  <c r="AK1238" i="2"/>
  <c r="Z1239" i="2"/>
  <c r="AA1239" i="2"/>
  <c r="AB1239" i="2"/>
  <c r="AC1239" i="2"/>
  <c r="AD1239" i="2"/>
  <c r="AE1239" i="2"/>
  <c r="AF1239" i="2"/>
  <c r="AG1239" i="2"/>
  <c r="AH1239" i="2"/>
  <c r="AI1239" i="2"/>
  <c r="AJ1239" i="2"/>
  <c r="AK1239" i="2"/>
  <c r="Z1240" i="2"/>
  <c r="AA1240" i="2"/>
  <c r="AB1240" i="2"/>
  <c r="AC1240" i="2"/>
  <c r="AD1240" i="2"/>
  <c r="AE1240" i="2"/>
  <c r="AF1240" i="2"/>
  <c r="AG1240" i="2"/>
  <c r="AH1240" i="2"/>
  <c r="AI1240" i="2"/>
  <c r="AJ1240" i="2"/>
  <c r="AK1240" i="2"/>
  <c r="Z1241" i="2"/>
  <c r="AA1241" i="2"/>
  <c r="AB1241" i="2"/>
  <c r="AC1241" i="2"/>
  <c r="AD1241" i="2"/>
  <c r="AE1241" i="2"/>
  <c r="AF1241" i="2"/>
  <c r="AG1241" i="2"/>
  <c r="AH1241" i="2"/>
  <c r="AI1241" i="2"/>
  <c r="AJ1241" i="2"/>
  <c r="AK1241" i="2"/>
  <c r="Z1242" i="2"/>
  <c r="AA1242" i="2"/>
  <c r="AB1242" i="2"/>
  <c r="AC1242" i="2"/>
  <c r="AD1242" i="2"/>
  <c r="AE1242" i="2"/>
  <c r="AF1242" i="2"/>
  <c r="AG1242" i="2"/>
  <c r="AH1242" i="2"/>
  <c r="AI1242" i="2"/>
  <c r="AJ1242" i="2"/>
  <c r="AK1242" i="2"/>
  <c r="Z1243" i="2"/>
  <c r="AA1243" i="2"/>
  <c r="AB1243" i="2"/>
  <c r="AC1243" i="2"/>
  <c r="AD1243" i="2"/>
  <c r="AE1243" i="2"/>
  <c r="AF1243" i="2"/>
  <c r="AG1243" i="2"/>
  <c r="AH1243" i="2"/>
  <c r="AI1243" i="2"/>
  <c r="AJ1243" i="2"/>
  <c r="AK1243" i="2"/>
  <c r="Z1244" i="2"/>
  <c r="AA1244" i="2"/>
  <c r="AB1244" i="2"/>
  <c r="AC1244" i="2"/>
  <c r="AD1244" i="2"/>
  <c r="AE1244" i="2"/>
  <c r="AF1244" i="2"/>
  <c r="AG1244" i="2"/>
  <c r="AH1244" i="2"/>
  <c r="AI1244" i="2"/>
  <c r="AJ1244" i="2"/>
  <c r="AK1244" i="2"/>
  <c r="Z1245" i="2"/>
  <c r="AA1245" i="2"/>
  <c r="AB1245" i="2"/>
  <c r="AC1245" i="2"/>
  <c r="AD1245" i="2"/>
  <c r="AE1245" i="2"/>
  <c r="AF1245" i="2"/>
  <c r="AG1245" i="2"/>
  <c r="AH1245" i="2"/>
  <c r="AI1245" i="2"/>
  <c r="AJ1245" i="2"/>
  <c r="AK1245" i="2"/>
  <c r="Z1246" i="2"/>
  <c r="AA1246" i="2"/>
  <c r="AB1246" i="2"/>
  <c r="AC1246" i="2"/>
  <c r="AD1246" i="2"/>
  <c r="AE1246" i="2"/>
  <c r="AF1246" i="2"/>
  <c r="AG1246" i="2"/>
  <c r="AH1246" i="2"/>
  <c r="AI1246" i="2"/>
  <c r="AJ1246" i="2"/>
  <c r="AK1246" i="2"/>
  <c r="Z1247" i="2"/>
  <c r="AA1247" i="2"/>
  <c r="AB1247" i="2"/>
  <c r="AC1247" i="2"/>
  <c r="AD1247" i="2"/>
  <c r="AE1247" i="2"/>
  <c r="AF1247" i="2"/>
  <c r="AG1247" i="2"/>
  <c r="AH1247" i="2"/>
  <c r="AI1247" i="2"/>
  <c r="AJ1247" i="2"/>
  <c r="AK1247" i="2"/>
  <c r="Z1248" i="2"/>
  <c r="AA1248" i="2"/>
  <c r="AB1248" i="2"/>
  <c r="AC1248" i="2"/>
  <c r="AD1248" i="2"/>
  <c r="AE1248" i="2"/>
  <c r="AF1248" i="2"/>
  <c r="AG1248" i="2"/>
  <c r="AH1248" i="2"/>
  <c r="AI1248" i="2"/>
  <c r="AJ1248" i="2"/>
  <c r="AK1248" i="2"/>
  <c r="Z1249" i="2"/>
  <c r="AA1249" i="2"/>
  <c r="AB1249" i="2"/>
  <c r="AC1249" i="2"/>
  <c r="AD1249" i="2"/>
  <c r="AE1249" i="2"/>
  <c r="AF1249" i="2"/>
  <c r="AG1249" i="2"/>
  <c r="AH1249" i="2"/>
  <c r="AI1249" i="2"/>
  <c r="AJ1249" i="2"/>
  <c r="AK1249" i="2"/>
  <c r="Z1250" i="2"/>
  <c r="AA1250" i="2"/>
  <c r="AB1250" i="2"/>
  <c r="AC1250" i="2"/>
  <c r="AD1250" i="2"/>
  <c r="AE1250" i="2"/>
  <c r="AF1250" i="2"/>
  <c r="AG1250" i="2"/>
  <c r="AH1250" i="2"/>
  <c r="AI1250" i="2"/>
  <c r="AJ1250" i="2"/>
  <c r="AK1250" i="2"/>
  <c r="Z1251" i="2"/>
  <c r="AA1251" i="2"/>
  <c r="AB1251" i="2"/>
  <c r="AC1251" i="2"/>
  <c r="AD1251" i="2"/>
  <c r="AE1251" i="2"/>
  <c r="AF1251" i="2"/>
  <c r="AG1251" i="2"/>
  <c r="AH1251" i="2"/>
  <c r="AI1251" i="2"/>
  <c r="AJ1251" i="2"/>
  <c r="AK1251" i="2"/>
  <c r="Z1252" i="2"/>
  <c r="AA1252" i="2"/>
  <c r="AB1252" i="2"/>
  <c r="AC1252" i="2"/>
  <c r="AD1252" i="2"/>
  <c r="AE1252" i="2"/>
  <c r="AF1252" i="2"/>
  <c r="AG1252" i="2"/>
  <c r="AH1252" i="2"/>
  <c r="AI1252" i="2"/>
  <c r="AJ1252" i="2"/>
  <c r="AK1252" i="2"/>
  <c r="Z1253" i="2"/>
  <c r="AA1253" i="2"/>
  <c r="AB1253" i="2"/>
  <c r="AC1253" i="2"/>
  <c r="AD1253" i="2"/>
  <c r="AE1253" i="2"/>
  <c r="AF1253" i="2"/>
  <c r="AG1253" i="2"/>
  <c r="AH1253" i="2"/>
  <c r="AI1253" i="2"/>
  <c r="AJ1253" i="2"/>
  <c r="AK1253" i="2"/>
  <c r="Z1254" i="2"/>
  <c r="AA1254" i="2"/>
  <c r="AB1254" i="2"/>
  <c r="AC1254" i="2"/>
  <c r="AD1254" i="2"/>
  <c r="AE1254" i="2"/>
  <c r="AF1254" i="2"/>
  <c r="AG1254" i="2"/>
  <c r="AH1254" i="2"/>
  <c r="AI1254" i="2"/>
  <c r="AJ1254" i="2"/>
  <c r="AK1254" i="2"/>
  <c r="Z1255" i="2"/>
  <c r="AA1255" i="2"/>
  <c r="AB1255" i="2"/>
  <c r="AC1255" i="2"/>
  <c r="AD1255" i="2"/>
  <c r="AE1255" i="2"/>
  <c r="AF1255" i="2"/>
  <c r="AG1255" i="2"/>
  <c r="AH1255" i="2"/>
  <c r="AI1255" i="2"/>
  <c r="AJ1255" i="2"/>
  <c r="AK1255" i="2"/>
  <c r="Z1256" i="2"/>
  <c r="AA1256" i="2"/>
  <c r="AB1256" i="2"/>
  <c r="AC1256" i="2"/>
  <c r="AD1256" i="2"/>
  <c r="AE1256" i="2"/>
  <c r="AF1256" i="2"/>
  <c r="AG1256" i="2"/>
  <c r="AH1256" i="2"/>
  <c r="AI1256" i="2"/>
  <c r="AJ1256" i="2"/>
  <c r="AK1256" i="2"/>
  <c r="Z1257" i="2"/>
  <c r="AA1257" i="2"/>
  <c r="AB1257" i="2"/>
  <c r="AC1257" i="2"/>
  <c r="AD1257" i="2"/>
  <c r="AE1257" i="2"/>
  <c r="AF1257" i="2"/>
  <c r="AG1257" i="2"/>
  <c r="AH1257" i="2"/>
  <c r="AI1257" i="2"/>
  <c r="AJ1257" i="2"/>
  <c r="AK1257" i="2"/>
  <c r="Z1258" i="2"/>
  <c r="AA1258" i="2"/>
  <c r="AB1258" i="2"/>
  <c r="AC1258" i="2"/>
  <c r="AD1258" i="2"/>
  <c r="AE1258" i="2"/>
  <c r="AF1258" i="2"/>
  <c r="AG1258" i="2"/>
  <c r="AH1258" i="2"/>
  <c r="AI1258" i="2"/>
  <c r="AJ1258" i="2"/>
  <c r="AK1258" i="2"/>
  <c r="Z1259" i="2"/>
  <c r="AA1259" i="2"/>
  <c r="AB1259" i="2"/>
  <c r="AC1259" i="2"/>
  <c r="AD1259" i="2"/>
  <c r="AE1259" i="2"/>
  <c r="AF1259" i="2"/>
  <c r="AG1259" i="2"/>
  <c r="AH1259" i="2"/>
  <c r="AI1259" i="2"/>
  <c r="AJ1259" i="2"/>
  <c r="AK1259" i="2"/>
  <c r="Z1260" i="2"/>
  <c r="AA1260" i="2"/>
  <c r="AB1260" i="2"/>
  <c r="AC1260" i="2"/>
  <c r="AD1260" i="2"/>
  <c r="AE1260" i="2"/>
  <c r="AF1260" i="2"/>
  <c r="AG1260" i="2"/>
  <c r="AH1260" i="2"/>
  <c r="AI1260" i="2"/>
  <c r="AJ1260" i="2"/>
  <c r="AK1260" i="2"/>
  <c r="Z1261" i="2"/>
  <c r="AA1261" i="2"/>
  <c r="AB1261" i="2"/>
  <c r="AC1261" i="2"/>
  <c r="AD1261" i="2"/>
  <c r="AE1261" i="2"/>
  <c r="AF1261" i="2"/>
  <c r="AG1261" i="2"/>
  <c r="AH1261" i="2"/>
  <c r="AI1261" i="2"/>
  <c r="AJ1261" i="2"/>
  <c r="AK1261" i="2"/>
  <c r="Z1262" i="2"/>
  <c r="AA1262" i="2"/>
  <c r="AB1262" i="2"/>
  <c r="AC1262" i="2"/>
  <c r="AD1262" i="2"/>
  <c r="AE1262" i="2"/>
  <c r="AF1262" i="2"/>
  <c r="AG1262" i="2"/>
  <c r="AH1262" i="2"/>
  <c r="AI1262" i="2"/>
  <c r="AJ1262" i="2"/>
  <c r="AK1262" i="2"/>
  <c r="Z1263" i="2"/>
  <c r="AA1263" i="2"/>
  <c r="AB1263" i="2"/>
  <c r="AC1263" i="2"/>
  <c r="AD1263" i="2"/>
  <c r="AE1263" i="2"/>
  <c r="AF1263" i="2"/>
  <c r="AG1263" i="2"/>
  <c r="AH1263" i="2"/>
  <c r="AI1263" i="2"/>
  <c r="AJ1263" i="2"/>
  <c r="AK1263" i="2"/>
  <c r="Z1264" i="2"/>
  <c r="AA1264" i="2"/>
  <c r="AB1264" i="2"/>
  <c r="AC1264" i="2"/>
  <c r="AD1264" i="2"/>
  <c r="AE1264" i="2"/>
  <c r="AF1264" i="2"/>
  <c r="AG1264" i="2"/>
  <c r="AH1264" i="2"/>
  <c r="AI1264" i="2"/>
  <c r="AJ1264" i="2"/>
  <c r="AK1264" i="2"/>
  <c r="Z1265" i="2"/>
  <c r="AA1265" i="2"/>
  <c r="AB1265" i="2"/>
  <c r="AC1265" i="2"/>
  <c r="AD1265" i="2"/>
  <c r="AE1265" i="2"/>
  <c r="AF1265" i="2"/>
  <c r="AG1265" i="2"/>
  <c r="AH1265" i="2"/>
  <c r="AI1265" i="2"/>
  <c r="AJ1265" i="2"/>
  <c r="AK1265" i="2"/>
  <c r="Z1266" i="2"/>
  <c r="AA1266" i="2"/>
  <c r="AB1266" i="2"/>
  <c r="AC1266" i="2"/>
  <c r="AD1266" i="2"/>
  <c r="AE1266" i="2"/>
  <c r="AF1266" i="2"/>
  <c r="AG1266" i="2"/>
  <c r="AH1266" i="2"/>
  <c r="AI1266" i="2"/>
  <c r="AJ1266" i="2"/>
  <c r="AK1266" i="2"/>
  <c r="Z1267" i="2"/>
  <c r="AA1267" i="2"/>
  <c r="AB1267" i="2"/>
  <c r="AC1267" i="2"/>
  <c r="AD1267" i="2"/>
  <c r="AE1267" i="2"/>
  <c r="AF1267" i="2"/>
  <c r="AG1267" i="2"/>
  <c r="AH1267" i="2"/>
  <c r="AI1267" i="2"/>
  <c r="AJ1267" i="2"/>
  <c r="AK1267" i="2"/>
  <c r="Z1268" i="2"/>
  <c r="AA1268" i="2"/>
  <c r="AB1268" i="2"/>
  <c r="AC1268" i="2"/>
  <c r="AD1268" i="2"/>
  <c r="AE1268" i="2"/>
  <c r="AF1268" i="2"/>
  <c r="AG1268" i="2"/>
  <c r="AH1268" i="2"/>
  <c r="AI1268" i="2"/>
  <c r="AJ1268" i="2"/>
  <c r="AK1268" i="2"/>
  <c r="Z1269" i="2"/>
  <c r="AA1269" i="2"/>
  <c r="AB1269" i="2"/>
  <c r="AC1269" i="2"/>
  <c r="AD1269" i="2"/>
  <c r="AE1269" i="2"/>
  <c r="AF1269" i="2"/>
  <c r="AG1269" i="2"/>
  <c r="AH1269" i="2"/>
  <c r="AI1269" i="2"/>
  <c r="AJ1269" i="2"/>
  <c r="AK1269" i="2"/>
  <c r="Z1270" i="2"/>
  <c r="AA1270" i="2"/>
  <c r="AB1270" i="2"/>
  <c r="AC1270" i="2"/>
  <c r="AD1270" i="2"/>
  <c r="AE1270" i="2"/>
  <c r="AF1270" i="2"/>
  <c r="AG1270" i="2"/>
  <c r="AH1270" i="2"/>
  <c r="AI1270" i="2"/>
  <c r="AJ1270" i="2"/>
  <c r="AK1270" i="2"/>
  <c r="Z1271" i="2"/>
  <c r="AA1271" i="2"/>
  <c r="AB1271" i="2"/>
  <c r="AC1271" i="2"/>
  <c r="AD1271" i="2"/>
  <c r="AE1271" i="2"/>
  <c r="AF1271" i="2"/>
  <c r="AG1271" i="2"/>
  <c r="AH1271" i="2"/>
  <c r="AI1271" i="2"/>
  <c r="AJ1271" i="2"/>
  <c r="AK1271" i="2"/>
  <c r="Z1272" i="2"/>
  <c r="AA1272" i="2"/>
  <c r="AB1272" i="2"/>
  <c r="AC1272" i="2"/>
  <c r="AD1272" i="2"/>
  <c r="AE1272" i="2"/>
  <c r="AF1272" i="2"/>
  <c r="AG1272" i="2"/>
  <c r="AH1272" i="2"/>
  <c r="AI1272" i="2"/>
  <c r="AJ1272" i="2"/>
  <c r="AK1272" i="2"/>
  <c r="Z1273" i="2"/>
  <c r="AA1273" i="2"/>
  <c r="AB1273" i="2"/>
  <c r="AC1273" i="2"/>
  <c r="AD1273" i="2"/>
  <c r="AE1273" i="2"/>
  <c r="AF1273" i="2"/>
  <c r="AG1273" i="2"/>
  <c r="AH1273" i="2"/>
  <c r="AI1273" i="2"/>
  <c r="AJ1273" i="2"/>
  <c r="AK1273" i="2"/>
  <c r="Z1274" i="2"/>
  <c r="AA1274" i="2"/>
  <c r="AB1274" i="2"/>
  <c r="AC1274" i="2"/>
  <c r="AD1274" i="2"/>
  <c r="AE1274" i="2"/>
  <c r="AF1274" i="2"/>
  <c r="AG1274" i="2"/>
  <c r="AH1274" i="2"/>
  <c r="AI1274" i="2"/>
  <c r="AJ1274" i="2"/>
  <c r="AK1274" i="2"/>
  <c r="Z1275" i="2"/>
  <c r="AA1275" i="2"/>
  <c r="AB1275" i="2"/>
  <c r="AC1275" i="2"/>
  <c r="AD1275" i="2"/>
  <c r="AE1275" i="2"/>
  <c r="AF1275" i="2"/>
  <c r="AG1275" i="2"/>
  <c r="AH1275" i="2"/>
  <c r="AI1275" i="2"/>
  <c r="AJ1275" i="2"/>
  <c r="AK1275" i="2"/>
  <c r="Z1276" i="2"/>
  <c r="AA1276" i="2"/>
  <c r="AB1276" i="2"/>
  <c r="AC1276" i="2"/>
  <c r="AD1276" i="2"/>
  <c r="AE1276" i="2"/>
  <c r="AF1276" i="2"/>
  <c r="AG1276" i="2"/>
  <c r="AH1276" i="2"/>
  <c r="AI1276" i="2"/>
  <c r="AJ1276" i="2"/>
  <c r="AK1276" i="2"/>
  <c r="Z1277" i="2"/>
  <c r="AA1277" i="2"/>
  <c r="AB1277" i="2"/>
  <c r="AC1277" i="2"/>
  <c r="AD1277" i="2"/>
  <c r="AE1277" i="2"/>
  <c r="AF1277" i="2"/>
  <c r="AG1277" i="2"/>
  <c r="AH1277" i="2"/>
  <c r="AI1277" i="2"/>
  <c r="AJ1277" i="2"/>
  <c r="AK1277" i="2"/>
  <c r="Z1278" i="2"/>
  <c r="AA1278" i="2"/>
  <c r="AB1278" i="2"/>
  <c r="AC1278" i="2"/>
  <c r="AD1278" i="2"/>
  <c r="AE1278" i="2"/>
  <c r="AF1278" i="2"/>
  <c r="AG1278" i="2"/>
  <c r="AH1278" i="2"/>
  <c r="AI1278" i="2"/>
  <c r="AJ1278" i="2"/>
  <c r="AK1278" i="2"/>
  <c r="Z1279" i="2"/>
  <c r="AA1279" i="2"/>
  <c r="AB1279" i="2"/>
  <c r="AC1279" i="2"/>
  <c r="AD1279" i="2"/>
  <c r="AE1279" i="2"/>
  <c r="AF1279" i="2"/>
  <c r="AG1279" i="2"/>
  <c r="AH1279" i="2"/>
  <c r="AI1279" i="2"/>
  <c r="AJ1279" i="2"/>
  <c r="AK1279" i="2"/>
  <c r="Z1280" i="2"/>
  <c r="AA1280" i="2"/>
  <c r="AB1280" i="2"/>
  <c r="AC1280" i="2"/>
  <c r="AD1280" i="2"/>
  <c r="AE1280" i="2"/>
  <c r="AF1280" i="2"/>
  <c r="AG1280" i="2"/>
  <c r="AH1280" i="2"/>
  <c r="AI1280" i="2"/>
  <c r="AJ1280" i="2"/>
  <c r="AK1280" i="2"/>
  <c r="Z1281" i="2"/>
  <c r="AA1281" i="2"/>
  <c r="AB1281" i="2"/>
  <c r="AC1281" i="2"/>
  <c r="AD1281" i="2"/>
  <c r="AE1281" i="2"/>
  <c r="AF1281" i="2"/>
  <c r="AG1281" i="2"/>
  <c r="AH1281" i="2"/>
  <c r="AI1281" i="2"/>
  <c r="AJ1281" i="2"/>
  <c r="AK1281" i="2"/>
  <c r="Z1282" i="2"/>
  <c r="AA1282" i="2"/>
  <c r="AB1282" i="2"/>
  <c r="AC1282" i="2"/>
  <c r="AD1282" i="2"/>
  <c r="AE1282" i="2"/>
  <c r="AF1282" i="2"/>
  <c r="AG1282" i="2"/>
  <c r="AH1282" i="2"/>
  <c r="AI1282" i="2"/>
  <c r="AJ1282" i="2"/>
  <c r="AK1282" i="2"/>
  <c r="Z1283" i="2"/>
  <c r="AA1283" i="2"/>
  <c r="AB1283" i="2"/>
  <c r="AC1283" i="2"/>
  <c r="AD1283" i="2"/>
  <c r="AE1283" i="2"/>
  <c r="AF1283" i="2"/>
  <c r="AG1283" i="2"/>
  <c r="AH1283" i="2"/>
  <c r="AI1283" i="2"/>
  <c r="AJ1283" i="2"/>
  <c r="AK1283" i="2"/>
  <c r="Z1284" i="2"/>
  <c r="AA1284" i="2"/>
  <c r="AB1284" i="2"/>
  <c r="AC1284" i="2"/>
  <c r="AD1284" i="2"/>
  <c r="AE1284" i="2"/>
  <c r="AF1284" i="2"/>
  <c r="AG1284" i="2"/>
  <c r="AH1284" i="2"/>
  <c r="AI1284" i="2"/>
  <c r="AJ1284" i="2"/>
  <c r="AK1284" i="2"/>
  <c r="Z1285" i="2"/>
  <c r="AA1285" i="2"/>
  <c r="AB1285" i="2"/>
  <c r="AC1285" i="2"/>
  <c r="AD1285" i="2"/>
  <c r="AE1285" i="2"/>
  <c r="AF1285" i="2"/>
  <c r="AG1285" i="2"/>
  <c r="AH1285" i="2"/>
  <c r="AI1285" i="2"/>
  <c r="AJ1285" i="2"/>
  <c r="AK1285" i="2"/>
  <c r="Z1286" i="2"/>
  <c r="AA1286" i="2"/>
  <c r="AB1286" i="2"/>
  <c r="AC1286" i="2"/>
  <c r="AD1286" i="2"/>
  <c r="AE1286" i="2"/>
  <c r="AF1286" i="2"/>
  <c r="AG1286" i="2"/>
  <c r="AH1286" i="2"/>
  <c r="AI1286" i="2"/>
  <c r="AJ1286" i="2"/>
  <c r="AK1286" i="2"/>
  <c r="Z1287" i="2"/>
  <c r="AA1287" i="2"/>
  <c r="AB1287" i="2"/>
  <c r="AC1287" i="2"/>
  <c r="AD1287" i="2"/>
  <c r="AE1287" i="2"/>
  <c r="AF1287" i="2"/>
  <c r="AG1287" i="2"/>
  <c r="AH1287" i="2"/>
  <c r="AI1287" i="2"/>
  <c r="AJ1287" i="2"/>
  <c r="AK1287" i="2"/>
  <c r="Z1288" i="2"/>
  <c r="AA1288" i="2"/>
  <c r="AB1288" i="2"/>
  <c r="AC1288" i="2"/>
  <c r="AD1288" i="2"/>
  <c r="AE1288" i="2"/>
  <c r="AF1288" i="2"/>
  <c r="AG1288" i="2"/>
  <c r="AH1288" i="2"/>
  <c r="AI1288" i="2"/>
  <c r="AJ1288" i="2"/>
  <c r="AK1288" i="2"/>
  <c r="Z1289" i="2"/>
  <c r="AA1289" i="2"/>
  <c r="AB1289" i="2"/>
  <c r="AC1289" i="2"/>
  <c r="AD1289" i="2"/>
  <c r="AE1289" i="2"/>
  <c r="AF1289" i="2"/>
  <c r="AG1289" i="2"/>
  <c r="AH1289" i="2"/>
  <c r="AI1289" i="2"/>
  <c r="AJ1289" i="2"/>
  <c r="AK1289" i="2"/>
  <c r="Z1290" i="2"/>
  <c r="AA1290" i="2"/>
  <c r="AB1290" i="2"/>
  <c r="AC1290" i="2"/>
  <c r="AD1290" i="2"/>
  <c r="AE1290" i="2"/>
  <c r="AF1290" i="2"/>
  <c r="AG1290" i="2"/>
  <c r="AH1290" i="2"/>
  <c r="AI1290" i="2"/>
  <c r="AJ1290" i="2"/>
  <c r="AK1290" i="2"/>
  <c r="Z1291" i="2"/>
  <c r="AA1291" i="2"/>
  <c r="AB1291" i="2"/>
  <c r="AC1291" i="2"/>
  <c r="AD1291" i="2"/>
  <c r="AE1291" i="2"/>
  <c r="AF1291" i="2"/>
  <c r="AG1291" i="2"/>
  <c r="AH1291" i="2"/>
  <c r="AI1291" i="2"/>
  <c r="AJ1291" i="2"/>
  <c r="AK1291" i="2"/>
  <c r="Z1292" i="2"/>
  <c r="AA1292" i="2"/>
  <c r="AB1292" i="2"/>
  <c r="AC1292" i="2"/>
  <c r="AD1292" i="2"/>
  <c r="AE1292" i="2"/>
  <c r="AF1292" i="2"/>
  <c r="AG1292" i="2"/>
  <c r="AH1292" i="2"/>
  <c r="AI1292" i="2"/>
  <c r="AJ1292" i="2"/>
  <c r="AK1292" i="2"/>
  <c r="Z1293" i="2"/>
  <c r="AA1293" i="2"/>
  <c r="AB1293" i="2"/>
  <c r="AC1293" i="2"/>
  <c r="AD1293" i="2"/>
  <c r="AE1293" i="2"/>
  <c r="AF1293" i="2"/>
  <c r="AG1293" i="2"/>
  <c r="AH1293" i="2"/>
  <c r="AI1293" i="2"/>
  <c r="AJ1293" i="2"/>
  <c r="AK1293" i="2"/>
  <c r="Z1294" i="2"/>
  <c r="AA1294" i="2"/>
  <c r="AB1294" i="2"/>
  <c r="AC1294" i="2"/>
  <c r="AD1294" i="2"/>
  <c r="AE1294" i="2"/>
  <c r="AF1294" i="2"/>
  <c r="AG1294" i="2"/>
  <c r="AH1294" i="2"/>
  <c r="AI1294" i="2"/>
  <c r="AJ1294" i="2"/>
  <c r="AK1294" i="2"/>
  <c r="Z1295" i="2"/>
  <c r="AA1295" i="2"/>
  <c r="AB1295" i="2"/>
  <c r="AC1295" i="2"/>
  <c r="AD1295" i="2"/>
  <c r="AE1295" i="2"/>
  <c r="AF1295" i="2"/>
  <c r="AG1295" i="2"/>
  <c r="AH1295" i="2"/>
  <c r="AI1295" i="2"/>
  <c r="AJ1295" i="2"/>
  <c r="AK1295" i="2"/>
  <c r="Z1296" i="2"/>
  <c r="AA1296" i="2"/>
  <c r="AB1296" i="2"/>
  <c r="AC1296" i="2"/>
  <c r="AD1296" i="2"/>
  <c r="AE1296" i="2"/>
  <c r="AF1296" i="2"/>
  <c r="AG1296" i="2"/>
  <c r="AH1296" i="2"/>
  <c r="AI1296" i="2"/>
  <c r="AJ1296" i="2"/>
  <c r="AK1296" i="2"/>
  <c r="Z1297" i="2"/>
  <c r="AA1297" i="2"/>
  <c r="AB1297" i="2"/>
  <c r="AC1297" i="2"/>
  <c r="AD1297" i="2"/>
  <c r="AE1297" i="2"/>
  <c r="AF1297" i="2"/>
  <c r="AG1297" i="2"/>
  <c r="AH1297" i="2"/>
  <c r="AI1297" i="2"/>
  <c r="AJ1297" i="2"/>
  <c r="AK1297" i="2"/>
  <c r="Z1298" i="2"/>
  <c r="AA1298" i="2"/>
  <c r="AB1298" i="2"/>
  <c r="AC1298" i="2"/>
  <c r="AD1298" i="2"/>
  <c r="AE1298" i="2"/>
  <c r="AF1298" i="2"/>
  <c r="AG1298" i="2"/>
  <c r="AH1298" i="2"/>
  <c r="AI1298" i="2"/>
  <c r="AJ1298" i="2"/>
  <c r="AK1298" i="2"/>
  <c r="Z1299" i="2"/>
  <c r="AA1299" i="2"/>
  <c r="AB1299" i="2"/>
  <c r="AC1299" i="2"/>
  <c r="AD1299" i="2"/>
  <c r="AE1299" i="2"/>
  <c r="AF1299" i="2"/>
  <c r="AG1299" i="2"/>
  <c r="AH1299" i="2"/>
  <c r="AI1299" i="2"/>
  <c r="AJ1299" i="2"/>
  <c r="AK1299" i="2"/>
  <c r="Z1300" i="2"/>
  <c r="AA1300" i="2"/>
  <c r="AB1300" i="2"/>
  <c r="AC1300" i="2"/>
  <c r="AD1300" i="2"/>
  <c r="AE1300" i="2"/>
  <c r="AF1300" i="2"/>
  <c r="AG1300" i="2"/>
  <c r="AH1300" i="2"/>
  <c r="AI1300" i="2"/>
  <c r="AJ1300" i="2"/>
  <c r="AK1300" i="2"/>
  <c r="Z1301" i="2"/>
  <c r="AA1301" i="2"/>
  <c r="AB1301" i="2"/>
  <c r="AC1301" i="2"/>
  <c r="AD1301" i="2"/>
  <c r="AE1301" i="2"/>
  <c r="AF1301" i="2"/>
  <c r="AG1301" i="2"/>
  <c r="AH1301" i="2"/>
  <c r="AI1301" i="2"/>
  <c r="AJ1301" i="2"/>
  <c r="AK1301" i="2"/>
  <c r="Z1302" i="2"/>
  <c r="AA1302" i="2"/>
  <c r="AB1302" i="2"/>
  <c r="AC1302" i="2"/>
  <c r="AD1302" i="2"/>
  <c r="AE1302" i="2"/>
  <c r="AF1302" i="2"/>
  <c r="AG1302" i="2"/>
  <c r="AH1302" i="2"/>
  <c r="AI1302" i="2"/>
  <c r="AJ1302" i="2"/>
  <c r="AK1302" i="2"/>
  <c r="Z1303" i="2"/>
  <c r="AA1303" i="2"/>
  <c r="AB1303" i="2"/>
  <c r="AC1303" i="2"/>
  <c r="AD1303" i="2"/>
  <c r="AE1303" i="2"/>
  <c r="AF1303" i="2"/>
  <c r="AG1303" i="2"/>
  <c r="AH1303" i="2"/>
  <c r="AI1303" i="2"/>
  <c r="AJ1303" i="2"/>
  <c r="AK1303" i="2"/>
  <c r="Z1304" i="2"/>
  <c r="AA1304" i="2"/>
  <c r="AB1304" i="2"/>
  <c r="AC1304" i="2"/>
  <c r="AD1304" i="2"/>
  <c r="AE1304" i="2"/>
  <c r="AF1304" i="2"/>
  <c r="AG1304" i="2"/>
  <c r="AH1304" i="2"/>
  <c r="AI1304" i="2"/>
  <c r="AJ1304" i="2"/>
  <c r="AK1304" i="2"/>
  <c r="Z1305" i="2"/>
  <c r="AA1305" i="2"/>
  <c r="AB1305" i="2"/>
  <c r="AC1305" i="2"/>
  <c r="AD1305" i="2"/>
  <c r="AE1305" i="2"/>
  <c r="AF1305" i="2"/>
  <c r="AG1305" i="2"/>
  <c r="AH1305" i="2"/>
  <c r="AI1305" i="2"/>
  <c r="AJ1305" i="2"/>
  <c r="AK1305" i="2"/>
  <c r="Z1306" i="2"/>
  <c r="AA1306" i="2"/>
  <c r="AB1306" i="2"/>
  <c r="AC1306" i="2"/>
  <c r="AD1306" i="2"/>
  <c r="AE1306" i="2"/>
  <c r="AF1306" i="2"/>
  <c r="AG1306" i="2"/>
  <c r="AH1306" i="2"/>
  <c r="AI1306" i="2"/>
  <c r="AJ1306" i="2"/>
  <c r="AK1306" i="2"/>
  <c r="Z1307" i="2"/>
  <c r="AA1307" i="2"/>
  <c r="AB1307" i="2"/>
  <c r="AC1307" i="2"/>
  <c r="AD1307" i="2"/>
  <c r="AE1307" i="2"/>
  <c r="AF1307" i="2"/>
  <c r="AG1307" i="2"/>
  <c r="AH1307" i="2"/>
  <c r="AI1307" i="2"/>
  <c r="AJ1307" i="2"/>
  <c r="AK1307" i="2"/>
  <c r="Z1308" i="2"/>
  <c r="AA1308" i="2"/>
  <c r="AB1308" i="2"/>
  <c r="AC1308" i="2"/>
  <c r="AD1308" i="2"/>
  <c r="AE1308" i="2"/>
  <c r="AF1308" i="2"/>
  <c r="AG1308" i="2"/>
  <c r="AH1308" i="2"/>
  <c r="AI1308" i="2"/>
  <c r="AJ1308" i="2"/>
  <c r="AK1308" i="2"/>
  <c r="Z1309" i="2"/>
  <c r="AA1309" i="2"/>
  <c r="AB1309" i="2"/>
  <c r="AC1309" i="2"/>
  <c r="AD1309" i="2"/>
  <c r="AE1309" i="2"/>
  <c r="AF1309" i="2"/>
  <c r="AG1309" i="2"/>
  <c r="AH1309" i="2"/>
  <c r="AI1309" i="2"/>
  <c r="AJ1309" i="2"/>
  <c r="AK1309" i="2"/>
  <c r="Z1310" i="2"/>
  <c r="AA1310" i="2"/>
  <c r="AB1310" i="2"/>
  <c r="AC1310" i="2"/>
  <c r="AD1310" i="2"/>
  <c r="AE1310" i="2"/>
  <c r="AF1310" i="2"/>
  <c r="AG1310" i="2"/>
  <c r="AH1310" i="2"/>
  <c r="AI1310" i="2"/>
  <c r="AJ1310" i="2"/>
  <c r="AK1310" i="2"/>
  <c r="Z1311" i="2"/>
  <c r="AA1311" i="2"/>
  <c r="AB1311" i="2"/>
  <c r="AC1311" i="2"/>
  <c r="AD1311" i="2"/>
  <c r="AE1311" i="2"/>
  <c r="AF1311" i="2"/>
  <c r="AG1311" i="2"/>
  <c r="AH1311" i="2"/>
  <c r="AI1311" i="2"/>
  <c r="AJ1311" i="2"/>
  <c r="AK1311" i="2"/>
  <c r="Z1312" i="2"/>
  <c r="AA1312" i="2"/>
  <c r="AB1312" i="2"/>
  <c r="AC1312" i="2"/>
  <c r="AD1312" i="2"/>
  <c r="AE1312" i="2"/>
  <c r="AF1312" i="2"/>
  <c r="AG1312" i="2"/>
  <c r="AH1312" i="2"/>
  <c r="AI1312" i="2"/>
  <c r="AJ1312" i="2"/>
  <c r="AK1312" i="2"/>
  <c r="Z1313" i="2"/>
  <c r="AA1313" i="2"/>
  <c r="AB1313" i="2"/>
  <c r="AC1313" i="2"/>
  <c r="AD1313" i="2"/>
  <c r="AE1313" i="2"/>
  <c r="AF1313" i="2"/>
  <c r="AG1313" i="2"/>
  <c r="AH1313" i="2"/>
  <c r="AI1313" i="2"/>
  <c r="AJ1313" i="2"/>
  <c r="AK1313" i="2"/>
  <c r="Z1314" i="2"/>
  <c r="AA1314" i="2"/>
  <c r="AB1314" i="2"/>
  <c r="AC1314" i="2"/>
  <c r="AD1314" i="2"/>
  <c r="AE1314" i="2"/>
  <c r="AF1314" i="2"/>
  <c r="AG1314" i="2"/>
  <c r="AH1314" i="2"/>
  <c r="AI1314" i="2"/>
  <c r="AJ1314" i="2"/>
  <c r="AK1314" i="2"/>
  <c r="Z1315" i="2"/>
  <c r="AA1315" i="2"/>
  <c r="AB1315" i="2"/>
  <c r="AC1315" i="2"/>
  <c r="AD1315" i="2"/>
  <c r="AE1315" i="2"/>
  <c r="AF1315" i="2"/>
  <c r="AG1315" i="2"/>
  <c r="AH1315" i="2"/>
  <c r="AI1315" i="2"/>
  <c r="AJ1315" i="2"/>
  <c r="AK1315" i="2"/>
  <c r="Z1316" i="2"/>
  <c r="AA1316" i="2"/>
  <c r="AB1316" i="2"/>
  <c r="AC1316" i="2"/>
  <c r="AD1316" i="2"/>
  <c r="AE1316" i="2"/>
  <c r="AF1316" i="2"/>
  <c r="AG1316" i="2"/>
  <c r="AH1316" i="2"/>
  <c r="AI1316" i="2"/>
  <c r="AJ1316" i="2"/>
  <c r="AK1316" i="2"/>
  <c r="Z1317" i="2"/>
  <c r="AA1317" i="2"/>
  <c r="AB1317" i="2"/>
  <c r="AC1317" i="2"/>
  <c r="AD1317" i="2"/>
  <c r="AE1317" i="2"/>
  <c r="AF1317" i="2"/>
  <c r="AG1317" i="2"/>
  <c r="AH1317" i="2"/>
  <c r="AI1317" i="2"/>
  <c r="AJ1317" i="2"/>
  <c r="AK1317" i="2"/>
  <c r="Z1318" i="2"/>
  <c r="AA1318" i="2"/>
  <c r="AB1318" i="2"/>
  <c r="AC1318" i="2"/>
  <c r="AD1318" i="2"/>
  <c r="AE1318" i="2"/>
  <c r="AF1318" i="2"/>
  <c r="AG1318" i="2"/>
  <c r="AH1318" i="2"/>
  <c r="AI1318" i="2"/>
  <c r="AJ1318" i="2"/>
  <c r="AK1318" i="2"/>
  <c r="Z1319" i="2"/>
  <c r="AA1319" i="2"/>
  <c r="AB1319" i="2"/>
  <c r="AC1319" i="2"/>
  <c r="AD1319" i="2"/>
  <c r="AE1319" i="2"/>
  <c r="AF1319" i="2"/>
  <c r="AG1319" i="2"/>
  <c r="AH1319" i="2"/>
  <c r="AI1319" i="2"/>
  <c r="AJ1319" i="2"/>
  <c r="AK1319" i="2"/>
  <c r="Z1320" i="2"/>
  <c r="AA1320" i="2"/>
  <c r="AB1320" i="2"/>
  <c r="AC1320" i="2"/>
  <c r="AD1320" i="2"/>
  <c r="AE1320" i="2"/>
  <c r="AF1320" i="2"/>
  <c r="AG1320" i="2"/>
  <c r="AH1320" i="2"/>
  <c r="AI1320" i="2"/>
  <c r="AJ1320" i="2"/>
  <c r="AK1320" i="2"/>
  <c r="Z1321" i="2"/>
  <c r="AA1321" i="2"/>
  <c r="AB1321" i="2"/>
  <c r="AC1321" i="2"/>
  <c r="AD1321" i="2"/>
  <c r="AE1321" i="2"/>
  <c r="AF1321" i="2"/>
  <c r="AG1321" i="2"/>
  <c r="AH1321" i="2"/>
  <c r="AI1321" i="2"/>
  <c r="AJ1321" i="2"/>
  <c r="AK1321" i="2"/>
  <c r="Z1322" i="2"/>
  <c r="AA1322" i="2"/>
  <c r="AB1322" i="2"/>
  <c r="AC1322" i="2"/>
  <c r="AD1322" i="2"/>
  <c r="AE1322" i="2"/>
  <c r="AF1322" i="2"/>
  <c r="AG1322" i="2"/>
  <c r="AH1322" i="2"/>
  <c r="AI1322" i="2"/>
  <c r="AJ1322" i="2"/>
  <c r="AK1322" i="2"/>
  <c r="Z1323" i="2"/>
  <c r="AA1323" i="2"/>
  <c r="AB1323" i="2"/>
  <c r="AC1323" i="2"/>
  <c r="AD1323" i="2"/>
  <c r="AE1323" i="2"/>
  <c r="AF1323" i="2"/>
  <c r="AG1323" i="2"/>
  <c r="AH1323" i="2"/>
  <c r="AI1323" i="2"/>
  <c r="AJ1323" i="2"/>
  <c r="AK1323" i="2"/>
  <c r="Z1324" i="2"/>
  <c r="AA1324" i="2"/>
  <c r="AB1324" i="2"/>
  <c r="AC1324" i="2"/>
  <c r="AD1324" i="2"/>
  <c r="AE1324" i="2"/>
  <c r="AF1324" i="2"/>
  <c r="AG1324" i="2"/>
  <c r="AH1324" i="2"/>
  <c r="AI1324" i="2"/>
  <c r="AJ1324" i="2"/>
  <c r="AK1324" i="2"/>
  <c r="Z1325" i="2"/>
  <c r="AA1325" i="2"/>
  <c r="AB1325" i="2"/>
  <c r="AC1325" i="2"/>
  <c r="AD1325" i="2"/>
  <c r="AE1325" i="2"/>
  <c r="AF1325" i="2"/>
  <c r="AG1325" i="2"/>
  <c r="AH1325" i="2"/>
  <c r="AI1325" i="2"/>
  <c r="AJ1325" i="2"/>
  <c r="AK1325" i="2"/>
  <c r="Z1326" i="2"/>
  <c r="AA1326" i="2"/>
  <c r="AB1326" i="2"/>
  <c r="AC1326" i="2"/>
  <c r="AD1326" i="2"/>
  <c r="AE1326" i="2"/>
  <c r="AF1326" i="2"/>
  <c r="AG1326" i="2"/>
  <c r="AH1326" i="2"/>
  <c r="AI1326" i="2"/>
  <c r="AJ1326" i="2"/>
  <c r="AK1326" i="2"/>
  <c r="Z1327" i="2"/>
  <c r="AA1327" i="2"/>
  <c r="AB1327" i="2"/>
  <c r="AC1327" i="2"/>
  <c r="AD1327" i="2"/>
  <c r="AE1327" i="2"/>
  <c r="AF1327" i="2"/>
  <c r="AG1327" i="2"/>
  <c r="AH1327" i="2"/>
  <c r="AI1327" i="2"/>
  <c r="AJ1327" i="2"/>
  <c r="AK1327" i="2"/>
  <c r="Z1328" i="2"/>
  <c r="AA1328" i="2"/>
  <c r="AB1328" i="2"/>
  <c r="AC1328" i="2"/>
  <c r="AD1328" i="2"/>
  <c r="AE1328" i="2"/>
  <c r="AF1328" i="2"/>
  <c r="AG1328" i="2"/>
  <c r="AH1328" i="2"/>
  <c r="AI1328" i="2"/>
  <c r="AJ1328" i="2"/>
  <c r="AK1328" i="2"/>
  <c r="Z1329" i="2"/>
  <c r="AA1329" i="2"/>
  <c r="AB1329" i="2"/>
  <c r="AC1329" i="2"/>
  <c r="AD1329" i="2"/>
  <c r="AE1329" i="2"/>
  <c r="AF1329" i="2"/>
  <c r="AG1329" i="2"/>
  <c r="AH1329" i="2"/>
  <c r="AI1329" i="2"/>
  <c r="AJ1329" i="2"/>
  <c r="AK1329" i="2"/>
  <c r="Z1330" i="2"/>
  <c r="AA1330" i="2"/>
  <c r="AB1330" i="2"/>
  <c r="AC1330" i="2"/>
  <c r="AD1330" i="2"/>
  <c r="AE1330" i="2"/>
  <c r="AF1330" i="2"/>
  <c r="AG1330" i="2"/>
  <c r="AH1330" i="2"/>
  <c r="AI1330" i="2"/>
  <c r="AJ1330" i="2"/>
  <c r="AK1330" i="2"/>
  <c r="Z1331" i="2"/>
  <c r="AA1331" i="2"/>
  <c r="AB1331" i="2"/>
  <c r="AC1331" i="2"/>
  <c r="AD1331" i="2"/>
  <c r="AE1331" i="2"/>
  <c r="AF1331" i="2"/>
  <c r="AG1331" i="2"/>
  <c r="AH1331" i="2"/>
  <c r="AI1331" i="2"/>
  <c r="AJ1331" i="2"/>
  <c r="AK1331" i="2"/>
  <c r="Z1332" i="2"/>
  <c r="AA1332" i="2"/>
  <c r="AB1332" i="2"/>
  <c r="AC1332" i="2"/>
  <c r="AD1332" i="2"/>
  <c r="AE1332" i="2"/>
  <c r="AF1332" i="2"/>
  <c r="AG1332" i="2"/>
  <c r="AH1332" i="2"/>
  <c r="AI1332" i="2"/>
  <c r="AJ1332" i="2"/>
  <c r="AK1332" i="2"/>
  <c r="Z1333" i="2"/>
  <c r="AA1333" i="2"/>
  <c r="AB1333" i="2"/>
  <c r="AC1333" i="2"/>
  <c r="AD1333" i="2"/>
  <c r="AE1333" i="2"/>
  <c r="AF1333" i="2"/>
  <c r="AG1333" i="2"/>
  <c r="AH1333" i="2"/>
  <c r="AI1333" i="2"/>
  <c r="AJ1333" i="2"/>
  <c r="AK1333" i="2"/>
  <c r="Z1334" i="2"/>
  <c r="AA1334" i="2"/>
  <c r="AB1334" i="2"/>
  <c r="AC1334" i="2"/>
  <c r="AD1334" i="2"/>
  <c r="AE1334" i="2"/>
  <c r="AF1334" i="2"/>
  <c r="AG1334" i="2"/>
  <c r="AH1334" i="2"/>
  <c r="AI1334" i="2"/>
  <c r="AJ1334" i="2"/>
  <c r="AK1334" i="2"/>
  <c r="Z1335" i="2"/>
  <c r="AA1335" i="2"/>
  <c r="AB1335" i="2"/>
  <c r="AC1335" i="2"/>
  <c r="AD1335" i="2"/>
  <c r="AE1335" i="2"/>
  <c r="AF1335" i="2"/>
  <c r="AG1335" i="2"/>
  <c r="AH1335" i="2"/>
  <c r="AI1335" i="2"/>
  <c r="AJ1335" i="2"/>
  <c r="AK1335" i="2"/>
  <c r="Z1336" i="2"/>
  <c r="AA1336" i="2"/>
  <c r="AB1336" i="2"/>
  <c r="AC1336" i="2"/>
  <c r="AD1336" i="2"/>
  <c r="AE1336" i="2"/>
  <c r="AF1336" i="2"/>
  <c r="AG1336" i="2"/>
  <c r="AH1336" i="2"/>
  <c r="AI1336" i="2"/>
  <c r="AJ1336" i="2"/>
  <c r="AK1336" i="2"/>
  <c r="Z1337" i="2"/>
  <c r="AA1337" i="2"/>
  <c r="AB1337" i="2"/>
  <c r="AC1337" i="2"/>
  <c r="AD1337" i="2"/>
  <c r="AE1337" i="2"/>
  <c r="AF1337" i="2"/>
  <c r="AG1337" i="2"/>
  <c r="AH1337" i="2"/>
  <c r="AI1337" i="2"/>
  <c r="AJ1337" i="2"/>
  <c r="AK1337" i="2"/>
  <c r="Z1338" i="2"/>
  <c r="AA1338" i="2"/>
  <c r="AB1338" i="2"/>
  <c r="AC1338" i="2"/>
  <c r="AD1338" i="2"/>
  <c r="AE1338" i="2"/>
  <c r="AF1338" i="2"/>
  <c r="AG1338" i="2"/>
  <c r="AH1338" i="2"/>
  <c r="AI1338" i="2"/>
  <c r="AJ1338" i="2"/>
  <c r="AK1338" i="2"/>
  <c r="Z1339" i="2"/>
  <c r="AA1339" i="2"/>
  <c r="AB1339" i="2"/>
  <c r="AC1339" i="2"/>
  <c r="AD1339" i="2"/>
  <c r="AE1339" i="2"/>
  <c r="AF1339" i="2"/>
  <c r="AG1339" i="2"/>
  <c r="AH1339" i="2"/>
  <c r="AI1339" i="2"/>
  <c r="AJ1339" i="2"/>
  <c r="AK1339" i="2"/>
  <c r="Z1340" i="2"/>
  <c r="AA1340" i="2"/>
  <c r="AB1340" i="2"/>
  <c r="AC1340" i="2"/>
  <c r="AD1340" i="2"/>
  <c r="AE1340" i="2"/>
  <c r="AF1340" i="2"/>
  <c r="AG1340" i="2"/>
  <c r="AH1340" i="2"/>
  <c r="AI1340" i="2"/>
  <c r="AJ1340" i="2"/>
  <c r="AK1340" i="2"/>
  <c r="Z1341" i="2"/>
  <c r="AA1341" i="2"/>
  <c r="AB1341" i="2"/>
  <c r="AC1341" i="2"/>
  <c r="AD1341" i="2"/>
  <c r="AE1341" i="2"/>
  <c r="AF1341" i="2"/>
  <c r="AG1341" i="2"/>
  <c r="AH1341" i="2"/>
  <c r="AI1341" i="2"/>
  <c r="AJ1341" i="2"/>
  <c r="AK1341" i="2"/>
  <c r="Z1342" i="2"/>
  <c r="AA1342" i="2"/>
  <c r="AB1342" i="2"/>
  <c r="AC1342" i="2"/>
  <c r="AD1342" i="2"/>
  <c r="AE1342" i="2"/>
  <c r="AF1342" i="2"/>
  <c r="AG1342" i="2"/>
  <c r="AH1342" i="2"/>
  <c r="AI1342" i="2"/>
  <c r="AJ1342" i="2"/>
  <c r="AK1342" i="2"/>
  <c r="Z1343" i="2"/>
  <c r="AA1343" i="2"/>
  <c r="AB1343" i="2"/>
  <c r="AC1343" i="2"/>
  <c r="AD1343" i="2"/>
  <c r="AE1343" i="2"/>
  <c r="AF1343" i="2"/>
  <c r="AG1343" i="2"/>
  <c r="AH1343" i="2"/>
  <c r="AI1343" i="2"/>
  <c r="AJ1343" i="2"/>
  <c r="AK1343" i="2"/>
  <c r="Z1344" i="2"/>
  <c r="AA1344" i="2"/>
  <c r="AB1344" i="2"/>
  <c r="AC1344" i="2"/>
  <c r="AD1344" i="2"/>
  <c r="AE1344" i="2"/>
  <c r="AF1344" i="2"/>
  <c r="AG1344" i="2"/>
  <c r="AH1344" i="2"/>
  <c r="AI1344" i="2"/>
  <c r="AJ1344" i="2"/>
  <c r="AK1344" i="2"/>
  <c r="Z1345" i="2"/>
  <c r="AA1345" i="2"/>
  <c r="AB1345" i="2"/>
  <c r="AC1345" i="2"/>
  <c r="AD1345" i="2"/>
  <c r="AE1345" i="2"/>
  <c r="AF1345" i="2"/>
  <c r="AG1345" i="2"/>
  <c r="AH1345" i="2"/>
  <c r="AI1345" i="2"/>
  <c r="AJ1345" i="2"/>
  <c r="AK1345" i="2"/>
  <c r="Z1346" i="2"/>
  <c r="AA1346" i="2"/>
  <c r="AB1346" i="2"/>
  <c r="AC1346" i="2"/>
  <c r="AD1346" i="2"/>
  <c r="AE1346" i="2"/>
  <c r="AF1346" i="2"/>
  <c r="AG1346" i="2"/>
  <c r="AH1346" i="2"/>
  <c r="AI1346" i="2"/>
  <c r="AJ1346" i="2"/>
  <c r="AK1346" i="2"/>
  <c r="Z1347" i="2"/>
  <c r="AA1347" i="2"/>
  <c r="AB1347" i="2"/>
  <c r="AC1347" i="2"/>
  <c r="AD1347" i="2"/>
  <c r="AE1347" i="2"/>
  <c r="AF1347" i="2"/>
  <c r="AG1347" i="2"/>
  <c r="AH1347" i="2"/>
  <c r="AI1347" i="2"/>
  <c r="AJ1347" i="2"/>
  <c r="AK1347" i="2"/>
  <c r="Z1348" i="2"/>
  <c r="AA1348" i="2"/>
  <c r="AB1348" i="2"/>
  <c r="AC1348" i="2"/>
  <c r="AD1348" i="2"/>
  <c r="AE1348" i="2"/>
  <c r="AF1348" i="2"/>
  <c r="AG1348" i="2"/>
  <c r="AH1348" i="2"/>
  <c r="AI1348" i="2"/>
  <c r="AJ1348" i="2"/>
  <c r="AK1348" i="2"/>
  <c r="Z1349" i="2"/>
  <c r="AA1349" i="2"/>
  <c r="AB1349" i="2"/>
  <c r="AC1349" i="2"/>
  <c r="AD1349" i="2"/>
  <c r="AE1349" i="2"/>
  <c r="AF1349" i="2"/>
  <c r="AG1349" i="2"/>
  <c r="AH1349" i="2"/>
  <c r="AI1349" i="2"/>
  <c r="AJ1349" i="2"/>
  <c r="AK1349" i="2"/>
  <c r="Z1350" i="2"/>
  <c r="AA1350" i="2"/>
  <c r="AB1350" i="2"/>
  <c r="AC1350" i="2"/>
  <c r="AD1350" i="2"/>
  <c r="AE1350" i="2"/>
  <c r="AF1350" i="2"/>
  <c r="AG1350" i="2"/>
  <c r="AH1350" i="2"/>
  <c r="AI1350" i="2"/>
  <c r="AJ1350" i="2"/>
  <c r="AK1350" i="2"/>
  <c r="Z1351" i="2"/>
  <c r="AA1351" i="2"/>
  <c r="AB1351" i="2"/>
  <c r="AC1351" i="2"/>
  <c r="AD1351" i="2"/>
  <c r="AE1351" i="2"/>
  <c r="AF1351" i="2"/>
  <c r="AG1351" i="2"/>
  <c r="AH1351" i="2"/>
  <c r="AI1351" i="2"/>
  <c r="AJ1351" i="2"/>
  <c r="AK1351" i="2"/>
  <c r="Z1352" i="2"/>
  <c r="AA1352" i="2"/>
  <c r="AB1352" i="2"/>
  <c r="AC1352" i="2"/>
  <c r="AD1352" i="2"/>
  <c r="AE1352" i="2"/>
  <c r="AF1352" i="2"/>
  <c r="AG1352" i="2"/>
  <c r="AH1352" i="2"/>
  <c r="AI1352" i="2"/>
  <c r="AJ1352" i="2"/>
  <c r="AK1352" i="2"/>
  <c r="Z1353" i="2"/>
  <c r="AA1353" i="2"/>
  <c r="AB1353" i="2"/>
  <c r="AC1353" i="2"/>
  <c r="AD1353" i="2"/>
  <c r="AE1353" i="2"/>
  <c r="AF1353" i="2"/>
  <c r="AG1353" i="2"/>
  <c r="AH1353" i="2"/>
  <c r="AI1353" i="2"/>
  <c r="AJ1353" i="2"/>
  <c r="AK1353" i="2"/>
  <c r="Z1354" i="2"/>
  <c r="AA1354" i="2"/>
  <c r="AB1354" i="2"/>
  <c r="AC1354" i="2"/>
  <c r="AD1354" i="2"/>
  <c r="AE1354" i="2"/>
  <c r="AF1354" i="2"/>
  <c r="AG1354" i="2"/>
  <c r="AH1354" i="2"/>
  <c r="AI1354" i="2"/>
  <c r="AJ1354" i="2"/>
  <c r="AK1354" i="2"/>
  <c r="Z1355" i="2"/>
  <c r="AA1355" i="2"/>
  <c r="AB1355" i="2"/>
  <c r="AC1355" i="2"/>
  <c r="AD1355" i="2"/>
  <c r="AE1355" i="2"/>
  <c r="AF1355" i="2"/>
  <c r="AG1355" i="2"/>
  <c r="AH1355" i="2"/>
  <c r="AI1355" i="2"/>
  <c r="AJ1355" i="2"/>
  <c r="AK1355" i="2"/>
  <c r="Z1356" i="2"/>
  <c r="AA1356" i="2"/>
  <c r="AB1356" i="2"/>
  <c r="AC1356" i="2"/>
  <c r="AD1356" i="2"/>
  <c r="AE1356" i="2"/>
  <c r="AF1356" i="2"/>
  <c r="AG1356" i="2"/>
  <c r="AH1356" i="2"/>
  <c r="AI1356" i="2"/>
  <c r="AJ1356" i="2"/>
  <c r="AK1356" i="2"/>
  <c r="Z1357" i="2"/>
  <c r="AA1357" i="2"/>
  <c r="AB1357" i="2"/>
  <c r="AC1357" i="2"/>
  <c r="AD1357" i="2"/>
  <c r="AE1357" i="2"/>
  <c r="AF1357" i="2"/>
  <c r="AG1357" i="2"/>
  <c r="AH1357" i="2"/>
  <c r="AI1357" i="2"/>
  <c r="AJ1357" i="2"/>
  <c r="AK1357" i="2"/>
  <c r="Z1358" i="2"/>
  <c r="AA1358" i="2"/>
  <c r="AB1358" i="2"/>
  <c r="AC1358" i="2"/>
  <c r="AD1358" i="2"/>
  <c r="AE1358" i="2"/>
  <c r="AF1358" i="2"/>
  <c r="AG1358" i="2"/>
  <c r="AH1358" i="2"/>
  <c r="AI1358" i="2"/>
  <c r="AJ1358" i="2"/>
  <c r="AK1358" i="2"/>
  <c r="Z1359" i="2"/>
  <c r="AA1359" i="2"/>
  <c r="AB1359" i="2"/>
  <c r="AC1359" i="2"/>
  <c r="AD1359" i="2"/>
  <c r="AE1359" i="2"/>
  <c r="AF1359" i="2"/>
  <c r="AG1359" i="2"/>
  <c r="AH1359" i="2"/>
  <c r="AI1359" i="2"/>
  <c r="AJ1359" i="2"/>
  <c r="AK1359" i="2"/>
  <c r="Z1360" i="2"/>
  <c r="AA1360" i="2"/>
  <c r="AB1360" i="2"/>
  <c r="AC1360" i="2"/>
  <c r="AD1360" i="2"/>
  <c r="AE1360" i="2"/>
  <c r="AF1360" i="2"/>
  <c r="AG1360" i="2"/>
  <c r="AH1360" i="2"/>
  <c r="AI1360" i="2"/>
  <c r="AJ1360" i="2"/>
  <c r="AK1360" i="2"/>
  <c r="Z1361" i="2"/>
  <c r="AA1361" i="2"/>
  <c r="AB1361" i="2"/>
  <c r="AC1361" i="2"/>
  <c r="AD1361" i="2"/>
  <c r="AE1361" i="2"/>
  <c r="AF1361" i="2"/>
  <c r="AG1361" i="2"/>
  <c r="AH1361" i="2"/>
  <c r="AI1361" i="2"/>
  <c r="AJ1361" i="2"/>
  <c r="AK1361" i="2"/>
  <c r="Z1362" i="2"/>
  <c r="AA1362" i="2"/>
  <c r="AB1362" i="2"/>
  <c r="AC1362" i="2"/>
  <c r="AD1362" i="2"/>
  <c r="AE1362" i="2"/>
  <c r="AF1362" i="2"/>
  <c r="AG1362" i="2"/>
  <c r="AH1362" i="2"/>
  <c r="AI1362" i="2"/>
  <c r="AJ1362" i="2"/>
  <c r="AK1362" i="2"/>
  <c r="Z1363" i="2"/>
  <c r="AA1363" i="2"/>
  <c r="AB1363" i="2"/>
  <c r="AC1363" i="2"/>
  <c r="AD1363" i="2"/>
  <c r="AE1363" i="2"/>
  <c r="AF1363" i="2"/>
  <c r="AG1363" i="2"/>
  <c r="AH1363" i="2"/>
  <c r="AI1363" i="2"/>
  <c r="AJ1363" i="2"/>
  <c r="AK1363" i="2"/>
  <c r="Z1364" i="2"/>
  <c r="AA1364" i="2"/>
  <c r="AB1364" i="2"/>
  <c r="AC1364" i="2"/>
  <c r="AD1364" i="2"/>
  <c r="AE1364" i="2"/>
  <c r="AF1364" i="2"/>
  <c r="AG1364" i="2"/>
  <c r="AH1364" i="2"/>
  <c r="AI1364" i="2"/>
  <c r="AJ1364" i="2"/>
  <c r="AK1364" i="2"/>
  <c r="Z1365" i="2"/>
  <c r="AA1365" i="2"/>
  <c r="AB1365" i="2"/>
  <c r="AC1365" i="2"/>
  <c r="AD1365" i="2"/>
  <c r="AE1365" i="2"/>
  <c r="AF1365" i="2"/>
  <c r="AG1365" i="2"/>
  <c r="AH1365" i="2"/>
  <c r="AI1365" i="2"/>
  <c r="AJ1365" i="2"/>
  <c r="AK1365" i="2"/>
  <c r="Z1366" i="2"/>
  <c r="AA1366" i="2"/>
  <c r="AB1366" i="2"/>
  <c r="AC1366" i="2"/>
  <c r="AD1366" i="2"/>
  <c r="AE1366" i="2"/>
  <c r="AF1366" i="2"/>
  <c r="AG1366" i="2"/>
  <c r="AH1366" i="2"/>
  <c r="AI1366" i="2"/>
  <c r="AJ1366" i="2"/>
  <c r="AK1366" i="2"/>
  <c r="Z1367" i="2"/>
  <c r="AA1367" i="2"/>
  <c r="AB1367" i="2"/>
  <c r="AC1367" i="2"/>
  <c r="AD1367" i="2"/>
  <c r="AE1367" i="2"/>
  <c r="AF1367" i="2"/>
  <c r="AG1367" i="2"/>
  <c r="AH1367" i="2"/>
  <c r="AI1367" i="2"/>
  <c r="AJ1367" i="2"/>
  <c r="AK1367" i="2"/>
  <c r="Z1368" i="2"/>
  <c r="AA1368" i="2"/>
  <c r="AB1368" i="2"/>
  <c r="AC1368" i="2"/>
  <c r="AD1368" i="2"/>
  <c r="AE1368" i="2"/>
  <c r="AF1368" i="2"/>
  <c r="AG1368" i="2"/>
  <c r="AH1368" i="2"/>
  <c r="AI1368" i="2"/>
  <c r="AJ1368" i="2"/>
  <c r="AK1368" i="2"/>
  <c r="Z1369" i="2"/>
  <c r="AA1369" i="2"/>
  <c r="AB1369" i="2"/>
  <c r="AC1369" i="2"/>
  <c r="AD1369" i="2"/>
  <c r="AE1369" i="2"/>
  <c r="AF1369" i="2"/>
  <c r="AG1369" i="2"/>
  <c r="AH1369" i="2"/>
  <c r="AI1369" i="2"/>
  <c r="AJ1369" i="2"/>
  <c r="AK1369" i="2"/>
  <c r="Z1370" i="2"/>
  <c r="AA1370" i="2"/>
  <c r="AB1370" i="2"/>
  <c r="AC1370" i="2"/>
  <c r="AD1370" i="2"/>
  <c r="AE1370" i="2"/>
  <c r="AF1370" i="2"/>
  <c r="AG1370" i="2"/>
  <c r="AH1370" i="2"/>
  <c r="AI1370" i="2"/>
  <c r="AJ1370" i="2"/>
  <c r="AK1370" i="2"/>
  <c r="Z1371" i="2"/>
  <c r="AA1371" i="2"/>
  <c r="AB1371" i="2"/>
  <c r="AC1371" i="2"/>
  <c r="AD1371" i="2"/>
  <c r="AE1371" i="2"/>
  <c r="AF1371" i="2"/>
  <c r="AG1371" i="2"/>
  <c r="AH1371" i="2"/>
  <c r="AI1371" i="2"/>
  <c r="AJ1371" i="2"/>
  <c r="AK1371" i="2"/>
  <c r="Z1372" i="2"/>
  <c r="AA1372" i="2"/>
  <c r="AB1372" i="2"/>
  <c r="AC1372" i="2"/>
  <c r="AD1372" i="2"/>
  <c r="AE1372" i="2"/>
  <c r="AF1372" i="2"/>
  <c r="AG1372" i="2"/>
  <c r="AH1372" i="2"/>
  <c r="AI1372" i="2"/>
  <c r="AJ1372" i="2"/>
  <c r="AK1372" i="2"/>
  <c r="Z1373" i="2"/>
  <c r="AA1373" i="2"/>
  <c r="AB1373" i="2"/>
  <c r="AC1373" i="2"/>
  <c r="AD1373" i="2"/>
  <c r="AE1373" i="2"/>
  <c r="AF1373" i="2"/>
  <c r="AG1373" i="2"/>
  <c r="AH1373" i="2"/>
  <c r="AI1373" i="2"/>
  <c r="AJ1373" i="2"/>
  <c r="AK1373" i="2"/>
  <c r="Z1374" i="2"/>
  <c r="AA1374" i="2"/>
  <c r="AB1374" i="2"/>
  <c r="AC1374" i="2"/>
  <c r="AD1374" i="2"/>
  <c r="AE1374" i="2"/>
  <c r="AF1374" i="2"/>
  <c r="AG1374" i="2"/>
  <c r="AH1374" i="2"/>
  <c r="AI1374" i="2"/>
  <c r="AJ1374" i="2"/>
  <c r="AK1374" i="2"/>
  <c r="Z1375" i="2"/>
  <c r="AA1375" i="2"/>
  <c r="AB1375" i="2"/>
  <c r="AC1375" i="2"/>
  <c r="AD1375" i="2"/>
  <c r="AE1375" i="2"/>
  <c r="AF1375" i="2"/>
  <c r="AG1375" i="2"/>
  <c r="AH1375" i="2"/>
  <c r="AI1375" i="2"/>
  <c r="AJ1375" i="2"/>
  <c r="AK1375" i="2"/>
  <c r="Z1376" i="2"/>
  <c r="AA1376" i="2"/>
  <c r="AB1376" i="2"/>
  <c r="AC1376" i="2"/>
  <c r="AD1376" i="2"/>
  <c r="AE1376" i="2"/>
  <c r="AF1376" i="2"/>
  <c r="AG1376" i="2"/>
  <c r="AH1376" i="2"/>
  <c r="AI1376" i="2"/>
  <c r="AJ1376" i="2"/>
  <c r="AK1376" i="2"/>
  <c r="Z1377" i="2"/>
  <c r="AA1377" i="2"/>
  <c r="AB1377" i="2"/>
  <c r="AC1377" i="2"/>
  <c r="AD1377" i="2"/>
  <c r="AE1377" i="2"/>
  <c r="AF1377" i="2"/>
  <c r="AG1377" i="2"/>
  <c r="AH1377" i="2"/>
  <c r="AI1377" i="2"/>
  <c r="AJ1377" i="2"/>
  <c r="AK1377" i="2"/>
  <c r="Z1378" i="2"/>
  <c r="AA1378" i="2"/>
  <c r="AB1378" i="2"/>
  <c r="AC1378" i="2"/>
  <c r="AD1378" i="2"/>
  <c r="AE1378" i="2"/>
  <c r="AF1378" i="2"/>
  <c r="AG1378" i="2"/>
  <c r="AH1378" i="2"/>
  <c r="AI1378" i="2"/>
  <c r="AJ1378" i="2"/>
  <c r="AK1378" i="2"/>
  <c r="Z1379" i="2"/>
  <c r="AA1379" i="2"/>
  <c r="AB1379" i="2"/>
  <c r="AC1379" i="2"/>
  <c r="AD1379" i="2"/>
  <c r="AE1379" i="2"/>
  <c r="AF1379" i="2"/>
  <c r="AG1379" i="2"/>
  <c r="AH1379" i="2"/>
  <c r="AI1379" i="2"/>
  <c r="AJ1379" i="2"/>
  <c r="AK1379" i="2"/>
  <c r="Z1380" i="2"/>
  <c r="AA1380" i="2"/>
  <c r="AB1380" i="2"/>
  <c r="AC1380" i="2"/>
  <c r="AD1380" i="2"/>
  <c r="AE1380" i="2"/>
  <c r="AF1380" i="2"/>
  <c r="AG1380" i="2"/>
  <c r="AH1380" i="2"/>
  <c r="AI1380" i="2"/>
  <c r="AJ1380" i="2"/>
  <c r="AK1380" i="2"/>
  <c r="Z1381" i="2"/>
  <c r="AA1381" i="2"/>
  <c r="AB1381" i="2"/>
  <c r="AC1381" i="2"/>
  <c r="AD1381" i="2"/>
  <c r="AE1381" i="2"/>
  <c r="AF1381" i="2"/>
  <c r="AG1381" i="2"/>
  <c r="AH1381" i="2"/>
  <c r="AI1381" i="2"/>
  <c r="AJ1381" i="2"/>
  <c r="AK1381" i="2"/>
  <c r="Z1382" i="2"/>
  <c r="AA1382" i="2"/>
  <c r="AB1382" i="2"/>
  <c r="AC1382" i="2"/>
  <c r="AD1382" i="2"/>
  <c r="AE1382" i="2"/>
  <c r="AF1382" i="2"/>
  <c r="AG1382" i="2"/>
  <c r="AH1382" i="2"/>
  <c r="AI1382" i="2"/>
  <c r="AJ1382" i="2"/>
  <c r="AK1382" i="2"/>
  <c r="Z1383" i="2"/>
  <c r="AA1383" i="2"/>
  <c r="AB1383" i="2"/>
  <c r="AC1383" i="2"/>
  <c r="AD1383" i="2"/>
  <c r="AE1383" i="2"/>
  <c r="AF1383" i="2"/>
  <c r="AG1383" i="2"/>
  <c r="AH1383" i="2"/>
  <c r="AI1383" i="2"/>
  <c r="AJ1383" i="2"/>
  <c r="AK1383" i="2"/>
  <c r="Z1384" i="2"/>
  <c r="AA1384" i="2"/>
  <c r="AB1384" i="2"/>
  <c r="AC1384" i="2"/>
  <c r="AD1384" i="2"/>
  <c r="AE1384" i="2"/>
  <c r="AF1384" i="2"/>
  <c r="AG1384" i="2"/>
  <c r="AH1384" i="2"/>
  <c r="AI1384" i="2"/>
  <c r="AJ1384" i="2"/>
  <c r="AK1384" i="2"/>
  <c r="Z1385" i="2"/>
  <c r="AA1385" i="2"/>
  <c r="AB1385" i="2"/>
  <c r="AC1385" i="2"/>
  <c r="AD1385" i="2"/>
  <c r="AE1385" i="2"/>
  <c r="AF1385" i="2"/>
  <c r="AG1385" i="2"/>
  <c r="AH1385" i="2"/>
  <c r="AI1385" i="2"/>
  <c r="AJ1385" i="2"/>
  <c r="AK1385" i="2"/>
  <c r="Z1386" i="2"/>
  <c r="AA1386" i="2"/>
  <c r="AB1386" i="2"/>
  <c r="AC1386" i="2"/>
  <c r="AD1386" i="2"/>
  <c r="AE1386" i="2"/>
  <c r="AF1386" i="2"/>
  <c r="AG1386" i="2"/>
  <c r="AH1386" i="2"/>
  <c r="AI1386" i="2"/>
  <c r="AJ1386" i="2"/>
  <c r="AK1386" i="2"/>
  <c r="Z1387" i="2"/>
  <c r="AA1387" i="2"/>
  <c r="AB1387" i="2"/>
  <c r="AC1387" i="2"/>
  <c r="AD1387" i="2"/>
  <c r="AE1387" i="2"/>
  <c r="AF1387" i="2"/>
  <c r="AG1387" i="2"/>
  <c r="AH1387" i="2"/>
  <c r="AI1387" i="2"/>
  <c r="AJ1387" i="2"/>
  <c r="AK1387" i="2"/>
  <c r="Z1388" i="2"/>
  <c r="AA1388" i="2"/>
  <c r="AB1388" i="2"/>
  <c r="AC1388" i="2"/>
  <c r="AD1388" i="2"/>
  <c r="AE1388" i="2"/>
  <c r="AF1388" i="2"/>
  <c r="AG1388" i="2"/>
  <c r="AH1388" i="2"/>
  <c r="AI1388" i="2"/>
  <c r="AJ1388" i="2"/>
  <c r="AK1388" i="2"/>
  <c r="Z1389" i="2"/>
  <c r="AA1389" i="2"/>
  <c r="AB1389" i="2"/>
  <c r="AC1389" i="2"/>
  <c r="AD1389" i="2"/>
  <c r="AE1389" i="2"/>
  <c r="AF1389" i="2"/>
  <c r="AG1389" i="2"/>
  <c r="AH1389" i="2"/>
  <c r="AI1389" i="2"/>
  <c r="AJ1389" i="2"/>
  <c r="AK1389" i="2"/>
  <c r="Z1390" i="2"/>
  <c r="AA1390" i="2"/>
  <c r="AB1390" i="2"/>
  <c r="AC1390" i="2"/>
  <c r="AD1390" i="2"/>
  <c r="AE1390" i="2"/>
  <c r="AF1390" i="2"/>
  <c r="AG1390" i="2"/>
  <c r="AH1390" i="2"/>
  <c r="AI1390" i="2"/>
  <c r="AJ1390" i="2"/>
  <c r="AK1390" i="2"/>
  <c r="Z1391" i="2"/>
  <c r="AA1391" i="2"/>
  <c r="AB1391" i="2"/>
  <c r="AC1391" i="2"/>
  <c r="AD1391" i="2"/>
  <c r="AE1391" i="2"/>
  <c r="AF1391" i="2"/>
  <c r="AG1391" i="2"/>
  <c r="AH1391" i="2"/>
  <c r="AI1391" i="2"/>
  <c r="AJ1391" i="2"/>
  <c r="AK1391" i="2"/>
  <c r="Z1392" i="2"/>
  <c r="AA1392" i="2"/>
  <c r="AB1392" i="2"/>
  <c r="AC1392" i="2"/>
  <c r="AD1392" i="2"/>
  <c r="AE1392" i="2"/>
  <c r="AF1392" i="2"/>
  <c r="AG1392" i="2"/>
  <c r="AH1392" i="2"/>
  <c r="AI1392" i="2"/>
  <c r="AJ1392" i="2"/>
  <c r="AK1392" i="2"/>
  <c r="Z1393" i="2"/>
  <c r="AA1393" i="2"/>
  <c r="AB1393" i="2"/>
  <c r="AC1393" i="2"/>
  <c r="AD1393" i="2"/>
  <c r="AE1393" i="2"/>
  <c r="AF1393" i="2"/>
  <c r="AG1393" i="2"/>
  <c r="AH1393" i="2"/>
  <c r="AI1393" i="2"/>
  <c r="AJ1393" i="2"/>
  <c r="AK1393" i="2"/>
  <c r="Z1394" i="2"/>
  <c r="AA1394" i="2"/>
  <c r="AB1394" i="2"/>
  <c r="AC1394" i="2"/>
  <c r="AD1394" i="2"/>
  <c r="AE1394" i="2"/>
  <c r="AF1394" i="2"/>
  <c r="AG1394" i="2"/>
  <c r="AH1394" i="2"/>
  <c r="AI1394" i="2"/>
  <c r="AJ1394" i="2"/>
  <c r="AK1394" i="2"/>
  <c r="Z1395" i="2"/>
  <c r="AA1395" i="2"/>
  <c r="AB1395" i="2"/>
  <c r="AC1395" i="2"/>
  <c r="AD1395" i="2"/>
  <c r="AE1395" i="2"/>
  <c r="AF1395" i="2"/>
  <c r="AG1395" i="2"/>
  <c r="AH1395" i="2"/>
  <c r="AI1395" i="2"/>
  <c r="AJ1395" i="2"/>
  <c r="AK1395" i="2"/>
  <c r="Z1396" i="2"/>
  <c r="AA1396" i="2"/>
  <c r="AB1396" i="2"/>
  <c r="AC1396" i="2"/>
  <c r="AD1396" i="2"/>
  <c r="AE1396" i="2"/>
  <c r="AF1396" i="2"/>
  <c r="AG1396" i="2"/>
  <c r="AH1396" i="2"/>
  <c r="AI1396" i="2"/>
  <c r="AJ1396" i="2"/>
  <c r="AK1396" i="2"/>
  <c r="Z1397" i="2"/>
  <c r="AA1397" i="2"/>
  <c r="AB1397" i="2"/>
  <c r="AC1397" i="2"/>
  <c r="AD1397" i="2"/>
  <c r="AE1397" i="2"/>
  <c r="AF1397" i="2"/>
  <c r="AG1397" i="2"/>
  <c r="AH1397" i="2"/>
  <c r="AI1397" i="2"/>
  <c r="AJ1397" i="2"/>
  <c r="AK1397" i="2"/>
  <c r="Z1398" i="2"/>
  <c r="AA1398" i="2"/>
  <c r="AB1398" i="2"/>
  <c r="AC1398" i="2"/>
  <c r="AD1398" i="2"/>
  <c r="AE1398" i="2"/>
  <c r="AF1398" i="2"/>
  <c r="AG1398" i="2"/>
  <c r="AH1398" i="2"/>
  <c r="AI1398" i="2"/>
  <c r="AJ1398" i="2"/>
  <c r="AK1398" i="2"/>
  <c r="Z1399" i="2"/>
  <c r="AA1399" i="2"/>
  <c r="AB1399" i="2"/>
  <c r="AC1399" i="2"/>
  <c r="AD1399" i="2"/>
  <c r="AE1399" i="2"/>
  <c r="AF1399" i="2"/>
  <c r="AG1399" i="2"/>
  <c r="AH1399" i="2"/>
  <c r="AI1399" i="2"/>
  <c r="AJ1399" i="2"/>
  <c r="AK1399" i="2"/>
  <c r="Z1400" i="2"/>
  <c r="AA1400" i="2"/>
  <c r="AB1400" i="2"/>
  <c r="AC1400" i="2"/>
  <c r="AD1400" i="2"/>
  <c r="AE1400" i="2"/>
  <c r="AF1400" i="2"/>
  <c r="AG1400" i="2"/>
  <c r="AH1400" i="2"/>
  <c r="AI1400" i="2"/>
  <c r="AJ1400" i="2"/>
  <c r="AK1400" i="2"/>
  <c r="Z1401" i="2"/>
  <c r="AA1401" i="2"/>
  <c r="AB1401" i="2"/>
  <c r="AC1401" i="2"/>
  <c r="AD1401" i="2"/>
  <c r="AE1401" i="2"/>
  <c r="AF1401" i="2"/>
  <c r="AG1401" i="2"/>
  <c r="AH1401" i="2"/>
  <c r="AI1401" i="2"/>
  <c r="AJ1401" i="2"/>
  <c r="AK1401" i="2"/>
  <c r="Z1402" i="2"/>
  <c r="AA1402" i="2"/>
  <c r="AB1402" i="2"/>
  <c r="AC1402" i="2"/>
  <c r="AD1402" i="2"/>
  <c r="AE1402" i="2"/>
  <c r="AF1402" i="2"/>
  <c r="AG1402" i="2"/>
  <c r="AH1402" i="2"/>
  <c r="AI1402" i="2"/>
  <c r="AJ1402" i="2"/>
  <c r="AK1402" i="2"/>
  <c r="Z1403" i="2"/>
  <c r="AA1403" i="2"/>
  <c r="AB1403" i="2"/>
  <c r="AC1403" i="2"/>
  <c r="AD1403" i="2"/>
  <c r="AE1403" i="2"/>
  <c r="AF1403" i="2"/>
  <c r="AG1403" i="2"/>
  <c r="AH1403" i="2"/>
  <c r="AI1403" i="2"/>
  <c r="AJ1403" i="2"/>
  <c r="AK1403" i="2"/>
  <c r="Z1404" i="2"/>
  <c r="AA1404" i="2"/>
  <c r="AB1404" i="2"/>
  <c r="AC1404" i="2"/>
  <c r="AD1404" i="2"/>
  <c r="AE1404" i="2"/>
  <c r="AF1404" i="2"/>
  <c r="AG1404" i="2"/>
  <c r="AH1404" i="2"/>
  <c r="AI1404" i="2"/>
  <c r="AJ1404" i="2"/>
  <c r="AK1404" i="2"/>
  <c r="Z1405" i="2"/>
  <c r="AA1405" i="2"/>
  <c r="AB1405" i="2"/>
  <c r="AC1405" i="2"/>
  <c r="AD1405" i="2"/>
  <c r="AE1405" i="2"/>
  <c r="AF1405" i="2"/>
  <c r="AG1405" i="2"/>
  <c r="AH1405" i="2"/>
  <c r="AI1405" i="2"/>
  <c r="AJ1405" i="2"/>
  <c r="AK1405" i="2"/>
  <c r="Z1406" i="2"/>
  <c r="AA1406" i="2"/>
  <c r="AB1406" i="2"/>
  <c r="AC1406" i="2"/>
  <c r="AD1406" i="2"/>
  <c r="AE1406" i="2"/>
  <c r="AF1406" i="2"/>
  <c r="AG1406" i="2"/>
  <c r="AH1406" i="2"/>
  <c r="AI1406" i="2"/>
  <c r="AJ1406" i="2"/>
  <c r="AK1406" i="2"/>
  <c r="Z1407" i="2"/>
  <c r="AA1407" i="2"/>
  <c r="AB1407" i="2"/>
  <c r="AC1407" i="2"/>
  <c r="AD1407" i="2"/>
  <c r="AE1407" i="2"/>
  <c r="AF1407" i="2"/>
  <c r="AG1407" i="2"/>
  <c r="AH1407" i="2"/>
  <c r="AI1407" i="2"/>
  <c r="AJ1407" i="2"/>
  <c r="AK1407" i="2"/>
  <c r="Z1408" i="2"/>
  <c r="AA1408" i="2"/>
  <c r="AB1408" i="2"/>
  <c r="AC1408" i="2"/>
  <c r="AD1408" i="2"/>
  <c r="AE1408" i="2"/>
  <c r="AF1408" i="2"/>
  <c r="AG1408" i="2"/>
  <c r="AH1408" i="2"/>
  <c r="AI1408" i="2"/>
  <c r="AJ1408" i="2"/>
  <c r="AK1408" i="2"/>
  <c r="Z1409" i="2"/>
  <c r="AA1409" i="2"/>
  <c r="AB1409" i="2"/>
  <c r="AC1409" i="2"/>
  <c r="AD1409" i="2"/>
  <c r="AE1409" i="2"/>
  <c r="AF1409" i="2"/>
  <c r="AG1409" i="2"/>
  <c r="AH1409" i="2"/>
  <c r="AI1409" i="2"/>
  <c r="AJ1409" i="2"/>
  <c r="AK1409" i="2"/>
  <c r="Z1410" i="2"/>
  <c r="AA1410" i="2"/>
  <c r="AB1410" i="2"/>
  <c r="AC1410" i="2"/>
  <c r="AD1410" i="2"/>
  <c r="AE1410" i="2"/>
  <c r="AF1410" i="2"/>
  <c r="AG1410" i="2"/>
  <c r="AH1410" i="2"/>
  <c r="AI1410" i="2"/>
  <c r="AJ1410" i="2"/>
  <c r="AK1410" i="2"/>
  <c r="Z1411" i="2"/>
  <c r="AA1411" i="2"/>
  <c r="AB1411" i="2"/>
  <c r="AC1411" i="2"/>
  <c r="AD1411" i="2"/>
  <c r="AE1411" i="2"/>
  <c r="AF1411" i="2"/>
  <c r="AG1411" i="2"/>
  <c r="AH1411" i="2"/>
  <c r="AI1411" i="2"/>
  <c r="AJ1411" i="2"/>
  <c r="AK1411" i="2"/>
  <c r="Z1412" i="2"/>
  <c r="AA1412" i="2"/>
  <c r="AB1412" i="2"/>
  <c r="AC1412" i="2"/>
  <c r="AD1412" i="2"/>
  <c r="AE1412" i="2"/>
  <c r="AF1412" i="2"/>
  <c r="AG1412" i="2"/>
  <c r="AH1412" i="2"/>
  <c r="AI1412" i="2"/>
  <c r="AJ1412" i="2"/>
  <c r="AK1412" i="2"/>
  <c r="Z1413" i="2"/>
  <c r="AA1413" i="2"/>
  <c r="AB1413" i="2"/>
  <c r="AC1413" i="2"/>
  <c r="AD1413" i="2"/>
  <c r="AE1413" i="2"/>
  <c r="AF1413" i="2"/>
  <c r="AG1413" i="2"/>
  <c r="AH1413" i="2"/>
  <c r="AI1413" i="2"/>
  <c r="AJ1413" i="2"/>
  <c r="AK1413" i="2"/>
  <c r="Z1414" i="2"/>
  <c r="AA1414" i="2"/>
  <c r="AB1414" i="2"/>
  <c r="AC1414" i="2"/>
  <c r="AD1414" i="2"/>
  <c r="AE1414" i="2"/>
  <c r="AF1414" i="2"/>
  <c r="AG1414" i="2"/>
  <c r="AH1414" i="2"/>
  <c r="AI1414" i="2"/>
  <c r="AJ1414" i="2"/>
  <c r="AK1414" i="2"/>
  <c r="Z1415" i="2"/>
  <c r="AA1415" i="2"/>
  <c r="AB1415" i="2"/>
  <c r="AC1415" i="2"/>
  <c r="AD1415" i="2"/>
  <c r="AE1415" i="2"/>
  <c r="AF1415" i="2"/>
  <c r="AG1415" i="2"/>
  <c r="AH1415" i="2"/>
  <c r="AI1415" i="2"/>
  <c r="AJ1415" i="2"/>
  <c r="AK1415" i="2"/>
  <c r="Z1416" i="2"/>
  <c r="AA1416" i="2"/>
  <c r="AB1416" i="2"/>
  <c r="AC1416" i="2"/>
  <c r="AD1416" i="2"/>
  <c r="AE1416" i="2"/>
  <c r="AF1416" i="2"/>
  <c r="AG1416" i="2"/>
  <c r="AH1416" i="2"/>
  <c r="AI1416" i="2"/>
  <c r="AJ1416" i="2"/>
  <c r="AK1416" i="2"/>
  <c r="Z1417" i="2"/>
  <c r="AA1417" i="2"/>
  <c r="AB1417" i="2"/>
  <c r="AC1417" i="2"/>
  <c r="AD1417" i="2"/>
  <c r="AE1417" i="2"/>
  <c r="AF1417" i="2"/>
  <c r="AG1417" i="2"/>
  <c r="AH1417" i="2"/>
  <c r="AI1417" i="2"/>
  <c r="AJ1417" i="2"/>
  <c r="AK1417" i="2"/>
  <c r="Z1418" i="2"/>
  <c r="AA1418" i="2"/>
  <c r="AB1418" i="2"/>
  <c r="AC1418" i="2"/>
  <c r="AD1418" i="2"/>
  <c r="AE1418" i="2"/>
  <c r="AF1418" i="2"/>
  <c r="AG1418" i="2"/>
  <c r="AH1418" i="2"/>
  <c r="AI1418" i="2"/>
  <c r="AJ1418" i="2"/>
  <c r="AK1418" i="2"/>
  <c r="Z1419" i="2"/>
  <c r="AA1419" i="2"/>
  <c r="AB1419" i="2"/>
  <c r="AC1419" i="2"/>
  <c r="AD1419" i="2"/>
  <c r="AE1419" i="2"/>
  <c r="AF1419" i="2"/>
  <c r="AG1419" i="2"/>
  <c r="AH1419" i="2"/>
  <c r="AI1419" i="2"/>
  <c r="AJ1419" i="2"/>
  <c r="AK1419" i="2"/>
  <c r="Z1420" i="2"/>
  <c r="AA1420" i="2"/>
  <c r="AB1420" i="2"/>
  <c r="AC1420" i="2"/>
  <c r="AD1420" i="2"/>
  <c r="AE1420" i="2"/>
  <c r="AF1420" i="2"/>
  <c r="AG1420" i="2"/>
  <c r="AH1420" i="2"/>
  <c r="AI1420" i="2"/>
  <c r="AJ1420" i="2"/>
  <c r="AK1420" i="2"/>
  <c r="Z1421" i="2"/>
  <c r="AA1421" i="2"/>
  <c r="AB1421" i="2"/>
  <c r="AC1421" i="2"/>
  <c r="AD1421" i="2"/>
  <c r="AE1421" i="2"/>
  <c r="AF1421" i="2"/>
  <c r="AG1421" i="2"/>
  <c r="AH1421" i="2"/>
  <c r="AI1421" i="2"/>
  <c r="AJ1421" i="2"/>
  <c r="AK1421" i="2"/>
  <c r="Z1422" i="2"/>
  <c r="AA1422" i="2"/>
  <c r="AB1422" i="2"/>
  <c r="AC1422" i="2"/>
  <c r="AD1422" i="2"/>
  <c r="AE1422" i="2"/>
  <c r="AF1422" i="2"/>
  <c r="AG1422" i="2"/>
  <c r="AH1422" i="2"/>
  <c r="AI1422" i="2"/>
  <c r="AJ1422" i="2"/>
  <c r="AK1422" i="2"/>
  <c r="Z1423" i="2"/>
  <c r="AA1423" i="2"/>
  <c r="AB1423" i="2"/>
  <c r="AC1423" i="2"/>
  <c r="AD1423" i="2"/>
  <c r="AE1423" i="2"/>
  <c r="AF1423" i="2"/>
  <c r="AG1423" i="2"/>
  <c r="AH1423" i="2"/>
  <c r="AI1423" i="2"/>
  <c r="AJ1423" i="2"/>
  <c r="AK1423" i="2"/>
  <c r="Z1424" i="2"/>
  <c r="AA1424" i="2"/>
  <c r="AB1424" i="2"/>
  <c r="AC1424" i="2"/>
  <c r="AD1424" i="2"/>
  <c r="AE1424" i="2"/>
  <c r="AF1424" i="2"/>
  <c r="AG1424" i="2"/>
  <c r="AH1424" i="2"/>
  <c r="AI1424" i="2"/>
  <c r="AJ1424" i="2"/>
  <c r="AK1424" i="2"/>
  <c r="Z1425" i="2"/>
  <c r="AA1425" i="2"/>
  <c r="AB1425" i="2"/>
  <c r="AC1425" i="2"/>
  <c r="AD1425" i="2"/>
  <c r="AE1425" i="2"/>
  <c r="AF1425" i="2"/>
  <c r="AG1425" i="2"/>
  <c r="AH1425" i="2"/>
  <c r="AI1425" i="2"/>
  <c r="AJ1425" i="2"/>
  <c r="AK1425" i="2"/>
  <c r="Z1426" i="2"/>
  <c r="AA1426" i="2"/>
  <c r="AB1426" i="2"/>
  <c r="AC1426" i="2"/>
  <c r="AD1426" i="2"/>
  <c r="AE1426" i="2"/>
  <c r="AF1426" i="2"/>
  <c r="AG1426" i="2"/>
  <c r="AH1426" i="2"/>
  <c r="AI1426" i="2"/>
  <c r="AJ1426" i="2"/>
  <c r="AK1426" i="2"/>
  <c r="Z1427" i="2"/>
  <c r="AA1427" i="2"/>
  <c r="AB1427" i="2"/>
  <c r="AC1427" i="2"/>
  <c r="AD1427" i="2"/>
  <c r="AE1427" i="2"/>
  <c r="AF1427" i="2"/>
  <c r="AG1427" i="2"/>
  <c r="AH1427" i="2"/>
  <c r="AI1427" i="2"/>
  <c r="AJ1427" i="2"/>
  <c r="AK1427" i="2"/>
  <c r="Z1428" i="2"/>
  <c r="AA1428" i="2"/>
  <c r="AB1428" i="2"/>
  <c r="AC1428" i="2"/>
  <c r="AD1428" i="2"/>
  <c r="AE1428" i="2"/>
  <c r="AF1428" i="2"/>
  <c r="AG1428" i="2"/>
  <c r="AH1428" i="2"/>
  <c r="AI1428" i="2"/>
  <c r="AJ1428" i="2"/>
  <c r="AK1428" i="2"/>
  <c r="Z1429" i="2"/>
  <c r="AA1429" i="2"/>
  <c r="AB1429" i="2"/>
  <c r="AC1429" i="2"/>
  <c r="AD1429" i="2"/>
  <c r="AE1429" i="2"/>
  <c r="AF1429" i="2"/>
  <c r="AG1429" i="2"/>
  <c r="AH1429" i="2"/>
  <c r="AI1429" i="2"/>
  <c r="AJ1429" i="2"/>
  <c r="AK1429" i="2"/>
  <c r="Z1430" i="2"/>
  <c r="AA1430" i="2"/>
  <c r="AB1430" i="2"/>
  <c r="AC1430" i="2"/>
  <c r="AD1430" i="2"/>
  <c r="AE1430" i="2"/>
  <c r="AF1430" i="2"/>
  <c r="AG1430" i="2"/>
  <c r="AH1430" i="2"/>
  <c r="AI1430" i="2"/>
  <c r="AJ1430" i="2"/>
  <c r="AK1430" i="2"/>
  <c r="Z1431" i="2"/>
  <c r="AA1431" i="2"/>
  <c r="AB1431" i="2"/>
  <c r="AC1431" i="2"/>
  <c r="AD1431" i="2"/>
  <c r="AE1431" i="2"/>
  <c r="AF1431" i="2"/>
  <c r="AG1431" i="2"/>
  <c r="AH1431" i="2"/>
  <c r="AI1431" i="2"/>
  <c r="AJ1431" i="2"/>
  <c r="AK1431" i="2"/>
  <c r="Z1432" i="2"/>
  <c r="AA1432" i="2"/>
  <c r="AB1432" i="2"/>
  <c r="AC1432" i="2"/>
  <c r="AD1432" i="2"/>
  <c r="AE1432" i="2"/>
  <c r="AF1432" i="2"/>
  <c r="AG1432" i="2"/>
  <c r="AH1432" i="2"/>
  <c r="AI1432" i="2"/>
  <c r="AJ1432" i="2"/>
  <c r="AK1432" i="2"/>
  <c r="Z1433" i="2"/>
  <c r="AA1433" i="2"/>
  <c r="AB1433" i="2"/>
  <c r="AC1433" i="2"/>
  <c r="AD1433" i="2"/>
  <c r="AE1433" i="2"/>
  <c r="AF1433" i="2"/>
  <c r="AG1433" i="2"/>
  <c r="AH1433" i="2"/>
  <c r="AI1433" i="2"/>
  <c r="AJ1433" i="2"/>
  <c r="AK1433" i="2"/>
  <c r="Z1434" i="2"/>
  <c r="AA1434" i="2"/>
  <c r="AB1434" i="2"/>
  <c r="AC1434" i="2"/>
  <c r="AD1434" i="2"/>
  <c r="AE1434" i="2"/>
  <c r="AF1434" i="2"/>
  <c r="AG1434" i="2"/>
  <c r="AH1434" i="2"/>
  <c r="AI1434" i="2"/>
  <c r="AJ1434" i="2"/>
  <c r="AK1434" i="2"/>
  <c r="Z1435" i="2"/>
  <c r="AA1435" i="2"/>
  <c r="AB1435" i="2"/>
  <c r="AC1435" i="2"/>
  <c r="AD1435" i="2"/>
  <c r="AE1435" i="2"/>
  <c r="AF1435" i="2"/>
  <c r="AG1435" i="2"/>
  <c r="AH1435" i="2"/>
  <c r="AI1435" i="2"/>
  <c r="AJ1435" i="2"/>
  <c r="AK1435" i="2"/>
  <c r="Z1436" i="2"/>
  <c r="AA1436" i="2"/>
  <c r="AB1436" i="2"/>
  <c r="AC1436" i="2"/>
  <c r="AD1436" i="2"/>
  <c r="AE1436" i="2"/>
  <c r="AF1436" i="2"/>
  <c r="AG1436" i="2"/>
  <c r="AH1436" i="2"/>
  <c r="AI1436" i="2"/>
  <c r="AJ1436" i="2"/>
  <c r="AK1436" i="2"/>
  <c r="Z1437" i="2"/>
  <c r="AA1437" i="2"/>
  <c r="AB1437" i="2"/>
  <c r="AC1437" i="2"/>
  <c r="AD1437" i="2"/>
  <c r="AE1437" i="2"/>
  <c r="AF1437" i="2"/>
  <c r="AG1437" i="2"/>
  <c r="AH1437" i="2"/>
  <c r="AI1437" i="2"/>
  <c r="AJ1437" i="2"/>
  <c r="AK1437" i="2"/>
  <c r="Z1438" i="2"/>
  <c r="AA1438" i="2"/>
  <c r="AB1438" i="2"/>
  <c r="AC1438" i="2"/>
  <c r="AD1438" i="2"/>
  <c r="AE1438" i="2"/>
  <c r="AF1438" i="2"/>
  <c r="AG1438" i="2"/>
  <c r="AH1438" i="2"/>
  <c r="AI1438" i="2"/>
  <c r="AJ1438" i="2"/>
  <c r="AK1438" i="2"/>
  <c r="Z1439" i="2"/>
  <c r="AA1439" i="2"/>
  <c r="AB1439" i="2"/>
  <c r="AC1439" i="2"/>
  <c r="AD1439" i="2"/>
  <c r="AE1439" i="2"/>
  <c r="AF1439" i="2"/>
  <c r="AG1439" i="2"/>
  <c r="AH1439" i="2"/>
  <c r="AI1439" i="2"/>
  <c r="AJ1439" i="2"/>
  <c r="AK1439" i="2"/>
  <c r="Z1440" i="2"/>
  <c r="AA1440" i="2"/>
  <c r="AB1440" i="2"/>
  <c r="AC1440" i="2"/>
  <c r="AD1440" i="2"/>
  <c r="AE1440" i="2"/>
  <c r="AF1440" i="2"/>
  <c r="AG1440" i="2"/>
  <c r="AH1440" i="2"/>
  <c r="AI1440" i="2"/>
  <c r="AJ1440" i="2"/>
  <c r="AK1440" i="2"/>
  <c r="Z1441" i="2"/>
  <c r="AA1441" i="2"/>
  <c r="AB1441" i="2"/>
  <c r="AC1441" i="2"/>
  <c r="AD1441" i="2"/>
  <c r="AE1441" i="2"/>
  <c r="AF1441" i="2"/>
  <c r="AG1441" i="2"/>
  <c r="AH1441" i="2"/>
  <c r="AI1441" i="2"/>
  <c r="AJ1441" i="2"/>
  <c r="AK1441" i="2"/>
  <c r="Z1442" i="2"/>
  <c r="AA1442" i="2"/>
  <c r="AB1442" i="2"/>
  <c r="AC1442" i="2"/>
  <c r="AD1442" i="2"/>
  <c r="AE1442" i="2"/>
  <c r="AF1442" i="2"/>
  <c r="AG1442" i="2"/>
  <c r="AH1442" i="2"/>
  <c r="AI1442" i="2"/>
  <c r="AJ1442" i="2"/>
  <c r="AK1442" i="2"/>
  <c r="Z1443" i="2"/>
  <c r="AA1443" i="2"/>
  <c r="AB1443" i="2"/>
  <c r="AC1443" i="2"/>
  <c r="AD1443" i="2"/>
  <c r="AE1443" i="2"/>
  <c r="AF1443" i="2"/>
  <c r="AG1443" i="2"/>
  <c r="AH1443" i="2"/>
  <c r="AI1443" i="2"/>
  <c r="AJ1443" i="2"/>
  <c r="AK1443" i="2"/>
  <c r="Z1444" i="2"/>
  <c r="AA1444" i="2"/>
  <c r="AB1444" i="2"/>
  <c r="AC1444" i="2"/>
  <c r="AD1444" i="2"/>
  <c r="AE1444" i="2"/>
  <c r="AF1444" i="2"/>
  <c r="AG1444" i="2"/>
  <c r="AH1444" i="2"/>
  <c r="AI1444" i="2"/>
  <c r="AJ1444" i="2"/>
  <c r="AK1444" i="2"/>
  <c r="Z1445" i="2"/>
  <c r="AA1445" i="2"/>
  <c r="AB1445" i="2"/>
  <c r="AC1445" i="2"/>
  <c r="AD1445" i="2"/>
  <c r="AE1445" i="2"/>
  <c r="AF1445" i="2"/>
  <c r="AG1445" i="2"/>
  <c r="AH1445" i="2"/>
  <c r="AI1445" i="2"/>
  <c r="AJ1445" i="2"/>
  <c r="AK1445" i="2"/>
  <c r="Z1446" i="2"/>
  <c r="AA1446" i="2"/>
  <c r="AB1446" i="2"/>
  <c r="AC1446" i="2"/>
  <c r="AD1446" i="2"/>
  <c r="AE1446" i="2"/>
  <c r="AF1446" i="2"/>
  <c r="AG1446" i="2"/>
  <c r="AH1446" i="2"/>
  <c r="AI1446" i="2"/>
  <c r="AJ1446" i="2"/>
  <c r="AK1446" i="2"/>
  <c r="Z1447" i="2"/>
  <c r="AA1447" i="2"/>
  <c r="AB1447" i="2"/>
  <c r="AC1447" i="2"/>
  <c r="AD1447" i="2"/>
  <c r="AE1447" i="2"/>
  <c r="AF1447" i="2"/>
  <c r="AG1447" i="2"/>
  <c r="AH1447" i="2"/>
  <c r="AI1447" i="2"/>
  <c r="AJ1447" i="2"/>
  <c r="AK1447" i="2"/>
  <c r="Z1448" i="2"/>
  <c r="AA1448" i="2"/>
  <c r="AB1448" i="2"/>
  <c r="AC1448" i="2"/>
  <c r="AD1448" i="2"/>
  <c r="AE1448" i="2"/>
  <c r="AF1448" i="2"/>
  <c r="AG1448" i="2"/>
  <c r="AH1448" i="2"/>
  <c r="AI1448" i="2"/>
  <c r="AJ1448" i="2"/>
  <c r="AK1448" i="2"/>
  <c r="Z1449" i="2"/>
  <c r="AA1449" i="2"/>
  <c r="AB1449" i="2"/>
  <c r="AC1449" i="2"/>
  <c r="AD1449" i="2"/>
  <c r="AE1449" i="2"/>
  <c r="AF1449" i="2"/>
  <c r="AG1449" i="2"/>
  <c r="AH1449" i="2"/>
  <c r="AI1449" i="2"/>
  <c r="AJ1449" i="2"/>
  <c r="AK1449" i="2"/>
  <c r="Z1450" i="2"/>
  <c r="AA1450" i="2"/>
  <c r="AB1450" i="2"/>
  <c r="AC1450" i="2"/>
  <c r="AD1450" i="2"/>
  <c r="AE1450" i="2"/>
  <c r="AF1450" i="2"/>
  <c r="AG1450" i="2"/>
  <c r="AH1450" i="2"/>
  <c r="AI1450" i="2"/>
  <c r="AJ1450" i="2"/>
  <c r="AK1450" i="2"/>
  <c r="Z1451" i="2"/>
  <c r="AA1451" i="2"/>
  <c r="AB1451" i="2"/>
  <c r="AC1451" i="2"/>
  <c r="AD1451" i="2"/>
  <c r="AE1451" i="2"/>
  <c r="AF1451" i="2"/>
  <c r="AG1451" i="2"/>
  <c r="AH1451" i="2"/>
  <c r="AI1451" i="2"/>
  <c r="AJ1451" i="2"/>
  <c r="AK1451" i="2"/>
  <c r="Z1452" i="2"/>
  <c r="AA1452" i="2"/>
  <c r="AB1452" i="2"/>
  <c r="AC1452" i="2"/>
  <c r="AD1452" i="2"/>
  <c r="AE1452" i="2"/>
  <c r="AF1452" i="2"/>
  <c r="AG1452" i="2"/>
  <c r="AH1452" i="2"/>
  <c r="AI1452" i="2"/>
  <c r="AJ1452" i="2"/>
  <c r="AK1452" i="2"/>
  <c r="Z1453" i="2"/>
  <c r="AA1453" i="2"/>
  <c r="AB1453" i="2"/>
  <c r="AC1453" i="2"/>
  <c r="AD1453" i="2"/>
  <c r="AE1453" i="2"/>
  <c r="AF1453" i="2"/>
  <c r="AG1453" i="2"/>
  <c r="AH1453" i="2"/>
  <c r="AI1453" i="2"/>
  <c r="AJ1453" i="2"/>
  <c r="AK1453" i="2"/>
  <c r="Z1454" i="2"/>
  <c r="AA1454" i="2"/>
  <c r="AB1454" i="2"/>
  <c r="AC1454" i="2"/>
  <c r="AD1454" i="2"/>
  <c r="AE1454" i="2"/>
  <c r="AF1454" i="2"/>
  <c r="AG1454" i="2"/>
  <c r="AH1454" i="2"/>
  <c r="AI1454" i="2"/>
  <c r="AJ1454" i="2"/>
  <c r="AK1454" i="2"/>
  <c r="Z1455" i="2"/>
  <c r="AA1455" i="2"/>
  <c r="AB1455" i="2"/>
  <c r="AC1455" i="2"/>
  <c r="AD1455" i="2"/>
  <c r="AE1455" i="2"/>
  <c r="AF1455" i="2"/>
  <c r="AG1455" i="2"/>
  <c r="AH1455" i="2"/>
  <c r="AI1455" i="2"/>
  <c r="AJ1455" i="2"/>
  <c r="AK1455" i="2"/>
  <c r="Z1456" i="2"/>
  <c r="AA1456" i="2"/>
  <c r="AB1456" i="2"/>
  <c r="AC1456" i="2"/>
  <c r="AD1456" i="2"/>
  <c r="AE1456" i="2"/>
  <c r="AF1456" i="2"/>
  <c r="AG1456" i="2"/>
  <c r="AH1456" i="2"/>
  <c r="AI1456" i="2"/>
  <c r="AJ1456" i="2"/>
  <c r="AK1456" i="2"/>
  <c r="Z1457" i="2"/>
  <c r="AA1457" i="2"/>
  <c r="AB1457" i="2"/>
  <c r="AC1457" i="2"/>
  <c r="AD1457" i="2"/>
  <c r="AE1457" i="2"/>
  <c r="AF1457" i="2"/>
  <c r="AG1457" i="2"/>
  <c r="AH1457" i="2"/>
  <c r="AI1457" i="2"/>
  <c r="AJ1457" i="2"/>
  <c r="AK1457" i="2"/>
  <c r="Z1458" i="2"/>
  <c r="AA1458" i="2"/>
  <c r="AB1458" i="2"/>
  <c r="AC1458" i="2"/>
  <c r="AD1458" i="2"/>
  <c r="AE1458" i="2"/>
  <c r="AF1458" i="2"/>
  <c r="AG1458" i="2"/>
  <c r="AH1458" i="2"/>
  <c r="AI1458" i="2"/>
  <c r="AJ1458" i="2"/>
  <c r="AK1458" i="2"/>
  <c r="Z1459" i="2"/>
  <c r="AA1459" i="2"/>
  <c r="AB1459" i="2"/>
  <c r="AC1459" i="2"/>
  <c r="AD1459" i="2"/>
  <c r="AE1459" i="2"/>
  <c r="AF1459" i="2"/>
  <c r="AG1459" i="2"/>
  <c r="AH1459" i="2"/>
  <c r="AI1459" i="2"/>
  <c r="AJ1459" i="2"/>
  <c r="AK1459" i="2"/>
  <c r="Z1460" i="2"/>
  <c r="AA1460" i="2"/>
  <c r="AB1460" i="2"/>
  <c r="AC1460" i="2"/>
  <c r="AD1460" i="2"/>
  <c r="AE1460" i="2"/>
  <c r="AF1460" i="2"/>
  <c r="AG1460" i="2"/>
  <c r="AH1460" i="2"/>
  <c r="AI1460" i="2"/>
  <c r="AJ1460" i="2"/>
  <c r="AK1460" i="2"/>
  <c r="Z1461" i="2"/>
  <c r="AA1461" i="2"/>
  <c r="AB1461" i="2"/>
  <c r="AC1461" i="2"/>
  <c r="AD1461" i="2"/>
  <c r="AE1461" i="2"/>
  <c r="AF1461" i="2"/>
  <c r="AG1461" i="2"/>
  <c r="AH1461" i="2"/>
  <c r="AI1461" i="2"/>
  <c r="AJ1461" i="2"/>
  <c r="AK1461" i="2"/>
  <c r="Z1462" i="2"/>
  <c r="AA1462" i="2"/>
  <c r="AB1462" i="2"/>
  <c r="AC1462" i="2"/>
  <c r="AD1462" i="2"/>
  <c r="AE1462" i="2"/>
  <c r="AF1462" i="2"/>
  <c r="AG1462" i="2"/>
  <c r="AH1462" i="2"/>
  <c r="AI1462" i="2"/>
  <c r="AJ1462" i="2"/>
  <c r="AK1462" i="2"/>
  <c r="Z1463" i="2"/>
  <c r="AA1463" i="2"/>
  <c r="AB1463" i="2"/>
  <c r="AC1463" i="2"/>
  <c r="AD1463" i="2"/>
  <c r="AE1463" i="2"/>
  <c r="AF1463" i="2"/>
  <c r="AG1463" i="2"/>
  <c r="AH1463" i="2"/>
  <c r="AI1463" i="2"/>
  <c r="AJ1463" i="2"/>
  <c r="AK1463" i="2"/>
  <c r="Z1464" i="2"/>
  <c r="AA1464" i="2"/>
  <c r="AB1464" i="2"/>
  <c r="AC1464" i="2"/>
  <c r="AD1464" i="2"/>
  <c r="AE1464" i="2"/>
  <c r="AF1464" i="2"/>
  <c r="AG1464" i="2"/>
  <c r="AH1464" i="2"/>
  <c r="AI1464" i="2"/>
  <c r="AJ1464" i="2"/>
  <c r="AK1464" i="2"/>
  <c r="Z1465" i="2"/>
  <c r="AA1465" i="2"/>
  <c r="AB1465" i="2"/>
  <c r="AC1465" i="2"/>
  <c r="AD1465" i="2"/>
  <c r="AE1465" i="2"/>
  <c r="AF1465" i="2"/>
  <c r="AG1465" i="2"/>
  <c r="AH1465" i="2"/>
  <c r="AI1465" i="2"/>
  <c r="AJ1465" i="2"/>
  <c r="AK1465" i="2"/>
  <c r="Z1466" i="2"/>
  <c r="AA1466" i="2"/>
  <c r="AB1466" i="2"/>
  <c r="AC1466" i="2"/>
  <c r="AD1466" i="2"/>
  <c r="AE1466" i="2"/>
  <c r="AF1466" i="2"/>
  <c r="AG1466" i="2"/>
  <c r="AH1466" i="2"/>
  <c r="AI1466" i="2"/>
  <c r="AJ1466" i="2"/>
  <c r="AK1466" i="2"/>
  <c r="Z1467" i="2"/>
  <c r="AA1467" i="2"/>
  <c r="AB1467" i="2"/>
  <c r="AC1467" i="2"/>
  <c r="AD1467" i="2"/>
  <c r="AE1467" i="2"/>
  <c r="AF1467" i="2"/>
  <c r="AG1467" i="2"/>
  <c r="AH1467" i="2"/>
  <c r="AI1467" i="2"/>
  <c r="AJ1467" i="2"/>
  <c r="AK1467" i="2"/>
  <c r="Z1468" i="2"/>
  <c r="AA1468" i="2"/>
  <c r="AB1468" i="2"/>
  <c r="AC1468" i="2"/>
  <c r="AD1468" i="2"/>
  <c r="AE1468" i="2"/>
  <c r="AF1468" i="2"/>
  <c r="AG1468" i="2"/>
  <c r="AH1468" i="2"/>
  <c r="AI1468" i="2"/>
  <c r="AJ1468" i="2"/>
  <c r="AK1468" i="2"/>
  <c r="Z1469" i="2"/>
  <c r="AA1469" i="2"/>
  <c r="AB1469" i="2"/>
  <c r="AC1469" i="2"/>
  <c r="AD1469" i="2"/>
  <c r="AE1469" i="2"/>
  <c r="AF1469" i="2"/>
  <c r="AG1469" i="2"/>
  <c r="AH1469" i="2"/>
  <c r="AI1469" i="2"/>
  <c r="AJ1469" i="2"/>
  <c r="AK1469" i="2"/>
  <c r="Z1470" i="2"/>
  <c r="AA1470" i="2"/>
  <c r="AB1470" i="2"/>
  <c r="AC1470" i="2"/>
  <c r="AD1470" i="2"/>
  <c r="AE1470" i="2"/>
  <c r="AF1470" i="2"/>
  <c r="AG1470" i="2"/>
  <c r="AH1470" i="2"/>
  <c r="AI1470" i="2"/>
  <c r="AJ1470" i="2"/>
  <c r="AK1470" i="2"/>
  <c r="Z1471" i="2"/>
  <c r="AA1471" i="2"/>
  <c r="AB1471" i="2"/>
  <c r="AC1471" i="2"/>
  <c r="AD1471" i="2"/>
  <c r="AE1471" i="2"/>
  <c r="AF1471" i="2"/>
  <c r="AG1471" i="2"/>
  <c r="AH1471" i="2"/>
  <c r="AI1471" i="2"/>
  <c r="AJ1471" i="2"/>
  <c r="AK1471" i="2"/>
  <c r="Z1472" i="2"/>
  <c r="AA1472" i="2"/>
  <c r="AB1472" i="2"/>
  <c r="AC1472" i="2"/>
  <c r="AD1472" i="2"/>
  <c r="AE1472" i="2"/>
  <c r="AF1472" i="2"/>
  <c r="AG1472" i="2"/>
  <c r="AH1472" i="2"/>
  <c r="AI1472" i="2"/>
  <c r="AJ1472" i="2"/>
  <c r="AK1472" i="2"/>
  <c r="Z1473" i="2"/>
  <c r="AA1473" i="2"/>
  <c r="AB1473" i="2"/>
  <c r="AC1473" i="2"/>
  <c r="AD1473" i="2"/>
  <c r="AE1473" i="2"/>
  <c r="AF1473" i="2"/>
  <c r="AG1473" i="2"/>
  <c r="AH1473" i="2"/>
  <c r="AI1473" i="2"/>
  <c r="AJ1473" i="2"/>
  <c r="AK1473" i="2"/>
  <c r="Z1474" i="2"/>
  <c r="AA1474" i="2"/>
  <c r="AB1474" i="2"/>
  <c r="AC1474" i="2"/>
  <c r="AD1474" i="2"/>
  <c r="AE1474" i="2"/>
  <c r="AF1474" i="2"/>
  <c r="AG1474" i="2"/>
  <c r="AH1474" i="2"/>
  <c r="AI1474" i="2"/>
  <c r="AJ1474" i="2"/>
  <c r="AK1474" i="2"/>
  <c r="Z1475" i="2"/>
  <c r="AA1475" i="2"/>
  <c r="AB1475" i="2"/>
  <c r="AC1475" i="2"/>
  <c r="AD1475" i="2"/>
  <c r="AE1475" i="2"/>
  <c r="AF1475" i="2"/>
  <c r="AG1475" i="2"/>
  <c r="AH1475" i="2"/>
  <c r="AI1475" i="2"/>
  <c r="AJ1475" i="2"/>
  <c r="AK1475" i="2"/>
  <c r="Z1476" i="2"/>
  <c r="AA1476" i="2"/>
  <c r="AB1476" i="2"/>
  <c r="AC1476" i="2"/>
  <c r="AD1476" i="2"/>
  <c r="AE1476" i="2"/>
  <c r="AF1476" i="2"/>
  <c r="AG1476" i="2"/>
  <c r="AH1476" i="2"/>
  <c r="AI1476" i="2"/>
  <c r="AJ1476" i="2"/>
  <c r="AK1476" i="2"/>
  <c r="Z1477" i="2"/>
  <c r="AA1477" i="2"/>
  <c r="AB1477" i="2"/>
  <c r="AC1477" i="2"/>
  <c r="AD1477" i="2"/>
  <c r="AE1477" i="2"/>
  <c r="AF1477" i="2"/>
  <c r="AG1477" i="2"/>
  <c r="AH1477" i="2"/>
  <c r="AI1477" i="2"/>
  <c r="AJ1477" i="2"/>
  <c r="AK1477" i="2"/>
  <c r="Z1478" i="2"/>
  <c r="AA1478" i="2"/>
  <c r="AB1478" i="2"/>
  <c r="AC1478" i="2"/>
  <c r="AD1478" i="2"/>
  <c r="AE1478" i="2"/>
  <c r="AF1478" i="2"/>
  <c r="AG1478" i="2"/>
  <c r="AH1478" i="2"/>
  <c r="AI1478" i="2"/>
  <c r="AJ1478" i="2"/>
  <c r="AK1478" i="2"/>
  <c r="Z1479" i="2"/>
  <c r="AA1479" i="2"/>
  <c r="AB1479" i="2"/>
  <c r="AC1479" i="2"/>
  <c r="AD1479" i="2"/>
  <c r="AE1479" i="2"/>
  <c r="AF1479" i="2"/>
  <c r="AG1479" i="2"/>
  <c r="AH1479" i="2"/>
  <c r="AI1479" i="2"/>
  <c r="AJ1479" i="2"/>
  <c r="AK1479" i="2"/>
  <c r="Z1480" i="2"/>
  <c r="AA1480" i="2"/>
  <c r="AB1480" i="2"/>
  <c r="AC1480" i="2"/>
  <c r="AD1480" i="2"/>
  <c r="AE1480" i="2"/>
  <c r="AF1480" i="2"/>
  <c r="AG1480" i="2"/>
  <c r="AH1480" i="2"/>
  <c r="AI1480" i="2"/>
  <c r="AJ1480" i="2"/>
  <c r="AK1480" i="2"/>
  <c r="Z1481" i="2"/>
  <c r="AA1481" i="2"/>
  <c r="AB1481" i="2"/>
  <c r="AC1481" i="2"/>
  <c r="AD1481" i="2"/>
  <c r="AE1481" i="2"/>
  <c r="AF1481" i="2"/>
  <c r="AG1481" i="2"/>
  <c r="AH1481" i="2"/>
  <c r="AI1481" i="2"/>
  <c r="AJ1481" i="2"/>
  <c r="AK1481" i="2"/>
  <c r="Z1482" i="2"/>
  <c r="AA1482" i="2"/>
  <c r="AB1482" i="2"/>
  <c r="AC1482" i="2"/>
  <c r="AD1482" i="2"/>
  <c r="AE1482" i="2"/>
  <c r="AF1482" i="2"/>
  <c r="AG1482" i="2"/>
  <c r="AH1482" i="2"/>
  <c r="AI1482" i="2"/>
  <c r="AJ1482" i="2"/>
  <c r="AK1482" i="2"/>
  <c r="Z1483" i="2"/>
  <c r="AA1483" i="2"/>
  <c r="AB1483" i="2"/>
  <c r="AC1483" i="2"/>
  <c r="AD1483" i="2"/>
  <c r="AE1483" i="2"/>
  <c r="AF1483" i="2"/>
  <c r="AG1483" i="2"/>
  <c r="AH1483" i="2"/>
  <c r="AI1483" i="2"/>
  <c r="AJ1483" i="2"/>
  <c r="AK1483" i="2"/>
  <c r="Z1484" i="2"/>
  <c r="AA1484" i="2"/>
  <c r="AB1484" i="2"/>
  <c r="AC1484" i="2"/>
  <c r="AD1484" i="2"/>
  <c r="AE1484" i="2"/>
  <c r="AF1484" i="2"/>
  <c r="AG1484" i="2"/>
  <c r="AH1484" i="2"/>
  <c r="AI1484" i="2"/>
  <c r="AJ1484" i="2"/>
  <c r="AK1484" i="2"/>
  <c r="Z1485" i="2"/>
  <c r="AA1485" i="2"/>
  <c r="AB1485" i="2"/>
  <c r="AC1485" i="2"/>
  <c r="AD1485" i="2"/>
  <c r="AE1485" i="2"/>
  <c r="AF1485" i="2"/>
  <c r="AG1485" i="2"/>
  <c r="AH1485" i="2"/>
  <c r="AI1485" i="2"/>
  <c r="AJ1485" i="2"/>
  <c r="AK1485" i="2"/>
  <c r="Z1486" i="2"/>
  <c r="AA1486" i="2"/>
  <c r="AB1486" i="2"/>
  <c r="AC1486" i="2"/>
  <c r="AD1486" i="2"/>
  <c r="AE1486" i="2"/>
  <c r="AF1486" i="2"/>
  <c r="AG1486" i="2"/>
  <c r="AH1486" i="2"/>
  <c r="AI1486" i="2"/>
  <c r="AJ1486" i="2"/>
  <c r="AK1486" i="2"/>
  <c r="Z1487" i="2"/>
  <c r="AA1487" i="2"/>
  <c r="AB1487" i="2"/>
  <c r="AC1487" i="2"/>
  <c r="AD1487" i="2"/>
  <c r="AE1487" i="2"/>
  <c r="AF1487" i="2"/>
  <c r="AG1487" i="2"/>
  <c r="AH1487" i="2"/>
  <c r="AI1487" i="2"/>
  <c r="AJ1487" i="2"/>
  <c r="AK1487" i="2"/>
  <c r="Z1488" i="2"/>
  <c r="AA1488" i="2"/>
  <c r="AB1488" i="2"/>
  <c r="AC1488" i="2"/>
  <c r="AD1488" i="2"/>
  <c r="AE1488" i="2"/>
  <c r="AF1488" i="2"/>
  <c r="AG1488" i="2"/>
  <c r="AH1488" i="2"/>
  <c r="AI1488" i="2"/>
  <c r="AJ1488" i="2"/>
  <c r="AK1488" i="2"/>
  <c r="Z1489" i="2"/>
  <c r="AA1489" i="2"/>
  <c r="AB1489" i="2"/>
  <c r="AC1489" i="2"/>
  <c r="AD1489" i="2"/>
  <c r="AE1489" i="2"/>
  <c r="AF1489" i="2"/>
  <c r="AG1489" i="2"/>
  <c r="AH1489" i="2"/>
  <c r="AI1489" i="2"/>
  <c r="AJ1489" i="2"/>
  <c r="AK1489" i="2"/>
  <c r="Z1490" i="2"/>
  <c r="AA1490" i="2"/>
  <c r="AB1490" i="2"/>
  <c r="AC1490" i="2"/>
  <c r="AD1490" i="2"/>
  <c r="AE1490" i="2"/>
  <c r="AF1490" i="2"/>
  <c r="AG1490" i="2"/>
  <c r="AH1490" i="2"/>
  <c r="AI1490" i="2"/>
  <c r="AJ1490" i="2"/>
  <c r="AK1490" i="2"/>
  <c r="Z1491" i="2"/>
  <c r="AA1491" i="2"/>
  <c r="AB1491" i="2"/>
  <c r="AC1491" i="2"/>
  <c r="AD1491" i="2"/>
  <c r="AE1491" i="2"/>
  <c r="AF1491" i="2"/>
  <c r="AG1491" i="2"/>
  <c r="AH1491" i="2"/>
  <c r="AI1491" i="2"/>
  <c r="AJ1491" i="2"/>
  <c r="AK1491" i="2"/>
  <c r="Z1492" i="2"/>
  <c r="AA1492" i="2"/>
  <c r="AB1492" i="2"/>
  <c r="AC1492" i="2"/>
  <c r="AD1492" i="2"/>
  <c r="AE1492" i="2"/>
  <c r="AF1492" i="2"/>
  <c r="AG1492" i="2"/>
  <c r="AH1492" i="2"/>
  <c r="AI1492" i="2"/>
  <c r="AJ1492" i="2"/>
  <c r="AK1492" i="2"/>
  <c r="Z1493" i="2"/>
  <c r="AA1493" i="2"/>
  <c r="AB1493" i="2"/>
  <c r="AC1493" i="2"/>
  <c r="AD1493" i="2"/>
  <c r="AE1493" i="2"/>
  <c r="AF1493" i="2"/>
  <c r="AG1493" i="2"/>
  <c r="AH1493" i="2"/>
  <c r="AI1493" i="2"/>
  <c r="AJ1493" i="2"/>
  <c r="AK1493" i="2"/>
  <c r="Z1494" i="2"/>
  <c r="AA1494" i="2"/>
  <c r="AB1494" i="2"/>
  <c r="AC1494" i="2"/>
  <c r="AD1494" i="2"/>
  <c r="AE1494" i="2"/>
  <c r="AF1494" i="2"/>
  <c r="AG1494" i="2"/>
  <c r="AH1494" i="2"/>
  <c r="AI1494" i="2"/>
  <c r="AJ1494" i="2"/>
  <c r="AK1494" i="2"/>
  <c r="Z1495" i="2"/>
  <c r="AA1495" i="2"/>
  <c r="AB1495" i="2"/>
  <c r="AC1495" i="2"/>
  <c r="AD1495" i="2"/>
  <c r="AE1495" i="2"/>
  <c r="AF1495" i="2"/>
  <c r="AG1495" i="2"/>
  <c r="AH1495" i="2"/>
  <c r="AI1495" i="2"/>
  <c r="AJ1495" i="2"/>
  <c r="AK1495" i="2"/>
  <c r="Z1496" i="2"/>
  <c r="AA1496" i="2"/>
  <c r="AB1496" i="2"/>
  <c r="AC1496" i="2"/>
  <c r="AD1496" i="2"/>
  <c r="AE1496" i="2"/>
  <c r="AF1496" i="2"/>
  <c r="AG1496" i="2"/>
  <c r="AH1496" i="2"/>
  <c r="AI1496" i="2"/>
  <c r="AJ1496" i="2"/>
  <c r="AK1496" i="2"/>
  <c r="Z1497" i="2"/>
  <c r="AA1497" i="2"/>
  <c r="AB1497" i="2"/>
  <c r="AC1497" i="2"/>
  <c r="AD1497" i="2"/>
  <c r="AE1497" i="2"/>
  <c r="AF1497" i="2"/>
  <c r="AG1497" i="2"/>
  <c r="AH1497" i="2"/>
  <c r="AI1497" i="2"/>
  <c r="AJ1497" i="2"/>
  <c r="AK1497" i="2"/>
  <c r="Z1498" i="2"/>
  <c r="AA1498" i="2"/>
  <c r="AB1498" i="2"/>
  <c r="AC1498" i="2"/>
  <c r="AD1498" i="2"/>
  <c r="AE1498" i="2"/>
  <c r="AF1498" i="2"/>
  <c r="AG1498" i="2"/>
  <c r="AH1498" i="2"/>
  <c r="AI1498" i="2"/>
  <c r="AJ1498" i="2"/>
  <c r="AK1498" i="2"/>
  <c r="Z1499" i="2"/>
  <c r="AA1499" i="2"/>
  <c r="AB1499" i="2"/>
  <c r="AC1499" i="2"/>
  <c r="AD1499" i="2"/>
  <c r="AE1499" i="2"/>
  <c r="AF1499" i="2"/>
  <c r="AG1499" i="2"/>
  <c r="AH1499" i="2"/>
  <c r="AI1499" i="2"/>
  <c r="AJ1499" i="2"/>
  <c r="AK1499" i="2"/>
  <c r="Z1500" i="2"/>
  <c r="AA1500" i="2"/>
  <c r="AB1500" i="2"/>
  <c r="AC1500" i="2"/>
  <c r="AD1500" i="2"/>
  <c r="AE1500" i="2"/>
  <c r="AF1500" i="2"/>
  <c r="AG1500" i="2"/>
  <c r="AH1500" i="2"/>
  <c r="AI1500" i="2"/>
  <c r="AJ1500" i="2"/>
  <c r="AK1500" i="2"/>
  <c r="Z1501" i="2"/>
  <c r="AA1501" i="2"/>
  <c r="AB1501" i="2"/>
  <c r="AC1501" i="2"/>
  <c r="AD1501" i="2"/>
  <c r="AE1501" i="2"/>
  <c r="AF1501" i="2"/>
  <c r="AG1501" i="2"/>
  <c r="AH1501" i="2"/>
  <c r="AI1501" i="2"/>
  <c r="AJ1501" i="2"/>
  <c r="AK1501" i="2"/>
  <c r="Z1502" i="2"/>
  <c r="AA1502" i="2"/>
  <c r="AB1502" i="2"/>
  <c r="AC1502" i="2"/>
  <c r="AD1502" i="2"/>
  <c r="AE1502" i="2"/>
  <c r="AF1502" i="2"/>
  <c r="AG1502" i="2"/>
  <c r="AH1502" i="2"/>
  <c r="AI1502" i="2"/>
  <c r="AJ1502" i="2"/>
  <c r="AK1502" i="2"/>
  <c r="Z1503" i="2"/>
  <c r="AA1503" i="2"/>
  <c r="AB1503" i="2"/>
  <c r="AC1503" i="2"/>
  <c r="AD1503" i="2"/>
  <c r="AE1503" i="2"/>
  <c r="AF1503" i="2"/>
  <c r="AG1503" i="2"/>
  <c r="AH1503" i="2"/>
  <c r="AI1503" i="2"/>
  <c r="AJ1503" i="2"/>
  <c r="AK1503" i="2"/>
  <c r="Z1504" i="2"/>
  <c r="AA1504" i="2"/>
  <c r="AB1504" i="2"/>
  <c r="AC1504" i="2"/>
  <c r="AD1504" i="2"/>
  <c r="AE1504" i="2"/>
  <c r="AF1504" i="2"/>
  <c r="AG1504" i="2"/>
  <c r="AH1504" i="2"/>
  <c r="AI1504" i="2"/>
  <c r="AJ1504" i="2"/>
  <c r="AK1504" i="2"/>
  <c r="Z1505" i="2"/>
  <c r="AA1505" i="2"/>
  <c r="AB1505" i="2"/>
  <c r="AC1505" i="2"/>
  <c r="AD1505" i="2"/>
  <c r="AE1505" i="2"/>
  <c r="AF1505" i="2"/>
  <c r="AG1505" i="2"/>
  <c r="AH1505" i="2"/>
  <c r="AI1505" i="2"/>
  <c r="AJ1505" i="2"/>
  <c r="AK1505" i="2"/>
  <c r="Z1506" i="2"/>
  <c r="AA1506" i="2"/>
  <c r="AB1506" i="2"/>
  <c r="AC1506" i="2"/>
  <c r="AD1506" i="2"/>
  <c r="AE1506" i="2"/>
  <c r="AF1506" i="2"/>
  <c r="AG1506" i="2"/>
  <c r="AH1506" i="2"/>
  <c r="AI1506" i="2"/>
  <c r="AJ1506" i="2"/>
  <c r="AK1506" i="2"/>
  <c r="Z1507" i="2"/>
  <c r="AA1507" i="2"/>
  <c r="AB1507" i="2"/>
  <c r="AC1507" i="2"/>
  <c r="AD1507" i="2"/>
  <c r="AE1507" i="2"/>
  <c r="AF1507" i="2"/>
  <c r="AG1507" i="2"/>
  <c r="AH1507" i="2"/>
  <c r="AI1507" i="2"/>
  <c r="AJ1507" i="2"/>
  <c r="AK1507" i="2"/>
  <c r="Z1508" i="2"/>
  <c r="AA1508" i="2"/>
  <c r="AB1508" i="2"/>
  <c r="AC1508" i="2"/>
  <c r="AD1508" i="2"/>
  <c r="AE1508" i="2"/>
  <c r="AF1508" i="2"/>
  <c r="AG1508" i="2"/>
  <c r="AH1508" i="2"/>
  <c r="AI1508" i="2"/>
  <c r="AJ1508" i="2"/>
  <c r="AK1508" i="2"/>
  <c r="Z1509" i="2"/>
  <c r="AA1509" i="2"/>
  <c r="AB1509" i="2"/>
  <c r="AC1509" i="2"/>
  <c r="AD1509" i="2"/>
  <c r="AE1509" i="2"/>
  <c r="AF1509" i="2"/>
  <c r="AG1509" i="2"/>
  <c r="AH1509" i="2"/>
  <c r="AI1509" i="2"/>
  <c r="AJ1509" i="2"/>
  <c r="AK1509" i="2"/>
  <c r="Z1510" i="2"/>
  <c r="AA1510" i="2"/>
  <c r="AB1510" i="2"/>
  <c r="AC1510" i="2"/>
  <c r="AD1510" i="2"/>
  <c r="AE1510" i="2"/>
  <c r="AF1510" i="2"/>
  <c r="AG1510" i="2"/>
  <c r="AH1510" i="2"/>
  <c r="AI1510" i="2"/>
  <c r="AJ1510" i="2"/>
  <c r="AK1510" i="2"/>
  <c r="Z1511" i="2"/>
  <c r="AA1511" i="2"/>
  <c r="AB1511" i="2"/>
  <c r="AC1511" i="2"/>
  <c r="AD1511" i="2"/>
  <c r="AE1511" i="2"/>
  <c r="AF1511" i="2"/>
  <c r="AG1511" i="2"/>
  <c r="AH1511" i="2"/>
  <c r="AI1511" i="2"/>
  <c r="AJ1511" i="2"/>
  <c r="AK1511" i="2"/>
  <c r="Z1512" i="2"/>
  <c r="AA1512" i="2"/>
  <c r="AB1512" i="2"/>
  <c r="AC1512" i="2"/>
  <c r="AD1512" i="2"/>
  <c r="AE1512" i="2"/>
  <c r="AF1512" i="2"/>
  <c r="AG1512" i="2"/>
  <c r="AH1512" i="2"/>
  <c r="AI1512" i="2"/>
  <c r="AJ1512" i="2"/>
  <c r="AK1512" i="2"/>
  <c r="Z1513" i="2"/>
  <c r="AA1513" i="2"/>
  <c r="AB1513" i="2"/>
  <c r="AC1513" i="2"/>
  <c r="AD1513" i="2"/>
  <c r="AE1513" i="2"/>
  <c r="AF1513" i="2"/>
  <c r="AG1513" i="2"/>
  <c r="AH1513" i="2"/>
  <c r="AI1513" i="2"/>
  <c r="AJ1513" i="2"/>
  <c r="AK1513" i="2"/>
  <c r="Z1514" i="2"/>
  <c r="AA1514" i="2"/>
  <c r="AB1514" i="2"/>
  <c r="AC1514" i="2"/>
  <c r="AD1514" i="2"/>
  <c r="AE1514" i="2"/>
  <c r="AF1514" i="2"/>
  <c r="AG1514" i="2"/>
  <c r="AH1514" i="2"/>
  <c r="AI1514" i="2"/>
  <c r="AJ1514" i="2"/>
  <c r="AK1514" i="2"/>
  <c r="Z1515" i="2"/>
  <c r="AA1515" i="2"/>
  <c r="AB1515" i="2"/>
  <c r="AC1515" i="2"/>
  <c r="AD1515" i="2"/>
  <c r="AE1515" i="2"/>
  <c r="AF1515" i="2"/>
  <c r="AG1515" i="2"/>
  <c r="AH1515" i="2"/>
  <c r="AI1515" i="2"/>
  <c r="AJ1515" i="2"/>
  <c r="AK1515" i="2"/>
  <c r="Z1516" i="2"/>
  <c r="AA1516" i="2"/>
  <c r="AB1516" i="2"/>
  <c r="AC1516" i="2"/>
  <c r="AD1516" i="2"/>
  <c r="AE1516" i="2"/>
  <c r="AF1516" i="2"/>
  <c r="AG1516" i="2"/>
  <c r="AH1516" i="2"/>
  <c r="AI1516" i="2"/>
  <c r="AJ1516" i="2"/>
  <c r="AK1516" i="2"/>
  <c r="Z1517" i="2"/>
  <c r="AA1517" i="2"/>
  <c r="AB1517" i="2"/>
  <c r="AC1517" i="2"/>
  <c r="AD1517" i="2"/>
  <c r="AE1517" i="2"/>
  <c r="AF1517" i="2"/>
  <c r="AG1517" i="2"/>
  <c r="AH1517" i="2"/>
  <c r="AI1517" i="2"/>
  <c r="AJ1517" i="2"/>
  <c r="AK1517" i="2"/>
  <c r="Z1518" i="2"/>
  <c r="AA1518" i="2"/>
  <c r="AB1518" i="2"/>
  <c r="AC1518" i="2"/>
  <c r="AD1518" i="2"/>
  <c r="AE1518" i="2"/>
  <c r="AF1518" i="2"/>
  <c r="AG1518" i="2"/>
  <c r="AH1518" i="2"/>
  <c r="AI1518" i="2"/>
  <c r="AJ1518" i="2"/>
  <c r="AK1518" i="2"/>
  <c r="Z1519" i="2"/>
  <c r="AA1519" i="2"/>
  <c r="AB1519" i="2"/>
  <c r="AC1519" i="2"/>
  <c r="AD1519" i="2"/>
  <c r="AE1519" i="2"/>
  <c r="AF1519" i="2"/>
  <c r="AG1519" i="2"/>
  <c r="AH1519" i="2"/>
  <c r="AI1519" i="2"/>
  <c r="AJ1519" i="2"/>
  <c r="AK1519" i="2"/>
  <c r="Z1520" i="2"/>
  <c r="AA1520" i="2"/>
  <c r="AB1520" i="2"/>
  <c r="AC1520" i="2"/>
  <c r="AD1520" i="2"/>
  <c r="AE1520" i="2"/>
  <c r="AF1520" i="2"/>
  <c r="AG1520" i="2"/>
  <c r="AH1520" i="2"/>
  <c r="AI1520" i="2"/>
  <c r="AJ1520" i="2"/>
  <c r="AK1520" i="2"/>
  <c r="Z1521" i="2"/>
  <c r="AA1521" i="2"/>
  <c r="AB1521" i="2"/>
  <c r="AC1521" i="2"/>
  <c r="AD1521" i="2"/>
  <c r="AE1521" i="2"/>
  <c r="AF1521" i="2"/>
  <c r="AG1521" i="2"/>
  <c r="AH1521" i="2"/>
  <c r="AI1521" i="2"/>
  <c r="AJ1521" i="2"/>
  <c r="AK1521" i="2"/>
  <c r="Z1522" i="2"/>
  <c r="AA1522" i="2"/>
  <c r="AB1522" i="2"/>
  <c r="AC1522" i="2"/>
  <c r="AD1522" i="2"/>
  <c r="AE1522" i="2"/>
  <c r="AF1522" i="2"/>
  <c r="AG1522" i="2"/>
  <c r="AH1522" i="2"/>
  <c r="AI1522" i="2"/>
  <c r="AJ1522" i="2"/>
  <c r="AK1522" i="2"/>
  <c r="Z1523" i="2"/>
  <c r="AA1523" i="2"/>
  <c r="AB1523" i="2"/>
  <c r="AC1523" i="2"/>
  <c r="AD1523" i="2"/>
  <c r="AE1523" i="2"/>
  <c r="AF1523" i="2"/>
  <c r="AG1523" i="2"/>
  <c r="AH1523" i="2"/>
  <c r="AI1523" i="2"/>
  <c r="AJ1523" i="2"/>
  <c r="AK1523" i="2"/>
  <c r="Z1524" i="2"/>
  <c r="AA1524" i="2"/>
  <c r="AB1524" i="2"/>
  <c r="AC1524" i="2"/>
  <c r="AD1524" i="2"/>
  <c r="AE1524" i="2"/>
  <c r="AF1524" i="2"/>
  <c r="AG1524" i="2"/>
  <c r="AH1524" i="2"/>
  <c r="AI1524" i="2"/>
  <c r="AJ1524" i="2"/>
  <c r="AK1524" i="2"/>
  <c r="Z1525" i="2"/>
  <c r="AA1525" i="2"/>
  <c r="AB1525" i="2"/>
  <c r="AC1525" i="2"/>
  <c r="AD1525" i="2"/>
  <c r="AE1525" i="2"/>
  <c r="AF1525" i="2"/>
  <c r="AG1525" i="2"/>
  <c r="AH1525" i="2"/>
  <c r="AI1525" i="2"/>
  <c r="AJ1525" i="2"/>
  <c r="AK1525" i="2"/>
  <c r="Z1526" i="2"/>
  <c r="AA1526" i="2"/>
  <c r="AB1526" i="2"/>
  <c r="AC1526" i="2"/>
  <c r="AD1526" i="2"/>
  <c r="AE1526" i="2"/>
  <c r="AF1526" i="2"/>
  <c r="AG1526" i="2"/>
  <c r="AH1526" i="2"/>
  <c r="AI1526" i="2"/>
  <c r="AJ1526" i="2"/>
  <c r="AK1526" i="2"/>
  <c r="Z1527" i="2"/>
  <c r="AA1527" i="2"/>
  <c r="AB1527" i="2"/>
  <c r="AC1527" i="2"/>
  <c r="AD1527" i="2"/>
  <c r="AE1527" i="2"/>
  <c r="AF1527" i="2"/>
  <c r="AG1527" i="2"/>
  <c r="AH1527" i="2"/>
  <c r="AI1527" i="2"/>
  <c r="AJ1527" i="2"/>
  <c r="AK1527" i="2"/>
  <c r="Z1528" i="2"/>
  <c r="AA1528" i="2"/>
  <c r="AB1528" i="2"/>
  <c r="AC1528" i="2"/>
  <c r="AD1528" i="2"/>
  <c r="AE1528" i="2"/>
  <c r="AF1528" i="2"/>
  <c r="AG1528" i="2"/>
  <c r="AH1528" i="2"/>
  <c r="AI1528" i="2"/>
  <c r="AJ1528" i="2"/>
  <c r="AK1528" i="2"/>
  <c r="Z1529" i="2"/>
  <c r="AA1529" i="2"/>
  <c r="AB1529" i="2"/>
  <c r="AC1529" i="2"/>
  <c r="AD1529" i="2"/>
  <c r="AE1529" i="2"/>
  <c r="AF1529" i="2"/>
  <c r="AG1529" i="2"/>
  <c r="AH1529" i="2"/>
  <c r="AI1529" i="2"/>
  <c r="AJ1529" i="2"/>
  <c r="AK1529" i="2"/>
  <c r="Z1530" i="2"/>
  <c r="AA1530" i="2"/>
  <c r="AB1530" i="2"/>
  <c r="AC1530" i="2"/>
  <c r="AD1530" i="2"/>
  <c r="AE1530" i="2"/>
  <c r="AF1530" i="2"/>
  <c r="AG1530" i="2"/>
  <c r="AH1530" i="2"/>
  <c r="AI1530" i="2"/>
  <c r="AJ1530" i="2"/>
  <c r="AK1530" i="2"/>
  <c r="Z1531" i="2"/>
  <c r="AA1531" i="2"/>
  <c r="AB1531" i="2"/>
  <c r="AC1531" i="2"/>
  <c r="AD1531" i="2"/>
  <c r="AE1531" i="2"/>
  <c r="AF1531" i="2"/>
  <c r="AG1531" i="2"/>
  <c r="AH1531" i="2"/>
  <c r="AI1531" i="2"/>
  <c r="AJ1531" i="2"/>
  <c r="AK1531" i="2"/>
  <c r="Z1532" i="2"/>
  <c r="AA1532" i="2"/>
  <c r="AB1532" i="2"/>
  <c r="AC1532" i="2"/>
  <c r="AD1532" i="2"/>
  <c r="AE1532" i="2"/>
  <c r="AF1532" i="2"/>
  <c r="AG1532" i="2"/>
  <c r="AH1532" i="2"/>
  <c r="AI1532" i="2"/>
  <c r="AJ1532" i="2"/>
  <c r="AK1532" i="2"/>
  <c r="Z1533" i="2"/>
  <c r="AA1533" i="2"/>
  <c r="AB1533" i="2"/>
  <c r="AC1533" i="2"/>
  <c r="AD1533" i="2"/>
  <c r="AE1533" i="2"/>
  <c r="AF1533" i="2"/>
  <c r="AG1533" i="2"/>
  <c r="AH1533" i="2"/>
  <c r="AI1533" i="2"/>
  <c r="AJ1533" i="2"/>
  <c r="AK1533" i="2"/>
  <c r="Z1534" i="2"/>
  <c r="AA1534" i="2"/>
  <c r="AB1534" i="2"/>
  <c r="AC1534" i="2"/>
  <c r="AD1534" i="2"/>
  <c r="AE1534" i="2"/>
  <c r="AF1534" i="2"/>
  <c r="AG1534" i="2"/>
  <c r="AH1534" i="2"/>
  <c r="AI1534" i="2"/>
  <c r="AJ1534" i="2"/>
  <c r="AK1534" i="2"/>
  <c r="Z1535" i="2"/>
  <c r="AA1535" i="2"/>
  <c r="AB1535" i="2"/>
  <c r="AC1535" i="2"/>
  <c r="AD1535" i="2"/>
  <c r="AE1535" i="2"/>
  <c r="AF1535" i="2"/>
  <c r="AG1535" i="2"/>
  <c r="AH1535" i="2"/>
  <c r="AI1535" i="2"/>
  <c r="AJ1535" i="2"/>
  <c r="AK1535" i="2"/>
  <c r="Z1536" i="2"/>
  <c r="AA1536" i="2"/>
  <c r="AB1536" i="2"/>
  <c r="AC1536" i="2"/>
  <c r="AD1536" i="2"/>
  <c r="AE1536" i="2"/>
  <c r="AF1536" i="2"/>
  <c r="AG1536" i="2"/>
  <c r="AH1536" i="2"/>
  <c r="AI1536" i="2"/>
  <c r="AJ1536" i="2"/>
  <c r="AK1536" i="2"/>
  <c r="Z1537" i="2"/>
  <c r="AA1537" i="2"/>
  <c r="AB1537" i="2"/>
  <c r="AC1537" i="2"/>
  <c r="AD1537" i="2"/>
  <c r="AE1537" i="2"/>
  <c r="AF1537" i="2"/>
  <c r="AG1537" i="2"/>
  <c r="AH1537" i="2"/>
  <c r="AI1537" i="2"/>
  <c r="AJ1537" i="2"/>
  <c r="AK1537" i="2"/>
  <c r="Z1538" i="2"/>
  <c r="AA1538" i="2"/>
  <c r="AB1538" i="2"/>
  <c r="AC1538" i="2"/>
  <c r="AD1538" i="2"/>
  <c r="AE1538" i="2"/>
  <c r="AF1538" i="2"/>
  <c r="AG1538" i="2"/>
  <c r="AH1538" i="2"/>
  <c r="AI1538" i="2"/>
  <c r="AJ1538" i="2"/>
  <c r="AK1538" i="2"/>
  <c r="Z1539" i="2"/>
  <c r="AA1539" i="2"/>
  <c r="AB1539" i="2"/>
  <c r="AC1539" i="2"/>
  <c r="AD1539" i="2"/>
  <c r="AE1539" i="2"/>
  <c r="AF1539" i="2"/>
  <c r="AG1539" i="2"/>
  <c r="AH1539" i="2"/>
  <c r="AI1539" i="2"/>
  <c r="AJ1539" i="2"/>
  <c r="AK1539" i="2"/>
  <c r="Z1540" i="2"/>
  <c r="AA1540" i="2"/>
  <c r="AB1540" i="2"/>
  <c r="AC1540" i="2"/>
  <c r="AD1540" i="2"/>
  <c r="AE1540" i="2"/>
  <c r="AF1540" i="2"/>
  <c r="AG1540" i="2"/>
  <c r="AH1540" i="2"/>
  <c r="AI1540" i="2"/>
  <c r="AJ1540" i="2"/>
  <c r="AK1540" i="2"/>
  <c r="Z1541" i="2"/>
  <c r="AA1541" i="2"/>
  <c r="AB1541" i="2"/>
  <c r="AC1541" i="2"/>
  <c r="AD1541" i="2"/>
  <c r="AE1541" i="2"/>
  <c r="AF1541" i="2"/>
  <c r="AG1541" i="2"/>
  <c r="AH1541" i="2"/>
  <c r="AI1541" i="2"/>
  <c r="AJ1541" i="2"/>
  <c r="AK1541" i="2"/>
  <c r="Z1542" i="2"/>
  <c r="AA1542" i="2"/>
  <c r="AB1542" i="2"/>
  <c r="AC1542" i="2"/>
  <c r="AD1542" i="2"/>
  <c r="AE1542" i="2"/>
  <c r="AF1542" i="2"/>
  <c r="AG1542" i="2"/>
  <c r="AH1542" i="2"/>
  <c r="AI1542" i="2"/>
  <c r="AJ1542" i="2"/>
  <c r="AK1542" i="2"/>
  <c r="Z1543" i="2"/>
  <c r="AA1543" i="2"/>
  <c r="AB1543" i="2"/>
  <c r="AC1543" i="2"/>
  <c r="AD1543" i="2"/>
  <c r="AE1543" i="2"/>
  <c r="AF1543" i="2"/>
  <c r="AG1543" i="2"/>
  <c r="AH1543" i="2"/>
  <c r="AI1543" i="2"/>
  <c r="AJ1543" i="2"/>
  <c r="AK1543" i="2"/>
  <c r="Z1544" i="2"/>
  <c r="AA1544" i="2"/>
  <c r="AB1544" i="2"/>
  <c r="AC1544" i="2"/>
  <c r="AD1544" i="2"/>
  <c r="AE1544" i="2"/>
  <c r="AF1544" i="2"/>
  <c r="AG1544" i="2"/>
  <c r="AH1544" i="2"/>
  <c r="AI1544" i="2"/>
  <c r="AJ1544" i="2"/>
  <c r="AK1544" i="2"/>
  <c r="Z1545" i="2"/>
  <c r="AA1545" i="2"/>
  <c r="AB1545" i="2"/>
  <c r="AC1545" i="2"/>
  <c r="AD1545" i="2"/>
  <c r="AE1545" i="2"/>
  <c r="AF1545" i="2"/>
  <c r="AG1545" i="2"/>
  <c r="AH1545" i="2"/>
  <c r="AI1545" i="2"/>
  <c r="AJ1545" i="2"/>
  <c r="AK1545" i="2"/>
  <c r="Z1546" i="2"/>
  <c r="AA1546" i="2"/>
  <c r="AB1546" i="2"/>
  <c r="AC1546" i="2"/>
  <c r="AD1546" i="2"/>
  <c r="AE1546" i="2"/>
  <c r="AF1546" i="2"/>
  <c r="AG1546" i="2"/>
  <c r="AH1546" i="2"/>
  <c r="AI1546" i="2"/>
  <c r="AJ1546" i="2"/>
  <c r="AK1546" i="2"/>
  <c r="Z1547" i="2"/>
  <c r="AA1547" i="2"/>
  <c r="AB1547" i="2"/>
  <c r="AC1547" i="2"/>
  <c r="AD1547" i="2"/>
  <c r="AE1547" i="2"/>
  <c r="AF1547" i="2"/>
  <c r="AG1547" i="2"/>
  <c r="AH1547" i="2"/>
  <c r="AI1547" i="2"/>
  <c r="AJ1547" i="2"/>
  <c r="AK1547" i="2"/>
  <c r="Z1548" i="2"/>
  <c r="AA1548" i="2"/>
  <c r="AB1548" i="2"/>
  <c r="AC1548" i="2"/>
  <c r="AD1548" i="2"/>
  <c r="AE1548" i="2"/>
  <c r="AF1548" i="2"/>
  <c r="AG1548" i="2"/>
  <c r="AH1548" i="2"/>
  <c r="AI1548" i="2"/>
  <c r="AJ1548" i="2"/>
  <c r="AK1548" i="2"/>
  <c r="Z1549" i="2"/>
  <c r="AA1549" i="2"/>
  <c r="AB1549" i="2"/>
  <c r="AC1549" i="2"/>
  <c r="AD1549" i="2"/>
  <c r="AE1549" i="2"/>
  <c r="AF1549" i="2"/>
  <c r="AG1549" i="2"/>
  <c r="AH1549" i="2"/>
  <c r="AI1549" i="2"/>
  <c r="AJ1549" i="2"/>
  <c r="AK1549" i="2"/>
  <c r="Z1550" i="2"/>
  <c r="AA1550" i="2"/>
  <c r="AB1550" i="2"/>
  <c r="AC1550" i="2"/>
  <c r="AD1550" i="2"/>
  <c r="AE1550" i="2"/>
  <c r="AF1550" i="2"/>
  <c r="AG1550" i="2"/>
  <c r="AH1550" i="2"/>
  <c r="AI1550" i="2"/>
  <c r="AJ1550" i="2"/>
  <c r="AK1550" i="2"/>
  <c r="Z1551" i="2"/>
  <c r="AA1551" i="2"/>
  <c r="AB1551" i="2"/>
  <c r="AC1551" i="2"/>
  <c r="AD1551" i="2"/>
  <c r="AE1551" i="2"/>
  <c r="AF1551" i="2"/>
  <c r="AG1551" i="2"/>
  <c r="AH1551" i="2"/>
  <c r="AI1551" i="2"/>
  <c r="AJ1551" i="2"/>
  <c r="AK1551" i="2"/>
  <c r="Z1552" i="2"/>
  <c r="AA1552" i="2"/>
  <c r="AB1552" i="2"/>
  <c r="AC1552" i="2"/>
  <c r="AD1552" i="2"/>
  <c r="AE1552" i="2"/>
  <c r="AF1552" i="2"/>
  <c r="AG1552" i="2"/>
  <c r="AH1552" i="2"/>
  <c r="AI1552" i="2"/>
  <c r="AJ1552" i="2"/>
  <c r="AK1552" i="2"/>
  <c r="Z1553" i="2"/>
  <c r="AA1553" i="2"/>
  <c r="AB1553" i="2"/>
  <c r="AC1553" i="2"/>
  <c r="AD1553" i="2"/>
  <c r="AE1553" i="2"/>
  <c r="AF1553" i="2"/>
  <c r="AG1553" i="2"/>
  <c r="AH1553" i="2"/>
  <c r="AI1553" i="2"/>
  <c r="AJ1553" i="2"/>
  <c r="AK1553" i="2"/>
  <c r="Z1554" i="2"/>
  <c r="AA1554" i="2"/>
  <c r="AB1554" i="2"/>
  <c r="AC1554" i="2"/>
  <c r="AD1554" i="2"/>
  <c r="AE1554" i="2"/>
  <c r="AF1554" i="2"/>
  <c r="AG1554" i="2"/>
  <c r="AH1554" i="2"/>
  <c r="AI1554" i="2"/>
  <c r="AJ1554" i="2"/>
  <c r="AK1554" i="2"/>
  <c r="Z1555" i="2"/>
  <c r="AA1555" i="2"/>
  <c r="AB1555" i="2"/>
  <c r="AC1555" i="2"/>
  <c r="AD1555" i="2"/>
  <c r="AE1555" i="2"/>
  <c r="AF1555" i="2"/>
  <c r="AG1555" i="2"/>
  <c r="AH1555" i="2"/>
  <c r="AI1555" i="2"/>
  <c r="AJ1555" i="2"/>
  <c r="AK1555" i="2"/>
  <c r="Z1556" i="2"/>
  <c r="AA1556" i="2"/>
  <c r="AB1556" i="2"/>
  <c r="AC1556" i="2"/>
  <c r="AD1556" i="2"/>
  <c r="AE1556" i="2"/>
  <c r="AF1556" i="2"/>
  <c r="AG1556" i="2"/>
  <c r="AH1556" i="2"/>
  <c r="AI1556" i="2"/>
  <c r="AJ1556" i="2"/>
  <c r="AK1556" i="2"/>
  <c r="Z1557" i="2"/>
  <c r="AA1557" i="2"/>
  <c r="AB1557" i="2"/>
  <c r="AC1557" i="2"/>
  <c r="AD1557" i="2"/>
  <c r="AE1557" i="2"/>
  <c r="AF1557" i="2"/>
  <c r="AG1557" i="2"/>
  <c r="AH1557" i="2"/>
  <c r="AI1557" i="2"/>
  <c r="AJ1557" i="2"/>
  <c r="AK1557" i="2"/>
  <c r="Z1558" i="2"/>
  <c r="AA1558" i="2"/>
  <c r="AB1558" i="2"/>
  <c r="AC1558" i="2"/>
  <c r="AD1558" i="2"/>
  <c r="AE1558" i="2"/>
  <c r="AF1558" i="2"/>
  <c r="AG1558" i="2"/>
  <c r="AH1558" i="2"/>
  <c r="AI1558" i="2"/>
  <c r="AJ1558" i="2"/>
  <c r="AK1558" i="2"/>
  <c r="Z1559" i="2"/>
  <c r="AA1559" i="2"/>
  <c r="AB1559" i="2"/>
  <c r="AC1559" i="2"/>
  <c r="AD1559" i="2"/>
  <c r="AE1559" i="2"/>
  <c r="AF1559" i="2"/>
  <c r="AG1559" i="2"/>
  <c r="AH1559" i="2"/>
  <c r="AI1559" i="2"/>
  <c r="AJ1559" i="2"/>
  <c r="AK1559" i="2"/>
  <c r="Z1560" i="2"/>
  <c r="AA1560" i="2"/>
  <c r="AB1560" i="2"/>
  <c r="AC1560" i="2"/>
  <c r="AD1560" i="2"/>
  <c r="AE1560" i="2"/>
  <c r="AF1560" i="2"/>
  <c r="AG1560" i="2"/>
  <c r="AH1560" i="2"/>
  <c r="AI1560" i="2"/>
  <c r="AJ1560" i="2"/>
  <c r="AK1560" i="2"/>
  <c r="Z1561" i="2"/>
  <c r="AA1561" i="2"/>
  <c r="AB1561" i="2"/>
  <c r="AC1561" i="2"/>
  <c r="AD1561" i="2"/>
  <c r="AE1561" i="2"/>
  <c r="AF1561" i="2"/>
  <c r="AG1561" i="2"/>
  <c r="AH1561" i="2"/>
  <c r="AI1561" i="2"/>
  <c r="AJ1561" i="2"/>
  <c r="AK1561" i="2"/>
  <c r="Z1562" i="2"/>
  <c r="AA1562" i="2"/>
  <c r="AB1562" i="2"/>
  <c r="AC1562" i="2"/>
  <c r="AD1562" i="2"/>
  <c r="AE1562" i="2"/>
  <c r="AF1562" i="2"/>
  <c r="AG1562" i="2"/>
  <c r="AH1562" i="2"/>
  <c r="AI1562" i="2"/>
  <c r="AJ1562" i="2"/>
  <c r="AK1562" i="2"/>
  <c r="Z1563" i="2"/>
  <c r="AA1563" i="2"/>
  <c r="AB1563" i="2"/>
  <c r="AC1563" i="2"/>
  <c r="AD1563" i="2"/>
  <c r="AE1563" i="2"/>
  <c r="AF1563" i="2"/>
  <c r="AG1563" i="2"/>
  <c r="AH1563" i="2"/>
  <c r="AI1563" i="2"/>
  <c r="AJ1563" i="2"/>
  <c r="AK1563" i="2"/>
  <c r="Z1564" i="2"/>
  <c r="AA1564" i="2"/>
  <c r="AB1564" i="2"/>
  <c r="AC1564" i="2"/>
  <c r="AD1564" i="2"/>
  <c r="AE1564" i="2"/>
  <c r="AF1564" i="2"/>
  <c r="AG1564" i="2"/>
  <c r="AH1564" i="2"/>
  <c r="AI1564" i="2"/>
  <c r="AJ1564" i="2"/>
  <c r="AK1564" i="2"/>
  <c r="Z1565" i="2"/>
  <c r="AA1565" i="2"/>
  <c r="AB1565" i="2"/>
  <c r="AC1565" i="2"/>
  <c r="AD1565" i="2"/>
  <c r="AE1565" i="2"/>
  <c r="AF1565" i="2"/>
  <c r="AG1565" i="2"/>
  <c r="AH1565" i="2"/>
  <c r="AI1565" i="2"/>
  <c r="AJ1565" i="2"/>
  <c r="AK1565" i="2"/>
  <c r="Z1566" i="2"/>
  <c r="AA1566" i="2"/>
  <c r="AB1566" i="2"/>
  <c r="AC1566" i="2"/>
  <c r="AD1566" i="2"/>
  <c r="AE1566" i="2"/>
  <c r="AF1566" i="2"/>
  <c r="AG1566" i="2"/>
  <c r="AH1566" i="2"/>
  <c r="AI1566" i="2"/>
  <c r="AJ1566" i="2"/>
  <c r="AK1566" i="2"/>
  <c r="Z1567" i="2"/>
  <c r="AA1567" i="2"/>
  <c r="AB1567" i="2"/>
  <c r="AC1567" i="2"/>
  <c r="AD1567" i="2"/>
  <c r="AE1567" i="2"/>
  <c r="AF1567" i="2"/>
  <c r="AG1567" i="2"/>
  <c r="AH1567" i="2"/>
  <c r="AI1567" i="2"/>
  <c r="AJ1567" i="2"/>
  <c r="AK1567" i="2"/>
  <c r="Z1568" i="2"/>
  <c r="AA1568" i="2"/>
  <c r="AB1568" i="2"/>
  <c r="AC1568" i="2"/>
  <c r="AD1568" i="2"/>
  <c r="AE1568" i="2"/>
  <c r="AF1568" i="2"/>
  <c r="AG1568" i="2"/>
  <c r="AH1568" i="2"/>
  <c r="AI1568" i="2"/>
  <c r="AJ1568" i="2"/>
  <c r="AK1568" i="2"/>
  <c r="Z1569" i="2"/>
  <c r="AA1569" i="2"/>
  <c r="AB1569" i="2"/>
  <c r="AC1569" i="2"/>
  <c r="AD1569" i="2"/>
  <c r="AE1569" i="2"/>
  <c r="AF1569" i="2"/>
  <c r="AG1569" i="2"/>
  <c r="AH1569" i="2"/>
  <c r="AI1569" i="2"/>
  <c r="AJ1569" i="2"/>
  <c r="AK1569" i="2"/>
  <c r="Z1570" i="2"/>
  <c r="AA1570" i="2"/>
  <c r="AB1570" i="2"/>
  <c r="AC1570" i="2"/>
  <c r="AD1570" i="2"/>
  <c r="AE1570" i="2"/>
  <c r="AF1570" i="2"/>
  <c r="AG1570" i="2"/>
  <c r="AH1570" i="2"/>
  <c r="AI1570" i="2"/>
  <c r="AJ1570" i="2"/>
  <c r="AK1570" i="2"/>
  <c r="Z1571" i="2"/>
  <c r="AA1571" i="2"/>
  <c r="AB1571" i="2"/>
  <c r="AC1571" i="2"/>
  <c r="AD1571" i="2"/>
  <c r="AE1571" i="2"/>
  <c r="AF1571" i="2"/>
  <c r="AG1571" i="2"/>
  <c r="AH1571" i="2"/>
  <c r="AI1571" i="2"/>
  <c r="AJ1571" i="2"/>
  <c r="AK1571" i="2"/>
  <c r="Z1572" i="2"/>
  <c r="AA1572" i="2"/>
  <c r="AB1572" i="2"/>
  <c r="AC1572" i="2"/>
  <c r="AD1572" i="2"/>
  <c r="AE1572" i="2"/>
  <c r="AF1572" i="2"/>
  <c r="AG1572" i="2"/>
  <c r="AH1572" i="2"/>
  <c r="AI1572" i="2"/>
  <c r="AJ1572" i="2"/>
  <c r="AK1572" i="2"/>
  <c r="Z1573" i="2"/>
  <c r="AA1573" i="2"/>
  <c r="AB1573" i="2"/>
  <c r="AC1573" i="2"/>
  <c r="AD1573" i="2"/>
  <c r="AE1573" i="2"/>
  <c r="AF1573" i="2"/>
  <c r="AG1573" i="2"/>
  <c r="AH1573" i="2"/>
  <c r="AI1573" i="2"/>
  <c r="AJ1573" i="2"/>
  <c r="AK1573" i="2"/>
  <c r="Z1574" i="2"/>
  <c r="AA1574" i="2"/>
  <c r="AB1574" i="2"/>
  <c r="AC1574" i="2"/>
  <c r="AD1574" i="2"/>
  <c r="AE1574" i="2"/>
  <c r="AF1574" i="2"/>
  <c r="AG1574" i="2"/>
  <c r="AH1574" i="2"/>
  <c r="AI1574" i="2"/>
  <c r="AJ1574" i="2"/>
  <c r="AK1574" i="2"/>
  <c r="Z1575" i="2"/>
  <c r="AA1575" i="2"/>
  <c r="AB1575" i="2"/>
  <c r="AC1575" i="2"/>
  <c r="AD1575" i="2"/>
  <c r="AE1575" i="2"/>
  <c r="AF1575" i="2"/>
  <c r="AG1575" i="2"/>
  <c r="AH1575" i="2"/>
  <c r="AI1575" i="2"/>
  <c r="AJ1575" i="2"/>
  <c r="AK1575" i="2"/>
  <c r="Z1576" i="2"/>
  <c r="AA1576" i="2"/>
  <c r="AB1576" i="2"/>
  <c r="AC1576" i="2"/>
  <c r="AD1576" i="2"/>
  <c r="AE1576" i="2"/>
  <c r="AF1576" i="2"/>
  <c r="AG1576" i="2"/>
  <c r="AH1576" i="2"/>
  <c r="AI1576" i="2"/>
  <c r="AJ1576" i="2"/>
  <c r="AK1576" i="2"/>
  <c r="Z1577" i="2"/>
  <c r="AA1577" i="2"/>
  <c r="AB1577" i="2"/>
  <c r="AC1577" i="2"/>
  <c r="AD1577" i="2"/>
  <c r="AE1577" i="2"/>
  <c r="AF1577" i="2"/>
  <c r="AG1577" i="2"/>
  <c r="AH1577" i="2"/>
  <c r="AI1577" i="2"/>
  <c r="AJ1577" i="2"/>
  <c r="AK1577" i="2"/>
  <c r="Z1578" i="2"/>
  <c r="AA1578" i="2"/>
  <c r="AB1578" i="2"/>
  <c r="AC1578" i="2"/>
  <c r="AD1578" i="2"/>
  <c r="AE1578" i="2"/>
  <c r="AF1578" i="2"/>
  <c r="AG1578" i="2"/>
  <c r="AH1578" i="2"/>
  <c r="AI1578" i="2"/>
  <c r="AJ1578" i="2"/>
  <c r="AK1578" i="2"/>
  <c r="Z1579" i="2"/>
  <c r="AA1579" i="2"/>
  <c r="AB1579" i="2"/>
  <c r="AC1579" i="2"/>
  <c r="AD1579" i="2"/>
  <c r="AE1579" i="2"/>
  <c r="AF1579" i="2"/>
  <c r="AG1579" i="2"/>
  <c r="AH1579" i="2"/>
  <c r="AI1579" i="2"/>
  <c r="AJ1579" i="2"/>
  <c r="AK1579" i="2"/>
  <c r="Z1580" i="2"/>
  <c r="AA1580" i="2"/>
  <c r="AB1580" i="2"/>
  <c r="AC1580" i="2"/>
  <c r="AD1580" i="2"/>
  <c r="AE1580" i="2"/>
  <c r="AF1580" i="2"/>
  <c r="AG1580" i="2"/>
  <c r="AH1580" i="2"/>
  <c r="AI1580" i="2"/>
  <c r="AJ1580" i="2"/>
  <c r="AK1580" i="2"/>
  <c r="Z1581" i="2"/>
  <c r="AA1581" i="2"/>
  <c r="AB1581" i="2"/>
  <c r="AC1581" i="2"/>
  <c r="AD1581" i="2"/>
  <c r="AE1581" i="2"/>
  <c r="AF1581" i="2"/>
  <c r="AG1581" i="2"/>
  <c r="AH1581" i="2"/>
  <c r="AI1581" i="2"/>
  <c r="AJ1581" i="2"/>
  <c r="AK1581" i="2"/>
  <c r="Z1582" i="2"/>
  <c r="AA1582" i="2"/>
  <c r="AB1582" i="2"/>
  <c r="AC1582" i="2"/>
  <c r="AD1582" i="2"/>
  <c r="AE1582" i="2"/>
  <c r="AF1582" i="2"/>
  <c r="AG1582" i="2"/>
  <c r="AH1582" i="2"/>
  <c r="AI1582" i="2"/>
  <c r="AJ1582" i="2"/>
  <c r="AK1582" i="2"/>
  <c r="Z1583" i="2"/>
  <c r="AA1583" i="2"/>
  <c r="AB1583" i="2"/>
  <c r="AC1583" i="2"/>
  <c r="AD1583" i="2"/>
  <c r="AE1583" i="2"/>
  <c r="AF1583" i="2"/>
  <c r="AG1583" i="2"/>
  <c r="AH1583" i="2"/>
  <c r="AI1583" i="2"/>
  <c r="AJ1583" i="2"/>
  <c r="AK1583" i="2"/>
  <c r="Z1584" i="2"/>
  <c r="AA1584" i="2"/>
  <c r="AB1584" i="2"/>
  <c r="AC1584" i="2"/>
  <c r="AD1584" i="2"/>
  <c r="AE1584" i="2"/>
  <c r="AF1584" i="2"/>
  <c r="AG1584" i="2"/>
  <c r="AH1584" i="2"/>
  <c r="AI1584" i="2"/>
  <c r="AJ1584" i="2"/>
  <c r="AK1584" i="2"/>
  <c r="Z1585" i="2"/>
  <c r="AA1585" i="2"/>
  <c r="AB1585" i="2"/>
  <c r="AC1585" i="2"/>
  <c r="AD1585" i="2"/>
  <c r="AE1585" i="2"/>
  <c r="AF1585" i="2"/>
  <c r="AG1585" i="2"/>
  <c r="AH1585" i="2"/>
  <c r="AI1585" i="2"/>
  <c r="AJ1585" i="2"/>
  <c r="AK1585" i="2"/>
  <c r="Z1586" i="2"/>
  <c r="AA1586" i="2"/>
  <c r="AB1586" i="2"/>
  <c r="AC1586" i="2"/>
  <c r="AD1586" i="2"/>
  <c r="AE1586" i="2"/>
  <c r="AF1586" i="2"/>
  <c r="AG1586" i="2"/>
  <c r="AH1586" i="2"/>
  <c r="AI1586" i="2"/>
  <c r="AJ1586" i="2"/>
  <c r="AK1586" i="2"/>
  <c r="Z1587" i="2"/>
  <c r="AA1587" i="2"/>
  <c r="AB1587" i="2"/>
  <c r="AC1587" i="2"/>
  <c r="AD1587" i="2"/>
  <c r="AE1587" i="2"/>
  <c r="AF1587" i="2"/>
  <c r="AG1587" i="2"/>
  <c r="AH1587" i="2"/>
  <c r="AI1587" i="2"/>
  <c r="AJ1587" i="2"/>
  <c r="AK1587" i="2"/>
  <c r="Z1588" i="2"/>
  <c r="AA1588" i="2"/>
  <c r="AB1588" i="2"/>
  <c r="AC1588" i="2"/>
  <c r="AD1588" i="2"/>
  <c r="AE1588" i="2"/>
  <c r="AF1588" i="2"/>
  <c r="AG1588" i="2"/>
  <c r="AH1588" i="2"/>
  <c r="AI1588" i="2"/>
  <c r="AJ1588" i="2"/>
  <c r="AK1588" i="2"/>
  <c r="Z1589" i="2"/>
  <c r="AA1589" i="2"/>
  <c r="AB1589" i="2"/>
  <c r="AC1589" i="2"/>
  <c r="AD1589" i="2"/>
  <c r="AE1589" i="2"/>
  <c r="AF1589" i="2"/>
  <c r="AG1589" i="2"/>
  <c r="AH1589" i="2"/>
  <c r="AI1589" i="2"/>
  <c r="AJ1589" i="2"/>
  <c r="AK1589" i="2"/>
  <c r="Z1590" i="2"/>
  <c r="AA1590" i="2"/>
  <c r="AB1590" i="2"/>
  <c r="AC1590" i="2"/>
  <c r="AD1590" i="2"/>
  <c r="AE1590" i="2"/>
  <c r="AF1590" i="2"/>
  <c r="AG1590" i="2"/>
  <c r="AH1590" i="2"/>
  <c r="AI1590" i="2"/>
  <c r="AJ1590" i="2"/>
  <c r="AK1590" i="2"/>
  <c r="Z1591" i="2"/>
  <c r="AA1591" i="2"/>
  <c r="AB1591" i="2"/>
  <c r="AC1591" i="2"/>
  <c r="AD1591" i="2"/>
  <c r="AE1591" i="2"/>
  <c r="AF1591" i="2"/>
  <c r="AG1591" i="2"/>
  <c r="AH1591" i="2"/>
  <c r="AI1591" i="2"/>
  <c r="AJ1591" i="2"/>
  <c r="AK1591" i="2"/>
  <c r="Z1592" i="2"/>
  <c r="AA1592" i="2"/>
  <c r="AB1592" i="2"/>
  <c r="AC1592" i="2"/>
  <c r="AD1592" i="2"/>
  <c r="AE1592" i="2"/>
  <c r="AF1592" i="2"/>
  <c r="AG1592" i="2"/>
  <c r="AH1592" i="2"/>
  <c r="AI1592" i="2"/>
  <c r="AJ1592" i="2"/>
  <c r="AK1592" i="2"/>
  <c r="Z1593" i="2"/>
  <c r="AA1593" i="2"/>
  <c r="AB1593" i="2"/>
  <c r="AC1593" i="2"/>
  <c r="AD1593" i="2"/>
  <c r="AE1593" i="2"/>
  <c r="AF1593" i="2"/>
  <c r="AG1593" i="2"/>
  <c r="AH1593" i="2"/>
  <c r="AI1593" i="2"/>
  <c r="AJ1593" i="2"/>
  <c r="AK1593" i="2"/>
  <c r="Z1594" i="2"/>
  <c r="AA1594" i="2"/>
  <c r="AB1594" i="2"/>
  <c r="AC1594" i="2"/>
  <c r="AD1594" i="2"/>
  <c r="AE1594" i="2"/>
  <c r="AF1594" i="2"/>
  <c r="AG1594" i="2"/>
  <c r="AH1594" i="2"/>
  <c r="AI1594" i="2"/>
  <c r="AJ1594" i="2"/>
  <c r="AK1594" i="2"/>
  <c r="Z1595" i="2"/>
  <c r="AA1595" i="2"/>
  <c r="AB1595" i="2"/>
  <c r="AC1595" i="2"/>
  <c r="AD1595" i="2"/>
  <c r="AE1595" i="2"/>
  <c r="AF1595" i="2"/>
  <c r="AG1595" i="2"/>
  <c r="AH1595" i="2"/>
  <c r="AI1595" i="2"/>
  <c r="AJ1595" i="2"/>
  <c r="AK1595" i="2"/>
  <c r="Z1596" i="2"/>
  <c r="AA1596" i="2"/>
  <c r="AB1596" i="2"/>
  <c r="AC1596" i="2"/>
  <c r="AD1596" i="2"/>
  <c r="AE1596" i="2"/>
  <c r="AF1596" i="2"/>
  <c r="AG1596" i="2"/>
  <c r="AH1596" i="2"/>
  <c r="AI1596" i="2"/>
  <c r="AJ1596" i="2"/>
  <c r="AK1596" i="2"/>
  <c r="Z1597" i="2"/>
  <c r="AA1597" i="2"/>
  <c r="AB1597" i="2"/>
  <c r="AC1597" i="2"/>
  <c r="AD1597" i="2"/>
  <c r="AE1597" i="2"/>
  <c r="AF1597" i="2"/>
  <c r="AG1597" i="2"/>
  <c r="AH1597" i="2"/>
  <c r="AI1597" i="2"/>
  <c r="AJ1597" i="2"/>
  <c r="AK1597" i="2"/>
  <c r="Z1598" i="2"/>
  <c r="AA1598" i="2"/>
  <c r="AB1598" i="2"/>
  <c r="AC1598" i="2"/>
  <c r="AD1598" i="2"/>
  <c r="AE1598" i="2"/>
  <c r="AF1598" i="2"/>
  <c r="AG1598" i="2"/>
  <c r="AH1598" i="2"/>
  <c r="AI1598" i="2"/>
  <c r="AJ1598" i="2"/>
  <c r="AK1598" i="2"/>
  <c r="Z1599" i="2"/>
  <c r="AA1599" i="2"/>
  <c r="AB1599" i="2"/>
  <c r="AC1599" i="2"/>
  <c r="AD1599" i="2"/>
  <c r="AE1599" i="2"/>
  <c r="AF1599" i="2"/>
  <c r="AG1599" i="2"/>
  <c r="AH1599" i="2"/>
  <c r="AI1599" i="2"/>
  <c r="AJ1599" i="2"/>
  <c r="AK1599" i="2"/>
  <c r="Z1600" i="2"/>
  <c r="AA1600" i="2"/>
  <c r="AB1600" i="2"/>
  <c r="AC1600" i="2"/>
  <c r="AD1600" i="2"/>
  <c r="AE1600" i="2"/>
  <c r="AF1600" i="2"/>
  <c r="AG1600" i="2"/>
  <c r="AH1600" i="2"/>
  <c r="AI1600" i="2"/>
  <c r="AJ1600" i="2"/>
  <c r="AK1600" i="2"/>
  <c r="Z1601" i="2"/>
  <c r="AA1601" i="2"/>
  <c r="AB1601" i="2"/>
  <c r="AC1601" i="2"/>
  <c r="AD1601" i="2"/>
  <c r="AE1601" i="2"/>
  <c r="AF1601" i="2"/>
  <c r="AG1601" i="2"/>
  <c r="AH1601" i="2"/>
  <c r="AI1601" i="2"/>
  <c r="AJ1601" i="2"/>
  <c r="AK1601" i="2"/>
  <c r="Z1602" i="2"/>
  <c r="AA1602" i="2"/>
  <c r="AB1602" i="2"/>
  <c r="AC1602" i="2"/>
  <c r="AD1602" i="2"/>
  <c r="AE1602" i="2"/>
  <c r="AF1602" i="2"/>
  <c r="AG1602" i="2"/>
  <c r="AH1602" i="2"/>
  <c r="AI1602" i="2"/>
  <c r="AJ1602" i="2"/>
  <c r="AK1602" i="2"/>
  <c r="Z1603" i="2"/>
  <c r="AA1603" i="2"/>
  <c r="AB1603" i="2"/>
  <c r="AC1603" i="2"/>
  <c r="AD1603" i="2"/>
  <c r="AE1603" i="2"/>
  <c r="AF1603" i="2"/>
  <c r="AG1603" i="2"/>
  <c r="AH1603" i="2"/>
  <c r="AI1603" i="2"/>
  <c r="AJ1603" i="2"/>
  <c r="AK1603" i="2"/>
  <c r="Z1604" i="2"/>
  <c r="AA1604" i="2"/>
  <c r="AB1604" i="2"/>
  <c r="AC1604" i="2"/>
  <c r="AD1604" i="2"/>
  <c r="AE1604" i="2"/>
  <c r="AF1604" i="2"/>
  <c r="AG1604" i="2"/>
  <c r="AH1604" i="2"/>
  <c r="AI1604" i="2"/>
  <c r="AJ1604" i="2"/>
  <c r="AK1604" i="2"/>
  <c r="Z1605" i="2"/>
  <c r="AA1605" i="2"/>
  <c r="AB1605" i="2"/>
  <c r="AC1605" i="2"/>
  <c r="AD1605" i="2"/>
  <c r="AE1605" i="2"/>
  <c r="AF1605" i="2"/>
  <c r="AG1605" i="2"/>
  <c r="AH1605" i="2"/>
  <c r="AI1605" i="2"/>
  <c r="AJ1605" i="2"/>
  <c r="AK1605" i="2"/>
  <c r="Z1606" i="2"/>
  <c r="AA1606" i="2"/>
  <c r="AB1606" i="2"/>
  <c r="AC1606" i="2"/>
  <c r="AD1606" i="2"/>
  <c r="AE1606" i="2"/>
  <c r="AF1606" i="2"/>
  <c r="AG1606" i="2"/>
  <c r="AH1606" i="2"/>
  <c r="AI1606" i="2"/>
  <c r="AJ1606" i="2"/>
  <c r="AK1606" i="2"/>
  <c r="Z1607" i="2"/>
  <c r="AA1607" i="2"/>
  <c r="AB1607" i="2"/>
  <c r="AC1607" i="2"/>
  <c r="AD1607" i="2"/>
  <c r="AE1607" i="2"/>
  <c r="AF1607" i="2"/>
  <c r="AG1607" i="2"/>
  <c r="AH1607" i="2"/>
  <c r="AI1607" i="2"/>
  <c r="AJ1607" i="2"/>
  <c r="AK1607" i="2"/>
  <c r="Z1608" i="2"/>
  <c r="AA1608" i="2"/>
  <c r="AB1608" i="2"/>
  <c r="AC1608" i="2"/>
  <c r="AD1608" i="2"/>
  <c r="AE1608" i="2"/>
  <c r="AF1608" i="2"/>
  <c r="AG1608" i="2"/>
  <c r="AH1608" i="2"/>
  <c r="AI1608" i="2"/>
  <c r="AJ1608" i="2"/>
  <c r="AK1608" i="2"/>
  <c r="Z1609" i="2"/>
  <c r="AA1609" i="2"/>
  <c r="AB1609" i="2"/>
  <c r="AC1609" i="2"/>
  <c r="AD1609" i="2"/>
  <c r="AE1609" i="2"/>
  <c r="AF1609" i="2"/>
  <c r="AG1609" i="2"/>
  <c r="AH1609" i="2"/>
  <c r="AI1609" i="2"/>
  <c r="AJ1609" i="2"/>
  <c r="AK1609" i="2"/>
  <c r="Z1610" i="2"/>
  <c r="AA1610" i="2"/>
  <c r="AB1610" i="2"/>
  <c r="AC1610" i="2"/>
  <c r="AD1610" i="2"/>
  <c r="AE1610" i="2"/>
  <c r="AF1610" i="2"/>
  <c r="AG1610" i="2"/>
  <c r="AH1610" i="2"/>
  <c r="AI1610" i="2"/>
  <c r="AJ1610" i="2"/>
  <c r="AK1610" i="2"/>
  <c r="Z1611" i="2"/>
  <c r="AA1611" i="2"/>
  <c r="AB1611" i="2"/>
  <c r="AC1611" i="2"/>
  <c r="AD1611" i="2"/>
  <c r="AE1611" i="2"/>
  <c r="AF1611" i="2"/>
  <c r="AG1611" i="2"/>
  <c r="AH1611" i="2"/>
  <c r="AI1611" i="2"/>
  <c r="AJ1611" i="2"/>
  <c r="AK1611" i="2"/>
  <c r="Z1612" i="2"/>
  <c r="AA1612" i="2"/>
  <c r="AB1612" i="2"/>
  <c r="AC1612" i="2"/>
  <c r="AD1612" i="2"/>
  <c r="AE1612" i="2"/>
  <c r="AF1612" i="2"/>
  <c r="AG1612" i="2"/>
  <c r="AH1612" i="2"/>
  <c r="AI1612" i="2"/>
  <c r="AJ1612" i="2"/>
  <c r="AK1612" i="2"/>
  <c r="Z1613" i="2"/>
  <c r="AA1613" i="2"/>
  <c r="AB1613" i="2"/>
  <c r="AC1613" i="2"/>
  <c r="AD1613" i="2"/>
  <c r="AE1613" i="2"/>
  <c r="AF1613" i="2"/>
  <c r="AG1613" i="2"/>
  <c r="AH1613" i="2"/>
  <c r="AI1613" i="2"/>
  <c r="AJ1613" i="2"/>
  <c r="AK1613" i="2"/>
  <c r="Z1614" i="2"/>
  <c r="AA1614" i="2"/>
  <c r="AB1614" i="2"/>
  <c r="AC1614" i="2"/>
  <c r="AD1614" i="2"/>
  <c r="AE1614" i="2"/>
  <c r="AF1614" i="2"/>
  <c r="AG1614" i="2"/>
  <c r="AH1614" i="2"/>
  <c r="AI1614" i="2"/>
  <c r="AJ1614" i="2"/>
  <c r="AK1614" i="2"/>
  <c r="Z1615" i="2"/>
  <c r="AA1615" i="2"/>
  <c r="AB1615" i="2"/>
  <c r="AC1615" i="2"/>
  <c r="AD1615" i="2"/>
  <c r="AE1615" i="2"/>
  <c r="AF1615" i="2"/>
  <c r="AG1615" i="2"/>
  <c r="AH1615" i="2"/>
  <c r="AI1615" i="2"/>
  <c r="AJ1615" i="2"/>
  <c r="AK1615" i="2"/>
  <c r="Z1616" i="2"/>
  <c r="AA1616" i="2"/>
  <c r="AB1616" i="2"/>
  <c r="AC1616" i="2"/>
  <c r="AD1616" i="2"/>
  <c r="AE1616" i="2"/>
  <c r="AF1616" i="2"/>
  <c r="AG1616" i="2"/>
  <c r="AH1616" i="2"/>
  <c r="AI1616" i="2"/>
  <c r="AJ1616" i="2"/>
  <c r="AK1616" i="2"/>
  <c r="Z1617" i="2"/>
  <c r="AA1617" i="2"/>
  <c r="AB1617" i="2"/>
  <c r="AC1617" i="2"/>
  <c r="AD1617" i="2"/>
  <c r="AE1617" i="2"/>
  <c r="AF1617" i="2"/>
  <c r="AG1617" i="2"/>
  <c r="AH1617" i="2"/>
  <c r="AI1617" i="2"/>
  <c r="AJ1617" i="2"/>
  <c r="AK1617" i="2"/>
  <c r="Z1618" i="2"/>
  <c r="AA1618" i="2"/>
  <c r="AB1618" i="2"/>
  <c r="AC1618" i="2"/>
  <c r="AD1618" i="2"/>
  <c r="AE1618" i="2"/>
  <c r="AF1618" i="2"/>
  <c r="AG1618" i="2"/>
  <c r="AH1618" i="2"/>
  <c r="AI1618" i="2"/>
  <c r="AJ1618" i="2"/>
  <c r="AK1618" i="2"/>
  <c r="Z1619" i="2"/>
  <c r="AA1619" i="2"/>
  <c r="AB1619" i="2"/>
  <c r="AC1619" i="2"/>
  <c r="AD1619" i="2"/>
  <c r="AE1619" i="2"/>
  <c r="AF1619" i="2"/>
  <c r="AG1619" i="2"/>
  <c r="AH1619" i="2"/>
  <c r="AI1619" i="2"/>
  <c r="AJ1619" i="2"/>
  <c r="AK1619" i="2"/>
  <c r="Z1620" i="2"/>
  <c r="AA1620" i="2"/>
  <c r="AB1620" i="2"/>
  <c r="AC1620" i="2"/>
  <c r="AD1620" i="2"/>
  <c r="AE1620" i="2"/>
  <c r="AF1620" i="2"/>
  <c r="AG1620" i="2"/>
  <c r="AH1620" i="2"/>
  <c r="AI1620" i="2"/>
  <c r="AJ1620" i="2"/>
  <c r="AK1620" i="2"/>
  <c r="Z1621" i="2"/>
  <c r="AA1621" i="2"/>
  <c r="AB1621" i="2"/>
  <c r="AC1621" i="2"/>
  <c r="AD1621" i="2"/>
  <c r="AE1621" i="2"/>
  <c r="AF1621" i="2"/>
  <c r="AG1621" i="2"/>
  <c r="AH1621" i="2"/>
  <c r="AI1621" i="2"/>
  <c r="AJ1621" i="2"/>
  <c r="AK1621" i="2"/>
  <c r="Z1622" i="2"/>
  <c r="AA1622" i="2"/>
  <c r="AB1622" i="2"/>
  <c r="AC1622" i="2"/>
  <c r="AD1622" i="2"/>
  <c r="AE1622" i="2"/>
  <c r="AF1622" i="2"/>
  <c r="AG1622" i="2"/>
  <c r="AH1622" i="2"/>
  <c r="AI1622" i="2"/>
  <c r="AJ1622" i="2"/>
  <c r="AK1622" i="2"/>
  <c r="Z1623" i="2"/>
  <c r="AA1623" i="2"/>
  <c r="AB1623" i="2"/>
  <c r="AC1623" i="2"/>
  <c r="AD1623" i="2"/>
  <c r="AE1623" i="2"/>
  <c r="AF1623" i="2"/>
  <c r="AG1623" i="2"/>
  <c r="AH1623" i="2"/>
  <c r="AI1623" i="2"/>
  <c r="AJ1623" i="2"/>
  <c r="AK1623" i="2"/>
  <c r="Z1624" i="2"/>
  <c r="AA1624" i="2"/>
  <c r="AB1624" i="2"/>
  <c r="AC1624" i="2"/>
  <c r="AD1624" i="2"/>
  <c r="AE1624" i="2"/>
  <c r="AF1624" i="2"/>
  <c r="AG1624" i="2"/>
  <c r="AH1624" i="2"/>
  <c r="AI1624" i="2"/>
  <c r="AJ1624" i="2"/>
  <c r="AK1624" i="2"/>
  <c r="Z1625" i="2"/>
  <c r="AA1625" i="2"/>
  <c r="AB1625" i="2"/>
  <c r="AC1625" i="2"/>
  <c r="AD1625" i="2"/>
  <c r="AE1625" i="2"/>
  <c r="AF1625" i="2"/>
  <c r="AG1625" i="2"/>
  <c r="AH1625" i="2"/>
  <c r="AI1625" i="2"/>
  <c r="AJ1625" i="2"/>
  <c r="AK1625" i="2"/>
  <c r="Z1626" i="2"/>
  <c r="AA1626" i="2"/>
  <c r="AB1626" i="2"/>
  <c r="AC1626" i="2"/>
  <c r="AD1626" i="2"/>
  <c r="AE1626" i="2"/>
  <c r="AF1626" i="2"/>
  <c r="AG1626" i="2"/>
  <c r="AH1626" i="2"/>
  <c r="AI1626" i="2"/>
  <c r="AJ1626" i="2"/>
  <c r="AK1626" i="2"/>
  <c r="Z1627" i="2"/>
  <c r="AA1627" i="2"/>
  <c r="AB1627" i="2"/>
  <c r="AC1627" i="2"/>
  <c r="AD1627" i="2"/>
  <c r="AE1627" i="2"/>
  <c r="AF1627" i="2"/>
  <c r="AG1627" i="2"/>
  <c r="AH1627" i="2"/>
  <c r="AI1627" i="2"/>
  <c r="AJ1627" i="2"/>
  <c r="AK1627" i="2"/>
  <c r="Z1628" i="2"/>
  <c r="AA1628" i="2"/>
  <c r="AB1628" i="2"/>
  <c r="AC1628" i="2"/>
  <c r="AD1628" i="2"/>
  <c r="AE1628" i="2"/>
  <c r="AF1628" i="2"/>
  <c r="AG1628" i="2"/>
  <c r="AH1628" i="2"/>
  <c r="AI1628" i="2"/>
  <c r="AJ1628" i="2"/>
  <c r="AK1628" i="2"/>
  <c r="Z1629" i="2"/>
  <c r="AA1629" i="2"/>
  <c r="AB1629" i="2"/>
  <c r="AC1629" i="2"/>
  <c r="AD1629" i="2"/>
  <c r="AE1629" i="2"/>
  <c r="AF1629" i="2"/>
  <c r="AG1629" i="2"/>
  <c r="AH1629" i="2"/>
  <c r="AI1629" i="2"/>
  <c r="AJ1629" i="2"/>
  <c r="AK1629" i="2"/>
  <c r="Z1630" i="2"/>
  <c r="AA1630" i="2"/>
  <c r="AB1630" i="2"/>
  <c r="AC1630" i="2"/>
  <c r="AD1630" i="2"/>
  <c r="AE1630" i="2"/>
  <c r="AF1630" i="2"/>
  <c r="AG1630" i="2"/>
  <c r="AH1630" i="2"/>
  <c r="AI1630" i="2"/>
  <c r="AJ1630" i="2"/>
  <c r="AK1630" i="2"/>
  <c r="Z1631" i="2"/>
  <c r="AA1631" i="2"/>
  <c r="AB1631" i="2"/>
  <c r="AC1631" i="2"/>
  <c r="AD1631" i="2"/>
  <c r="AE1631" i="2"/>
  <c r="AF1631" i="2"/>
  <c r="AG1631" i="2"/>
  <c r="AH1631" i="2"/>
  <c r="AI1631" i="2"/>
  <c r="AJ1631" i="2"/>
  <c r="AK1631" i="2"/>
  <c r="Z1632" i="2"/>
  <c r="AA1632" i="2"/>
  <c r="AB1632" i="2"/>
  <c r="AC1632" i="2"/>
  <c r="AD1632" i="2"/>
  <c r="AE1632" i="2"/>
  <c r="AF1632" i="2"/>
  <c r="AG1632" i="2"/>
  <c r="AH1632" i="2"/>
  <c r="AI1632" i="2"/>
  <c r="AJ1632" i="2"/>
  <c r="AK1632" i="2"/>
  <c r="Z1633" i="2"/>
  <c r="AA1633" i="2"/>
  <c r="AB1633" i="2"/>
  <c r="AC1633" i="2"/>
  <c r="AD1633" i="2"/>
  <c r="AE1633" i="2"/>
  <c r="AF1633" i="2"/>
  <c r="AG1633" i="2"/>
  <c r="AH1633" i="2"/>
  <c r="AI1633" i="2"/>
  <c r="AJ1633" i="2"/>
  <c r="AK1633" i="2"/>
  <c r="Z1634" i="2"/>
  <c r="AA1634" i="2"/>
  <c r="AB1634" i="2"/>
  <c r="AC1634" i="2"/>
  <c r="AD1634" i="2"/>
  <c r="AE1634" i="2"/>
  <c r="AF1634" i="2"/>
  <c r="AG1634" i="2"/>
  <c r="AH1634" i="2"/>
  <c r="AI1634" i="2"/>
  <c r="AJ1634" i="2"/>
  <c r="AK1634" i="2"/>
  <c r="Z1635" i="2"/>
  <c r="AA1635" i="2"/>
  <c r="AB1635" i="2"/>
  <c r="AC1635" i="2"/>
  <c r="AD1635" i="2"/>
  <c r="AE1635" i="2"/>
  <c r="AF1635" i="2"/>
  <c r="AG1635" i="2"/>
  <c r="AH1635" i="2"/>
  <c r="AI1635" i="2"/>
  <c r="AJ1635" i="2"/>
  <c r="AK1635" i="2"/>
  <c r="Z1636" i="2"/>
  <c r="AA1636" i="2"/>
  <c r="AB1636" i="2"/>
  <c r="AC1636" i="2"/>
  <c r="AD1636" i="2"/>
  <c r="AE1636" i="2"/>
  <c r="AF1636" i="2"/>
  <c r="AG1636" i="2"/>
  <c r="AH1636" i="2"/>
  <c r="AI1636" i="2"/>
  <c r="AJ1636" i="2"/>
  <c r="AK1636" i="2"/>
  <c r="Z1637" i="2"/>
  <c r="AA1637" i="2"/>
  <c r="AB1637" i="2"/>
  <c r="AC1637" i="2"/>
  <c r="AD1637" i="2"/>
  <c r="AE1637" i="2"/>
  <c r="AF1637" i="2"/>
  <c r="AG1637" i="2"/>
  <c r="AH1637" i="2"/>
  <c r="AI1637" i="2"/>
  <c r="AJ1637" i="2"/>
  <c r="AK1637" i="2"/>
  <c r="Z1638" i="2"/>
  <c r="AA1638" i="2"/>
  <c r="AB1638" i="2"/>
  <c r="AC1638" i="2"/>
  <c r="AD1638" i="2"/>
  <c r="AE1638" i="2"/>
  <c r="AF1638" i="2"/>
  <c r="AG1638" i="2"/>
  <c r="AH1638" i="2"/>
  <c r="AI1638" i="2"/>
  <c r="AJ1638" i="2"/>
  <c r="AK1638" i="2"/>
  <c r="Z1639" i="2"/>
  <c r="AA1639" i="2"/>
  <c r="AB1639" i="2"/>
  <c r="AC1639" i="2"/>
  <c r="AD1639" i="2"/>
  <c r="AE1639" i="2"/>
  <c r="AF1639" i="2"/>
  <c r="AG1639" i="2"/>
  <c r="AH1639" i="2"/>
  <c r="AI1639" i="2"/>
  <c r="AJ1639" i="2"/>
  <c r="AK1639" i="2"/>
  <c r="Z1640" i="2"/>
  <c r="AA1640" i="2"/>
  <c r="AB1640" i="2"/>
  <c r="AC1640" i="2"/>
  <c r="AD1640" i="2"/>
  <c r="AE1640" i="2"/>
  <c r="AF1640" i="2"/>
  <c r="AG1640" i="2"/>
  <c r="AH1640" i="2"/>
  <c r="AI1640" i="2"/>
  <c r="AJ1640" i="2"/>
  <c r="AK1640" i="2"/>
  <c r="Z1641" i="2"/>
  <c r="AA1641" i="2"/>
  <c r="AB1641" i="2"/>
  <c r="AC1641" i="2"/>
  <c r="AD1641" i="2"/>
  <c r="AE1641" i="2"/>
  <c r="AF1641" i="2"/>
  <c r="AG1641" i="2"/>
  <c r="AH1641" i="2"/>
  <c r="AI1641" i="2"/>
  <c r="AJ1641" i="2"/>
  <c r="AK1641" i="2"/>
  <c r="Z1642" i="2"/>
  <c r="AA1642" i="2"/>
  <c r="AB1642" i="2"/>
  <c r="AC1642" i="2"/>
  <c r="AD1642" i="2"/>
  <c r="AE1642" i="2"/>
  <c r="AF1642" i="2"/>
  <c r="AG1642" i="2"/>
  <c r="AH1642" i="2"/>
  <c r="AI1642" i="2"/>
  <c r="AJ1642" i="2"/>
  <c r="AK1642" i="2"/>
  <c r="Z1643" i="2"/>
  <c r="AA1643" i="2"/>
  <c r="AB1643" i="2"/>
  <c r="AC1643" i="2"/>
  <c r="AD1643" i="2"/>
  <c r="AE1643" i="2"/>
  <c r="AF1643" i="2"/>
  <c r="AG1643" i="2"/>
  <c r="AH1643" i="2"/>
  <c r="AI1643" i="2"/>
  <c r="AJ1643" i="2"/>
  <c r="AK1643" i="2"/>
  <c r="Z1644" i="2"/>
  <c r="AA1644" i="2"/>
  <c r="AB1644" i="2"/>
  <c r="AC1644" i="2"/>
  <c r="AD1644" i="2"/>
  <c r="AE1644" i="2"/>
  <c r="AF1644" i="2"/>
  <c r="AG1644" i="2"/>
  <c r="AH1644" i="2"/>
  <c r="AI1644" i="2"/>
  <c r="AJ1644" i="2"/>
  <c r="AK1644" i="2"/>
  <c r="Z1645" i="2"/>
  <c r="AA1645" i="2"/>
  <c r="AB1645" i="2"/>
  <c r="AC1645" i="2"/>
  <c r="AD1645" i="2"/>
  <c r="AE1645" i="2"/>
  <c r="AF1645" i="2"/>
  <c r="AG1645" i="2"/>
  <c r="AH1645" i="2"/>
  <c r="AI1645" i="2"/>
  <c r="AJ1645" i="2"/>
  <c r="AK1645" i="2"/>
  <c r="Z1646" i="2"/>
  <c r="AA1646" i="2"/>
  <c r="AB1646" i="2"/>
  <c r="AC1646" i="2"/>
  <c r="AD1646" i="2"/>
  <c r="AE1646" i="2"/>
  <c r="AF1646" i="2"/>
  <c r="AG1646" i="2"/>
  <c r="AH1646" i="2"/>
  <c r="AI1646" i="2"/>
  <c r="AJ1646" i="2"/>
  <c r="AK1646" i="2"/>
  <c r="Z1647" i="2"/>
  <c r="AA1647" i="2"/>
  <c r="AB1647" i="2"/>
  <c r="AC1647" i="2"/>
  <c r="AD1647" i="2"/>
  <c r="AE1647" i="2"/>
  <c r="AF1647" i="2"/>
  <c r="AG1647" i="2"/>
  <c r="AH1647" i="2"/>
  <c r="AI1647" i="2"/>
  <c r="AJ1647" i="2"/>
  <c r="AK1647" i="2"/>
  <c r="Z1648" i="2"/>
  <c r="AA1648" i="2"/>
  <c r="AB1648" i="2"/>
  <c r="AC1648" i="2"/>
  <c r="AD1648" i="2"/>
  <c r="AE1648" i="2"/>
  <c r="AF1648" i="2"/>
  <c r="AG1648" i="2"/>
  <c r="AH1648" i="2"/>
  <c r="AI1648" i="2"/>
  <c r="AJ1648" i="2"/>
  <c r="AK1648" i="2"/>
  <c r="Z1649" i="2"/>
  <c r="AA1649" i="2"/>
  <c r="AB1649" i="2"/>
  <c r="AC1649" i="2"/>
  <c r="AD1649" i="2"/>
  <c r="AE1649" i="2"/>
  <c r="AF1649" i="2"/>
  <c r="AG1649" i="2"/>
  <c r="AH1649" i="2"/>
  <c r="AI1649" i="2"/>
  <c r="AJ1649" i="2"/>
  <c r="AK1649" i="2"/>
  <c r="Z1650" i="2"/>
  <c r="AA1650" i="2"/>
  <c r="AB1650" i="2"/>
  <c r="AC1650" i="2"/>
  <c r="AD1650" i="2"/>
  <c r="AE1650" i="2"/>
  <c r="AF1650" i="2"/>
  <c r="AG1650" i="2"/>
  <c r="AH1650" i="2"/>
  <c r="AI1650" i="2"/>
  <c r="AJ1650" i="2"/>
  <c r="AK1650" i="2"/>
  <c r="Z1651" i="2"/>
  <c r="AA1651" i="2"/>
  <c r="AB1651" i="2"/>
  <c r="AC1651" i="2"/>
  <c r="AD1651" i="2"/>
  <c r="AE1651" i="2"/>
  <c r="AF1651" i="2"/>
  <c r="AG1651" i="2"/>
  <c r="AH1651" i="2"/>
  <c r="AI1651" i="2"/>
  <c r="AJ1651" i="2"/>
  <c r="AK1651" i="2"/>
  <c r="Z1652" i="2"/>
  <c r="AA1652" i="2"/>
  <c r="AB1652" i="2"/>
  <c r="AC1652" i="2"/>
  <c r="AD1652" i="2"/>
  <c r="AE1652" i="2"/>
  <c r="AF1652" i="2"/>
  <c r="AG1652" i="2"/>
  <c r="AH1652" i="2"/>
  <c r="AI1652" i="2"/>
  <c r="AJ1652" i="2"/>
  <c r="AK1652" i="2"/>
  <c r="Z1653" i="2"/>
  <c r="AA1653" i="2"/>
  <c r="AB1653" i="2"/>
  <c r="AC1653" i="2"/>
  <c r="AD1653" i="2"/>
  <c r="AE1653" i="2"/>
  <c r="AF1653" i="2"/>
  <c r="AG1653" i="2"/>
  <c r="AH1653" i="2"/>
  <c r="AI1653" i="2"/>
  <c r="AJ1653" i="2"/>
  <c r="AK1653" i="2"/>
  <c r="Z1654" i="2"/>
  <c r="AA1654" i="2"/>
  <c r="AB1654" i="2"/>
  <c r="AC1654" i="2"/>
  <c r="AD1654" i="2"/>
  <c r="AE1654" i="2"/>
  <c r="AF1654" i="2"/>
  <c r="AG1654" i="2"/>
  <c r="AH1654" i="2"/>
  <c r="AI1654" i="2"/>
  <c r="AJ1654" i="2"/>
  <c r="AK1654" i="2"/>
  <c r="Z1655" i="2"/>
  <c r="AA1655" i="2"/>
  <c r="AB1655" i="2"/>
  <c r="AC1655" i="2"/>
  <c r="AD1655" i="2"/>
  <c r="AE1655" i="2"/>
  <c r="AF1655" i="2"/>
  <c r="AG1655" i="2"/>
  <c r="AH1655" i="2"/>
  <c r="AI1655" i="2"/>
  <c r="AJ1655" i="2"/>
  <c r="AK1655" i="2"/>
  <c r="Z1656" i="2"/>
  <c r="AA1656" i="2"/>
  <c r="AB1656" i="2"/>
  <c r="AC1656" i="2"/>
  <c r="AD1656" i="2"/>
  <c r="AE1656" i="2"/>
  <c r="AF1656" i="2"/>
  <c r="AG1656" i="2"/>
  <c r="AH1656" i="2"/>
  <c r="AI1656" i="2"/>
  <c r="AJ1656" i="2"/>
  <c r="AK1656" i="2"/>
  <c r="Z1657" i="2"/>
  <c r="AA1657" i="2"/>
  <c r="AB1657" i="2"/>
  <c r="AC1657" i="2"/>
  <c r="AD1657" i="2"/>
  <c r="AE1657" i="2"/>
  <c r="AF1657" i="2"/>
  <c r="AG1657" i="2"/>
  <c r="AH1657" i="2"/>
  <c r="AI1657" i="2"/>
  <c r="AJ1657" i="2"/>
  <c r="AK1657" i="2"/>
  <c r="Z1658" i="2"/>
  <c r="AA1658" i="2"/>
  <c r="AB1658" i="2"/>
  <c r="AC1658" i="2"/>
  <c r="AD1658" i="2"/>
  <c r="AE1658" i="2"/>
  <c r="AF1658" i="2"/>
  <c r="AG1658" i="2"/>
  <c r="AH1658" i="2"/>
  <c r="AI1658" i="2"/>
  <c r="AJ1658" i="2"/>
  <c r="AK1658" i="2"/>
  <c r="Z1659" i="2"/>
  <c r="AA1659" i="2"/>
  <c r="AB1659" i="2"/>
  <c r="AC1659" i="2"/>
  <c r="AD1659" i="2"/>
  <c r="AE1659" i="2"/>
  <c r="AF1659" i="2"/>
  <c r="AG1659" i="2"/>
  <c r="AH1659" i="2"/>
  <c r="AI1659" i="2"/>
  <c r="AJ1659" i="2"/>
  <c r="AK1659" i="2"/>
  <c r="Z1660" i="2"/>
  <c r="AA1660" i="2"/>
  <c r="AB1660" i="2"/>
  <c r="AC1660" i="2"/>
  <c r="AD1660" i="2"/>
  <c r="AE1660" i="2"/>
  <c r="AF1660" i="2"/>
  <c r="AG1660" i="2"/>
  <c r="AH1660" i="2"/>
  <c r="AI1660" i="2"/>
  <c r="AJ1660" i="2"/>
  <c r="AK1660" i="2"/>
  <c r="Z1661" i="2"/>
  <c r="AA1661" i="2"/>
  <c r="AB1661" i="2"/>
  <c r="AC1661" i="2"/>
  <c r="AD1661" i="2"/>
  <c r="AE1661" i="2"/>
  <c r="AF1661" i="2"/>
  <c r="AG1661" i="2"/>
  <c r="AH1661" i="2"/>
  <c r="AI1661" i="2"/>
  <c r="AJ1661" i="2"/>
  <c r="AK1661" i="2"/>
  <c r="Z1662" i="2"/>
  <c r="AA1662" i="2"/>
  <c r="AB1662" i="2"/>
  <c r="AC1662" i="2"/>
  <c r="AD1662" i="2"/>
  <c r="AE1662" i="2"/>
  <c r="AF1662" i="2"/>
  <c r="AG1662" i="2"/>
  <c r="AH1662" i="2"/>
  <c r="AI1662" i="2"/>
  <c r="AJ1662" i="2"/>
  <c r="AK1662" i="2"/>
  <c r="Z1663" i="2"/>
  <c r="AA1663" i="2"/>
  <c r="AB1663" i="2"/>
  <c r="AC1663" i="2"/>
  <c r="AD1663" i="2"/>
  <c r="AE1663" i="2"/>
  <c r="AF1663" i="2"/>
  <c r="AG1663" i="2"/>
  <c r="AH1663" i="2"/>
  <c r="AI1663" i="2"/>
  <c r="AJ1663" i="2"/>
  <c r="AK1663" i="2"/>
  <c r="Z1664" i="2"/>
  <c r="AA1664" i="2"/>
  <c r="AB1664" i="2"/>
  <c r="AC1664" i="2"/>
  <c r="AD1664" i="2"/>
  <c r="AE1664" i="2"/>
  <c r="AF1664" i="2"/>
  <c r="AG1664" i="2"/>
  <c r="AH1664" i="2"/>
  <c r="AI1664" i="2"/>
  <c r="AJ1664" i="2"/>
  <c r="AK1664" i="2"/>
  <c r="Z1665" i="2"/>
  <c r="AA1665" i="2"/>
  <c r="AB1665" i="2"/>
  <c r="AC1665" i="2"/>
  <c r="AD1665" i="2"/>
  <c r="AE1665" i="2"/>
  <c r="AF1665" i="2"/>
  <c r="AG1665" i="2"/>
  <c r="AH1665" i="2"/>
  <c r="AI1665" i="2"/>
  <c r="AJ1665" i="2"/>
  <c r="AK1665" i="2"/>
  <c r="Z1666" i="2"/>
  <c r="AA1666" i="2"/>
  <c r="AB1666" i="2"/>
  <c r="AC1666" i="2"/>
  <c r="AD1666" i="2"/>
  <c r="AE1666" i="2"/>
  <c r="AF1666" i="2"/>
  <c r="AG1666" i="2"/>
  <c r="AH1666" i="2"/>
  <c r="AI1666" i="2"/>
  <c r="AJ1666" i="2"/>
  <c r="AK1666" i="2"/>
  <c r="Z1667" i="2"/>
  <c r="AA1667" i="2"/>
  <c r="AB1667" i="2"/>
  <c r="AC1667" i="2"/>
  <c r="AD1667" i="2"/>
  <c r="AE1667" i="2"/>
  <c r="AF1667" i="2"/>
  <c r="AG1667" i="2"/>
  <c r="AH1667" i="2"/>
  <c r="AI1667" i="2"/>
  <c r="AJ1667" i="2"/>
  <c r="AK1667" i="2"/>
  <c r="Z1668" i="2"/>
  <c r="AA1668" i="2"/>
  <c r="AB1668" i="2"/>
  <c r="AC1668" i="2"/>
  <c r="AD1668" i="2"/>
  <c r="AE1668" i="2"/>
  <c r="AF1668" i="2"/>
  <c r="AG1668" i="2"/>
  <c r="AH1668" i="2"/>
  <c r="AI1668" i="2"/>
  <c r="AJ1668" i="2"/>
  <c r="AK1668" i="2"/>
  <c r="Z1669" i="2"/>
  <c r="AA1669" i="2"/>
  <c r="AB1669" i="2"/>
  <c r="AC1669" i="2"/>
  <c r="AD1669" i="2"/>
  <c r="AE1669" i="2"/>
  <c r="AF1669" i="2"/>
  <c r="AG1669" i="2"/>
  <c r="AH1669" i="2"/>
  <c r="AI1669" i="2"/>
  <c r="AJ1669" i="2"/>
  <c r="AK1669" i="2"/>
  <c r="Z1670" i="2"/>
  <c r="AA1670" i="2"/>
  <c r="AB1670" i="2"/>
  <c r="AC1670" i="2"/>
  <c r="AD1670" i="2"/>
  <c r="AE1670" i="2"/>
  <c r="AF1670" i="2"/>
  <c r="AG1670" i="2"/>
  <c r="AH1670" i="2"/>
  <c r="AI1670" i="2"/>
  <c r="AJ1670" i="2"/>
  <c r="AK1670" i="2"/>
  <c r="Z1671" i="2"/>
  <c r="AA1671" i="2"/>
  <c r="AB1671" i="2"/>
  <c r="AC1671" i="2"/>
  <c r="AD1671" i="2"/>
  <c r="AE1671" i="2"/>
  <c r="AF1671" i="2"/>
  <c r="AG1671" i="2"/>
  <c r="AH1671" i="2"/>
  <c r="AI1671" i="2"/>
  <c r="AJ1671" i="2"/>
  <c r="AK1671" i="2"/>
  <c r="Z1672" i="2"/>
  <c r="AA1672" i="2"/>
  <c r="AB1672" i="2"/>
  <c r="AC1672" i="2"/>
  <c r="AD1672" i="2"/>
  <c r="AE1672" i="2"/>
  <c r="AF1672" i="2"/>
  <c r="AG1672" i="2"/>
  <c r="AH1672" i="2"/>
  <c r="AI1672" i="2"/>
  <c r="AJ1672" i="2"/>
  <c r="AK1672" i="2"/>
  <c r="Z1673" i="2"/>
  <c r="AA1673" i="2"/>
  <c r="AB1673" i="2"/>
  <c r="AC1673" i="2"/>
  <c r="AD1673" i="2"/>
  <c r="AE1673" i="2"/>
  <c r="AF1673" i="2"/>
  <c r="AG1673" i="2"/>
  <c r="AH1673" i="2"/>
  <c r="AI1673" i="2"/>
  <c r="AJ1673" i="2"/>
  <c r="AK1673" i="2"/>
  <c r="Z1674" i="2"/>
  <c r="AA1674" i="2"/>
  <c r="AB1674" i="2"/>
  <c r="AC1674" i="2"/>
  <c r="AD1674" i="2"/>
  <c r="AE1674" i="2"/>
  <c r="AF1674" i="2"/>
  <c r="AG1674" i="2"/>
  <c r="AH1674" i="2"/>
  <c r="AI1674" i="2"/>
  <c r="AJ1674" i="2"/>
  <c r="AK1674" i="2"/>
  <c r="Z1675" i="2"/>
  <c r="AA1675" i="2"/>
  <c r="AB1675" i="2"/>
  <c r="AC1675" i="2"/>
  <c r="AD1675" i="2"/>
  <c r="AE1675" i="2"/>
  <c r="AF1675" i="2"/>
  <c r="AG1675" i="2"/>
  <c r="AH1675" i="2"/>
  <c r="AI1675" i="2"/>
  <c r="AJ1675" i="2"/>
  <c r="AK1675" i="2"/>
  <c r="Z1676" i="2"/>
  <c r="AA1676" i="2"/>
  <c r="AB1676" i="2"/>
  <c r="AC1676" i="2"/>
  <c r="AD1676" i="2"/>
  <c r="AE1676" i="2"/>
  <c r="AF1676" i="2"/>
  <c r="AG1676" i="2"/>
  <c r="AH1676" i="2"/>
  <c r="AI1676" i="2"/>
  <c r="AJ1676" i="2"/>
  <c r="AK1676" i="2"/>
  <c r="Z1677" i="2"/>
  <c r="AA1677" i="2"/>
  <c r="AB1677" i="2"/>
  <c r="AC1677" i="2"/>
  <c r="AD1677" i="2"/>
  <c r="AE1677" i="2"/>
  <c r="AF1677" i="2"/>
  <c r="AG1677" i="2"/>
  <c r="AH1677" i="2"/>
  <c r="AI1677" i="2"/>
  <c r="AJ1677" i="2"/>
  <c r="AK1677" i="2"/>
  <c r="Z1678" i="2"/>
  <c r="AA1678" i="2"/>
  <c r="AB1678" i="2"/>
  <c r="AC1678" i="2"/>
  <c r="AD1678" i="2"/>
  <c r="AE1678" i="2"/>
  <c r="AF1678" i="2"/>
  <c r="AG1678" i="2"/>
  <c r="AH1678" i="2"/>
  <c r="AI1678" i="2"/>
  <c r="AJ1678" i="2"/>
  <c r="AK1678" i="2"/>
  <c r="Z1679" i="2"/>
  <c r="AA1679" i="2"/>
  <c r="AB1679" i="2"/>
  <c r="AC1679" i="2"/>
  <c r="AD1679" i="2"/>
  <c r="AE1679" i="2"/>
  <c r="AF1679" i="2"/>
  <c r="AG1679" i="2"/>
  <c r="AH1679" i="2"/>
  <c r="AI1679" i="2"/>
  <c r="AJ1679" i="2"/>
  <c r="AK1679" i="2"/>
  <c r="Z1680" i="2"/>
  <c r="AA1680" i="2"/>
  <c r="AB1680" i="2"/>
  <c r="AC1680" i="2"/>
  <c r="AD1680" i="2"/>
  <c r="AE1680" i="2"/>
  <c r="AF1680" i="2"/>
  <c r="AG1680" i="2"/>
  <c r="AH1680" i="2"/>
  <c r="AI1680" i="2"/>
  <c r="AJ1680" i="2"/>
  <c r="AK1680" i="2"/>
  <c r="Z1681" i="2"/>
  <c r="AA1681" i="2"/>
  <c r="AB1681" i="2"/>
  <c r="AC1681" i="2"/>
  <c r="AD1681" i="2"/>
  <c r="AE1681" i="2"/>
  <c r="AF1681" i="2"/>
  <c r="AG1681" i="2"/>
  <c r="AH1681" i="2"/>
  <c r="AI1681" i="2"/>
  <c r="AJ1681" i="2"/>
  <c r="AK1681" i="2"/>
  <c r="Z1682" i="2"/>
  <c r="AA1682" i="2"/>
  <c r="AB1682" i="2"/>
  <c r="AC1682" i="2"/>
  <c r="AD1682" i="2"/>
  <c r="AE1682" i="2"/>
  <c r="AF1682" i="2"/>
  <c r="AG1682" i="2"/>
  <c r="AH1682" i="2"/>
  <c r="AI1682" i="2"/>
  <c r="AJ1682" i="2"/>
  <c r="AK1682" i="2"/>
  <c r="Z1683" i="2"/>
  <c r="AA1683" i="2"/>
  <c r="AB1683" i="2"/>
  <c r="AC1683" i="2"/>
  <c r="AD1683" i="2"/>
  <c r="AE1683" i="2"/>
  <c r="AF1683" i="2"/>
  <c r="AG1683" i="2"/>
  <c r="AH1683" i="2"/>
  <c r="AI1683" i="2"/>
  <c r="AJ1683" i="2"/>
  <c r="AK1683" i="2"/>
  <c r="Z1684" i="2"/>
  <c r="AA1684" i="2"/>
  <c r="AB1684" i="2"/>
  <c r="AC1684" i="2"/>
  <c r="AD1684" i="2"/>
  <c r="AE1684" i="2"/>
  <c r="AF1684" i="2"/>
  <c r="AG1684" i="2"/>
  <c r="AH1684" i="2"/>
  <c r="AI1684" i="2"/>
  <c r="AJ1684" i="2"/>
  <c r="AK1684" i="2"/>
  <c r="Z1685" i="2"/>
  <c r="AA1685" i="2"/>
  <c r="AB1685" i="2"/>
  <c r="AC1685" i="2"/>
  <c r="AD1685" i="2"/>
  <c r="AE1685" i="2"/>
  <c r="AF1685" i="2"/>
  <c r="AG1685" i="2"/>
  <c r="AH1685" i="2"/>
  <c r="AI1685" i="2"/>
  <c r="AJ1685" i="2"/>
  <c r="AK1685" i="2"/>
  <c r="Z1686" i="2"/>
  <c r="AA1686" i="2"/>
  <c r="AB1686" i="2"/>
  <c r="AC1686" i="2"/>
  <c r="AD1686" i="2"/>
  <c r="AE1686" i="2"/>
  <c r="AF1686" i="2"/>
  <c r="AG1686" i="2"/>
  <c r="AH1686" i="2"/>
  <c r="AI1686" i="2"/>
  <c r="AJ1686" i="2"/>
  <c r="AK1686" i="2"/>
  <c r="Z1687" i="2"/>
  <c r="AA1687" i="2"/>
  <c r="AB1687" i="2"/>
  <c r="AC1687" i="2"/>
  <c r="AD1687" i="2"/>
  <c r="AE1687" i="2"/>
  <c r="AF1687" i="2"/>
  <c r="AG1687" i="2"/>
  <c r="AH1687" i="2"/>
  <c r="AI1687" i="2"/>
  <c r="AJ1687" i="2"/>
  <c r="AK1687" i="2"/>
  <c r="Z1688" i="2"/>
  <c r="AA1688" i="2"/>
  <c r="AB1688" i="2"/>
  <c r="AC1688" i="2"/>
  <c r="AD1688" i="2"/>
  <c r="AE1688" i="2"/>
  <c r="AF1688" i="2"/>
  <c r="AG1688" i="2"/>
  <c r="AH1688" i="2"/>
  <c r="AI1688" i="2"/>
  <c r="AJ1688" i="2"/>
  <c r="AK1688" i="2"/>
  <c r="Z1689" i="2"/>
  <c r="AA1689" i="2"/>
  <c r="AB1689" i="2"/>
  <c r="AC1689" i="2"/>
  <c r="AD1689" i="2"/>
  <c r="AE1689" i="2"/>
  <c r="AF1689" i="2"/>
  <c r="AG1689" i="2"/>
  <c r="AH1689" i="2"/>
  <c r="AI1689" i="2"/>
  <c r="AJ1689" i="2"/>
  <c r="AK1689" i="2"/>
  <c r="Z1690" i="2"/>
  <c r="AA1690" i="2"/>
  <c r="AB1690" i="2"/>
  <c r="AC1690" i="2"/>
  <c r="AD1690" i="2"/>
  <c r="AE1690" i="2"/>
  <c r="AF1690" i="2"/>
  <c r="AG1690" i="2"/>
  <c r="AH1690" i="2"/>
  <c r="AI1690" i="2"/>
  <c r="AJ1690" i="2"/>
  <c r="AK1690" i="2"/>
  <c r="Z1691" i="2"/>
  <c r="AA1691" i="2"/>
  <c r="AB1691" i="2"/>
  <c r="AC1691" i="2"/>
  <c r="AD1691" i="2"/>
  <c r="AE1691" i="2"/>
  <c r="AF1691" i="2"/>
  <c r="AG1691" i="2"/>
  <c r="AH1691" i="2"/>
  <c r="AI1691" i="2"/>
  <c r="AJ1691" i="2"/>
  <c r="AK1691" i="2"/>
  <c r="Z1692" i="2"/>
  <c r="AA1692" i="2"/>
  <c r="AB1692" i="2"/>
  <c r="AC1692" i="2"/>
  <c r="AD1692" i="2"/>
  <c r="AE1692" i="2"/>
  <c r="AF1692" i="2"/>
  <c r="AG1692" i="2"/>
  <c r="AH1692" i="2"/>
  <c r="AI1692" i="2"/>
  <c r="AJ1692" i="2"/>
  <c r="AK1692" i="2"/>
  <c r="Z1693" i="2"/>
  <c r="AA1693" i="2"/>
  <c r="AB1693" i="2"/>
  <c r="AC1693" i="2"/>
  <c r="AD1693" i="2"/>
  <c r="AE1693" i="2"/>
  <c r="AF1693" i="2"/>
  <c r="AG1693" i="2"/>
  <c r="AH1693" i="2"/>
  <c r="AI1693" i="2"/>
  <c r="AJ1693" i="2"/>
  <c r="AK1693" i="2"/>
  <c r="Z1694" i="2"/>
  <c r="AA1694" i="2"/>
  <c r="AB1694" i="2"/>
  <c r="AC1694" i="2"/>
  <c r="AD1694" i="2"/>
  <c r="AE1694" i="2"/>
  <c r="AF1694" i="2"/>
  <c r="AG1694" i="2"/>
  <c r="AH1694" i="2"/>
  <c r="AI1694" i="2"/>
  <c r="AJ1694" i="2"/>
  <c r="AK1694" i="2"/>
  <c r="Z1695" i="2"/>
  <c r="AA1695" i="2"/>
  <c r="AB1695" i="2"/>
  <c r="AC1695" i="2"/>
  <c r="AD1695" i="2"/>
  <c r="AE1695" i="2"/>
  <c r="AF1695" i="2"/>
  <c r="AG1695" i="2"/>
  <c r="AH1695" i="2"/>
  <c r="AI1695" i="2"/>
  <c r="AJ1695" i="2"/>
  <c r="AK1695" i="2"/>
  <c r="Z1696" i="2"/>
  <c r="AA1696" i="2"/>
  <c r="AB1696" i="2"/>
  <c r="AC1696" i="2"/>
  <c r="AD1696" i="2"/>
  <c r="AE1696" i="2"/>
  <c r="AF1696" i="2"/>
  <c r="AG1696" i="2"/>
  <c r="AH1696" i="2"/>
  <c r="AI1696" i="2"/>
  <c r="AJ1696" i="2"/>
  <c r="AK1696" i="2"/>
  <c r="Z1697" i="2"/>
  <c r="AA1697" i="2"/>
  <c r="AB1697" i="2"/>
  <c r="AC1697" i="2"/>
  <c r="AD1697" i="2"/>
  <c r="AE1697" i="2"/>
  <c r="AF1697" i="2"/>
  <c r="AG1697" i="2"/>
  <c r="AH1697" i="2"/>
  <c r="AI1697" i="2"/>
  <c r="AJ1697" i="2"/>
  <c r="AK1697" i="2"/>
  <c r="Z1698" i="2"/>
  <c r="AA1698" i="2"/>
  <c r="AB1698" i="2"/>
  <c r="AC1698" i="2"/>
  <c r="AD1698" i="2"/>
  <c r="AE1698" i="2"/>
  <c r="AF1698" i="2"/>
  <c r="AG1698" i="2"/>
  <c r="AH1698" i="2"/>
  <c r="AI1698" i="2"/>
  <c r="AJ1698" i="2"/>
  <c r="AK1698" i="2"/>
  <c r="Z1699" i="2"/>
  <c r="AA1699" i="2"/>
  <c r="AB1699" i="2"/>
  <c r="AC1699" i="2"/>
  <c r="AD1699" i="2"/>
  <c r="AE1699" i="2"/>
  <c r="AF1699" i="2"/>
  <c r="AG1699" i="2"/>
  <c r="AH1699" i="2"/>
  <c r="AI1699" i="2"/>
  <c r="AJ1699" i="2"/>
  <c r="AK1699" i="2"/>
  <c r="Z1700" i="2"/>
  <c r="AA1700" i="2"/>
  <c r="AB1700" i="2"/>
  <c r="AC1700" i="2"/>
  <c r="AD1700" i="2"/>
  <c r="AE1700" i="2"/>
  <c r="AF1700" i="2"/>
  <c r="AG1700" i="2"/>
  <c r="AH1700" i="2"/>
  <c r="AI1700" i="2"/>
  <c r="AJ1700" i="2"/>
  <c r="AK1700" i="2"/>
  <c r="Z1701" i="2"/>
  <c r="AA1701" i="2"/>
  <c r="AB1701" i="2"/>
  <c r="AC1701" i="2"/>
  <c r="AD1701" i="2"/>
  <c r="AE1701" i="2"/>
  <c r="AF1701" i="2"/>
  <c r="AG1701" i="2"/>
  <c r="AH1701" i="2"/>
  <c r="AI1701" i="2"/>
  <c r="AJ1701" i="2"/>
  <c r="AK1701" i="2"/>
  <c r="Z1702" i="2"/>
  <c r="AA1702" i="2"/>
  <c r="AB1702" i="2"/>
  <c r="AC1702" i="2"/>
  <c r="AD1702" i="2"/>
  <c r="AE1702" i="2"/>
  <c r="AF1702" i="2"/>
  <c r="AG1702" i="2"/>
  <c r="AH1702" i="2"/>
  <c r="AI1702" i="2"/>
  <c r="AJ1702" i="2"/>
  <c r="AK1702" i="2"/>
  <c r="Z1703" i="2"/>
  <c r="AA1703" i="2"/>
  <c r="AB1703" i="2"/>
  <c r="AC1703" i="2"/>
  <c r="AD1703" i="2"/>
  <c r="AE1703" i="2"/>
  <c r="AF1703" i="2"/>
  <c r="AG1703" i="2"/>
  <c r="AH1703" i="2"/>
  <c r="AI1703" i="2"/>
  <c r="AJ1703" i="2"/>
  <c r="AK1703" i="2"/>
  <c r="Z1704" i="2"/>
  <c r="AA1704" i="2"/>
  <c r="AB1704" i="2"/>
  <c r="AC1704" i="2"/>
  <c r="AD1704" i="2"/>
  <c r="AE1704" i="2"/>
  <c r="AF1704" i="2"/>
  <c r="AG1704" i="2"/>
  <c r="AH1704" i="2"/>
  <c r="AI1704" i="2"/>
  <c r="AJ1704" i="2"/>
  <c r="AK1704" i="2"/>
  <c r="Z1705" i="2"/>
  <c r="AA1705" i="2"/>
  <c r="AB1705" i="2"/>
  <c r="AC1705" i="2"/>
  <c r="AD1705" i="2"/>
  <c r="AE1705" i="2"/>
  <c r="AF1705" i="2"/>
  <c r="AG1705" i="2"/>
  <c r="AH1705" i="2"/>
  <c r="AI1705" i="2"/>
  <c r="AJ1705" i="2"/>
  <c r="AK1705" i="2"/>
  <c r="Z1706" i="2"/>
  <c r="AA1706" i="2"/>
  <c r="AB1706" i="2"/>
  <c r="AC1706" i="2"/>
  <c r="AD1706" i="2"/>
  <c r="AE1706" i="2"/>
  <c r="AF1706" i="2"/>
  <c r="AG1706" i="2"/>
  <c r="AH1706" i="2"/>
  <c r="AI1706" i="2"/>
  <c r="AJ1706" i="2"/>
  <c r="AK1706" i="2"/>
  <c r="Z1707" i="2"/>
  <c r="AA1707" i="2"/>
  <c r="AB1707" i="2"/>
  <c r="AC1707" i="2"/>
  <c r="AD1707" i="2"/>
  <c r="AE1707" i="2"/>
  <c r="AF1707" i="2"/>
  <c r="AG1707" i="2"/>
  <c r="AH1707" i="2"/>
  <c r="AI1707" i="2"/>
  <c r="AJ1707" i="2"/>
  <c r="AK1707" i="2"/>
  <c r="Z1708" i="2"/>
  <c r="AA1708" i="2"/>
  <c r="AB1708" i="2"/>
  <c r="AC1708" i="2"/>
  <c r="AD1708" i="2"/>
  <c r="AE1708" i="2"/>
  <c r="AF1708" i="2"/>
  <c r="AG1708" i="2"/>
  <c r="AH1708" i="2"/>
  <c r="AI1708" i="2"/>
  <c r="AJ1708" i="2"/>
  <c r="AK1708" i="2"/>
  <c r="Z1709" i="2"/>
  <c r="AA1709" i="2"/>
  <c r="AB1709" i="2"/>
  <c r="AC1709" i="2"/>
  <c r="AD1709" i="2"/>
  <c r="AE1709" i="2"/>
  <c r="AF1709" i="2"/>
  <c r="AG1709" i="2"/>
  <c r="AH1709" i="2"/>
  <c r="AI1709" i="2"/>
  <c r="AJ1709" i="2"/>
  <c r="AK1709" i="2"/>
  <c r="Z1710" i="2"/>
  <c r="AA1710" i="2"/>
  <c r="AB1710" i="2"/>
  <c r="AC1710" i="2"/>
  <c r="AD1710" i="2"/>
  <c r="AE1710" i="2"/>
  <c r="AF1710" i="2"/>
  <c r="AG1710" i="2"/>
  <c r="AH1710" i="2"/>
  <c r="AI1710" i="2"/>
  <c r="AJ1710" i="2"/>
  <c r="AK1710" i="2"/>
  <c r="Z1711" i="2"/>
  <c r="AA1711" i="2"/>
  <c r="AB1711" i="2"/>
  <c r="AC1711" i="2"/>
  <c r="AD1711" i="2"/>
  <c r="AE1711" i="2"/>
  <c r="AF1711" i="2"/>
  <c r="AG1711" i="2"/>
  <c r="AH1711" i="2"/>
  <c r="AI1711" i="2"/>
  <c r="AJ1711" i="2"/>
  <c r="AK1711" i="2"/>
  <c r="Z1712" i="2"/>
  <c r="AA1712" i="2"/>
  <c r="AB1712" i="2"/>
  <c r="AC1712" i="2"/>
  <c r="AD1712" i="2"/>
  <c r="AE1712" i="2"/>
  <c r="AF1712" i="2"/>
  <c r="AG1712" i="2"/>
  <c r="AH1712" i="2"/>
  <c r="AI1712" i="2"/>
  <c r="AJ1712" i="2"/>
  <c r="AK1712" i="2"/>
  <c r="Z1713" i="2"/>
  <c r="AA1713" i="2"/>
  <c r="AB1713" i="2"/>
  <c r="AC1713" i="2"/>
  <c r="AD1713" i="2"/>
  <c r="AE1713" i="2"/>
  <c r="AF1713" i="2"/>
  <c r="AG1713" i="2"/>
  <c r="AH1713" i="2"/>
  <c r="AI1713" i="2"/>
  <c r="AJ1713" i="2"/>
  <c r="AK1713" i="2"/>
  <c r="Z1714" i="2"/>
  <c r="AA1714" i="2"/>
  <c r="AB1714" i="2"/>
  <c r="AC1714" i="2"/>
  <c r="AD1714" i="2"/>
  <c r="AE1714" i="2"/>
  <c r="AF1714" i="2"/>
  <c r="AG1714" i="2"/>
  <c r="AH1714" i="2"/>
  <c r="AI1714" i="2"/>
  <c r="AJ1714" i="2"/>
  <c r="AK1714" i="2"/>
  <c r="Z1715" i="2"/>
  <c r="AA1715" i="2"/>
  <c r="AB1715" i="2"/>
  <c r="AC1715" i="2"/>
  <c r="AD1715" i="2"/>
  <c r="AE1715" i="2"/>
  <c r="AF1715" i="2"/>
  <c r="AG1715" i="2"/>
  <c r="AH1715" i="2"/>
  <c r="AI1715" i="2"/>
  <c r="AJ1715" i="2"/>
  <c r="AK1715" i="2"/>
  <c r="Z1716" i="2"/>
  <c r="AA1716" i="2"/>
  <c r="AB1716" i="2"/>
  <c r="AC1716" i="2"/>
  <c r="AD1716" i="2"/>
  <c r="AE1716" i="2"/>
  <c r="AF1716" i="2"/>
  <c r="AG1716" i="2"/>
  <c r="AH1716" i="2"/>
  <c r="AI1716" i="2"/>
  <c r="AJ1716" i="2"/>
  <c r="AK1716" i="2"/>
  <c r="Z1717" i="2"/>
  <c r="AA1717" i="2"/>
  <c r="AB1717" i="2"/>
  <c r="AC1717" i="2"/>
  <c r="AD1717" i="2"/>
  <c r="AE1717" i="2"/>
  <c r="AF1717" i="2"/>
  <c r="AG1717" i="2"/>
  <c r="AH1717" i="2"/>
  <c r="AI1717" i="2"/>
  <c r="AJ1717" i="2"/>
  <c r="AK1717" i="2"/>
  <c r="Z1718" i="2"/>
  <c r="AA1718" i="2"/>
  <c r="AB1718" i="2"/>
  <c r="AC1718" i="2"/>
  <c r="AD1718" i="2"/>
  <c r="AE1718" i="2"/>
  <c r="AF1718" i="2"/>
  <c r="AG1718" i="2"/>
  <c r="AH1718" i="2"/>
  <c r="AI1718" i="2"/>
  <c r="AJ1718" i="2"/>
  <c r="AK1718" i="2"/>
  <c r="Z1719" i="2"/>
  <c r="AA1719" i="2"/>
  <c r="AB1719" i="2"/>
  <c r="AC1719" i="2"/>
  <c r="AD1719" i="2"/>
  <c r="AE1719" i="2"/>
  <c r="AF1719" i="2"/>
  <c r="AG1719" i="2"/>
  <c r="AH1719" i="2"/>
  <c r="AI1719" i="2"/>
  <c r="AJ1719" i="2"/>
  <c r="AK1719" i="2"/>
  <c r="Z1720" i="2"/>
  <c r="AA1720" i="2"/>
  <c r="AB1720" i="2"/>
  <c r="AC1720" i="2"/>
  <c r="AD1720" i="2"/>
  <c r="AE1720" i="2"/>
  <c r="AF1720" i="2"/>
  <c r="AG1720" i="2"/>
  <c r="AH1720" i="2"/>
  <c r="AI1720" i="2"/>
  <c r="AJ1720" i="2"/>
  <c r="AK1720" i="2"/>
  <c r="Z1721" i="2"/>
  <c r="AA1721" i="2"/>
  <c r="AB1721" i="2"/>
  <c r="AC1721" i="2"/>
  <c r="AD1721" i="2"/>
  <c r="AE1721" i="2"/>
  <c r="AF1721" i="2"/>
  <c r="AG1721" i="2"/>
  <c r="AH1721" i="2"/>
  <c r="AI1721" i="2"/>
  <c r="AJ1721" i="2"/>
  <c r="AK1721" i="2"/>
  <c r="Z1722" i="2"/>
  <c r="AA1722" i="2"/>
  <c r="AB1722" i="2"/>
  <c r="AC1722" i="2"/>
  <c r="AD1722" i="2"/>
  <c r="AE1722" i="2"/>
  <c r="AF1722" i="2"/>
  <c r="AG1722" i="2"/>
  <c r="AH1722" i="2"/>
  <c r="AI1722" i="2"/>
  <c r="AJ1722" i="2"/>
  <c r="AK1722" i="2"/>
  <c r="Z1723" i="2"/>
  <c r="AA1723" i="2"/>
  <c r="AB1723" i="2"/>
  <c r="AC1723" i="2"/>
  <c r="AD1723" i="2"/>
  <c r="AE1723" i="2"/>
  <c r="AF1723" i="2"/>
  <c r="AG1723" i="2"/>
  <c r="AH1723" i="2"/>
  <c r="AI1723" i="2"/>
  <c r="AJ1723" i="2"/>
  <c r="AK1723" i="2"/>
  <c r="Z1724" i="2"/>
  <c r="AA1724" i="2"/>
  <c r="AB1724" i="2"/>
  <c r="AC1724" i="2"/>
  <c r="AD1724" i="2"/>
  <c r="AE1724" i="2"/>
  <c r="AF1724" i="2"/>
  <c r="AG1724" i="2"/>
  <c r="AH1724" i="2"/>
  <c r="AI1724" i="2"/>
  <c r="AJ1724" i="2"/>
  <c r="AK1724" i="2"/>
  <c r="Z1725" i="2"/>
  <c r="AA1725" i="2"/>
  <c r="AB1725" i="2"/>
  <c r="AC1725" i="2"/>
  <c r="AD1725" i="2"/>
  <c r="AE1725" i="2"/>
  <c r="AF1725" i="2"/>
  <c r="AG1725" i="2"/>
  <c r="AH1725" i="2"/>
  <c r="AI1725" i="2"/>
  <c r="AJ1725" i="2"/>
  <c r="AK1725" i="2"/>
  <c r="Z1726" i="2"/>
  <c r="AA1726" i="2"/>
  <c r="AB1726" i="2"/>
  <c r="AC1726" i="2"/>
  <c r="AD1726" i="2"/>
  <c r="AE1726" i="2"/>
  <c r="AF1726" i="2"/>
  <c r="AG1726" i="2"/>
  <c r="AH1726" i="2"/>
  <c r="AI1726" i="2"/>
  <c r="AJ1726" i="2"/>
  <c r="AK1726" i="2"/>
  <c r="Z1727" i="2"/>
  <c r="AA1727" i="2"/>
  <c r="AB1727" i="2"/>
  <c r="AC1727" i="2"/>
  <c r="AD1727" i="2"/>
  <c r="AE1727" i="2"/>
  <c r="AF1727" i="2"/>
  <c r="AG1727" i="2"/>
  <c r="AH1727" i="2"/>
  <c r="AI1727" i="2"/>
  <c r="AJ1727" i="2"/>
  <c r="AK1727" i="2"/>
  <c r="Z1728" i="2"/>
  <c r="AA1728" i="2"/>
  <c r="AB1728" i="2"/>
  <c r="AC1728" i="2"/>
  <c r="AD1728" i="2"/>
  <c r="AE1728" i="2"/>
  <c r="AF1728" i="2"/>
  <c r="AG1728" i="2"/>
  <c r="AH1728" i="2"/>
  <c r="AI1728" i="2"/>
  <c r="AJ1728" i="2"/>
  <c r="AK1728" i="2"/>
  <c r="Z1729" i="2"/>
  <c r="AA1729" i="2"/>
  <c r="AB1729" i="2"/>
  <c r="AC1729" i="2"/>
  <c r="AD1729" i="2"/>
  <c r="AE1729" i="2"/>
  <c r="AF1729" i="2"/>
  <c r="AG1729" i="2"/>
  <c r="AH1729" i="2"/>
  <c r="AI1729" i="2"/>
  <c r="AJ1729" i="2"/>
  <c r="AK1729" i="2"/>
  <c r="Z1730" i="2"/>
  <c r="AA1730" i="2"/>
  <c r="AB1730" i="2"/>
  <c r="AC1730" i="2"/>
  <c r="AD1730" i="2"/>
  <c r="AE1730" i="2"/>
  <c r="AF1730" i="2"/>
  <c r="AG1730" i="2"/>
  <c r="AH1730" i="2"/>
  <c r="AI1730" i="2"/>
  <c r="AJ1730" i="2"/>
  <c r="AK1730" i="2"/>
  <c r="Z1731" i="2"/>
  <c r="AA1731" i="2"/>
  <c r="AB1731" i="2"/>
  <c r="AC1731" i="2"/>
  <c r="AD1731" i="2"/>
  <c r="AE1731" i="2"/>
  <c r="AF1731" i="2"/>
  <c r="AG1731" i="2"/>
  <c r="AH1731" i="2"/>
  <c r="AI1731" i="2"/>
  <c r="AJ1731" i="2"/>
  <c r="AK1731" i="2"/>
  <c r="Z1732" i="2"/>
  <c r="AA1732" i="2"/>
  <c r="AB1732" i="2"/>
  <c r="AC1732" i="2"/>
  <c r="AD1732" i="2"/>
  <c r="AE1732" i="2"/>
  <c r="AF1732" i="2"/>
  <c r="AG1732" i="2"/>
  <c r="AH1732" i="2"/>
  <c r="AI1732" i="2"/>
  <c r="AJ1732" i="2"/>
  <c r="AK1732" i="2"/>
  <c r="Z1733" i="2"/>
  <c r="AA1733" i="2"/>
  <c r="AB1733" i="2"/>
  <c r="AC1733" i="2"/>
  <c r="AD1733" i="2"/>
  <c r="AE1733" i="2"/>
  <c r="AF1733" i="2"/>
  <c r="AG1733" i="2"/>
  <c r="AH1733" i="2"/>
  <c r="AI1733" i="2"/>
  <c r="AJ1733" i="2"/>
  <c r="AK1733" i="2"/>
  <c r="Z1734" i="2"/>
  <c r="AA1734" i="2"/>
  <c r="AB1734" i="2"/>
  <c r="AC1734" i="2"/>
  <c r="AD1734" i="2"/>
  <c r="AE1734" i="2"/>
  <c r="AF1734" i="2"/>
  <c r="AG1734" i="2"/>
  <c r="AH1734" i="2"/>
  <c r="AI1734" i="2"/>
  <c r="AJ1734" i="2"/>
  <c r="AK1734" i="2"/>
  <c r="Z1735" i="2"/>
  <c r="AA1735" i="2"/>
  <c r="AB1735" i="2"/>
  <c r="AC1735" i="2"/>
  <c r="AD1735" i="2"/>
  <c r="AE1735" i="2"/>
  <c r="AF1735" i="2"/>
  <c r="AG1735" i="2"/>
  <c r="AH1735" i="2"/>
  <c r="AI1735" i="2"/>
  <c r="AJ1735" i="2"/>
  <c r="AK1735" i="2"/>
  <c r="Z1736" i="2"/>
  <c r="AA1736" i="2"/>
  <c r="AB1736" i="2"/>
  <c r="AC1736" i="2"/>
  <c r="AD1736" i="2"/>
  <c r="AE1736" i="2"/>
  <c r="AF1736" i="2"/>
  <c r="AG1736" i="2"/>
  <c r="AH1736" i="2"/>
  <c r="AI1736" i="2"/>
  <c r="AJ1736" i="2"/>
  <c r="AK1736" i="2"/>
  <c r="Z1737" i="2"/>
  <c r="AA1737" i="2"/>
  <c r="AB1737" i="2"/>
  <c r="AC1737" i="2"/>
  <c r="AD1737" i="2"/>
  <c r="AE1737" i="2"/>
  <c r="AF1737" i="2"/>
  <c r="AG1737" i="2"/>
  <c r="AH1737" i="2"/>
  <c r="AI1737" i="2"/>
  <c r="AJ1737" i="2"/>
  <c r="AK1737" i="2"/>
  <c r="Z1738" i="2"/>
  <c r="AA1738" i="2"/>
  <c r="AB1738" i="2"/>
  <c r="AC1738" i="2"/>
  <c r="AD1738" i="2"/>
  <c r="AE1738" i="2"/>
  <c r="AF1738" i="2"/>
  <c r="AG1738" i="2"/>
  <c r="AH1738" i="2"/>
  <c r="AI1738" i="2"/>
  <c r="AJ1738" i="2"/>
  <c r="AK1738" i="2"/>
  <c r="Z1739" i="2"/>
  <c r="AA1739" i="2"/>
  <c r="AB1739" i="2"/>
  <c r="AC1739" i="2"/>
  <c r="AD1739" i="2"/>
  <c r="AE1739" i="2"/>
  <c r="AF1739" i="2"/>
  <c r="AG1739" i="2"/>
  <c r="AH1739" i="2"/>
  <c r="AI1739" i="2"/>
  <c r="AJ1739" i="2"/>
  <c r="AK1739" i="2"/>
  <c r="Z1740" i="2"/>
  <c r="AA1740" i="2"/>
  <c r="AB1740" i="2"/>
  <c r="AC1740" i="2"/>
  <c r="AD1740" i="2"/>
  <c r="AE1740" i="2"/>
  <c r="AF1740" i="2"/>
  <c r="AG1740" i="2"/>
  <c r="AH1740" i="2"/>
  <c r="AI1740" i="2"/>
  <c r="AJ1740" i="2"/>
  <c r="AK1740" i="2"/>
  <c r="Z1741" i="2"/>
  <c r="AA1741" i="2"/>
  <c r="AB1741" i="2"/>
  <c r="AC1741" i="2"/>
  <c r="AD1741" i="2"/>
  <c r="AE1741" i="2"/>
  <c r="AF1741" i="2"/>
  <c r="AG1741" i="2"/>
  <c r="AH1741" i="2"/>
  <c r="AI1741" i="2"/>
  <c r="AJ1741" i="2"/>
  <c r="AK1741" i="2"/>
  <c r="Z1742" i="2"/>
  <c r="AA1742" i="2"/>
  <c r="AB1742" i="2"/>
  <c r="AC1742" i="2"/>
  <c r="AD1742" i="2"/>
  <c r="AE1742" i="2"/>
  <c r="AF1742" i="2"/>
  <c r="AG1742" i="2"/>
  <c r="AH1742" i="2"/>
  <c r="AI1742" i="2"/>
  <c r="AJ1742" i="2"/>
  <c r="AK1742" i="2"/>
  <c r="Z1743" i="2"/>
  <c r="AA1743" i="2"/>
  <c r="AB1743" i="2"/>
  <c r="AC1743" i="2"/>
  <c r="AD1743" i="2"/>
  <c r="AE1743" i="2"/>
  <c r="AF1743" i="2"/>
  <c r="AG1743" i="2"/>
  <c r="AH1743" i="2"/>
  <c r="AI1743" i="2"/>
  <c r="AJ1743" i="2"/>
  <c r="AK1743" i="2"/>
  <c r="Z1744" i="2"/>
  <c r="AA1744" i="2"/>
  <c r="AB1744" i="2"/>
  <c r="AC1744" i="2"/>
  <c r="AD1744" i="2"/>
  <c r="AE1744" i="2"/>
  <c r="AF1744" i="2"/>
  <c r="AG1744" i="2"/>
  <c r="AH1744" i="2"/>
  <c r="AI1744" i="2"/>
  <c r="AJ1744" i="2"/>
  <c r="AK1744" i="2"/>
  <c r="Z1745" i="2"/>
  <c r="AA1745" i="2"/>
  <c r="AB1745" i="2"/>
  <c r="AC1745" i="2"/>
  <c r="AD1745" i="2"/>
  <c r="AE1745" i="2"/>
  <c r="AF1745" i="2"/>
  <c r="AG1745" i="2"/>
  <c r="AH1745" i="2"/>
  <c r="AI1745" i="2"/>
  <c r="AJ1745" i="2"/>
  <c r="AK1745" i="2"/>
  <c r="Z1746" i="2"/>
  <c r="AA1746" i="2"/>
  <c r="AB1746" i="2"/>
  <c r="AC1746" i="2"/>
  <c r="AD1746" i="2"/>
  <c r="AE1746" i="2"/>
  <c r="AF1746" i="2"/>
  <c r="AG1746" i="2"/>
  <c r="AH1746" i="2"/>
  <c r="AI1746" i="2"/>
  <c r="AJ1746" i="2"/>
  <c r="AK1746" i="2"/>
  <c r="Z1747" i="2"/>
  <c r="AA1747" i="2"/>
  <c r="AB1747" i="2"/>
  <c r="AC1747" i="2"/>
  <c r="AD1747" i="2"/>
  <c r="AE1747" i="2"/>
  <c r="AF1747" i="2"/>
  <c r="AG1747" i="2"/>
  <c r="AH1747" i="2"/>
  <c r="AI1747" i="2"/>
  <c r="AJ1747" i="2"/>
  <c r="AK1747" i="2"/>
  <c r="Z1748" i="2"/>
  <c r="AA1748" i="2"/>
  <c r="AB1748" i="2"/>
  <c r="AC1748" i="2"/>
  <c r="AD1748" i="2"/>
  <c r="AE1748" i="2"/>
  <c r="AF1748" i="2"/>
  <c r="AG1748" i="2"/>
  <c r="AH1748" i="2"/>
  <c r="AI1748" i="2"/>
  <c r="AJ1748" i="2"/>
  <c r="AK1748" i="2"/>
  <c r="Z1749" i="2"/>
  <c r="AA1749" i="2"/>
  <c r="AB1749" i="2"/>
  <c r="AC1749" i="2"/>
  <c r="AD1749" i="2"/>
  <c r="AE1749" i="2"/>
  <c r="AF1749" i="2"/>
  <c r="AG1749" i="2"/>
  <c r="AH1749" i="2"/>
  <c r="AI1749" i="2"/>
  <c r="AJ1749" i="2"/>
  <c r="AK1749" i="2"/>
  <c r="Z1750" i="2"/>
  <c r="AA1750" i="2"/>
  <c r="AB1750" i="2"/>
  <c r="AC1750" i="2"/>
  <c r="AD1750" i="2"/>
  <c r="AE1750" i="2"/>
  <c r="AF1750" i="2"/>
  <c r="AG1750" i="2"/>
  <c r="AH1750" i="2"/>
  <c r="AI1750" i="2"/>
  <c r="AJ1750" i="2"/>
  <c r="AK1750" i="2"/>
  <c r="Z1751" i="2"/>
  <c r="AA1751" i="2"/>
  <c r="AB1751" i="2"/>
  <c r="AC1751" i="2"/>
  <c r="AD1751" i="2"/>
  <c r="AE1751" i="2"/>
  <c r="AF1751" i="2"/>
  <c r="AG1751" i="2"/>
  <c r="AH1751" i="2"/>
  <c r="AI1751" i="2"/>
  <c r="AJ1751" i="2"/>
  <c r="AK1751" i="2"/>
  <c r="Z1752" i="2"/>
  <c r="AA1752" i="2"/>
  <c r="AB1752" i="2"/>
  <c r="AC1752" i="2"/>
  <c r="AD1752" i="2"/>
  <c r="AE1752" i="2"/>
  <c r="AF1752" i="2"/>
  <c r="AG1752" i="2"/>
  <c r="AH1752" i="2"/>
  <c r="AI1752" i="2"/>
  <c r="AJ1752" i="2"/>
  <c r="AK1752" i="2"/>
  <c r="Z1753" i="2"/>
  <c r="AA1753" i="2"/>
  <c r="AB1753" i="2"/>
  <c r="AC1753" i="2"/>
  <c r="AD1753" i="2"/>
  <c r="AE1753" i="2"/>
  <c r="AF1753" i="2"/>
  <c r="AG1753" i="2"/>
  <c r="AH1753" i="2"/>
  <c r="AI1753" i="2"/>
  <c r="AJ1753" i="2"/>
  <c r="AK1753" i="2"/>
  <c r="Z1754" i="2"/>
  <c r="AA1754" i="2"/>
  <c r="AB1754" i="2"/>
  <c r="AC1754" i="2"/>
  <c r="AD1754" i="2"/>
  <c r="AE1754" i="2"/>
  <c r="AF1754" i="2"/>
  <c r="AG1754" i="2"/>
  <c r="AH1754" i="2"/>
  <c r="AI1754" i="2"/>
  <c r="AJ1754" i="2"/>
  <c r="AK1754" i="2"/>
  <c r="Z1755" i="2"/>
  <c r="AA1755" i="2"/>
  <c r="AB1755" i="2"/>
  <c r="AC1755" i="2"/>
  <c r="AD1755" i="2"/>
  <c r="AE1755" i="2"/>
  <c r="AF1755" i="2"/>
  <c r="AG1755" i="2"/>
  <c r="AH1755" i="2"/>
  <c r="AI1755" i="2"/>
  <c r="AJ1755" i="2"/>
  <c r="AK1755" i="2"/>
  <c r="Z1756" i="2"/>
  <c r="AA1756" i="2"/>
  <c r="AB1756" i="2"/>
  <c r="AC1756" i="2"/>
  <c r="AD1756" i="2"/>
  <c r="AE1756" i="2"/>
  <c r="AF1756" i="2"/>
  <c r="AG1756" i="2"/>
  <c r="AH1756" i="2"/>
  <c r="AI1756" i="2"/>
  <c r="AJ1756" i="2"/>
  <c r="AK1756" i="2"/>
  <c r="Z1757" i="2"/>
  <c r="AA1757" i="2"/>
  <c r="AB1757" i="2"/>
  <c r="AC1757" i="2"/>
  <c r="AD1757" i="2"/>
  <c r="AE1757" i="2"/>
  <c r="AF1757" i="2"/>
  <c r="AG1757" i="2"/>
  <c r="AH1757" i="2"/>
  <c r="AI1757" i="2"/>
  <c r="AJ1757" i="2"/>
  <c r="AK1757" i="2"/>
  <c r="Z1758" i="2"/>
  <c r="AA1758" i="2"/>
  <c r="AB1758" i="2"/>
  <c r="AC1758" i="2"/>
  <c r="AD1758" i="2"/>
  <c r="AE1758" i="2"/>
  <c r="AF1758" i="2"/>
  <c r="AG1758" i="2"/>
  <c r="AH1758" i="2"/>
  <c r="AI1758" i="2"/>
  <c r="AJ1758" i="2"/>
  <c r="AK1758" i="2"/>
  <c r="Z1759" i="2"/>
  <c r="AA1759" i="2"/>
  <c r="AB1759" i="2"/>
  <c r="AC1759" i="2"/>
  <c r="AD1759" i="2"/>
  <c r="AE1759" i="2"/>
  <c r="AF1759" i="2"/>
  <c r="AG1759" i="2"/>
  <c r="AH1759" i="2"/>
  <c r="AI1759" i="2"/>
  <c r="AJ1759" i="2"/>
  <c r="AK1759" i="2"/>
  <c r="Z1760" i="2"/>
  <c r="AA1760" i="2"/>
  <c r="AB1760" i="2"/>
  <c r="AC1760" i="2"/>
  <c r="AD1760" i="2"/>
  <c r="AE1760" i="2"/>
  <c r="AF1760" i="2"/>
  <c r="AG1760" i="2"/>
  <c r="AH1760" i="2"/>
  <c r="AI1760" i="2"/>
  <c r="AJ1760" i="2"/>
  <c r="AK1760" i="2"/>
  <c r="Z1761" i="2"/>
  <c r="AA1761" i="2"/>
  <c r="AB1761" i="2"/>
  <c r="AC1761" i="2"/>
  <c r="AD1761" i="2"/>
  <c r="AE1761" i="2"/>
  <c r="AF1761" i="2"/>
  <c r="AG1761" i="2"/>
  <c r="AH1761" i="2"/>
  <c r="AI1761" i="2"/>
  <c r="AJ1761" i="2"/>
  <c r="AK1761" i="2"/>
  <c r="Z1762" i="2"/>
  <c r="AA1762" i="2"/>
  <c r="AB1762" i="2"/>
  <c r="AC1762" i="2"/>
  <c r="AD1762" i="2"/>
  <c r="AE1762" i="2"/>
  <c r="AF1762" i="2"/>
  <c r="AG1762" i="2"/>
  <c r="AH1762" i="2"/>
  <c r="AI1762" i="2"/>
  <c r="AJ1762" i="2"/>
  <c r="AK1762" i="2"/>
  <c r="Z1763" i="2"/>
  <c r="AA1763" i="2"/>
  <c r="AB1763" i="2"/>
  <c r="AC1763" i="2"/>
  <c r="AD1763" i="2"/>
  <c r="AE1763" i="2"/>
  <c r="AF1763" i="2"/>
  <c r="AG1763" i="2"/>
  <c r="AH1763" i="2"/>
  <c r="AI1763" i="2"/>
  <c r="AJ1763" i="2"/>
  <c r="AK1763" i="2"/>
  <c r="Z1764" i="2"/>
  <c r="AA1764" i="2"/>
  <c r="AB1764" i="2"/>
  <c r="AC1764" i="2"/>
  <c r="AD1764" i="2"/>
  <c r="AE1764" i="2"/>
  <c r="AF1764" i="2"/>
  <c r="AG1764" i="2"/>
  <c r="AH1764" i="2"/>
  <c r="AI1764" i="2"/>
  <c r="AJ1764" i="2"/>
  <c r="AK1764" i="2"/>
  <c r="Z1765" i="2"/>
  <c r="AA1765" i="2"/>
  <c r="AB1765" i="2"/>
  <c r="AC1765" i="2"/>
  <c r="AD1765" i="2"/>
  <c r="AE1765" i="2"/>
  <c r="AF1765" i="2"/>
  <c r="AG1765" i="2"/>
  <c r="AH1765" i="2"/>
  <c r="AI1765" i="2"/>
  <c r="AJ1765" i="2"/>
  <c r="AK1765" i="2"/>
  <c r="Z1766" i="2"/>
  <c r="AA1766" i="2"/>
  <c r="AB1766" i="2"/>
  <c r="AC1766" i="2"/>
  <c r="AD1766" i="2"/>
  <c r="AE1766" i="2"/>
  <c r="AF1766" i="2"/>
  <c r="AG1766" i="2"/>
  <c r="AH1766" i="2"/>
  <c r="AI1766" i="2"/>
  <c r="AJ1766" i="2"/>
  <c r="AK1766" i="2"/>
  <c r="Z1767" i="2"/>
  <c r="AA1767" i="2"/>
  <c r="AB1767" i="2"/>
  <c r="AC1767" i="2"/>
  <c r="AD1767" i="2"/>
  <c r="AE1767" i="2"/>
  <c r="AF1767" i="2"/>
  <c r="AG1767" i="2"/>
  <c r="AH1767" i="2"/>
  <c r="AI1767" i="2"/>
  <c r="AJ1767" i="2"/>
  <c r="AK1767" i="2"/>
  <c r="Z1768" i="2"/>
  <c r="AA1768" i="2"/>
  <c r="AB1768" i="2"/>
  <c r="AC1768" i="2"/>
  <c r="AD1768" i="2"/>
  <c r="AE1768" i="2"/>
  <c r="AF1768" i="2"/>
  <c r="AG1768" i="2"/>
  <c r="AH1768" i="2"/>
  <c r="AI1768" i="2"/>
  <c r="AJ1768" i="2"/>
  <c r="AK1768" i="2"/>
  <c r="Z1769" i="2"/>
  <c r="AA1769" i="2"/>
  <c r="AB1769" i="2"/>
  <c r="AC1769" i="2"/>
  <c r="AD1769" i="2"/>
  <c r="AE1769" i="2"/>
  <c r="AF1769" i="2"/>
  <c r="AG1769" i="2"/>
  <c r="AH1769" i="2"/>
  <c r="AI1769" i="2"/>
  <c r="AJ1769" i="2"/>
  <c r="AK1769" i="2"/>
  <c r="Z1770" i="2"/>
  <c r="AA1770" i="2"/>
  <c r="AB1770" i="2"/>
  <c r="AC1770" i="2"/>
  <c r="AD1770" i="2"/>
  <c r="AE1770" i="2"/>
  <c r="AF1770" i="2"/>
  <c r="AG1770" i="2"/>
  <c r="AH1770" i="2"/>
  <c r="AI1770" i="2"/>
  <c r="AJ1770" i="2"/>
  <c r="AK1770" i="2"/>
  <c r="Z1771" i="2"/>
  <c r="AA1771" i="2"/>
  <c r="AB1771" i="2"/>
  <c r="AC1771" i="2"/>
  <c r="AD1771" i="2"/>
  <c r="AE1771" i="2"/>
  <c r="AF1771" i="2"/>
  <c r="AG1771" i="2"/>
  <c r="AH1771" i="2"/>
  <c r="AI1771" i="2"/>
  <c r="AJ1771" i="2"/>
  <c r="AK1771" i="2"/>
  <c r="Z1772" i="2"/>
  <c r="AA1772" i="2"/>
  <c r="AB1772" i="2"/>
  <c r="AC1772" i="2"/>
  <c r="AD1772" i="2"/>
  <c r="AE1772" i="2"/>
  <c r="AF1772" i="2"/>
  <c r="AG1772" i="2"/>
  <c r="AH1772" i="2"/>
  <c r="AI1772" i="2"/>
  <c r="AJ1772" i="2"/>
  <c r="AK1772" i="2"/>
  <c r="Z1773" i="2"/>
  <c r="AA1773" i="2"/>
  <c r="AB1773" i="2"/>
  <c r="AC1773" i="2"/>
  <c r="AD1773" i="2"/>
  <c r="AE1773" i="2"/>
  <c r="AF1773" i="2"/>
  <c r="AG1773" i="2"/>
  <c r="AH1773" i="2"/>
  <c r="AI1773" i="2"/>
  <c r="AJ1773" i="2"/>
  <c r="AK1773" i="2"/>
  <c r="Z1774" i="2"/>
  <c r="AA1774" i="2"/>
  <c r="AB1774" i="2"/>
  <c r="AC1774" i="2"/>
  <c r="AD1774" i="2"/>
  <c r="AE1774" i="2"/>
  <c r="AF1774" i="2"/>
  <c r="AG1774" i="2"/>
  <c r="AH1774" i="2"/>
  <c r="AI1774" i="2"/>
  <c r="AJ1774" i="2"/>
  <c r="AK1774" i="2"/>
  <c r="Z1775" i="2"/>
  <c r="AA1775" i="2"/>
  <c r="AB1775" i="2"/>
  <c r="AC1775" i="2"/>
  <c r="AD1775" i="2"/>
  <c r="AE1775" i="2"/>
  <c r="AF1775" i="2"/>
  <c r="AG1775" i="2"/>
  <c r="AH1775" i="2"/>
  <c r="AI1775" i="2"/>
  <c r="AJ1775" i="2"/>
  <c r="AK1775" i="2"/>
  <c r="Z1776" i="2"/>
  <c r="AA1776" i="2"/>
  <c r="AB1776" i="2"/>
  <c r="AC1776" i="2"/>
  <c r="AD1776" i="2"/>
  <c r="AE1776" i="2"/>
  <c r="AF1776" i="2"/>
  <c r="AG1776" i="2"/>
  <c r="AH1776" i="2"/>
  <c r="AI1776" i="2"/>
  <c r="AJ1776" i="2"/>
  <c r="AK1776" i="2"/>
  <c r="Z1777" i="2"/>
  <c r="AA1777" i="2"/>
  <c r="AB1777" i="2"/>
  <c r="AC1777" i="2"/>
  <c r="AD1777" i="2"/>
  <c r="AE1777" i="2"/>
  <c r="AF1777" i="2"/>
  <c r="AG1777" i="2"/>
  <c r="AH1777" i="2"/>
  <c r="AI1777" i="2"/>
  <c r="AJ1777" i="2"/>
  <c r="AK1777" i="2"/>
  <c r="Z1778" i="2"/>
  <c r="AA1778" i="2"/>
  <c r="AB1778" i="2"/>
  <c r="AC1778" i="2"/>
  <c r="AD1778" i="2"/>
  <c r="AE1778" i="2"/>
  <c r="AF1778" i="2"/>
  <c r="AG1778" i="2"/>
  <c r="AH1778" i="2"/>
  <c r="AI1778" i="2"/>
  <c r="AJ1778" i="2"/>
  <c r="AK1778" i="2"/>
  <c r="Z1779" i="2"/>
  <c r="AA1779" i="2"/>
  <c r="AB1779" i="2"/>
  <c r="AC1779" i="2"/>
  <c r="AD1779" i="2"/>
  <c r="AE1779" i="2"/>
  <c r="AF1779" i="2"/>
  <c r="AG1779" i="2"/>
  <c r="AH1779" i="2"/>
  <c r="AI1779" i="2"/>
  <c r="AJ1779" i="2"/>
  <c r="AK1779" i="2"/>
  <c r="Z1780" i="2"/>
  <c r="AA1780" i="2"/>
  <c r="AB1780" i="2"/>
  <c r="AC1780" i="2"/>
  <c r="AD1780" i="2"/>
  <c r="AE1780" i="2"/>
  <c r="AF1780" i="2"/>
  <c r="AG1780" i="2"/>
  <c r="AH1780" i="2"/>
  <c r="AI1780" i="2"/>
  <c r="AJ1780" i="2"/>
  <c r="AK1780" i="2"/>
  <c r="Z1781" i="2"/>
  <c r="AA1781" i="2"/>
  <c r="AB1781" i="2"/>
  <c r="AC1781" i="2"/>
  <c r="AD1781" i="2"/>
  <c r="AE1781" i="2"/>
  <c r="AF1781" i="2"/>
  <c r="AG1781" i="2"/>
  <c r="AH1781" i="2"/>
  <c r="AI1781" i="2"/>
  <c r="AJ1781" i="2"/>
  <c r="AK1781" i="2"/>
  <c r="Z1782" i="2"/>
  <c r="AA1782" i="2"/>
  <c r="AB1782" i="2"/>
  <c r="AC1782" i="2"/>
  <c r="AD1782" i="2"/>
  <c r="AE1782" i="2"/>
  <c r="AF1782" i="2"/>
  <c r="AG1782" i="2"/>
  <c r="AH1782" i="2"/>
  <c r="AI1782" i="2"/>
  <c r="AJ1782" i="2"/>
  <c r="AK1782" i="2"/>
  <c r="Z1783" i="2"/>
  <c r="AA1783" i="2"/>
  <c r="AB1783" i="2"/>
  <c r="AC1783" i="2"/>
  <c r="AD1783" i="2"/>
  <c r="AE1783" i="2"/>
  <c r="AF1783" i="2"/>
  <c r="AG1783" i="2"/>
  <c r="AH1783" i="2"/>
  <c r="AI1783" i="2"/>
  <c r="AJ1783" i="2"/>
  <c r="AK1783" i="2"/>
  <c r="Z1784" i="2"/>
  <c r="AA1784" i="2"/>
  <c r="AB1784" i="2"/>
  <c r="AC1784" i="2"/>
  <c r="AD1784" i="2"/>
  <c r="AE1784" i="2"/>
  <c r="AF1784" i="2"/>
  <c r="AG1784" i="2"/>
  <c r="AH1784" i="2"/>
  <c r="AI1784" i="2"/>
  <c r="AJ1784" i="2"/>
  <c r="AK1784" i="2"/>
  <c r="Z1785" i="2"/>
  <c r="AA1785" i="2"/>
  <c r="AB1785" i="2"/>
  <c r="AC1785" i="2"/>
  <c r="AD1785" i="2"/>
  <c r="AE1785" i="2"/>
  <c r="AF1785" i="2"/>
  <c r="AG1785" i="2"/>
  <c r="AH1785" i="2"/>
  <c r="AI1785" i="2"/>
  <c r="AJ1785" i="2"/>
  <c r="AK1785" i="2"/>
  <c r="Z1786" i="2"/>
  <c r="AA1786" i="2"/>
  <c r="AB1786" i="2"/>
  <c r="AC1786" i="2"/>
  <c r="AD1786" i="2"/>
  <c r="AE1786" i="2"/>
  <c r="AF1786" i="2"/>
  <c r="AG1786" i="2"/>
  <c r="AH1786" i="2"/>
  <c r="AI1786" i="2"/>
  <c r="AJ1786" i="2"/>
  <c r="AK1786" i="2"/>
  <c r="Z1787" i="2"/>
  <c r="AA1787" i="2"/>
  <c r="AB1787" i="2"/>
  <c r="AC1787" i="2"/>
  <c r="AD1787" i="2"/>
  <c r="AE1787" i="2"/>
  <c r="AF1787" i="2"/>
  <c r="AG1787" i="2"/>
  <c r="AH1787" i="2"/>
  <c r="AI1787" i="2"/>
  <c r="AJ1787" i="2"/>
  <c r="AK1787" i="2"/>
  <c r="Z1788" i="2"/>
  <c r="AA1788" i="2"/>
  <c r="AB1788" i="2"/>
  <c r="AC1788" i="2"/>
  <c r="AD1788" i="2"/>
  <c r="AE1788" i="2"/>
  <c r="AF1788" i="2"/>
  <c r="AG1788" i="2"/>
  <c r="AH1788" i="2"/>
  <c r="AI1788" i="2"/>
  <c r="AJ1788" i="2"/>
  <c r="AK1788" i="2"/>
  <c r="Z1789" i="2"/>
  <c r="AA1789" i="2"/>
  <c r="AB1789" i="2"/>
  <c r="AC1789" i="2"/>
  <c r="AD1789" i="2"/>
  <c r="AE1789" i="2"/>
  <c r="AF1789" i="2"/>
  <c r="AG1789" i="2"/>
  <c r="AH1789" i="2"/>
  <c r="AI1789" i="2"/>
  <c r="AJ1789" i="2"/>
  <c r="AK1789" i="2"/>
  <c r="Z1790" i="2"/>
  <c r="AA1790" i="2"/>
  <c r="AB1790" i="2"/>
  <c r="AC1790" i="2"/>
  <c r="AD1790" i="2"/>
  <c r="AE1790" i="2"/>
  <c r="AF1790" i="2"/>
  <c r="AG1790" i="2"/>
  <c r="AH1790" i="2"/>
  <c r="AI1790" i="2"/>
  <c r="AJ1790" i="2"/>
  <c r="AK1790" i="2"/>
  <c r="Z1791" i="2"/>
  <c r="AA1791" i="2"/>
  <c r="AB1791" i="2"/>
  <c r="AC1791" i="2"/>
  <c r="AD1791" i="2"/>
  <c r="AE1791" i="2"/>
  <c r="AF1791" i="2"/>
  <c r="AG1791" i="2"/>
  <c r="AH1791" i="2"/>
  <c r="AI1791" i="2"/>
  <c r="AJ1791" i="2"/>
  <c r="AK1791" i="2"/>
  <c r="Z1792" i="2"/>
  <c r="AA1792" i="2"/>
  <c r="AB1792" i="2"/>
  <c r="AC1792" i="2"/>
  <c r="AD1792" i="2"/>
  <c r="AE1792" i="2"/>
  <c r="AF1792" i="2"/>
  <c r="AG1792" i="2"/>
  <c r="AH1792" i="2"/>
  <c r="AI1792" i="2"/>
  <c r="AJ1792" i="2"/>
  <c r="AK1792" i="2"/>
  <c r="Z1793" i="2"/>
  <c r="AA1793" i="2"/>
  <c r="AB1793" i="2"/>
  <c r="AC1793" i="2"/>
  <c r="AD1793" i="2"/>
  <c r="AE1793" i="2"/>
  <c r="AF1793" i="2"/>
  <c r="AG1793" i="2"/>
  <c r="AH1793" i="2"/>
  <c r="AI1793" i="2"/>
  <c r="AJ1793" i="2"/>
  <c r="AK1793" i="2"/>
  <c r="Z1794" i="2"/>
  <c r="AA1794" i="2"/>
  <c r="AB1794" i="2"/>
  <c r="AC1794" i="2"/>
  <c r="AD1794" i="2"/>
  <c r="AE1794" i="2"/>
  <c r="AF1794" i="2"/>
  <c r="AG1794" i="2"/>
  <c r="AH1794" i="2"/>
  <c r="AI1794" i="2"/>
  <c r="AJ1794" i="2"/>
  <c r="AK1794" i="2"/>
  <c r="Z1795" i="2"/>
  <c r="AA1795" i="2"/>
  <c r="AB1795" i="2"/>
  <c r="AC1795" i="2"/>
  <c r="AD1795" i="2"/>
  <c r="AE1795" i="2"/>
  <c r="AF1795" i="2"/>
  <c r="AG1795" i="2"/>
  <c r="AH1795" i="2"/>
  <c r="AI1795" i="2"/>
  <c r="AJ1795" i="2"/>
  <c r="AK1795" i="2"/>
  <c r="Z1796" i="2"/>
  <c r="AA1796" i="2"/>
  <c r="AB1796" i="2"/>
  <c r="AC1796" i="2"/>
  <c r="AD1796" i="2"/>
  <c r="AE1796" i="2"/>
  <c r="AF1796" i="2"/>
  <c r="AG1796" i="2"/>
  <c r="AH1796" i="2"/>
  <c r="AI1796" i="2"/>
  <c r="AJ1796" i="2"/>
  <c r="AK1796" i="2"/>
  <c r="Z1797" i="2"/>
  <c r="AA1797" i="2"/>
  <c r="AB1797" i="2"/>
  <c r="AC1797" i="2"/>
  <c r="AD1797" i="2"/>
  <c r="AE1797" i="2"/>
  <c r="AF1797" i="2"/>
  <c r="AG1797" i="2"/>
  <c r="AH1797" i="2"/>
  <c r="AI1797" i="2"/>
  <c r="AJ1797" i="2"/>
  <c r="AK1797" i="2"/>
  <c r="Z1798" i="2"/>
  <c r="AA1798" i="2"/>
  <c r="AB1798" i="2"/>
  <c r="AC1798" i="2"/>
  <c r="AD1798" i="2"/>
  <c r="AE1798" i="2"/>
  <c r="AF1798" i="2"/>
  <c r="AG1798" i="2"/>
  <c r="AH1798" i="2"/>
  <c r="AI1798" i="2"/>
  <c r="AJ1798" i="2"/>
  <c r="AK1798" i="2"/>
  <c r="Z1799" i="2"/>
  <c r="AA1799" i="2"/>
  <c r="AB1799" i="2"/>
  <c r="AC1799" i="2"/>
  <c r="AD1799" i="2"/>
  <c r="AE1799" i="2"/>
  <c r="AF1799" i="2"/>
  <c r="AG1799" i="2"/>
  <c r="AH1799" i="2"/>
  <c r="AI1799" i="2"/>
  <c r="AJ1799" i="2"/>
  <c r="AK1799" i="2"/>
  <c r="Z1800" i="2"/>
  <c r="AA1800" i="2"/>
  <c r="AB1800" i="2"/>
  <c r="AC1800" i="2"/>
  <c r="AD1800" i="2"/>
  <c r="AE1800" i="2"/>
  <c r="AF1800" i="2"/>
  <c r="AG1800" i="2"/>
  <c r="AH1800" i="2"/>
  <c r="AI1800" i="2"/>
  <c r="AJ1800" i="2"/>
  <c r="AK1800" i="2"/>
  <c r="Z1801" i="2"/>
  <c r="AA1801" i="2"/>
  <c r="AB1801" i="2"/>
  <c r="AC1801" i="2"/>
  <c r="AD1801" i="2"/>
  <c r="AE1801" i="2"/>
  <c r="AF1801" i="2"/>
  <c r="AG1801" i="2"/>
  <c r="AH1801" i="2"/>
  <c r="AI1801" i="2"/>
  <c r="AJ1801" i="2"/>
  <c r="AK1801" i="2"/>
  <c r="Z1802" i="2"/>
  <c r="AA1802" i="2"/>
  <c r="AB1802" i="2"/>
  <c r="AC1802" i="2"/>
  <c r="AD1802" i="2"/>
  <c r="AE1802" i="2"/>
  <c r="AF1802" i="2"/>
  <c r="AG1802" i="2"/>
  <c r="AH1802" i="2"/>
  <c r="AI1802" i="2"/>
  <c r="AJ1802" i="2"/>
  <c r="AK1802" i="2"/>
  <c r="Z1803" i="2"/>
  <c r="AA1803" i="2"/>
  <c r="AB1803" i="2"/>
  <c r="AC1803" i="2"/>
  <c r="AD1803" i="2"/>
  <c r="AE1803" i="2"/>
  <c r="AF1803" i="2"/>
  <c r="AG1803" i="2"/>
  <c r="AH1803" i="2"/>
  <c r="AI1803" i="2"/>
  <c r="AJ1803" i="2"/>
  <c r="AK1803" i="2"/>
  <c r="Z1804" i="2"/>
  <c r="AA1804" i="2"/>
  <c r="AB1804" i="2"/>
  <c r="AC1804" i="2"/>
  <c r="AD1804" i="2"/>
  <c r="AE1804" i="2"/>
  <c r="AF1804" i="2"/>
  <c r="AG1804" i="2"/>
  <c r="AH1804" i="2"/>
  <c r="AI1804" i="2"/>
  <c r="AJ1804" i="2"/>
  <c r="AK1804" i="2"/>
  <c r="Z1805" i="2"/>
  <c r="AA1805" i="2"/>
  <c r="AB1805" i="2"/>
  <c r="AC1805" i="2"/>
  <c r="AD1805" i="2"/>
  <c r="AE1805" i="2"/>
  <c r="AF1805" i="2"/>
  <c r="AG1805" i="2"/>
  <c r="AH1805" i="2"/>
  <c r="AI1805" i="2"/>
  <c r="AJ1805" i="2"/>
  <c r="AK1805" i="2"/>
  <c r="Z1806" i="2"/>
  <c r="AA1806" i="2"/>
  <c r="AB1806" i="2"/>
  <c r="AC1806" i="2"/>
  <c r="AD1806" i="2"/>
  <c r="AE1806" i="2"/>
  <c r="AF1806" i="2"/>
  <c r="AG1806" i="2"/>
  <c r="AH1806" i="2"/>
  <c r="AI1806" i="2"/>
  <c r="AJ1806" i="2"/>
  <c r="AK1806" i="2"/>
  <c r="Z1807" i="2"/>
  <c r="AA1807" i="2"/>
  <c r="AB1807" i="2"/>
  <c r="AC1807" i="2"/>
  <c r="AD1807" i="2"/>
  <c r="AE1807" i="2"/>
  <c r="AF1807" i="2"/>
  <c r="AG1807" i="2"/>
  <c r="AH1807" i="2"/>
  <c r="AI1807" i="2"/>
  <c r="AJ1807" i="2"/>
  <c r="AK1807" i="2"/>
  <c r="Z1808" i="2"/>
  <c r="AA1808" i="2"/>
  <c r="AB1808" i="2"/>
  <c r="AC1808" i="2"/>
  <c r="AD1808" i="2"/>
  <c r="AE1808" i="2"/>
  <c r="AF1808" i="2"/>
  <c r="AG1808" i="2"/>
  <c r="AH1808" i="2"/>
  <c r="AI1808" i="2"/>
  <c r="AJ1808" i="2"/>
  <c r="AK1808" i="2"/>
  <c r="Z1809" i="2"/>
  <c r="AA1809" i="2"/>
  <c r="AB1809" i="2"/>
  <c r="AC1809" i="2"/>
  <c r="AD1809" i="2"/>
  <c r="AE1809" i="2"/>
  <c r="AF1809" i="2"/>
  <c r="AG1809" i="2"/>
  <c r="AH1809" i="2"/>
  <c r="AI1809" i="2"/>
  <c r="AJ1809" i="2"/>
  <c r="AK1809" i="2"/>
  <c r="Z1810" i="2"/>
  <c r="AA1810" i="2"/>
  <c r="AB1810" i="2"/>
  <c r="AC1810" i="2"/>
  <c r="AD1810" i="2"/>
  <c r="AE1810" i="2"/>
  <c r="AF1810" i="2"/>
  <c r="AG1810" i="2"/>
  <c r="AH1810" i="2"/>
  <c r="AI1810" i="2"/>
  <c r="AJ1810" i="2"/>
  <c r="AK1810" i="2"/>
  <c r="Z1811" i="2"/>
  <c r="AA1811" i="2"/>
  <c r="AB1811" i="2"/>
  <c r="AC1811" i="2"/>
  <c r="AD1811" i="2"/>
  <c r="AE1811" i="2"/>
  <c r="AF1811" i="2"/>
  <c r="AG1811" i="2"/>
  <c r="AH1811" i="2"/>
  <c r="AI1811" i="2"/>
  <c r="AJ1811" i="2"/>
  <c r="AK1811" i="2"/>
  <c r="Z1812" i="2"/>
  <c r="AA1812" i="2"/>
  <c r="AB1812" i="2"/>
  <c r="AC1812" i="2"/>
  <c r="AD1812" i="2"/>
  <c r="AE1812" i="2"/>
  <c r="AF1812" i="2"/>
  <c r="AG1812" i="2"/>
  <c r="AH1812" i="2"/>
  <c r="AI1812" i="2"/>
  <c r="AJ1812" i="2"/>
  <c r="AK1812" i="2"/>
  <c r="Z1813" i="2"/>
  <c r="AA1813" i="2"/>
  <c r="AB1813" i="2"/>
  <c r="AC1813" i="2"/>
  <c r="AD1813" i="2"/>
  <c r="AE1813" i="2"/>
  <c r="AF1813" i="2"/>
  <c r="AG1813" i="2"/>
  <c r="AH1813" i="2"/>
  <c r="AI1813" i="2"/>
  <c r="AJ1813" i="2"/>
  <c r="AK1813" i="2"/>
  <c r="Z1814" i="2"/>
  <c r="AA1814" i="2"/>
  <c r="AB1814" i="2"/>
  <c r="AC1814" i="2"/>
  <c r="AD1814" i="2"/>
  <c r="AE1814" i="2"/>
  <c r="AF1814" i="2"/>
  <c r="AG1814" i="2"/>
  <c r="AH1814" i="2"/>
  <c r="AI1814" i="2"/>
  <c r="AJ1814" i="2"/>
  <c r="AK1814" i="2"/>
  <c r="Z1815" i="2"/>
  <c r="AA1815" i="2"/>
  <c r="AB1815" i="2"/>
  <c r="AC1815" i="2"/>
  <c r="AD1815" i="2"/>
  <c r="AE1815" i="2"/>
  <c r="AF1815" i="2"/>
  <c r="AG1815" i="2"/>
  <c r="AH1815" i="2"/>
  <c r="AI1815" i="2"/>
  <c r="AJ1815" i="2"/>
  <c r="AK1815" i="2"/>
  <c r="Z1816" i="2"/>
  <c r="AA1816" i="2"/>
  <c r="AB1816" i="2"/>
  <c r="AC1816" i="2"/>
  <c r="AD1816" i="2"/>
  <c r="AE1816" i="2"/>
  <c r="AF1816" i="2"/>
  <c r="AG1816" i="2"/>
  <c r="AH1816" i="2"/>
  <c r="AI1816" i="2"/>
  <c r="AJ1816" i="2"/>
  <c r="AK1816" i="2"/>
  <c r="Z1817" i="2"/>
  <c r="AA1817" i="2"/>
  <c r="AB1817" i="2"/>
  <c r="AC1817" i="2"/>
  <c r="AD1817" i="2"/>
  <c r="AE1817" i="2"/>
  <c r="AF1817" i="2"/>
  <c r="AG1817" i="2"/>
  <c r="AH1817" i="2"/>
  <c r="AI1817" i="2"/>
  <c r="AJ1817" i="2"/>
  <c r="AK1817" i="2"/>
  <c r="Z1818" i="2"/>
  <c r="AA1818" i="2"/>
  <c r="AB1818" i="2"/>
  <c r="AC1818" i="2"/>
  <c r="AD1818" i="2"/>
  <c r="AE1818" i="2"/>
  <c r="AF1818" i="2"/>
  <c r="AG1818" i="2"/>
  <c r="AH1818" i="2"/>
  <c r="AI1818" i="2"/>
  <c r="AJ1818" i="2"/>
  <c r="AK1818" i="2"/>
  <c r="Z1819" i="2"/>
  <c r="AA1819" i="2"/>
  <c r="AB1819" i="2"/>
  <c r="AC1819" i="2"/>
  <c r="AD1819" i="2"/>
  <c r="AE1819" i="2"/>
  <c r="AF1819" i="2"/>
  <c r="AG1819" i="2"/>
  <c r="AH1819" i="2"/>
  <c r="AI1819" i="2"/>
  <c r="AJ1819" i="2"/>
  <c r="AK1819" i="2"/>
  <c r="Z1820" i="2"/>
  <c r="AA1820" i="2"/>
  <c r="AB1820" i="2"/>
  <c r="AC1820" i="2"/>
  <c r="AD1820" i="2"/>
  <c r="AE1820" i="2"/>
  <c r="AF1820" i="2"/>
  <c r="AG1820" i="2"/>
  <c r="AH1820" i="2"/>
  <c r="AI1820" i="2"/>
  <c r="AJ1820" i="2"/>
  <c r="AK1820" i="2"/>
  <c r="Z1821" i="2"/>
  <c r="AA1821" i="2"/>
  <c r="AB1821" i="2"/>
  <c r="AC1821" i="2"/>
  <c r="AD1821" i="2"/>
  <c r="AE1821" i="2"/>
  <c r="AF1821" i="2"/>
  <c r="AG1821" i="2"/>
  <c r="AH1821" i="2"/>
  <c r="AI1821" i="2"/>
  <c r="AJ1821" i="2"/>
  <c r="AK1821" i="2"/>
  <c r="Z1822" i="2"/>
  <c r="AA1822" i="2"/>
  <c r="AB1822" i="2"/>
  <c r="AC1822" i="2"/>
  <c r="AD1822" i="2"/>
  <c r="AE1822" i="2"/>
  <c r="AF1822" i="2"/>
  <c r="AG1822" i="2"/>
  <c r="AH1822" i="2"/>
  <c r="AI1822" i="2"/>
  <c r="AJ1822" i="2"/>
  <c r="AK1822" i="2"/>
  <c r="Z1823" i="2"/>
  <c r="AA1823" i="2"/>
  <c r="AB1823" i="2"/>
  <c r="AC1823" i="2"/>
  <c r="AD1823" i="2"/>
  <c r="AE1823" i="2"/>
  <c r="AF1823" i="2"/>
  <c r="AG1823" i="2"/>
  <c r="AH1823" i="2"/>
  <c r="AI1823" i="2"/>
  <c r="AJ1823" i="2"/>
  <c r="AK1823" i="2"/>
  <c r="Z1824" i="2"/>
  <c r="AA1824" i="2"/>
  <c r="AB1824" i="2"/>
  <c r="AC1824" i="2"/>
  <c r="AD1824" i="2"/>
  <c r="AE1824" i="2"/>
  <c r="AF1824" i="2"/>
  <c r="AG1824" i="2"/>
  <c r="AH1824" i="2"/>
  <c r="AI1824" i="2"/>
  <c r="AJ1824" i="2"/>
  <c r="AK1824" i="2"/>
  <c r="Z1825" i="2"/>
  <c r="AA1825" i="2"/>
  <c r="AB1825" i="2"/>
  <c r="AC1825" i="2"/>
  <c r="AD1825" i="2"/>
  <c r="AE1825" i="2"/>
  <c r="AF1825" i="2"/>
  <c r="AG1825" i="2"/>
  <c r="AH1825" i="2"/>
  <c r="AI1825" i="2"/>
  <c r="AJ1825" i="2"/>
  <c r="AK1825" i="2"/>
  <c r="Z1826" i="2"/>
  <c r="AA1826" i="2"/>
  <c r="AB1826" i="2"/>
  <c r="AC1826" i="2"/>
  <c r="AD1826" i="2"/>
  <c r="AE1826" i="2"/>
  <c r="AF1826" i="2"/>
  <c r="AG1826" i="2"/>
  <c r="AH1826" i="2"/>
  <c r="AI1826" i="2"/>
  <c r="AJ1826" i="2"/>
  <c r="AK1826" i="2"/>
  <c r="Z1827" i="2"/>
  <c r="AA1827" i="2"/>
  <c r="AB1827" i="2"/>
  <c r="AC1827" i="2"/>
  <c r="AD1827" i="2"/>
  <c r="AE1827" i="2"/>
  <c r="AF1827" i="2"/>
  <c r="AG1827" i="2"/>
  <c r="AH1827" i="2"/>
  <c r="AI1827" i="2"/>
  <c r="AJ1827" i="2"/>
  <c r="AK1827" i="2"/>
  <c r="Z1828" i="2"/>
  <c r="AA1828" i="2"/>
  <c r="AB1828" i="2"/>
  <c r="AC1828" i="2"/>
  <c r="AD1828" i="2"/>
  <c r="AE1828" i="2"/>
  <c r="AF1828" i="2"/>
  <c r="AG1828" i="2"/>
  <c r="AH1828" i="2"/>
  <c r="AI1828" i="2"/>
  <c r="AJ1828" i="2"/>
  <c r="AK1828" i="2"/>
  <c r="Z1829" i="2"/>
  <c r="AA1829" i="2"/>
  <c r="AB1829" i="2"/>
  <c r="AC1829" i="2"/>
  <c r="AD1829" i="2"/>
  <c r="AE1829" i="2"/>
  <c r="AF1829" i="2"/>
  <c r="AG1829" i="2"/>
  <c r="AH1829" i="2"/>
  <c r="AI1829" i="2"/>
  <c r="AJ1829" i="2"/>
  <c r="AK1829" i="2"/>
  <c r="Z1830" i="2"/>
  <c r="AA1830" i="2"/>
  <c r="AB1830" i="2"/>
  <c r="AC1830" i="2"/>
  <c r="AD1830" i="2"/>
  <c r="AE1830" i="2"/>
  <c r="AF1830" i="2"/>
  <c r="AG1830" i="2"/>
  <c r="AH1830" i="2"/>
  <c r="AI1830" i="2"/>
  <c r="AJ1830" i="2"/>
  <c r="AK1830" i="2"/>
  <c r="Z1831" i="2"/>
  <c r="AA1831" i="2"/>
  <c r="AB1831" i="2"/>
  <c r="AC1831" i="2"/>
  <c r="AD1831" i="2"/>
  <c r="AE1831" i="2"/>
  <c r="AF1831" i="2"/>
  <c r="AG1831" i="2"/>
  <c r="AH1831" i="2"/>
  <c r="AI1831" i="2"/>
  <c r="AJ1831" i="2"/>
  <c r="AK1831" i="2"/>
  <c r="Z1832" i="2"/>
  <c r="AA1832" i="2"/>
  <c r="AB1832" i="2"/>
  <c r="AC1832" i="2"/>
  <c r="AD1832" i="2"/>
  <c r="AE1832" i="2"/>
  <c r="AF1832" i="2"/>
  <c r="AG1832" i="2"/>
  <c r="AH1832" i="2"/>
  <c r="AI1832" i="2"/>
  <c r="AJ1832" i="2"/>
  <c r="AK1832" i="2"/>
  <c r="Z1833" i="2"/>
  <c r="AA1833" i="2"/>
  <c r="AB1833" i="2"/>
  <c r="AC1833" i="2"/>
  <c r="AD1833" i="2"/>
  <c r="AE1833" i="2"/>
  <c r="AF1833" i="2"/>
  <c r="AG1833" i="2"/>
  <c r="AH1833" i="2"/>
  <c r="AI1833" i="2"/>
  <c r="AJ1833" i="2"/>
  <c r="AK1833" i="2"/>
  <c r="Z1834" i="2"/>
  <c r="AA1834" i="2"/>
  <c r="AB1834" i="2"/>
  <c r="AC1834" i="2"/>
  <c r="AD1834" i="2"/>
  <c r="AE1834" i="2"/>
  <c r="AF1834" i="2"/>
  <c r="AG1834" i="2"/>
  <c r="AH1834" i="2"/>
  <c r="AI1834" i="2"/>
  <c r="AJ1834" i="2"/>
  <c r="AK1834" i="2"/>
  <c r="Z1835" i="2"/>
  <c r="AA1835" i="2"/>
  <c r="AB1835" i="2"/>
  <c r="AC1835" i="2"/>
  <c r="AD1835" i="2"/>
  <c r="AE1835" i="2"/>
  <c r="AF1835" i="2"/>
  <c r="AG1835" i="2"/>
  <c r="AH1835" i="2"/>
  <c r="AI1835" i="2"/>
  <c r="AJ1835" i="2"/>
  <c r="AK1835" i="2"/>
  <c r="Z1836" i="2"/>
  <c r="AA1836" i="2"/>
  <c r="AB1836" i="2"/>
  <c r="AC1836" i="2"/>
  <c r="AD1836" i="2"/>
  <c r="AE1836" i="2"/>
  <c r="AF1836" i="2"/>
  <c r="AG1836" i="2"/>
  <c r="AH1836" i="2"/>
  <c r="AI1836" i="2"/>
  <c r="AJ1836" i="2"/>
  <c r="AK1836" i="2"/>
  <c r="Z1837" i="2"/>
  <c r="AA1837" i="2"/>
  <c r="AB1837" i="2"/>
  <c r="AC1837" i="2"/>
  <c r="AD1837" i="2"/>
  <c r="AE1837" i="2"/>
  <c r="AF1837" i="2"/>
  <c r="AG1837" i="2"/>
  <c r="AH1837" i="2"/>
  <c r="AI1837" i="2"/>
  <c r="AJ1837" i="2"/>
  <c r="AK1837" i="2"/>
  <c r="Z1838" i="2"/>
  <c r="AA1838" i="2"/>
  <c r="AB1838" i="2"/>
  <c r="AC1838" i="2"/>
  <c r="AD1838" i="2"/>
  <c r="AE1838" i="2"/>
  <c r="AF1838" i="2"/>
  <c r="AG1838" i="2"/>
  <c r="AH1838" i="2"/>
  <c r="AI1838" i="2"/>
  <c r="AJ1838" i="2"/>
  <c r="AK1838" i="2"/>
  <c r="Z1839" i="2"/>
  <c r="AA1839" i="2"/>
  <c r="AB1839" i="2"/>
  <c r="AC1839" i="2"/>
  <c r="AD1839" i="2"/>
  <c r="AE1839" i="2"/>
  <c r="AF1839" i="2"/>
  <c r="AG1839" i="2"/>
  <c r="AH1839" i="2"/>
  <c r="AI1839" i="2"/>
  <c r="AJ1839" i="2"/>
  <c r="AK1839" i="2"/>
  <c r="Z1840" i="2"/>
  <c r="AA1840" i="2"/>
  <c r="AB1840" i="2"/>
  <c r="AC1840" i="2"/>
  <c r="AD1840" i="2"/>
  <c r="AE1840" i="2"/>
  <c r="AF1840" i="2"/>
  <c r="AG1840" i="2"/>
  <c r="AH1840" i="2"/>
  <c r="AI1840" i="2"/>
  <c r="AJ1840" i="2"/>
  <c r="AK1840" i="2"/>
  <c r="Z1841" i="2"/>
  <c r="AA1841" i="2"/>
  <c r="AB1841" i="2"/>
  <c r="AC1841" i="2"/>
  <c r="AD1841" i="2"/>
  <c r="AE1841" i="2"/>
  <c r="AF1841" i="2"/>
  <c r="AG1841" i="2"/>
  <c r="AH1841" i="2"/>
  <c r="AI1841" i="2"/>
  <c r="AJ1841" i="2"/>
  <c r="AK1841" i="2"/>
  <c r="Z1842" i="2"/>
  <c r="AA1842" i="2"/>
  <c r="AB1842" i="2"/>
  <c r="AC1842" i="2"/>
  <c r="AD1842" i="2"/>
  <c r="AE1842" i="2"/>
  <c r="AF1842" i="2"/>
  <c r="AG1842" i="2"/>
  <c r="AH1842" i="2"/>
  <c r="AI1842" i="2"/>
  <c r="AJ1842" i="2"/>
  <c r="AK1842" i="2"/>
  <c r="Z1843" i="2"/>
  <c r="AA1843" i="2"/>
  <c r="AB1843" i="2"/>
  <c r="AC1843" i="2"/>
  <c r="AD1843" i="2"/>
  <c r="AE1843" i="2"/>
  <c r="AF1843" i="2"/>
  <c r="AG1843" i="2"/>
  <c r="AH1843" i="2"/>
  <c r="AI1843" i="2"/>
  <c r="AJ1843" i="2"/>
  <c r="AK1843" i="2"/>
  <c r="Z1844" i="2"/>
  <c r="AA1844" i="2"/>
  <c r="AB1844" i="2"/>
  <c r="AC1844" i="2"/>
  <c r="AD1844" i="2"/>
  <c r="AE1844" i="2"/>
  <c r="AF1844" i="2"/>
  <c r="AG1844" i="2"/>
  <c r="AH1844" i="2"/>
  <c r="AI1844" i="2"/>
  <c r="AJ1844" i="2"/>
  <c r="AK1844" i="2"/>
  <c r="Z1845" i="2"/>
  <c r="AA1845" i="2"/>
  <c r="AB1845" i="2"/>
  <c r="AC1845" i="2"/>
  <c r="AD1845" i="2"/>
  <c r="AE1845" i="2"/>
  <c r="AF1845" i="2"/>
  <c r="AG1845" i="2"/>
  <c r="AH1845" i="2"/>
  <c r="AI1845" i="2"/>
  <c r="AJ1845" i="2"/>
  <c r="AK1845" i="2"/>
  <c r="Z1846" i="2"/>
  <c r="AA1846" i="2"/>
  <c r="AB1846" i="2"/>
  <c r="AC1846" i="2"/>
  <c r="AD1846" i="2"/>
  <c r="AE1846" i="2"/>
  <c r="AF1846" i="2"/>
  <c r="AG1846" i="2"/>
  <c r="AH1846" i="2"/>
  <c r="AI1846" i="2"/>
  <c r="AJ1846" i="2"/>
  <c r="AK1846" i="2"/>
  <c r="Z1847" i="2"/>
  <c r="AA1847" i="2"/>
  <c r="AB1847" i="2"/>
  <c r="AC1847" i="2"/>
  <c r="AD1847" i="2"/>
  <c r="AE1847" i="2"/>
  <c r="AF1847" i="2"/>
  <c r="AG1847" i="2"/>
  <c r="AH1847" i="2"/>
  <c r="AI1847" i="2"/>
  <c r="AJ1847" i="2"/>
  <c r="AK1847" i="2"/>
  <c r="Z1848" i="2"/>
  <c r="AA1848" i="2"/>
  <c r="AB1848" i="2"/>
  <c r="AC1848" i="2"/>
  <c r="AD1848" i="2"/>
  <c r="AE1848" i="2"/>
  <c r="AF1848" i="2"/>
  <c r="AG1848" i="2"/>
  <c r="AH1848" i="2"/>
  <c r="AI1848" i="2"/>
  <c r="AJ1848" i="2"/>
  <c r="AK1848" i="2"/>
  <c r="Z1849" i="2"/>
  <c r="AA1849" i="2"/>
  <c r="AB1849" i="2"/>
  <c r="AC1849" i="2"/>
  <c r="AD1849" i="2"/>
  <c r="AE1849" i="2"/>
  <c r="AF1849" i="2"/>
  <c r="AG1849" i="2"/>
  <c r="AH1849" i="2"/>
  <c r="AI1849" i="2"/>
  <c r="AJ1849" i="2"/>
  <c r="AK1849" i="2"/>
  <c r="Z1850" i="2"/>
  <c r="AA1850" i="2"/>
  <c r="AB1850" i="2"/>
  <c r="AC1850" i="2"/>
  <c r="AD1850" i="2"/>
  <c r="AE1850" i="2"/>
  <c r="AF1850" i="2"/>
  <c r="AG1850" i="2"/>
  <c r="AH1850" i="2"/>
  <c r="AI1850" i="2"/>
  <c r="AJ1850" i="2"/>
  <c r="AK1850" i="2"/>
  <c r="Z1851" i="2"/>
  <c r="AA1851" i="2"/>
  <c r="AB1851" i="2"/>
  <c r="AC1851" i="2"/>
  <c r="AD1851" i="2"/>
  <c r="AE1851" i="2"/>
  <c r="AF1851" i="2"/>
  <c r="AG1851" i="2"/>
  <c r="AH1851" i="2"/>
  <c r="AI1851" i="2"/>
  <c r="AJ1851" i="2"/>
  <c r="AK1851" i="2"/>
  <c r="Z1852" i="2"/>
  <c r="AA1852" i="2"/>
  <c r="AB1852" i="2"/>
  <c r="AC1852" i="2"/>
  <c r="AD1852" i="2"/>
  <c r="AE1852" i="2"/>
  <c r="AF1852" i="2"/>
  <c r="AG1852" i="2"/>
  <c r="AH1852" i="2"/>
  <c r="AI1852" i="2"/>
  <c r="AJ1852" i="2"/>
  <c r="AK1852" i="2"/>
  <c r="Z1853" i="2"/>
  <c r="AA1853" i="2"/>
  <c r="AB1853" i="2"/>
  <c r="AC1853" i="2"/>
  <c r="AD1853" i="2"/>
  <c r="AE1853" i="2"/>
  <c r="AF1853" i="2"/>
  <c r="AG1853" i="2"/>
  <c r="AH1853" i="2"/>
  <c r="AI1853" i="2"/>
  <c r="AJ1853" i="2"/>
  <c r="AK1853" i="2"/>
  <c r="Z1854" i="2"/>
  <c r="AA1854" i="2"/>
  <c r="AB1854" i="2"/>
  <c r="AC1854" i="2"/>
  <c r="AD1854" i="2"/>
  <c r="AE1854" i="2"/>
  <c r="AF1854" i="2"/>
  <c r="AG1854" i="2"/>
  <c r="AH1854" i="2"/>
  <c r="AI1854" i="2"/>
  <c r="AJ1854" i="2"/>
  <c r="AK1854" i="2"/>
  <c r="Z1855" i="2"/>
  <c r="AA1855" i="2"/>
  <c r="AB1855" i="2"/>
  <c r="AC1855" i="2"/>
  <c r="AD1855" i="2"/>
  <c r="AE1855" i="2"/>
  <c r="AF1855" i="2"/>
  <c r="AG1855" i="2"/>
  <c r="AH1855" i="2"/>
  <c r="AI1855" i="2"/>
  <c r="AJ1855" i="2"/>
  <c r="AK1855" i="2"/>
  <c r="Z1856" i="2"/>
  <c r="AA1856" i="2"/>
  <c r="AB1856" i="2"/>
  <c r="AC1856" i="2"/>
  <c r="AD1856" i="2"/>
  <c r="AE1856" i="2"/>
  <c r="AF1856" i="2"/>
  <c r="AG1856" i="2"/>
  <c r="AH1856" i="2"/>
  <c r="AI1856" i="2"/>
  <c r="AJ1856" i="2"/>
  <c r="AK1856" i="2"/>
  <c r="Z1857" i="2"/>
  <c r="AA1857" i="2"/>
  <c r="AB1857" i="2"/>
  <c r="AC1857" i="2"/>
  <c r="AD1857" i="2"/>
  <c r="AE1857" i="2"/>
  <c r="AF1857" i="2"/>
  <c r="AG1857" i="2"/>
  <c r="AH1857" i="2"/>
  <c r="AI1857" i="2"/>
  <c r="AJ1857" i="2"/>
  <c r="AK1857" i="2"/>
  <c r="Z1858" i="2"/>
  <c r="AA1858" i="2"/>
  <c r="AB1858" i="2"/>
  <c r="AC1858" i="2"/>
  <c r="AD1858" i="2"/>
  <c r="AE1858" i="2"/>
  <c r="AF1858" i="2"/>
  <c r="AG1858" i="2"/>
  <c r="AH1858" i="2"/>
  <c r="AI1858" i="2"/>
  <c r="AJ1858" i="2"/>
  <c r="AK1858" i="2"/>
  <c r="Z1859" i="2"/>
  <c r="AA1859" i="2"/>
  <c r="AB1859" i="2"/>
  <c r="AC1859" i="2"/>
  <c r="AD1859" i="2"/>
  <c r="AE1859" i="2"/>
  <c r="AF1859" i="2"/>
  <c r="AG1859" i="2"/>
  <c r="AH1859" i="2"/>
  <c r="AI1859" i="2"/>
  <c r="AJ1859" i="2"/>
  <c r="AK1859" i="2"/>
  <c r="Z1860" i="2"/>
  <c r="AA1860" i="2"/>
  <c r="AB1860" i="2"/>
  <c r="AC1860" i="2"/>
  <c r="AD1860" i="2"/>
  <c r="AE1860" i="2"/>
  <c r="AF1860" i="2"/>
  <c r="AG1860" i="2"/>
  <c r="AH1860" i="2"/>
  <c r="AI1860" i="2"/>
  <c r="AJ1860" i="2"/>
  <c r="AK1860" i="2"/>
  <c r="Z1861" i="2"/>
  <c r="AA1861" i="2"/>
  <c r="AB1861" i="2"/>
  <c r="AC1861" i="2"/>
  <c r="AD1861" i="2"/>
  <c r="AE1861" i="2"/>
  <c r="AF1861" i="2"/>
  <c r="AG1861" i="2"/>
  <c r="AH1861" i="2"/>
  <c r="AI1861" i="2"/>
  <c r="AJ1861" i="2"/>
  <c r="AK1861" i="2"/>
  <c r="Z1862" i="2"/>
  <c r="AA1862" i="2"/>
  <c r="AB1862" i="2"/>
  <c r="AC1862" i="2"/>
  <c r="AD1862" i="2"/>
  <c r="AE1862" i="2"/>
  <c r="AF1862" i="2"/>
  <c r="AG1862" i="2"/>
  <c r="AH1862" i="2"/>
  <c r="AI1862" i="2"/>
  <c r="AJ1862" i="2"/>
  <c r="AK1862" i="2"/>
  <c r="Z1863" i="2"/>
  <c r="AA1863" i="2"/>
  <c r="AB1863" i="2"/>
  <c r="AC1863" i="2"/>
  <c r="AD1863" i="2"/>
  <c r="AE1863" i="2"/>
  <c r="AF1863" i="2"/>
  <c r="AG1863" i="2"/>
  <c r="AH1863" i="2"/>
  <c r="AI1863" i="2"/>
  <c r="AJ1863" i="2"/>
  <c r="AK1863" i="2"/>
  <c r="Z1864" i="2"/>
  <c r="AA1864" i="2"/>
  <c r="AB1864" i="2"/>
  <c r="AC1864" i="2"/>
  <c r="AD1864" i="2"/>
  <c r="AE1864" i="2"/>
  <c r="AF1864" i="2"/>
  <c r="AG1864" i="2"/>
  <c r="AH1864" i="2"/>
  <c r="AI1864" i="2"/>
  <c r="AJ1864" i="2"/>
  <c r="AK1864" i="2"/>
  <c r="Z1865" i="2"/>
  <c r="AA1865" i="2"/>
  <c r="AB1865" i="2"/>
  <c r="AC1865" i="2"/>
  <c r="AD1865" i="2"/>
  <c r="AE1865" i="2"/>
  <c r="AF1865" i="2"/>
  <c r="AG1865" i="2"/>
  <c r="AH1865" i="2"/>
  <c r="AI1865" i="2"/>
  <c r="AJ1865" i="2"/>
  <c r="AK1865" i="2"/>
  <c r="Z1866" i="2"/>
  <c r="AA1866" i="2"/>
  <c r="AB1866" i="2"/>
  <c r="AC1866" i="2"/>
  <c r="AD1866" i="2"/>
  <c r="AE1866" i="2"/>
  <c r="AF1866" i="2"/>
  <c r="AG1866" i="2"/>
  <c r="AH1866" i="2"/>
  <c r="AI1866" i="2"/>
  <c r="AJ1866" i="2"/>
  <c r="AK1866" i="2"/>
  <c r="Z1867" i="2"/>
  <c r="AA1867" i="2"/>
  <c r="AB1867" i="2"/>
  <c r="AC1867" i="2"/>
  <c r="AD1867" i="2"/>
  <c r="AE1867" i="2"/>
  <c r="AF1867" i="2"/>
  <c r="AG1867" i="2"/>
  <c r="AH1867" i="2"/>
  <c r="AI1867" i="2"/>
  <c r="AJ1867" i="2"/>
  <c r="AK1867" i="2"/>
  <c r="Z1868" i="2"/>
  <c r="AA1868" i="2"/>
  <c r="AB1868" i="2"/>
  <c r="AC1868" i="2"/>
  <c r="AD1868" i="2"/>
  <c r="AE1868" i="2"/>
  <c r="AF1868" i="2"/>
  <c r="AG1868" i="2"/>
  <c r="AH1868" i="2"/>
  <c r="AI1868" i="2"/>
  <c r="AJ1868" i="2"/>
  <c r="AK1868" i="2"/>
  <c r="Z1869" i="2"/>
  <c r="AA1869" i="2"/>
  <c r="AB1869" i="2"/>
  <c r="AC1869" i="2"/>
  <c r="AD1869" i="2"/>
  <c r="AE1869" i="2"/>
  <c r="AF1869" i="2"/>
  <c r="AG1869" i="2"/>
  <c r="AH1869" i="2"/>
  <c r="AI1869" i="2"/>
  <c r="AJ1869" i="2"/>
  <c r="AK1869" i="2"/>
  <c r="Z1870" i="2"/>
  <c r="AA1870" i="2"/>
  <c r="AB1870" i="2"/>
  <c r="AC1870" i="2"/>
  <c r="AD1870" i="2"/>
  <c r="AE1870" i="2"/>
  <c r="AF1870" i="2"/>
  <c r="AG1870" i="2"/>
  <c r="AH1870" i="2"/>
  <c r="AI1870" i="2"/>
  <c r="AJ1870" i="2"/>
  <c r="AK1870" i="2"/>
  <c r="Z1871" i="2"/>
  <c r="AA1871" i="2"/>
  <c r="AB1871" i="2"/>
  <c r="AC1871" i="2"/>
  <c r="AD1871" i="2"/>
  <c r="AE1871" i="2"/>
  <c r="AF1871" i="2"/>
  <c r="AG1871" i="2"/>
  <c r="AH1871" i="2"/>
  <c r="AI1871" i="2"/>
  <c r="AJ1871" i="2"/>
  <c r="AK1871" i="2"/>
  <c r="Z1872" i="2"/>
  <c r="AA1872" i="2"/>
  <c r="AB1872" i="2"/>
  <c r="AC1872" i="2"/>
  <c r="AD1872" i="2"/>
  <c r="AE1872" i="2"/>
  <c r="AF1872" i="2"/>
  <c r="AG1872" i="2"/>
  <c r="AH1872" i="2"/>
  <c r="AI1872" i="2"/>
  <c r="AJ1872" i="2"/>
  <c r="AK1872" i="2"/>
  <c r="Z1873" i="2"/>
  <c r="AA1873" i="2"/>
  <c r="AB1873" i="2"/>
  <c r="AC1873" i="2"/>
  <c r="AD1873" i="2"/>
  <c r="AE1873" i="2"/>
  <c r="AF1873" i="2"/>
  <c r="AG1873" i="2"/>
  <c r="AH1873" i="2"/>
  <c r="AI1873" i="2"/>
  <c r="AJ1873" i="2"/>
  <c r="AK1873" i="2"/>
  <c r="Z1874" i="2"/>
  <c r="AA1874" i="2"/>
  <c r="AB1874" i="2"/>
  <c r="AC1874" i="2"/>
  <c r="AD1874" i="2"/>
  <c r="AE1874" i="2"/>
  <c r="AF1874" i="2"/>
  <c r="AG1874" i="2"/>
  <c r="AH1874" i="2"/>
  <c r="AI1874" i="2"/>
  <c r="AJ1874" i="2"/>
  <c r="AK1874" i="2"/>
  <c r="Z1875" i="2"/>
  <c r="AA1875" i="2"/>
  <c r="AB1875" i="2"/>
  <c r="AC1875" i="2"/>
  <c r="AD1875" i="2"/>
  <c r="AE1875" i="2"/>
  <c r="AF1875" i="2"/>
  <c r="AG1875" i="2"/>
  <c r="AH1875" i="2"/>
  <c r="AI1875" i="2"/>
  <c r="AJ1875" i="2"/>
  <c r="AK1875" i="2"/>
  <c r="Z1876" i="2"/>
  <c r="AA1876" i="2"/>
  <c r="AB1876" i="2"/>
  <c r="AC1876" i="2"/>
  <c r="AD1876" i="2"/>
  <c r="AE1876" i="2"/>
  <c r="AF1876" i="2"/>
  <c r="AG1876" i="2"/>
  <c r="AH1876" i="2"/>
  <c r="AI1876" i="2"/>
  <c r="AJ1876" i="2"/>
  <c r="AK1876" i="2"/>
  <c r="Z1877" i="2"/>
  <c r="AA1877" i="2"/>
  <c r="AB1877" i="2"/>
  <c r="AC1877" i="2"/>
  <c r="AD1877" i="2"/>
  <c r="AE1877" i="2"/>
  <c r="AF1877" i="2"/>
  <c r="AG1877" i="2"/>
  <c r="AH1877" i="2"/>
  <c r="AI1877" i="2"/>
  <c r="AJ1877" i="2"/>
  <c r="AK1877" i="2"/>
  <c r="Z1878" i="2"/>
  <c r="AA1878" i="2"/>
  <c r="AB1878" i="2"/>
  <c r="AC1878" i="2"/>
  <c r="AD1878" i="2"/>
  <c r="AE1878" i="2"/>
  <c r="AF1878" i="2"/>
  <c r="AG1878" i="2"/>
  <c r="AH1878" i="2"/>
  <c r="AI1878" i="2"/>
  <c r="AJ1878" i="2"/>
  <c r="AK1878" i="2"/>
  <c r="Z1879" i="2"/>
  <c r="AA1879" i="2"/>
  <c r="AB1879" i="2"/>
  <c r="AC1879" i="2"/>
  <c r="AD1879" i="2"/>
  <c r="AE1879" i="2"/>
  <c r="AF1879" i="2"/>
  <c r="AG1879" i="2"/>
  <c r="AH1879" i="2"/>
  <c r="AI1879" i="2"/>
  <c r="AJ1879" i="2"/>
  <c r="AK1879" i="2"/>
  <c r="Z1880" i="2"/>
  <c r="AA1880" i="2"/>
  <c r="AB1880" i="2"/>
  <c r="AC1880" i="2"/>
  <c r="AD1880" i="2"/>
  <c r="AE1880" i="2"/>
  <c r="AF1880" i="2"/>
  <c r="AG1880" i="2"/>
  <c r="AH1880" i="2"/>
  <c r="AI1880" i="2"/>
  <c r="AJ1880" i="2"/>
  <c r="AK1880" i="2"/>
  <c r="Z1881" i="2"/>
  <c r="AA1881" i="2"/>
  <c r="AB1881" i="2"/>
  <c r="AC1881" i="2"/>
  <c r="AD1881" i="2"/>
  <c r="AE1881" i="2"/>
  <c r="AF1881" i="2"/>
  <c r="AG1881" i="2"/>
  <c r="AH1881" i="2"/>
  <c r="AI1881" i="2"/>
  <c r="AJ1881" i="2"/>
  <c r="AK1881" i="2"/>
  <c r="Z1882" i="2"/>
  <c r="AA1882" i="2"/>
  <c r="AB1882" i="2"/>
  <c r="AC1882" i="2"/>
  <c r="AD1882" i="2"/>
  <c r="AE1882" i="2"/>
  <c r="AF1882" i="2"/>
  <c r="AG1882" i="2"/>
  <c r="AH1882" i="2"/>
  <c r="AI1882" i="2"/>
  <c r="AJ1882" i="2"/>
  <c r="AK1882" i="2"/>
  <c r="Z1883" i="2"/>
  <c r="AA1883" i="2"/>
  <c r="AB1883" i="2"/>
  <c r="AC1883" i="2"/>
  <c r="AD1883" i="2"/>
  <c r="AE1883" i="2"/>
  <c r="AF1883" i="2"/>
  <c r="AG1883" i="2"/>
  <c r="AH1883" i="2"/>
  <c r="AI1883" i="2"/>
  <c r="AJ1883" i="2"/>
  <c r="AK1883" i="2"/>
  <c r="Z1884" i="2"/>
  <c r="AA1884" i="2"/>
  <c r="AB1884" i="2"/>
  <c r="AC1884" i="2"/>
  <c r="AD1884" i="2"/>
  <c r="AE1884" i="2"/>
  <c r="AF1884" i="2"/>
  <c r="AG1884" i="2"/>
  <c r="AH1884" i="2"/>
  <c r="AI1884" i="2"/>
  <c r="AJ1884" i="2"/>
  <c r="AK1884" i="2"/>
  <c r="Z1885" i="2"/>
  <c r="AA1885" i="2"/>
  <c r="AB1885" i="2"/>
  <c r="AC1885" i="2"/>
  <c r="AD1885" i="2"/>
  <c r="AE1885" i="2"/>
  <c r="AF1885" i="2"/>
  <c r="AG1885" i="2"/>
  <c r="AH1885" i="2"/>
  <c r="AI1885" i="2"/>
  <c r="AJ1885" i="2"/>
  <c r="AK1885" i="2"/>
  <c r="Z1886" i="2"/>
  <c r="AA1886" i="2"/>
  <c r="AB1886" i="2"/>
  <c r="AC1886" i="2"/>
  <c r="AD1886" i="2"/>
  <c r="AE1886" i="2"/>
  <c r="AF1886" i="2"/>
  <c r="AG1886" i="2"/>
  <c r="AH1886" i="2"/>
  <c r="AI1886" i="2"/>
  <c r="AJ1886" i="2"/>
  <c r="AK1886" i="2"/>
  <c r="Z1887" i="2"/>
  <c r="AA1887" i="2"/>
  <c r="AB1887" i="2"/>
  <c r="AC1887" i="2"/>
  <c r="AD1887" i="2"/>
  <c r="AE1887" i="2"/>
  <c r="AF1887" i="2"/>
  <c r="AG1887" i="2"/>
  <c r="AH1887" i="2"/>
  <c r="AI1887" i="2"/>
  <c r="AJ1887" i="2"/>
  <c r="AK1887" i="2"/>
  <c r="Z1888" i="2"/>
  <c r="AA1888" i="2"/>
  <c r="AB1888" i="2"/>
  <c r="AC1888" i="2"/>
  <c r="AD1888" i="2"/>
  <c r="AE1888" i="2"/>
  <c r="AF1888" i="2"/>
  <c r="AG1888" i="2"/>
  <c r="AH1888" i="2"/>
  <c r="AI1888" i="2"/>
  <c r="AJ1888" i="2"/>
  <c r="AK1888" i="2"/>
  <c r="Z1889" i="2"/>
  <c r="AA1889" i="2"/>
  <c r="AB1889" i="2"/>
  <c r="AC1889" i="2"/>
  <c r="AD1889" i="2"/>
  <c r="AE1889" i="2"/>
  <c r="AF1889" i="2"/>
  <c r="AG1889" i="2"/>
  <c r="AH1889" i="2"/>
  <c r="AI1889" i="2"/>
  <c r="AJ1889" i="2"/>
  <c r="AK1889" i="2"/>
  <c r="Z1890" i="2"/>
  <c r="AA1890" i="2"/>
  <c r="AB1890" i="2"/>
  <c r="AC1890" i="2"/>
  <c r="AD1890" i="2"/>
  <c r="AE1890" i="2"/>
  <c r="AF1890" i="2"/>
  <c r="AG1890" i="2"/>
  <c r="AH1890" i="2"/>
  <c r="AI1890" i="2"/>
  <c r="AJ1890" i="2"/>
  <c r="AK1890" i="2"/>
  <c r="Z1891" i="2"/>
  <c r="AA1891" i="2"/>
  <c r="AB1891" i="2"/>
  <c r="AC1891" i="2"/>
  <c r="AD1891" i="2"/>
  <c r="AE1891" i="2"/>
  <c r="AF1891" i="2"/>
  <c r="AG1891" i="2"/>
  <c r="AH1891" i="2"/>
  <c r="AI1891" i="2"/>
  <c r="AJ1891" i="2"/>
  <c r="AK1891" i="2"/>
  <c r="Z1892" i="2"/>
  <c r="AA1892" i="2"/>
  <c r="AB1892" i="2"/>
  <c r="AC1892" i="2"/>
  <c r="AD1892" i="2"/>
  <c r="AE1892" i="2"/>
  <c r="AF1892" i="2"/>
  <c r="AG1892" i="2"/>
  <c r="AH1892" i="2"/>
  <c r="AI1892" i="2"/>
  <c r="AJ1892" i="2"/>
  <c r="AK1892" i="2"/>
  <c r="Z1893" i="2"/>
  <c r="AA1893" i="2"/>
  <c r="AB1893" i="2"/>
  <c r="AC1893" i="2"/>
  <c r="AD1893" i="2"/>
  <c r="AE1893" i="2"/>
  <c r="AF1893" i="2"/>
  <c r="AG1893" i="2"/>
  <c r="AH1893" i="2"/>
  <c r="AI1893" i="2"/>
  <c r="AJ1893" i="2"/>
  <c r="AK1893" i="2"/>
  <c r="Z1894" i="2"/>
  <c r="AA1894" i="2"/>
  <c r="AB1894" i="2"/>
  <c r="AC1894" i="2"/>
  <c r="AD1894" i="2"/>
  <c r="AE1894" i="2"/>
  <c r="AF1894" i="2"/>
  <c r="AG1894" i="2"/>
  <c r="AH1894" i="2"/>
  <c r="AI1894" i="2"/>
  <c r="AJ1894" i="2"/>
  <c r="AK1894" i="2"/>
  <c r="Z1895" i="2"/>
  <c r="AA1895" i="2"/>
  <c r="AB1895" i="2"/>
  <c r="AC1895" i="2"/>
  <c r="AD1895" i="2"/>
  <c r="AE1895" i="2"/>
  <c r="AF1895" i="2"/>
  <c r="AG1895" i="2"/>
  <c r="AH1895" i="2"/>
  <c r="AI1895" i="2"/>
  <c r="AJ1895" i="2"/>
  <c r="AK1895" i="2"/>
  <c r="Z1896" i="2"/>
  <c r="AA1896" i="2"/>
  <c r="AB1896" i="2"/>
  <c r="AC1896" i="2"/>
  <c r="AD1896" i="2"/>
  <c r="AE1896" i="2"/>
  <c r="AF1896" i="2"/>
  <c r="AG1896" i="2"/>
  <c r="AH1896" i="2"/>
  <c r="AI1896" i="2"/>
  <c r="AJ1896" i="2"/>
  <c r="AK1896" i="2"/>
  <c r="Z1897" i="2"/>
  <c r="AA1897" i="2"/>
  <c r="AB1897" i="2"/>
  <c r="AC1897" i="2"/>
  <c r="AD1897" i="2"/>
  <c r="AE1897" i="2"/>
  <c r="AF1897" i="2"/>
  <c r="AG1897" i="2"/>
  <c r="AH1897" i="2"/>
  <c r="AI1897" i="2"/>
  <c r="AJ1897" i="2"/>
  <c r="AK1897" i="2"/>
  <c r="Z1898" i="2"/>
  <c r="AA1898" i="2"/>
  <c r="AB1898" i="2"/>
  <c r="AC1898" i="2"/>
  <c r="AD1898" i="2"/>
  <c r="AE1898" i="2"/>
  <c r="AF1898" i="2"/>
  <c r="AG1898" i="2"/>
  <c r="AH1898" i="2"/>
  <c r="AI1898" i="2"/>
  <c r="AJ1898" i="2"/>
  <c r="AK1898" i="2"/>
  <c r="Z1899" i="2"/>
  <c r="AA1899" i="2"/>
  <c r="AB1899" i="2"/>
  <c r="AC1899" i="2"/>
  <c r="AD1899" i="2"/>
  <c r="AE1899" i="2"/>
  <c r="AF1899" i="2"/>
  <c r="AG1899" i="2"/>
  <c r="AH1899" i="2"/>
  <c r="AI1899" i="2"/>
  <c r="AJ1899" i="2"/>
  <c r="AK1899" i="2"/>
  <c r="Z1900" i="2"/>
  <c r="AA1900" i="2"/>
  <c r="AB1900" i="2"/>
  <c r="AC1900" i="2"/>
  <c r="AD1900" i="2"/>
  <c r="AE1900" i="2"/>
  <c r="AF1900" i="2"/>
  <c r="AG1900" i="2"/>
  <c r="AH1900" i="2"/>
  <c r="AI1900" i="2"/>
  <c r="AJ1900" i="2"/>
  <c r="AK1900" i="2"/>
  <c r="Z1901" i="2"/>
  <c r="AA1901" i="2"/>
  <c r="AB1901" i="2"/>
  <c r="AC1901" i="2"/>
  <c r="AD1901" i="2"/>
  <c r="AE1901" i="2"/>
  <c r="AF1901" i="2"/>
  <c r="AG1901" i="2"/>
  <c r="AH1901" i="2"/>
  <c r="AI1901" i="2"/>
  <c r="AJ1901" i="2"/>
  <c r="AK1901" i="2"/>
  <c r="Z1902" i="2"/>
  <c r="AA1902" i="2"/>
  <c r="AB1902" i="2"/>
  <c r="AC1902" i="2"/>
  <c r="AD1902" i="2"/>
  <c r="AE1902" i="2"/>
  <c r="AF1902" i="2"/>
  <c r="AG1902" i="2"/>
  <c r="AH1902" i="2"/>
  <c r="AI1902" i="2"/>
  <c r="AJ1902" i="2"/>
  <c r="AK1902" i="2"/>
  <c r="Z1903" i="2"/>
  <c r="AA1903" i="2"/>
  <c r="AB1903" i="2"/>
  <c r="AC1903" i="2"/>
  <c r="AD1903" i="2"/>
  <c r="AE1903" i="2"/>
  <c r="AF1903" i="2"/>
  <c r="AG1903" i="2"/>
  <c r="AH1903" i="2"/>
  <c r="AI1903" i="2"/>
  <c r="AJ1903" i="2"/>
  <c r="AK1903" i="2"/>
  <c r="Z1904" i="2"/>
  <c r="AA1904" i="2"/>
  <c r="AB1904" i="2"/>
  <c r="AC1904" i="2"/>
  <c r="AD1904" i="2"/>
  <c r="AE1904" i="2"/>
  <c r="AF1904" i="2"/>
  <c r="AG1904" i="2"/>
  <c r="AH1904" i="2"/>
  <c r="AI1904" i="2"/>
  <c r="AJ1904" i="2"/>
  <c r="AK1904" i="2"/>
  <c r="Z1905" i="2"/>
  <c r="AA1905" i="2"/>
  <c r="AB1905" i="2"/>
  <c r="AC1905" i="2"/>
  <c r="AD1905" i="2"/>
  <c r="AE1905" i="2"/>
  <c r="AF1905" i="2"/>
  <c r="AG1905" i="2"/>
  <c r="AH1905" i="2"/>
  <c r="AI1905" i="2"/>
  <c r="AJ1905" i="2"/>
  <c r="AK1905" i="2"/>
  <c r="Z1906" i="2"/>
  <c r="AA1906" i="2"/>
  <c r="AB1906" i="2"/>
  <c r="AC1906" i="2"/>
  <c r="AD1906" i="2"/>
  <c r="AE1906" i="2"/>
  <c r="AF1906" i="2"/>
  <c r="AG1906" i="2"/>
  <c r="AH1906" i="2"/>
  <c r="AI1906" i="2"/>
  <c r="AJ1906" i="2"/>
  <c r="AK1906" i="2"/>
  <c r="Z1907" i="2"/>
  <c r="AA1907" i="2"/>
  <c r="AB1907" i="2"/>
  <c r="AC1907" i="2"/>
  <c r="AD1907" i="2"/>
  <c r="AE1907" i="2"/>
  <c r="AF1907" i="2"/>
  <c r="AG1907" i="2"/>
  <c r="AH1907" i="2"/>
  <c r="AI1907" i="2"/>
  <c r="AJ1907" i="2"/>
  <c r="AK1907" i="2"/>
  <c r="Z1908" i="2"/>
  <c r="AA1908" i="2"/>
  <c r="AB1908" i="2"/>
  <c r="AC1908" i="2"/>
  <c r="AD1908" i="2"/>
  <c r="AE1908" i="2"/>
  <c r="AF1908" i="2"/>
  <c r="AG1908" i="2"/>
  <c r="AH1908" i="2"/>
  <c r="AI1908" i="2"/>
  <c r="AJ1908" i="2"/>
  <c r="AK1908" i="2"/>
  <c r="Z1909" i="2"/>
  <c r="AA1909" i="2"/>
  <c r="AB1909" i="2"/>
  <c r="AC1909" i="2"/>
  <c r="AD1909" i="2"/>
  <c r="AE1909" i="2"/>
  <c r="AF1909" i="2"/>
  <c r="AG1909" i="2"/>
  <c r="AH1909" i="2"/>
  <c r="AI1909" i="2"/>
  <c r="AJ1909" i="2"/>
  <c r="AK1909" i="2"/>
  <c r="Z1910" i="2"/>
  <c r="AA1910" i="2"/>
  <c r="AB1910" i="2"/>
  <c r="AC1910" i="2"/>
  <c r="AD1910" i="2"/>
  <c r="AE1910" i="2"/>
  <c r="AF1910" i="2"/>
  <c r="AG1910" i="2"/>
  <c r="AH1910" i="2"/>
  <c r="AI1910" i="2"/>
  <c r="AJ1910" i="2"/>
  <c r="AK1910" i="2"/>
  <c r="Z1911" i="2"/>
  <c r="AA1911" i="2"/>
  <c r="AB1911" i="2"/>
  <c r="AC1911" i="2"/>
  <c r="AD1911" i="2"/>
  <c r="AE1911" i="2"/>
  <c r="AF1911" i="2"/>
  <c r="AG1911" i="2"/>
  <c r="AH1911" i="2"/>
  <c r="AI1911" i="2"/>
  <c r="AJ1911" i="2"/>
  <c r="AK1911" i="2"/>
  <c r="Z1912" i="2"/>
  <c r="AA1912" i="2"/>
  <c r="AB1912" i="2"/>
  <c r="AC1912" i="2"/>
  <c r="AD1912" i="2"/>
  <c r="AE1912" i="2"/>
  <c r="AF1912" i="2"/>
  <c r="AG1912" i="2"/>
  <c r="AH1912" i="2"/>
  <c r="AI1912" i="2"/>
  <c r="AJ1912" i="2"/>
  <c r="AK1912" i="2"/>
  <c r="Z1913" i="2"/>
  <c r="AA1913" i="2"/>
  <c r="AB1913" i="2"/>
  <c r="AC1913" i="2"/>
  <c r="AD1913" i="2"/>
  <c r="AE1913" i="2"/>
  <c r="AF1913" i="2"/>
  <c r="AG1913" i="2"/>
  <c r="AH1913" i="2"/>
  <c r="AI1913" i="2"/>
  <c r="AJ1913" i="2"/>
  <c r="AK1913" i="2"/>
  <c r="Z1914" i="2"/>
  <c r="AA1914" i="2"/>
  <c r="AB1914" i="2"/>
  <c r="AC1914" i="2"/>
  <c r="AD1914" i="2"/>
  <c r="AE1914" i="2"/>
  <c r="AF1914" i="2"/>
  <c r="AG1914" i="2"/>
  <c r="AH1914" i="2"/>
  <c r="AI1914" i="2"/>
  <c r="AJ1914" i="2"/>
  <c r="AK1914" i="2"/>
  <c r="Z1915" i="2"/>
  <c r="AA1915" i="2"/>
  <c r="AB1915" i="2"/>
  <c r="AC1915" i="2"/>
  <c r="AD1915" i="2"/>
  <c r="AE1915" i="2"/>
  <c r="AF1915" i="2"/>
  <c r="AG1915" i="2"/>
  <c r="AH1915" i="2"/>
  <c r="AI1915" i="2"/>
  <c r="AJ1915" i="2"/>
  <c r="AK1915" i="2"/>
  <c r="Z1916" i="2"/>
  <c r="AA1916" i="2"/>
  <c r="AB1916" i="2"/>
  <c r="AC1916" i="2"/>
  <c r="AD1916" i="2"/>
  <c r="AE1916" i="2"/>
  <c r="AF1916" i="2"/>
  <c r="AG1916" i="2"/>
  <c r="AH1916" i="2"/>
  <c r="AI1916" i="2"/>
  <c r="AJ1916" i="2"/>
  <c r="AK1916" i="2"/>
  <c r="Z1917" i="2"/>
  <c r="AA1917" i="2"/>
  <c r="AB1917" i="2"/>
  <c r="AC1917" i="2"/>
  <c r="AD1917" i="2"/>
  <c r="AE1917" i="2"/>
  <c r="AF1917" i="2"/>
  <c r="AG1917" i="2"/>
  <c r="AH1917" i="2"/>
  <c r="AI1917" i="2"/>
  <c r="AJ1917" i="2"/>
  <c r="AK1917" i="2"/>
  <c r="Z1918" i="2"/>
  <c r="AA1918" i="2"/>
  <c r="AB1918" i="2"/>
  <c r="AC1918" i="2"/>
  <c r="AD1918" i="2"/>
  <c r="AE1918" i="2"/>
  <c r="AF1918" i="2"/>
  <c r="AG1918" i="2"/>
  <c r="AH1918" i="2"/>
  <c r="AI1918" i="2"/>
  <c r="AJ1918" i="2"/>
  <c r="AK1918" i="2"/>
  <c r="Z1919" i="2"/>
  <c r="AA1919" i="2"/>
  <c r="AB1919" i="2"/>
  <c r="AC1919" i="2"/>
  <c r="AD1919" i="2"/>
  <c r="AE1919" i="2"/>
  <c r="AF1919" i="2"/>
  <c r="AG1919" i="2"/>
  <c r="AH1919" i="2"/>
  <c r="AI1919" i="2"/>
  <c r="AJ1919" i="2"/>
  <c r="AK1919" i="2"/>
  <c r="Z1920" i="2"/>
  <c r="AA1920" i="2"/>
  <c r="AB1920" i="2"/>
  <c r="AC1920" i="2"/>
  <c r="AD1920" i="2"/>
  <c r="AE1920" i="2"/>
  <c r="AF1920" i="2"/>
  <c r="AG1920" i="2"/>
  <c r="AH1920" i="2"/>
  <c r="AI1920" i="2"/>
  <c r="AJ1920" i="2"/>
  <c r="AK1920" i="2"/>
  <c r="Z1921" i="2"/>
  <c r="AA1921" i="2"/>
  <c r="AB1921" i="2"/>
  <c r="AC1921" i="2"/>
  <c r="AD1921" i="2"/>
  <c r="AE1921" i="2"/>
  <c r="AF1921" i="2"/>
  <c r="AG1921" i="2"/>
  <c r="AH1921" i="2"/>
  <c r="AI1921" i="2"/>
  <c r="AJ1921" i="2"/>
  <c r="AK1921" i="2"/>
  <c r="Z1922" i="2"/>
  <c r="AA1922" i="2"/>
  <c r="AB1922" i="2"/>
  <c r="AC1922" i="2"/>
  <c r="AD1922" i="2"/>
  <c r="AE1922" i="2"/>
  <c r="AF1922" i="2"/>
  <c r="AG1922" i="2"/>
  <c r="AH1922" i="2"/>
  <c r="AI1922" i="2"/>
  <c r="AJ1922" i="2"/>
  <c r="AK1922" i="2"/>
  <c r="Z1923" i="2"/>
  <c r="AA1923" i="2"/>
  <c r="AB1923" i="2"/>
  <c r="AC1923" i="2"/>
  <c r="AD1923" i="2"/>
  <c r="AE1923" i="2"/>
  <c r="AF1923" i="2"/>
  <c r="AG1923" i="2"/>
  <c r="AH1923" i="2"/>
  <c r="AI1923" i="2"/>
  <c r="AJ1923" i="2"/>
  <c r="AK1923" i="2"/>
  <c r="Z1924" i="2"/>
  <c r="AA1924" i="2"/>
  <c r="AB1924" i="2"/>
  <c r="AC1924" i="2"/>
  <c r="AD1924" i="2"/>
  <c r="AE1924" i="2"/>
  <c r="AF1924" i="2"/>
  <c r="AG1924" i="2"/>
  <c r="AH1924" i="2"/>
  <c r="AI1924" i="2"/>
  <c r="AJ1924" i="2"/>
  <c r="AK1924" i="2"/>
  <c r="Z1925" i="2"/>
  <c r="AA1925" i="2"/>
  <c r="AB1925" i="2"/>
  <c r="AC1925" i="2"/>
  <c r="AD1925" i="2"/>
  <c r="AE1925" i="2"/>
  <c r="AF1925" i="2"/>
  <c r="AG1925" i="2"/>
  <c r="AH1925" i="2"/>
  <c r="AI1925" i="2"/>
  <c r="AJ1925" i="2"/>
  <c r="AK1925" i="2"/>
  <c r="Z1926" i="2"/>
  <c r="AA1926" i="2"/>
  <c r="AB1926" i="2"/>
  <c r="AC1926" i="2"/>
  <c r="AD1926" i="2"/>
  <c r="AE1926" i="2"/>
  <c r="AF1926" i="2"/>
  <c r="AG1926" i="2"/>
  <c r="AH1926" i="2"/>
  <c r="AI1926" i="2"/>
  <c r="AJ1926" i="2"/>
  <c r="AK1926" i="2"/>
  <c r="Z1927" i="2"/>
  <c r="AA1927" i="2"/>
  <c r="AB1927" i="2"/>
  <c r="AC1927" i="2"/>
  <c r="AD1927" i="2"/>
  <c r="AE1927" i="2"/>
  <c r="AF1927" i="2"/>
  <c r="AG1927" i="2"/>
  <c r="AH1927" i="2"/>
  <c r="AI1927" i="2"/>
  <c r="AJ1927" i="2"/>
  <c r="AK1927" i="2"/>
  <c r="Z1928" i="2"/>
  <c r="AA1928" i="2"/>
  <c r="AB1928" i="2"/>
  <c r="AC1928" i="2"/>
  <c r="AD1928" i="2"/>
  <c r="AE1928" i="2"/>
  <c r="AF1928" i="2"/>
  <c r="AG1928" i="2"/>
  <c r="AH1928" i="2"/>
  <c r="AI1928" i="2"/>
  <c r="AJ1928" i="2"/>
  <c r="AK1928" i="2"/>
  <c r="Z1929" i="2"/>
  <c r="AA1929" i="2"/>
  <c r="AB1929" i="2"/>
  <c r="AC1929" i="2"/>
  <c r="AD1929" i="2"/>
  <c r="AE1929" i="2"/>
  <c r="AF1929" i="2"/>
  <c r="AG1929" i="2"/>
  <c r="AH1929" i="2"/>
  <c r="AI1929" i="2"/>
  <c r="AJ1929" i="2"/>
  <c r="AK1929" i="2"/>
  <c r="Z1930" i="2"/>
  <c r="AA1930" i="2"/>
  <c r="AB1930" i="2"/>
  <c r="AC1930" i="2"/>
  <c r="AD1930" i="2"/>
  <c r="AE1930" i="2"/>
  <c r="AF1930" i="2"/>
  <c r="AG1930" i="2"/>
  <c r="AH1930" i="2"/>
  <c r="AI1930" i="2"/>
  <c r="AJ1930" i="2"/>
  <c r="AK1930" i="2"/>
  <c r="Z1931" i="2"/>
  <c r="AA1931" i="2"/>
  <c r="AB1931" i="2"/>
  <c r="AC1931" i="2"/>
  <c r="AD1931" i="2"/>
  <c r="AE1931" i="2"/>
  <c r="AF1931" i="2"/>
  <c r="AG1931" i="2"/>
  <c r="AH1931" i="2"/>
  <c r="AI1931" i="2"/>
  <c r="AJ1931" i="2"/>
  <c r="AK1931" i="2"/>
  <c r="Z1932" i="2"/>
  <c r="AA1932" i="2"/>
  <c r="AB1932" i="2"/>
  <c r="AC1932" i="2"/>
  <c r="AD1932" i="2"/>
  <c r="AE1932" i="2"/>
  <c r="AF1932" i="2"/>
  <c r="AG1932" i="2"/>
  <c r="AH1932" i="2"/>
  <c r="AI1932" i="2"/>
  <c r="AJ1932" i="2"/>
  <c r="AK1932" i="2"/>
  <c r="Z1933" i="2"/>
  <c r="AA1933" i="2"/>
  <c r="AB1933" i="2"/>
  <c r="AC1933" i="2"/>
  <c r="AD1933" i="2"/>
  <c r="AE1933" i="2"/>
  <c r="AF1933" i="2"/>
  <c r="AG1933" i="2"/>
  <c r="AH1933" i="2"/>
  <c r="AI1933" i="2"/>
  <c r="AJ1933" i="2"/>
  <c r="AK1933" i="2"/>
  <c r="Z1934" i="2"/>
  <c r="AA1934" i="2"/>
  <c r="AB1934" i="2"/>
  <c r="AC1934" i="2"/>
  <c r="AD1934" i="2"/>
  <c r="AE1934" i="2"/>
  <c r="AF1934" i="2"/>
  <c r="AG1934" i="2"/>
  <c r="AH1934" i="2"/>
  <c r="AI1934" i="2"/>
  <c r="AJ1934" i="2"/>
  <c r="AK1934" i="2"/>
  <c r="Z1935" i="2"/>
  <c r="AA1935" i="2"/>
  <c r="AB1935" i="2"/>
  <c r="AC1935" i="2"/>
  <c r="AD1935" i="2"/>
  <c r="AE1935" i="2"/>
  <c r="AF1935" i="2"/>
  <c r="AG1935" i="2"/>
  <c r="AH1935" i="2"/>
  <c r="AI1935" i="2"/>
  <c r="AJ1935" i="2"/>
  <c r="AK1935" i="2"/>
  <c r="Z1936" i="2"/>
  <c r="AA1936" i="2"/>
  <c r="AB1936" i="2"/>
  <c r="AC1936" i="2"/>
  <c r="AD1936" i="2"/>
  <c r="AE1936" i="2"/>
  <c r="AF1936" i="2"/>
  <c r="AG1936" i="2"/>
  <c r="AH1936" i="2"/>
  <c r="AI1936" i="2"/>
  <c r="AJ1936" i="2"/>
  <c r="AK1936" i="2"/>
  <c r="Z1937" i="2"/>
  <c r="AA1937" i="2"/>
  <c r="AB1937" i="2"/>
  <c r="AC1937" i="2"/>
  <c r="AD1937" i="2"/>
  <c r="AE1937" i="2"/>
  <c r="AF1937" i="2"/>
  <c r="AG1937" i="2"/>
  <c r="AH1937" i="2"/>
  <c r="AI1937" i="2"/>
  <c r="AJ1937" i="2"/>
  <c r="AK1937" i="2"/>
  <c r="Z1938" i="2"/>
  <c r="AA1938" i="2"/>
  <c r="AB1938" i="2"/>
  <c r="AC1938" i="2"/>
  <c r="AD1938" i="2"/>
  <c r="AE1938" i="2"/>
  <c r="AF1938" i="2"/>
  <c r="AG1938" i="2"/>
  <c r="AH1938" i="2"/>
  <c r="AI1938" i="2"/>
  <c r="AJ1938" i="2"/>
  <c r="AK1938" i="2"/>
  <c r="Z1939" i="2"/>
  <c r="AA1939" i="2"/>
  <c r="AB1939" i="2"/>
  <c r="AC1939" i="2"/>
  <c r="AD1939" i="2"/>
  <c r="AE1939" i="2"/>
  <c r="AF1939" i="2"/>
  <c r="AG1939" i="2"/>
  <c r="AH1939" i="2"/>
  <c r="AI1939" i="2"/>
  <c r="AJ1939" i="2"/>
  <c r="AK1939" i="2"/>
  <c r="Z1940" i="2"/>
  <c r="AA1940" i="2"/>
  <c r="AB1940" i="2"/>
  <c r="AC1940" i="2"/>
  <c r="AD1940" i="2"/>
  <c r="AE1940" i="2"/>
  <c r="AF1940" i="2"/>
  <c r="AG1940" i="2"/>
  <c r="AH1940" i="2"/>
  <c r="AI1940" i="2"/>
  <c r="AJ1940" i="2"/>
  <c r="AK1940" i="2"/>
  <c r="Z1941" i="2"/>
  <c r="AA1941" i="2"/>
  <c r="AB1941" i="2"/>
  <c r="AC1941" i="2"/>
  <c r="AD1941" i="2"/>
  <c r="AE1941" i="2"/>
  <c r="AF1941" i="2"/>
  <c r="AG1941" i="2"/>
  <c r="AH1941" i="2"/>
  <c r="AI1941" i="2"/>
  <c r="AJ1941" i="2"/>
  <c r="AK1941" i="2"/>
  <c r="Z1942" i="2"/>
  <c r="AA1942" i="2"/>
  <c r="AB1942" i="2"/>
  <c r="AC1942" i="2"/>
  <c r="AD1942" i="2"/>
  <c r="AE1942" i="2"/>
  <c r="AF1942" i="2"/>
  <c r="AG1942" i="2"/>
  <c r="AH1942" i="2"/>
  <c r="AI1942" i="2"/>
  <c r="AJ1942" i="2"/>
  <c r="AK1942" i="2"/>
  <c r="Z1943" i="2"/>
  <c r="AA1943" i="2"/>
  <c r="AB1943" i="2"/>
  <c r="AC1943" i="2"/>
  <c r="AD1943" i="2"/>
  <c r="AE1943" i="2"/>
  <c r="AF1943" i="2"/>
  <c r="AG1943" i="2"/>
  <c r="AH1943" i="2"/>
  <c r="AI1943" i="2"/>
  <c r="AJ1943" i="2"/>
  <c r="AK1943" i="2"/>
  <c r="Z1944" i="2"/>
  <c r="AA1944" i="2"/>
  <c r="AB1944" i="2"/>
  <c r="AC1944" i="2"/>
  <c r="AD1944" i="2"/>
  <c r="AE1944" i="2"/>
  <c r="AF1944" i="2"/>
  <c r="AG1944" i="2"/>
  <c r="AH1944" i="2"/>
  <c r="AI1944" i="2"/>
  <c r="AJ1944" i="2"/>
  <c r="AK1944" i="2"/>
  <c r="Z1945" i="2"/>
  <c r="AA1945" i="2"/>
  <c r="AB1945" i="2"/>
  <c r="AC1945" i="2"/>
  <c r="AD1945" i="2"/>
  <c r="AE1945" i="2"/>
  <c r="AF1945" i="2"/>
  <c r="AG1945" i="2"/>
  <c r="AH1945" i="2"/>
  <c r="AI1945" i="2"/>
  <c r="AJ1945" i="2"/>
  <c r="AK1945" i="2"/>
  <c r="Z1946" i="2"/>
  <c r="AA1946" i="2"/>
  <c r="AB1946" i="2"/>
  <c r="AC1946" i="2"/>
  <c r="AD1946" i="2"/>
  <c r="AE1946" i="2"/>
  <c r="AF1946" i="2"/>
  <c r="AG1946" i="2"/>
  <c r="AH1946" i="2"/>
  <c r="AI1946" i="2"/>
  <c r="AJ1946" i="2"/>
  <c r="AK1946" i="2"/>
  <c r="Z1947" i="2"/>
  <c r="AA1947" i="2"/>
  <c r="AB1947" i="2"/>
  <c r="AC1947" i="2"/>
  <c r="AD1947" i="2"/>
  <c r="AE1947" i="2"/>
  <c r="AF1947" i="2"/>
  <c r="AG1947" i="2"/>
  <c r="AH1947" i="2"/>
  <c r="AI1947" i="2"/>
  <c r="AJ1947" i="2"/>
  <c r="AK1947" i="2"/>
  <c r="Z1948" i="2"/>
  <c r="AA1948" i="2"/>
  <c r="AB1948" i="2"/>
  <c r="AC1948" i="2"/>
  <c r="AD1948" i="2"/>
  <c r="AE1948" i="2"/>
  <c r="AF1948" i="2"/>
  <c r="AG1948" i="2"/>
  <c r="AH1948" i="2"/>
  <c r="AI1948" i="2"/>
  <c r="AJ1948" i="2"/>
  <c r="AK1948" i="2"/>
  <c r="Z1949" i="2"/>
  <c r="AA1949" i="2"/>
  <c r="AB1949" i="2"/>
  <c r="AC1949" i="2"/>
  <c r="AD1949" i="2"/>
  <c r="AE1949" i="2"/>
  <c r="AF1949" i="2"/>
  <c r="AG1949" i="2"/>
  <c r="AH1949" i="2"/>
  <c r="AI1949" i="2"/>
  <c r="AJ1949" i="2"/>
  <c r="AK1949" i="2"/>
  <c r="Z1950" i="2"/>
  <c r="AA1950" i="2"/>
  <c r="AB1950" i="2"/>
  <c r="AC1950" i="2"/>
  <c r="AD1950" i="2"/>
  <c r="AE1950" i="2"/>
  <c r="AF1950" i="2"/>
  <c r="AG1950" i="2"/>
  <c r="AH1950" i="2"/>
  <c r="AI1950" i="2"/>
  <c r="AJ1950" i="2"/>
  <c r="AK1950" i="2"/>
  <c r="Z1951" i="2"/>
  <c r="AA1951" i="2"/>
  <c r="AB1951" i="2"/>
  <c r="AC1951" i="2"/>
  <c r="AD1951" i="2"/>
  <c r="AE1951" i="2"/>
  <c r="AF1951" i="2"/>
  <c r="AG1951" i="2"/>
  <c r="AH1951" i="2"/>
  <c r="AI1951" i="2"/>
  <c r="AJ1951" i="2"/>
  <c r="AK1951" i="2"/>
  <c r="Z1952" i="2"/>
  <c r="AA1952" i="2"/>
  <c r="AB1952" i="2"/>
  <c r="AC1952" i="2"/>
  <c r="AD1952" i="2"/>
  <c r="AE1952" i="2"/>
  <c r="AF1952" i="2"/>
  <c r="AG1952" i="2"/>
  <c r="AH1952" i="2"/>
  <c r="AI1952" i="2"/>
  <c r="AJ1952" i="2"/>
  <c r="AK1952" i="2"/>
  <c r="Z1953" i="2"/>
  <c r="AA1953" i="2"/>
  <c r="AB1953" i="2"/>
  <c r="AC1953" i="2"/>
  <c r="AD1953" i="2"/>
  <c r="AE1953" i="2"/>
  <c r="AF1953" i="2"/>
  <c r="AG1953" i="2"/>
  <c r="AH1953" i="2"/>
  <c r="AI1953" i="2"/>
  <c r="AJ1953" i="2"/>
  <c r="AK1953" i="2"/>
  <c r="Z1954" i="2"/>
  <c r="AA1954" i="2"/>
  <c r="AB1954" i="2"/>
  <c r="AC1954" i="2"/>
  <c r="AD1954" i="2"/>
  <c r="AE1954" i="2"/>
  <c r="AF1954" i="2"/>
  <c r="AG1954" i="2"/>
  <c r="AH1954" i="2"/>
  <c r="AI1954" i="2"/>
  <c r="AJ1954" i="2"/>
  <c r="AK1954" i="2"/>
  <c r="Z1955" i="2"/>
  <c r="AA1955" i="2"/>
  <c r="AB1955" i="2"/>
  <c r="AC1955" i="2"/>
  <c r="AD1955" i="2"/>
  <c r="AE1955" i="2"/>
  <c r="AF1955" i="2"/>
  <c r="AG1955" i="2"/>
  <c r="AH1955" i="2"/>
  <c r="AI1955" i="2"/>
  <c r="AJ1955" i="2"/>
  <c r="AK1955" i="2"/>
  <c r="Z1956" i="2"/>
  <c r="AA1956" i="2"/>
  <c r="AB1956" i="2"/>
  <c r="AC1956" i="2"/>
  <c r="AD1956" i="2"/>
  <c r="AE1956" i="2"/>
  <c r="AF1956" i="2"/>
  <c r="AG1956" i="2"/>
  <c r="AH1956" i="2"/>
  <c r="AI1956" i="2"/>
  <c r="AJ1956" i="2"/>
  <c r="AK1956" i="2"/>
  <c r="Z1957" i="2"/>
  <c r="AA1957" i="2"/>
  <c r="AB1957" i="2"/>
  <c r="AC1957" i="2"/>
  <c r="AD1957" i="2"/>
  <c r="AE1957" i="2"/>
  <c r="AF1957" i="2"/>
  <c r="AG1957" i="2"/>
  <c r="AH1957" i="2"/>
  <c r="AI1957" i="2"/>
  <c r="AJ1957" i="2"/>
  <c r="AK1957" i="2"/>
  <c r="Z1958" i="2"/>
  <c r="AA1958" i="2"/>
  <c r="AB1958" i="2"/>
  <c r="AC1958" i="2"/>
  <c r="AD1958" i="2"/>
  <c r="AE1958" i="2"/>
  <c r="AF1958" i="2"/>
  <c r="AG1958" i="2"/>
  <c r="AH1958" i="2"/>
  <c r="AI1958" i="2"/>
  <c r="AJ1958" i="2"/>
  <c r="AK1958" i="2"/>
  <c r="Z1959" i="2"/>
  <c r="AA1959" i="2"/>
  <c r="AB1959" i="2"/>
  <c r="AC1959" i="2"/>
  <c r="AD1959" i="2"/>
  <c r="AE1959" i="2"/>
  <c r="AF1959" i="2"/>
  <c r="AG1959" i="2"/>
  <c r="AH1959" i="2"/>
  <c r="AI1959" i="2"/>
  <c r="AJ1959" i="2"/>
  <c r="AK1959" i="2"/>
  <c r="Z1960" i="2"/>
  <c r="AA1960" i="2"/>
  <c r="AB1960" i="2"/>
  <c r="AC1960" i="2"/>
  <c r="AD1960" i="2"/>
  <c r="AE1960" i="2"/>
  <c r="AF1960" i="2"/>
  <c r="AG1960" i="2"/>
  <c r="AH1960" i="2"/>
  <c r="AI1960" i="2"/>
  <c r="AJ1960" i="2"/>
  <c r="AK1960" i="2"/>
  <c r="Z1961" i="2"/>
  <c r="AA1961" i="2"/>
  <c r="AB1961" i="2"/>
  <c r="AC1961" i="2"/>
  <c r="AD1961" i="2"/>
  <c r="AE1961" i="2"/>
  <c r="AF1961" i="2"/>
  <c r="AG1961" i="2"/>
  <c r="AH1961" i="2"/>
  <c r="AI1961" i="2"/>
  <c r="AJ1961" i="2"/>
  <c r="AK1961" i="2"/>
  <c r="Z1962" i="2"/>
  <c r="AA1962" i="2"/>
  <c r="AB1962" i="2"/>
  <c r="AC1962" i="2"/>
  <c r="AD1962" i="2"/>
  <c r="AE1962" i="2"/>
  <c r="AF1962" i="2"/>
  <c r="AG1962" i="2"/>
  <c r="AH1962" i="2"/>
  <c r="AI1962" i="2"/>
  <c r="AJ1962" i="2"/>
  <c r="AK1962" i="2"/>
  <c r="Z1963" i="2"/>
  <c r="AA1963" i="2"/>
  <c r="AB1963" i="2"/>
  <c r="AC1963" i="2"/>
  <c r="AD1963" i="2"/>
  <c r="AE1963" i="2"/>
  <c r="AF1963" i="2"/>
  <c r="AG1963" i="2"/>
  <c r="AH1963" i="2"/>
  <c r="AI1963" i="2"/>
  <c r="AJ1963" i="2"/>
  <c r="AK1963" i="2"/>
  <c r="Z1964" i="2"/>
  <c r="AA1964" i="2"/>
  <c r="AB1964" i="2"/>
  <c r="AC1964" i="2"/>
  <c r="AD1964" i="2"/>
  <c r="AE1964" i="2"/>
  <c r="AF1964" i="2"/>
  <c r="AG1964" i="2"/>
  <c r="AH1964" i="2"/>
  <c r="AI1964" i="2"/>
  <c r="AJ1964" i="2"/>
  <c r="AK1964" i="2"/>
  <c r="Z1965" i="2"/>
  <c r="AA1965" i="2"/>
  <c r="AB1965" i="2"/>
  <c r="AC1965" i="2"/>
  <c r="AD1965" i="2"/>
  <c r="AE1965" i="2"/>
  <c r="AF1965" i="2"/>
  <c r="AG1965" i="2"/>
  <c r="AH1965" i="2"/>
  <c r="AI1965" i="2"/>
  <c r="AJ1965" i="2"/>
  <c r="AK1965" i="2"/>
  <c r="Z1966" i="2"/>
  <c r="AA1966" i="2"/>
  <c r="AB1966" i="2"/>
  <c r="AC1966" i="2"/>
  <c r="AD1966" i="2"/>
  <c r="AE1966" i="2"/>
  <c r="AF1966" i="2"/>
  <c r="AG1966" i="2"/>
  <c r="AH1966" i="2"/>
  <c r="AI1966" i="2"/>
  <c r="AJ1966" i="2"/>
  <c r="AK1966" i="2"/>
  <c r="Z1967" i="2"/>
  <c r="AA1967" i="2"/>
  <c r="AB1967" i="2"/>
  <c r="AC1967" i="2"/>
  <c r="AD1967" i="2"/>
  <c r="AE1967" i="2"/>
  <c r="AF1967" i="2"/>
  <c r="AG1967" i="2"/>
  <c r="AH1967" i="2"/>
  <c r="AI1967" i="2"/>
  <c r="AJ1967" i="2"/>
  <c r="AK1967" i="2"/>
  <c r="Z1968" i="2"/>
  <c r="AA1968" i="2"/>
  <c r="AB1968" i="2"/>
  <c r="AC1968" i="2"/>
  <c r="AD1968" i="2"/>
  <c r="AE1968" i="2"/>
  <c r="AF1968" i="2"/>
  <c r="AG1968" i="2"/>
  <c r="AH1968" i="2"/>
  <c r="AI1968" i="2"/>
  <c r="AJ1968" i="2"/>
  <c r="AK1968" i="2"/>
  <c r="Z1969" i="2"/>
  <c r="AA1969" i="2"/>
  <c r="AB1969" i="2"/>
  <c r="AC1969" i="2"/>
  <c r="AD1969" i="2"/>
  <c r="AE1969" i="2"/>
  <c r="AF1969" i="2"/>
  <c r="AG1969" i="2"/>
  <c r="AH1969" i="2"/>
  <c r="AI1969" i="2"/>
  <c r="AJ1969" i="2"/>
  <c r="AK1969" i="2"/>
  <c r="Z1970" i="2"/>
  <c r="AA1970" i="2"/>
  <c r="AB1970" i="2"/>
  <c r="AC1970" i="2"/>
  <c r="AD1970" i="2"/>
  <c r="AE1970" i="2"/>
  <c r="AF1970" i="2"/>
  <c r="AG1970" i="2"/>
  <c r="AH1970" i="2"/>
  <c r="AI1970" i="2"/>
  <c r="AJ1970" i="2"/>
  <c r="AK1970" i="2"/>
  <c r="Z1971" i="2"/>
  <c r="AA1971" i="2"/>
  <c r="AB1971" i="2"/>
  <c r="AC1971" i="2"/>
  <c r="AD1971" i="2"/>
  <c r="AE1971" i="2"/>
  <c r="AF1971" i="2"/>
  <c r="AG1971" i="2"/>
  <c r="AH1971" i="2"/>
  <c r="AI1971" i="2"/>
  <c r="AJ1971" i="2"/>
  <c r="AK1971" i="2"/>
  <c r="Z1972" i="2"/>
  <c r="AA1972" i="2"/>
  <c r="AB1972" i="2"/>
  <c r="AC1972" i="2"/>
  <c r="AD1972" i="2"/>
  <c r="AE1972" i="2"/>
  <c r="AF1972" i="2"/>
  <c r="AG1972" i="2"/>
  <c r="AH1972" i="2"/>
  <c r="AI1972" i="2"/>
  <c r="AJ1972" i="2"/>
  <c r="AK1972" i="2"/>
  <c r="Z1973" i="2"/>
  <c r="AA1973" i="2"/>
  <c r="AB1973" i="2"/>
  <c r="AC1973" i="2"/>
  <c r="AD1973" i="2"/>
  <c r="AE1973" i="2"/>
  <c r="AF1973" i="2"/>
  <c r="AG1973" i="2"/>
  <c r="AH1973" i="2"/>
  <c r="AI1973" i="2"/>
  <c r="AJ1973" i="2"/>
  <c r="AK1973" i="2"/>
  <c r="Z1974" i="2"/>
  <c r="AA1974" i="2"/>
  <c r="AB1974" i="2"/>
  <c r="AC1974" i="2"/>
  <c r="AD1974" i="2"/>
  <c r="AE1974" i="2"/>
  <c r="AF1974" i="2"/>
  <c r="AG1974" i="2"/>
  <c r="AH1974" i="2"/>
  <c r="AI1974" i="2"/>
  <c r="AJ1974" i="2"/>
  <c r="AK1974" i="2"/>
  <c r="Z1975" i="2"/>
  <c r="AA1975" i="2"/>
  <c r="AB1975" i="2"/>
  <c r="AC1975" i="2"/>
  <c r="AD1975" i="2"/>
  <c r="AE1975" i="2"/>
  <c r="AF1975" i="2"/>
  <c r="AG1975" i="2"/>
  <c r="AH1975" i="2"/>
  <c r="AI1975" i="2"/>
  <c r="AJ1975" i="2"/>
  <c r="AK1975" i="2"/>
  <c r="Z1976" i="2"/>
  <c r="AA1976" i="2"/>
  <c r="AB1976" i="2"/>
  <c r="AC1976" i="2"/>
  <c r="AD1976" i="2"/>
  <c r="AE1976" i="2"/>
  <c r="AF1976" i="2"/>
  <c r="AG1976" i="2"/>
  <c r="AH1976" i="2"/>
  <c r="AI1976" i="2"/>
  <c r="AJ1976" i="2"/>
  <c r="AK1976" i="2"/>
  <c r="Z1977" i="2"/>
  <c r="AA1977" i="2"/>
  <c r="AB1977" i="2"/>
  <c r="AC1977" i="2"/>
  <c r="AD1977" i="2"/>
  <c r="AE1977" i="2"/>
  <c r="AF1977" i="2"/>
  <c r="AG1977" i="2"/>
  <c r="AH1977" i="2"/>
  <c r="AI1977" i="2"/>
  <c r="AJ1977" i="2"/>
  <c r="AK1977" i="2"/>
  <c r="Z1978" i="2"/>
  <c r="AA1978" i="2"/>
  <c r="AB1978" i="2"/>
  <c r="AC1978" i="2"/>
  <c r="AD1978" i="2"/>
  <c r="AE1978" i="2"/>
  <c r="AF1978" i="2"/>
  <c r="AG1978" i="2"/>
  <c r="AH1978" i="2"/>
  <c r="AI1978" i="2"/>
  <c r="AJ1978" i="2"/>
  <c r="AK1978" i="2"/>
  <c r="Z1979" i="2"/>
  <c r="AA1979" i="2"/>
  <c r="AB1979" i="2"/>
  <c r="AC1979" i="2"/>
  <c r="AD1979" i="2"/>
  <c r="AE1979" i="2"/>
  <c r="AF1979" i="2"/>
  <c r="AG1979" i="2"/>
  <c r="AH1979" i="2"/>
  <c r="AI1979" i="2"/>
  <c r="AJ1979" i="2"/>
  <c r="AK1979" i="2"/>
  <c r="Z1980" i="2"/>
  <c r="AA1980" i="2"/>
  <c r="AB1980" i="2"/>
  <c r="AC1980" i="2"/>
  <c r="AD1980" i="2"/>
  <c r="AE1980" i="2"/>
  <c r="AF1980" i="2"/>
  <c r="AG1980" i="2"/>
  <c r="AH1980" i="2"/>
  <c r="AI1980" i="2"/>
  <c r="AJ1980" i="2"/>
  <c r="AK1980" i="2"/>
  <c r="Z1981" i="2"/>
  <c r="AA1981" i="2"/>
  <c r="AB1981" i="2"/>
  <c r="AC1981" i="2"/>
  <c r="AD1981" i="2"/>
  <c r="AE1981" i="2"/>
  <c r="AF1981" i="2"/>
  <c r="AG1981" i="2"/>
  <c r="AH1981" i="2"/>
  <c r="AI1981" i="2"/>
  <c r="AJ1981" i="2"/>
  <c r="AK1981" i="2"/>
  <c r="Z1982" i="2"/>
  <c r="AA1982" i="2"/>
  <c r="AB1982" i="2"/>
  <c r="AC1982" i="2"/>
  <c r="AD1982" i="2"/>
  <c r="AE1982" i="2"/>
  <c r="AF1982" i="2"/>
  <c r="AG1982" i="2"/>
  <c r="AH1982" i="2"/>
  <c r="AI1982" i="2"/>
  <c r="AJ1982" i="2"/>
  <c r="AK1982" i="2"/>
  <c r="Z1983" i="2"/>
  <c r="AA1983" i="2"/>
  <c r="AB1983" i="2"/>
  <c r="AC1983" i="2"/>
  <c r="AD1983" i="2"/>
  <c r="AE1983" i="2"/>
  <c r="AF1983" i="2"/>
  <c r="AG1983" i="2"/>
  <c r="AH1983" i="2"/>
  <c r="AI1983" i="2"/>
  <c r="AJ1983" i="2"/>
  <c r="AK1983" i="2"/>
  <c r="Z1984" i="2"/>
  <c r="AA1984" i="2"/>
  <c r="AB1984" i="2"/>
  <c r="AC1984" i="2"/>
  <c r="AD1984" i="2"/>
  <c r="AE1984" i="2"/>
  <c r="AF1984" i="2"/>
  <c r="AG1984" i="2"/>
  <c r="AH1984" i="2"/>
  <c r="AI1984" i="2"/>
  <c r="AJ1984" i="2"/>
  <c r="AK1984" i="2"/>
  <c r="Z1985" i="2"/>
  <c r="AA1985" i="2"/>
  <c r="AB1985" i="2"/>
  <c r="AC1985" i="2"/>
  <c r="AD1985" i="2"/>
  <c r="AE1985" i="2"/>
  <c r="AF1985" i="2"/>
  <c r="AG1985" i="2"/>
  <c r="AH1985" i="2"/>
  <c r="AI1985" i="2"/>
  <c r="AJ1985" i="2"/>
  <c r="AK1985" i="2"/>
  <c r="Z1986" i="2"/>
  <c r="AA1986" i="2"/>
  <c r="AB1986" i="2"/>
  <c r="AC1986" i="2"/>
  <c r="AD1986" i="2"/>
  <c r="AE1986" i="2"/>
  <c r="AF1986" i="2"/>
  <c r="AG1986" i="2"/>
  <c r="AH1986" i="2"/>
  <c r="AI1986" i="2"/>
  <c r="AJ1986" i="2"/>
  <c r="AK1986" i="2"/>
  <c r="Z1987" i="2"/>
  <c r="AA1987" i="2"/>
  <c r="AB1987" i="2"/>
  <c r="AC1987" i="2"/>
  <c r="AD1987" i="2"/>
  <c r="AE1987" i="2"/>
  <c r="AF1987" i="2"/>
  <c r="AG1987" i="2"/>
  <c r="AH1987" i="2"/>
  <c r="AI1987" i="2"/>
  <c r="AJ1987" i="2"/>
  <c r="AK1987" i="2"/>
  <c r="Z1988" i="2"/>
  <c r="AA1988" i="2"/>
  <c r="AB1988" i="2"/>
  <c r="AC1988" i="2"/>
  <c r="AD1988" i="2"/>
  <c r="AE1988" i="2"/>
  <c r="AF1988" i="2"/>
  <c r="AG1988" i="2"/>
  <c r="AH1988" i="2"/>
  <c r="AI1988" i="2"/>
  <c r="AJ1988" i="2"/>
  <c r="AK1988" i="2"/>
  <c r="Z1989" i="2"/>
  <c r="AA1989" i="2"/>
  <c r="AB1989" i="2"/>
  <c r="AC1989" i="2"/>
  <c r="AD1989" i="2"/>
  <c r="AE1989" i="2"/>
  <c r="AF1989" i="2"/>
  <c r="AG1989" i="2"/>
  <c r="AH1989" i="2"/>
  <c r="AI1989" i="2"/>
  <c r="AJ1989" i="2"/>
  <c r="AK1989" i="2"/>
  <c r="Z1990" i="2"/>
  <c r="AA1990" i="2"/>
  <c r="AB1990" i="2"/>
  <c r="AC1990" i="2"/>
  <c r="AD1990" i="2"/>
  <c r="AE1990" i="2"/>
  <c r="AF1990" i="2"/>
  <c r="AG1990" i="2"/>
  <c r="AH1990" i="2"/>
  <c r="AI1990" i="2"/>
  <c r="AJ1990" i="2"/>
  <c r="AK1990" i="2"/>
  <c r="Z1991" i="2"/>
  <c r="AA1991" i="2"/>
  <c r="AB1991" i="2"/>
  <c r="AC1991" i="2"/>
  <c r="AD1991" i="2"/>
  <c r="AE1991" i="2"/>
  <c r="AF1991" i="2"/>
  <c r="AG1991" i="2"/>
  <c r="AH1991" i="2"/>
  <c r="AI1991" i="2"/>
  <c r="AJ1991" i="2"/>
  <c r="AK1991" i="2"/>
  <c r="Z1992" i="2"/>
  <c r="AA1992" i="2"/>
  <c r="AB1992" i="2"/>
  <c r="AC1992" i="2"/>
  <c r="AD1992" i="2"/>
  <c r="AE1992" i="2"/>
  <c r="AF1992" i="2"/>
  <c r="AG1992" i="2"/>
  <c r="AH1992" i="2"/>
  <c r="AI1992" i="2"/>
  <c r="AJ1992" i="2"/>
  <c r="AK1992" i="2"/>
  <c r="Z1993" i="2"/>
  <c r="AA1993" i="2"/>
  <c r="AB1993" i="2"/>
  <c r="AC1993" i="2"/>
  <c r="AD1993" i="2"/>
  <c r="AE1993" i="2"/>
  <c r="AF1993" i="2"/>
  <c r="AG1993" i="2"/>
  <c r="AH1993" i="2"/>
  <c r="AI1993" i="2"/>
  <c r="AJ1993" i="2"/>
  <c r="AK1993" i="2"/>
  <c r="Z1994" i="2"/>
  <c r="AA1994" i="2"/>
  <c r="AB1994" i="2"/>
  <c r="AC1994" i="2"/>
  <c r="AD1994" i="2"/>
  <c r="AE1994" i="2"/>
  <c r="AF1994" i="2"/>
  <c r="AG1994" i="2"/>
  <c r="AH1994" i="2"/>
  <c r="AI1994" i="2"/>
  <c r="AJ1994" i="2"/>
  <c r="AK1994" i="2"/>
  <c r="Z1995" i="2"/>
  <c r="AA1995" i="2"/>
  <c r="AB1995" i="2"/>
  <c r="AC1995" i="2"/>
  <c r="AD1995" i="2"/>
  <c r="AE1995" i="2"/>
  <c r="AF1995" i="2"/>
  <c r="AG1995" i="2"/>
  <c r="AH1995" i="2"/>
  <c r="AI1995" i="2"/>
  <c r="AJ1995" i="2"/>
  <c r="AK1995" i="2"/>
  <c r="Z1996" i="2"/>
  <c r="AA1996" i="2"/>
  <c r="AB1996" i="2"/>
  <c r="AC1996" i="2"/>
  <c r="AD1996" i="2"/>
  <c r="AE1996" i="2"/>
  <c r="AF1996" i="2"/>
  <c r="AG1996" i="2"/>
  <c r="AH1996" i="2"/>
  <c r="AI1996" i="2"/>
  <c r="AJ1996" i="2"/>
  <c r="AK1996" i="2"/>
  <c r="Z1997" i="2"/>
  <c r="AA1997" i="2"/>
  <c r="AB1997" i="2"/>
  <c r="AC1997" i="2"/>
  <c r="AD1997" i="2"/>
  <c r="AE1997" i="2"/>
  <c r="AF1997" i="2"/>
  <c r="AG1997" i="2"/>
  <c r="AH1997" i="2"/>
  <c r="AI1997" i="2"/>
  <c r="AJ1997" i="2"/>
  <c r="AK1997" i="2"/>
  <c r="Z1998" i="2"/>
  <c r="AA1998" i="2"/>
  <c r="AB1998" i="2"/>
  <c r="AC1998" i="2"/>
  <c r="AD1998" i="2"/>
  <c r="AE1998" i="2"/>
  <c r="AF1998" i="2"/>
  <c r="AG1998" i="2"/>
  <c r="AH1998" i="2"/>
  <c r="AI1998" i="2"/>
  <c r="AJ1998" i="2"/>
  <c r="AK1998" i="2"/>
  <c r="Z1999" i="2"/>
  <c r="AA1999" i="2"/>
  <c r="AB1999" i="2"/>
  <c r="AC1999" i="2"/>
  <c r="AD1999" i="2"/>
  <c r="AE1999" i="2"/>
  <c r="AF1999" i="2"/>
  <c r="AG1999" i="2"/>
  <c r="AH1999" i="2"/>
  <c r="AI1999" i="2"/>
  <c r="AJ1999" i="2"/>
  <c r="AK1999" i="2"/>
  <c r="Z2000" i="2"/>
  <c r="AA2000" i="2"/>
  <c r="AB2000" i="2"/>
  <c r="AC2000" i="2"/>
  <c r="AD2000" i="2"/>
  <c r="AE2000" i="2"/>
  <c r="AF2000" i="2"/>
  <c r="AG2000" i="2"/>
  <c r="AH2000" i="2"/>
  <c r="AI2000" i="2"/>
  <c r="AJ2000" i="2"/>
  <c r="AK2000" i="2"/>
  <c r="Z2001" i="2"/>
  <c r="AA2001" i="2"/>
  <c r="AB2001" i="2"/>
  <c r="AC2001" i="2"/>
  <c r="AD2001" i="2"/>
  <c r="AE2001" i="2"/>
  <c r="AF2001" i="2"/>
  <c r="AG2001" i="2"/>
  <c r="AH2001" i="2"/>
  <c r="AI2001" i="2"/>
  <c r="AJ2001" i="2"/>
  <c r="AK2001" i="2"/>
  <c r="Z2002" i="2"/>
  <c r="AA2002" i="2"/>
  <c r="AB2002" i="2"/>
  <c r="AC2002" i="2"/>
  <c r="AD2002" i="2"/>
  <c r="AE2002" i="2"/>
  <c r="AF2002" i="2"/>
  <c r="AG2002" i="2"/>
  <c r="AH2002" i="2"/>
  <c r="AI2002" i="2"/>
  <c r="AJ2002" i="2"/>
  <c r="AK2002" i="2"/>
  <c r="Z2003" i="2"/>
  <c r="AA2003" i="2"/>
  <c r="AB2003" i="2"/>
  <c r="AC2003" i="2"/>
  <c r="AD2003" i="2"/>
  <c r="AE2003" i="2"/>
  <c r="AF2003" i="2"/>
  <c r="AG2003" i="2"/>
  <c r="AH2003" i="2"/>
  <c r="AI2003" i="2"/>
  <c r="AJ2003" i="2"/>
  <c r="AK2003" i="2"/>
  <c r="Z2004" i="2"/>
  <c r="AA2004" i="2"/>
  <c r="AB2004" i="2"/>
  <c r="AC2004" i="2"/>
  <c r="AD2004" i="2"/>
  <c r="AE2004" i="2"/>
  <c r="AF2004" i="2"/>
  <c r="AG2004" i="2"/>
  <c r="AH2004" i="2"/>
  <c r="AI2004" i="2"/>
  <c r="AJ2004" i="2"/>
  <c r="AK2004" i="2"/>
  <c r="Z2005" i="2"/>
  <c r="AA2005" i="2"/>
  <c r="AB2005" i="2"/>
  <c r="AC2005" i="2"/>
  <c r="AD2005" i="2"/>
  <c r="AE2005" i="2"/>
  <c r="AF2005" i="2"/>
  <c r="AG2005" i="2"/>
  <c r="AH2005" i="2"/>
  <c r="AI2005" i="2"/>
  <c r="AJ2005" i="2"/>
  <c r="AK2005" i="2"/>
  <c r="Z2006" i="2"/>
  <c r="AA2006" i="2"/>
  <c r="AB2006" i="2"/>
  <c r="AC2006" i="2"/>
  <c r="AD2006" i="2"/>
  <c r="AE2006" i="2"/>
  <c r="AF2006" i="2"/>
  <c r="AG2006" i="2"/>
  <c r="AH2006" i="2"/>
  <c r="AI2006" i="2"/>
  <c r="AJ2006" i="2"/>
  <c r="AK2006" i="2"/>
  <c r="Z2007" i="2"/>
  <c r="AA2007" i="2"/>
  <c r="AB2007" i="2"/>
  <c r="AC2007" i="2"/>
  <c r="AD2007" i="2"/>
  <c r="AE2007" i="2"/>
  <c r="AF2007" i="2"/>
  <c r="AG2007" i="2"/>
  <c r="AH2007" i="2"/>
  <c r="AI2007" i="2"/>
  <c r="AJ2007" i="2"/>
  <c r="AK2007" i="2"/>
  <c r="Z2008" i="2"/>
  <c r="AA2008" i="2"/>
  <c r="AB2008" i="2"/>
  <c r="AC2008" i="2"/>
  <c r="AD2008" i="2"/>
  <c r="AE2008" i="2"/>
  <c r="AF2008" i="2"/>
  <c r="AG2008" i="2"/>
  <c r="AH2008" i="2"/>
  <c r="AI2008" i="2"/>
  <c r="AJ2008" i="2"/>
  <c r="AK2008" i="2"/>
  <c r="Z2009" i="2"/>
  <c r="AA2009" i="2"/>
  <c r="AB2009" i="2"/>
  <c r="AC2009" i="2"/>
  <c r="AD2009" i="2"/>
  <c r="AE2009" i="2"/>
  <c r="AF2009" i="2"/>
  <c r="AG2009" i="2"/>
  <c r="AH2009" i="2"/>
  <c r="AI2009" i="2"/>
  <c r="AJ2009" i="2"/>
  <c r="AK2009" i="2"/>
  <c r="Z2010" i="2"/>
  <c r="AA2010" i="2"/>
  <c r="AB2010" i="2"/>
  <c r="AC2010" i="2"/>
  <c r="AD2010" i="2"/>
  <c r="AE2010" i="2"/>
  <c r="AF2010" i="2"/>
  <c r="AG2010" i="2"/>
  <c r="AH2010" i="2"/>
  <c r="AI2010" i="2"/>
  <c r="AJ2010" i="2"/>
  <c r="AK2010" i="2"/>
  <c r="Z2011" i="2"/>
  <c r="AA2011" i="2"/>
  <c r="AB2011" i="2"/>
  <c r="AC2011" i="2"/>
  <c r="AD2011" i="2"/>
  <c r="AE2011" i="2"/>
  <c r="AF2011" i="2"/>
  <c r="AG2011" i="2"/>
  <c r="AH2011" i="2"/>
  <c r="AI2011" i="2"/>
  <c r="AJ2011" i="2"/>
  <c r="AK2011" i="2"/>
  <c r="Z2012" i="2"/>
  <c r="AA2012" i="2"/>
  <c r="AB2012" i="2"/>
  <c r="AC2012" i="2"/>
  <c r="AD2012" i="2"/>
  <c r="AE2012" i="2"/>
  <c r="AF2012" i="2"/>
  <c r="AG2012" i="2"/>
  <c r="AH2012" i="2"/>
  <c r="AI2012" i="2"/>
  <c r="AJ2012" i="2"/>
  <c r="AK2012" i="2"/>
  <c r="Z2013" i="2"/>
  <c r="AA2013" i="2"/>
  <c r="AB2013" i="2"/>
  <c r="AC2013" i="2"/>
  <c r="AD2013" i="2"/>
  <c r="AE2013" i="2"/>
  <c r="AF2013" i="2"/>
  <c r="AG2013" i="2"/>
  <c r="AH2013" i="2"/>
  <c r="AI2013" i="2"/>
  <c r="AJ2013" i="2"/>
  <c r="AK2013" i="2"/>
  <c r="Z2014" i="2"/>
  <c r="AA2014" i="2"/>
  <c r="AB2014" i="2"/>
  <c r="AC2014" i="2"/>
  <c r="AD2014" i="2"/>
  <c r="AE2014" i="2"/>
  <c r="AF2014" i="2"/>
  <c r="AG2014" i="2"/>
  <c r="AH2014" i="2"/>
  <c r="AI2014" i="2"/>
  <c r="AJ2014" i="2"/>
  <c r="AK2014" i="2"/>
  <c r="Z2015" i="2"/>
  <c r="AA2015" i="2"/>
  <c r="AB2015" i="2"/>
  <c r="AC2015" i="2"/>
  <c r="AD2015" i="2"/>
  <c r="AE2015" i="2"/>
  <c r="AF2015" i="2"/>
  <c r="AG2015" i="2"/>
  <c r="AH2015" i="2"/>
  <c r="AI2015" i="2"/>
  <c r="AJ2015" i="2"/>
  <c r="AK2015" i="2"/>
  <c r="Z2016" i="2"/>
  <c r="AA2016" i="2"/>
  <c r="AB2016" i="2"/>
  <c r="AC2016" i="2"/>
  <c r="AD2016" i="2"/>
  <c r="AE2016" i="2"/>
  <c r="AF2016" i="2"/>
  <c r="AG2016" i="2"/>
  <c r="AH2016" i="2"/>
  <c r="AI2016" i="2"/>
  <c r="AJ2016" i="2"/>
  <c r="AK2016" i="2"/>
  <c r="Z2017" i="2"/>
  <c r="AA2017" i="2"/>
  <c r="AB2017" i="2"/>
  <c r="AC2017" i="2"/>
  <c r="AD2017" i="2"/>
  <c r="AE2017" i="2"/>
  <c r="AF2017" i="2"/>
  <c r="AG2017" i="2"/>
  <c r="AH2017" i="2"/>
  <c r="AI2017" i="2"/>
  <c r="AJ2017" i="2"/>
  <c r="AK2017" i="2"/>
  <c r="Z2018" i="2"/>
  <c r="AA2018" i="2"/>
  <c r="AB2018" i="2"/>
  <c r="AC2018" i="2"/>
  <c r="AD2018" i="2"/>
  <c r="AE2018" i="2"/>
  <c r="AF2018" i="2"/>
  <c r="AG2018" i="2"/>
  <c r="AH2018" i="2"/>
  <c r="AI2018" i="2"/>
  <c r="AJ2018" i="2"/>
  <c r="AK2018" i="2"/>
  <c r="Z2019" i="2"/>
  <c r="AA2019" i="2"/>
  <c r="AB2019" i="2"/>
  <c r="AC2019" i="2"/>
  <c r="AD2019" i="2"/>
  <c r="AE2019" i="2"/>
  <c r="AF2019" i="2"/>
  <c r="AG2019" i="2"/>
  <c r="AH2019" i="2"/>
  <c r="AI2019" i="2"/>
  <c r="AJ2019" i="2"/>
  <c r="AK2019" i="2"/>
  <c r="Z2020" i="2"/>
  <c r="AA2020" i="2"/>
  <c r="AB2020" i="2"/>
  <c r="AC2020" i="2"/>
  <c r="AD2020" i="2"/>
  <c r="AE2020" i="2"/>
  <c r="AF2020" i="2"/>
  <c r="AG2020" i="2"/>
  <c r="AH2020" i="2"/>
  <c r="AI2020" i="2"/>
  <c r="AJ2020" i="2"/>
  <c r="AK2020" i="2"/>
  <c r="Z2021" i="2"/>
  <c r="AA2021" i="2"/>
  <c r="AB2021" i="2"/>
  <c r="AC2021" i="2"/>
  <c r="AD2021" i="2"/>
  <c r="AE2021" i="2"/>
  <c r="AF2021" i="2"/>
  <c r="AG2021" i="2"/>
  <c r="AH2021" i="2"/>
  <c r="AI2021" i="2"/>
  <c r="AJ2021" i="2"/>
  <c r="AK2021" i="2"/>
  <c r="Z2022" i="2"/>
  <c r="AA2022" i="2"/>
  <c r="AB2022" i="2"/>
  <c r="AC2022" i="2"/>
  <c r="AD2022" i="2"/>
  <c r="AE2022" i="2"/>
  <c r="AF2022" i="2"/>
  <c r="AG2022" i="2"/>
  <c r="AH2022" i="2"/>
  <c r="AI2022" i="2"/>
  <c r="AJ2022" i="2"/>
  <c r="AK2022" i="2"/>
  <c r="Z2023" i="2"/>
  <c r="AA2023" i="2"/>
  <c r="AB2023" i="2"/>
  <c r="AC2023" i="2"/>
  <c r="AD2023" i="2"/>
  <c r="AE2023" i="2"/>
  <c r="AF2023" i="2"/>
  <c r="AG2023" i="2"/>
  <c r="AH2023" i="2"/>
  <c r="AI2023" i="2"/>
  <c r="AJ2023" i="2"/>
  <c r="AK2023" i="2"/>
  <c r="Z2024" i="2"/>
  <c r="AA2024" i="2"/>
  <c r="AB2024" i="2"/>
  <c r="AC2024" i="2"/>
  <c r="AD2024" i="2"/>
  <c r="AE2024" i="2"/>
  <c r="AF2024" i="2"/>
  <c r="AG2024" i="2"/>
  <c r="AH2024" i="2"/>
  <c r="AI2024" i="2"/>
  <c r="AJ2024" i="2"/>
  <c r="AK2024" i="2"/>
  <c r="Z2025" i="2"/>
  <c r="AA2025" i="2"/>
  <c r="AB2025" i="2"/>
  <c r="AC2025" i="2"/>
  <c r="AD2025" i="2"/>
  <c r="AE2025" i="2"/>
  <c r="AF2025" i="2"/>
  <c r="AG2025" i="2"/>
  <c r="AH2025" i="2"/>
  <c r="AI2025" i="2"/>
  <c r="AJ2025" i="2"/>
  <c r="AK2025" i="2"/>
  <c r="Z2026" i="2"/>
  <c r="AA2026" i="2"/>
  <c r="AB2026" i="2"/>
  <c r="AC2026" i="2"/>
  <c r="AD2026" i="2"/>
  <c r="AE2026" i="2"/>
  <c r="AF2026" i="2"/>
  <c r="AG2026" i="2"/>
  <c r="AH2026" i="2"/>
  <c r="AI2026" i="2"/>
  <c r="AJ2026" i="2"/>
  <c r="AK2026" i="2"/>
  <c r="Z2027" i="2"/>
  <c r="AA2027" i="2"/>
  <c r="AB2027" i="2"/>
  <c r="AC2027" i="2"/>
  <c r="AD2027" i="2"/>
  <c r="AE2027" i="2"/>
  <c r="AF2027" i="2"/>
  <c r="AG2027" i="2"/>
  <c r="AH2027" i="2"/>
  <c r="AI2027" i="2"/>
  <c r="AJ2027" i="2"/>
  <c r="AK2027" i="2"/>
  <c r="Z2028" i="2"/>
  <c r="AA2028" i="2"/>
  <c r="AB2028" i="2"/>
  <c r="AC2028" i="2"/>
  <c r="AD2028" i="2"/>
  <c r="AE2028" i="2"/>
  <c r="AF2028" i="2"/>
  <c r="AG2028" i="2"/>
  <c r="AH2028" i="2"/>
  <c r="AI2028" i="2"/>
  <c r="AJ2028" i="2"/>
  <c r="AK2028" i="2"/>
  <c r="Z2029" i="2"/>
  <c r="AA2029" i="2"/>
  <c r="AB2029" i="2"/>
  <c r="AC2029" i="2"/>
  <c r="AD2029" i="2"/>
  <c r="AE2029" i="2"/>
  <c r="AF2029" i="2"/>
  <c r="AG2029" i="2"/>
  <c r="AH2029" i="2"/>
  <c r="AI2029" i="2"/>
  <c r="AJ2029" i="2"/>
  <c r="AK2029" i="2"/>
  <c r="Z2030" i="2"/>
  <c r="AA2030" i="2"/>
  <c r="AB2030" i="2"/>
  <c r="AC2030" i="2"/>
  <c r="AD2030" i="2"/>
  <c r="AE2030" i="2"/>
  <c r="AF2030" i="2"/>
  <c r="AG2030" i="2"/>
  <c r="AH2030" i="2"/>
  <c r="AI2030" i="2"/>
  <c r="AJ2030" i="2"/>
  <c r="AK2030" i="2"/>
  <c r="Z2031" i="2"/>
  <c r="AA2031" i="2"/>
  <c r="AB2031" i="2"/>
  <c r="AC2031" i="2"/>
  <c r="AD2031" i="2"/>
  <c r="AE2031" i="2"/>
  <c r="AF2031" i="2"/>
  <c r="AG2031" i="2"/>
  <c r="AH2031" i="2"/>
  <c r="AI2031" i="2"/>
  <c r="AJ2031" i="2"/>
  <c r="AK2031" i="2"/>
  <c r="Z2032" i="2"/>
  <c r="AA2032" i="2"/>
  <c r="AB2032" i="2"/>
  <c r="AC2032" i="2"/>
  <c r="AD2032" i="2"/>
  <c r="AE2032" i="2"/>
  <c r="AF2032" i="2"/>
  <c r="AG2032" i="2"/>
  <c r="AH2032" i="2"/>
  <c r="AI2032" i="2"/>
  <c r="AJ2032" i="2"/>
  <c r="AK2032" i="2"/>
  <c r="Z2033" i="2"/>
  <c r="AA2033" i="2"/>
  <c r="AB2033" i="2"/>
  <c r="AC2033" i="2"/>
  <c r="AD2033" i="2"/>
  <c r="AE2033" i="2"/>
  <c r="AF2033" i="2"/>
  <c r="AG2033" i="2"/>
  <c r="AH2033" i="2"/>
  <c r="AI2033" i="2"/>
  <c r="AJ2033" i="2"/>
  <c r="AK2033" i="2"/>
  <c r="Z2034" i="2"/>
  <c r="AA2034" i="2"/>
  <c r="AB2034" i="2"/>
  <c r="AC2034" i="2"/>
  <c r="AD2034" i="2"/>
  <c r="AE2034" i="2"/>
  <c r="AF2034" i="2"/>
  <c r="AG2034" i="2"/>
  <c r="AH2034" i="2"/>
  <c r="AI2034" i="2"/>
  <c r="AJ2034" i="2"/>
  <c r="AK2034" i="2"/>
  <c r="Z2035" i="2"/>
  <c r="AA2035" i="2"/>
  <c r="AB2035" i="2"/>
  <c r="AC2035" i="2"/>
  <c r="AD2035" i="2"/>
  <c r="AE2035" i="2"/>
  <c r="AF2035" i="2"/>
  <c r="AG2035" i="2"/>
  <c r="AH2035" i="2"/>
  <c r="AI2035" i="2"/>
  <c r="AJ2035" i="2"/>
  <c r="AK2035" i="2"/>
  <c r="Z2036" i="2"/>
  <c r="AA2036" i="2"/>
  <c r="AB2036" i="2"/>
  <c r="AC2036" i="2"/>
  <c r="AD2036" i="2"/>
  <c r="AE2036" i="2"/>
  <c r="AF2036" i="2"/>
  <c r="AG2036" i="2"/>
  <c r="AH2036" i="2"/>
  <c r="AI2036" i="2"/>
  <c r="AJ2036" i="2"/>
  <c r="AK2036" i="2"/>
  <c r="Z2037" i="2"/>
  <c r="AA2037" i="2"/>
  <c r="AB2037" i="2"/>
  <c r="AC2037" i="2"/>
  <c r="AD2037" i="2"/>
  <c r="AE2037" i="2"/>
  <c r="AF2037" i="2"/>
  <c r="AG2037" i="2"/>
  <c r="AH2037" i="2"/>
  <c r="AI2037" i="2"/>
  <c r="AJ2037" i="2"/>
  <c r="AK2037" i="2"/>
  <c r="Z2038" i="2"/>
  <c r="AA2038" i="2"/>
  <c r="AB2038" i="2"/>
  <c r="AC2038" i="2"/>
  <c r="AD2038" i="2"/>
  <c r="AE2038" i="2"/>
  <c r="AF2038" i="2"/>
  <c r="AG2038" i="2"/>
  <c r="AH2038" i="2"/>
  <c r="AI2038" i="2"/>
  <c r="AJ2038" i="2"/>
  <c r="AK2038" i="2"/>
  <c r="Z2039" i="2"/>
  <c r="AA2039" i="2"/>
  <c r="AB2039" i="2"/>
  <c r="AC2039" i="2"/>
  <c r="AD2039" i="2"/>
  <c r="AE2039" i="2"/>
  <c r="AF2039" i="2"/>
  <c r="AG2039" i="2"/>
  <c r="AH2039" i="2"/>
  <c r="AI2039" i="2"/>
  <c r="AJ2039" i="2"/>
  <c r="AK2039" i="2"/>
  <c r="Z2040" i="2"/>
  <c r="AA2040" i="2"/>
  <c r="AB2040" i="2"/>
  <c r="AC2040" i="2"/>
  <c r="AD2040" i="2"/>
  <c r="AE2040" i="2"/>
  <c r="AF2040" i="2"/>
  <c r="AG2040" i="2"/>
  <c r="AH2040" i="2"/>
  <c r="AI2040" i="2"/>
  <c r="AJ2040" i="2"/>
  <c r="AK2040" i="2"/>
  <c r="Z2041" i="2"/>
  <c r="AA2041" i="2"/>
  <c r="AB2041" i="2"/>
  <c r="AC2041" i="2"/>
  <c r="AD2041" i="2"/>
  <c r="AE2041" i="2"/>
  <c r="AF2041" i="2"/>
  <c r="AG2041" i="2"/>
  <c r="AH2041" i="2"/>
  <c r="AI2041" i="2"/>
  <c r="AJ2041" i="2"/>
  <c r="AK2041" i="2"/>
  <c r="Z2042" i="2"/>
  <c r="AA2042" i="2"/>
  <c r="AB2042" i="2"/>
  <c r="AC2042" i="2"/>
  <c r="AD2042" i="2"/>
  <c r="AE2042" i="2"/>
  <c r="AF2042" i="2"/>
  <c r="AG2042" i="2"/>
  <c r="AH2042" i="2"/>
  <c r="AI2042" i="2"/>
  <c r="AJ2042" i="2"/>
  <c r="AK2042" i="2"/>
  <c r="Z2043" i="2"/>
  <c r="AA2043" i="2"/>
  <c r="AB2043" i="2"/>
  <c r="AC2043" i="2"/>
  <c r="AD2043" i="2"/>
  <c r="AE2043" i="2"/>
  <c r="AF2043" i="2"/>
  <c r="AG2043" i="2"/>
  <c r="AH2043" i="2"/>
  <c r="AI2043" i="2"/>
  <c r="AJ2043" i="2"/>
  <c r="AK2043" i="2"/>
  <c r="Z2044" i="2"/>
  <c r="AA2044" i="2"/>
  <c r="AB2044" i="2"/>
  <c r="AC2044" i="2"/>
  <c r="AD2044" i="2"/>
  <c r="AE2044" i="2"/>
  <c r="AF2044" i="2"/>
  <c r="AG2044" i="2"/>
  <c r="AH2044" i="2"/>
  <c r="AI2044" i="2"/>
  <c r="AJ2044" i="2"/>
  <c r="AK2044" i="2"/>
  <c r="Z2045" i="2"/>
  <c r="AA2045" i="2"/>
  <c r="AB2045" i="2"/>
  <c r="AC2045" i="2"/>
  <c r="AD2045" i="2"/>
  <c r="AE2045" i="2"/>
  <c r="AF2045" i="2"/>
  <c r="AG2045" i="2"/>
  <c r="AH2045" i="2"/>
  <c r="AI2045" i="2"/>
  <c r="AJ2045" i="2"/>
  <c r="AK2045" i="2"/>
  <c r="Z2046" i="2"/>
  <c r="AA2046" i="2"/>
  <c r="AB2046" i="2"/>
  <c r="AC2046" i="2"/>
  <c r="AD2046" i="2"/>
  <c r="AE2046" i="2"/>
  <c r="AF2046" i="2"/>
  <c r="AG2046" i="2"/>
  <c r="AH2046" i="2"/>
  <c r="AI2046" i="2"/>
  <c r="AJ2046" i="2"/>
  <c r="AK2046" i="2"/>
  <c r="Z2047" i="2"/>
  <c r="AA2047" i="2"/>
  <c r="AB2047" i="2"/>
  <c r="AC2047" i="2"/>
  <c r="AD2047" i="2"/>
  <c r="AE2047" i="2"/>
  <c r="AF2047" i="2"/>
  <c r="AG2047" i="2"/>
  <c r="AH2047" i="2"/>
  <c r="AI2047" i="2"/>
  <c r="AJ2047" i="2"/>
  <c r="AK2047" i="2"/>
  <c r="Z2048" i="2"/>
  <c r="AA2048" i="2"/>
  <c r="AB2048" i="2"/>
  <c r="AC2048" i="2"/>
  <c r="AD2048" i="2"/>
  <c r="AE2048" i="2"/>
  <c r="AF2048" i="2"/>
  <c r="AG2048" i="2"/>
  <c r="AH2048" i="2"/>
  <c r="AI2048" i="2"/>
  <c r="AJ2048" i="2"/>
  <c r="AK2048" i="2"/>
  <c r="Z2049" i="2"/>
  <c r="AA2049" i="2"/>
  <c r="AB2049" i="2"/>
  <c r="AC2049" i="2"/>
  <c r="AD2049" i="2"/>
  <c r="AE2049" i="2"/>
  <c r="AF2049" i="2"/>
  <c r="AG2049" i="2"/>
  <c r="AH2049" i="2"/>
  <c r="AI2049" i="2"/>
  <c r="AJ2049" i="2"/>
  <c r="AK2049" i="2"/>
  <c r="Z2050" i="2"/>
  <c r="AA2050" i="2"/>
  <c r="AB2050" i="2"/>
  <c r="AC2050" i="2"/>
  <c r="AD2050" i="2"/>
  <c r="AE2050" i="2"/>
  <c r="AF2050" i="2"/>
  <c r="AG2050" i="2"/>
  <c r="AH2050" i="2"/>
  <c r="AI2050" i="2"/>
  <c r="AJ2050" i="2"/>
  <c r="AK2050" i="2"/>
  <c r="Z2051" i="2"/>
  <c r="AA2051" i="2"/>
  <c r="AB2051" i="2"/>
  <c r="AC2051" i="2"/>
  <c r="AD2051" i="2"/>
  <c r="AE2051" i="2"/>
  <c r="AF2051" i="2"/>
  <c r="AG2051" i="2"/>
  <c r="AH2051" i="2"/>
  <c r="AI2051" i="2"/>
  <c r="AJ2051" i="2"/>
  <c r="AK2051" i="2"/>
  <c r="Z2052" i="2"/>
  <c r="AA2052" i="2"/>
  <c r="AB2052" i="2"/>
  <c r="AC2052" i="2"/>
  <c r="AD2052" i="2"/>
  <c r="AE2052" i="2"/>
  <c r="AF2052" i="2"/>
  <c r="AG2052" i="2"/>
  <c r="AH2052" i="2"/>
  <c r="AI2052" i="2"/>
  <c r="AJ2052" i="2"/>
  <c r="AK2052" i="2"/>
  <c r="Z2053" i="2"/>
  <c r="AA2053" i="2"/>
  <c r="AB2053" i="2"/>
  <c r="AC2053" i="2"/>
  <c r="AD2053" i="2"/>
  <c r="AE2053" i="2"/>
  <c r="AF2053" i="2"/>
  <c r="AG2053" i="2"/>
  <c r="AH2053" i="2"/>
  <c r="AI2053" i="2"/>
  <c r="AJ2053" i="2"/>
  <c r="AK2053" i="2"/>
  <c r="Z2054" i="2"/>
  <c r="AA2054" i="2"/>
  <c r="AB2054" i="2"/>
  <c r="AC2054" i="2"/>
  <c r="AD2054" i="2"/>
  <c r="AE2054" i="2"/>
  <c r="AF2054" i="2"/>
  <c r="AG2054" i="2"/>
  <c r="AH2054" i="2"/>
  <c r="AI2054" i="2"/>
  <c r="AJ2054" i="2"/>
  <c r="AK2054" i="2"/>
  <c r="Z2055" i="2"/>
  <c r="AA2055" i="2"/>
  <c r="AB2055" i="2"/>
  <c r="AC2055" i="2"/>
  <c r="AD2055" i="2"/>
  <c r="AE2055" i="2"/>
  <c r="AF2055" i="2"/>
  <c r="AG2055" i="2"/>
  <c r="AH2055" i="2"/>
  <c r="AI2055" i="2"/>
  <c r="AJ2055" i="2"/>
  <c r="AK2055" i="2"/>
  <c r="Z2056" i="2"/>
  <c r="AA2056" i="2"/>
  <c r="AB2056" i="2"/>
  <c r="AC2056" i="2"/>
  <c r="AD2056" i="2"/>
  <c r="AE2056" i="2"/>
  <c r="AF2056" i="2"/>
  <c r="AG2056" i="2"/>
  <c r="AH2056" i="2"/>
  <c r="AI2056" i="2"/>
  <c r="AJ2056" i="2"/>
  <c r="AK2056" i="2"/>
  <c r="Z2057" i="2"/>
  <c r="AA2057" i="2"/>
  <c r="AB2057" i="2"/>
  <c r="AC2057" i="2"/>
  <c r="AD2057" i="2"/>
  <c r="AE2057" i="2"/>
  <c r="AF2057" i="2"/>
  <c r="AG2057" i="2"/>
  <c r="AH2057" i="2"/>
  <c r="AI2057" i="2"/>
  <c r="AJ2057" i="2"/>
  <c r="AK2057" i="2"/>
  <c r="Z2058" i="2"/>
  <c r="AA2058" i="2"/>
  <c r="AB2058" i="2"/>
  <c r="AC2058" i="2"/>
  <c r="AD2058" i="2"/>
  <c r="AE2058" i="2"/>
  <c r="AF2058" i="2"/>
  <c r="AG2058" i="2"/>
  <c r="AH2058" i="2"/>
  <c r="AI2058" i="2"/>
  <c r="AJ2058" i="2"/>
  <c r="AK2058" i="2"/>
  <c r="Z2059" i="2"/>
  <c r="AA2059" i="2"/>
  <c r="AB2059" i="2"/>
  <c r="AC2059" i="2"/>
  <c r="AD2059" i="2"/>
  <c r="AE2059" i="2"/>
  <c r="AF2059" i="2"/>
  <c r="AG2059" i="2"/>
  <c r="AH2059" i="2"/>
  <c r="AI2059" i="2"/>
  <c r="AJ2059" i="2"/>
  <c r="AK2059" i="2"/>
  <c r="Z2060" i="2"/>
  <c r="AA2060" i="2"/>
  <c r="AB2060" i="2"/>
  <c r="AC2060" i="2"/>
  <c r="AD2060" i="2"/>
  <c r="AE2060" i="2"/>
  <c r="AF2060" i="2"/>
  <c r="AG2060" i="2"/>
  <c r="AH2060" i="2"/>
  <c r="AI2060" i="2"/>
  <c r="AJ2060" i="2"/>
  <c r="AK2060" i="2"/>
  <c r="Z2061" i="2"/>
  <c r="AA2061" i="2"/>
  <c r="AB2061" i="2"/>
  <c r="AC2061" i="2"/>
  <c r="AD2061" i="2"/>
  <c r="AE2061" i="2"/>
  <c r="AF2061" i="2"/>
  <c r="AG2061" i="2"/>
  <c r="AH2061" i="2"/>
  <c r="AI2061" i="2"/>
  <c r="AJ2061" i="2"/>
  <c r="AK2061" i="2"/>
  <c r="Z2062" i="2"/>
  <c r="AA2062" i="2"/>
  <c r="AB2062" i="2"/>
  <c r="AC2062" i="2"/>
  <c r="AD2062" i="2"/>
  <c r="AE2062" i="2"/>
  <c r="AF2062" i="2"/>
  <c r="AG2062" i="2"/>
  <c r="AH2062" i="2"/>
  <c r="AI2062" i="2"/>
  <c r="AJ2062" i="2"/>
  <c r="AK2062" i="2"/>
  <c r="Z2063" i="2"/>
  <c r="AA2063" i="2"/>
  <c r="AB2063" i="2"/>
  <c r="AC2063" i="2"/>
  <c r="AD2063" i="2"/>
  <c r="AE2063" i="2"/>
  <c r="AF2063" i="2"/>
  <c r="AG2063" i="2"/>
  <c r="AH2063" i="2"/>
  <c r="AI2063" i="2"/>
  <c r="AJ2063" i="2"/>
  <c r="AK2063" i="2"/>
  <c r="Z2064" i="2"/>
  <c r="AA2064" i="2"/>
  <c r="AB2064" i="2"/>
  <c r="AC2064" i="2"/>
  <c r="AD2064" i="2"/>
  <c r="AE2064" i="2"/>
  <c r="AF2064" i="2"/>
  <c r="AG2064" i="2"/>
  <c r="AH2064" i="2"/>
  <c r="AI2064" i="2"/>
  <c r="AJ2064" i="2"/>
  <c r="AK2064" i="2"/>
  <c r="Z2065" i="2"/>
  <c r="AA2065" i="2"/>
  <c r="AB2065" i="2"/>
  <c r="AC2065" i="2"/>
  <c r="AD2065" i="2"/>
  <c r="AE2065" i="2"/>
  <c r="AF2065" i="2"/>
  <c r="AG2065" i="2"/>
  <c r="AH2065" i="2"/>
  <c r="AI2065" i="2"/>
  <c r="AJ2065" i="2"/>
  <c r="AK2065" i="2"/>
  <c r="Z2066" i="2"/>
  <c r="AA2066" i="2"/>
  <c r="AB2066" i="2"/>
  <c r="AC2066" i="2"/>
  <c r="AD2066" i="2"/>
  <c r="AE2066" i="2"/>
  <c r="AF2066" i="2"/>
  <c r="AG2066" i="2"/>
  <c r="AH2066" i="2"/>
  <c r="AI2066" i="2"/>
  <c r="AJ2066" i="2"/>
  <c r="AK2066" i="2"/>
  <c r="Z2067" i="2"/>
  <c r="AA2067" i="2"/>
  <c r="AB2067" i="2"/>
  <c r="AC2067" i="2"/>
  <c r="AD2067" i="2"/>
  <c r="AE2067" i="2"/>
  <c r="AF2067" i="2"/>
  <c r="AG2067" i="2"/>
  <c r="AH2067" i="2"/>
  <c r="AI2067" i="2"/>
  <c r="AJ2067" i="2"/>
  <c r="AK2067" i="2"/>
  <c r="Z2068" i="2"/>
  <c r="AA2068" i="2"/>
  <c r="AB2068" i="2"/>
  <c r="AC2068" i="2"/>
  <c r="AD2068" i="2"/>
  <c r="AE2068" i="2"/>
  <c r="AF2068" i="2"/>
  <c r="AG2068" i="2"/>
  <c r="AH2068" i="2"/>
  <c r="AI2068" i="2"/>
  <c r="AJ2068" i="2"/>
  <c r="AK2068" i="2"/>
  <c r="Z2069" i="2"/>
  <c r="AA2069" i="2"/>
  <c r="AB2069" i="2"/>
  <c r="AC2069" i="2"/>
  <c r="AD2069" i="2"/>
  <c r="AE2069" i="2"/>
  <c r="AF2069" i="2"/>
  <c r="AG2069" i="2"/>
  <c r="AH2069" i="2"/>
  <c r="AI2069" i="2"/>
  <c r="AJ2069" i="2"/>
  <c r="AK2069" i="2"/>
  <c r="Z2070" i="2"/>
  <c r="AA2070" i="2"/>
  <c r="AB2070" i="2"/>
  <c r="AC2070" i="2"/>
  <c r="AD2070" i="2"/>
  <c r="AE2070" i="2"/>
  <c r="AF2070" i="2"/>
  <c r="AG2070" i="2"/>
  <c r="AH2070" i="2"/>
  <c r="AI2070" i="2"/>
  <c r="AJ2070" i="2"/>
  <c r="AK2070" i="2"/>
  <c r="Z2071" i="2"/>
  <c r="AA2071" i="2"/>
  <c r="AB2071" i="2"/>
  <c r="AC2071" i="2"/>
  <c r="AD2071" i="2"/>
  <c r="AE2071" i="2"/>
  <c r="AF2071" i="2"/>
  <c r="AG2071" i="2"/>
  <c r="AH2071" i="2"/>
  <c r="AI2071" i="2"/>
  <c r="AJ2071" i="2"/>
  <c r="AK2071" i="2"/>
  <c r="Z2072" i="2"/>
  <c r="AA2072" i="2"/>
  <c r="AB2072" i="2"/>
  <c r="AC2072" i="2"/>
  <c r="AD2072" i="2"/>
  <c r="AE2072" i="2"/>
  <c r="AF2072" i="2"/>
  <c r="AG2072" i="2"/>
  <c r="AH2072" i="2"/>
  <c r="AI2072" i="2"/>
  <c r="AJ2072" i="2"/>
  <c r="AK2072" i="2"/>
  <c r="Z2073" i="2"/>
  <c r="AA2073" i="2"/>
  <c r="AB2073" i="2"/>
  <c r="AC2073" i="2"/>
  <c r="AD2073" i="2"/>
  <c r="AE2073" i="2"/>
  <c r="AF2073" i="2"/>
  <c r="AG2073" i="2"/>
  <c r="AH2073" i="2"/>
  <c r="AI2073" i="2"/>
  <c r="AJ2073" i="2"/>
  <c r="AK2073" i="2"/>
  <c r="Z2074" i="2"/>
  <c r="AA2074" i="2"/>
  <c r="AB2074" i="2"/>
  <c r="AC2074" i="2"/>
  <c r="AD2074" i="2"/>
  <c r="AE2074" i="2"/>
  <c r="AF2074" i="2"/>
  <c r="AG2074" i="2"/>
  <c r="AH2074" i="2"/>
  <c r="AI2074" i="2"/>
  <c r="AJ2074" i="2"/>
  <c r="AK2074" i="2"/>
  <c r="Z2075" i="2"/>
  <c r="AA2075" i="2"/>
  <c r="AB2075" i="2"/>
  <c r="AC2075" i="2"/>
  <c r="AD2075" i="2"/>
  <c r="AE2075" i="2"/>
  <c r="AF2075" i="2"/>
  <c r="AG2075" i="2"/>
  <c r="AH2075" i="2"/>
  <c r="AI2075" i="2"/>
  <c r="AJ2075" i="2"/>
  <c r="AK2075" i="2"/>
  <c r="Z2076" i="2"/>
  <c r="AA2076" i="2"/>
  <c r="AB2076" i="2"/>
  <c r="AC2076" i="2"/>
  <c r="AD2076" i="2"/>
  <c r="AE2076" i="2"/>
  <c r="AF2076" i="2"/>
  <c r="AG2076" i="2"/>
  <c r="AH2076" i="2"/>
  <c r="AI2076" i="2"/>
  <c r="AJ2076" i="2"/>
  <c r="AK2076" i="2"/>
  <c r="Z2077" i="2"/>
  <c r="AA2077" i="2"/>
  <c r="AB2077" i="2"/>
  <c r="AC2077" i="2"/>
  <c r="AD2077" i="2"/>
  <c r="AE2077" i="2"/>
  <c r="AF2077" i="2"/>
  <c r="AG2077" i="2"/>
  <c r="AH2077" i="2"/>
  <c r="AI2077" i="2"/>
  <c r="AJ2077" i="2"/>
  <c r="AK2077" i="2"/>
  <c r="Z2078" i="2"/>
  <c r="AA2078" i="2"/>
  <c r="AB2078" i="2"/>
  <c r="AC2078" i="2"/>
  <c r="AD2078" i="2"/>
  <c r="AE2078" i="2"/>
  <c r="AF2078" i="2"/>
  <c r="AG2078" i="2"/>
  <c r="AH2078" i="2"/>
  <c r="AI2078" i="2"/>
  <c r="AJ2078" i="2"/>
  <c r="AK2078" i="2"/>
  <c r="Z2079" i="2"/>
  <c r="AA2079" i="2"/>
  <c r="AB2079" i="2"/>
  <c r="AC2079" i="2"/>
  <c r="AD2079" i="2"/>
  <c r="AE2079" i="2"/>
  <c r="AF2079" i="2"/>
  <c r="AG2079" i="2"/>
  <c r="AH2079" i="2"/>
  <c r="AI2079" i="2"/>
  <c r="AJ2079" i="2"/>
  <c r="AK2079" i="2"/>
  <c r="Z2080" i="2"/>
  <c r="AA2080" i="2"/>
  <c r="AB2080" i="2"/>
  <c r="AC2080" i="2"/>
  <c r="AD2080" i="2"/>
  <c r="AE2080" i="2"/>
  <c r="AF2080" i="2"/>
  <c r="AG2080" i="2"/>
  <c r="AH2080" i="2"/>
  <c r="AI2080" i="2"/>
  <c r="AJ2080" i="2"/>
  <c r="AK2080" i="2"/>
  <c r="Z2081" i="2"/>
  <c r="AA2081" i="2"/>
  <c r="AB2081" i="2"/>
  <c r="AC2081" i="2"/>
  <c r="AD2081" i="2"/>
  <c r="AE2081" i="2"/>
  <c r="AF2081" i="2"/>
  <c r="AG2081" i="2"/>
  <c r="AH2081" i="2"/>
  <c r="AI2081" i="2"/>
  <c r="AJ2081" i="2"/>
  <c r="AK2081" i="2"/>
  <c r="Z2082" i="2"/>
  <c r="AA2082" i="2"/>
  <c r="AB2082" i="2"/>
  <c r="AC2082" i="2"/>
  <c r="AD2082" i="2"/>
  <c r="AE2082" i="2"/>
  <c r="AF2082" i="2"/>
  <c r="AG2082" i="2"/>
  <c r="AH2082" i="2"/>
  <c r="AI2082" i="2"/>
  <c r="AJ2082" i="2"/>
  <c r="AK2082" i="2"/>
  <c r="Z2083" i="2"/>
  <c r="AA2083" i="2"/>
  <c r="AB2083" i="2"/>
  <c r="AC2083" i="2"/>
  <c r="AD2083" i="2"/>
  <c r="AE2083" i="2"/>
  <c r="AF2083" i="2"/>
  <c r="AG2083" i="2"/>
  <c r="AH2083" i="2"/>
  <c r="AI2083" i="2"/>
  <c r="AJ2083" i="2"/>
  <c r="AK2083" i="2"/>
  <c r="Z2084" i="2"/>
  <c r="AA2084" i="2"/>
  <c r="AB2084" i="2"/>
  <c r="AC2084" i="2"/>
  <c r="AD2084" i="2"/>
  <c r="AE2084" i="2"/>
  <c r="AF2084" i="2"/>
  <c r="AG2084" i="2"/>
  <c r="AH2084" i="2"/>
  <c r="AI2084" i="2"/>
  <c r="AJ2084" i="2"/>
  <c r="AK2084" i="2"/>
  <c r="Z2085" i="2"/>
  <c r="AA2085" i="2"/>
  <c r="AB2085" i="2"/>
  <c r="AC2085" i="2"/>
  <c r="AD2085" i="2"/>
  <c r="AE2085" i="2"/>
  <c r="AF2085" i="2"/>
  <c r="AG2085" i="2"/>
  <c r="AH2085" i="2"/>
  <c r="AI2085" i="2"/>
  <c r="AJ2085" i="2"/>
  <c r="AK2085" i="2"/>
  <c r="Z2086" i="2"/>
  <c r="AA2086" i="2"/>
  <c r="AB2086" i="2"/>
  <c r="AC2086" i="2"/>
  <c r="AD2086" i="2"/>
  <c r="AE2086" i="2"/>
  <c r="AF2086" i="2"/>
  <c r="AG2086" i="2"/>
  <c r="AH2086" i="2"/>
  <c r="AI2086" i="2"/>
  <c r="AJ2086" i="2"/>
  <c r="AK2086" i="2"/>
  <c r="Z2087" i="2"/>
  <c r="AA2087" i="2"/>
  <c r="AB2087" i="2"/>
  <c r="AC2087" i="2"/>
  <c r="AD2087" i="2"/>
  <c r="AE2087" i="2"/>
  <c r="AF2087" i="2"/>
  <c r="AG2087" i="2"/>
  <c r="AH2087" i="2"/>
  <c r="AI2087" i="2"/>
  <c r="AJ2087" i="2"/>
  <c r="AK2087" i="2"/>
  <c r="Z2088" i="2"/>
  <c r="AA2088" i="2"/>
  <c r="AB2088" i="2"/>
  <c r="AC2088" i="2"/>
  <c r="AD2088" i="2"/>
  <c r="AE2088" i="2"/>
  <c r="AF2088" i="2"/>
  <c r="AG2088" i="2"/>
  <c r="AH2088" i="2"/>
  <c r="AI2088" i="2"/>
  <c r="AJ2088" i="2"/>
  <c r="AK2088" i="2"/>
  <c r="Z2089" i="2"/>
  <c r="AA2089" i="2"/>
  <c r="AB2089" i="2"/>
  <c r="AC2089" i="2"/>
  <c r="AD2089" i="2"/>
  <c r="AE2089" i="2"/>
  <c r="AF2089" i="2"/>
  <c r="AG2089" i="2"/>
  <c r="AH2089" i="2"/>
  <c r="AI2089" i="2"/>
  <c r="AJ2089" i="2"/>
  <c r="AK2089" i="2"/>
  <c r="Z2090" i="2"/>
  <c r="AA2090" i="2"/>
  <c r="AB2090" i="2"/>
  <c r="AC2090" i="2"/>
  <c r="AD2090" i="2"/>
  <c r="AE2090" i="2"/>
  <c r="AF2090" i="2"/>
  <c r="AG2090" i="2"/>
  <c r="AH2090" i="2"/>
  <c r="AI2090" i="2"/>
  <c r="AJ2090" i="2"/>
  <c r="AK2090" i="2"/>
  <c r="Z2091" i="2"/>
  <c r="AA2091" i="2"/>
  <c r="AB2091" i="2"/>
  <c r="AC2091" i="2"/>
  <c r="AD2091" i="2"/>
  <c r="AE2091" i="2"/>
  <c r="AF2091" i="2"/>
  <c r="AG2091" i="2"/>
  <c r="AH2091" i="2"/>
  <c r="AI2091" i="2"/>
  <c r="AJ2091" i="2"/>
  <c r="AK2091" i="2"/>
  <c r="Z2092" i="2"/>
  <c r="AA2092" i="2"/>
  <c r="AB2092" i="2"/>
  <c r="AC2092" i="2"/>
  <c r="AD2092" i="2"/>
  <c r="AE2092" i="2"/>
  <c r="AF2092" i="2"/>
  <c r="AG2092" i="2"/>
  <c r="AH2092" i="2"/>
  <c r="AI2092" i="2"/>
  <c r="AJ2092" i="2"/>
  <c r="AK2092" i="2"/>
  <c r="Z2093" i="2"/>
  <c r="AA2093" i="2"/>
  <c r="AB2093" i="2"/>
  <c r="AC2093" i="2"/>
  <c r="AD2093" i="2"/>
  <c r="AE2093" i="2"/>
  <c r="AF2093" i="2"/>
  <c r="AG2093" i="2"/>
  <c r="AH2093" i="2"/>
  <c r="AI2093" i="2"/>
  <c r="AJ2093" i="2"/>
  <c r="AK2093" i="2"/>
  <c r="Z2094" i="2"/>
  <c r="AA2094" i="2"/>
  <c r="AB2094" i="2"/>
  <c r="AC2094" i="2"/>
  <c r="AD2094" i="2"/>
  <c r="AE2094" i="2"/>
  <c r="AF2094" i="2"/>
  <c r="AG2094" i="2"/>
  <c r="AH2094" i="2"/>
  <c r="AI2094" i="2"/>
  <c r="AJ2094" i="2"/>
  <c r="AK2094" i="2"/>
  <c r="Z2095" i="2"/>
  <c r="AA2095" i="2"/>
  <c r="AB2095" i="2"/>
  <c r="AC2095" i="2"/>
  <c r="AD2095" i="2"/>
  <c r="AE2095" i="2"/>
  <c r="AF2095" i="2"/>
  <c r="AG2095" i="2"/>
  <c r="AH2095" i="2"/>
  <c r="AI2095" i="2"/>
  <c r="AJ2095" i="2"/>
  <c r="AK2095" i="2"/>
  <c r="Z2096" i="2"/>
  <c r="AA2096" i="2"/>
  <c r="AB2096" i="2"/>
  <c r="AC2096" i="2"/>
  <c r="AD2096" i="2"/>
  <c r="AE2096" i="2"/>
  <c r="AF2096" i="2"/>
  <c r="AG2096" i="2"/>
  <c r="AH2096" i="2"/>
  <c r="AI2096" i="2"/>
  <c r="AJ2096" i="2"/>
  <c r="AK2096" i="2"/>
  <c r="Z2097" i="2"/>
  <c r="AA2097" i="2"/>
  <c r="AB2097" i="2"/>
  <c r="AC2097" i="2"/>
  <c r="AD2097" i="2"/>
  <c r="AE2097" i="2"/>
  <c r="AF2097" i="2"/>
  <c r="AG2097" i="2"/>
  <c r="AH2097" i="2"/>
  <c r="AI2097" i="2"/>
  <c r="AJ2097" i="2"/>
  <c r="AK2097" i="2"/>
  <c r="Z2098" i="2"/>
  <c r="AA2098" i="2"/>
  <c r="AB2098" i="2"/>
  <c r="AC2098" i="2"/>
  <c r="AD2098" i="2"/>
  <c r="AE2098" i="2"/>
  <c r="AF2098" i="2"/>
  <c r="AG2098" i="2"/>
  <c r="AH2098" i="2"/>
  <c r="AI2098" i="2"/>
  <c r="AJ2098" i="2"/>
  <c r="AK2098" i="2"/>
  <c r="Z2099" i="2"/>
  <c r="AA2099" i="2"/>
  <c r="AB2099" i="2"/>
  <c r="AC2099" i="2"/>
  <c r="AD2099" i="2"/>
  <c r="AE2099" i="2"/>
  <c r="AF2099" i="2"/>
  <c r="AG2099" i="2"/>
  <c r="AH2099" i="2"/>
  <c r="AI2099" i="2"/>
  <c r="AJ2099" i="2"/>
  <c r="AK2099" i="2"/>
  <c r="Z2100" i="2"/>
  <c r="AA2100" i="2"/>
  <c r="AB2100" i="2"/>
  <c r="AC2100" i="2"/>
  <c r="AD2100" i="2"/>
  <c r="AE2100" i="2"/>
  <c r="AF2100" i="2"/>
  <c r="AG2100" i="2"/>
  <c r="AH2100" i="2"/>
  <c r="AI2100" i="2"/>
  <c r="AJ2100" i="2"/>
  <c r="AK2100" i="2"/>
  <c r="Z2101" i="2"/>
  <c r="AA2101" i="2"/>
  <c r="AB2101" i="2"/>
  <c r="AC2101" i="2"/>
  <c r="AD2101" i="2"/>
  <c r="AE2101" i="2"/>
  <c r="AF2101" i="2"/>
  <c r="AG2101" i="2"/>
  <c r="AH2101" i="2"/>
  <c r="AI2101" i="2"/>
  <c r="AJ2101" i="2"/>
  <c r="AK2101" i="2"/>
  <c r="Z2102" i="2"/>
  <c r="AA2102" i="2"/>
  <c r="AB2102" i="2"/>
  <c r="AC2102" i="2"/>
  <c r="AD2102" i="2"/>
  <c r="AE2102" i="2"/>
  <c r="AF2102" i="2"/>
  <c r="AG2102" i="2"/>
  <c r="AH2102" i="2"/>
  <c r="AI2102" i="2"/>
  <c r="AJ2102" i="2"/>
  <c r="AK2102" i="2"/>
  <c r="Z2103" i="2"/>
  <c r="AA2103" i="2"/>
  <c r="AB2103" i="2"/>
  <c r="AC2103" i="2"/>
  <c r="AD2103" i="2"/>
  <c r="AE2103" i="2"/>
  <c r="AF2103" i="2"/>
  <c r="AG2103" i="2"/>
  <c r="AH2103" i="2"/>
  <c r="AI2103" i="2"/>
  <c r="AJ2103" i="2"/>
  <c r="AK2103" i="2"/>
  <c r="Z2104" i="2"/>
  <c r="AA2104" i="2"/>
  <c r="AB2104" i="2"/>
  <c r="AC2104" i="2"/>
  <c r="AD2104" i="2"/>
  <c r="AE2104" i="2"/>
  <c r="AF2104" i="2"/>
  <c r="AG2104" i="2"/>
  <c r="AH2104" i="2"/>
  <c r="AI2104" i="2"/>
  <c r="AJ2104" i="2"/>
  <c r="AK2104" i="2"/>
  <c r="Z2105" i="2"/>
  <c r="AA2105" i="2"/>
  <c r="AB2105" i="2"/>
  <c r="AC2105" i="2"/>
  <c r="AD2105" i="2"/>
  <c r="AE2105" i="2"/>
  <c r="AF2105" i="2"/>
  <c r="AG2105" i="2"/>
  <c r="AH2105" i="2"/>
  <c r="AI2105" i="2"/>
  <c r="AJ2105" i="2"/>
  <c r="AK2105" i="2"/>
  <c r="Z2106" i="2"/>
  <c r="AA2106" i="2"/>
  <c r="AB2106" i="2"/>
  <c r="AC2106" i="2"/>
  <c r="AD2106" i="2"/>
  <c r="AE2106" i="2"/>
  <c r="AF2106" i="2"/>
  <c r="AG2106" i="2"/>
  <c r="AH2106" i="2"/>
  <c r="AI2106" i="2"/>
  <c r="AJ2106" i="2"/>
  <c r="AK2106" i="2"/>
  <c r="Z2107" i="2"/>
  <c r="AA2107" i="2"/>
  <c r="AB2107" i="2"/>
  <c r="AC2107" i="2"/>
  <c r="AD2107" i="2"/>
  <c r="AE2107" i="2"/>
  <c r="AF2107" i="2"/>
  <c r="AG2107" i="2"/>
  <c r="AH2107" i="2"/>
  <c r="AI2107" i="2"/>
  <c r="AJ2107" i="2"/>
  <c r="AK2107" i="2"/>
  <c r="Z2108" i="2"/>
  <c r="AA2108" i="2"/>
  <c r="AB2108" i="2"/>
  <c r="AC2108" i="2"/>
  <c r="AD2108" i="2"/>
  <c r="AE2108" i="2"/>
  <c r="AF2108" i="2"/>
  <c r="AG2108" i="2"/>
  <c r="AH2108" i="2"/>
  <c r="AI2108" i="2"/>
  <c r="AJ2108" i="2"/>
  <c r="AK2108" i="2"/>
  <c r="Z2109" i="2"/>
  <c r="AA2109" i="2"/>
  <c r="AB2109" i="2"/>
  <c r="AC2109" i="2"/>
  <c r="AD2109" i="2"/>
  <c r="AE2109" i="2"/>
  <c r="AF2109" i="2"/>
  <c r="AG2109" i="2"/>
  <c r="AH2109" i="2"/>
  <c r="AI2109" i="2"/>
  <c r="AJ2109" i="2"/>
  <c r="AK2109" i="2"/>
  <c r="Z2110" i="2"/>
  <c r="AA2110" i="2"/>
  <c r="AB2110" i="2"/>
  <c r="AC2110" i="2"/>
  <c r="AD2110" i="2"/>
  <c r="AE2110" i="2"/>
  <c r="AF2110" i="2"/>
  <c r="AG2110" i="2"/>
  <c r="AH2110" i="2"/>
  <c r="AI2110" i="2"/>
  <c r="AJ2110" i="2"/>
  <c r="AK2110" i="2"/>
  <c r="Z2111" i="2"/>
  <c r="AA2111" i="2"/>
  <c r="AB2111" i="2"/>
  <c r="AC2111" i="2"/>
  <c r="AD2111" i="2"/>
  <c r="AE2111" i="2"/>
  <c r="AF2111" i="2"/>
  <c r="AG2111" i="2"/>
  <c r="AH2111" i="2"/>
  <c r="AI2111" i="2"/>
  <c r="AJ2111" i="2"/>
  <c r="AK2111" i="2"/>
  <c r="Z2112" i="2"/>
  <c r="AA2112" i="2"/>
  <c r="AB2112" i="2"/>
  <c r="AC2112" i="2"/>
  <c r="AD2112" i="2"/>
  <c r="AE2112" i="2"/>
  <c r="AF2112" i="2"/>
  <c r="AG2112" i="2"/>
  <c r="AH2112" i="2"/>
  <c r="AI2112" i="2"/>
  <c r="AJ2112" i="2"/>
  <c r="AK2112" i="2"/>
  <c r="Z2113" i="2"/>
  <c r="AA2113" i="2"/>
  <c r="AB2113" i="2"/>
  <c r="AC2113" i="2"/>
  <c r="AD2113" i="2"/>
  <c r="AE2113" i="2"/>
  <c r="AF2113" i="2"/>
  <c r="AG2113" i="2"/>
  <c r="AH2113" i="2"/>
  <c r="AI2113" i="2"/>
  <c r="AJ2113" i="2"/>
  <c r="AK2113" i="2"/>
  <c r="Z2114" i="2"/>
  <c r="AA2114" i="2"/>
  <c r="AB2114" i="2"/>
  <c r="AC2114" i="2"/>
  <c r="AD2114" i="2"/>
  <c r="AE2114" i="2"/>
  <c r="AF2114" i="2"/>
  <c r="AG2114" i="2"/>
  <c r="AH2114" i="2"/>
  <c r="AI2114" i="2"/>
  <c r="AJ2114" i="2"/>
  <c r="AK2114" i="2"/>
  <c r="Z2115" i="2"/>
  <c r="AA2115" i="2"/>
  <c r="AB2115" i="2"/>
  <c r="AC2115" i="2"/>
  <c r="AD2115" i="2"/>
  <c r="AE2115" i="2"/>
  <c r="AF2115" i="2"/>
  <c r="AG2115" i="2"/>
  <c r="AH2115" i="2"/>
  <c r="AI2115" i="2"/>
  <c r="AJ2115" i="2"/>
  <c r="AK2115" i="2"/>
  <c r="Z2116" i="2"/>
  <c r="AA2116" i="2"/>
  <c r="AB2116" i="2"/>
  <c r="AC2116" i="2"/>
  <c r="AD2116" i="2"/>
  <c r="AE2116" i="2"/>
  <c r="AF2116" i="2"/>
  <c r="AG2116" i="2"/>
  <c r="AH2116" i="2"/>
  <c r="AI2116" i="2"/>
  <c r="AJ2116" i="2"/>
  <c r="AK2116" i="2"/>
  <c r="Z2117" i="2"/>
  <c r="AA2117" i="2"/>
  <c r="AB2117" i="2"/>
  <c r="AC2117" i="2"/>
  <c r="AD2117" i="2"/>
  <c r="AE2117" i="2"/>
  <c r="AF2117" i="2"/>
  <c r="AG2117" i="2"/>
  <c r="AH2117" i="2"/>
  <c r="AI2117" i="2"/>
  <c r="AJ2117" i="2"/>
  <c r="AK2117" i="2"/>
  <c r="Z2118" i="2"/>
  <c r="AA2118" i="2"/>
  <c r="AB2118" i="2"/>
  <c r="AC2118" i="2"/>
  <c r="AD2118" i="2"/>
  <c r="AE2118" i="2"/>
  <c r="AF2118" i="2"/>
  <c r="AG2118" i="2"/>
  <c r="AH2118" i="2"/>
  <c r="AI2118" i="2"/>
  <c r="AJ2118" i="2"/>
  <c r="AK2118" i="2"/>
  <c r="Z2119" i="2"/>
  <c r="AA2119" i="2"/>
  <c r="AB2119" i="2"/>
  <c r="AC2119" i="2"/>
  <c r="AD2119" i="2"/>
  <c r="AE2119" i="2"/>
  <c r="AF2119" i="2"/>
  <c r="AG2119" i="2"/>
  <c r="AH2119" i="2"/>
  <c r="AI2119" i="2"/>
  <c r="AJ2119" i="2"/>
  <c r="AK2119" i="2"/>
  <c r="Z2120" i="2"/>
  <c r="AA2120" i="2"/>
  <c r="AB2120" i="2"/>
  <c r="AC2120" i="2"/>
  <c r="AD2120" i="2"/>
  <c r="AE2120" i="2"/>
  <c r="AF2120" i="2"/>
  <c r="AG2120" i="2"/>
  <c r="AH2120" i="2"/>
  <c r="AI2120" i="2"/>
  <c r="AJ2120" i="2"/>
  <c r="AK2120" i="2"/>
  <c r="Z2121" i="2"/>
  <c r="AA2121" i="2"/>
  <c r="AB2121" i="2"/>
  <c r="AC2121" i="2"/>
  <c r="AD2121" i="2"/>
  <c r="AE2121" i="2"/>
  <c r="AF2121" i="2"/>
  <c r="AG2121" i="2"/>
  <c r="AH2121" i="2"/>
  <c r="AI2121" i="2"/>
  <c r="AJ2121" i="2"/>
  <c r="AK2121" i="2"/>
  <c r="Z2122" i="2"/>
  <c r="AA2122" i="2"/>
  <c r="AB2122" i="2"/>
  <c r="AC2122" i="2"/>
  <c r="AD2122" i="2"/>
  <c r="AE2122" i="2"/>
  <c r="AF2122" i="2"/>
  <c r="AG2122" i="2"/>
  <c r="AH2122" i="2"/>
  <c r="AI2122" i="2"/>
  <c r="AJ2122" i="2"/>
  <c r="AK2122" i="2"/>
  <c r="Z2123" i="2"/>
  <c r="AA2123" i="2"/>
  <c r="AB2123" i="2"/>
  <c r="AC2123" i="2"/>
  <c r="AD2123" i="2"/>
  <c r="AE2123" i="2"/>
  <c r="AF2123" i="2"/>
  <c r="AG2123" i="2"/>
  <c r="AH2123" i="2"/>
  <c r="AI2123" i="2"/>
  <c r="AJ2123" i="2"/>
  <c r="AK2123" i="2"/>
  <c r="Z2124" i="2"/>
  <c r="AA2124" i="2"/>
  <c r="AB2124" i="2"/>
  <c r="AC2124" i="2"/>
  <c r="AD2124" i="2"/>
  <c r="AE2124" i="2"/>
  <c r="AF2124" i="2"/>
  <c r="AG2124" i="2"/>
  <c r="AH2124" i="2"/>
  <c r="AI2124" i="2"/>
  <c r="AJ2124" i="2"/>
  <c r="AK2124" i="2"/>
  <c r="Z2125" i="2"/>
  <c r="AA2125" i="2"/>
  <c r="AB2125" i="2"/>
  <c r="AC2125" i="2"/>
  <c r="AD2125" i="2"/>
  <c r="AE2125" i="2"/>
  <c r="AF2125" i="2"/>
  <c r="AG2125" i="2"/>
  <c r="AH2125" i="2"/>
  <c r="AI2125" i="2"/>
  <c r="AJ2125" i="2"/>
  <c r="AK2125" i="2"/>
  <c r="Z2126" i="2"/>
  <c r="AA2126" i="2"/>
  <c r="AB2126" i="2"/>
  <c r="AC2126" i="2"/>
  <c r="AD2126" i="2"/>
  <c r="AE2126" i="2"/>
  <c r="AF2126" i="2"/>
  <c r="AG2126" i="2"/>
  <c r="AH2126" i="2"/>
  <c r="AI2126" i="2"/>
  <c r="AJ2126" i="2"/>
  <c r="AK2126" i="2"/>
  <c r="Z2127" i="2"/>
  <c r="AA2127" i="2"/>
  <c r="AB2127" i="2"/>
  <c r="AC2127" i="2"/>
  <c r="AD2127" i="2"/>
  <c r="AE2127" i="2"/>
  <c r="AF2127" i="2"/>
  <c r="AG2127" i="2"/>
  <c r="AH2127" i="2"/>
  <c r="AI2127" i="2"/>
  <c r="AJ2127" i="2"/>
  <c r="AK2127" i="2"/>
  <c r="Z2128" i="2"/>
  <c r="AA2128" i="2"/>
  <c r="AB2128" i="2"/>
  <c r="AC2128" i="2"/>
  <c r="AD2128" i="2"/>
  <c r="AE2128" i="2"/>
  <c r="AF2128" i="2"/>
  <c r="AG2128" i="2"/>
  <c r="AH2128" i="2"/>
  <c r="AI2128" i="2"/>
  <c r="AJ2128" i="2"/>
  <c r="AK2128" i="2"/>
  <c r="Z2129" i="2"/>
  <c r="AA2129" i="2"/>
  <c r="AB2129" i="2"/>
  <c r="AC2129" i="2"/>
  <c r="AD2129" i="2"/>
  <c r="AE2129" i="2"/>
  <c r="AF2129" i="2"/>
  <c r="AG2129" i="2"/>
  <c r="AH2129" i="2"/>
  <c r="AI2129" i="2"/>
  <c r="AJ2129" i="2"/>
  <c r="AK2129" i="2"/>
  <c r="Z2130" i="2"/>
  <c r="AA2130" i="2"/>
  <c r="AB2130" i="2"/>
  <c r="AC2130" i="2"/>
  <c r="AD2130" i="2"/>
  <c r="AE2130" i="2"/>
  <c r="AF2130" i="2"/>
  <c r="AG2130" i="2"/>
  <c r="AH2130" i="2"/>
  <c r="AI2130" i="2"/>
  <c r="AJ2130" i="2"/>
  <c r="AK2130" i="2"/>
  <c r="Z2131" i="2"/>
  <c r="AA2131" i="2"/>
  <c r="AB2131" i="2"/>
  <c r="AC2131" i="2"/>
  <c r="AD2131" i="2"/>
  <c r="AE2131" i="2"/>
  <c r="AF2131" i="2"/>
  <c r="AG2131" i="2"/>
  <c r="AH2131" i="2"/>
  <c r="AI2131" i="2"/>
  <c r="AJ2131" i="2"/>
  <c r="AK2131" i="2"/>
  <c r="Z2132" i="2"/>
  <c r="AA2132" i="2"/>
  <c r="AB2132" i="2"/>
  <c r="AC2132" i="2"/>
  <c r="AD2132" i="2"/>
  <c r="AE2132" i="2"/>
  <c r="AF2132" i="2"/>
  <c r="AG2132" i="2"/>
  <c r="AH2132" i="2"/>
  <c r="AI2132" i="2"/>
  <c r="AJ2132" i="2"/>
  <c r="AK2132" i="2"/>
  <c r="Z2133" i="2"/>
  <c r="AA2133" i="2"/>
  <c r="AB2133" i="2"/>
  <c r="AC2133" i="2"/>
  <c r="AD2133" i="2"/>
  <c r="AE2133" i="2"/>
  <c r="AF2133" i="2"/>
  <c r="AG2133" i="2"/>
  <c r="AH2133" i="2"/>
  <c r="AI2133" i="2"/>
  <c r="AJ2133" i="2"/>
  <c r="AK2133" i="2"/>
  <c r="Z2134" i="2"/>
  <c r="AA2134" i="2"/>
  <c r="AB2134" i="2"/>
  <c r="AC2134" i="2"/>
  <c r="AD2134" i="2"/>
  <c r="AE2134" i="2"/>
  <c r="AF2134" i="2"/>
  <c r="AG2134" i="2"/>
  <c r="AH2134" i="2"/>
  <c r="AI2134" i="2"/>
  <c r="AJ2134" i="2"/>
  <c r="AK2134" i="2"/>
  <c r="Z2135" i="2"/>
  <c r="AA2135" i="2"/>
  <c r="AB2135" i="2"/>
  <c r="AC2135" i="2"/>
  <c r="AD2135" i="2"/>
  <c r="AE2135" i="2"/>
  <c r="AF2135" i="2"/>
  <c r="AG2135" i="2"/>
  <c r="AH2135" i="2"/>
  <c r="AI2135" i="2"/>
  <c r="AJ2135" i="2"/>
  <c r="AK2135" i="2"/>
  <c r="Z2136" i="2"/>
  <c r="AA2136" i="2"/>
  <c r="AB2136" i="2"/>
  <c r="AC2136" i="2"/>
  <c r="AD2136" i="2"/>
  <c r="AE2136" i="2"/>
  <c r="AF2136" i="2"/>
  <c r="AG2136" i="2"/>
  <c r="AH2136" i="2"/>
  <c r="AI2136" i="2"/>
  <c r="AJ2136" i="2"/>
  <c r="AK2136" i="2"/>
  <c r="Z2137" i="2"/>
  <c r="AA2137" i="2"/>
  <c r="AB2137" i="2"/>
  <c r="AC2137" i="2"/>
  <c r="AD2137" i="2"/>
  <c r="AE2137" i="2"/>
  <c r="AF2137" i="2"/>
  <c r="AG2137" i="2"/>
  <c r="AH2137" i="2"/>
  <c r="AI2137" i="2"/>
  <c r="AJ2137" i="2"/>
  <c r="AK2137" i="2"/>
  <c r="Z2138" i="2"/>
  <c r="AA2138" i="2"/>
  <c r="AB2138" i="2"/>
  <c r="AC2138" i="2"/>
  <c r="AD2138" i="2"/>
  <c r="AE2138" i="2"/>
  <c r="AF2138" i="2"/>
  <c r="AG2138" i="2"/>
  <c r="AH2138" i="2"/>
  <c r="AI2138" i="2"/>
  <c r="AJ2138" i="2"/>
  <c r="AK2138" i="2"/>
  <c r="Z2139" i="2"/>
  <c r="AA2139" i="2"/>
  <c r="AB2139" i="2"/>
  <c r="AC2139" i="2"/>
  <c r="AD2139" i="2"/>
  <c r="AE2139" i="2"/>
  <c r="AF2139" i="2"/>
  <c r="AG2139" i="2"/>
  <c r="AH2139" i="2"/>
  <c r="AI2139" i="2"/>
  <c r="AJ2139" i="2"/>
  <c r="AK2139" i="2"/>
  <c r="Z2140" i="2"/>
  <c r="AA2140" i="2"/>
  <c r="AB2140" i="2"/>
  <c r="AC2140" i="2"/>
  <c r="AD2140" i="2"/>
  <c r="AE2140" i="2"/>
  <c r="AF2140" i="2"/>
  <c r="AG2140" i="2"/>
  <c r="AH2140" i="2"/>
  <c r="AI2140" i="2"/>
  <c r="AJ2140" i="2"/>
  <c r="AK2140" i="2"/>
  <c r="Z2141" i="2"/>
  <c r="AA2141" i="2"/>
  <c r="AB2141" i="2"/>
  <c r="AC2141" i="2"/>
  <c r="AD2141" i="2"/>
  <c r="AE2141" i="2"/>
  <c r="AF2141" i="2"/>
  <c r="AG2141" i="2"/>
  <c r="AH2141" i="2"/>
  <c r="AI2141" i="2"/>
  <c r="AJ2141" i="2"/>
  <c r="AK2141" i="2"/>
  <c r="Z2142" i="2"/>
  <c r="AA2142" i="2"/>
  <c r="AB2142" i="2"/>
  <c r="AC2142" i="2"/>
  <c r="AD2142" i="2"/>
  <c r="AE2142" i="2"/>
  <c r="AF2142" i="2"/>
  <c r="AG2142" i="2"/>
  <c r="AH2142" i="2"/>
  <c r="AI2142" i="2"/>
  <c r="AJ2142" i="2"/>
  <c r="AK2142" i="2"/>
  <c r="Z2143" i="2"/>
  <c r="AA2143" i="2"/>
  <c r="AB2143" i="2"/>
  <c r="AC2143" i="2"/>
  <c r="AD2143" i="2"/>
  <c r="AE2143" i="2"/>
  <c r="AF2143" i="2"/>
  <c r="AG2143" i="2"/>
  <c r="AH2143" i="2"/>
  <c r="AI2143" i="2"/>
  <c r="AJ2143" i="2"/>
  <c r="AK2143" i="2"/>
  <c r="Z2144" i="2"/>
  <c r="AA2144" i="2"/>
  <c r="AB2144" i="2"/>
  <c r="AC2144" i="2"/>
  <c r="AD2144" i="2"/>
  <c r="AE2144" i="2"/>
  <c r="AF2144" i="2"/>
  <c r="AG2144" i="2"/>
  <c r="AH2144" i="2"/>
  <c r="AI2144" i="2"/>
  <c r="AJ2144" i="2"/>
  <c r="AK2144" i="2"/>
  <c r="Z2145" i="2"/>
  <c r="AA2145" i="2"/>
  <c r="AB2145" i="2"/>
  <c r="AC2145" i="2"/>
  <c r="AD2145" i="2"/>
  <c r="AE2145" i="2"/>
  <c r="AF2145" i="2"/>
  <c r="AG2145" i="2"/>
  <c r="AH2145" i="2"/>
  <c r="AI2145" i="2"/>
  <c r="AJ2145" i="2"/>
  <c r="AK2145" i="2"/>
  <c r="Z2146" i="2"/>
  <c r="AA2146" i="2"/>
  <c r="AB2146" i="2"/>
  <c r="AC2146" i="2"/>
  <c r="AD2146" i="2"/>
  <c r="AE2146" i="2"/>
  <c r="AF2146" i="2"/>
  <c r="AG2146" i="2"/>
  <c r="AH2146" i="2"/>
  <c r="AI2146" i="2"/>
  <c r="AJ2146" i="2"/>
  <c r="AK2146" i="2"/>
  <c r="Z2147" i="2"/>
  <c r="AA2147" i="2"/>
  <c r="AB2147" i="2"/>
  <c r="AC2147" i="2"/>
  <c r="AD2147" i="2"/>
  <c r="AE2147" i="2"/>
  <c r="AF2147" i="2"/>
  <c r="AG2147" i="2"/>
  <c r="AH2147" i="2"/>
  <c r="AI2147" i="2"/>
  <c r="AJ2147" i="2"/>
  <c r="AK2147" i="2"/>
  <c r="Z2148" i="2"/>
  <c r="AA2148" i="2"/>
  <c r="AB2148" i="2"/>
  <c r="AC2148" i="2"/>
  <c r="AD2148" i="2"/>
  <c r="AE2148" i="2"/>
  <c r="AF2148" i="2"/>
  <c r="AG2148" i="2"/>
  <c r="AH2148" i="2"/>
  <c r="AI2148" i="2"/>
  <c r="AJ2148" i="2"/>
  <c r="AK2148" i="2"/>
  <c r="Z2149" i="2"/>
  <c r="AA2149" i="2"/>
  <c r="AB2149" i="2"/>
  <c r="AC2149" i="2"/>
  <c r="AD2149" i="2"/>
  <c r="AE2149" i="2"/>
  <c r="AF2149" i="2"/>
  <c r="AG2149" i="2"/>
  <c r="AH2149" i="2"/>
  <c r="AI2149" i="2"/>
  <c r="AJ2149" i="2"/>
  <c r="AK2149" i="2"/>
  <c r="Z2150" i="2"/>
  <c r="AA2150" i="2"/>
  <c r="AB2150" i="2"/>
  <c r="AC2150" i="2"/>
  <c r="AD2150" i="2"/>
  <c r="AE2150" i="2"/>
  <c r="AF2150" i="2"/>
  <c r="AG2150" i="2"/>
  <c r="AH2150" i="2"/>
  <c r="AI2150" i="2"/>
  <c r="AJ2150" i="2"/>
  <c r="AK2150" i="2"/>
  <c r="Z2151" i="2"/>
  <c r="AA2151" i="2"/>
  <c r="AB2151" i="2"/>
  <c r="AC2151" i="2"/>
  <c r="AD2151" i="2"/>
  <c r="AE2151" i="2"/>
  <c r="AF2151" i="2"/>
  <c r="AG2151" i="2"/>
  <c r="AH2151" i="2"/>
  <c r="AI2151" i="2"/>
  <c r="AJ2151" i="2"/>
  <c r="AK2151" i="2"/>
  <c r="Z2152" i="2"/>
  <c r="AA2152" i="2"/>
  <c r="AB2152" i="2"/>
  <c r="AC2152" i="2"/>
  <c r="AD2152" i="2"/>
  <c r="AE2152" i="2"/>
  <c r="AF2152" i="2"/>
  <c r="AG2152" i="2"/>
  <c r="AH2152" i="2"/>
  <c r="AI2152" i="2"/>
  <c r="AJ2152" i="2"/>
  <c r="AK2152" i="2"/>
  <c r="Z2153" i="2"/>
  <c r="AA2153" i="2"/>
  <c r="AB2153" i="2"/>
  <c r="AC2153" i="2"/>
  <c r="AD2153" i="2"/>
  <c r="AE2153" i="2"/>
  <c r="AF2153" i="2"/>
  <c r="AG2153" i="2"/>
  <c r="AH2153" i="2"/>
  <c r="AI2153" i="2"/>
  <c r="AJ2153" i="2"/>
  <c r="AK2153" i="2"/>
  <c r="Z2154" i="2"/>
  <c r="AA2154" i="2"/>
  <c r="AB2154" i="2"/>
  <c r="AC2154" i="2"/>
  <c r="AD2154" i="2"/>
  <c r="AE2154" i="2"/>
  <c r="AF2154" i="2"/>
  <c r="AG2154" i="2"/>
  <c r="AH2154" i="2"/>
  <c r="AI2154" i="2"/>
  <c r="AJ2154" i="2"/>
  <c r="AK2154" i="2"/>
  <c r="Z2155" i="2"/>
  <c r="AA2155" i="2"/>
  <c r="AB2155" i="2"/>
  <c r="AC2155" i="2"/>
  <c r="AD2155" i="2"/>
  <c r="AE2155" i="2"/>
  <c r="AF2155" i="2"/>
  <c r="AG2155" i="2"/>
  <c r="AH2155" i="2"/>
  <c r="AI2155" i="2"/>
  <c r="AJ2155" i="2"/>
  <c r="AK2155" i="2"/>
  <c r="Z2156" i="2"/>
  <c r="AA2156" i="2"/>
  <c r="AB2156" i="2"/>
  <c r="AC2156" i="2"/>
  <c r="AD2156" i="2"/>
  <c r="AE2156" i="2"/>
  <c r="AF2156" i="2"/>
  <c r="AG2156" i="2"/>
  <c r="AH2156" i="2"/>
  <c r="AI2156" i="2"/>
  <c r="AJ2156" i="2"/>
  <c r="AK2156" i="2"/>
  <c r="Z2157" i="2"/>
  <c r="AA2157" i="2"/>
  <c r="AB2157" i="2"/>
  <c r="AC2157" i="2"/>
  <c r="AD2157" i="2"/>
  <c r="AE2157" i="2"/>
  <c r="AF2157" i="2"/>
  <c r="AG2157" i="2"/>
  <c r="AH2157" i="2"/>
  <c r="AI2157" i="2"/>
  <c r="AJ2157" i="2"/>
  <c r="AK2157" i="2"/>
  <c r="Z2158" i="2"/>
  <c r="AA2158" i="2"/>
  <c r="AB2158" i="2"/>
  <c r="AC2158" i="2"/>
  <c r="AD2158" i="2"/>
  <c r="AE2158" i="2"/>
  <c r="AF2158" i="2"/>
  <c r="AG2158" i="2"/>
  <c r="AH2158" i="2"/>
  <c r="AI2158" i="2"/>
  <c r="AJ2158" i="2"/>
  <c r="AK2158" i="2"/>
  <c r="Z2159" i="2"/>
  <c r="AA2159" i="2"/>
  <c r="AB2159" i="2"/>
  <c r="AC2159" i="2"/>
  <c r="AD2159" i="2"/>
  <c r="AE2159" i="2"/>
  <c r="AF2159" i="2"/>
  <c r="AG2159" i="2"/>
  <c r="AH2159" i="2"/>
  <c r="AI2159" i="2"/>
  <c r="AJ2159" i="2"/>
  <c r="AK2159" i="2"/>
  <c r="Z2160" i="2"/>
  <c r="AA2160" i="2"/>
  <c r="AB2160" i="2"/>
  <c r="AC2160" i="2"/>
  <c r="AD2160" i="2"/>
  <c r="AE2160" i="2"/>
  <c r="AF2160" i="2"/>
  <c r="AG2160" i="2"/>
  <c r="AH2160" i="2"/>
  <c r="AI2160" i="2"/>
  <c r="AJ2160" i="2"/>
  <c r="AK2160" i="2"/>
  <c r="Z2161" i="2"/>
  <c r="AA2161" i="2"/>
  <c r="AB2161" i="2"/>
  <c r="AC2161" i="2"/>
  <c r="AD2161" i="2"/>
  <c r="AE2161" i="2"/>
  <c r="AF2161" i="2"/>
  <c r="AG2161" i="2"/>
  <c r="AH2161" i="2"/>
  <c r="AI2161" i="2"/>
  <c r="AJ2161" i="2"/>
  <c r="AK2161" i="2"/>
  <c r="Z2162" i="2"/>
  <c r="AA2162" i="2"/>
  <c r="AB2162" i="2"/>
  <c r="AC2162" i="2"/>
  <c r="AD2162" i="2"/>
  <c r="AE2162" i="2"/>
  <c r="AF2162" i="2"/>
  <c r="AG2162" i="2"/>
  <c r="AH2162" i="2"/>
  <c r="AI2162" i="2"/>
  <c r="AJ2162" i="2"/>
  <c r="AK2162" i="2"/>
  <c r="Z2163" i="2"/>
  <c r="AA2163" i="2"/>
  <c r="AB2163" i="2"/>
  <c r="AC2163" i="2"/>
  <c r="AD2163" i="2"/>
  <c r="AE2163" i="2"/>
  <c r="AF2163" i="2"/>
  <c r="AG2163" i="2"/>
  <c r="AH2163" i="2"/>
  <c r="AI2163" i="2"/>
  <c r="AJ2163" i="2"/>
  <c r="AK2163" i="2"/>
  <c r="Z2164" i="2"/>
  <c r="AA2164" i="2"/>
  <c r="AB2164" i="2"/>
  <c r="AC2164" i="2"/>
  <c r="AD2164" i="2"/>
  <c r="AE2164" i="2"/>
  <c r="AF2164" i="2"/>
  <c r="AG2164" i="2"/>
  <c r="AH2164" i="2"/>
  <c r="AI2164" i="2"/>
  <c r="AJ2164" i="2"/>
  <c r="AK2164" i="2"/>
  <c r="Z2165" i="2"/>
  <c r="AA2165" i="2"/>
  <c r="AB2165" i="2"/>
  <c r="AC2165" i="2"/>
  <c r="AD2165" i="2"/>
  <c r="AE2165" i="2"/>
  <c r="AF2165" i="2"/>
  <c r="AG2165" i="2"/>
  <c r="AH2165" i="2"/>
  <c r="AI2165" i="2"/>
  <c r="AJ2165" i="2"/>
  <c r="AK2165" i="2"/>
  <c r="Z2166" i="2"/>
  <c r="AA2166" i="2"/>
  <c r="AB2166" i="2"/>
  <c r="AC2166" i="2"/>
  <c r="AD2166" i="2"/>
  <c r="AE2166" i="2"/>
  <c r="AF2166" i="2"/>
  <c r="AG2166" i="2"/>
  <c r="AH2166" i="2"/>
  <c r="AI2166" i="2"/>
  <c r="AJ2166" i="2"/>
  <c r="AK2166" i="2"/>
  <c r="Z2167" i="2"/>
  <c r="AA2167" i="2"/>
  <c r="AB2167" i="2"/>
  <c r="AC2167" i="2"/>
  <c r="AD2167" i="2"/>
  <c r="AE2167" i="2"/>
  <c r="AF2167" i="2"/>
  <c r="AG2167" i="2"/>
  <c r="AH2167" i="2"/>
  <c r="AI2167" i="2"/>
  <c r="AJ2167" i="2"/>
  <c r="AK2167" i="2"/>
  <c r="Z2168" i="2"/>
  <c r="AA2168" i="2"/>
  <c r="AB2168" i="2"/>
  <c r="AC2168" i="2"/>
  <c r="AD2168" i="2"/>
  <c r="AE2168" i="2"/>
  <c r="AF2168" i="2"/>
  <c r="AG2168" i="2"/>
  <c r="AH2168" i="2"/>
  <c r="AI2168" i="2"/>
  <c r="AJ2168" i="2"/>
  <c r="AK2168" i="2"/>
  <c r="Z2169" i="2"/>
  <c r="AA2169" i="2"/>
  <c r="AB2169" i="2"/>
  <c r="AC2169" i="2"/>
  <c r="AD2169" i="2"/>
  <c r="AE2169" i="2"/>
  <c r="AF2169" i="2"/>
  <c r="AG2169" i="2"/>
  <c r="AH2169" i="2"/>
  <c r="AI2169" i="2"/>
  <c r="AJ2169" i="2"/>
  <c r="AK2169" i="2"/>
  <c r="Z2170" i="2"/>
  <c r="AA2170" i="2"/>
  <c r="AB2170" i="2"/>
  <c r="AC2170" i="2"/>
  <c r="AD2170" i="2"/>
  <c r="AE2170" i="2"/>
  <c r="AF2170" i="2"/>
  <c r="AG2170" i="2"/>
  <c r="AH2170" i="2"/>
  <c r="AI2170" i="2"/>
  <c r="AJ2170" i="2"/>
  <c r="AK2170" i="2"/>
  <c r="Z2171" i="2"/>
  <c r="AA2171" i="2"/>
  <c r="AB2171" i="2"/>
  <c r="AC2171" i="2"/>
  <c r="AD2171" i="2"/>
  <c r="AE2171" i="2"/>
  <c r="AF2171" i="2"/>
  <c r="AG2171" i="2"/>
  <c r="AH2171" i="2"/>
  <c r="AI2171" i="2"/>
  <c r="AJ2171" i="2"/>
  <c r="AK2171" i="2"/>
  <c r="Z2172" i="2"/>
  <c r="AA2172" i="2"/>
  <c r="AB2172" i="2"/>
  <c r="AC2172" i="2"/>
  <c r="AD2172" i="2"/>
  <c r="AE2172" i="2"/>
  <c r="AF2172" i="2"/>
  <c r="AG2172" i="2"/>
  <c r="AH2172" i="2"/>
  <c r="AI2172" i="2"/>
  <c r="AJ2172" i="2"/>
  <c r="AK2172" i="2"/>
  <c r="Z2173" i="2"/>
  <c r="AA2173" i="2"/>
  <c r="AB2173" i="2"/>
  <c r="AC2173" i="2"/>
  <c r="AD2173" i="2"/>
  <c r="AE2173" i="2"/>
  <c r="AF2173" i="2"/>
  <c r="AG2173" i="2"/>
  <c r="AH2173" i="2"/>
  <c r="AI2173" i="2"/>
  <c r="AJ2173" i="2"/>
  <c r="AK2173" i="2"/>
  <c r="Z2174" i="2"/>
  <c r="AA2174" i="2"/>
  <c r="AB2174" i="2"/>
  <c r="AC2174" i="2"/>
  <c r="AD2174" i="2"/>
  <c r="AE2174" i="2"/>
  <c r="AF2174" i="2"/>
  <c r="AG2174" i="2"/>
  <c r="AH2174" i="2"/>
  <c r="AI2174" i="2"/>
  <c r="AJ2174" i="2"/>
  <c r="AK2174" i="2"/>
  <c r="Z2175" i="2"/>
  <c r="AA2175" i="2"/>
  <c r="AB2175" i="2"/>
  <c r="AC2175" i="2"/>
  <c r="AD2175" i="2"/>
  <c r="AE2175" i="2"/>
  <c r="AF2175" i="2"/>
  <c r="AG2175" i="2"/>
  <c r="AH2175" i="2"/>
  <c r="AI2175" i="2"/>
  <c r="AJ2175" i="2"/>
  <c r="AK2175" i="2"/>
  <c r="Z2176" i="2"/>
  <c r="AA2176" i="2"/>
  <c r="AB2176" i="2"/>
  <c r="AC2176" i="2"/>
  <c r="AD2176" i="2"/>
  <c r="AE2176" i="2"/>
  <c r="AF2176" i="2"/>
  <c r="AG2176" i="2"/>
  <c r="AH2176" i="2"/>
  <c r="AI2176" i="2"/>
  <c r="AJ2176" i="2"/>
  <c r="AK2176" i="2"/>
  <c r="Z2177" i="2"/>
  <c r="AA2177" i="2"/>
  <c r="AB2177" i="2"/>
  <c r="AC2177" i="2"/>
  <c r="AD2177" i="2"/>
  <c r="AE2177" i="2"/>
  <c r="AF2177" i="2"/>
  <c r="AG2177" i="2"/>
  <c r="AH2177" i="2"/>
  <c r="AI2177" i="2"/>
  <c r="AJ2177" i="2"/>
  <c r="AK2177" i="2"/>
  <c r="Z2178" i="2"/>
  <c r="AA2178" i="2"/>
  <c r="AB2178" i="2"/>
  <c r="AC2178" i="2"/>
  <c r="AD2178" i="2"/>
  <c r="AE2178" i="2"/>
  <c r="AF2178" i="2"/>
  <c r="AG2178" i="2"/>
  <c r="AH2178" i="2"/>
  <c r="AI2178" i="2"/>
  <c r="AJ2178" i="2"/>
  <c r="AK2178" i="2"/>
  <c r="Z2179" i="2"/>
  <c r="AA2179" i="2"/>
  <c r="AB2179" i="2"/>
  <c r="AC2179" i="2"/>
  <c r="AD2179" i="2"/>
  <c r="AE2179" i="2"/>
  <c r="AF2179" i="2"/>
  <c r="AG2179" i="2"/>
  <c r="AH2179" i="2"/>
  <c r="AI2179" i="2"/>
  <c r="AJ2179" i="2"/>
  <c r="AK2179" i="2"/>
  <c r="Z2180" i="2"/>
  <c r="AA2180" i="2"/>
  <c r="AB2180" i="2"/>
  <c r="AC2180" i="2"/>
  <c r="AD2180" i="2"/>
  <c r="AE2180" i="2"/>
  <c r="AF2180" i="2"/>
  <c r="AG2180" i="2"/>
  <c r="AH2180" i="2"/>
  <c r="AI2180" i="2"/>
  <c r="AJ2180" i="2"/>
  <c r="AK2180" i="2"/>
  <c r="Z2181" i="2"/>
  <c r="AA2181" i="2"/>
  <c r="AB2181" i="2"/>
  <c r="AC2181" i="2"/>
  <c r="AD2181" i="2"/>
  <c r="AE2181" i="2"/>
  <c r="AF2181" i="2"/>
  <c r="AG2181" i="2"/>
  <c r="AH2181" i="2"/>
  <c r="AI2181" i="2"/>
  <c r="AJ2181" i="2"/>
  <c r="AK2181" i="2"/>
  <c r="Z2182" i="2"/>
  <c r="AA2182" i="2"/>
  <c r="AB2182" i="2"/>
  <c r="AC2182" i="2"/>
  <c r="AD2182" i="2"/>
  <c r="AE2182" i="2"/>
  <c r="AF2182" i="2"/>
  <c r="AG2182" i="2"/>
  <c r="AH2182" i="2"/>
  <c r="AI2182" i="2"/>
  <c r="AJ2182" i="2"/>
  <c r="AK2182" i="2"/>
  <c r="Z2183" i="2"/>
  <c r="AA2183" i="2"/>
  <c r="AB2183" i="2"/>
  <c r="AC2183" i="2"/>
  <c r="AD2183" i="2"/>
  <c r="AE2183" i="2"/>
  <c r="AF2183" i="2"/>
  <c r="AG2183" i="2"/>
  <c r="AH2183" i="2"/>
  <c r="AI2183" i="2"/>
  <c r="AJ2183" i="2"/>
  <c r="AK2183" i="2"/>
  <c r="Z2184" i="2"/>
  <c r="AA2184" i="2"/>
  <c r="AB2184" i="2"/>
  <c r="AC2184" i="2"/>
  <c r="AD2184" i="2"/>
  <c r="AE2184" i="2"/>
  <c r="AF2184" i="2"/>
  <c r="AG2184" i="2"/>
  <c r="AH2184" i="2"/>
  <c r="AI2184" i="2"/>
  <c r="AJ2184" i="2"/>
  <c r="AK2184" i="2"/>
  <c r="Z2185" i="2"/>
  <c r="AA2185" i="2"/>
  <c r="AB2185" i="2"/>
  <c r="AC2185" i="2"/>
  <c r="AD2185" i="2"/>
  <c r="AE2185" i="2"/>
  <c r="AF2185" i="2"/>
  <c r="AG2185" i="2"/>
  <c r="AH2185" i="2"/>
  <c r="AI2185" i="2"/>
  <c r="AJ2185" i="2"/>
  <c r="AK2185" i="2"/>
  <c r="Z2186" i="2"/>
  <c r="AA2186" i="2"/>
  <c r="AB2186" i="2"/>
  <c r="AC2186" i="2"/>
  <c r="AD2186" i="2"/>
  <c r="AE2186" i="2"/>
  <c r="AF2186" i="2"/>
  <c r="AG2186" i="2"/>
  <c r="AH2186" i="2"/>
  <c r="AI2186" i="2"/>
  <c r="AJ2186" i="2"/>
  <c r="AK2186" i="2"/>
  <c r="Z2187" i="2"/>
  <c r="AA2187" i="2"/>
  <c r="AB2187" i="2"/>
  <c r="AC2187" i="2"/>
  <c r="AD2187" i="2"/>
  <c r="AE2187" i="2"/>
  <c r="AF2187" i="2"/>
  <c r="AG2187" i="2"/>
  <c r="AH2187" i="2"/>
  <c r="AI2187" i="2"/>
  <c r="AJ2187" i="2"/>
  <c r="AK2187" i="2"/>
  <c r="Z2188" i="2"/>
  <c r="AA2188" i="2"/>
  <c r="AB2188" i="2"/>
  <c r="AC2188" i="2"/>
  <c r="AD2188" i="2"/>
  <c r="AE2188" i="2"/>
  <c r="AF2188" i="2"/>
  <c r="AG2188" i="2"/>
  <c r="AH2188" i="2"/>
  <c r="AI2188" i="2"/>
  <c r="AJ2188" i="2"/>
  <c r="AK2188" i="2"/>
  <c r="Z2189" i="2"/>
  <c r="AA2189" i="2"/>
  <c r="AB2189" i="2"/>
  <c r="AC2189" i="2"/>
  <c r="AD2189" i="2"/>
  <c r="AE2189" i="2"/>
  <c r="AF2189" i="2"/>
  <c r="AG2189" i="2"/>
  <c r="AH2189" i="2"/>
  <c r="AI2189" i="2"/>
  <c r="AJ2189" i="2"/>
  <c r="AK2189" i="2"/>
  <c r="Z2190" i="2"/>
  <c r="AA2190" i="2"/>
  <c r="AB2190" i="2"/>
  <c r="AC2190" i="2"/>
  <c r="AD2190" i="2"/>
  <c r="AE2190" i="2"/>
  <c r="AF2190" i="2"/>
  <c r="AG2190" i="2"/>
  <c r="AH2190" i="2"/>
  <c r="AI2190" i="2"/>
  <c r="AJ2190" i="2"/>
  <c r="AK2190" i="2"/>
  <c r="Z2191" i="2"/>
  <c r="AA2191" i="2"/>
  <c r="AB2191" i="2"/>
  <c r="AC2191" i="2"/>
  <c r="AD2191" i="2"/>
  <c r="AE2191" i="2"/>
  <c r="AF2191" i="2"/>
  <c r="AG2191" i="2"/>
  <c r="AH2191" i="2"/>
  <c r="AI2191" i="2"/>
  <c r="AJ2191" i="2"/>
  <c r="AK2191" i="2"/>
  <c r="Z2192" i="2"/>
  <c r="AA2192" i="2"/>
  <c r="AB2192" i="2"/>
  <c r="AC2192" i="2"/>
  <c r="AD2192" i="2"/>
  <c r="AE2192" i="2"/>
  <c r="AF2192" i="2"/>
  <c r="AG2192" i="2"/>
  <c r="AH2192" i="2"/>
  <c r="AI2192" i="2"/>
  <c r="AJ2192" i="2"/>
  <c r="AK2192" i="2"/>
  <c r="Z2193" i="2"/>
  <c r="AA2193" i="2"/>
  <c r="AB2193" i="2"/>
  <c r="AC2193" i="2"/>
  <c r="AD2193" i="2"/>
  <c r="AE2193" i="2"/>
  <c r="AF2193" i="2"/>
  <c r="AG2193" i="2"/>
  <c r="AH2193" i="2"/>
  <c r="AI2193" i="2"/>
  <c r="AJ2193" i="2"/>
  <c r="AK2193" i="2"/>
  <c r="Z2194" i="2"/>
  <c r="AA2194" i="2"/>
  <c r="AB2194" i="2"/>
  <c r="AC2194" i="2"/>
  <c r="AD2194" i="2"/>
  <c r="AE2194" i="2"/>
  <c r="AF2194" i="2"/>
  <c r="AG2194" i="2"/>
  <c r="AH2194" i="2"/>
  <c r="AI2194" i="2"/>
  <c r="AJ2194" i="2"/>
  <c r="AK2194" i="2"/>
  <c r="Z2195" i="2"/>
  <c r="AA2195" i="2"/>
  <c r="AB2195" i="2"/>
  <c r="AC2195" i="2"/>
  <c r="AD2195" i="2"/>
  <c r="AE2195" i="2"/>
  <c r="AF2195" i="2"/>
  <c r="AG2195" i="2"/>
  <c r="AH2195" i="2"/>
  <c r="AI2195" i="2"/>
  <c r="AJ2195" i="2"/>
  <c r="AK2195" i="2"/>
  <c r="Z2196" i="2"/>
  <c r="AA2196" i="2"/>
  <c r="AB2196" i="2"/>
  <c r="AC2196" i="2"/>
  <c r="AD2196" i="2"/>
  <c r="AE2196" i="2"/>
  <c r="AF2196" i="2"/>
  <c r="AG2196" i="2"/>
  <c r="AH2196" i="2"/>
  <c r="AI2196" i="2"/>
  <c r="AJ2196" i="2"/>
  <c r="AK2196" i="2"/>
  <c r="Z2197" i="2"/>
  <c r="AA2197" i="2"/>
  <c r="AB2197" i="2"/>
  <c r="AC2197" i="2"/>
  <c r="AD2197" i="2"/>
  <c r="AE2197" i="2"/>
  <c r="AF2197" i="2"/>
  <c r="AG2197" i="2"/>
  <c r="AH2197" i="2"/>
  <c r="AI2197" i="2"/>
  <c r="AJ2197" i="2"/>
  <c r="AK2197" i="2"/>
  <c r="Z2198" i="2"/>
  <c r="AA2198" i="2"/>
  <c r="AB2198" i="2"/>
  <c r="AC2198" i="2"/>
  <c r="AD2198" i="2"/>
  <c r="AE2198" i="2"/>
  <c r="AF2198" i="2"/>
  <c r="AG2198" i="2"/>
  <c r="AH2198" i="2"/>
  <c r="AI2198" i="2"/>
  <c r="AJ2198" i="2"/>
  <c r="AK2198" i="2"/>
  <c r="Z2199" i="2"/>
  <c r="AA2199" i="2"/>
  <c r="AB2199" i="2"/>
  <c r="AC2199" i="2"/>
  <c r="AD2199" i="2"/>
  <c r="AE2199" i="2"/>
  <c r="AF2199" i="2"/>
  <c r="AG2199" i="2"/>
  <c r="AH2199" i="2"/>
  <c r="AI2199" i="2"/>
  <c r="AJ2199" i="2"/>
  <c r="AK2199" i="2"/>
  <c r="Z2200" i="2"/>
  <c r="AA2200" i="2"/>
  <c r="AB2200" i="2"/>
  <c r="AC2200" i="2"/>
  <c r="AD2200" i="2"/>
  <c r="AE2200" i="2"/>
  <c r="AF2200" i="2"/>
  <c r="AG2200" i="2"/>
  <c r="AH2200" i="2"/>
  <c r="AI2200" i="2"/>
  <c r="AJ2200" i="2"/>
  <c r="AK2200" i="2"/>
  <c r="Z2201" i="2"/>
  <c r="AA2201" i="2"/>
  <c r="AB2201" i="2"/>
  <c r="AC2201" i="2"/>
  <c r="AD2201" i="2"/>
  <c r="AE2201" i="2"/>
  <c r="AF2201" i="2"/>
  <c r="AG2201" i="2"/>
  <c r="AH2201" i="2"/>
  <c r="AI2201" i="2"/>
  <c r="AJ2201" i="2"/>
  <c r="AK2201" i="2"/>
  <c r="Z2202" i="2"/>
  <c r="AA2202" i="2"/>
  <c r="AB2202" i="2"/>
  <c r="AC2202" i="2"/>
  <c r="AD2202" i="2"/>
  <c r="AE2202" i="2"/>
  <c r="AF2202" i="2"/>
  <c r="AG2202" i="2"/>
  <c r="AH2202" i="2"/>
  <c r="AI2202" i="2"/>
  <c r="AJ2202" i="2"/>
  <c r="AK2202" i="2"/>
  <c r="Z2203" i="2"/>
  <c r="AA2203" i="2"/>
  <c r="AB2203" i="2"/>
  <c r="AC2203" i="2"/>
  <c r="AD2203" i="2"/>
  <c r="AE2203" i="2"/>
  <c r="AF2203" i="2"/>
  <c r="AG2203" i="2"/>
  <c r="AH2203" i="2"/>
  <c r="AI2203" i="2"/>
  <c r="AJ2203" i="2"/>
  <c r="AK2203" i="2"/>
  <c r="Z2204" i="2"/>
  <c r="AA2204" i="2"/>
  <c r="AB2204" i="2"/>
  <c r="AC2204" i="2"/>
  <c r="AD2204" i="2"/>
  <c r="AE2204" i="2"/>
  <c r="AF2204" i="2"/>
  <c r="AG2204" i="2"/>
  <c r="AH2204" i="2"/>
  <c r="AI2204" i="2"/>
  <c r="AJ2204" i="2"/>
  <c r="AK2204" i="2"/>
  <c r="Z2205" i="2"/>
  <c r="AA2205" i="2"/>
  <c r="AB2205" i="2"/>
  <c r="AC2205" i="2"/>
  <c r="AD2205" i="2"/>
  <c r="AE2205" i="2"/>
  <c r="AF2205" i="2"/>
  <c r="AG2205" i="2"/>
  <c r="AH2205" i="2"/>
  <c r="AI2205" i="2"/>
  <c r="AJ2205" i="2"/>
  <c r="AK2205" i="2"/>
  <c r="Z2206" i="2"/>
  <c r="AA2206" i="2"/>
  <c r="AB2206" i="2"/>
  <c r="AC2206" i="2"/>
  <c r="AD2206" i="2"/>
  <c r="AE2206" i="2"/>
  <c r="AF2206" i="2"/>
  <c r="AG2206" i="2"/>
  <c r="AH2206" i="2"/>
  <c r="AI2206" i="2"/>
  <c r="AJ2206" i="2"/>
  <c r="AK2206" i="2"/>
  <c r="Z2207" i="2"/>
  <c r="AA2207" i="2"/>
  <c r="AB2207" i="2"/>
  <c r="AC2207" i="2"/>
  <c r="AD2207" i="2"/>
  <c r="AE2207" i="2"/>
  <c r="AF2207" i="2"/>
  <c r="AG2207" i="2"/>
  <c r="AH2207" i="2"/>
  <c r="AI2207" i="2"/>
  <c r="AJ2207" i="2"/>
  <c r="AK2207" i="2"/>
  <c r="Z2208" i="2"/>
  <c r="AA2208" i="2"/>
  <c r="AB2208" i="2"/>
  <c r="AC2208" i="2"/>
  <c r="AD2208" i="2"/>
  <c r="AE2208" i="2"/>
  <c r="AF2208" i="2"/>
  <c r="AG2208" i="2"/>
  <c r="AH2208" i="2"/>
  <c r="AI2208" i="2"/>
  <c r="AJ2208" i="2"/>
  <c r="AK2208" i="2"/>
  <c r="Z2209" i="2"/>
  <c r="AA2209" i="2"/>
  <c r="AB2209" i="2"/>
  <c r="AC2209" i="2"/>
  <c r="AD2209" i="2"/>
  <c r="AE2209" i="2"/>
  <c r="AF2209" i="2"/>
  <c r="AG2209" i="2"/>
  <c r="AH2209" i="2"/>
  <c r="AI2209" i="2"/>
  <c r="AJ2209" i="2"/>
  <c r="AK2209" i="2"/>
  <c r="Z2210" i="2"/>
  <c r="AA2210" i="2"/>
  <c r="AB2210" i="2"/>
  <c r="AC2210" i="2"/>
  <c r="AD2210" i="2"/>
  <c r="AE2210" i="2"/>
  <c r="AF2210" i="2"/>
  <c r="AG2210" i="2"/>
  <c r="AH2210" i="2"/>
  <c r="AI2210" i="2"/>
  <c r="AJ2210" i="2"/>
  <c r="AK2210" i="2"/>
  <c r="Z2211" i="2"/>
  <c r="AA2211" i="2"/>
  <c r="AB2211" i="2"/>
  <c r="AC2211" i="2"/>
  <c r="AD2211" i="2"/>
  <c r="AE2211" i="2"/>
  <c r="AF2211" i="2"/>
  <c r="AG2211" i="2"/>
  <c r="AH2211" i="2"/>
  <c r="AI2211" i="2"/>
  <c r="AJ2211" i="2"/>
  <c r="AK2211" i="2"/>
  <c r="Z2212" i="2"/>
  <c r="AA2212" i="2"/>
  <c r="AB2212" i="2"/>
  <c r="AC2212" i="2"/>
  <c r="AD2212" i="2"/>
  <c r="AE2212" i="2"/>
  <c r="AF2212" i="2"/>
  <c r="AG2212" i="2"/>
  <c r="AH2212" i="2"/>
  <c r="AI2212" i="2"/>
  <c r="AJ2212" i="2"/>
  <c r="AK2212" i="2"/>
  <c r="Z2213" i="2"/>
  <c r="AA2213" i="2"/>
  <c r="AB2213" i="2"/>
  <c r="AC2213" i="2"/>
  <c r="AD2213" i="2"/>
  <c r="AE2213" i="2"/>
  <c r="AF2213" i="2"/>
  <c r="AG2213" i="2"/>
  <c r="AH2213" i="2"/>
  <c r="AI2213" i="2"/>
  <c r="AJ2213" i="2"/>
  <c r="AK2213" i="2"/>
  <c r="Z2214" i="2"/>
  <c r="AA2214" i="2"/>
  <c r="AB2214" i="2"/>
  <c r="AC2214" i="2"/>
  <c r="AD2214" i="2"/>
  <c r="AE2214" i="2"/>
  <c r="AF2214" i="2"/>
  <c r="AG2214" i="2"/>
  <c r="AH2214" i="2"/>
  <c r="AI2214" i="2"/>
  <c r="AJ2214" i="2"/>
  <c r="AK2214" i="2"/>
  <c r="Z2215" i="2"/>
  <c r="AA2215" i="2"/>
  <c r="AB2215" i="2"/>
  <c r="AC2215" i="2"/>
  <c r="AD2215" i="2"/>
  <c r="AE2215" i="2"/>
  <c r="AF2215" i="2"/>
  <c r="AG2215" i="2"/>
  <c r="AH2215" i="2"/>
  <c r="AI2215" i="2"/>
  <c r="AJ2215" i="2"/>
  <c r="AK2215" i="2"/>
  <c r="Z2216" i="2"/>
  <c r="AA2216" i="2"/>
  <c r="AB2216" i="2"/>
  <c r="AC2216" i="2"/>
  <c r="AD2216" i="2"/>
  <c r="AE2216" i="2"/>
  <c r="AF2216" i="2"/>
  <c r="AG2216" i="2"/>
  <c r="AH2216" i="2"/>
  <c r="AI2216" i="2"/>
  <c r="AJ2216" i="2"/>
  <c r="AK2216" i="2"/>
  <c r="Z2217" i="2"/>
  <c r="AA2217" i="2"/>
  <c r="AB2217" i="2"/>
  <c r="AC2217" i="2"/>
  <c r="AD2217" i="2"/>
  <c r="AE2217" i="2"/>
  <c r="AF2217" i="2"/>
  <c r="AG2217" i="2"/>
  <c r="AH2217" i="2"/>
  <c r="AI2217" i="2"/>
  <c r="AJ2217" i="2"/>
  <c r="AK2217" i="2"/>
  <c r="Z2218" i="2"/>
  <c r="AA2218" i="2"/>
  <c r="AB2218" i="2"/>
  <c r="AC2218" i="2"/>
  <c r="AD2218" i="2"/>
  <c r="AE2218" i="2"/>
  <c r="AF2218" i="2"/>
  <c r="AG2218" i="2"/>
  <c r="AH2218" i="2"/>
  <c r="AI2218" i="2"/>
  <c r="AJ2218" i="2"/>
  <c r="AK2218" i="2"/>
  <c r="Z2219" i="2"/>
  <c r="AA2219" i="2"/>
  <c r="AB2219" i="2"/>
  <c r="AC2219" i="2"/>
  <c r="AD2219" i="2"/>
  <c r="AE2219" i="2"/>
  <c r="AF2219" i="2"/>
  <c r="AG2219" i="2"/>
  <c r="AH2219" i="2"/>
  <c r="AI2219" i="2"/>
  <c r="AJ2219" i="2"/>
  <c r="AK2219" i="2"/>
  <c r="Z2220" i="2"/>
  <c r="AA2220" i="2"/>
  <c r="AB2220" i="2"/>
  <c r="AC2220" i="2"/>
  <c r="AD2220" i="2"/>
  <c r="AE2220" i="2"/>
  <c r="AF2220" i="2"/>
  <c r="AG2220" i="2"/>
  <c r="AH2220" i="2"/>
  <c r="AI2220" i="2"/>
  <c r="AJ2220" i="2"/>
  <c r="AK2220" i="2"/>
  <c r="Z2221" i="2"/>
  <c r="AA2221" i="2"/>
  <c r="AB2221" i="2"/>
  <c r="AC2221" i="2"/>
  <c r="AD2221" i="2"/>
  <c r="AE2221" i="2"/>
  <c r="AF2221" i="2"/>
  <c r="AG2221" i="2"/>
  <c r="AH2221" i="2"/>
  <c r="AI2221" i="2"/>
  <c r="AJ2221" i="2"/>
  <c r="AK2221" i="2"/>
  <c r="Z2222" i="2"/>
  <c r="AA2222" i="2"/>
  <c r="AB2222" i="2"/>
  <c r="AC2222" i="2"/>
  <c r="AD2222" i="2"/>
  <c r="AE2222" i="2"/>
  <c r="AF2222" i="2"/>
  <c r="AG2222" i="2"/>
  <c r="AH2222" i="2"/>
  <c r="AI2222" i="2"/>
  <c r="AJ2222" i="2"/>
  <c r="AK2222" i="2"/>
  <c r="Z2223" i="2"/>
  <c r="AA2223" i="2"/>
  <c r="AB2223" i="2"/>
  <c r="AC2223" i="2"/>
  <c r="AD2223" i="2"/>
  <c r="AE2223" i="2"/>
  <c r="AF2223" i="2"/>
  <c r="AG2223" i="2"/>
  <c r="AH2223" i="2"/>
  <c r="AI2223" i="2"/>
  <c r="AJ2223" i="2"/>
  <c r="AK2223" i="2"/>
  <c r="Z2224" i="2"/>
  <c r="AA2224" i="2"/>
  <c r="AB2224" i="2"/>
  <c r="AC2224" i="2"/>
  <c r="AD2224" i="2"/>
  <c r="AE2224" i="2"/>
  <c r="AF2224" i="2"/>
  <c r="AG2224" i="2"/>
  <c r="AH2224" i="2"/>
  <c r="AI2224" i="2"/>
  <c r="AJ2224" i="2"/>
  <c r="AK2224" i="2"/>
  <c r="Z2225" i="2"/>
  <c r="AA2225" i="2"/>
  <c r="AB2225" i="2"/>
  <c r="AC2225" i="2"/>
  <c r="AD2225" i="2"/>
  <c r="AE2225" i="2"/>
  <c r="AF2225" i="2"/>
  <c r="AG2225" i="2"/>
  <c r="AH2225" i="2"/>
  <c r="AI2225" i="2"/>
  <c r="AJ2225" i="2"/>
  <c r="AK2225" i="2"/>
  <c r="Z2226" i="2"/>
  <c r="AA2226" i="2"/>
  <c r="AB2226" i="2"/>
  <c r="AC2226" i="2"/>
  <c r="AD2226" i="2"/>
  <c r="AE2226" i="2"/>
  <c r="AF2226" i="2"/>
  <c r="AG2226" i="2"/>
  <c r="AH2226" i="2"/>
  <c r="AI2226" i="2"/>
  <c r="AJ2226" i="2"/>
  <c r="AK2226" i="2"/>
  <c r="Z2227" i="2"/>
  <c r="AA2227" i="2"/>
  <c r="AB2227" i="2"/>
  <c r="AC2227" i="2"/>
  <c r="AD2227" i="2"/>
  <c r="AE2227" i="2"/>
  <c r="AF2227" i="2"/>
  <c r="AG2227" i="2"/>
  <c r="AH2227" i="2"/>
  <c r="AI2227" i="2"/>
  <c r="AJ2227" i="2"/>
  <c r="AK2227" i="2"/>
  <c r="Z2228" i="2"/>
  <c r="AA2228" i="2"/>
  <c r="AB2228" i="2"/>
  <c r="AC2228" i="2"/>
  <c r="AD2228" i="2"/>
  <c r="AE2228" i="2"/>
  <c r="AF2228" i="2"/>
  <c r="AG2228" i="2"/>
  <c r="AH2228" i="2"/>
  <c r="AI2228" i="2"/>
  <c r="AJ2228" i="2"/>
  <c r="AK2228" i="2"/>
  <c r="Z2229" i="2"/>
  <c r="AA2229" i="2"/>
  <c r="AB2229" i="2"/>
  <c r="AC2229" i="2"/>
  <c r="AD2229" i="2"/>
  <c r="AE2229" i="2"/>
  <c r="AF2229" i="2"/>
  <c r="AG2229" i="2"/>
  <c r="AH2229" i="2"/>
  <c r="AI2229" i="2"/>
  <c r="AJ2229" i="2"/>
  <c r="AK2229" i="2"/>
  <c r="Z2230" i="2"/>
  <c r="AA2230" i="2"/>
  <c r="AB2230" i="2"/>
  <c r="AC2230" i="2"/>
  <c r="AD2230" i="2"/>
  <c r="AE2230" i="2"/>
  <c r="AF2230" i="2"/>
  <c r="AG2230" i="2"/>
  <c r="AH2230" i="2"/>
  <c r="AI2230" i="2"/>
  <c r="AJ2230" i="2"/>
  <c r="AK2230" i="2"/>
  <c r="Z2231" i="2"/>
  <c r="AA2231" i="2"/>
  <c r="AB2231" i="2"/>
  <c r="AC2231" i="2"/>
  <c r="AD2231" i="2"/>
  <c r="AE2231" i="2"/>
  <c r="AF2231" i="2"/>
  <c r="AG2231" i="2"/>
  <c r="AH2231" i="2"/>
  <c r="AI2231" i="2"/>
  <c r="AJ2231" i="2"/>
  <c r="AK2231" i="2"/>
  <c r="Z2232" i="2"/>
  <c r="AA2232" i="2"/>
  <c r="AB2232" i="2"/>
  <c r="AC2232" i="2"/>
  <c r="AD2232" i="2"/>
  <c r="AE2232" i="2"/>
  <c r="AF2232" i="2"/>
  <c r="AG2232" i="2"/>
  <c r="AH2232" i="2"/>
  <c r="AI2232" i="2"/>
  <c r="AJ2232" i="2"/>
  <c r="AK2232" i="2"/>
  <c r="Z2233" i="2"/>
  <c r="AA2233" i="2"/>
  <c r="AB2233" i="2"/>
  <c r="AC2233" i="2"/>
  <c r="AD2233" i="2"/>
  <c r="AE2233" i="2"/>
  <c r="AF2233" i="2"/>
  <c r="AG2233" i="2"/>
  <c r="AH2233" i="2"/>
  <c r="AI2233" i="2"/>
  <c r="AJ2233" i="2"/>
  <c r="AK2233" i="2"/>
  <c r="Z2234" i="2"/>
  <c r="AA2234" i="2"/>
  <c r="AB2234" i="2"/>
  <c r="AC2234" i="2"/>
  <c r="AD2234" i="2"/>
  <c r="AE2234" i="2"/>
  <c r="AF2234" i="2"/>
  <c r="AG2234" i="2"/>
  <c r="AH2234" i="2"/>
  <c r="AI2234" i="2"/>
  <c r="AJ2234" i="2"/>
  <c r="AK2234" i="2"/>
  <c r="Z2235" i="2"/>
  <c r="AA2235" i="2"/>
  <c r="AB2235" i="2"/>
  <c r="AC2235" i="2"/>
  <c r="AD2235" i="2"/>
  <c r="AE2235" i="2"/>
  <c r="AF2235" i="2"/>
  <c r="AG2235" i="2"/>
  <c r="AH2235" i="2"/>
  <c r="AI2235" i="2"/>
  <c r="AJ2235" i="2"/>
  <c r="AK2235" i="2"/>
  <c r="Z2236" i="2"/>
  <c r="AA2236" i="2"/>
  <c r="AB2236" i="2"/>
  <c r="AC2236" i="2"/>
  <c r="AD2236" i="2"/>
  <c r="AE2236" i="2"/>
  <c r="AF2236" i="2"/>
  <c r="AG2236" i="2"/>
  <c r="AH2236" i="2"/>
  <c r="AI2236" i="2"/>
  <c r="AJ2236" i="2"/>
  <c r="AK2236" i="2"/>
  <c r="Z2237" i="2"/>
  <c r="AA2237" i="2"/>
  <c r="AB2237" i="2"/>
  <c r="AC2237" i="2"/>
  <c r="AD2237" i="2"/>
  <c r="AE2237" i="2"/>
  <c r="AF2237" i="2"/>
  <c r="AG2237" i="2"/>
  <c r="AH2237" i="2"/>
  <c r="AI2237" i="2"/>
  <c r="AJ2237" i="2"/>
  <c r="AK2237" i="2"/>
  <c r="Z2238" i="2"/>
  <c r="AA2238" i="2"/>
  <c r="AB2238" i="2"/>
  <c r="AC2238" i="2"/>
  <c r="AD2238" i="2"/>
  <c r="AE2238" i="2"/>
  <c r="AF2238" i="2"/>
  <c r="AG2238" i="2"/>
  <c r="AH2238" i="2"/>
  <c r="AI2238" i="2"/>
  <c r="AJ2238" i="2"/>
  <c r="AK2238" i="2"/>
  <c r="Z2239" i="2"/>
  <c r="AA2239" i="2"/>
  <c r="AB2239" i="2"/>
  <c r="AC2239" i="2"/>
  <c r="AD2239" i="2"/>
  <c r="AE2239" i="2"/>
  <c r="AF2239" i="2"/>
  <c r="AG2239" i="2"/>
  <c r="AH2239" i="2"/>
  <c r="AI2239" i="2"/>
  <c r="AJ2239" i="2"/>
  <c r="AK2239" i="2"/>
  <c r="Z2240" i="2"/>
  <c r="AA2240" i="2"/>
  <c r="AB2240" i="2"/>
  <c r="AC2240" i="2"/>
  <c r="AD2240" i="2"/>
  <c r="AE2240" i="2"/>
  <c r="AF2240" i="2"/>
  <c r="AG2240" i="2"/>
  <c r="AH2240" i="2"/>
  <c r="AI2240" i="2"/>
  <c r="AJ2240" i="2"/>
  <c r="AK2240" i="2"/>
  <c r="Z2241" i="2"/>
  <c r="AA2241" i="2"/>
  <c r="AB2241" i="2"/>
  <c r="AC2241" i="2"/>
  <c r="AD2241" i="2"/>
  <c r="AE2241" i="2"/>
  <c r="AF2241" i="2"/>
  <c r="AG2241" i="2"/>
  <c r="AH2241" i="2"/>
  <c r="AI2241" i="2"/>
  <c r="AJ2241" i="2"/>
  <c r="AK2241" i="2"/>
  <c r="Z2242" i="2"/>
  <c r="AA2242" i="2"/>
  <c r="AB2242" i="2"/>
  <c r="AC2242" i="2"/>
  <c r="AD2242" i="2"/>
  <c r="AE2242" i="2"/>
  <c r="AF2242" i="2"/>
  <c r="AG2242" i="2"/>
  <c r="AH2242" i="2"/>
  <c r="AI2242" i="2"/>
  <c r="AJ2242" i="2"/>
  <c r="AK2242" i="2"/>
  <c r="Z2243" i="2"/>
  <c r="AA2243" i="2"/>
  <c r="AB2243" i="2"/>
  <c r="AC2243" i="2"/>
  <c r="AD2243" i="2"/>
  <c r="AE2243" i="2"/>
  <c r="AF2243" i="2"/>
  <c r="AG2243" i="2"/>
  <c r="AH2243" i="2"/>
  <c r="AI2243" i="2"/>
  <c r="AJ2243" i="2"/>
  <c r="AK2243" i="2"/>
  <c r="Z2244" i="2"/>
  <c r="AA2244" i="2"/>
  <c r="AB2244" i="2"/>
  <c r="AC2244" i="2"/>
  <c r="AD2244" i="2"/>
  <c r="AE2244" i="2"/>
  <c r="AF2244" i="2"/>
  <c r="AG2244" i="2"/>
  <c r="AH2244" i="2"/>
  <c r="AI2244" i="2"/>
  <c r="AJ2244" i="2"/>
  <c r="AK2244" i="2"/>
  <c r="Z2245" i="2"/>
  <c r="AA2245" i="2"/>
  <c r="AB2245" i="2"/>
  <c r="AC2245" i="2"/>
  <c r="AD2245" i="2"/>
  <c r="AE2245" i="2"/>
  <c r="AF2245" i="2"/>
  <c r="AG2245" i="2"/>
  <c r="AH2245" i="2"/>
  <c r="AI2245" i="2"/>
  <c r="AJ2245" i="2"/>
  <c r="AK2245" i="2"/>
  <c r="Z2246" i="2"/>
  <c r="AA2246" i="2"/>
  <c r="AB2246" i="2"/>
  <c r="AC2246" i="2"/>
  <c r="AD2246" i="2"/>
  <c r="AE2246" i="2"/>
  <c r="AF2246" i="2"/>
  <c r="AG2246" i="2"/>
  <c r="AH2246" i="2"/>
  <c r="AI2246" i="2"/>
  <c r="AJ2246" i="2"/>
  <c r="AK2246" i="2"/>
  <c r="Z2247" i="2"/>
  <c r="AA2247" i="2"/>
  <c r="AB2247" i="2"/>
  <c r="AC2247" i="2"/>
  <c r="AD2247" i="2"/>
  <c r="AE2247" i="2"/>
  <c r="AF2247" i="2"/>
  <c r="AG2247" i="2"/>
  <c r="AH2247" i="2"/>
  <c r="AI2247" i="2"/>
  <c r="AJ2247" i="2"/>
  <c r="AK2247" i="2"/>
  <c r="Z2248" i="2"/>
  <c r="AA2248" i="2"/>
  <c r="AB2248" i="2"/>
  <c r="AC2248" i="2"/>
  <c r="AD2248" i="2"/>
  <c r="AE2248" i="2"/>
  <c r="AF2248" i="2"/>
  <c r="AG2248" i="2"/>
  <c r="AH2248" i="2"/>
  <c r="AI2248" i="2"/>
  <c r="AJ2248" i="2"/>
  <c r="AK2248" i="2"/>
  <c r="Z2249" i="2"/>
  <c r="AA2249" i="2"/>
  <c r="AB2249" i="2"/>
  <c r="AC2249" i="2"/>
  <c r="AD2249" i="2"/>
  <c r="AE2249" i="2"/>
  <c r="AF2249" i="2"/>
  <c r="AG2249" i="2"/>
  <c r="AH2249" i="2"/>
  <c r="AI2249" i="2"/>
  <c r="AJ2249" i="2"/>
  <c r="AK2249" i="2"/>
  <c r="Z2250" i="2"/>
  <c r="AA2250" i="2"/>
  <c r="AB2250" i="2"/>
  <c r="AC2250" i="2"/>
  <c r="AD2250" i="2"/>
  <c r="AE2250" i="2"/>
  <c r="AF2250" i="2"/>
  <c r="AG2250" i="2"/>
  <c r="AH2250" i="2"/>
  <c r="AI2250" i="2"/>
  <c r="AJ2250" i="2"/>
  <c r="AK2250" i="2"/>
  <c r="Z2251" i="2"/>
  <c r="AA2251" i="2"/>
  <c r="AB2251" i="2"/>
  <c r="AC2251" i="2"/>
  <c r="AD2251" i="2"/>
  <c r="AE2251" i="2"/>
  <c r="AF2251" i="2"/>
  <c r="AG2251" i="2"/>
  <c r="AH2251" i="2"/>
  <c r="AI2251" i="2"/>
  <c r="AJ2251" i="2"/>
  <c r="AK2251" i="2"/>
  <c r="Z2252" i="2"/>
  <c r="AA2252" i="2"/>
  <c r="AB2252" i="2"/>
  <c r="AC2252" i="2"/>
  <c r="AD2252" i="2"/>
  <c r="AE2252" i="2"/>
  <c r="AF2252" i="2"/>
  <c r="AG2252" i="2"/>
  <c r="AH2252" i="2"/>
  <c r="AI2252" i="2"/>
  <c r="AJ2252" i="2"/>
  <c r="AK2252" i="2"/>
  <c r="Z2253" i="2"/>
  <c r="AA2253" i="2"/>
  <c r="AB2253" i="2"/>
  <c r="AC2253" i="2"/>
  <c r="AD2253" i="2"/>
  <c r="AE2253" i="2"/>
  <c r="AF2253" i="2"/>
  <c r="AG2253" i="2"/>
  <c r="AH2253" i="2"/>
  <c r="AI2253" i="2"/>
  <c r="AJ2253" i="2"/>
  <c r="AK2253" i="2"/>
  <c r="Z2254" i="2"/>
  <c r="AA2254" i="2"/>
  <c r="AB2254" i="2"/>
  <c r="AC2254" i="2"/>
  <c r="AD2254" i="2"/>
  <c r="AE2254" i="2"/>
  <c r="AF2254" i="2"/>
  <c r="AG2254" i="2"/>
  <c r="AH2254" i="2"/>
  <c r="AI2254" i="2"/>
  <c r="AJ2254" i="2"/>
  <c r="AK2254" i="2"/>
  <c r="Z2255" i="2"/>
  <c r="AA2255" i="2"/>
  <c r="AB2255" i="2"/>
  <c r="AC2255" i="2"/>
  <c r="AD2255" i="2"/>
  <c r="AE2255" i="2"/>
  <c r="AF2255" i="2"/>
  <c r="AG2255" i="2"/>
  <c r="AH2255" i="2"/>
  <c r="AI2255" i="2"/>
  <c r="AJ2255" i="2"/>
  <c r="AK2255" i="2"/>
  <c r="Z2256" i="2"/>
  <c r="AA2256" i="2"/>
  <c r="AB2256" i="2"/>
  <c r="AC2256" i="2"/>
  <c r="AD2256" i="2"/>
  <c r="AE2256" i="2"/>
  <c r="AF2256" i="2"/>
  <c r="AG2256" i="2"/>
  <c r="AH2256" i="2"/>
  <c r="AI2256" i="2"/>
  <c r="AJ2256" i="2"/>
  <c r="AK2256" i="2"/>
  <c r="Z2257" i="2"/>
  <c r="AA2257" i="2"/>
  <c r="AB2257" i="2"/>
  <c r="AC2257" i="2"/>
  <c r="AD2257" i="2"/>
  <c r="AE2257" i="2"/>
  <c r="AF2257" i="2"/>
  <c r="AG2257" i="2"/>
  <c r="AH2257" i="2"/>
  <c r="AI2257" i="2"/>
  <c r="AJ2257" i="2"/>
  <c r="AK2257" i="2"/>
  <c r="Z2258" i="2"/>
  <c r="AA2258" i="2"/>
  <c r="AB2258" i="2"/>
  <c r="AC2258" i="2"/>
  <c r="AD2258" i="2"/>
  <c r="AE2258" i="2"/>
  <c r="AF2258" i="2"/>
  <c r="AG2258" i="2"/>
  <c r="AH2258" i="2"/>
  <c r="AI2258" i="2"/>
  <c r="AJ2258" i="2"/>
  <c r="AK2258" i="2"/>
  <c r="Z2259" i="2"/>
  <c r="AA2259" i="2"/>
  <c r="AB2259" i="2"/>
  <c r="AC2259" i="2"/>
  <c r="AD2259" i="2"/>
  <c r="AE2259" i="2"/>
  <c r="AF2259" i="2"/>
  <c r="AG2259" i="2"/>
  <c r="AH2259" i="2"/>
  <c r="AI2259" i="2"/>
  <c r="AJ2259" i="2"/>
  <c r="AK2259" i="2"/>
  <c r="Z2260" i="2"/>
  <c r="AA2260" i="2"/>
  <c r="AB2260" i="2"/>
  <c r="AC2260" i="2"/>
  <c r="AD2260" i="2"/>
  <c r="AE2260" i="2"/>
  <c r="AF2260" i="2"/>
  <c r="AG2260" i="2"/>
  <c r="AH2260" i="2"/>
  <c r="AI2260" i="2"/>
  <c r="AJ2260" i="2"/>
  <c r="AK2260" i="2"/>
  <c r="Z2261" i="2"/>
  <c r="AA2261" i="2"/>
  <c r="AB2261" i="2"/>
  <c r="AC2261" i="2"/>
  <c r="AD2261" i="2"/>
  <c r="AE2261" i="2"/>
  <c r="AF2261" i="2"/>
  <c r="AG2261" i="2"/>
  <c r="AH2261" i="2"/>
  <c r="AI2261" i="2"/>
  <c r="AJ2261" i="2"/>
  <c r="AK2261" i="2"/>
  <c r="Z2262" i="2"/>
  <c r="AA2262" i="2"/>
  <c r="AB2262" i="2"/>
  <c r="AC2262" i="2"/>
  <c r="AD2262" i="2"/>
  <c r="AE2262" i="2"/>
  <c r="AF2262" i="2"/>
  <c r="AG2262" i="2"/>
  <c r="AH2262" i="2"/>
  <c r="AI2262" i="2"/>
  <c r="AJ2262" i="2"/>
  <c r="AK2262" i="2"/>
  <c r="Z2263" i="2"/>
  <c r="AA2263" i="2"/>
  <c r="AB2263" i="2"/>
  <c r="AC2263" i="2"/>
  <c r="AD2263" i="2"/>
  <c r="AE2263" i="2"/>
  <c r="AF2263" i="2"/>
  <c r="AG2263" i="2"/>
  <c r="AH2263" i="2"/>
  <c r="AI2263" i="2"/>
  <c r="AJ2263" i="2"/>
  <c r="AK2263" i="2"/>
  <c r="Z2264" i="2"/>
  <c r="AA2264" i="2"/>
  <c r="AB2264" i="2"/>
  <c r="AC2264" i="2"/>
  <c r="AD2264" i="2"/>
  <c r="AE2264" i="2"/>
  <c r="AF2264" i="2"/>
  <c r="AG2264" i="2"/>
  <c r="AH2264" i="2"/>
  <c r="AI2264" i="2"/>
  <c r="AJ2264" i="2"/>
  <c r="AK2264" i="2"/>
  <c r="Z2265" i="2"/>
  <c r="AA2265" i="2"/>
  <c r="AB2265" i="2"/>
  <c r="AC2265" i="2"/>
  <c r="AD2265" i="2"/>
  <c r="AE2265" i="2"/>
  <c r="AF2265" i="2"/>
  <c r="AG2265" i="2"/>
  <c r="AH2265" i="2"/>
  <c r="AI2265" i="2"/>
  <c r="AJ2265" i="2"/>
  <c r="AK2265" i="2"/>
  <c r="Z2266" i="2"/>
  <c r="AA2266" i="2"/>
  <c r="AB2266" i="2"/>
  <c r="AC2266" i="2"/>
  <c r="AD2266" i="2"/>
  <c r="AE2266" i="2"/>
  <c r="AF2266" i="2"/>
  <c r="AG2266" i="2"/>
  <c r="AH2266" i="2"/>
  <c r="AI2266" i="2"/>
  <c r="AJ2266" i="2"/>
  <c r="AK2266" i="2"/>
  <c r="Z2267" i="2"/>
  <c r="AA2267" i="2"/>
  <c r="AB2267" i="2"/>
  <c r="AC2267" i="2"/>
  <c r="AD2267" i="2"/>
  <c r="AE2267" i="2"/>
  <c r="AF2267" i="2"/>
  <c r="AG2267" i="2"/>
  <c r="AH2267" i="2"/>
  <c r="AI2267" i="2"/>
  <c r="AJ2267" i="2"/>
  <c r="AK2267" i="2"/>
  <c r="Z2268" i="2"/>
  <c r="AA2268" i="2"/>
  <c r="AB2268" i="2"/>
  <c r="AC2268" i="2"/>
  <c r="AD2268" i="2"/>
  <c r="AE2268" i="2"/>
  <c r="AF2268" i="2"/>
  <c r="AG2268" i="2"/>
  <c r="AH2268" i="2"/>
  <c r="AI2268" i="2"/>
  <c r="AJ2268" i="2"/>
  <c r="AK2268" i="2"/>
  <c r="Z2269" i="2"/>
  <c r="AA2269" i="2"/>
  <c r="AB2269" i="2"/>
  <c r="AC2269" i="2"/>
  <c r="AD2269" i="2"/>
  <c r="AE2269" i="2"/>
  <c r="AF2269" i="2"/>
  <c r="AG2269" i="2"/>
  <c r="AH2269" i="2"/>
  <c r="AI2269" i="2"/>
  <c r="AJ2269" i="2"/>
  <c r="AK2269" i="2"/>
  <c r="Z2270" i="2"/>
  <c r="AA2270" i="2"/>
  <c r="AB2270" i="2"/>
  <c r="AC2270" i="2"/>
  <c r="AD2270" i="2"/>
  <c r="AE2270" i="2"/>
  <c r="AF2270" i="2"/>
  <c r="AG2270" i="2"/>
  <c r="AH2270" i="2"/>
  <c r="AI2270" i="2"/>
  <c r="AJ2270" i="2"/>
  <c r="AK2270" i="2"/>
  <c r="Z2271" i="2"/>
  <c r="AA2271" i="2"/>
  <c r="AB2271" i="2"/>
  <c r="AC2271" i="2"/>
  <c r="AD2271" i="2"/>
  <c r="AE2271" i="2"/>
  <c r="AF2271" i="2"/>
  <c r="AG2271" i="2"/>
  <c r="AH2271" i="2"/>
  <c r="AI2271" i="2"/>
  <c r="AJ2271" i="2"/>
  <c r="AK2271" i="2"/>
  <c r="Z2272" i="2"/>
  <c r="AA2272" i="2"/>
  <c r="AB2272" i="2"/>
  <c r="AC2272" i="2"/>
  <c r="AD2272" i="2"/>
  <c r="AE2272" i="2"/>
  <c r="AF2272" i="2"/>
  <c r="AG2272" i="2"/>
  <c r="AH2272" i="2"/>
  <c r="AI2272" i="2"/>
  <c r="AJ2272" i="2"/>
  <c r="AK2272" i="2"/>
  <c r="Z2273" i="2"/>
  <c r="AA2273" i="2"/>
  <c r="AB2273" i="2"/>
  <c r="AC2273" i="2"/>
  <c r="AD2273" i="2"/>
  <c r="AE2273" i="2"/>
  <c r="AF2273" i="2"/>
  <c r="AG2273" i="2"/>
  <c r="AH2273" i="2"/>
  <c r="AI2273" i="2"/>
  <c r="AJ2273" i="2"/>
  <c r="AK2273" i="2"/>
  <c r="Z2274" i="2"/>
  <c r="AA2274" i="2"/>
  <c r="AB2274" i="2"/>
  <c r="AC2274" i="2"/>
  <c r="AD2274" i="2"/>
  <c r="AE2274" i="2"/>
  <c r="AF2274" i="2"/>
  <c r="AG2274" i="2"/>
  <c r="AH2274" i="2"/>
  <c r="AI2274" i="2"/>
  <c r="AJ2274" i="2"/>
  <c r="AK2274" i="2"/>
  <c r="Z2275" i="2"/>
  <c r="AA2275" i="2"/>
  <c r="AB2275" i="2"/>
  <c r="AC2275" i="2"/>
  <c r="AD2275" i="2"/>
  <c r="AE2275" i="2"/>
  <c r="AF2275" i="2"/>
  <c r="AG2275" i="2"/>
  <c r="AH2275" i="2"/>
  <c r="AI2275" i="2"/>
  <c r="AJ2275" i="2"/>
  <c r="AK2275" i="2"/>
  <c r="Z2276" i="2"/>
  <c r="AA2276" i="2"/>
  <c r="AB2276" i="2"/>
  <c r="AC2276" i="2"/>
  <c r="AD2276" i="2"/>
  <c r="AE2276" i="2"/>
  <c r="AF2276" i="2"/>
  <c r="AG2276" i="2"/>
  <c r="AH2276" i="2"/>
  <c r="AI2276" i="2"/>
  <c r="AJ2276" i="2"/>
  <c r="AK2276" i="2"/>
  <c r="Z2277" i="2"/>
  <c r="AA2277" i="2"/>
  <c r="AB2277" i="2"/>
  <c r="AC2277" i="2"/>
  <c r="AD2277" i="2"/>
  <c r="AE2277" i="2"/>
  <c r="AF2277" i="2"/>
  <c r="AG2277" i="2"/>
  <c r="AH2277" i="2"/>
  <c r="AI2277" i="2"/>
  <c r="AJ2277" i="2"/>
  <c r="AK2277" i="2"/>
  <c r="Z2278" i="2"/>
  <c r="AA2278" i="2"/>
  <c r="AB2278" i="2"/>
  <c r="AC2278" i="2"/>
  <c r="AD2278" i="2"/>
  <c r="AE2278" i="2"/>
  <c r="AF2278" i="2"/>
  <c r="AG2278" i="2"/>
  <c r="AH2278" i="2"/>
  <c r="AI2278" i="2"/>
  <c r="AJ2278" i="2"/>
  <c r="AK2278" i="2"/>
  <c r="Z2279" i="2"/>
  <c r="AA2279" i="2"/>
  <c r="AB2279" i="2"/>
  <c r="AC2279" i="2"/>
  <c r="AD2279" i="2"/>
  <c r="AE2279" i="2"/>
  <c r="AF2279" i="2"/>
  <c r="AG2279" i="2"/>
  <c r="AH2279" i="2"/>
  <c r="AI2279" i="2"/>
  <c r="AJ2279" i="2"/>
  <c r="AK2279" i="2"/>
  <c r="Z2280" i="2"/>
  <c r="AA2280" i="2"/>
  <c r="AB2280" i="2"/>
  <c r="AC2280" i="2"/>
  <c r="AD2280" i="2"/>
  <c r="AE2280" i="2"/>
  <c r="AF2280" i="2"/>
  <c r="AG2280" i="2"/>
  <c r="AH2280" i="2"/>
  <c r="AI2280" i="2"/>
  <c r="AJ2280" i="2"/>
  <c r="AK2280" i="2"/>
  <c r="Z2281" i="2"/>
  <c r="AA2281" i="2"/>
  <c r="AB2281" i="2"/>
  <c r="AC2281" i="2"/>
  <c r="AD2281" i="2"/>
  <c r="AE2281" i="2"/>
  <c r="AF2281" i="2"/>
  <c r="AG2281" i="2"/>
  <c r="AH2281" i="2"/>
  <c r="AI2281" i="2"/>
  <c r="AJ2281" i="2"/>
  <c r="AK2281" i="2"/>
  <c r="Z2282" i="2"/>
  <c r="AA2282" i="2"/>
  <c r="AB2282" i="2"/>
  <c r="AC2282" i="2"/>
  <c r="AD2282" i="2"/>
  <c r="AE2282" i="2"/>
  <c r="AF2282" i="2"/>
  <c r="AG2282" i="2"/>
  <c r="AH2282" i="2"/>
  <c r="AI2282" i="2"/>
  <c r="AJ2282" i="2"/>
  <c r="AK2282" i="2"/>
  <c r="Z2283" i="2"/>
  <c r="AA2283" i="2"/>
  <c r="AB2283" i="2"/>
  <c r="AC2283" i="2"/>
  <c r="AD2283" i="2"/>
  <c r="AE2283" i="2"/>
  <c r="AF2283" i="2"/>
  <c r="AG2283" i="2"/>
  <c r="AH2283" i="2"/>
  <c r="AI2283" i="2"/>
  <c r="AJ2283" i="2"/>
  <c r="AK2283" i="2"/>
  <c r="Z2284" i="2"/>
  <c r="AA2284" i="2"/>
  <c r="AB2284" i="2"/>
  <c r="AC2284" i="2"/>
  <c r="AD2284" i="2"/>
  <c r="AE2284" i="2"/>
  <c r="AF2284" i="2"/>
  <c r="AG2284" i="2"/>
  <c r="AH2284" i="2"/>
  <c r="AI2284" i="2"/>
  <c r="AJ2284" i="2"/>
  <c r="AK2284" i="2"/>
  <c r="Z2285" i="2"/>
  <c r="AA2285" i="2"/>
  <c r="AB2285" i="2"/>
  <c r="AC2285" i="2"/>
  <c r="AD2285" i="2"/>
  <c r="AE2285" i="2"/>
  <c r="AF2285" i="2"/>
  <c r="AG2285" i="2"/>
  <c r="AH2285" i="2"/>
  <c r="AI2285" i="2"/>
  <c r="AJ2285" i="2"/>
  <c r="AK2285" i="2"/>
  <c r="Z2286" i="2"/>
  <c r="AA2286" i="2"/>
  <c r="AB2286" i="2"/>
  <c r="AC2286" i="2"/>
  <c r="AD2286" i="2"/>
  <c r="AE2286" i="2"/>
  <c r="AF2286" i="2"/>
  <c r="AG2286" i="2"/>
  <c r="AH2286" i="2"/>
  <c r="AI2286" i="2"/>
  <c r="AJ2286" i="2"/>
  <c r="AK2286" i="2"/>
  <c r="Z2287" i="2"/>
  <c r="AA2287" i="2"/>
  <c r="AB2287" i="2"/>
  <c r="AC2287" i="2"/>
  <c r="AD2287" i="2"/>
  <c r="AE2287" i="2"/>
  <c r="AF2287" i="2"/>
  <c r="AG2287" i="2"/>
  <c r="AH2287" i="2"/>
  <c r="AI2287" i="2"/>
  <c r="AJ2287" i="2"/>
  <c r="AK2287" i="2"/>
  <c r="Z2288" i="2"/>
  <c r="AA2288" i="2"/>
  <c r="AB2288" i="2"/>
  <c r="AC2288" i="2"/>
  <c r="AD2288" i="2"/>
  <c r="AE2288" i="2"/>
  <c r="AF2288" i="2"/>
  <c r="AG2288" i="2"/>
  <c r="AH2288" i="2"/>
  <c r="AI2288" i="2"/>
  <c r="AJ2288" i="2"/>
  <c r="AK2288" i="2"/>
  <c r="Z2289" i="2"/>
  <c r="AA2289" i="2"/>
  <c r="AB2289" i="2"/>
  <c r="AC2289" i="2"/>
  <c r="AD2289" i="2"/>
  <c r="AE2289" i="2"/>
  <c r="AF2289" i="2"/>
  <c r="AG2289" i="2"/>
  <c r="AH2289" i="2"/>
  <c r="AI2289" i="2"/>
  <c r="AJ2289" i="2"/>
  <c r="AK2289" i="2"/>
  <c r="Z2290" i="2"/>
  <c r="AA2290" i="2"/>
  <c r="AB2290" i="2"/>
  <c r="AC2290" i="2"/>
  <c r="AD2290" i="2"/>
  <c r="AE2290" i="2"/>
  <c r="AF2290" i="2"/>
  <c r="AG2290" i="2"/>
  <c r="AH2290" i="2"/>
  <c r="AI2290" i="2"/>
  <c r="AJ2290" i="2"/>
  <c r="AK2290" i="2"/>
  <c r="Z2291" i="2"/>
  <c r="AA2291" i="2"/>
  <c r="AB2291" i="2"/>
  <c r="AC2291" i="2"/>
  <c r="AD2291" i="2"/>
  <c r="AE2291" i="2"/>
  <c r="AF2291" i="2"/>
  <c r="AG2291" i="2"/>
  <c r="AH2291" i="2"/>
  <c r="AI2291" i="2"/>
  <c r="AJ2291" i="2"/>
  <c r="AK2291" i="2"/>
  <c r="Z2292" i="2"/>
  <c r="AA2292" i="2"/>
  <c r="AB2292" i="2"/>
  <c r="AC2292" i="2"/>
  <c r="AD2292" i="2"/>
  <c r="AE2292" i="2"/>
  <c r="AF2292" i="2"/>
  <c r="AG2292" i="2"/>
  <c r="AH2292" i="2"/>
  <c r="AI2292" i="2"/>
  <c r="AJ2292" i="2"/>
  <c r="AK2292" i="2"/>
  <c r="Z2293" i="2"/>
  <c r="AA2293" i="2"/>
  <c r="AB2293" i="2"/>
  <c r="AC2293" i="2"/>
  <c r="AD2293" i="2"/>
  <c r="AE2293" i="2"/>
  <c r="AF2293" i="2"/>
  <c r="AG2293" i="2"/>
  <c r="AH2293" i="2"/>
  <c r="AI2293" i="2"/>
  <c r="AJ2293" i="2"/>
  <c r="AK2293" i="2"/>
  <c r="Z2294" i="2"/>
  <c r="AA2294" i="2"/>
  <c r="AB2294" i="2"/>
  <c r="AC2294" i="2"/>
  <c r="AD2294" i="2"/>
  <c r="AE2294" i="2"/>
  <c r="AF2294" i="2"/>
  <c r="AG2294" i="2"/>
  <c r="AH2294" i="2"/>
  <c r="AI2294" i="2"/>
  <c r="AJ2294" i="2"/>
  <c r="AK2294" i="2"/>
  <c r="Z2295" i="2"/>
  <c r="AA2295" i="2"/>
  <c r="AB2295" i="2"/>
  <c r="AC2295" i="2"/>
  <c r="AD2295" i="2"/>
  <c r="AE2295" i="2"/>
  <c r="AF2295" i="2"/>
  <c r="AG2295" i="2"/>
  <c r="AH2295" i="2"/>
  <c r="AI2295" i="2"/>
  <c r="AJ2295" i="2"/>
  <c r="AK2295" i="2"/>
  <c r="Z2296" i="2"/>
  <c r="AA2296" i="2"/>
  <c r="AB2296" i="2"/>
  <c r="AC2296" i="2"/>
  <c r="AD2296" i="2"/>
  <c r="AE2296" i="2"/>
  <c r="AF2296" i="2"/>
  <c r="AG2296" i="2"/>
  <c r="AH2296" i="2"/>
  <c r="AI2296" i="2"/>
  <c r="AJ2296" i="2"/>
  <c r="AK2296" i="2"/>
  <c r="Z2297" i="2"/>
  <c r="AA2297" i="2"/>
  <c r="AB2297" i="2"/>
  <c r="AC2297" i="2"/>
  <c r="AD2297" i="2"/>
  <c r="AE2297" i="2"/>
  <c r="AF2297" i="2"/>
  <c r="AG2297" i="2"/>
  <c r="AH2297" i="2"/>
  <c r="AI2297" i="2"/>
  <c r="AJ2297" i="2"/>
  <c r="AK2297" i="2"/>
  <c r="Z2298" i="2"/>
  <c r="AA2298" i="2"/>
  <c r="AB2298" i="2"/>
  <c r="AC2298" i="2"/>
  <c r="AD2298" i="2"/>
  <c r="AE2298" i="2"/>
  <c r="AF2298" i="2"/>
  <c r="AG2298" i="2"/>
  <c r="AH2298" i="2"/>
  <c r="AI2298" i="2"/>
  <c r="AJ2298" i="2"/>
  <c r="AK2298" i="2"/>
  <c r="Z2299" i="2"/>
  <c r="AA2299" i="2"/>
  <c r="AB2299" i="2"/>
  <c r="AC2299" i="2"/>
  <c r="AD2299" i="2"/>
  <c r="AE2299" i="2"/>
  <c r="AF2299" i="2"/>
  <c r="AG2299" i="2"/>
  <c r="AH2299" i="2"/>
  <c r="AI2299" i="2"/>
  <c r="AJ2299" i="2"/>
  <c r="AK2299" i="2"/>
  <c r="Z2300" i="2"/>
  <c r="AA2300" i="2"/>
  <c r="AB2300" i="2"/>
  <c r="AC2300" i="2"/>
  <c r="AD2300" i="2"/>
  <c r="AE2300" i="2"/>
  <c r="AF2300" i="2"/>
  <c r="AG2300" i="2"/>
  <c r="AH2300" i="2"/>
  <c r="AI2300" i="2"/>
  <c r="AJ2300" i="2"/>
  <c r="AK2300" i="2"/>
  <c r="Z2301" i="2"/>
  <c r="AA2301" i="2"/>
  <c r="AB2301" i="2"/>
  <c r="AC2301" i="2"/>
  <c r="AD2301" i="2"/>
  <c r="AE2301" i="2"/>
  <c r="AF2301" i="2"/>
  <c r="AG2301" i="2"/>
  <c r="AH2301" i="2"/>
  <c r="AI2301" i="2"/>
  <c r="AJ2301" i="2"/>
  <c r="AK2301" i="2"/>
  <c r="Z2302" i="2"/>
  <c r="AA2302" i="2"/>
  <c r="AB2302" i="2"/>
  <c r="AC2302" i="2"/>
  <c r="AD2302" i="2"/>
  <c r="AE2302" i="2"/>
  <c r="AF2302" i="2"/>
  <c r="AG2302" i="2"/>
  <c r="AH2302" i="2"/>
  <c r="AI2302" i="2"/>
  <c r="AJ2302" i="2"/>
  <c r="AK2302" i="2"/>
  <c r="Z2303" i="2"/>
  <c r="AA2303" i="2"/>
  <c r="AB2303" i="2"/>
  <c r="AC2303" i="2"/>
  <c r="AD2303" i="2"/>
  <c r="AE2303" i="2"/>
  <c r="AF2303" i="2"/>
  <c r="AG2303" i="2"/>
  <c r="AH2303" i="2"/>
  <c r="AI2303" i="2"/>
  <c r="AJ2303" i="2"/>
  <c r="AK2303" i="2"/>
  <c r="Z2304" i="2"/>
  <c r="AA2304" i="2"/>
  <c r="AB2304" i="2"/>
  <c r="AC2304" i="2"/>
  <c r="AD2304" i="2"/>
  <c r="AE2304" i="2"/>
  <c r="AF2304" i="2"/>
  <c r="AG2304" i="2"/>
  <c r="AH2304" i="2"/>
  <c r="AI2304" i="2"/>
  <c r="AJ2304" i="2"/>
  <c r="AK2304" i="2"/>
  <c r="Z2305" i="2"/>
  <c r="AA2305" i="2"/>
  <c r="AB2305" i="2"/>
  <c r="AC2305" i="2"/>
  <c r="AD2305" i="2"/>
  <c r="AE2305" i="2"/>
  <c r="AF2305" i="2"/>
  <c r="AG2305" i="2"/>
  <c r="AH2305" i="2"/>
  <c r="AI2305" i="2"/>
  <c r="AJ2305" i="2"/>
  <c r="AK2305" i="2"/>
  <c r="Z2306" i="2"/>
  <c r="AA2306" i="2"/>
  <c r="AB2306" i="2"/>
  <c r="AC2306" i="2"/>
  <c r="AD2306" i="2"/>
  <c r="AE2306" i="2"/>
  <c r="AF2306" i="2"/>
  <c r="AG2306" i="2"/>
  <c r="AH2306" i="2"/>
  <c r="AI2306" i="2"/>
  <c r="AJ2306" i="2"/>
  <c r="AK2306" i="2"/>
  <c r="Z2307" i="2"/>
  <c r="AA2307" i="2"/>
  <c r="AB2307" i="2"/>
  <c r="AC2307" i="2"/>
  <c r="AD2307" i="2"/>
  <c r="AE2307" i="2"/>
  <c r="AF2307" i="2"/>
  <c r="AG2307" i="2"/>
  <c r="AH2307" i="2"/>
  <c r="AI2307" i="2"/>
  <c r="AJ2307" i="2"/>
  <c r="AK2307" i="2"/>
  <c r="Z2308" i="2"/>
  <c r="AA2308" i="2"/>
  <c r="AB2308" i="2"/>
  <c r="AC2308" i="2"/>
  <c r="AD2308" i="2"/>
  <c r="AE2308" i="2"/>
  <c r="AF2308" i="2"/>
  <c r="AG2308" i="2"/>
  <c r="AH2308" i="2"/>
  <c r="AI2308" i="2"/>
  <c r="AJ2308" i="2"/>
  <c r="AK2308" i="2"/>
  <c r="Z2309" i="2"/>
  <c r="AA2309" i="2"/>
  <c r="AB2309" i="2"/>
  <c r="AC2309" i="2"/>
  <c r="AD2309" i="2"/>
  <c r="AE2309" i="2"/>
  <c r="AF2309" i="2"/>
  <c r="AG2309" i="2"/>
  <c r="AH2309" i="2"/>
  <c r="AI2309" i="2"/>
  <c r="AJ2309" i="2"/>
  <c r="AK2309" i="2"/>
  <c r="Z2310" i="2"/>
  <c r="AA2310" i="2"/>
  <c r="AB2310" i="2"/>
  <c r="AC2310" i="2"/>
  <c r="AD2310" i="2"/>
  <c r="AE2310" i="2"/>
  <c r="AF2310" i="2"/>
  <c r="AG2310" i="2"/>
  <c r="AH2310" i="2"/>
  <c r="AI2310" i="2"/>
  <c r="AJ2310" i="2"/>
  <c r="AK2310" i="2"/>
  <c r="Z2311" i="2"/>
  <c r="AA2311" i="2"/>
  <c r="AB2311" i="2"/>
  <c r="AC2311" i="2"/>
  <c r="AD2311" i="2"/>
  <c r="AE2311" i="2"/>
  <c r="AF2311" i="2"/>
  <c r="AG2311" i="2"/>
  <c r="AH2311" i="2"/>
  <c r="AI2311" i="2"/>
  <c r="AJ2311" i="2"/>
  <c r="AK2311" i="2"/>
  <c r="Z2312" i="2"/>
  <c r="AA2312" i="2"/>
  <c r="AB2312" i="2"/>
  <c r="AC2312" i="2"/>
  <c r="AD2312" i="2"/>
  <c r="AE2312" i="2"/>
  <c r="AF2312" i="2"/>
  <c r="AG2312" i="2"/>
  <c r="AH2312" i="2"/>
  <c r="AI2312" i="2"/>
  <c r="AJ2312" i="2"/>
  <c r="AK2312" i="2"/>
  <c r="Z2313" i="2"/>
  <c r="AA2313" i="2"/>
  <c r="AB2313" i="2"/>
  <c r="AC2313" i="2"/>
  <c r="AD2313" i="2"/>
  <c r="AE2313" i="2"/>
  <c r="AF2313" i="2"/>
  <c r="AG2313" i="2"/>
  <c r="AH2313" i="2"/>
  <c r="AI2313" i="2"/>
  <c r="AJ2313" i="2"/>
  <c r="AK2313" i="2"/>
  <c r="Z2314" i="2"/>
  <c r="AA2314" i="2"/>
  <c r="AB2314" i="2"/>
  <c r="AC2314" i="2"/>
  <c r="AD2314" i="2"/>
  <c r="AE2314" i="2"/>
  <c r="AF2314" i="2"/>
  <c r="AG2314" i="2"/>
  <c r="AH2314" i="2"/>
  <c r="AI2314" i="2"/>
  <c r="AJ2314" i="2"/>
  <c r="AK2314" i="2"/>
  <c r="Z2315" i="2"/>
  <c r="AA2315" i="2"/>
  <c r="AB2315" i="2"/>
  <c r="AC2315" i="2"/>
  <c r="AD2315" i="2"/>
  <c r="AE2315" i="2"/>
  <c r="AF2315" i="2"/>
  <c r="AG2315" i="2"/>
  <c r="AH2315" i="2"/>
  <c r="AI2315" i="2"/>
  <c r="AJ2315" i="2"/>
  <c r="AK2315" i="2"/>
  <c r="Z2316" i="2"/>
  <c r="AA2316" i="2"/>
  <c r="AB2316" i="2"/>
  <c r="AC2316" i="2"/>
  <c r="AD2316" i="2"/>
  <c r="AE2316" i="2"/>
  <c r="AF2316" i="2"/>
  <c r="AG2316" i="2"/>
  <c r="AH2316" i="2"/>
  <c r="AI2316" i="2"/>
  <c r="AJ2316" i="2"/>
  <c r="AK2316" i="2"/>
  <c r="Z2317" i="2"/>
  <c r="AA2317" i="2"/>
  <c r="AB2317" i="2"/>
  <c r="AC2317" i="2"/>
  <c r="AD2317" i="2"/>
  <c r="AE2317" i="2"/>
  <c r="AF2317" i="2"/>
  <c r="AG2317" i="2"/>
  <c r="AH2317" i="2"/>
  <c r="AI2317" i="2"/>
  <c r="AJ2317" i="2"/>
  <c r="AK2317" i="2"/>
  <c r="Z2318" i="2"/>
  <c r="AA2318" i="2"/>
  <c r="AB2318" i="2"/>
  <c r="AC2318" i="2"/>
  <c r="AD2318" i="2"/>
  <c r="AE2318" i="2"/>
  <c r="AF2318" i="2"/>
  <c r="AG2318" i="2"/>
  <c r="AH2318" i="2"/>
  <c r="AI2318" i="2"/>
  <c r="AJ2318" i="2"/>
  <c r="AK2318" i="2"/>
  <c r="Z2319" i="2"/>
  <c r="AA2319" i="2"/>
  <c r="AB2319" i="2"/>
  <c r="AC2319" i="2"/>
  <c r="AD2319" i="2"/>
  <c r="AE2319" i="2"/>
  <c r="AF2319" i="2"/>
  <c r="AG2319" i="2"/>
  <c r="AH2319" i="2"/>
  <c r="AI2319" i="2"/>
  <c r="AJ2319" i="2"/>
  <c r="AK2319" i="2"/>
  <c r="Z2320" i="2"/>
  <c r="AA2320" i="2"/>
  <c r="AB2320" i="2"/>
  <c r="AC2320" i="2"/>
  <c r="AD2320" i="2"/>
  <c r="AE2320" i="2"/>
  <c r="AF2320" i="2"/>
  <c r="AG2320" i="2"/>
  <c r="AH2320" i="2"/>
  <c r="AI2320" i="2"/>
  <c r="AJ2320" i="2"/>
  <c r="AK2320" i="2"/>
  <c r="Z2321" i="2"/>
  <c r="AA2321" i="2"/>
  <c r="AB2321" i="2"/>
  <c r="AC2321" i="2"/>
  <c r="AD2321" i="2"/>
  <c r="AE2321" i="2"/>
  <c r="AF2321" i="2"/>
  <c r="AG2321" i="2"/>
  <c r="AH2321" i="2"/>
  <c r="AI2321" i="2"/>
  <c r="AJ2321" i="2"/>
  <c r="AK2321" i="2"/>
  <c r="Z2322" i="2"/>
  <c r="AA2322" i="2"/>
  <c r="AB2322" i="2"/>
  <c r="AC2322" i="2"/>
  <c r="AD2322" i="2"/>
  <c r="AE2322" i="2"/>
  <c r="AF2322" i="2"/>
  <c r="AG2322" i="2"/>
  <c r="AH2322" i="2"/>
  <c r="AI2322" i="2"/>
  <c r="AJ2322" i="2"/>
  <c r="AK2322" i="2"/>
  <c r="Z2323" i="2"/>
  <c r="AA2323" i="2"/>
  <c r="AB2323" i="2"/>
  <c r="AC2323" i="2"/>
  <c r="AD2323" i="2"/>
  <c r="AE2323" i="2"/>
  <c r="AF2323" i="2"/>
  <c r="AG2323" i="2"/>
  <c r="AH2323" i="2"/>
  <c r="AI2323" i="2"/>
  <c r="AJ2323" i="2"/>
  <c r="AK2323" i="2"/>
  <c r="Z2324" i="2"/>
  <c r="AA2324" i="2"/>
  <c r="AB2324" i="2"/>
  <c r="AC2324" i="2"/>
  <c r="AD2324" i="2"/>
  <c r="AE2324" i="2"/>
  <c r="AF2324" i="2"/>
  <c r="AG2324" i="2"/>
  <c r="AH2324" i="2"/>
  <c r="AI2324" i="2"/>
  <c r="AJ2324" i="2"/>
  <c r="AK2324" i="2"/>
  <c r="Z2325" i="2"/>
  <c r="AA2325" i="2"/>
  <c r="AB2325" i="2"/>
  <c r="AC2325" i="2"/>
  <c r="AD2325" i="2"/>
  <c r="AE2325" i="2"/>
  <c r="AF2325" i="2"/>
  <c r="AG2325" i="2"/>
  <c r="AH2325" i="2"/>
  <c r="AI2325" i="2"/>
  <c r="AJ2325" i="2"/>
  <c r="AK2325" i="2"/>
  <c r="Z2326" i="2"/>
  <c r="AA2326" i="2"/>
  <c r="AB2326" i="2"/>
  <c r="AC2326" i="2"/>
  <c r="AD2326" i="2"/>
  <c r="AE2326" i="2"/>
  <c r="AF2326" i="2"/>
  <c r="AG2326" i="2"/>
  <c r="AH2326" i="2"/>
  <c r="AI2326" i="2"/>
  <c r="AJ2326" i="2"/>
  <c r="AK2326" i="2"/>
  <c r="Z2327" i="2"/>
  <c r="AA2327" i="2"/>
  <c r="AB2327" i="2"/>
  <c r="AC2327" i="2"/>
  <c r="AD2327" i="2"/>
  <c r="AE2327" i="2"/>
  <c r="AF2327" i="2"/>
  <c r="AG2327" i="2"/>
  <c r="AH2327" i="2"/>
  <c r="AI2327" i="2"/>
  <c r="AJ2327" i="2"/>
  <c r="AK2327" i="2"/>
  <c r="Z2328" i="2"/>
  <c r="AA2328" i="2"/>
  <c r="AB2328" i="2"/>
  <c r="AC2328" i="2"/>
  <c r="AD2328" i="2"/>
  <c r="AE2328" i="2"/>
  <c r="AF2328" i="2"/>
  <c r="AG2328" i="2"/>
  <c r="AH2328" i="2"/>
  <c r="AI2328" i="2"/>
  <c r="AJ2328" i="2"/>
  <c r="AK2328" i="2"/>
  <c r="Z2329" i="2"/>
  <c r="AA2329" i="2"/>
  <c r="AB2329" i="2"/>
  <c r="AC2329" i="2"/>
  <c r="AD2329" i="2"/>
  <c r="AE2329" i="2"/>
  <c r="AF2329" i="2"/>
  <c r="AG2329" i="2"/>
  <c r="AH2329" i="2"/>
  <c r="AI2329" i="2"/>
  <c r="AJ2329" i="2"/>
  <c r="AK2329" i="2"/>
  <c r="Z2330" i="2"/>
  <c r="AA2330" i="2"/>
  <c r="AB2330" i="2"/>
  <c r="AC2330" i="2"/>
  <c r="AD2330" i="2"/>
  <c r="AE2330" i="2"/>
  <c r="AF2330" i="2"/>
  <c r="AG2330" i="2"/>
  <c r="AH2330" i="2"/>
  <c r="AI2330" i="2"/>
  <c r="AJ2330" i="2"/>
  <c r="AK2330" i="2"/>
  <c r="Z2331" i="2"/>
  <c r="AA2331" i="2"/>
  <c r="AB2331" i="2"/>
  <c r="AC2331" i="2"/>
  <c r="AD2331" i="2"/>
  <c r="AE2331" i="2"/>
  <c r="AF2331" i="2"/>
  <c r="AG2331" i="2"/>
  <c r="AH2331" i="2"/>
  <c r="AI2331" i="2"/>
  <c r="AJ2331" i="2"/>
  <c r="AK2331" i="2"/>
  <c r="Z2332" i="2"/>
  <c r="AA2332" i="2"/>
  <c r="AB2332" i="2"/>
  <c r="AC2332" i="2"/>
  <c r="AD2332" i="2"/>
  <c r="AE2332" i="2"/>
  <c r="AF2332" i="2"/>
  <c r="AG2332" i="2"/>
  <c r="AH2332" i="2"/>
  <c r="AI2332" i="2"/>
  <c r="AJ2332" i="2"/>
  <c r="AK2332" i="2"/>
  <c r="Z2333" i="2"/>
  <c r="AA2333" i="2"/>
  <c r="AB2333" i="2"/>
  <c r="AC2333" i="2"/>
  <c r="AD2333" i="2"/>
  <c r="AE2333" i="2"/>
  <c r="AF2333" i="2"/>
  <c r="AG2333" i="2"/>
  <c r="AH2333" i="2"/>
  <c r="AI2333" i="2"/>
  <c r="AJ2333" i="2"/>
  <c r="AK2333" i="2"/>
  <c r="Z2334" i="2"/>
  <c r="AA2334" i="2"/>
  <c r="AB2334" i="2"/>
  <c r="AC2334" i="2"/>
  <c r="AD2334" i="2"/>
  <c r="AE2334" i="2"/>
  <c r="AF2334" i="2"/>
  <c r="AG2334" i="2"/>
  <c r="AH2334" i="2"/>
  <c r="AI2334" i="2"/>
  <c r="AJ2334" i="2"/>
  <c r="AK2334" i="2"/>
  <c r="Z2335" i="2"/>
  <c r="AA2335" i="2"/>
  <c r="AB2335" i="2"/>
  <c r="AC2335" i="2"/>
  <c r="AD2335" i="2"/>
  <c r="AE2335" i="2"/>
  <c r="AF2335" i="2"/>
  <c r="AG2335" i="2"/>
  <c r="AH2335" i="2"/>
  <c r="AI2335" i="2"/>
  <c r="AJ2335" i="2"/>
  <c r="AK2335" i="2"/>
  <c r="Z2336" i="2"/>
  <c r="AA2336" i="2"/>
  <c r="AB2336" i="2"/>
  <c r="AC2336" i="2"/>
  <c r="AD2336" i="2"/>
  <c r="AE2336" i="2"/>
  <c r="AF2336" i="2"/>
  <c r="AG2336" i="2"/>
  <c r="AH2336" i="2"/>
  <c r="AI2336" i="2"/>
  <c r="AJ2336" i="2"/>
  <c r="AK2336" i="2"/>
  <c r="Z2337" i="2"/>
  <c r="AA2337" i="2"/>
  <c r="AB2337" i="2"/>
  <c r="AC2337" i="2"/>
  <c r="AD2337" i="2"/>
  <c r="AE2337" i="2"/>
  <c r="AF2337" i="2"/>
  <c r="AG2337" i="2"/>
  <c r="AH2337" i="2"/>
  <c r="AI2337" i="2"/>
  <c r="AJ2337" i="2"/>
  <c r="AK2337" i="2"/>
  <c r="Z2338" i="2"/>
  <c r="AA2338" i="2"/>
  <c r="AB2338" i="2"/>
  <c r="AC2338" i="2"/>
  <c r="AD2338" i="2"/>
  <c r="AE2338" i="2"/>
  <c r="AF2338" i="2"/>
  <c r="AG2338" i="2"/>
  <c r="AH2338" i="2"/>
  <c r="AI2338" i="2"/>
  <c r="AJ2338" i="2"/>
  <c r="AK2338" i="2"/>
  <c r="Z2339" i="2"/>
  <c r="AA2339" i="2"/>
  <c r="AB2339" i="2"/>
  <c r="AC2339" i="2"/>
  <c r="AD2339" i="2"/>
  <c r="AE2339" i="2"/>
  <c r="AF2339" i="2"/>
  <c r="AG2339" i="2"/>
  <c r="AH2339" i="2"/>
  <c r="AI2339" i="2"/>
  <c r="AJ2339" i="2"/>
  <c r="AK2339" i="2"/>
  <c r="Z2340" i="2"/>
  <c r="AA2340" i="2"/>
  <c r="AB2340" i="2"/>
  <c r="AC2340" i="2"/>
  <c r="AD2340" i="2"/>
  <c r="AE2340" i="2"/>
  <c r="AF2340" i="2"/>
  <c r="AG2340" i="2"/>
  <c r="AH2340" i="2"/>
  <c r="AI2340" i="2"/>
  <c r="AJ2340" i="2"/>
  <c r="AK2340" i="2"/>
  <c r="Z2341" i="2"/>
  <c r="AA2341" i="2"/>
  <c r="AB2341" i="2"/>
  <c r="AC2341" i="2"/>
  <c r="AD2341" i="2"/>
  <c r="AE2341" i="2"/>
  <c r="AF2341" i="2"/>
  <c r="AG2341" i="2"/>
  <c r="AH2341" i="2"/>
  <c r="AI2341" i="2"/>
  <c r="AJ2341" i="2"/>
  <c r="AK2341" i="2"/>
  <c r="Z2342" i="2"/>
  <c r="AA2342" i="2"/>
  <c r="AB2342" i="2"/>
  <c r="AC2342" i="2"/>
  <c r="AD2342" i="2"/>
  <c r="AE2342" i="2"/>
  <c r="AF2342" i="2"/>
  <c r="AG2342" i="2"/>
  <c r="AH2342" i="2"/>
  <c r="AI2342" i="2"/>
  <c r="AJ2342" i="2"/>
  <c r="AK2342" i="2"/>
  <c r="Z2343" i="2"/>
  <c r="AA2343" i="2"/>
  <c r="AB2343" i="2"/>
  <c r="AC2343" i="2"/>
  <c r="AD2343" i="2"/>
  <c r="AE2343" i="2"/>
  <c r="AF2343" i="2"/>
  <c r="AG2343" i="2"/>
  <c r="AH2343" i="2"/>
  <c r="AI2343" i="2"/>
  <c r="AJ2343" i="2"/>
  <c r="AK2343" i="2"/>
  <c r="Z2344" i="2"/>
  <c r="AA2344" i="2"/>
  <c r="AB2344" i="2"/>
  <c r="AC2344" i="2"/>
  <c r="AD2344" i="2"/>
  <c r="AE2344" i="2"/>
  <c r="AF2344" i="2"/>
  <c r="AG2344" i="2"/>
  <c r="AH2344" i="2"/>
  <c r="AI2344" i="2"/>
  <c r="AJ2344" i="2"/>
  <c r="AK2344" i="2"/>
  <c r="Z2345" i="2"/>
  <c r="AA2345" i="2"/>
  <c r="AB2345" i="2"/>
  <c r="AC2345" i="2"/>
  <c r="AD2345" i="2"/>
  <c r="AE2345" i="2"/>
  <c r="AF2345" i="2"/>
  <c r="AG2345" i="2"/>
  <c r="AH2345" i="2"/>
  <c r="AI2345" i="2"/>
  <c r="AJ2345" i="2"/>
  <c r="AK2345" i="2"/>
  <c r="Z2346" i="2"/>
  <c r="AA2346" i="2"/>
  <c r="AB2346" i="2"/>
  <c r="AC2346" i="2"/>
  <c r="AD2346" i="2"/>
  <c r="AE2346" i="2"/>
  <c r="AF2346" i="2"/>
  <c r="AG2346" i="2"/>
  <c r="AH2346" i="2"/>
  <c r="AI2346" i="2"/>
  <c r="AJ2346" i="2"/>
  <c r="AK2346" i="2"/>
  <c r="Z2347" i="2"/>
  <c r="AA2347" i="2"/>
  <c r="AB2347" i="2"/>
  <c r="AC2347" i="2"/>
  <c r="AD2347" i="2"/>
  <c r="AE2347" i="2"/>
  <c r="AF2347" i="2"/>
  <c r="AG2347" i="2"/>
  <c r="AH2347" i="2"/>
  <c r="AI2347" i="2"/>
  <c r="AJ2347" i="2"/>
  <c r="AK2347" i="2"/>
  <c r="Z2348" i="2"/>
  <c r="AA2348" i="2"/>
  <c r="AB2348" i="2"/>
  <c r="AC2348" i="2"/>
  <c r="AD2348" i="2"/>
  <c r="AE2348" i="2"/>
  <c r="AF2348" i="2"/>
  <c r="AG2348" i="2"/>
  <c r="AH2348" i="2"/>
  <c r="AI2348" i="2"/>
  <c r="AJ2348" i="2"/>
  <c r="AK2348" i="2"/>
  <c r="Z2349" i="2"/>
  <c r="AA2349" i="2"/>
  <c r="AB2349" i="2"/>
  <c r="AC2349" i="2"/>
  <c r="AD2349" i="2"/>
  <c r="AE2349" i="2"/>
  <c r="AF2349" i="2"/>
  <c r="AG2349" i="2"/>
  <c r="AH2349" i="2"/>
  <c r="AI2349" i="2"/>
  <c r="AJ2349" i="2"/>
  <c r="AK2349" i="2"/>
  <c r="Z2350" i="2"/>
  <c r="AA2350" i="2"/>
  <c r="AB2350" i="2"/>
  <c r="AC2350" i="2"/>
  <c r="AD2350" i="2"/>
  <c r="AE2350" i="2"/>
  <c r="AF2350" i="2"/>
  <c r="AG2350" i="2"/>
  <c r="AH2350" i="2"/>
  <c r="AI2350" i="2"/>
  <c r="AJ2350" i="2"/>
  <c r="AK2350" i="2"/>
  <c r="Z2351" i="2"/>
  <c r="AA2351" i="2"/>
  <c r="AB2351" i="2"/>
  <c r="AC2351" i="2"/>
  <c r="AD2351" i="2"/>
  <c r="AE2351" i="2"/>
  <c r="AF2351" i="2"/>
  <c r="AG2351" i="2"/>
  <c r="AH2351" i="2"/>
  <c r="AI2351" i="2"/>
  <c r="AJ2351" i="2"/>
  <c r="AK2351" i="2"/>
  <c r="Z2352" i="2"/>
  <c r="AA2352" i="2"/>
  <c r="AB2352" i="2"/>
  <c r="AC2352" i="2"/>
  <c r="AD2352" i="2"/>
  <c r="AE2352" i="2"/>
  <c r="AF2352" i="2"/>
  <c r="AG2352" i="2"/>
  <c r="AH2352" i="2"/>
  <c r="AI2352" i="2"/>
  <c r="AJ2352" i="2"/>
  <c r="AK2352" i="2"/>
  <c r="Z2353" i="2"/>
  <c r="AA2353" i="2"/>
  <c r="AB2353" i="2"/>
  <c r="AC2353" i="2"/>
  <c r="AD2353" i="2"/>
  <c r="AE2353" i="2"/>
  <c r="AF2353" i="2"/>
  <c r="AG2353" i="2"/>
  <c r="AH2353" i="2"/>
  <c r="AI2353" i="2"/>
  <c r="AJ2353" i="2"/>
  <c r="AK2353" i="2"/>
  <c r="Z2354" i="2"/>
  <c r="AA2354" i="2"/>
  <c r="AB2354" i="2"/>
  <c r="AC2354" i="2"/>
  <c r="AD2354" i="2"/>
  <c r="AE2354" i="2"/>
  <c r="AF2354" i="2"/>
  <c r="AG2354" i="2"/>
  <c r="AH2354" i="2"/>
  <c r="AI2354" i="2"/>
  <c r="AJ2354" i="2"/>
  <c r="AK2354" i="2"/>
  <c r="Z2355" i="2"/>
  <c r="AA2355" i="2"/>
  <c r="AB2355" i="2"/>
  <c r="AC2355" i="2"/>
  <c r="AD2355" i="2"/>
  <c r="AE2355" i="2"/>
  <c r="AF2355" i="2"/>
  <c r="AG2355" i="2"/>
  <c r="AH2355" i="2"/>
  <c r="AI2355" i="2"/>
  <c r="AJ2355" i="2"/>
  <c r="AK2355" i="2"/>
  <c r="Z2356" i="2"/>
  <c r="AA2356" i="2"/>
  <c r="AB2356" i="2"/>
  <c r="AC2356" i="2"/>
  <c r="AD2356" i="2"/>
  <c r="AE2356" i="2"/>
  <c r="AF2356" i="2"/>
  <c r="AG2356" i="2"/>
  <c r="AH2356" i="2"/>
  <c r="AI2356" i="2"/>
  <c r="AJ2356" i="2"/>
  <c r="AK2356" i="2"/>
  <c r="Z2357" i="2"/>
  <c r="AA2357" i="2"/>
  <c r="AB2357" i="2"/>
  <c r="AC2357" i="2"/>
  <c r="AD2357" i="2"/>
  <c r="AE2357" i="2"/>
  <c r="AF2357" i="2"/>
  <c r="AG2357" i="2"/>
  <c r="AH2357" i="2"/>
  <c r="AI2357" i="2"/>
  <c r="AJ2357" i="2"/>
  <c r="AK2357" i="2"/>
  <c r="Z2358" i="2"/>
  <c r="AA2358" i="2"/>
  <c r="AB2358" i="2"/>
  <c r="AC2358" i="2"/>
  <c r="AD2358" i="2"/>
  <c r="AE2358" i="2"/>
  <c r="AF2358" i="2"/>
  <c r="AG2358" i="2"/>
  <c r="AH2358" i="2"/>
  <c r="AI2358" i="2"/>
  <c r="AJ2358" i="2"/>
  <c r="AK2358" i="2"/>
  <c r="Z2359" i="2"/>
  <c r="AA2359" i="2"/>
  <c r="AB2359" i="2"/>
  <c r="AC2359" i="2"/>
  <c r="AD2359" i="2"/>
  <c r="AE2359" i="2"/>
  <c r="AF2359" i="2"/>
  <c r="AG2359" i="2"/>
  <c r="AH2359" i="2"/>
  <c r="AI2359" i="2"/>
  <c r="AJ2359" i="2"/>
  <c r="AK2359" i="2"/>
  <c r="Z2360" i="2"/>
  <c r="AA2360" i="2"/>
  <c r="AB2360" i="2"/>
  <c r="AC2360" i="2"/>
  <c r="AD2360" i="2"/>
  <c r="AE2360" i="2"/>
  <c r="AF2360" i="2"/>
  <c r="AG2360" i="2"/>
  <c r="AH2360" i="2"/>
  <c r="AI2360" i="2"/>
  <c r="AJ2360" i="2"/>
  <c r="AK2360" i="2"/>
  <c r="Z2361" i="2"/>
  <c r="AA2361" i="2"/>
  <c r="AB2361" i="2"/>
  <c r="AC2361" i="2"/>
  <c r="AD2361" i="2"/>
  <c r="AE2361" i="2"/>
  <c r="AF2361" i="2"/>
  <c r="AG2361" i="2"/>
  <c r="AH2361" i="2"/>
  <c r="AI2361" i="2"/>
  <c r="AJ2361" i="2"/>
  <c r="AK2361" i="2"/>
  <c r="Z2362" i="2"/>
  <c r="AA2362" i="2"/>
  <c r="AB2362" i="2"/>
  <c r="AC2362" i="2"/>
  <c r="AD2362" i="2"/>
  <c r="AE2362" i="2"/>
  <c r="AF2362" i="2"/>
  <c r="AG2362" i="2"/>
  <c r="AH2362" i="2"/>
  <c r="AI2362" i="2"/>
  <c r="AJ2362" i="2"/>
  <c r="AK2362" i="2"/>
  <c r="Z2363" i="2"/>
  <c r="AA2363" i="2"/>
  <c r="AB2363" i="2"/>
  <c r="AC2363" i="2"/>
  <c r="AD2363" i="2"/>
  <c r="AE2363" i="2"/>
  <c r="AF2363" i="2"/>
  <c r="AG2363" i="2"/>
  <c r="AH2363" i="2"/>
  <c r="AI2363" i="2"/>
  <c r="AJ2363" i="2"/>
  <c r="AK2363" i="2"/>
  <c r="Z2364" i="2"/>
  <c r="AA2364" i="2"/>
  <c r="AB2364" i="2"/>
  <c r="AC2364" i="2"/>
  <c r="AD2364" i="2"/>
  <c r="AE2364" i="2"/>
  <c r="AF2364" i="2"/>
  <c r="AG2364" i="2"/>
  <c r="AH2364" i="2"/>
  <c r="AI2364" i="2"/>
  <c r="AJ2364" i="2"/>
  <c r="AK2364" i="2"/>
  <c r="Z2365" i="2"/>
  <c r="AA2365" i="2"/>
  <c r="AB2365" i="2"/>
  <c r="AC2365" i="2"/>
  <c r="AD2365" i="2"/>
  <c r="AE2365" i="2"/>
  <c r="AF2365" i="2"/>
  <c r="AG2365" i="2"/>
  <c r="AH2365" i="2"/>
  <c r="AI2365" i="2"/>
  <c r="AJ2365" i="2"/>
  <c r="AK2365" i="2"/>
  <c r="Z2366" i="2"/>
  <c r="AA2366" i="2"/>
  <c r="AB2366" i="2"/>
  <c r="AC2366" i="2"/>
  <c r="AD2366" i="2"/>
  <c r="AE2366" i="2"/>
  <c r="AF2366" i="2"/>
  <c r="AG2366" i="2"/>
  <c r="AH2366" i="2"/>
  <c r="AI2366" i="2"/>
  <c r="AJ2366" i="2"/>
  <c r="AK2366" i="2"/>
  <c r="Z2367" i="2"/>
  <c r="AA2367" i="2"/>
  <c r="AB2367" i="2"/>
  <c r="AC2367" i="2"/>
  <c r="AD2367" i="2"/>
  <c r="AE2367" i="2"/>
  <c r="AF2367" i="2"/>
  <c r="AG2367" i="2"/>
  <c r="AH2367" i="2"/>
  <c r="AI2367" i="2"/>
  <c r="AJ2367" i="2"/>
  <c r="AK2367" i="2"/>
  <c r="Z2368" i="2"/>
  <c r="AA2368" i="2"/>
  <c r="AB2368" i="2"/>
  <c r="AC2368" i="2"/>
  <c r="AD2368" i="2"/>
  <c r="AE2368" i="2"/>
  <c r="AF2368" i="2"/>
  <c r="AG2368" i="2"/>
  <c r="AH2368" i="2"/>
  <c r="AI2368" i="2"/>
  <c r="AJ2368" i="2"/>
  <c r="AK2368" i="2"/>
  <c r="Z2369" i="2"/>
  <c r="AA2369" i="2"/>
  <c r="AB2369" i="2"/>
  <c r="AC2369" i="2"/>
  <c r="AD2369" i="2"/>
  <c r="AE2369" i="2"/>
  <c r="AF2369" i="2"/>
  <c r="AG2369" i="2"/>
  <c r="AH2369" i="2"/>
  <c r="AI2369" i="2"/>
  <c r="AJ2369" i="2"/>
  <c r="AK2369" i="2"/>
  <c r="Z2370" i="2"/>
  <c r="AA2370" i="2"/>
  <c r="AB2370" i="2"/>
  <c r="AC2370" i="2"/>
  <c r="AD2370" i="2"/>
  <c r="AE2370" i="2"/>
  <c r="AF2370" i="2"/>
  <c r="AG2370" i="2"/>
  <c r="AH2370" i="2"/>
  <c r="AI2370" i="2"/>
  <c r="AJ2370" i="2"/>
  <c r="AK2370" i="2"/>
  <c r="Z2371" i="2"/>
  <c r="AA2371" i="2"/>
  <c r="AB2371" i="2"/>
  <c r="AC2371" i="2"/>
  <c r="AD2371" i="2"/>
  <c r="AE2371" i="2"/>
  <c r="AF2371" i="2"/>
  <c r="AG2371" i="2"/>
  <c r="AH2371" i="2"/>
  <c r="AI2371" i="2"/>
  <c r="AJ2371" i="2"/>
  <c r="AK2371" i="2"/>
  <c r="Z2372" i="2"/>
  <c r="AA2372" i="2"/>
  <c r="AB2372" i="2"/>
  <c r="AC2372" i="2"/>
  <c r="AD2372" i="2"/>
  <c r="AE2372" i="2"/>
  <c r="AF2372" i="2"/>
  <c r="AG2372" i="2"/>
  <c r="AH2372" i="2"/>
  <c r="AI2372" i="2"/>
  <c r="AJ2372" i="2"/>
  <c r="AK2372" i="2"/>
  <c r="Z2373" i="2"/>
  <c r="AA2373" i="2"/>
  <c r="AB2373" i="2"/>
  <c r="AC2373" i="2"/>
  <c r="AD2373" i="2"/>
  <c r="AE2373" i="2"/>
  <c r="AF2373" i="2"/>
  <c r="AG2373" i="2"/>
  <c r="AH2373" i="2"/>
  <c r="AI2373" i="2"/>
  <c r="AJ2373" i="2"/>
  <c r="AK2373" i="2"/>
  <c r="Z2374" i="2"/>
  <c r="AA2374" i="2"/>
  <c r="AB2374" i="2"/>
  <c r="AC2374" i="2"/>
  <c r="AD2374" i="2"/>
  <c r="AE2374" i="2"/>
  <c r="AF2374" i="2"/>
  <c r="AG2374" i="2"/>
  <c r="AH2374" i="2"/>
  <c r="AI2374" i="2"/>
  <c r="AJ2374" i="2"/>
  <c r="AK2374" i="2"/>
  <c r="Z2375" i="2"/>
  <c r="AA2375" i="2"/>
  <c r="AB2375" i="2"/>
  <c r="AC2375" i="2"/>
  <c r="AD2375" i="2"/>
  <c r="AE2375" i="2"/>
  <c r="AF2375" i="2"/>
  <c r="AG2375" i="2"/>
  <c r="AH2375" i="2"/>
  <c r="AI2375" i="2"/>
  <c r="AJ2375" i="2"/>
  <c r="AK2375" i="2"/>
  <c r="Z2376" i="2"/>
  <c r="AA2376" i="2"/>
  <c r="AB2376" i="2"/>
  <c r="AC2376" i="2"/>
  <c r="AD2376" i="2"/>
  <c r="AE2376" i="2"/>
  <c r="AF2376" i="2"/>
  <c r="AG2376" i="2"/>
  <c r="AH2376" i="2"/>
  <c r="AI2376" i="2"/>
  <c r="AJ2376" i="2"/>
  <c r="AK2376" i="2"/>
  <c r="Z2377" i="2"/>
  <c r="AA2377" i="2"/>
  <c r="AB2377" i="2"/>
  <c r="AC2377" i="2"/>
  <c r="AD2377" i="2"/>
  <c r="AE2377" i="2"/>
  <c r="AF2377" i="2"/>
  <c r="AG2377" i="2"/>
  <c r="AH2377" i="2"/>
  <c r="AI2377" i="2"/>
  <c r="AJ2377" i="2"/>
  <c r="AK2377" i="2"/>
  <c r="Z2378" i="2"/>
  <c r="AA2378" i="2"/>
  <c r="AB2378" i="2"/>
  <c r="AC2378" i="2"/>
  <c r="AD2378" i="2"/>
  <c r="AE2378" i="2"/>
  <c r="AF2378" i="2"/>
  <c r="AG2378" i="2"/>
  <c r="AH2378" i="2"/>
  <c r="AI2378" i="2"/>
  <c r="AJ2378" i="2"/>
  <c r="AK2378" i="2"/>
  <c r="Z2379" i="2"/>
  <c r="AA2379" i="2"/>
  <c r="AB2379" i="2"/>
  <c r="AC2379" i="2"/>
  <c r="AD2379" i="2"/>
  <c r="AE2379" i="2"/>
  <c r="AF2379" i="2"/>
  <c r="AG2379" i="2"/>
  <c r="AH2379" i="2"/>
  <c r="AI2379" i="2"/>
  <c r="AJ2379" i="2"/>
  <c r="AK2379" i="2"/>
  <c r="Z2380" i="2"/>
  <c r="AA2380" i="2"/>
  <c r="AB2380" i="2"/>
  <c r="AC2380" i="2"/>
  <c r="AD2380" i="2"/>
  <c r="AE2380" i="2"/>
  <c r="AF2380" i="2"/>
  <c r="AG2380" i="2"/>
  <c r="AH2380" i="2"/>
  <c r="AI2380" i="2"/>
  <c r="AJ2380" i="2"/>
  <c r="AK2380" i="2"/>
  <c r="Z2381" i="2"/>
  <c r="AA2381" i="2"/>
  <c r="AE2381" i="2"/>
  <c r="AF2381" i="2"/>
  <c r="AG2381" i="2"/>
  <c r="AH2381" i="2"/>
  <c r="AI2381" i="2"/>
  <c r="AJ2381" i="2"/>
  <c r="AK2381" i="2"/>
  <c r="AA3" i="2"/>
  <c r="AB3" i="2"/>
  <c r="AC3" i="2"/>
  <c r="AD3" i="2"/>
  <c r="AE3" i="2"/>
  <c r="AF3" i="2"/>
  <c r="AG3" i="2"/>
  <c r="AH3" i="2"/>
  <c r="AI3" i="2"/>
  <c r="AJ3" i="2"/>
  <c r="AK3" i="2"/>
  <c r="A4" i="1"/>
  <c r="A5" i="1"/>
  <c r="A6" i="1"/>
  <c r="A7" i="1"/>
  <c r="A8" i="1"/>
  <c r="A9" i="1"/>
  <c r="A8" i="2" s="1"/>
  <c r="A10" i="1"/>
  <c r="A11" i="1"/>
  <c r="A12" i="1"/>
  <c r="A13" i="1"/>
  <c r="A12" i="2" s="1"/>
  <c r="A14" i="1"/>
  <c r="A15" i="1"/>
  <c r="A16" i="1"/>
  <c r="A17" i="1"/>
  <c r="A18" i="1"/>
  <c r="A19" i="1"/>
  <c r="A20" i="1"/>
  <c r="A21" i="1"/>
  <c r="A22" i="1"/>
  <c r="A23" i="1"/>
  <c r="A24" i="1"/>
  <c r="A25" i="1"/>
  <c r="A24" i="2" s="1"/>
  <c r="A26" i="1"/>
  <c r="A27" i="1"/>
  <c r="A28" i="1"/>
  <c r="A29" i="1"/>
  <c r="A28" i="2" s="1"/>
  <c r="A30" i="1"/>
  <c r="A31" i="1"/>
  <c r="A32" i="1"/>
  <c r="A33" i="1"/>
  <c r="A34" i="1"/>
  <c r="A33" i="2" s="1"/>
  <c r="A35" i="1"/>
  <c r="A36" i="1"/>
  <c r="A37" i="1"/>
  <c r="A36" i="2" s="1"/>
  <c r="A38" i="1"/>
  <c r="A39" i="1"/>
  <c r="A38" i="2" s="1"/>
  <c r="A40" i="1"/>
  <c r="A39" i="2" s="1"/>
  <c r="A41" i="1"/>
  <c r="A40" i="2" s="1"/>
  <c r="A42" i="1"/>
  <c r="A43" i="1"/>
  <c r="A44" i="1"/>
  <c r="A45" i="1"/>
  <c r="A44" i="2" s="1"/>
  <c r="A46" i="1"/>
  <c r="A47" i="1"/>
  <c r="A48" i="1"/>
  <c r="A49" i="1"/>
  <c r="A50" i="1"/>
  <c r="A49" i="2" s="1"/>
  <c r="A51" i="1"/>
  <c r="A52" i="1"/>
  <c r="A51" i="2" s="1"/>
  <c r="A53" i="1"/>
  <c r="A52" i="2" s="1"/>
  <c r="A54" i="1"/>
  <c r="A55" i="1"/>
  <c r="A54" i="2" s="1"/>
  <c r="A56" i="1"/>
  <c r="A55" i="2" s="1"/>
  <c r="A57" i="1"/>
  <c r="A56" i="2" s="1"/>
  <c r="A58" i="1"/>
  <c r="A59" i="1"/>
  <c r="A60" i="1"/>
  <c r="A61" i="1"/>
  <c r="A60" i="2" s="1"/>
  <c r="A62" i="1"/>
  <c r="A63" i="1"/>
  <c r="A64" i="1"/>
  <c r="A65" i="1"/>
  <c r="A66" i="1"/>
  <c r="A65" i="2" s="1"/>
  <c r="A67" i="1"/>
  <c r="A68" i="1"/>
  <c r="A67" i="2" s="1"/>
  <c r="A69" i="1"/>
  <c r="A68" i="2" s="1"/>
  <c r="A70" i="1"/>
  <c r="A71" i="1"/>
  <c r="A72" i="1"/>
  <c r="A71" i="2" s="1"/>
  <c r="A73" i="1"/>
  <c r="A72" i="2" s="1"/>
  <c r="A74" i="1"/>
  <c r="A75" i="1"/>
  <c r="A76" i="1"/>
  <c r="A77" i="1"/>
  <c r="A76" i="2" s="1"/>
  <c r="A78" i="1"/>
  <c r="A79" i="1"/>
  <c r="A80" i="1"/>
  <c r="A81" i="1"/>
  <c r="A82" i="1"/>
  <c r="A81" i="2" s="1"/>
  <c r="A83" i="1"/>
  <c r="A84" i="1"/>
  <c r="A85" i="1"/>
  <c r="A84" i="2" s="1"/>
  <c r="A86" i="1"/>
  <c r="A87" i="1"/>
  <c r="A86" i="2" s="1"/>
  <c r="A88" i="1"/>
  <c r="A87" i="2" s="1"/>
  <c r="A89" i="1"/>
  <c r="A88" i="2" s="1"/>
  <c r="A90" i="1"/>
  <c r="A91" i="1"/>
  <c r="A92" i="1"/>
  <c r="A93" i="1"/>
  <c r="A94" i="1"/>
  <c r="A95" i="1"/>
  <c r="A96" i="1"/>
  <c r="A97" i="1"/>
  <c r="A98" i="1"/>
  <c r="A97" i="2" s="1"/>
  <c r="A99" i="1"/>
  <c r="A100" i="1"/>
  <c r="A99" i="2" s="1"/>
  <c r="A101" i="1"/>
  <c r="A100" i="2" s="1"/>
  <c r="A102" i="1"/>
  <c r="A103" i="1"/>
  <c r="A104" i="1"/>
  <c r="A103" i="2" s="1"/>
  <c r="A105" i="1"/>
  <c r="A104" i="2" s="1"/>
  <c r="A106" i="1"/>
  <c r="A107" i="1"/>
  <c r="A108" i="1"/>
  <c r="A109" i="1"/>
  <c r="A108" i="2" s="1"/>
  <c r="A110" i="1"/>
  <c r="A111" i="1"/>
  <c r="A112" i="1"/>
  <c r="A113" i="1"/>
  <c r="A114" i="1"/>
  <c r="A113" i="2" s="1"/>
  <c r="A115" i="1"/>
  <c r="A116" i="1"/>
  <c r="A117" i="1"/>
  <c r="A116" i="2" s="1"/>
  <c r="A118" i="1"/>
  <c r="A119" i="1"/>
  <c r="A118" i="2" s="1"/>
  <c r="A120" i="1"/>
  <c r="A119" i="2" s="1"/>
  <c r="A121" i="1"/>
  <c r="A120" i="2" s="1"/>
  <c r="A122" i="1"/>
  <c r="A123" i="1"/>
  <c r="A124" i="1"/>
  <c r="A125" i="1"/>
  <c r="A124" i="2" s="1"/>
  <c r="A126" i="1"/>
  <c r="A127" i="1"/>
  <c r="A128" i="1"/>
  <c r="A129" i="1"/>
  <c r="A130" i="1"/>
  <c r="A129" i="2" s="1"/>
  <c r="A131" i="1"/>
  <c r="A132" i="1"/>
  <c r="A133" i="1"/>
  <c r="A132" i="2" s="1"/>
  <c r="A134" i="1"/>
  <c r="A135" i="1"/>
  <c r="A134" i="2" s="1"/>
  <c r="A136" i="1"/>
  <c r="A135" i="2" s="1"/>
  <c r="A137" i="1"/>
  <c r="A136" i="2" s="1"/>
  <c r="A138" i="1"/>
  <c r="A139" i="1"/>
  <c r="A140" i="1"/>
  <c r="A141" i="1"/>
  <c r="A142" i="1"/>
  <c r="A143" i="1"/>
  <c r="A144" i="1"/>
  <c r="A145" i="1"/>
  <c r="A146" i="1"/>
  <c r="A145" i="2" s="1"/>
  <c r="A147" i="1"/>
  <c r="A148" i="1"/>
  <c r="A147" i="2" s="1"/>
  <c r="A149" i="1"/>
  <c r="A148" i="2" s="1"/>
  <c r="A150" i="1"/>
  <c r="A151" i="1"/>
  <c r="A152" i="1"/>
  <c r="A151" i="2" s="1"/>
  <c r="A153" i="1"/>
  <c r="A152" i="2" s="1"/>
  <c r="A154" i="1"/>
  <c r="A155" i="1"/>
  <c r="A156" i="1"/>
  <c r="A157" i="1"/>
  <c r="A158" i="1"/>
  <c r="A159" i="1"/>
  <c r="A160" i="1"/>
  <c r="A161" i="1"/>
  <c r="A162" i="1"/>
  <c r="A161" i="2" s="1"/>
  <c r="A163" i="1"/>
  <c r="A164" i="1"/>
  <c r="A165" i="1"/>
  <c r="A164" i="2" s="1"/>
  <c r="A166" i="1"/>
  <c r="A167" i="1"/>
  <c r="A168" i="1"/>
  <c r="A167" i="2" s="1"/>
  <c r="A169" i="1"/>
  <c r="A168" i="2" s="1"/>
  <c r="A170" i="1"/>
  <c r="A171" i="1"/>
  <c r="A172" i="1"/>
  <c r="A173" i="1"/>
  <c r="A174" i="1"/>
  <c r="A175" i="1"/>
  <c r="A176" i="1"/>
  <c r="A177" i="1"/>
  <c r="A178" i="1"/>
  <c r="A177" i="2" s="1"/>
  <c r="A179" i="1"/>
  <c r="A180" i="1"/>
  <c r="A179" i="2" s="1"/>
  <c r="A181" i="1"/>
  <c r="A180" i="2" s="1"/>
  <c r="A182" i="1"/>
  <c r="A183" i="1"/>
  <c r="A182" i="2" s="1"/>
  <c r="A184" i="1"/>
  <c r="A183" i="2" s="1"/>
  <c r="A185" i="1"/>
  <c r="A184" i="2" s="1"/>
  <c r="A186" i="1"/>
  <c r="A187" i="1"/>
  <c r="A188" i="1"/>
  <c r="A189" i="1"/>
  <c r="A190" i="1"/>
  <c r="A191" i="1"/>
  <c r="A192" i="1"/>
  <c r="A193" i="1"/>
  <c r="A194" i="1"/>
  <c r="A193" i="2" s="1"/>
  <c r="A195" i="1"/>
  <c r="A196" i="1"/>
  <c r="A197" i="1"/>
  <c r="A196" i="2" s="1"/>
  <c r="A198" i="1"/>
  <c r="A199" i="1"/>
  <c r="A200" i="1"/>
  <c r="A199" i="2" s="1"/>
  <c r="A201" i="1"/>
  <c r="A200" i="2" s="1"/>
  <c r="A202" i="1"/>
  <c r="A203" i="1"/>
  <c r="A204" i="1"/>
  <c r="A205" i="1"/>
  <c r="A204" i="2" s="1"/>
  <c r="A206" i="1"/>
  <c r="A207" i="1"/>
  <c r="A208" i="1"/>
  <c r="A209" i="1"/>
  <c r="A210" i="1"/>
  <c r="A209" i="2" s="1"/>
  <c r="A211" i="1"/>
  <c r="A212" i="1"/>
  <c r="A213" i="1"/>
  <c r="A212" i="2" s="1"/>
  <c r="A214" i="1"/>
  <c r="A215" i="1"/>
  <c r="A214" i="2" s="1"/>
  <c r="A216" i="1"/>
  <c r="A215" i="2" s="1"/>
  <c r="A217" i="1"/>
  <c r="A216" i="2" s="1"/>
  <c r="A218" i="1"/>
  <c r="A219" i="1"/>
  <c r="A220" i="1"/>
  <c r="A221" i="1"/>
  <c r="A220" i="2" s="1"/>
  <c r="A222" i="1"/>
  <c r="A223" i="1"/>
  <c r="A224" i="1"/>
  <c r="A225" i="1"/>
  <c r="A226" i="1"/>
  <c r="A227" i="1"/>
  <c r="A228" i="1"/>
  <c r="A227" i="2" s="1"/>
  <c r="A229" i="1"/>
  <c r="A228" i="2" s="1"/>
  <c r="A230" i="1"/>
  <c r="A231" i="1"/>
  <c r="A230" i="2" s="1"/>
  <c r="A232" i="1"/>
  <c r="A231" i="2" s="1"/>
  <c r="A233" i="1"/>
  <c r="A232" i="2" s="1"/>
  <c r="A234" i="1"/>
  <c r="A235" i="1"/>
  <c r="A236" i="1"/>
  <c r="A237" i="1"/>
  <c r="A238" i="1"/>
  <c r="A239" i="1"/>
  <c r="A240" i="1"/>
  <c r="A241" i="1"/>
  <c r="A242" i="1"/>
  <c r="A243" i="1"/>
  <c r="A244" i="1"/>
  <c r="A243" i="2" s="1"/>
  <c r="A245" i="1"/>
  <c r="A244" i="2" s="1"/>
  <c r="A246" i="1"/>
  <c r="A247" i="1"/>
  <c r="A248" i="1"/>
  <c r="A247" i="2" s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0" i="2" s="1"/>
  <c r="A262" i="1"/>
  <c r="A263" i="1"/>
  <c r="A264" i="1"/>
  <c r="A263" i="2" s="1"/>
  <c r="A265" i="1"/>
  <c r="A264" i="2" s="1"/>
  <c r="A266" i="1"/>
  <c r="A267" i="1"/>
  <c r="A268" i="1"/>
  <c r="A269" i="1"/>
  <c r="A268" i="2" s="1"/>
  <c r="A270" i="1"/>
  <c r="A271" i="1"/>
  <c r="A272" i="1"/>
  <c r="A273" i="1"/>
  <c r="A274" i="1"/>
  <c r="A275" i="1"/>
  <c r="A276" i="1"/>
  <c r="A277" i="1"/>
  <c r="A276" i="2" s="1"/>
  <c r="A278" i="1"/>
  <c r="A279" i="1"/>
  <c r="A278" i="2" s="1"/>
  <c r="A280" i="1"/>
  <c r="A279" i="2" s="1"/>
  <c r="A281" i="1"/>
  <c r="A280" i="2" s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2" i="2" s="1"/>
  <c r="A294" i="1"/>
  <c r="A295" i="1"/>
  <c r="A296" i="1"/>
  <c r="A295" i="2" s="1"/>
  <c r="A297" i="1"/>
  <c r="A296" i="2" s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08" i="2" s="1"/>
  <c r="A310" i="1"/>
  <c r="A311" i="1"/>
  <c r="A312" i="1"/>
  <c r="A311" i="2" s="1"/>
  <c r="A313" i="1"/>
  <c r="A312" i="2" s="1"/>
  <c r="A314" i="1"/>
  <c r="A315" i="1"/>
  <c r="A316" i="1"/>
  <c r="A317" i="1"/>
  <c r="A316" i="2" s="1"/>
  <c r="A318" i="1"/>
  <c r="A319" i="1"/>
  <c r="A320" i="1"/>
  <c r="A321" i="1"/>
  <c r="A322" i="1"/>
  <c r="A323" i="1"/>
  <c r="A324" i="1"/>
  <c r="A325" i="1"/>
  <c r="A324" i="2" s="1"/>
  <c r="A326" i="1"/>
  <c r="A327" i="1"/>
  <c r="A326" i="2" s="1"/>
  <c r="A328" i="1"/>
  <c r="A327" i="2" s="1"/>
  <c r="A329" i="1"/>
  <c r="A328" i="2" s="1"/>
  <c r="A330" i="1"/>
  <c r="A331" i="1"/>
  <c r="A332" i="1"/>
  <c r="A333" i="1"/>
  <c r="A332" i="2" s="1"/>
  <c r="A334" i="1"/>
  <c r="A335" i="1"/>
  <c r="A336" i="1"/>
  <c r="A337" i="1"/>
  <c r="A338" i="1"/>
  <c r="A339" i="1"/>
  <c r="A340" i="1"/>
  <c r="A341" i="1"/>
  <c r="A340" i="2" s="1"/>
  <c r="A342" i="1"/>
  <c r="A343" i="1"/>
  <c r="A342" i="2" s="1"/>
  <c r="A344" i="1"/>
  <c r="A343" i="2" s="1"/>
  <c r="A345" i="1"/>
  <c r="A344" i="2" s="1"/>
  <c r="A346" i="1"/>
  <c r="A347" i="1"/>
  <c r="A348" i="1"/>
  <c r="A349" i="1"/>
  <c r="A348" i="2" s="1"/>
  <c r="A350" i="1"/>
  <c r="A351" i="1"/>
  <c r="A352" i="1"/>
  <c r="A353" i="1"/>
  <c r="A354" i="1"/>
  <c r="A355" i="1"/>
  <c r="A356" i="1"/>
  <c r="A355" i="2" s="1"/>
  <c r="A357" i="1"/>
  <c r="A356" i="2" s="1"/>
  <c r="A358" i="1"/>
  <c r="A359" i="1"/>
  <c r="A358" i="2" s="1"/>
  <c r="A360" i="1"/>
  <c r="A359" i="2" s="1"/>
  <c r="A361" i="1"/>
  <c r="A360" i="2" s="1"/>
  <c r="A362" i="1"/>
  <c r="A363" i="1"/>
  <c r="A364" i="1"/>
  <c r="A365" i="1"/>
  <c r="A364" i="2" s="1"/>
  <c r="A366" i="1"/>
  <c r="A367" i="1"/>
  <c r="A368" i="1"/>
  <c r="A369" i="1"/>
  <c r="A370" i="1"/>
  <c r="A371" i="1"/>
  <c r="A372" i="1"/>
  <c r="A371" i="2" s="1"/>
  <c r="A373" i="1"/>
  <c r="A372" i="2" s="1"/>
  <c r="A374" i="1"/>
  <c r="A375" i="1"/>
  <c r="A374" i="2" s="1"/>
  <c r="A376" i="1"/>
  <c r="A375" i="2" s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88" i="2" s="1"/>
  <c r="A390" i="1"/>
  <c r="A391" i="1"/>
  <c r="A392" i="1"/>
  <c r="A391" i="2" s="1"/>
  <c r="A393" i="1"/>
  <c r="A394" i="1"/>
  <c r="A395" i="1"/>
  <c r="A396" i="1"/>
  <c r="A397" i="1"/>
  <c r="A396" i="2" s="1"/>
  <c r="A398" i="1"/>
  <c r="A399" i="1"/>
  <c r="A400" i="1"/>
  <c r="A401" i="1"/>
  <c r="A402" i="1"/>
  <c r="A403" i="1"/>
  <c r="A404" i="1"/>
  <c r="A405" i="1"/>
  <c r="A404" i="2" s="1"/>
  <c r="A406" i="1"/>
  <c r="A407" i="1"/>
  <c r="A406" i="2" s="1"/>
  <c r="A408" i="1"/>
  <c r="A407" i="2" s="1"/>
  <c r="A409" i="1"/>
  <c r="A408" i="2" s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0" i="2" s="1"/>
  <c r="A422" i="1"/>
  <c r="A423" i="1"/>
  <c r="A424" i="1"/>
  <c r="A423" i="2" s="1"/>
  <c r="A425" i="1"/>
  <c r="A424" i="2" s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6" i="2" s="1"/>
  <c r="A438" i="1"/>
  <c r="A439" i="1"/>
  <c r="A440" i="1"/>
  <c r="A439" i="2" s="1"/>
  <c r="A441" i="1"/>
  <c r="A440" i="2" s="1"/>
  <c r="A442" i="1"/>
  <c r="A443" i="1"/>
  <c r="A444" i="1"/>
  <c r="A445" i="1"/>
  <c r="A444" i="2" s="1"/>
  <c r="A446" i="1"/>
  <c r="A447" i="1"/>
  <c r="A448" i="1"/>
  <c r="A449" i="1"/>
  <c r="A450" i="1"/>
  <c r="A451" i="1"/>
  <c r="A452" i="1"/>
  <c r="A453" i="1"/>
  <c r="A452" i="2" s="1"/>
  <c r="A454" i="1"/>
  <c r="A455" i="1"/>
  <c r="A454" i="2" s="1"/>
  <c r="A456" i="1"/>
  <c r="A455" i="2" s="1"/>
  <c r="A457" i="1"/>
  <c r="A458" i="1"/>
  <c r="A459" i="1"/>
  <c r="A460" i="1"/>
  <c r="A461" i="1"/>
  <c r="A460" i="2" s="1"/>
  <c r="A462" i="1"/>
  <c r="A463" i="1"/>
  <c r="A464" i="1"/>
  <c r="A465" i="1"/>
  <c r="A466" i="1"/>
  <c r="A467" i="1"/>
  <c r="A468" i="1"/>
  <c r="A469" i="1"/>
  <c r="A468" i="2" s="1"/>
  <c r="A470" i="1"/>
  <c r="A471" i="1"/>
  <c r="A470" i="2" s="1"/>
  <c r="A472" i="1"/>
  <c r="A471" i="2" s="1"/>
  <c r="A473" i="1"/>
  <c r="A472" i="2" s="1"/>
  <c r="A474" i="1"/>
  <c r="A475" i="1"/>
  <c r="A476" i="1"/>
  <c r="A477" i="1"/>
  <c r="A476" i="2" s="1"/>
  <c r="A478" i="1"/>
  <c r="A479" i="1"/>
  <c r="A480" i="1"/>
  <c r="A481" i="1"/>
  <c r="A482" i="1"/>
  <c r="A483" i="1"/>
  <c r="A484" i="1"/>
  <c r="A483" i="2" s="1"/>
  <c r="A485" i="1"/>
  <c r="A484" i="2" s="1"/>
  <c r="A486" i="1"/>
  <c r="A487" i="1"/>
  <c r="A486" i="2" s="1"/>
  <c r="A488" i="1"/>
  <c r="A487" i="2" s="1"/>
  <c r="A489" i="1"/>
  <c r="A488" i="2" s="1"/>
  <c r="A490" i="1"/>
  <c r="A491" i="1"/>
  <c r="A492" i="1"/>
  <c r="A493" i="1"/>
  <c r="A494" i="1"/>
  <c r="A495" i="1"/>
  <c r="A496" i="1"/>
  <c r="A497" i="1"/>
  <c r="A498" i="1"/>
  <c r="A499" i="1"/>
  <c r="A500" i="1"/>
  <c r="A499" i="2" s="1"/>
  <c r="A501" i="1"/>
  <c r="A500" i="2" s="1"/>
  <c r="A502" i="1"/>
  <c r="A503" i="1"/>
  <c r="A504" i="1"/>
  <c r="A503" i="2" s="1"/>
  <c r="A505" i="1"/>
  <c r="A504" i="2" s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6" i="2" s="1"/>
  <c r="A518" i="1"/>
  <c r="A519" i="1"/>
  <c r="A518" i="2" s="1"/>
  <c r="A520" i="1"/>
  <c r="A519" i="2" s="1"/>
  <c r="A521" i="1"/>
  <c r="A522" i="1"/>
  <c r="A523" i="1"/>
  <c r="A524" i="1"/>
  <c r="A525" i="1"/>
  <c r="A524" i="2" s="1"/>
  <c r="A526" i="1"/>
  <c r="A527" i="1"/>
  <c r="A528" i="1"/>
  <c r="A529" i="1"/>
  <c r="A530" i="1"/>
  <c r="A531" i="1"/>
  <c r="A532" i="1"/>
  <c r="A533" i="1"/>
  <c r="A532" i="2" s="1"/>
  <c r="A534" i="1"/>
  <c r="A535" i="1"/>
  <c r="A534" i="2" s="1"/>
  <c r="A536" i="1"/>
  <c r="A535" i="2" s="1"/>
  <c r="A537" i="1"/>
  <c r="A536" i="2" s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48" i="2" s="1"/>
  <c r="A550" i="1"/>
  <c r="A551" i="1"/>
  <c r="A552" i="1"/>
  <c r="A551" i="2" s="1"/>
  <c r="A553" i="1"/>
  <c r="A552" i="2" s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4" i="2" s="1"/>
  <c r="A566" i="1"/>
  <c r="A567" i="1"/>
  <c r="A568" i="1"/>
  <c r="A567" i="2" s="1"/>
  <c r="A569" i="1"/>
  <c r="A568" i="2" s="1"/>
  <c r="A570" i="1"/>
  <c r="A571" i="1"/>
  <c r="A572" i="1"/>
  <c r="A573" i="1"/>
  <c r="A572" i="2" s="1"/>
  <c r="A574" i="1"/>
  <c r="A575" i="1"/>
  <c r="A576" i="1"/>
  <c r="A577" i="1"/>
  <c r="A578" i="1"/>
  <c r="A579" i="1"/>
  <c r="A580" i="1"/>
  <c r="A581" i="1"/>
  <c r="A580" i="2" s="1"/>
  <c r="A582" i="1"/>
  <c r="A583" i="1"/>
  <c r="A582" i="2" s="1"/>
  <c r="A584" i="1"/>
  <c r="A583" i="2" s="1"/>
  <c r="A585" i="1"/>
  <c r="A584" i="2" s="1"/>
  <c r="A586" i="1"/>
  <c r="A587" i="1"/>
  <c r="A588" i="1"/>
  <c r="A589" i="1"/>
  <c r="A588" i="2" s="1"/>
  <c r="A590" i="1"/>
  <c r="A591" i="1"/>
  <c r="A592" i="1"/>
  <c r="A593" i="1"/>
  <c r="A594" i="1"/>
  <c r="A595" i="1"/>
  <c r="A596" i="1"/>
  <c r="A597" i="1"/>
  <c r="A596" i="2" s="1"/>
  <c r="A598" i="1"/>
  <c r="A599" i="1"/>
  <c r="A598" i="2" s="1"/>
  <c r="A600" i="1"/>
  <c r="A599" i="2" s="1"/>
  <c r="A601" i="1"/>
  <c r="A600" i="2" s="1"/>
  <c r="A602" i="1"/>
  <c r="A603" i="1"/>
  <c r="A604" i="1"/>
  <c r="A605" i="1"/>
  <c r="A604" i="2" s="1"/>
  <c r="A606" i="1"/>
  <c r="A607" i="1"/>
  <c r="A608" i="1"/>
  <c r="A609" i="1"/>
  <c r="A610" i="1"/>
  <c r="A611" i="1"/>
  <c r="A612" i="1"/>
  <c r="A611" i="2" s="1"/>
  <c r="A613" i="1"/>
  <c r="A612" i="2" s="1"/>
  <c r="A614" i="1"/>
  <c r="A615" i="1"/>
  <c r="A614" i="2" s="1"/>
  <c r="A616" i="1"/>
  <c r="A615" i="2" s="1"/>
  <c r="A617" i="1"/>
  <c r="A616" i="2" s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28" i="2" s="1"/>
  <c r="A630" i="1"/>
  <c r="A631" i="1"/>
  <c r="A632" i="1"/>
  <c r="A631" i="2" s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4" i="2" s="1"/>
  <c r="A646" i="1"/>
  <c r="A647" i="1"/>
  <c r="A648" i="1"/>
  <c r="A647" i="2" s="1"/>
  <c r="A649" i="1"/>
  <c r="A648" i="2" s="1"/>
  <c r="A650" i="1"/>
  <c r="A651" i="1"/>
  <c r="A652" i="1"/>
  <c r="A653" i="1"/>
  <c r="A652" i="2" s="1"/>
  <c r="A654" i="1"/>
  <c r="A655" i="1"/>
  <c r="A656" i="1"/>
  <c r="A657" i="1"/>
  <c r="A658" i="1"/>
  <c r="A659" i="1"/>
  <c r="A660" i="1"/>
  <c r="A661" i="1"/>
  <c r="A660" i="2" s="1"/>
  <c r="A662" i="1"/>
  <c r="A663" i="1"/>
  <c r="A662" i="2" s="1"/>
  <c r="A664" i="1"/>
  <c r="A663" i="2" s="1"/>
  <c r="A665" i="1"/>
  <c r="A664" i="2" s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6" i="2" s="1"/>
  <c r="A678" i="1"/>
  <c r="A679" i="1"/>
  <c r="A680" i="1"/>
  <c r="A679" i="2" s="1"/>
  <c r="A681" i="1"/>
  <c r="A680" i="2" s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2" i="2" s="1"/>
  <c r="A694" i="1"/>
  <c r="A695" i="1"/>
  <c r="A696" i="1"/>
  <c r="A695" i="2" s="1"/>
  <c r="A697" i="1"/>
  <c r="A696" i="2" s="1"/>
  <c r="A698" i="1"/>
  <c r="A699" i="1"/>
  <c r="A700" i="1"/>
  <c r="A701" i="1"/>
  <c r="A700" i="2" s="1"/>
  <c r="A702" i="1"/>
  <c r="A703" i="1"/>
  <c r="A704" i="1"/>
  <c r="A705" i="1"/>
  <c r="A706" i="1"/>
  <c r="A707" i="1"/>
  <c r="A708" i="1"/>
  <c r="A709" i="1"/>
  <c r="A708" i="2" s="1"/>
  <c r="A710" i="1"/>
  <c r="A711" i="1"/>
  <c r="A710" i="2" s="1"/>
  <c r="A712" i="1"/>
  <c r="A711" i="2" s="1"/>
  <c r="A713" i="1"/>
  <c r="A714" i="1"/>
  <c r="A715" i="1"/>
  <c r="A716" i="1"/>
  <c r="A717" i="1"/>
  <c r="A716" i="2" s="1"/>
  <c r="A718" i="1"/>
  <c r="A719" i="1"/>
  <c r="A720" i="1"/>
  <c r="A721" i="1"/>
  <c r="A722" i="1"/>
  <c r="A723" i="1"/>
  <c r="A724" i="1"/>
  <c r="A725" i="1"/>
  <c r="A724" i="2" s="1"/>
  <c r="A726" i="1"/>
  <c r="A727" i="1"/>
  <c r="A726" i="2" s="1"/>
  <c r="A728" i="1"/>
  <c r="A727" i="2" s="1"/>
  <c r="A729" i="1"/>
  <c r="A730" i="1"/>
  <c r="A731" i="1"/>
  <c r="A732" i="1"/>
  <c r="A733" i="1"/>
  <c r="A732" i="2" s="1"/>
  <c r="A734" i="1"/>
  <c r="A735" i="1"/>
  <c r="A736" i="1"/>
  <c r="A737" i="1"/>
  <c r="A738" i="1"/>
  <c r="A739" i="1"/>
  <c r="A740" i="1"/>
  <c r="A739" i="2" s="1"/>
  <c r="A741" i="1"/>
  <c r="A740" i="2" s="1"/>
  <c r="A742" i="1"/>
  <c r="A743" i="1"/>
  <c r="A742" i="2" s="1"/>
  <c r="A744" i="1"/>
  <c r="A743" i="2" s="1"/>
  <c r="A745" i="1"/>
  <c r="A744" i="2" s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6" i="2" s="1"/>
  <c r="A758" i="1"/>
  <c r="A759" i="1"/>
  <c r="A760" i="1"/>
  <c r="A759" i="2" s="1"/>
  <c r="A761" i="1"/>
  <c r="A760" i="2" s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2" i="2" s="1"/>
  <c r="A774" i="1"/>
  <c r="A775" i="1"/>
  <c r="A776" i="1"/>
  <c r="A775" i="2" s="1"/>
  <c r="A777" i="1"/>
  <c r="A778" i="1"/>
  <c r="A779" i="1"/>
  <c r="A780" i="1"/>
  <c r="A781" i="1"/>
  <c r="A780" i="2" s="1"/>
  <c r="A782" i="1"/>
  <c r="A783" i="1"/>
  <c r="A784" i="1"/>
  <c r="A785" i="1"/>
  <c r="A786" i="1"/>
  <c r="A787" i="1"/>
  <c r="A788" i="1"/>
  <c r="A789" i="1"/>
  <c r="A788" i="2" s="1"/>
  <c r="A790" i="1"/>
  <c r="A791" i="1"/>
  <c r="A790" i="2" s="1"/>
  <c r="A792" i="1"/>
  <c r="A791" i="2" s="1"/>
  <c r="A793" i="1"/>
  <c r="A792" i="2" s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4" i="2" s="1"/>
  <c r="A806" i="1"/>
  <c r="A807" i="1"/>
  <c r="A808" i="1"/>
  <c r="A807" i="2" s="1"/>
  <c r="A809" i="1"/>
  <c r="A808" i="2" s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0" i="2" s="1"/>
  <c r="A822" i="1"/>
  <c r="A823" i="1"/>
  <c r="A824" i="1"/>
  <c r="A823" i="2" s="1"/>
  <c r="A825" i="1"/>
  <c r="A824" i="2" s="1"/>
  <c r="A826" i="1"/>
  <c r="A827" i="1"/>
  <c r="A828" i="1"/>
  <c r="A829" i="1"/>
  <c r="A828" i="2" s="1"/>
  <c r="A830" i="1"/>
  <c r="A831" i="1"/>
  <c r="A832" i="1"/>
  <c r="A833" i="1"/>
  <c r="A834" i="1"/>
  <c r="A835" i="1"/>
  <c r="A836" i="1"/>
  <c r="A837" i="1"/>
  <c r="A836" i="2" s="1"/>
  <c r="A838" i="1"/>
  <c r="A839" i="1"/>
  <c r="A838" i="2" s="1"/>
  <c r="A840" i="1"/>
  <c r="A839" i="2" s="1"/>
  <c r="A841" i="1"/>
  <c r="A840" i="2" s="1"/>
  <c r="A842" i="1"/>
  <c r="A843" i="1"/>
  <c r="A844" i="1"/>
  <c r="A845" i="1"/>
  <c r="A844" i="2" s="1"/>
  <c r="A846" i="1"/>
  <c r="A847" i="1"/>
  <c r="A848" i="1"/>
  <c r="A849" i="1"/>
  <c r="A850" i="1"/>
  <c r="A851" i="1"/>
  <c r="A852" i="1"/>
  <c r="A853" i="1"/>
  <c r="A852" i="2" s="1"/>
  <c r="A854" i="1"/>
  <c r="A855" i="1"/>
  <c r="A854" i="2" s="1"/>
  <c r="A856" i="1"/>
  <c r="A855" i="2" s="1"/>
  <c r="A857" i="1"/>
  <c r="A856" i="2" s="1"/>
  <c r="A858" i="1"/>
  <c r="A859" i="1"/>
  <c r="A860" i="1"/>
  <c r="A861" i="1"/>
  <c r="A860" i="2" s="1"/>
  <c r="A862" i="1"/>
  <c r="A863" i="1"/>
  <c r="A864" i="1"/>
  <c r="A865" i="1"/>
  <c r="A866" i="1"/>
  <c r="A867" i="1"/>
  <c r="A868" i="1"/>
  <c r="A867" i="2" s="1"/>
  <c r="A869" i="1"/>
  <c r="A868" i="2" s="1"/>
  <c r="A870" i="1"/>
  <c r="A871" i="1"/>
  <c r="A870" i="2" s="1"/>
  <c r="A872" i="1"/>
  <c r="A871" i="2" s="1"/>
  <c r="A873" i="1"/>
  <c r="A872" i="2" s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4" i="2" s="1"/>
  <c r="A886" i="1"/>
  <c r="A887" i="1"/>
  <c r="A888" i="1"/>
  <c r="A887" i="2" s="1"/>
  <c r="A889" i="1"/>
  <c r="A888" i="2" s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0" i="2" s="1"/>
  <c r="A902" i="1"/>
  <c r="A903" i="1"/>
  <c r="A904" i="1"/>
  <c r="A903" i="2" s="1"/>
  <c r="A905" i="1"/>
  <c r="A904" i="2" s="1"/>
  <c r="A906" i="1"/>
  <c r="A907" i="1"/>
  <c r="A908" i="1"/>
  <c r="A909" i="1"/>
  <c r="A908" i="2" s="1"/>
  <c r="A910" i="1"/>
  <c r="A911" i="1"/>
  <c r="A912" i="1"/>
  <c r="A913" i="1"/>
  <c r="A914" i="1"/>
  <c r="A915" i="1"/>
  <c r="A916" i="1"/>
  <c r="A917" i="1"/>
  <c r="A916" i="2" s="1"/>
  <c r="A918" i="1"/>
  <c r="A919" i="1"/>
  <c r="A918" i="2" s="1"/>
  <c r="A920" i="1"/>
  <c r="A919" i="2" s="1"/>
  <c r="A921" i="1"/>
  <c r="A920" i="2" s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2" i="2" s="1"/>
  <c r="A934" i="1"/>
  <c r="A935" i="1"/>
  <c r="A936" i="1"/>
  <c r="A935" i="2" s="1"/>
  <c r="A937" i="1"/>
  <c r="A936" i="2" s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48" i="2" s="1"/>
  <c r="A950" i="1"/>
  <c r="A951" i="1"/>
  <c r="A952" i="1"/>
  <c r="A953" i="1"/>
  <c r="A952" i="2" s="1"/>
  <c r="A954" i="1"/>
  <c r="A955" i="1"/>
  <c r="A956" i="1"/>
  <c r="A957" i="1"/>
  <c r="A956" i="2" s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68" i="2" s="1"/>
  <c r="A970" i="1"/>
  <c r="A971" i="1"/>
  <c r="A972" i="1"/>
  <c r="A973" i="1"/>
  <c r="A972" i="2" s="1"/>
  <c r="A974" i="1"/>
  <c r="A975" i="1"/>
  <c r="A976" i="1"/>
  <c r="A977" i="1"/>
  <c r="A978" i="1"/>
  <c r="A979" i="1"/>
  <c r="A980" i="1"/>
  <c r="A981" i="1"/>
  <c r="A982" i="1"/>
  <c r="A983" i="1"/>
  <c r="A984" i="1"/>
  <c r="A983" i="2" s="1"/>
  <c r="A985" i="1"/>
  <c r="A984" i="2" s="1"/>
  <c r="A986" i="1"/>
  <c r="A987" i="1"/>
  <c r="A988" i="1"/>
  <c r="A989" i="1"/>
  <c r="A988" i="2" s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0" i="2" s="1"/>
  <c r="A1002" i="1"/>
  <c r="A1003" i="1"/>
  <c r="A1004" i="1"/>
  <c r="A1005" i="1"/>
  <c r="A1004" i="2" s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6" i="2" s="1"/>
  <c r="A1018" i="1"/>
  <c r="A1019" i="1"/>
  <c r="A1020" i="1"/>
  <c r="A1021" i="1"/>
  <c r="A1020" i="2" s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2" i="2" s="1"/>
  <c r="A1034" i="1"/>
  <c r="A1035" i="1"/>
  <c r="A1036" i="1"/>
  <c r="A1037" i="1"/>
  <c r="A1036" i="2" s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48" i="2" s="1"/>
  <c r="A1050" i="1"/>
  <c r="A1051" i="1"/>
  <c r="A1052" i="1"/>
  <c r="A1053" i="1"/>
  <c r="A1052" i="2" s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4" i="2" s="1"/>
  <c r="A1066" i="1"/>
  <c r="A1067" i="1"/>
  <c r="A1068" i="1"/>
  <c r="A1069" i="1"/>
  <c r="A1068" i="2" s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0" i="2" s="1"/>
  <c r="A1082" i="1"/>
  <c r="A1083" i="1"/>
  <c r="A1084" i="1"/>
  <c r="A1085" i="1"/>
  <c r="A1084" i="2" s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6" i="2" s="1"/>
  <c r="A1098" i="1"/>
  <c r="A1099" i="1"/>
  <c r="A1100" i="1"/>
  <c r="A1101" i="1"/>
  <c r="A1100" i="2" s="1"/>
  <c r="A1102" i="1"/>
  <c r="A1103" i="1"/>
  <c r="A1104" i="1"/>
  <c r="A1105" i="1"/>
  <c r="A1106" i="1"/>
  <c r="A1107" i="1"/>
  <c r="A1108" i="1"/>
  <c r="A1109" i="1"/>
  <c r="A1110" i="1"/>
  <c r="A1111" i="1"/>
  <c r="A1112" i="1"/>
  <c r="A1111" i="2" s="1"/>
  <c r="A1113" i="1"/>
  <c r="A1112" i="2" s="1"/>
  <c r="A1114" i="1"/>
  <c r="A1115" i="1"/>
  <c r="A1116" i="1"/>
  <c r="A1117" i="1"/>
  <c r="A1116" i="2" s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28" i="2" s="1"/>
  <c r="A1130" i="1"/>
  <c r="A1131" i="1"/>
  <c r="A1132" i="1"/>
  <c r="A1133" i="1"/>
  <c r="A1132" i="2" s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4" i="2" s="1"/>
  <c r="A1146" i="1"/>
  <c r="A1147" i="1"/>
  <c r="A1148" i="1"/>
  <c r="A1149" i="1"/>
  <c r="A1148" i="2" s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0" i="2" s="1"/>
  <c r="A1162" i="1"/>
  <c r="A1163" i="1"/>
  <c r="A1164" i="1"/>
  <c r="A1165" i="1"/>
  <c r="A1164" i="2" s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6" i="2" s="1"/>
  <c r="A1178" i="1"/>
  <c r="A1179" i="1"/>
  <c r="A1180" i="1"/>
  <c r="A1181" i="1"/>
  <c r="A1180" i="2" s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2" i="2" s="1"/>
  <c r="A1194" i="1"/>
  <c r="A1195" i="1"/>
  <c r="A1196" i="1"/>
  <c r="A1197" i="1"/>
  <c r="A1196" i="2" s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08" i="2" s="1"/>
  <c r="A1210" i="1"/>
  <c r="A1211" i="1"/>
  <c r="A1212" i="1"/>
  <c r="A1213" i="1"/>
  <c r="A1212" i="2" s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4" i="2" s="1"/>
  <c r="A1226" i="1"/>
  <c r="A1227" i="1"/>
  <c r="A1228" i="1"/>
  <c r="A1229" i="1"/>
  <c r="A1228" i="2" s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0" i="2" s="1"/>
  <c r="A1242" i="1"/>
  <c r="A1243" i="1"/>
  <c r="A1244" i="1"/>
  <c r="A1245" i="1"/>
  <c r="A1244" i="2" s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6" i="2" s="1"/>
  <c r="A1258" i="1"/>
  <c r="A1259" i="1"/>
  <c r="A1260" i="1"/>
  <c r="A1261" i="1"/>
  <c r="A1260" i="2" s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2" i="2" s="1"/>
  <c r="A1274" i="1"/>
  <c r="A1275" i="1"/>
  <c r="A1276" i="1"/>
  <c r="A1277" i="1"/>
  <c r="A1276" i="2" s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88" i="2" s="1"/>
  <c r="A1290" i="1"/>
  <c r="A1291" i="1"/>
  <c r="A1292" i="1"/>
  <c r="A1293" i="1"/>
  <c r="A1292" i="2" s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4" i="2" s="1"/>
  <c r="A1306" i="1"/>
  <c r="A1307" i="1"/>
  <c r="A1308" i="1"/>
  <c r="A1309" i="1"/>
  <c r="A1308" i="2" s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0" i="2" s="1"/>
  <c r="A1322" i="1"/>
  <c r="A1323" i="1"/>
  <c r="A1324" i="1"/>
  <c r="A1325" i="1"/>
  <c r="A1324" i="2" s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6" i="2" s="1"/>
  <c r="A1338" i="1"/>
  <c r="A1339" i="1"/>
  <c r="A1340" i="1"/>
  <c r="A1341" i="1"/>
  <c r="A1340" i="2" s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2" i="2" s="1"/>
  <c r="A1354" i="1"/>
  <c r="A1355" i="1"/>
  <c r="A1356" i="1"/>
  <c r="A1357" i="1"/>
  <c r="A1356" i="2" s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68" i="2" s="1"/>
  <c r="A1370" i="1"/>
  <c r="A1371" i="1"/>
  <c r="A1372" i="1"/>
  <c r="A1373" i="1"/>
  <c r="A1372" i="2" s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4" i="2" s="1"/>
  <c r="A1386" i="1"/>
  <c r="A1387" i="1"/>
  <c r="A1388" i="1"/>
  <c r="A1389" i="1"/>
  <c r="A1388" i="2" s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0" i="2" s="1"/>
  <c r="A1402" i="1"/>
  <c r="A1403" i="1"/>
  <c r="A1404" i="1"/>
  <c r="A1405" i="1"/>
  <c r="A1404" i="2" s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6" i="2" s="1"/>
  <c r="A1418" i="1"/>
  <c r="A1419" i="1"/>
  <c r="A1420" i="1"/>
  <c r="A1421" i="1"/>
  <c r="A1420" i="2" s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2" i="2" s="1"/>
  <c r="A1434" i="1"/>
  <c r="A1435" i="1"/>
  <c r="A1436" i="1"/>
  <c r="A1437" i="1"/>
  <c r="A1436" i="2" s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48" i="2" s="1"/>
  <c r="A1450" i="1"/>
  <c r="A1451" i="1"/>
  <c r="A1452" i="1"/>
  <c r="A1453" i="1"/>
  <c r="A1452" i="2" s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4" i="2" s="1"/>
  <c r="A1466" i="1"/>
  <c r="A1467" i="1"/>
  <c r="A1468" i="1"/>
  <c r="A1469" i="1"/>
  <c r="A1468" i="2" s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0" i="2" s="1"/>
  <c r="A1482" i="1"/>
  <c r="A1483" i="1"/>
  <c r="A1484" i="1"/>
  <c r="A1485" i="1"/>
  <c r="A1484" i="2" s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6" i="2" s="1"/>
  <c r="A1498" i="1"/>
  <c r="A1499" i="1"/>
  <c r="A1500" i="1"/>
  <c r="A1501" i="1"/>
  <c r="A1500" i="2" s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2" i="2" s="1"/>
  <c r="A1514" i="1"/>
  <c r="A1515" i="1"/>
  <c r="A1516" i="1"/>
  <c r="A1517" i="1"/>
  <c r="A1516" i="2" s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28" i="2" s="1"/>
  <c r="A1530" i="1"/>
  <c r="A1531" i="1"/>
  <c r="A1532" i="1"/>
  <c r="A1533" i="1"/>
  <c r="A1532" i="2" s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4" i="2" s="1"/>
  <c r="A1546" i="1"/>
  <c r="A1547" i="1"/>
  <c r="A1548" i="1"/>
  <c r="A1549" i="1"/>
  <c r="A1548" i="2" s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0" i="2" s="1"/>
  <c r="A1562" i="1"/>
  <c r="A1563" i="1"/>
  <c r="A1564" i="1"/>
  <c r="A1565" i="1"/>
  <c r="A1564" i="2" s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6" i="2" s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2" i="2" s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08" i="2" s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4" i="2" s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0" i="2" s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6" i="2" s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2" i="2" s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88" i="2" s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4" i="2" s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0" i="2" s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6" i="2" s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2" i="2" s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68" i="2" s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4" i="2" s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0" i="2" s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6" i="2" s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2" i="2" s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48" i="2" s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4" i="2" s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0" i="2" s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6" i="2" s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2" i="2" s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28" i="2" s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4" i="2" s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0" i="2" s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6" i="2" s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2" i="2" s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08" i="2" s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4" i="2" s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0" i="2" s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6" i="2" s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2" i="2" s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88" i="2" s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4" i="2" s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0" i="2" s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6" i="2" s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2" i="2" s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68" i="2" s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4" i="2" s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0" i="2" s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6" i="2" s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2" i="2" s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48" i="2" s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4" i="2" s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0" i="2" s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6" i="2" s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2" i="2" s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28" i="2" s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4" i="2" s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0" i="2" s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6" i="2" s="1"/>
  <c r="A2378" i="1"/>
  <c r="A2379" i="1"/>
  <c r="A2380" i="1"/>
  <c r="A2381" i="1"/>
  <c r="A2382" i="1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A25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A26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A27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A29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A30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A31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A32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A34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A35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A37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A41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A42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A43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A45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A46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A47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A48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A50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A53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A57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A58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A59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A61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A62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A63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A64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A66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A69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A70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A73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A74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A75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A77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A78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A79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A80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A82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A83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A85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A89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A90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A91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A92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A93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A94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A95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A96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A98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A101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A102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A105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A106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A107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A109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A110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A111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A112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A114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A115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A117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A121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A122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A123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A125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A126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A127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A128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A130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A131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A133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A137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A138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A139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A140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A141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A142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A143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A144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A146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B148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A149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A150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A153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A154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A155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A156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A157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A158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A159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A160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B161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A162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A163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A165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A166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A169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A170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A171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A172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A173" i="2"/>
  <c r="B173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A174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A175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A176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B177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A178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A181" i="2"/>
  <c r="B181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A185" i="2"/>
  <c r="B185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A186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A187" i="2"/>
  <c r="B187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A188" i="2"/>
  <c r="B188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A189" i="2"/>
  <c r="B189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A190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A191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A192" i="2"/>
  <c r="B192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B193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A194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A195" i="2"/>
  <c r="B195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A197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A198" i="2"/>
  <c r="B198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B199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A201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A202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A203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A205" i="2"/>
  <c r="B205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A206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A207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A208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A210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A211" i="2"/>
  <c r="B211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A213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B215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B216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A217" i="2"/>
  <c r="B217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A218" i="2"/>
  <c r="B218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A219" i="2"/>
  <c r="B219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B220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A221" i="2"/>
  <c r="B221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A222" i="2"/>
  <c r="B222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A223" i="2"/>
  <c r="B223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A224" i="2"/>
  <c r="B224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A225" i="2"/>
  <c r="B225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A226" i="2"/>
  <c r="B226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B227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B228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A229" i="2"/>
  <c r="B229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B230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B231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B232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A233" i="2"/>
  <c r="B233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A234" i="2"/>
  <c r="B234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A235" i="2"/>
  <c r="B235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A236" i="2"/>
  <c r="B236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A237" i="2"/>
  <c r="B237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A238" i="2"/>
  <c r="B238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A239" i="2"/>
  <c r="B239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A240" i="2"/>
  <c r="B240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A241" i="2"/>
  <c r="B241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A242" i="2"/>
  <c r="B242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B243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B244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A245" i="2"/>
  <c r="B245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A246" i="2"/>
  <c r="B246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B247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A248" i="2"/>
  <c r="B248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A249" i="2"/>
  <c r="B249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A250" i="2"/>
  <c r="B250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A251" i="2"/>
  <c r="B251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A252" i="2"/>
  <c r="B252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A253" i="2"/>
  <c r="B253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A254" i="2"/>
  <c r="B254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A255" i="2"/>
  <c r="B255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A256" i="2"/>
  <c r="B256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A257" i="2"/>
  <c r="B257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A258" i="2"/>
  <c r="B258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A259" i="2"/>
  <c r="B259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B260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A261" i="2"/>
  <c r="B261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A262" i="2"/>
  <c r="B262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B263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B264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A265" i="2"/>
  <c r="B265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A266" i="2"/>
  <c r="B266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A267" i="2"/>
  <c r="B267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B268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A269" i="2"/>
  <c r="B269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A270" i="2"/>
  <c r="B270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A271" i="2"/>
  <c r="B271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A272" i="2"/>
  <c r="B272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A273" i="2"/>
  <c r="B273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A274" i="2"/>
  <c r="B274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A275" i="2"/>
  <c r="B275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B276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A277" i="2"/>
  <c r="B277" i="2"/>
  <c r="C277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B278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B279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B280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A281" i="2"/>
  <c r="B281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A282" i="2"/>
  <c r="B282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A283" i="2"/>
  <c r="B283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A284" i="2"/>
  <c r="B284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A285" i="2"/>
  <c r="B285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A286" i="2"/>
  <c r="B286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A287" i="2"/>
  <c r="B287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A288" i="2"/>
  <c r="B288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A289" i="2"/>
  <c r="B289" i="2"/>
  <c r="C289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A290" i="2"/>
  <c r="B290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A291" i="2"/>
  <c r="B291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B292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A293" i="2"/>
  <c r="B293" i="2"/>
  <c r="C293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A294" i="2"/>
  <c r="B294" i="2"/>
  <c r="C294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B295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B296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A297" i="2"/>
  <c r="B297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A298" i="2"/>
  <c r="B298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A299" i="2"/>
  <c r="B299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A300" i="2"/>
  <c r="B300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A301" i="2"/>
  <c r="B301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A302" i="2"/>
  <c r="B302" i="2"/>
  <c r="C302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A303" i="2"/>
  <c r="B303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A304" i="2"/>
  <c r="B304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A305" i="2"/>
  <c r="B305" i="2"/>
  <c r="C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A306" i="2"/>
  <c r="B306" i="2"/>
  <c r="C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A307" i="2"/>
  <c r="B307" i="2"/>
  <c r="C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B308" i="2"/>
  <c r="C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A309" i="2"/>
  <c r="B309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A310" i="2"/>
  <c r="B310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B311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B312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A313" i="2"/>
  <c r="B313" i="2"/>
  <c r="C313" i="2"/>
  <c r="D313" i="2"/>
  <c r="E313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A314" i="2"/>
  <c r="B314" i="2"/>
  <c r="C314" i="2"/>
  <c r="D314" i="2"/>
  <c r="E314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V314" i="2"/>
  <c r="W314" i="2"/>
  <c r="X314" i="2"/>
  <c r="Y314" i="2"/>
  <c r="A315" i="2"/>
  <c r="B315" i="2"/>
  <c r="C315" i="2"/>
  <c r="D315" i="2"/>
  <c r="E315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X315" i="2"/>
  <c r="Y315" i="2"/>
  <c r="B316" i="2"/>
  <c r="C316" i="2"/>
  <c r="D316" i="2"/>
  <c r="E316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X316" i="2"/>
  <c r="Y316" i="2"/>
  <c r="A317" i="2"/>
  <c r="B317" i="2"/>
  <c r="C317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V317" i="2"/>
  <c r="W317" i="2"/>
  <c r="X317" i="2"/>
  <c r="Y317" i="2"/>
  <c r="A318" i="2"/>
  <c r="B318" i="2"/>
  <c r="C318" i="2"/>
  <c r="D318" i="2"/>
  <c r="E318" i="2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V318" i="2"/>
  <c r="W318" i="2"/>
  <c r="X318" i="2"/>
  <c r="Y318" i="2"/>
  <c r="A319" i="2"/>
  <c r="B319" i="2"/>
  <c r="C319" i="2"/>
  <c r="D319" i="2"/>
  <c r="E319" i="2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X319" i="2"/>
  <c r="Y319" i="2"/>
  <c r="A320" i="2"/>
  <c r="B320" i="2"/>
  <c r="C320" i="2"/>
  <c r="D320" i="2"/>
  <c r="E320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X320" i="2"/>
  <c r="Y320" i="2"/>
  <c r="A321" i="2"/>
  <c r="B321" i="2"/>
  <c r="C321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X321" i="2"/>
  <c r="Y321" i="2"/>
  <c r="A322" i="2"/>
  <c r="B322" i="2"/>
  <c r="C322" i="2"/>
  <c r="D322" i="2"/>
  <c r="E322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X322" i="2"/>
  <c r="Y322" i="2"/>
  <c r="A323" i="2"/>
  <c r="B323" i="2"/>
  <c r="C323" i="2"/>
  <c r="D323" i="2"/>
  <c r="E323" i="2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V323" i="2"/>
  <c r="W323" i="2"/>
  <c r="X323" i="2"/>
  <c r="Y323" i="2"/>
  <c r="B324" i="2"/>
  <c r="C324" i="2"/>
  <c r="D324" i="2"/>
  <c r="E324" i="2"/>
  <c r="F324" i="2"/>
  <c r="G324" i="2"/>
  <c r="H324" i="2"/>
  <c r="I324" i="2"/>
  <c r="J324" i="2"/>
  <c r="K324" i="2"/>
  <c r="L324" i="2"/>
  <c r="M324" i="2"/>
  <c r="N324" i="2"/>
  <c r="O324" i="2"/>
  <c r="P324" i="2"/>
  <c r="Q324" i="2"/>
  <c r="R324" i="2"/>
  <c r="S324" i="2"/>
  <c r="T324" i="2"/>
  <c r="U324" i="2"/>
  <c r="V324" i="2"/>
  <c r="W324" i="2"/>
  <c r="X324" i="2"/>
  <c r="Y324" i="2"/>
  <c r="A325" i="2"/>
  <c r="B325" i="2"/>
  <c r="C325" i="2"/>
  <c r="D325" i="2"/>
  <c r="E325" i="2"/>
  <c r="F325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V325" i="2"/>
  <c r="W325" i="2"/>
  <c r="X325" i="2"/>
  <c r="Y325" i="2"/>
  <c r="B326" i="2"/>
  <c r="C326" i="2"/>
  <c r="D326" i="2"/>
  <c r="E326" i="2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V326" i="2"/>
  <c r="W326" i="2"/>
  <c r="X326" i="2"/>
  <c r="Y326" i="2"/>
  <c r="B327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V327" i="2"/>
  <c r="W327" i="2"/>
  <c r="X327" i="2"/>
  <c r="Y327" i="2"/>
  <c r="B328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O328" i="2"/>
  <c r="P328" i="2"/>
  <c r="Q328" i="2"/>
  <c r="R328" i="2"/>
  <c r="S328" i="2"/>
  <c r="T328" i="2"/>
  <c r="U328" i="2"/>
  <c r="V328" i="2"/>
  <c r="W328" i="2"/>
  <c r="X328" i="2"/>
  <c r="Y328" i="2"/>
  <c r="A329" i="2"/>
  <c r="B329" i="2"/>
  <c r="C329" i="2"/>
  <c r="D329" i="2"/>
  <c r="E329" i="2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V329" i="2"/>
  <c r="W329" i="2"/>
  <c r="X329" i="2"/>
  <c r="Y329" i="2"/>
  <c r="A330" i="2"/>
  <c r="B330" i="2"/>
  <c r="C330" i="2"/>
  <c r="D330" i="2"/>
  <c r="E330" i="2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V330" i="2"/>
  <c r="W330" i="2"/>
  <c r="X330" i="2"/>
  <c r="Y330" i="2"/>
  <c r="A331" i="2"/>
  <c r="B331" i="2"/>
  <c r="C331" i="2"/>
  <c r="D331" i="2"/>
  <c r="E331" i="2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X331" i="2"/>
  <c r="Y331" i="2"/>
  <c r="B332" i="2"/>
  <c r="C332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X332" i="2"/>
  <c r="Y332" i="2"/>
  <c r="A333" i="2"/>
  <c r="B333" i="2"/>
  <c r="C333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X333" i="2"/>
  <c r="Y333" i="2"/>
  <c r="A334" i="2"/>
  <c r="B334" i="2"/>
  <c r="C334" i="2"/>
  <c r="D334" i="2"/>
  <c r="E334" i="2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X334" i="2"/>
  <c r="Y334" i="2"/>
  <c r="A335" i="2"/>
  <c r="B335" i="2"/>
  <c r="C335" i="2"/>
  <c r="D335" i="2"/>
  <c r="E335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X335" i="2"/>
  <c r="Y335" i="2"/>
  <c r="A336" i="2"/>
  <c r="B336" i="2"/>
  <c r="C336" i="2"/>
  <c r="D336" i="2"/>
  <c r="E336" i="2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V336" i="2"/>
  <c r="W336" i="2"/>
  <c r="X336" i="2"/>
  <c r="Y336" i="2"/>
  <c r="A337" i="2"/>
  <c r="B337" i="2"/>
  <c r="C337" i="2"/>
  <c r="D337" i="2"/>
  <c r="E337" i="2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V337" i="2"/>
  <c r="W337" i="2"/>
  <c r="X337" i="2"/>
  <c r="Y337" i="2"/>
  <c r="A338" i="2"/>
  <c r="B338" i="2"/>
  <c r="C338" i="2"/>
  <c r="D338" i="2"/>
  <c r="E338" i="2"/>
  <c r="F338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S338" i="2"/>
  <c r="T338" i="2"/>
  <c r="U338" i="2"/>
  <c r="V338" i="2"/>
  <c r="W338" i="2"/>
  <c r="X338" i="2"/>
  <c r="Y338" i="2"/>
  <c r="A339" i="2"/>
  <c r="B339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S339" i="2"/>
  <c r="T339" i="2"/>
  <c r="U339" i="2"/>
  <c r="V339" i="2"/>
  <c r="W339" i="2"/>
  <c r="X339" i="2"/>
  <c r="Y339" i="2"/>
  <c r="B340" i="2"/>
  <c r="C340" i="2"/>
  <c r="D340" i="2"/>
  <c r="E340" i="2"/>
  <c r="F340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S340" i="2"/>
  <c r="T340" i="2"/>
  <c r="U340" i="2"/>
  <c r="V340" i="2"/>
  <c r="W340" i="2"/>
  <c r="X340" i="2"/>
  <c r="Y340" i="2"/>
  <c r="A341" i="2"/>
  <c r="B341" i="2"/>
  <c r="C341" i="2"/>
  <c r="D341" i="2"/>
  <c r="E341" i="2"/>
  <c r="F341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S341" i="2"/>
  <c r="T341" i="2"/>
  <c r="U341" i="2"/>
  <c r="V341" i="2"/>
  <c r="W341" i="2"/>
  <c r="X341" i="2"/>
  <c r="Y341" i="2"/>
  <c r="B342" i="2"/>
  <c r="C342" i="2"/>
  <c r="D342" i="2"/>
  <c r="E342" i="2"/>
  <c r="F342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S342" i="2"/>
  <c r="T342" i="2"/>
  <c r="U342" i="2"/>
  <c r="V342" i="2"/>
  <c r="W342" i="2"/>
  <c r="X342" i="2"/>
  <c r="Y342" i="2"/>
  <c r="B343" i="2"/>
  <c r="C343" i="2"/>
  <c r="D343" i="2"/>
  <c r="E343" i="2"/>
  <c r="F343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S343" i="2"/>
  <c r="T343" i="2"/>
  <c r="U343" i="2"/>
  <c r="V343" i="2"/>
  <c r="W343" i="2"/>
  <c r="X343" i="2"/>
  <c r="Y343" i="2"/>
  <c r="B344" i="2"/>
  <c r="C344" i="2"/>
  <c r="D344" i="2"/>
  <c r="E344" i="2"/>
  <c r="F344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S344" i="2"/>
  <c r="T344" i="2"/>
  <c r="U344" i="2"/>
  <c r="V344" i="2"/>
  <c r="W344" i="2"/>
  <c r="X344" i="2"/>
  <c r="Y344" i="2"/>
  <c r="A345" i="2"/>
  <c r="B345" i="2"/>
  <c r="C345" i="2"/>
  <c r="D345" i="2"/>
  <c r="E345" i="2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U345" i="2"/>
  <c r="V345" i="2"/>
  <c r="W345" i="2"/>
  <c r="X345" i="2"/>
  <c r="Y345" i="2"/>
  <c r="A346" i="2"/>
  <c r="B346" i="2"/>
  <c r="C346" i="2"/>
  <c r="D346" i="2"/>
  <c r="E346" i="2"/>
  <c r="F346" i="2"/>
  <c r="G346" i="2"/>
  <c r="H346" i="2"/>
  <c r="I346" i="2"/>
  <c r="J346" i="2"/>
  <c r="K346" i="2"/>
  <c r="L346" i="2"/>
  <c r="M346" i="2"/>
  <c r="N346" i="2"/>
  <c r="O346" i="2"/>
  <c r="P346" i="2"/>
  <c r="Q346" i="2"/>
  <c r="R346" i="2"/>
  <c r="S346" i="2"/>
  <c r="T346" i="2"/>
  <c r="U346" i="2"/>
  <c r="V346" i="2"/>
  <c r="W346" i="2"/>
  <c r="X346" i="2"/>
  <c r="Y346" i="2"/>
  <c r="A347" i="2"/>
  <c r="B347" i="2"/>
  <c r="C347" i="2"/>
  <c r="D347" i="2"/>
  <c r="E347" i="2"/>
  <c r="F347" i="2"/>
  <c r="G347" i="2"/>
  <c r="H347" i="2"/>
  <c r="I347" i="2"/>
  <c r="J347" i="2"/>
  <c r="K347" i="2"/>
  <c r="L347" i="2"/>
  <c r="M347" i="2"/>
  <c r="N347" i="2"/>
  <c r="O347" i="2"/>
  <c r="P347" i="2"/>
  <c r="Q347" i="2"/>
  <c r="R347" i="2"/>
  <c r="S347" i="2"/>
  <c r="T347" i="2"/>
  <c r="U347" i="2"/>
  <c r="V347" i="2"/>
  <c r="W347" i="2"/>
  <c r="X347" i="2"/>
  <c r="Y347" i="2"/>
  <c r="B348" i="2"/>
  <c r="C348" i="2"/>
  <c r="D348" i="2"/>
  <c r="E348" i="2"/>
  <c r="F348" i="2"/>
  <c r="G348" i="2"/>
  <c r="H348" i="2"/>
  <c r="I348" i="2"/>
  <c r="J348" i="2"/>
  <c r="K348" i="2"/>
  <c r="L348" i="2"/>
  <c r="M348" i="2"/>
  <c r="N348" i="2"/>
  <c r="O348" i="2"/>
  <c r="P348" i="2"/>
  <c r="Q348" i="2"/>
  <c r="R348" i="2"/>
  <c r="S348" i="2"/>
  <c r="T348" i="2"/>
  <c r="U348" i="2"/>
  <c r="V348" i="2"/>
  <c r="W348" i="2"/>
  <c r="X348" i="2"/>
  <c r="Y348" i="2"/>
  <c r="A349" i="2"/>
  <c r="B349" i="2"/>
  <c r="C349" i="2"/>
  <c r="D349" i="2"/>
  <c r="E349" i="2"/>
  <c r="F349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S349" i="2"/>
  <c r="T349" i="2"/>
  <c r="U349" i="2"/>
  <c r="V349" i="2"/>
  <c r="W349" i="2"/>
  <c r="X349" i="2"/>
  <c r="Y349" i="2"/>
  <c r="A350" i="2"/>
  <c r="B350" i="2"/>
  <c r="C350" i="2"/>
  <c r="D350" i="2"/>
  <c r="E350" i="2"/>
  <c r="F350" i="2"/>
  <c r="G350" i="2"/>
  <c r="H350" i="2"/>
  <c r="I350" i="2"/>
  <c r="J350" i="2"/>
  <c r="K350" i="2"/>
  <c r="L350" i="2"/>
  <c r="M350" i="2"/>
  <c r="N350" i="2"/>
  <c r="O350" i="2"/>
  <c r="P350" i="2"/>
  <c r="Q350" i="2"/>
  <c r="R350" i="2"/>
  <c r="S350" i="2"/>
  <c r="T350" i="2"/>
  <c r="U350" i="2"/>
  <c r="V350" i="2"/>
  <c r="W350" i="2"/>
  <c r="X350" i="2"/>
  <c r="Y350" i="2"/>
  <c r="A351" i="2"/>
  <c r="B351" i="2"/>
  <c r="C351" i="2"/>
  <c r="D351" i="2"/>
  <c r="E351" i="2"/>
  <c r="F351" i="2"/>
  <c r="G351" i="2"/>
  <c r="H351" i="2"/>
  <c r="I351" i="2"/>
  <c r="J351" i="2"/>
  <c r="K351" i="2"/>
  <c r="L351" i="2"/>
  <c r="M351" i="2"/>
  <c r="N351" i="2"/>
  <c r="O351" i="2"/>
  <c r="P351" i="2"/>
  <c r="Q351" i="2"/>
  <c r="R351" i="2"/>
  <c r="S351" i="2"/>
  <c r="T351" i="2"/>
  <c r="U351" i="2"/>
  <c r="V351" i="2"/>
  <c r="W351" i="2"/>
  <c r="X351" i="2"/>
  <c r="Y351" i="2"/>
  <c r="A352" i="2"/>
  <c r="B352" i="2"/>
  <c r="C352" i="2"/>
  <c r="D352" i="2"/>
  <c r="E352" i="2"/>
  <c r="F352" i="2"/>
  <c r="G352" i="2"/>
  <c r="H352" i="2"/>
  <c r="I352" i="2"/>
  <c r="J352" i="2"/>
  <c r="K352" i="2"/>
  <c r="L352" i="2"/>
  <c r="M352" i="2"/>
  <c r="N352" i="2"/>
  <c r="O352" i="2"/>
  <c r="P352" i="2"/>
  <c r="Q352" i="2"/>
  <c r="R352" i="2"/>
  <c r="S352" i="2"/>
  <c r="T352" i="2"/>
  <c r="U352" i="2"/>
  <c r="V352" i="2"/>
  <c r="W352" i="2"/>
  <c r="X352" i="2"/>
  <c r="Y352" i="2"/>
  <c r="A353" i="2"/>
  <c r="B353" i="2"/>
  <c r="C353" i="2"/>
  <c r="D353" i="2"/>
  <c r="E353" i="2"/>
  <c r="F353" i="2"/>
  <c r="G353" i="2"/>
  <c r="H353" i="2"/>
  <c r="I353" i="2"/>
  <c r="J353" i="2"/>
  <c r="K353" i="2"/>
  <c r="L353" i="2"/>
  <c r="M353" i="2"/>
  <c r="N353" i="2"/>
  <c r="O353" i="2"/>
  <c r="P353" i="2"/>
  <c r="Q353" i="2"/>
  <c r="R353" i="2"/>
  <c r="S353" i="2"/>
  <c r="T353" i="2"/>
  <c r="U353" i="2"/>
  <c r="V353" i="2"/>
  <c r="W353" i="2"/>
  <c r="X353" i="2"/>
  <c r="Y353" i="2"/>
  <c r="A354" i="2"/>
  <c r="B354" i="2"/>
  <c r="C354" i="2"/>
  <c r="D354" i="2"/>
  <c r="E354" i="2"/>
  <c r="F354" i="2"/>
  <c r="G354" i="2"/>
  <c r="H354" i="2"/>
  <c r="I354" i="2"/>
  <c r="J354" i="2"/>
  <c r="K354" i="2"/>
  <c r="L354" i="2"/>
  <c r="M354" i="2"/>
  <c r="N354" i="2"/>
  <c r="O354" i="2"/>
  <c r="P354" i="2"/>
  <c r="Q354" i="2"/>
  <c r="R354" i="2"/>
  <c r="S354" i="2"/>
  <c r="T354" i="2"/>
  <c r="U354" i="2"/>
  <c r="V354" i="2"/>
  <c r="W354" i="2"/>
  <c r="X354" i="2"/>
  <c r="Y354" i="2"/>
  <c r="B355" i="2"/>
  <c r="C355" i="2"/>
  <c r="D355" i="2"/>
  <c r="E355" i="2"/>
  <c r="F355" i="2"/>
  <c r="G355" i="2"/>
  <c r="H355" i="2"/>
  <c r="I355" i="2"/>
  <c r="J355" i="2"/>
  <c r="K355" i="2"/>
  <c r="L355" i="2"/>
  <c r="M355" i="2"/>
  <c r="N355" i="2"/>
  <c r="O355" i="2"/>
  <c r="P355" i="2"/>
  <c r="Q355" i="2"/>
  <c r="R355" i="2"/>
  <c r="S355" i="2"/>
  <c r="T355" i="2"/>
  <c r="U355" i="2"/>
  <c r="V355" i="2"/>
  <c r="W355" i="2"/>
  <c r="X355" i="2"/>
  <c r="Y355" i="2"/>
  <c r="B356" i="2"/>
  <c r="C356" i="2"/>
  <c r="D356" i="2"/>
  <c r="E356" i="2"/>
  <c r="F356" i="2"/>
  <c r="G356" i="2"/>
  <c r="H356" i="2"/>
  <c r="I356" i="2"/>
  <c r="J356" i="2"/>
  <c r="K356" i="2"/>
  <c r="L356" i="2"/>
  <c r="M356" i="2"/>
  <c r="N356" i="2"/>
  <c r="O356" i="2"/>
  <c r="P356" i="2"/>
  <c r="Q356" i="2"/>
  <c r="R356" i="2"/>
  <c r="S356" i="2"/>
  <c r="T356" i="2"/>
  <c r="U356" i="2"/>
  <c r="V356" i="2"/>
  <c r="W356" i="2"/>
  <c r="X356" i="2"/>
  <c r="Y356" i="2"/>
  <c r="A357" i="2"/>
  <c r="B357" i="2"/>
  <c r="C357" i="2"/>
  <c r="D357" i="2"/>
  <c r="E357" i="2"/>
  <c r="F357" i="2"/>
  <c r="G357" i="2"/>
  <c r="H357" i="2"/>
  <c r="I357" i="2"/>
  <c r="J357" i="2"/>
  <c r="K357" i="2"/>
  <c r="L357" i="2"/>
  <c r="M357" i="2"/>
  <c r="N357" i="2"/>
  <c r="O357" i="2"/>
  <c r="P357" i="2"/>
  <c r="Q357" i="2"/>
  <c r="R357" i="2"/>
  <c r="S357" i="2"/>
  <c r="T357" i="2"/>
  <c r="U357" i="2"/>
  <c r="V357" i="2"/>
  <c r="W357" i="2"/>
  <c r="X357" i="2"/>
  <c r="Y357" i="2"/>
  <c r="B358" i="2"/>
  <c r="C358" i="2"/>
  <c r="D358" i="2"/>
  <c r="E358" i="2"/>
  <c r="F358" i="2"/>
  <c r="G358" i="2"/>
  <c r="H358" i="2"/>
  <c r="I358" i="2"/>
  <c r="J358" i="2"/>
  <c r="K358" i="2"/>
  <c r="L358" i="2"/>
  <c r="M358" i="2"/>
  <c r="N358" i="2"/>
  <c r="O358" i="2"/>
  <c r="P358" i="2"/>
  <c r="Q358" i="2"/>
  <c r="R358" i="2"/>
  <c r="S358" i="2"/>
  <c r="T358" i="2"/>
  <c r="U358" i="2"/>
  <c r="V358" i="2"/>
  <c r="W358" i="2"/>
  <c r="X358" i="2"/>
  <c r="Y358" i="2"/>
  <c r="B359" i="2"/>
  <c r="C359" i="2"/>
  <c r="D359" i="2"/>
  <c r="E359" i="2"/>
  <c r="F359" i="2"/>
  <c r="G359" i="2"/>
  <c r="H359" i="2"/>
  <c r="I359" i="2"/>
  <c r="J359" i="2"/>
  <c r="K359" i="2"/>
  <c r="L359" i="2"/>
  <c r="M359" i="2"/>
  <c r="N359" i="2"/>
  <c r="O359" i="2"/>
  <c r="P359" i="2"/>
  <c r="Q359" i="2"/>
  <c r="R359" i="2"/>
  <c r="S359" i="2"/>
  <c r="T359" i="2"/>
  <c r="U359" i="2"/>
  <c r="V359" i="2"/>
  <c r="W359" i="2"/>
  <c r="X359" i="2"/>
  <c r="Y359" i="2"/>
  <c r="B360" i="2"/>
  <c r="C360" i="2"/>
  <c r="D360" i="2"/>
  <c r="E360" i="2"/>
  <c r="F360" i="2"/>
  <c r="G360" i="2"/>
  <c r="H360" i="2"/>
  <c r="I360" i="2"/>
  <c r="J360" i="2"/>
  <c r="K360" i="2"/>
  <c r="L360" i="2"/>
  <c r="M360" i="2"/>
  <c r="N360" i="2"/>
  <c r="O360" i="2"/>
  <c r="P360" i="2"/>
  <c r="Q360" i="2"/>
  <c r="R360" i="2"/>
  <c r="S360" i="2"/>
  <c r="T360" i="2"/>
  <c r="U360" i="2"/>
  <c r="V360" i="2"/>
  <c r="W360" i="2"/>
  <c r="X360" i="2"/>
  <c r="Y360" i="2"/>
  <c r="A361" i="2"/>
  <c r="B361" i="2"/>
  <c r="C361" i="2"/>
  <c r="D361" i="2"/>
  <c r="E361" i="2"/>
  <c r="F361" i="2"/>
  <c r="G361" i="2"/>
  <c r="H361" i="2"/>
  <c r="I361" i="2"/>
  <c r="J361" i="2"/>
  <c r="K361" i="2"/>
  <c r="L361" i="2"/>
  <c r="M361" i="2"/>
  <c r="N361" i="2"/>
  <c r="O361" i="2"/>
  <c r="P361" i="2"/>
  <c r="Q361" i="2"/>
  <c r="R361" i="2"/>
  <c r="S361" i="2"/>
  <c r="T361" i="2"/>
  <c r="U361" i="2"/>
  <c r="V361" i="2"/>
  <c r="W361" i="2"/>
  <c r="X361" i="2"/>
  <c r="Y361" i="2"/>
  <c r="A362" i="2"/>
  <c r="B362" i="2"/>
  <c r="C362" i="2"/>
  <c r="D362" i="2"/>
  <c r="E362" i="2"/>
  <c r="F362" i="2"/>
  <c r="G362" i="2"/>
  <c r="H362" i="2"/>
  <c r="I362" i="2"/>
  <c r="J362" i="2"/>
  <c r="K362" i="2"/>
  <c r="L362" i="2"/>
  <c r="M362" i="2"/>
  <c r="N362" i="2"/>
  <c r="O362" i="2"/>
  <c r="P362" i="2"/>
  <c r="Q362" i="2"/>
  <c r="R362" i="2"/>
  <c r="S362" i="2"/>
  <c r="T362" i="2"/>
  <c r="U362" i="2"/>
  <c r="V362" i="2"/>
  <c r="W362" i="2"/>
  <c r="X362" i="2"/>
  <c r="Y362" i="2"/>
  <c r="A363" i="2"/>
  <c r="B363" i="2"/>
  <c r="C363" i="2"/>
  <c r="D363" i="2"/>
  <c r="E363" i="2"/>
  <c r="F363" i="2"/>
  <c r="G363" i="2"/>
  <c r="H363" i="2"/>
  <c r="I363" i="2"/>
  <c r="J363" i="2"/>
  <c r="K363" i="2"/>
  <c r="L363" i="2"/>
  <c r="M363" i="2"/>
  <c r="N363" i="2"/>
  <c r="O363" i="2"/>
  <c r="P363" i="2"/>
  <c r="Q363" i="2"/>
  <c r="R363" i="2"/>
  <c r="S363" i="2"/>
  <c r="T363" i="2"/>
  <c r="U363" i="2"/>
  <c r="V363" i="2"/>
  <c r="W363" i="2"/>
  <c r="X363" i="2"/>
  <c r="Y363" i="2"/>
  <c r="B364" i="2"/>
  <c r="C364" i="2"/>
  <c r="D364" i="2"/>
  <c r="E364" i="2"/>
  <c r="F364" i="2"/>
  <c r="G364" i="2"/>
  <c r="H364" i="2"/>
  <c r="I364" i="2"/>
  <c r="J364" i="2"/>
  <c r="K364" i="2"/>
  <c r="L364" i="2"/>
  <c r="M364" i="2"/>
  <c r="N364" i="2"/>
  <c r="O364" i="2"/>
  <c r="P364" i="2"/>
  <c r="Q364" i="2"/>
  <c r="R364" i="2"/>
  <c r="S364" i="2"/>
  <c r="T364" i="2"/>
  <c r="U364" i="2"/>
  <c r="V364" i="2"/>
  <c r="W364" i="2"/>
  <c r="X364" i="2"/>
  <c r="Y364" i="2"/>
  <c r="A365" i="2"/>
  <c r="B365" i="2"/>
  <c r="C365" i="2"/>
  <c r="D365" i="2"/>
  <c r="E365" i="2"/>
  <c r="F365" i="2"/>
  <c r="G365" i="2"/>
  <c r="H365" i="2"/>
  <c r="I365" i="2"/>
  <c r="J365" i="2"/>
  <c r="K365" i="2"/>
  <c r="L365" i="2"/>
  <c r="M365" i="2"/>
  <c r="N365" i="2"/>
  <c r="O365" i="2"/>
  <c r="P365" i="2"/>
  <c r="Q365" i="2"/>
  <c r="R365" i="2"/>
  <c r="S365" i="2"/>
  <c r="T365" i="2"/>
  <c r="U365" i="2"/>
  <c r="V365" i="2"/>
  <c r="W365" i="2"/>
  <c r="X365" i="2"/>
  <c r="Y365" i="2"/>
  <c r="A366" i="2"/>
  <c r="B366" i="2"/>
  <c r="C366" i="2"/>
  <c r="D366" i="2"/>
  <c r="E366" i="2"/>
  <c r="F366" i="2"/>
  <c r="G366" i="2"/>
  <c r="H366" i="2"/>
  <c r="I366" i="2"/>
  <c r="J366" i="2"/>
  <c r="K366" i="2"/>
  <c r="L366" i="2"/>
  <c r="M366" i="2"/>
  <c r="N366" i="2"/>
  <c r="O366" i="2"/>
  <c r="P366" i="2"/>
  <c r="Q366" i="2"/>
  <c r="R366" i="2"/>
  <c r="S366" i="2"/>
  <c r="T366" i="2"/>
  <c r="U366" i="2"/>
  <c r="V366" i="2"/>
  <c r="W366" i="2"/>
  <c r="X366" i="2"/>
  <c r="Y366" i="2"/>
  <c r="A367" i="2"/>
  <c r="B367" i="2"/>
  <c r="C367" i="2"/>
  <c r="D367" i="2"/>
  <c r="E367" i="2"/>
  <c r="F367" i="2"/>
  <c r="G367" i="2"/>
  <c r="H367" i="2"/>
  <c r="I367" i="2"/>
  <c r="J367" i="2"/>
  <c r="K367" i="2"/>
  <c r="L367" i="2"/>
  <c r="M367" i="2"/>
  <c r="N367" i="2"/>
  <c r="O367" i="2"/>
  <c r="P367" i="2"/>
  <c r="Q367" i="2"/>
  <c r="R367" i="2"/>
  <c r="S367" i="2"/>
  <c r="T367" i="2"/>
  <c r="U367" i="2"/>
  <c r="V367" i="2"/>
  <c r="W367" i="2"/>
  <c r="X367" i="2"/>
  <c r="Y367" i="2"/>
  <c r="A368" i="2"/>
  <c r="B368" i="2"/>
  <c r="C368" i="2"/>
  <c r="D368" i="2"/>
  <c r="E368" i="2"/>
  <c r="F368" i="2"/>
  <c r="G368" i="2"/>
  <c r="H368" i="2"/>
  <c r="I368" i="2"/>
  <c r="J368" i="2"/>
  <c r="K368" i="2"/>
  <c r="L368" i="2"/>
  <c r="M368" i="2"/>
  <c r="N368" i="2"/>
  <c r="O368" i="2"/>
  <c r="P368" i="2"/>
  <c r="Q368" i="2"/>
  <c r="R368" i="2"/>
  <c r="S368" i="2"/>
  <c r="T368" i="2"/>
  <c r="U368" i="2"/>
  <c r="V368" i="2"/>
  <c r="W368" i="2"/>
  <c r="X368" i="2"/>
  <c r="Y368" i="2"/>
  <c r="A369" i="2"/>
  <c r="B369" i="2"/>
  <c r="C369" i="2"/>
  <c r="D369" i="2"/>
  <c r="E369" i="2"/>
  <c r="F369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S369" i="2"/>
  <c r="T369" i="2"/>
  <c r="U369" i="2"/>
  <c r="V369" i="2"/>
  <c r="W369" i="2"/>
  <c r="X369" i="2"/>
  <c r="Y369" i="2"/>
  <c r="A370" i="2"/>
  <c r="B370" i="2"/>
  <c r="C370" i="2"/>
  <c r="D370" i="2"/>
  <c r="E370" i="2"/>
  <c r="F370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S370" i="2"/>
  <c r="T370" i="2"/>
  <c r="U370" i="2"/>
  <c r="V370" i="2"/>
  <c r="W370" i="2"/>
  <c r="X370" i="2"/>
  <c r="Y370" i="2"/>
  <c r="B371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V371" i="2"/>
  <c r="W371" i="2"/>
  <c r="X371" i="2"/>
  <c r="Y371" i="2"/>
  <c r="B372" i="2"/>
  <c r="C372" i="2"/>
  <c r="D372" i="2"/>
  <c r="E372" i="2"/>
  <c r="F372" i="2"/>
  <c r="G372" i="2"/>
  <c r="H372" i="2"/>
  <c r="I372" i="2"/>
  <c r="J372" i="2"/>
  <c r="K372" i="2"/>
  <c r="L372" i="2"/>
  <c r="M372" i="2"/>
  <c r="N372" i="2"/>
  <c r="O372" i="2"/>
  <c r="P372" i="2"/>
  <c r="Q372" i="2"/>
  <c r="R372" i="2"/>
  <c r="S372" i="2"/>
  <c r="T372" i="2"/>
  <c r="U372" i="2"/>
  <c r="V372" i="2"/>
  <c r="W372" i="2"/>
  <c r="X372" i="2"/>
  <c r="Y372" i="2"/>
  <c r="A373" i="2"/>
  <c r="B373" i="2"/>
  <c r="C373" i="2"/>
  <c r="D373" i="2"/>
  <c r="E373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S373" i="2"/>
  <c r="T373" i="2"/>
  <c r="U373" i="2"/>
  <c r="V373" i="2"/>
  <c r="W373" i="2"/>
  <c r="X373" i="2"/>
  <c r="Y373" i="2"/>
  <c r="B374" i="2"/>
  <c r="C374" i="2"/>
  <c r="D374" i="2"/>
  <c r="E374" i="2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U374" i="2"/>
  <c r="V374" i="2"/>
  <c r="W374" i="2"/>
  <c r="X374" i="2"/>
  <c r="Y374" i="2"/>
  <c r="B375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O375" i="2"/>
  <c r="P375" i="2"/>
  <c r="Q375" i="2"/>
  <c r="R375" i="2"/>
  <c r="S375" i="2"/>
  <c r="T375" i="2"/>
  <c r="U375" i="2"/>
  <c r="V375" i="2"/>
  <c r="W375" i="2"/>
  <c r="X375" i="2"/>
  <c r="Y375" i="2"/>
  <c r="A376" i="2"/>
  <c r="B376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O376" i="2"/>
  <c r="P376" i="2"/>
  <c r="Q376" i="2"/>
  <c r="R376" i="2"/>
  <c r="S376" i="2"/>
  <c r="T376" i="2"/>
  <c r="U376" i="2"/>
  <c r="V376" i="2"/>
  <c r="W376" i="2"/>
  <c r="X376" i="2"/>
  <c r="Y376" i="2"/>
  <c r="A377" i="2"/>
  <c r="B377" i="2"/>
  <c r="C377" i="2"/>
  <c r="D377" i="2"/>
  <c r="E377" i="2"/>
  <c r="F377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S377" i="2"/>
  <c r="T377" i="2"/>
  <c r="U377" i="2"/>
  <c r="V377" i="2"/>
  <c r="W377" i="2"/>
  <c r="X377" i="2"/>
  <c r="Y377" i="2"/>
  <c r="A378" i="2"/>
  <c r="B378" i="2"/>
  <c r="C378" i="2"/>
  <c r="D378" i="2"/>
  <c r="E378" i="2"/>
  <c r="F378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S378" i="2"/>
  <c r="T378" i="2"/>
  <c r="U378" i="2"/>
  <c r="V378" i="2"/>
  <c r="W378" i="2"/>
  <c r="X378" i="2"/>
  <c r="Y378" i="2"/>
  <c r="A379" i="2"/>
  <c r="B379" i="2"/>
  <c r="C379" i="2"/>
  <c r="D379" i="2"/>
  <c r="E379" i="2"/>
  <c r="F379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S379" i="2"/>
  <c r="T379" i="2"/>
  <c r="U379" i="2"/>
  <c r="V379" i="2"/>
  <c r="W379" i="2"/>
  <c r="X379" i="2"/>
  <c r="Y379" i="2"/>
  <c r="A380" i="2"/>
  <c r="B380" i="2"/>
  <c r="C380" i="2"/>
  <c r="D380" i="2"/>
  <c r="E380" i="2"/>
  <c r="F380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S380" i="2"/>
  <c r="T380" i="2"/>
  <c r="U380" i="2"/>
  <c r="V380" i="2"/>
  <c r="W380" i="2"/>
  <c r="X380" i="2"/>
  <c r="Y380" i="2"/>
  <c r="A381" i="2"/>
  <c r="B381" i="2"/>
  <c r="C381" i="2"/>
  <c r="D381" i="2"/>
  <c r="E381" i="2"/>
  <c r="F381" i="2"/>
  <c r="G381" i="2"/>
  <c r="H381" i="2"/>
  <c r="I381" i="2"/>
  <c r="J381" i="2"/>
  <c r="K381" i="2"/>
  <c r="L381" i="2"/>
  <c r="M381" i="2"/>
  <c r="N381" i="2"/>
  <c r="O381" i="2"/>
  <c r="P381" i="2"/>
  <c r="Q381" i="2"/>
  <c r="R381" i="2"/>
  <c r="S381" i="2"/>
  <c r="T381" i="2"/>
  <c r="U381" i="2"/>
  <c r="V381" i="2"/>
  <c r="W381" i="2"/>
  <c r="X381" i="2"/>
  <c r="Y381" i="2"/>
  <c r="A382" i="2"/>
  <c r="B382" i="2"/>
  <c r="C382" i="2"/>
  <c r="D382" i="2"/>
  <c r="E382" i="2"/>
  <c r="F382" i="2"/>
  <c r="G382" i="2"/>
  <c r="H382" i="2"/>
  <c r="I382" i="2"/>
  <c r="J382" i="2"/>
  <c r="K382" i="2"/>
  <c r="L382" i="2"/>
  <c r="M382" i="2"/>
  <c r="N382" i="2"/>
  <c r="O382" i="2"/>
  <c r="P382" i="2"/>
  <c r="Q382" i="2"/>
  <c r="R382" i="2"/>
  <c r="S382" i="2"/>
  <c r="T382" i="2"/>
  <c r="U382" i="2"/>
  <c r="V382" i="2"/>
  <c r="W382" i="2"/>
  <c r="X382" i="2"/>
  <c r="Y382" i="2"/>
  <c r="A383" i="2"/>
  <c r="B383" i="2"/>
  <c r="C383" i="2"/>
  <c r="D383" i="2"/>
  <c r="E383" i="2"/>
  <c r="F383" i="2"/>
  <c r="G383" i="2"/>
  <c r="H383" i="2"/>
  <c r="I383" i="2"/>
  <c r="J383" i="2"/>
  <c r="K383" i="2"/>
  <c r="L383" i="2"/>
  <c r="M383" i="2"/>
  <c r="N383" i="2"/>
  <c r="O383" i="2"/>
  <c r="P383" i="2"/>
  <c r="Q383" i="2"/>
  <c r="R383" i="2"/>
  <c r="S383" i="2"/>
  <c r="T383" i="2"/>
  <c r="U383" i="2"/>
  <c r="V383" i="2"/>
  <c r="W383" i="2"/>
  <c r="X383" i="2"/>
  <c r="Y383" i="2"/>
  <c r="A384" i="2"/>
  <c r="B384" i="2"/>
  <c r="C384" i="2"/>
  <c r="D384" i="2"/>
  <c r="E384" i="2"/>
  <c r="F384" i="2"/>
  <c r="G384" i="2"/>
  <c r="H384" i="2"/>
  <c r="I384" i="2"/>
  <c r="J384" i="2"/>
  <c r="K384" i="2"/>
  <c r="L384" i="2"/>
  <c r="M384" i="2"/>
  <c r="N384" i="2"/>
  <c r="O384" i="2"/>
  <c r="P384" i="2"/>
  <c r="Q384" i="2"/>
  <c r="R384" i="2"/>
  <c r="S384" i="2"/>
  <c r="T384" i="2"/>
  <c r="U384" i="2"/>
  <c r="V384" i="2"/>
  <c r="W384" i="2"/>
  <c r="X384" i="2"/>
  <c r="Y384" i="2"/>
  <c r="A385" i="2"/>
  <c r="B385" i="2"/>
  <c r="C385" i="2"/>
  <c r="D385" i="2"/>
  <c r="E385" i="2"/>
  <c r="F385" i="2"/>
  <c r="G385" i="2"/>
  <c r="H385" i="2"/>
  <c r="I385" i="2"/>
  <c r="J385" i="2"/>
  <c r="K385" i="2"/>
  <c r="L385" i="2"/>
  <c r="M385" i="2"/>
  <c r="N385" i="2"/>
  <c r="O385" i="2"/>
  <c r="P385" i="2"/>
  <c r="Q385" i="2"/>
  <c r="R385" i="2"/>
  <c r="S385" i="2"/>
  <c r="T385" i="2"/>
  <c r="U385" i="2"/>
  <c r="V385" i="2"/>
  <c r="W385" i="2"/>
  <c r="X385" i="2"/>
  <c r="Y385" i="2"/>
  <c r="A386" i="2"/>
  <c r="B386" i="2"/>
  <c r="C386" i="2"/>
  <c r="D386" i="2"/>
  <c r="E386" i="2"/>
  <c r="F386" i="2"/>
  <c r="G386" i="2"/>
  <c r="H386" i="2"/>
  <c r="I386" i="2"/>
  <c r="J386" i="2"/>
  <c r="K386" i="2"/>
  <c r="L386" i="2"/>
  <c r="M386" i="2"/>
  <c r="N386" i="2"/>
  <c r="O386" i="2"/>
  <c r="P386" i="2"/>
  <c r="Q386" i="2"/>
  <c r="R386" i="2"/>
  <c r="S386" i="2"/>
  <c r="T386" i="2"/>
  <c r="U386" i="2"/>
  <c r="V386" i="2"/>
  <c r="W386" i="2"/>
  <c r="X386" i="2"/>
  <c r="Y386" i="2"/>
  <c r="A387" i="2"/>
  <c r="B387" i="2"/>
  <c r="C387" i="2"/>
  <c r="D387" i="2"/>
  <c r="E387" i="2"/>
  <c r="F387" i="2"/>
  <c r="G387" i="2"/>
  <c r="H387" i="2"/>
  <c r="I387" i="2"/>
  <c r="J387" i="2"/>
  <c r="K387" i="2"/>
  <c r="L387" i="2"/>
  <c r="M387" i="2"/>
  <c r="N387" i="2"/>
  <c r="O387" i="2"/>
  <c r="P387" i="2"/>
  <c r="Q387" i="2"/>
  <c r="R387" i="2"/>
  <c r="S387" i="2"/>
  <c r="T387" i="2"/>
  <c r="U387" i="2"/>
  <c r="V387" i="2"/>
  <c r="W387" i="2"/>
  <c r="X387" i="2"/>
  <c r="Y387" i="2"/>
  <c r="B388" i="2"/>
  <c r="C388" i="2"/>
  <c r="D388" i="2"/>
  <c r="E388" i="2"/>
  <c r="F388" i="2"/>
  <c r="G388" i="2"/>
  <c r="H388" i="2"/>
  <c r="I388" i="2"/>
  <c r="J388" i="2"/>
  <c r="K388" i="2"/>
  <c r="L388" i="2"/>
  <c r="M388" i="2"/>
  <c r="N388" i="2"/>
  <c r="O388" i="2"/>
  <c r="P388" i="2"/>
  <c r="Q388" i="2"/>
  <c r="R388" i="2"/>
  <c r="S388" i="2"/>
  <c r="T388" i="2"/>
  <c r="U388" i="2"/>
  <c r="V388" i="2"/>
  <c r="W388" i="2"/>
  <c r="X388" i="2"/>
  <c r="Y388" i="2"/>
  <c r="A389" i="2"/>
  <c r="B389" i="2"/>
  <c r="C389" i="2"/>
  <c r="D389" i="2"/>
  <c r="E389" i="2"/>
  <c r="F389" i="2"/>
  <c r="G389" i="2"/>
  <c r="H389" i="2"/>
  <c r="I389" i="2"/>
  <c r="J389" i="2"/>
  <c r="K389" i="2"/>
  <c r="L389" i="2"/>
  <c r="M389" i="2"/>
  <c r="N389" i="2"/>
  <c r="O389" i="2"/>
  <c r="P389" i="2"/>
  <c r="Q389" i="2"/>
  <c r="R389" i="2"/>
  <c r="S389" i="2"/>
  <c r="T389" i="2"/>
  <c r="U389" i="2"/>
  <c r="V389" i="2"/>
  <c r="W389" i="2"/>
  <c r="X389" i="2"/>
  <c r="Y389" i="2"/>
  <c r="A390" i="2"/>
  <c r="B390" i="2"/>
  <c r="C390" i="2"/>
  <c r="D390" i="2"/>
  <c r="E390" i="2"/>
  <c r="F390" i="2"/>
  <c r="G390" i="2"/>
  <c r="H390" i="2"/>
  <c r="I390" i="2"/>
  <c r="J390" i="2"/>
  <c r="K390" i="2"/>
  <c r="L390" i="2"/>
  <c r="M390" i="2"/>
  <c r="N390" i="2"/>
  <c r="O390" i="2"/>
  <c r="P390" i="2"/>
  <c r="Q390" i="2"/>
  <c r="R390" i="2"/>
  <c r="S390" i="2"/>
  <c r="T390" i="2"/>
  <c r="U390" i="2"/>
  <c r="V390" i="2"/>
  <c r="W390" i="2"/>
  <c r="X390" i="2"/>
  <c r="Y390" i="2"/>
  <c r="B391" i="2"/>
  <c r="C391" i="2"/>
  <c r="D391" i="2"/>
  <c r="E391" i="2"/>
  <c r="F391" i="2"/>
  <c r="G391" i="2"/>
  <c r="H391" i="2"/>
  <c r="I391" i="2"/>
  <c r="J391" i="2"/>
  <c r="K391" i="2"/>
  <c r="L391" i="2"/>
  <c r="M391" i="2"/>
  <c r="N391" i="2"/>
  <c r="O391" i="2"/>
  <c r="P391" i="2"/>
  <c r="Q391" i="2"/>
  <c r="R391" i="2"/>
  <c r="S391" i="2"/>
  <c r="T391" i="2"/>
  <c r="U391" i="2"/>
  <c r="V391" i="2"/>
  <c r="W391" i="2"/>
  <c r="X391" i="2"/>
  <c r="Y391" i="2"/>
  <c r="A392" i="2"/>
  <c r="B392" i="2"/>
  <c r="C392" i="2"/>
  <c r="D392" i="2"/>
  <c r="E392" i="2"/>
  <c r="F392" i="2"/>
  <c r="G392" i="2"/>
  <c r="H392" i="2"/>
  <c r="I392" i="2"/>
  <c r="J392" i="2"/>
  <c r="K392" i="2"/>
  <c r="L392" i="2"/>
  <c r="M392" i="2"/>
  <c r="N392" i="2"/>
  <c r="O392" i="2"/>
  <c r="P392" i="2"/>
  <c r="Q392" i="2"/>
  <c r="R392" i="2"/>
  <c r="S392" i="2"/>
  <c r="T392" i="2"/>
  <c r="U392" i="2"/>
  <c r="V392" i="2"/>
  <c r="W392" i="2"/>
  <c r="X392" i="2"/>
  <c r="Y392" i="2"/>
  <c r="A393" i="2"/>
  <c r="B393" i="2"/>
  <c r="C393" i="2"/>
  <c r="D393" i="2"/>
  <c r="E393" i="2"/>
  <c r="F393" i="2"/>
  <c r="G393" i="2"/>
  <c r="H393" i="2"/>
  <c r="I393" i="2"/>
  <c r="J393" i="2"/>
  <c r="K393" i="2"/>
  <c r="L393" i="2"/>
  <c r="M393" i="2"/>
  <c r="N393" i="2"/>
  <c r="O393" i="2"/>
  <c r="P393" i="2"/>
  <c r="Q393" i="2"/>
  <c r="R393" i="2"/>
  <c r="S393" i="2"/>
  <c r="T393" i="2"/>
  <c r="U393" i="2"/>
  <c r="V393" i="2"/>
  <c r="W393" i="2"/>
  <c r="X393" i="2"/>
  <c r="Y393" i="2"/>
  <c r="A394" i="2"/>
  <c r="B394" i="2"/>
  <c r="C394" i="2"/>
  <c r="D394" i="2"/>
  <c r="E394" i="2"/>
  <c r="F394" i="2"/>
  <c r="G394" i="2"/>
  <c r="H394" i="2"/>
  <c r="I394" i="2"/>
  <c r="J394" i="2"/>
  <c r="K394" i="2"/>
  <c r="L394" i="2"/>
  <c r="M394" i="2"/>
  <c r="N394" i="2"/>
  <c r="O394" i="2"/>
  <c r="P394" i="2"/>
  <c r="Q394" i="2"/>
  <c r="R394" i="2"/>
  <c r="S394" i="2"/>
  <c r="T394" i="2"/>
  <c r="U394" i="2"/>
  <c r="V394" i="2"/>
  <c r="W394" i="2"/>
  <c r="X394" i="2"/>
  <c r="Y394" i="2"/>
  <c r="A395" i="2"/>
  <c r="B395" i="2"/>
  <c r="C395" i="2"/>
  <c r="D395" i="2"/>
  <c r="E395" i="2"/>
  <c r="F395" i="2"/>
  <c r="G395" i="2"/>
  <c r="H395" i="2"/>
  <c r="I395" i="2"/>
  <c r="J395" i="2"/>
  <c r="K395" i="2"/>
  <c r="L395" i="2"/>
  <c r="M395" i="2"/>
  <c r="N395" i="2"/>
  <c r="O395" i="2"/>
  <c r="P395" i="2"/>
  <c r="Q395" i="2"/>
  <c r="R395" i="2"/>
  <c r="S395" i="2"/>
  <c r="T395" i="2"/>
  <c r="U395" i="2"/>
  <c r="V395" i="2"/>
  <c r="W395" i="2"/>
  <c r="X395" i="2"/>
  <c r="Y395" i="2"/>
  <c r="B396" i="2"/>
  <c r="C396" i="2"/>
  <c r="D396" i="2"/>
  <c r="E396" i="2"/>
  <c r="F396" i="2"/>
  <c r="G396" i="2"/>
  <c r="H396" i="2"/>
  <c r="I396" i="2"/>
  <c r="J396" i="2"/>
  <c r="K396" i="2"/>
  <c r="L396" i="2"/>
  <c r="M396" i="2"/>
  <c r="N396" i="2"/>
  <c r="O396" i="2"/>
  <c r="P396" i="2"/>
  <c r="Q396" i="2"/>
  <c r="R396" i="2"/>
  <c r="S396" i="2"/>
  <c r="T396" i="2"/>
  <c r="U396" i="2"/>
  <c r="V396" i="2"/>
  <c r="W396" i="2"/>
  <c r="X396" i="2"/>
  <c r="Y396" i="2"/>
  <c r="A397" i="2"/>
  <c r="B397" i="2"/>
  <c r="C397" i="2"/>
  <c r="D397" i="2"/>
  <c r="E397" i="2"/>
  <c r="F397" i="2"/>
  <c r="G397" i="2"/>
  <c r="H397" i="2"/>
  <c r="I397" i="2"/>
  <c r="J397" i="2"/>
  <c r="K397" i="2"/>
  <c r="L397" i="2"/>
  <c r="M397" i="2"/>
  <c r="N397" i="2"/>
  <c r="O397" i="2"/>
  <c r="P397" i="2"/>
  <c r="Q397" i="2"/>
  <c r="R397" i="2"/>
  <c r="S397" i="2"/>
  <c r="T397" i="2"/>
  <c r="U397" i="2"/>
  <c r="V397" i="2"/>
  <c r="W397" i="2"/>
  <c r="X397" i="2"/>
  <c r="Y397" i="2"/>
  <c r="A398" i="2"/>
  <c r="B398" i="2"/>
  <c r="C398" i="2"/>
  <c r="D398" i="2"/>
  <c r="E398" i="2"/>
  <c r="F398" i="2"/>
  <c r="G398" i="2"/>
  <c r="H398" i="2"/>
  <c r="I398" i="2"/>
  <c r="J398" i="2"/>
  <c r="K398" i="2"/>
  <c r="L398" i="2"/>
  <c r="M398" i="2"/>
  <c r="N398" i="2"/>
  <c r="O398" i="2"/>
  <c r="P398" i="2"/>
  <c r="Q398" i="2"/>
  <c r="R398" i="2"/>
  <c r="S398" i="2"/>
  <c r="T398" i="2"/>
  <c r="U398" i="2"/>
  <c r="V398" i="2"/>
  <c r="W398" i="2"/>
  <c r="X398" i="2"/>
  <c r="Y398" i="2"/>
  <c r="A399" i="2"/>
  <c r="B399" i="2"/>
  <c r="C399" i="2"/>
  <c r="D399" i="2"/>
  <c r="E399" i="2"/>
  <c r="F399" i="2"/>
  <c r="G399" i="2"/>
  <c r="H399" i="2"/>
  <c r="I399" i="2"/>
  <c r="J399" i="2"/>
  <c r="K399" i="2"/>
  <c r="L399" i="2"/>
  <c r="M399" i="2"/>
  <c r="N399" i="2"/>
  <c r="O399" i="2"/>
  <c r="P399" i="2"/>
  <c r="Q399" i="2"/>
  <c r="R399" i="2"/>
  <c r="S399" i="2"/>
  <c r="T399" i="2"/>
  <c r="U399" i="2"/>
  <c r="V399" i="2"/>
  <c r="W399" i="2"/>
  <c r="X399" i="2"/>
  <c r="Y399" i="2"/>
  <c r="A400" i="2"/>
  <c r="B400" i="2"/>
  <c r="C400" i="2"/>
  <c r="D400" i="2"/>
  <c r="E400" i="2"/>
  <c r="F400" i="2"/>
  <c r="G400" i="2"/>
  <c r="H400" i="2"/>
  <c r="I400" i="2"/>
  <c r="J400" i="2"/>
  <c r="K400" i="2"/>
  <c r="L400" i="2"/>
  <c r="M400" i="2"/>
  <c r="N400" i="2"/>
  <c r="O400" i="2"/>
  <c r="P400" i="2"/>
  <c r="Q400" i="2"/>
  <c r="R400" i="2"/>
  <c r="S400" i="2"/>
  <c r="T400" i="2"/>
  <c r="U400" i="2"/>
  <c r="V400" i="2"/>
  <c r="W400" i="2"/>
  <c r="X400" i="2"/>
  <c r="Y400" i="2"/>
  <c r="A401" i="2"/>
  <c r="B401" i="2"/>
  <c r="C401" i="2"/>
  <c r="D401" i="2"/>
  <c r="E401" i="2"/>
  <c r="F401" i="2"/>
  <c r="G401" i="2"/>
  <c r="H401" i="2"/>
  <c r="I401" i="2"/>
  <c r="J401" i="2"/>
  <c r="K401" i="2"/>
  <c r="L401" i="2"/>
  <c r="M401" i="2"/>
  <c r="N401" i="2"/>
  <c r="O401" i="2"/>
  <c r="P401" i="2"/>
  <c r="Q401" i="2"/>
  <c r="R401" i="2"/>
  <c r="S401" i="2"/>
  <c r="T401" i="2"/>
  <c r="U401" i="2"/>
  <c r="V401" i="2"/>
  <c r="W401" i="2"/>
  <c r="X401" i="2"/>
  <c r="Y401" i="2"/>
  <c r="A402" i="2"/>
  <c r="B402" i="2"/>
  <c r="C402" i="2"/>
  <c r="D402" i="2"/>
  <c r="E402" i="2"/>
  <c r="F402" i="2"/>
  <c r="G402" i="2"/>
  <c r="H402" i="2"/>
  <c r="I402" i="2"/>
  <c r="J402" i="2"/>
  <c r="K402" i="2"/>
  <c r="L402" i="2"/>
  <c r="M402" i="2"/>
  <c r="N402" i="2"/>
  <c r="O402" i="2"/>
  <c r="P402" i="2"/>
  <c r="Q402" i="2"/>
  <c r="R402" i="2"/>
  <c r="S402" i="2"/>
  <c r="T402" i="2"/>
  <c r="U402" i="2"/>
  <c r="V402" i="2"/>
  <c r="W402" i="2"/>
  <c r="X402" i="2"/>
  <c r="Y402" i="2"/>
  <c r="A403" i="2"/>
  <c r="B403" i="2"/>
  <c r="C403" i="2"/>
  <c r="D403" i="2"/>
  <c r="E403" i="2"/>
  <c r="F403" i="2"/>
  <c r="G403" i="2"/>
  <c r="H403" i="2"/>
  <c r="I403" i="2"/>
  <c r="J403" i="2"/>
  <c r="K403" i="2"/>
  <c r="L403" i="2"/>
  <c r="M403" i="2"/>
  <c r="N403" i="2"/>
  <c r="O403" i="2"/>
  <c r="P403" i="2"/>
  <c r="Q403" i="2"/>
  <c r="R403" i="2"/>
  <c r="S403" i="2"/>
  <c r="T403" i="2"/>
  <c r="U403" i="2"/>
  <c r="V403" i="2"/>
  <c r="W403" i="2"/>
  <c r="X403" i="2"/>
  <c r="Y403" i="2"/>
  <c r="B404" i="2"/>
  <c r="C404" i="2"/>
  <c r="D404" i="2"/>
  <c r="E404" i="2"/>
  <c r="F404" i="2"/>
  <c r="G404" i="2"/>
  <c r="H404" i="2"/>
  <c r="I404" i="2"/>
  <c r="J404" i="2"/>
  <c r="K404" i="2"/>
  <c r="L404" i="2"/>
  <c r="M404" i="2"/>
  <c r="N404" i="2"/>
  <c r="O404" i="2"/>
  <c r="P404" i="2"/>
  <c r="Q404" i="2"/>
  <c r="R404" i="2"/>
  <c r="S404" i="2"/>
  <c r="T404" i="2"/>
  <c r="U404" i="2"/>
  <c r="V404" i="2"/>
  <c r="W404" i="2"/>
  <c r="X404" i="2"/>
  <c r="Y404" i="2"/>
  <c r="A405" i="2"/>
  <c r="B405" i="2"/>
  <c r="C405" i="2"/>
  <c r="D405" i="2"/>
  <c r="E405" i="2"/>
  <c r="F405" i="2"/>
  <c r="G405" i="2"/>
  <c r="H405" i="2"/>
  <c r="I405" i="2"/>
  <c r="J405" i="2"/>
  <c r="K405" i="2"/>
  <c r="L405" i="2"/>
  <c r="M405" i="2"/>
  <c r="N405" i="2"/>
  <c r="O405" i="2"/>
  <c r="P405" i="2"/>
  <c r="Q405" i="2"/>
  <c r="R405" i="2"/>
  <c r="S405" i="2"/>
  <c r="T405" i="2"/>
  <c r="U405" i="2"/>
  <c r="V405" i="2"/>
  <c r="W405" i="2"/>
  <c r="X405" i="2"/>
  <c r="Y405" i="2"/>
  <c r="B406" i="2"/>
  <c r="C406" i="2"/>
  <c r="D406" i="2"/>
  <c r="E406" i="2"/>
  <c r="F406" i="2"/>
  <c r="G406" i="2"/>
  <c r="H406" i="2"/>
  <c r="I406" i="2"/>
  <c r="J406" i="2"/>
  <c r="K406" i="2"/>
  <c r="L406" i="2"/>
  <c r="M406" i="2"/>
  <c r="N406" i="2"/>
  <c r="O406" i="2"/>
  <c r="P406" i="2"/>
  <c r="Q406" i="2"/>
  <c r="R406" i="2"/>
  <c r="S406" i="2"/>
  <c r="T406" i="2"/>
  <c r="U406" i="2"/>
  <c r="V406" i="2"/>
  <c r="W406" i="2"/>
  <c r="X406" i="2"/>
  <c r="Y406" i="2"/>
  <c r="B407" i="2"/>
  <c r="C407" i="2"/>
  <c r="D407" i="2"/>
  <c r="E407" i="2"/>
  <c r="F407" i="2"/>
  <c r="G407" i="2"/>
  <c r="H407" i="2"/>
  <c r="I407" i="2"/>
  <c r="J407" i="2"/>
  <c r="K407" i="2"/>
  <c r="L407" i="2"/>
  <c r="M407" i="2"/>
  <c r="N407" i="2"/>
  <c r="O407" i="2"/>
  <c r="P407" i="2"/>
  <c r="Q407" i="2"/>
  <c r="R407" i="2"/>
  <c r="S407" i="2"/>
  <c r="T407" i="2"/>
  <c r="U407" i="2"/>
  <c r="V407" i="2"/>
  <c r="W407" i="2"/>
  <c r="X407" i="2"/>
  <c r="Y407" i="2"/>
  <c r="B408" i="2"/>
  <c r="C408" i="2"/>
  <c r="D408" i="2"/>
  <c r="E408" i="2"/>
  <c r="F408" i="2"/>
  <c r="G408" i="2"/>
  <c r="H408" i="2"/>
  <c r="I408" i="2"/>
  <c r="J408" i="2"/>
  <c r="K408" i="2"/>
  <c r="L408" i="2"/>
  <c r="M408" i="2"/>
  <c r="N408" i="2"/>
  <c r="O408" i="2"/>
  <c r="P408" i="2"/>
  <c r="Q408" i="2"/>
  <c r="R408" i="2"/>
  <c r="S408" i="2"/>
  <c r="T408" i="2"/>
  <c r="U408" i="2"/>
  <c r="V408" i="2"/>
  <c r="W408" i="2"/>
  <c r="X408" i="2"/>
  <c r="Y408" i="2"/>
  <c r="A409" i="2"/>
  <c r="B409" i="2"/>
  <c r="C409" i="2"/>
  <c r="D409" i="2"/>
  <c r="E409" i="2"/>
  <c r="F409" i="2"/>
  <c r="G409" i="2"/>
  <c r="H409" i="2"/>
  <c r="I409" i="2"/>
  <c r="J409" i="2"/>
  <c r="K409" i="2"/>
  <c r="L409" i="2"/>
  <c r="M409" i="2"/>
  <c r="N409" i="2"/>
  <c r="O409" i="2"/>
  <c r="P409" i="2"/>
  <c r="Q409" i="2"/>
  <c r="R409" i="2"/>
  <c r="S409" i="2"/>
  <c r="T409" i="2"/>
  <c r="U409" i="2"/>
  <c r="V409" i="2"/>
  <c r="W409" i="2"/>
  <c r="X409" i="2"/>
  <c r="Y409" i="2"/>
  <c r="A410" i="2"/>
  <c r="B410" i="2"/>
  <c r="C410" i="2"/>
  <c r="D410" i="2"/>
  <c r="E410" i="2"/>
  <c r="F410" i="2"/>
  <c r="G410" i="2"/>
  <c r="H410" i="2"/>
  <c r="I410" i="2"/>
  <c r="J410" i="2"/>
  <c r="K410" i="2"/>
  <c r="L410" i="2"/>
  <c r="M410" i="2"/>
  <c r="N410" i="2"/>
  <c r="O410" i="2"/>
  <c r="P410" i="2"/>
  <c r="Q410" i="2"/>
  <c r="R410" i="2"/>
  <c r="S410" i="2"/>
  <c r="T410" i="2"/>
  <c r="U410" i="2"/>
  <c r="V410" i="2"/>
  <c r="W410" i="2"/>
  <c r="X410" i="2"/>
  <c r="Y410" i="2"/>
  <c r="A411" i="2"/>
  <c r="B411" i="2"/>
  <c r="C411" i="2"/>
  <c r="D411" i="2"/>
  <c r="E411" i="2"/>
  <c r="F411" i="2"/>
  <c r="G411" i="2"/>
  <c r="H411" i="2"/>
  <c r="I411" i="2"/>
  <c r="J411" i="2"/>
  <c r="K411" i="2"/>
  <c r="L411" i="2"/>
  <c r="M411" i="2"/>
  <c r="N411" i="2"/>
  <c r="O411" i="2"/>
  <c r="P411" i="2"/>
  <c r="Q411" i="2"/>
  <c r="R411" i="2"/>
  <c r="S411" i="2"/>
  <c r="T411" i="2"/>
  <c r="U411" i="2"/>
  <c r="V411" i="2"/>
  <c r="W411" i="2"/>
  <c r="X411" i="2"/>
  <c r="Y411" i="2"/>
  <c r="A412" i="2"/>
  <c r="B412" i="2"/>
  <c r="C412" i="2"/>
  <c r="D412" i="2"/>
  <c r="E412" i="2"/>
  <c r="F412" i="2"/>
  <c r="G412" i="2"/>
  <c r="H412" i="2"/>
  <c r="I412" i="2"/>
  <c r="J412" i="2"/>
  <c r="K412" i="2"/>
  <c r="L412" i="2"/>
  <c r="M412" i="2"/>
  <c r="N412" i="2"/>
  <c r="O412" i="2"/>
  <c r="P412" i="2"/>
  <c r="Q412" i="2"/>
  <c r="R412" i="2"/>
  <c r="S412" i="2"/>
  <c r="T412" i="2"/>
  <c r="U412" i="2"/>
  <c r="V412" i="2"/>
  <c r="W412" i="2"/>
  <c r="X412" i="2"/>
  <c r="Y412" i="2"/>
  <c r="A413" i="2"/>
  <c r="B413" i="2"/>
  <c r="C413" i="2"/>
  <c r="D413" i="2"/>
  <c r="E413" i="2"/>
  <c r="F413" i="2"/>
  <c r="G413" i="2"/>
  <c r="H413" i="2"/>
  <c r="I413" i="2"/>
  <c r="J413" i="2"/>
  <c r="K413" i="2"/>
  <c r="L413" i="2"/>
  <c r="M413" i="2"/>
  <c r="N413" i="2"/>
  <c r="O413" i="2"/>
  <c r="P413" i="2"/>
  <c r="Q413" i="2"/>
  <c r="R413" i="2"/>
  <c r="S413" i="2"/>
  <c r="T413" i="2"/>
  <c r="U413" i="2"/>
  <c r="V413" i="2"/>
  <c r="W413" i="2"/>
  <c r="X413" i="2"/>
  <c r="Y413" i="2"/>
  <c r="A414" i="2"/>
  <c r="B414" i="2"/>
  <c r="C414" i="2"/>
  <c r="D414" i="2"/>
  <c r="E414" i="2"/>
  <c r="F414" i="2"/>
  <c r="G414" i="2"/>
  <c r="H414" i="2"/>
  <c r="I414" i="2"/>
  <c r="J414" i="2"/>
  <c r="K414" i="2"/>
  <c r="L414" i="2"/>
  <c r="M414" i="2"/>
  <c r="N414" i="2"/>
  <c r="O414" i="2"/>
  <c r="P414" i="2"/>
  <c r="Q414" i="2"/>
  <c r="R414" i="2"/>
  <c r="S414" i="2"/>
  <c r="T414" i="2"/>
  <c r="U414" i="2"/>
  <c r="V414" i="2"/>
  <c r="W414" i="2"/>
  <c r="X414" i="2"/>
  <c r="Y414" i="2"/>
  <c r="A415" i="2"/>
  <c r="B415" i="2"/>
  <c r="C415" i="2"/>
  <c r="D415" i="2"/>
  <c r="E415" i="2"/>
  <c r="F415" i="2"/>
  <c r="G415" i="2"/>
  <c r="H415" i="2"/>
  <c r="I415" i="2"/>
  <c r="J415" i="2"/>
  <c r="K415" i="2"/>
  <c r="L415" i="2"/>
  <c r="M415" i="2"/>
  <c r="N415" i="2"/>
  <c r="O415" i="2"/>
  <c r="P415" i="2"/>
  <c r="Q415" i="2"/>
  <c r="R415" i="2"/>
  <c r="S415" i="2"/>
  <c r="T415" i="2"/>
  <c r="U415" i="2"/>
  <c r="V415" i="2"/>
  <c r="W415" i="2"/>
  <c r="X415" i="2"/>
  <c r="Y415" i="2"/>
  <c r="A416" i="2"/>
  <c r="B416" i="2"/>
  <c r="C416" i="2"/>
  <c r="D416" i="2"/>
  <c r="E416" i="2"/>
  <c r="F416" i="2"/>
  <c r="G416" i="2"/>
  <c r="H416" i="2"/>
  <c r="I416" i="2"/>
  <c r="J416" i="2"/>
  <c r="K416" i="2"/>
  <c r="L416" i="2"/>
  <c r="M416" i="2"/>
  <c r="N416" i="2"/>
  <c r="O416" i="2"/>
  <c r="P416" i="2"/>
  <c r="Q416" i="2"/>
  <c r="R416" i="2"/>
  <c r="S416" i="2"/>
  <c r="T416" i="2"/>
  <c r="U416" i="2"/>
  <c r="V416" i="2"/>
  <c r="W416" i="2"/>
  <c r="X416" i="2"/>
  <c r="Y416" i="2"/>
  <c r="A417" i="2"/>
  <c r="B417" i="2"/>
  <c r="C417" i="2"/>
  <c r="D417" i="2"/>
  <c r="E417" i="2"/>
  <c r="F417" i="2"/>
  <c r="G417" i="2"/>
  <c r="H417" i="2"/>
  <c r="I417" i="2"/>
  <c r="J417" i="2"/>
  <c r="K417" i="2"/>
  <c r="L417" i="2"/>
  <c r="M417" i="2"/>
  <c r="N417" i="2"/>
  <c r="O417" i="2"/>
  <c r="P417" i="2"/>
  <c r="Q417" i="2"/>
  <c r="R417" i="2"/>
  <c r="S417" i="2"/>
  <c r="T417" i="2"/>
  <c r="U417" i="2"/>
  <c r="V417" i="2"/>
  <c r="W417" i="2"/>
  <c r="X417" i="2"/>
  <c r="Y417" i="2"/>
  <c r="A418" i="2"/>
  <c r="B418" i="2"/>
  <c r="C418" i="2"/>
  <c r="D418" i="2"/>
  <c r="E418" i="2"/>
  <c r="F418" i="2"/>
  <c r="G418" i="2"/>
  <c r="H418" i="2"/>
  <c r="I418" i="2"/>
  <c r="J418" i="2"/>
  <c r="K418" i="2"/>
  <c r="L418" i="2"/>
  <c r="M418" i="2"/>
  <c r="N418" i="2"/>
  <c r="O418" i="2"/>
  <c r="P418" i="2"/>
  <c r="Q418" i="2"/>
  <c r="R418" i="2"/>
  <c r="S418" i="2"/>
  <c r="T418" i="2"/>
  <c r="U418" i="2"/>
  <c r="V418" i="2"/>
  <c r="W418" i="2"/>
  <c r="X418" i="2"/>
  <c r="Y418" i="2"/>
  <c r="A419" i="2"/>
  <c r="B419" i="2"/>
  <c r="C419" i="2"/>
  <c r="D419" i="2"/>
  <c r="E419" i="2"/>
  <c r="F419" i="2"/>
  <c r="G419" i="2"/>
  <c r="H419" i="2"/>
  <c r="I419" i="2"/>
  <c r="J419" i="2"/>
  <c r="K419" i="2"/>
  <c r="L419" i="2"/>
  <c r="M419" i="2"/>
  <c r="N419" i="2"/>
  <c r="O419" i="2"/>
  <c r="P419" i="2"/>
  <c r="Q419" i="2"/>
  <c r="R419" i="2"/>
  <c r="S419" i="2"/>
  <c r="T419" i="2"/>
  <c r="U419" i="2"/>
  <c r="V419" i="2"/>
  <c r="W419" i="2"/>
  <c r="X419" i="2"/>
  <c r="Y419" i="2"/>
  <c r="B420" i="2"/>
  <c r="C420" i="2"/>
  <c r="D420" i="2"/>
  <c r="E420" i="2"/>
  <c r="F420" i="2"/>
  <c r="G420" i="2"/>
  <c r="H420" i="2"/>
  <c r="I420" i="2"/>
  <c r="J420" i="2"/>
  <c r="K420" i="2"/>
  <c r="L420" i="2"/>
  <c r="M420" i="2"/>
  <c r="N420" i="2"/>
  <c r="O420" i="2"/>
  <c r="P420" i="2"/>
  <c r="Q420" i="2"/>
  <c r="R420" i="2"/>
  <c r="S420" i="2"/>
  <c r="T420" i="2"/>
  <c r="U420" i="2"/>
  <c r="V420" i="2"/>
  <c r="W420" i="2"/>
  <c r="X420" i="2"/>
  <c r="Y420" i="2"/>
  <c r="A421" i="2"/>
  <c r="B421" i="2"/>
  <c r="C421" i="2"/>
  <c r="D421" i="2"/>
  <c r="E421" i="2"/>
  <c r="F421" i="2"/>
  <c r="G421" i="2"/>
  <c r="H421" i="2"/>
  <c r="I421" i="2"/>
  <c r="J421" i="2"/>
  <c r="K421" i="2"/>
  <c r="L421" i="2"/>
  <c r="M421" i="2"/>
  <c r="N421" i="2"/>
  <c r="O421" i="2"/>
  <c r="P421" i="2"/>
  <c r="Q421" i="2"/>
  <c r="R421" i="2"/>
  <c r="S421" i="2"/>
  <c r="T421" i="2"/>
  <c r="U421" i="2"/>
  <c r="V421" i="2"/>
  <c r="W421" i="2"/>
  <c r="X421" i="2"/>
  <c r="Y421" i="2"/>
  <c r="A422" i="2"/>
  <c r="B422" i="2"/>
  <c r="C422" i="2"/>
  <c r="D422" i="2"/>
  <c r="E422" i="2"/>
  <c r="F422" i="2"/>
  <c r="G422" i="2"/>
  <c r="H422" i="2"/>
  <c r="I422" i="2"/>
  <c r="J422" i="2"/>
  <c r="K422" i="2"/>
  <c r="L422" i="2"/>
  <c r="M422" i="2"/>
  <c r="N422" i="2"/>
  <c r="O422" i="2"/>
  <c r="P422" i="2"/>
  <c r="Q422" i="2"/>
  <c r="R422" i="2"/>
  <c r="S422" i="2"/>
  <c r="T422" i="2"/>
  <c r="U422" i="2"/>
  <c r="V422" i="2"/>
  <c r="W422" i="2"/>
  <c r="X422" i="2"/>
  <c r="Y422" i="2"/>
  <c r="B423" i="2"/>
  <c r="C423" i="2"/>
  <c r="D423" i="2"/>
  <c r="E423" i="2"/>
  <c r="F423" i="2"/>
  <c r="G423" i="2"/>
  <c r="H423" i="2"/>
  <c r="I423" i="2"/>
  <c r="J423" i="2"/>
  <c r="K423" i="2"/>
  <c r="L423" i="2"/>
  <c r="M423" i="2"/>
  <c r="N423" i="2"/>
  <c r="O423" i="2"/>
  <c r="P423" i="2"/>
  <c r="Q423" i="2"/>
  <c r="R423" i="2"/>
  <c r="S423" i="2"/>
  <c r="T423" i="2"/>
  <c r="U423" i="2"/>
  <c r="V423" i="2"/>
  <c r="W423" i="2"/>
  <c r="X423" i="2"/>
  <c r="Y423" i="2"/>
  <c r="B424" i="2"/>
  <c r="C424" i="2"/>
  <c r="D424" i="2"/>
  <c r="E424" i="2"/>
  <c r="F424" i="2"/>
  <c r="G424" i="2"/>
  <c r="H424" i="2"/>
  <c r="I424" i="2"/>
  <c r="J424" i="2"/>
  <c r="K424" i="2"/>
  <c r="L424" i="2"/>
  <c r="M424" i="2"/>
  <c r="N424" i="2"/>
  <c r="O424" i="2"/>
  <c r="P424" i="2"/>
  <c r="Q424" i="2"/>
  <c r="R424" i="2"/>
  <c r="S424" i="2"/>
  <c r="T424" i="2"/>
  <c r="U424" i="2"/>
  <c r="V424" i="2"/>
  <c r="W424" i="2"/>
  <c r="X424" i="2"/>
  <c r="Y424" i="2"/>
  <c r="A425" i="2"/>
  <c r="B425" i="2"/>
  <c r="C425" i="2"/>
  <c r="D425" i="2"/>
  <c r="E425" i="2"/>
  <c r="F425" i="2"/>
  <c r="G425" i="2"/>
  <c r="H425" i="2"/>
  <c r="I425" i="2"/>
  <c r="J425" i="2"/>
  <c r="K425" i="2"/>
  <c r="L425" i="2"/>
  <c r="M425" i="2"/>
  <c r="N425" i="2"/>
  <c r="O425" i="2"/>
  <c r="P425" i="2"/>
  <c r="Q425" i="2"/>
  <c r="R425" i="2"/>
  <c r="S425" i="2"/>
  <c r="T425" i="2"/>
  <c r="U425" i="2"/>
  <c r="V425" i="2"/>
  <c r="W425" i="2"/>
  <c r="X425" i="2"/>
  <c r="Y425" i="2"/>
  <c r="A426" i="2"/>
  <c r="B426" i="2"/>
  <c r="C426" i="2"/>
  <c r="D426" i="2"/>
  <c r="E426" i="2"/>
  <c r="F426" i="2"/>
  <c r="G426" i="2"/>
  <c r="H426" i="2"/>
  <c r="I426" i="2"/>
  <c r="J426" i="2"/>
  <c r="K426" i="2"/>
  <c r="L426" i="2"/>
  <c r="M426" i="2"/>
  <c r="N426" i="2"/>
  <c r="O426" i="2"/>
  <c r="P426" i="2"/>
  <c r="Q426" i="2"/>
  <c r="R426" i="2"/>
  <c r="S426" i="2"/>
  <c r="T426" i="2"/>
  <c r="U426" i="2"/>
  <c r="V426" i="2"/>
  <c r="W426" i="2"/>
  <c r="X426" i="2"/>
  <c r="Y426" i="2"/>
  <c r="A427" i="2"/>
  <c r="B427" i="2"/>
  <c r="C427" i="2"/>
  <c r="D427" i="2"/>
  <c r="E427" i="2"/>
  <c r="F427" i="2"/>
  <c r="G427" i="2"/>
  <c r="H427" i="2"/>
  <c r="I427" i="2"/>
  <c r="J427" i="2"/>
  <c r="K427" i="2"/>
  <c r="L427" i="2"/>
  <c r="M427" i="2"/>
  <c r="N427" i="2"/>
  <c r="O427" i="2"/>
  <c r="P427" i="2"/>
  <c r="Q427" i="2"/>
  <c r="R427" i="2"/>
  <c r="S427" i="2"/>
  <c r="T427" i="2"/>
  <c r="U427" i="2"/>
  <c r="V427" i="2"/>
  <c r="W427" i="2"/>
  <c r="X427" i="2"/>
  <c r="Y427" i="2"/>
  <c r="A428" i="2"/>
  <c r="B428" i="2"/>
  <c r="C428" i="2"/>
  <c r="D428" i="2"/>
  <c r="E428" i="2"/>
  <c r="F428" i="2"/>
  <c r="G428" i="2"/>
  <c r="H428" i="2"/>
  <c r="I428" i="2"/>
  <c r="J428" i="2"/>
  <c r="K428" i="2"/>
  <c r="L428" i="2"/>
  <c r="M428" i="2"/>
  <c r="N428" i="2"/>
  <c r="O428" i="2"/>
  <c r="P428" i="2"/>
  <c r="Q428" i="2"/>
  <c r="R428" i="2"/>
  <c r="S428" i="2"/>
  <c r="T428" i="2"/>
  <c r="U428" i="2"/>
  <c r="V428" i="2"/>
  <c r="W428" i="2"/>
  <c r="X428" i="2"/>
  <c r="Y428" i="2"/>
  <c r="A429" i="2"/>
  <c r="B429" i="2"/>
  <c r="C429" i="2"/>
  <c r="D429" i="2"/>
  <c r="E429" i="2"/>
  <c r="F429" i="2"/>
  <c r="G429" i="2"/>
  <c r="H429" i="2"/>
  <c r="I429" i="2"/>
  <c r="J429" i="2"/>
  <c r="K429" i="2"/>
  <c r="L429" i="2"/>
  <c r="M429" i="2"/>
  <c r="N429" i="2"/>
  <c r="O429" i="2"/>
  <c r="P429" i="2"/>
  <c r="Q429" i="2"/>
  <c r="R429" i="2"/>
  <c r="S429" i="2"/>
  <c r="T429" i="2"/>
  <c r="U429" i="2"/>
  <c r="V429" i="2"/>
  <c r="W429" i="2"/>
  <c r="X429" i="2"/>
  <c r="Y429" i="2"/>
  <c r="A430" i="2"/>
  <c r="B430" i="2"/>
  <c r="C430" i="2"/>
  <c r="D430" i="2"/>
  <c r="E430" i="2"/>
  <c r="F430" i="2"/>
  <c r="G430" i="2"/>
  <c r="H430" i="2"/>
  <c r="I430" i="2"/>
  <c r="J430" i="2"/>
  <c r="K430" i="2"/>
  <c r="L430" i="2"/>
  <c r="M430" i="2"/>
  <c r="N430" i="2"/>
  <c r="O430" i="2"/>
  <c r="P430" i="2"/>
  <c r="Q430" i="2"/>
  <c r="R430" i="2"/>
  <c r="S430" i="2"/>
  <c r="T430" i="2"/>
  <c r="U430" i="2"/>
  <c r="V430" i="2"/>
  <c r="W430" i="2"/>
  <c r="X430" i="2"/>
  <c r="Y430" i="2"/>
  <c r="A431" i="2"/>
  <c r="B431" i="2"/>
  <c r="C431" i="2"/>
  <c r="D431" i="2"/>
  <c r="E431" i="2"/>
  <c r="F431" i="2"/>
  <c r="G431" i="2"/>
  <c r="H431" i="2"/>
  <c r="I431" i="2"/>
  <c r="J431" i="2"/>
  <c r="K431" i="2"/>
  <c r="L431" i="2"/>
  <c r="M431" i="2"/>
  <c r="N431" i="2"/>
  <c r="O431" i="2"/>
  <c r="P431" i="2"/>
  <c r="Q431" i="2"/>
  <c r="R431" i="2"/>
  <c r="S431" i="2"/>
  <c r="T431" i="2"/>
  <c r="U431" i="2"/>
  <c r="V431" i="2"/>
  <c r="W431" i="2"/>
  <c r="X431" i="2"/>
  <c r="Y431" i="2"/>
  <c r="A432" i="2"/>
  <c r="B432" i="2"/>
  <c r="C432" i="2"/>
  <c r="D432" i="2"/>
  <c r="E432" i="2"/>
  <c r="F432" i="2"/>
  <c r="G432" i="2"/>
  <c r="H432" i="2"/>
  <c r="I432" i="2"/>
  <c r="J432" i="2"/>
  <c r="K432" i="2"/>
  <c r="L432" i="2"/>
  <c r="M432" i="2"/>
  <c r="N432" i="2"/>
  <c r="O432" i="2"/>
  <c r="P432" i="2"/>
  <c r="Q432" i="2"/>
  <c r="R432" i="2"/>
  <c r="S432" i="2"/>
  <c r="T432" i="2"/>
  <c r="U432" i="2"/>
  <c r="V432" i="2"/>
  <c r="W432" i="2"/>
  <c r="X432" i="2"/>
  <c r="Y432" i="2"/>
  <c r="A433" i="2"/>
  <c r="B433" i="2"/>
  <c r="C433" i="2"/>
  <c r="D433" i="2"/>
  <c r="E433" i="2"/>
  <c r="F433" i="2"/>
  <c r="G433" i="2"/>
  <c r="H433" i="2"/>
  <c r="I433" i="2"/>
  <c r="J433" i="2"/>
  <c r="K433" i="2"/>
  <c r="L433" i="2"/>
  <c r="M433" i="2"/>
  <c r="N433" i="2"/>
  <c r="O433" i="2"/>
  <c r="P433" i="2"/>
  <c r="Q433" i="2"/>
  <c r="R433" i="2"/>
  <c r="S433" i="2"/>
  <c r="T433" i="2"/>
  <c r="U433" i="2"/>
  <c r="V433" i="2"/>
  <c r="W433" i="2"/>
  <c r="X433" i="2"/>
  <c r="Y433" i="2"/>
  <c r="A434" i="2"/>
  <c r="B434" i="2"/>
  <c r="C434" i="2"/>
  <c r="D434" i="2"/>
  <c r="E434" i="2"/>
  <c r="F434" i="2"/>
  <c r="G434" i="2"/>
  <c r="H434" i="2"/>
  <c r="I434" i="2"/>
  <c r="J434" i="2"/>
  <c r="K434" i="2"/>
  <c r="L434" i="2"/>
  <c r="M434" i="2"/>
  <c r="N434" i="2"/>
  <c r="O434" i="2"/>
  <c r="P434" i="2"/>
  <c r="Q434" i="2"/>
  <c r="R434" i="2"/>
  <c r="S434" i="2"/>
  <c r="T434" i="2"/>
  <c r="U434" i="2"/>
  <c r="V434" i="2"/>
  <c r="W434" i="2"/>
  <c r="X434" i="2"/>
  <c r="Y434" i="2"/>
  <c r="A435" i="2"/>
  <c r="B435" i="2"/>
  <c r="C435" i="2"/>
  <c r="D435" i="2"/>
  <c r="E435" i="2"/>
  <c r="F435" i="2"/>
  <c r="G435" i="2"/>
  <c r="H435" i="2"/>
  <c r="I435" i="2"/>
  <c r="J435" i="2"/>
  <c r="K435" i="2"/>
  <c r="L435" i="2"/>
  <c r="M435" i="2"/>
  <c r="N435" i="2"/>
  <c r="O435" i="2"/>
  <c r="P435" i="2"/>
  <c r="Q435" i="2"/>
  <c r="R435" i="2"/>
  <c r="S435" i="2"/>
  <c r="T435" i="2"/>
  <c r="U435" i="2"/>
  <c r="V435" i="2"/>
  <c r="W435" i="2"/>
  <c r="X435" i="2"/>
  <c r="Y435" i="2"/>
  <c r="B436" i="2"/>
  <c r="C436" i="2"/>
  <c r="D436" i="2"/>
  <c r="E436" i="2"/>
  <c r="F436" i="2"/>
  <c r="G436" i="2"/>
  <c r="H436" i="2"/>
  <c r="I436" i="2"/>
  <c r="J436" i="2"/>
  <c r="K436" i="2"/>
  <c r="L436" i="2"/>
  <c r="M436" i="2"/>
  <c r="N436" i="2"/>
  <c r="O436" i="2"/>
  <c r="P436" i="2"/>
  <c r="Q436" i="2"/>
  <c r="R436" i="2"/>
  <c r="S436" i="2"/>
  <c r="T436" i="2"/>
  <c r="U436" i="2"/>
  <c r="V436" i="2"/>
  <c r="W436" i="2"/>
  <c r="X436" i="2"/>
  <c r="Y436" i="2"/>
  <c r="A437" i="2"/>
  <c r="B437" i="2"/>
  <c r="C437" i="2"/>
  <c r="D437" i="2"/>
  <c r="E437" i="2"/>
  <c r="F437" i="2"/>
  <c r="G437" i="2"/>
  <c r="H437" i="2"/>
  <c r="I437" i="2"/>
  <c r="J437" i="2"/>
  <c r="K437" i="2"/>
  <c r="L437" i="2"/>
  <c r="M437" i="2"/>
  <c r="N437" i="2"/>
  <c r="O437" i="2"/>
  <c r="P437" i="2"/>
  <c r="Q437" i="2"/>
  <c r="R437" i="2"/>
  <c r="S437" i="2"/>
  <c r="T437" i="2"/>
  <c r="U437" i="2"/>
  <c r="V437" i="2"/>
  <c r="W437" i="2"/>
  <c r="X437" i="2"/>
  <c r="Y437" i="2"/>
  <c r="A438" i="2"/>
  <c r="B438" i="2"/>
  <c r="C438" i="2"/>
  <c r="D438" i="2"/>
  <c r="E438" i="2"/>
  <c r="F438" i="2"/>
  <c r="G438" i="2"/>
  <c r="H438" i="2"/>
  <c r="I438" i="2"/>
  <c r="J438" i="2"/>
  <c r="K438" i="2"/>
  <c r="L438" i="2"/>
  <c r="M438" i="2"/>
  <c r="N438" i="2"/>
  <c r="O438" i="2"/>
  <c r="P438" i="2"/>
  <c r="Q438" i="2"/>
  <c r="R438" i="2"/>
  <c r="S438" i="2"/>
  <c r="T438" i="2"/>
  <c r="U438" i="2"/>
  <c r="V438" i="2"/>
  <c r="W438" i="2"/>
  <c r="X438" i="2"/>
  <c r="Y438" i="2"/>
  <c r="B439" i="2"/>
  <c r="C439" i="2"/>
  <c r="D439" i="2"/>
  <c r="E439" i="2"/>
  <c r="F439" i="2"/>
  <c r="G439" i="2"/>
  <c r="H439" i="2"/>
  <c r="I439" i="2"/>
  <c r="J439" i="2"/>
  <c r="K439" i="2"/>
  <c r="L439" i="2"/>
  <c r="M439" i="2"/>
  <c r="N439" i="2"/>
  <c r="O439" i="2"/>
  <c r="P439" i="2"/>
  <c r="Q439" i="2"/>
  <c r="R439" i="2"/>
  <c r="S439" i="2"/>
  <c r="T439" i="2"/>
  <c r="U439" i="2"/>
  <c r="V439" i="2"/>
  <c r="W439" i="2"/>
  <c r="X439" i="2"/>
  <c r="Y439" i="2"/>
  <c r="B440" i="2"/>
  <c r="C440" i="2"/>
  <c r="D440" i="2"/>
  <c r="E440" i="2"/>
  <c r="F440" i="2"/>
  <c r="G440" i="2"/>
  <c r="H440" i="2"/>
  <c r="I440" i="2"/>
  <c r="J440" i="2"/>
  <c r="K440" i="2"/>
  <c r="L440" i="2"/>
  <c r="M440" i="2"/>
  <c r="N440" i="2"/>
  <c r="O440" i="2"/>
  <c r="P440" i="2"/>
  <c r="Q440" i="2"/>
  <c r="R440" i="2"/>
  <c r="S440" i="2"/>
  <c r="T440" i="2"/>
  <c r="U440" i="2"/>
  <c r="V440" i="2"/>
  <c r="W440" i="2"/>
  <c r="X440" i="2"/>
  <c r="Y440" i="2"/>
  <c r="A441" i="2"/>
  <c r="B441" i="2"/>
  <c r="C441" i="2"/>
  <c r="D441" i="2"/>
  <c r="E441" i="2"/>
  <c r="F441" i="2"/>
  <c r="G441" i="2"/>
  <c r="H441" i="2"/>
  <c r="I441" i="2"/>
  <c r="J441" i="2"/>
  <c r="K441" i="2"/>
  <c r="L441" i="2"/>
  <c r="M441" i="2"/>
  <c r="N441" i="2"/>
  <c r="O441" i="2"/>
  <c r="P441" i="2"/>
  <c r="Q441" i="2"/>
  <c r="R441" i="2"/>
  <c r="S441" i="2"/>
  <c r="T441" i="2"/>
  <c r="U441" i="2"/>
  <c r="V441" i="2"/>
  <c r="W441" i="2"/>
  <c r="X441" i="2"/>
  <c r="Y441" i="2"/>
  <c r="A442" i="2"/>
  <c r="B442" i="2"/>
  <c r="C442" i="2"/>
  <c r="D442" i="2"/>
  <c r="E442" i="2"/>
  <c r="F442" i="2"/>
  <c r="G442" i="2"/>
  <c r="H442" i="2"/>
  <c r="I442" i="2"/>
  <c r="J442" i="2"/>
  <c r="K442" i="2"/>
  <c r="L442" i="2"/>
  <c r="M442" i="2"/>
  <c r="N442" i="2"/>
  <c r="O442" i="2"/>
  <c r="P442" i="2"/>
  <c r="Q442" i="2"/>
  <c r="R442" i="2"/>
  <c r="S442" i="2"/>
  <c r="T442" i="2"/>
  <c r="U442" i="2"/>
  <c r="V442" i="2"/>
  <c r="W442" i="2"/>
  <c r="X442" i="2"/>
  <c r="Y442" i="2"/>
  <c r="A443" i="2"/>
  <c r="B443" i="2"/>
  <c r="C443" i="2"/>
  <c r="D443" i="2"/>
  <c r="E443" i="2"/>
  <c r="F443" i="2"/>
  <c r="G443" i="2"/>
  <c r="H443" i="2"/>
  <c r="I443" i="2"/>
  <c r="J443" i="2"/>
  <c r="K443" i="2"/>
  <c r="L443" i="2"/>
  <c r="M443" i="2"/>
  <c r="N443" i="2"/>
  <c r="O443" i="2"/>
  <c r="P443" i="2"/>
  <c r="Q443" i="2"/>
  <c r="R443" i="2"/>
  <c r="S443" i="2"/>
  <c r="T443" i="2"/>
  <c r="U443" i="2"/>
  <c r="V443" i="2"/>
  <c r="W443" i="2"/>
  <c r="X443" i="2"/>
  <c r="Y443" i="2"/>
  <c r="B444" i="2"/>
  <c r="C444" i="2"/>
  <c r="D444" i="2"/>
  <c r="E444" i="2"/>
  <c r="F444" i="2"/>
  <c r="G444" i="2"/>
  <c r="H444" i="2"/>
  <c r="I444" i="2"/>
  <c r="J444" i="2"/>
  <c r="K444" i="2"/>
  <c r="L444" i="2"/>
  <c r="M444" i="2"/>
  <c r="N444" i="2"/>
  <c r="O444" i="2"/>
  <c r="P444" i="2"/>
  <c r="Q444" i="2"/>
  <c r="R444" i="2"/>
  <c r="S444" i="2"/>
  <c r="T444" i="2"/>
  <c r="U444" i="2"/>
  <c r="V444" i="2"/>
  <c r="W444" i="2"/>
  <c r="X444" i="2"/>
  <c r="Y444" i="2"/>
  <c r="A445" i="2"/>
  <c r="B445" i="2"/>
  <c r="C445" i="2"/>
  <c r="D445" i="2"/>
  <c r="E445" i="2"/>
  <c r="F445" i="2"/>
  <c r="G445" i="2"/>
  <c r="H445" i="2"/>
  <c r="I445" i="2"/>
  <c r="J445" i="2"/>
  <c r="K445" i="2"/>
  <c r="L445" i="2"/>
  <c r="M445" i="2"/>
  <c r="N445" i="2"/>
  <c r="O445" i="2"/>
  <c r="P445" i="2"/>
  <c r="Q445" i="2"/>
  <c r="R445" i="2"/>
  <c r="S445" i="2"/>
  <c r="T445" i="2"/>
  <c r="U445" i="2"/>
  <c r="V445" i="2"/>
  <c r="W445" i="2"/>
  <c r="X445" i="2"/>
  <c r="Y445" i="2"/>
  <c r="A446" i="2"/>
  <c r="B446" i="2"/>
  <c r="C446" i="2"/>
  <c r="D446" i="2"/>
  <c r="E446" i="2"/>
  <c r="F446" i="2"/>
  <c r="G446" i="2"/>
  <c r="H446" i="2"/>
  <c r="I446" i="2"/>
  <c r="J446" i="2"/>
  <c r="K446" i="2"/>
  <c r="L446" i="2"/>
  <c r="M446" i="2"/>
  <c r="N446" i="2"/>
  <c r="O446" i="2"/>
  <c r="P446" i="2"/>
  <c r="Q446" i="2"/>
  <c r="R446" i="2"/>
  <c r="S446" i="2"/>
  <c r="T446" i="2"/>
  <c r="U446" i="2"/>
  <c r="V446" i="2"/>
  <c r="W446" i="2"/>
  <c r="X446" i="2"/>
  <c r="Y446" i="2"/>
  <c r="A447" i="2"/>
  <c r="B447" i="2"/>
  <c r="C447" i="2"/>
  <c r="D447" i="2"/>
  <c r="E447" i="2"/>
  <c r="F447" i="2"/>
  <c r="G447" i="2"/>
  <c r="H447" i="2"/>
  <c r="I447" i="2"/>
  <c r="J447" i="2"/>
  <c r="K447" i="2"/>
  <c r="L447" i="2"/>
  <c r="M447" i="2"/>
  <c r="N447" i="2"/>
  <c r="O447" i="2"/>
  <c r="P447" i="2"/>
  <c r="Q447" i="2"/>
  <c r="R447" i="2"/>
  <c r="S447" i="2"/>
  <c r="T447" i="2"/>
  <c r="U447" i="2"/>
  <c r="V447" i="2"/>
  <c r="W447" i="2"/>
  <c r="X447" i="2"/>
  <c r="Y447" i="2"/>
  <c r="A448" i="2"/>
  <c r="B448" i="2"/>
  <c r="C448" i="2"/>
  <c r="D448" i="2"/>
  <c r="E448" i="2"/>
  <c r="F448" i="2"/>
  <c r="G448" i="2"/>
  <c r="H448" i="2"/>
  <c r="I448" i="2"/>
  <c r="J448" i="2"/>
  <c r="K448" i="2"/>
  <c r="L448" i="2"/>
  <c r="M448" i="2"/>
  <c r="N448" i="2"/>
  <c r="O448" i="2"/>
  <c r="P448" i="2"/>
  <c r="Q448" i="2"/>
  <c r="R448" i="2"/>
  <c r="S448" i="2"/>
  <c r="T448" i="2"/>
  <c r="U448" i="2"/>
  <c r="V448" i="2"/>
  <c r="W448" i="2"/>
  <c r="X448" i="2"/>
  <c r="Y448" i="2"/>
  <c r="A449" i="2"/>
  <c r="B449" i="2"/>
  <c r="C449" i="2"/>
  <c r="D449" i="2"/>
  <c r="E449" i="2"/>
  <c r="F449" i="2"/>
  <c r="G449" i="2"/>
  <c r="H449" i="2"/>
  <c r="I449" i="2"/>
  <c r="J449" i="2"/>
  <c r="K449" i="2"/>
  <c r="L449" i="2"/>
  <c r="M449" i="2"/>
  <c r="N449" i="2"/>
  <c r="O449" i="2"/>
  <c r="P449" i="2"/>
  <c r="Q449" i="2"/>
  <c r="R449" i="2"/>
  <c r="S449" i="2"/>
  <c r="T449" i="2"/>
  <c r="U449" i="2"/>
  <c r="V449" i="2"/>
  <c r="W449" i="2"/>
  <c r="X449" i="2"/>
  <c r="Y449" i="2"/>
  <c r="A450" i="2"/>
  <c r="B450" i="2"/>
  <c r="C450" i="2"/>
  <c r="D450" i="2"/>
  <c r="E450" i="2"/>
  <c r="F450" i="2"/>
  <c r="G450" i="2"/>
  <c r="H450" i="2"/>
  <c r="I450" i="2"/>
  <c r="J450" i="2"/>
  <c r="K450" i="2"/>
  <c r="L450" i="2"/>
  <c r="M450" i="2"/>
  <c r="N450" i="2"/>
  <c r="O450" i="2"/>
  <c r="P450" i="2"/>
  <c r="Q450" i="2"/>
  <c r="R450" i="2"/>
  <c r="S450" i="2"/>
  <c r="T450" i="2"/>
  <c r="U450" i="2"/>
  <c r="V450" i="2"/>
  <c r="W450" i="2"/>
  <c r="X450" i="2"/>
  <c r="Y450" i="2"/>
  <c r="A451" i="2"/>
  <c r="B451" i="2"/>
  <c r="C451" i="2"/>
  <c r="D451" i="2"/>
  <c r="E451" i="2"/>
  <c r="F451" i="2"/>
  <c r="G451" i="2"/>
  <c r="H451" i="2"/>
  <c r="I451" i="2"/>
  <c r="J451" i="2"/>
  <c r="K451" i="2"/>
  <c r="L451" i="2"/>
  <c r="M451" i="2"/>
  <c r="N451" i="2"/>
  <c r="O451" i="2"/>
  <c r="P451" i="2"/>
  <c r="Q451" i="2"/>
  <c r="R451" i="2"/>
  <c r="S451" i="2"/>
  <c r="T451" i="2"/>
  <c r="U451" i="2"/>
  <c r="V451" i="2"/>
  <c r="W451" i="2"/>
  <c r="X451" i="2"/>
  <c r="Y451" i="2"/>
  <c r="B452" i="2"/>
  <c r="C452" i="2"/>
  <c r="D452" i="2"/>
  <c r="E452" i="2"/>
  <c r="F452" i="2"/>
  <c r="G452" i="2"/>
  <c r="H452" i="2"/>
  <c r="I452" i="2"/>
  <c r="J452" i="2"/>
  <c r="K452" i="2"/>
  <c r="L452" i="2"/>
  <c r="M452" i="2"/>
  <c r="N452" i="2"/>
  <c r="O452" i="2"/>
  <c r="P452" i="2"/>
  <c r="Q452" i="2"/>
  <c r="R452" i="2"/>
  <c r="S452" i="2"/>
  <c r="T452" i="2"/>
  <c r="U452" i="2"/>
  <c r="V452" i="2"/>
  <c r="W452" i="2"/>
  <c r="X452" i="2"/>
  <c r="Y452" i="2"/>
  <c r="A453" i="2"/>
  <c r="B453" i="2"/>
  <c r="C453" i="2"/>
  <c r="D453" i="2"/>
  <c r="E453" i="2"/>
  <c r="F453" i="2"/>
  <c r="G453" i="2"/>
  <c r="H453" i="2"/>
  <c r="I453" i="2"/>
  <c r="J453" i="2"/>
  <c r="K453" i="2"/>
  <c r="L453" i="2"/>
  <c r="M453" i="2"/>
  <c r="N453" i="2"/>
  <c r="O453" i="2"/>
  <c r="P453" i="2"/>
  <c r="Q453" i="2"/>
  <c r="R453" i="2"/>
  <c r="S453" i="2"/>
  <c r="T453" i="2"/>
  <c r="U453" i="2"/>
  <c r="V453" i="2"/>
  <c r="W453" i="2"/>
  <c r="X453" i="2"/>
  <c r="Y453" i="2"/>
  <c r="B454" i="2"/>
  <c r="C454" i="2"/>
  <c r="D454" i="2"/>
  <c r="E454" i="2"/>
  <c r="F454" i="2"/>
  <c r="G454" i="2"/>
  <c r="H454" i="2"/>
  <c r="I454" i="2"/>
  <c r="J454" i="2"/>
  <c r="K454" i="2"/>
  <c r="L454" i="2"/>
  <c r="M454" i="2"/>
  <c r="N454" i="2"/>
  <c r="O454" i="2"/>
  <c r="P454" i="2"/>
  <c r="Q454" i="2"/>
  <c r="R454" i="2"/>
  <c r="S454" i="2"/>
  <c r="T454" i="2"/>
  <c r="U454" i="2"/>
  <c r="V454" i="2"/>
  <c r="W454" i="2"/>
  <c r="X454" i="2"/>
  <c r="Y454" i="2"/>
  <c r="B455" i="2"/>
  <c r="C455" i="2"/>
  <c r="D455" i="2"/>
  <c r="E455" i="2"/>
  <c r="F455" i="2"/>
  <c r="G455" i="2"/>
  <c r="H455" i="2"/>
  <c r="I455" i="2"/>
  <c r="J455" i="2"/>
  <c r="K455" i="2"/>
  <c r="L455" i="2"/>
  <c r="M455" i="2"/>
  <c r="N455" i="2"/>
  <c r="O455" i="2"/>
  <c r="P455" i="2"/>
  <c r="Q455" i="2"/>
  <c r="R455" i="2"/>
  <c r="S455" i="2"/>
  <c r="T455" i="2"/>
  <c r="U455" i="2"/>
  <c r="V455" i="2"/>
  <c r="W455" i="2"/>
  <c r="X455" i="2"/>
  <c r="Y455" i="2"/>
  <c r="A456" i="2"/>
  <c r="B456" i="2"/>
  <c r="C456" i="2"/>
  <c r="D456" i="2"/>
  <c r="E456" i="2"/>
  <c r="F456" i="2"/>
  <c r="G456" i="2"/>
  <c r="H456" i="2"/>
  <c r="I456" i="2"/>
  <c r="J456" i="2"/>
  <c r="K456" i="2"/>
  <c r="L456" i="2"/>
  <c r="M456" i="2"/>
  <c r="N456" i="2"/>
  <c r="O456" i="2"/>
  <c r="P456" i="2"/>
  <c r="Q456" i="2"/>
  <c r="R456" i="2"/>
  <c r="S456" i="2"/>
  <c r="T456" i="2"/>
  <c r="U456" i="2"/>
  <c r="V456" i="2"/>
  <c r="W456" i="2"/>
  <c r="X456" i="2"/>
  <c r="Y456" i="2"/>
  <c r="A457" i="2"/>
  <c r="B457" i="2"/>
  <c r="C457" i="2"/>
  <c r="D457" i="2"/>
  <c r="E457" i="2"/>
  <c r="F457" i="2"/>
  <c r="G457" i="2"/>
  <c r="H457" i="2"/>
  <c r="I457" i="2"/>
  <c r="J457" i="2"/>
  <c r="K457" i="2"/>
  <c r="L457" i="2"/>
  <c r="M457" i="2"/>
  <c r="N457" i="2"/>
  <c r="O457" i="2"/>
  <c r="P457" i="2"/>
  <c r="Q457" i="2"/>
  <c r="R457" i="2"/>
  <c r="S457" i="2"/>
  <c r="T457" i="2"/>
  <c r="U457" i="2"/>
  <c r="V457" i="2"/>
  <c r="W457" i="2"/>
  <c r="X457" i="2"/>
  <c r="Y457" i="2"/>
  <c r="A458" i="2"/>
  <c r="B458" i="2"/>
  <c r="C458" i="2"/>
  <c r="D458" i="2"/>
  <c r="E458" i="2"/>
  <c r="F458" i="2"/>
  <c r="G458" i="2"/>
  <c r="H458" i="2"/>
  <c r="I458" i="2"/>
  <c r="J458" i="2"/>
  <c r="K458" i="2"/>
  <c r="L458" i="2"/>
  <c r="M458" i="2"/>
  <c r="N458" i="2"/>
  <c r="O458" i="2"/>
  <c r="P458" i="2"/>
  <c r="Q458" i="2"/>
  <c r="R458" i="2"/>
  <c r="S458" i="2"/>
  <c r="T458" i="2"/>
  <c r="U458" i="2"/>
  <c r="V458" i="2"/>
  <c r="W458" i="2"/>
  <c r="X458" i="2"/>
  <c r="Y458" i="2"/>
  <c r="A459" i="2"/>
  <c r="B459" i="2"/>
  <c r="C459" i="2"/>
  <c r="D459" i="2"/>
  <c r="E459" i="2"/>
  <c r="F459" i="2"/>
  <c r="G459" i="2"/>
  <c r="H459" i="2"/>
  <c r="I459" i="2"/>
  <c r="J459" i="2"/>
  <c r="K459" i="2"/>
  <c r="L459" i="2"/>
  <c r="M459" i="2"/>
  <c r="N459" i="2"/>
  <c r="O459" i="2"/>
  <c r="P459" i="2"/>
  <c r="Q459" i="2"/>
  <c r="R459" i="2"/>
  <c r="S459" i="2"/>
  <c r="T459" i="2"/>
  <c r="U459" i="2"/>
  <c r="V459" i="2"/>
  <c r="W459" i="2"/>
  <c r="X459" i="2"/>
  <c r="Y459" i="2"/>
  <c r="B460" i="2"/>
  <c r="C460" i="2"/>
  <c r="D460" i="2"/>
  <c r="E460" i="2"/>
  <c r="F460" i="2"/>
  <c r="G460" i="2"/>
  <c r="H460" i="2"/>
  <c r="I460" i="2"/>
  <c r="J460" i="2"/>
  <c r="K460" i="2"/>
  <c r="L460" i="2"/>
  <c r="M460" i="2"/>
  <c r="N460" i="2"/>
  <c r="O460" i="2"/>
  <c r="P460" i="2"/>
  <c r="Q460" i="2"/>
  <c r="R460" i="2"/>
  <c r="S460" i="2"/>
  <c r="T460" i="2"/>
  <c r="U460" i="2"/>
  <c r="V460" i="2"/>
  <c r="W460" i="2"/>
  <c r="X460" i="2"/>
  <c r="Y460" i="2"/>
  <c r="A461" i="2"/>
  <c r="B461" i="2"/>
  <c r="C461" i="2"/>
  <c r="D461" i="2"/>
  <c r="E461" i="2"/>
  <c r="F461" i="2"/>
  <c r="G461" i="2"/>
  <c r="H461" i="2"/>
  <c r="I461" i="2"/>
  <c r="J461" i="2"/>
  <c r="K461" i="2"/>
  <c r="L461" i="2"/>
  <c r="M461" i="2"/>
  <c r="N461" i="2"/>
  <c r="O461" i="2"/>
  <c r="P461" i="2"/>
  <c r="Q461" i="2"/>
  <c r="R461" i="2"/>
  <c r="S461" i="2"/>
  <c r="T461" i="2"/>
  <c r="U461" i="2"/>
  <c r="V461" i="2"/>
  <c r="W461" i="2"/>
  <c r="X461" i="2"/>
  <c r="Y461" i="2"/>
  <c r="A462" i="2"/>
  <c r="B462" i="2"/>
  <c r="C462" i="2"/>
  <c r="D462" i="2"/>
  <c r="E462" i="2"/>
  <c r="F462" i="2"/>
  <c r="G462" i="2"/>
  <c r="H462" i="2"/>
  <c r="I462" i="2"/>
  <c r="J462" i="2"/>
  <c r="K462" i="2"/>
  <c r="L462" i="2"/>
  <c r="M462" i="2"/>
  <c r="N462" i="2"/>
  <c r="O462" i="2"/>
  <c r="P462" i="2"/>
  <c r="Q462" i="2"/>
  <c r="R462" i="2"/>
  <c r="S462" i="2"/>
  <c r="T462" i="2"/>
  <c r="U462" i="2"/>
  <c r="V462" i="2"/>
  <c r="W462" i="2"/>
  <c r="X462" i="2"/>
  <c r="Y462" i="2"/>
  <c r="A463" i="2"/>
  <c r="B463" i="2"/>
  <c r="C463" i="2"/>
  <c r="D463" i="2"/>
  <c r="E463" i="2"/>
  <c r="F463" i="2"/>
  <c r="G463" i="2"/>
  <c r="H463" i="2"/>
  <c r="I463" i="2"/>
  <c r="J463" i="2"/>
  <c r="K463" i="2"/>
  <c r="L463" i="2"/>
  <c r="M463" i="2"/>
  <c r="N463" i="2"/>
  <c r="O463" i="2"/>
  <c r="P463" i="2"/>
  <c r="Q463" i="2"/>
  <c r="R463" i="2"/>
  <c r="S463" i="2"/>
  <c r="T463" i="2"/>
  <c r="U463" i="2"/>
  <c r="V463" i="2"/>
  <c r="W463" i="2"/>
  <c r="X463" i="2"/>
  <c r="Y463" i="2"/>
  <c r="A464" i="2"/>
  <c r="B464" i="2"/>
  <c r="C464" i="2"/>
  <c r="D464" i="2"/>
  <c r="E464" i="2"/>
  <c r="F464" i="2"/>
  <c r="G464" i="2"/>
  <c r="H464" i="2"/>
  <c r="I464" i="2"/>
  <c r="J464" i="2"/>
  <c r="K464" i="2"/>
  <c r="L464" i="2"/>
  <c r="M464" i="2"/>
  <c r="N464" i="2"/>
  <c r="O464" i="2"/>
  <c r="P464" i="2"/>
  <c r="Q464" i="2"/>
  <c r="R464" i="2"/>
  <c r="S464" i="2"/>
  <c r="T464" i="2"/>
  <c r="U464" i="2"/>
  <c r="V464" i="2"/>
  <c r="W464" i="2"/>
  <c r="X464" i="2"/>
  <c r="Y464" i="2"/>
  <c r="A465" i="2"/>
  <c r="B465" i="2"/>
  <c r="C465" i="2"/>
  <c r="D465" i="2"/>
  <c r="E465" i="2"/>
  <c r="F465" i="2"/>
  <c r="G465" i="2"/>
  <c r="H465" i="2"/>
  <c r="I465" i="2"/>
  <c r="J465" i="2"/>
  <c r="K465" i="2"/>
  <c r="L465" i="2"/>
  <c r="M465" i="2"/>
  <c r="N465" i="2"/>
  <c r="O465" i="2"/>
  <c r="P465" i="2"/>
  <c r="Q465" i="2"/>
  <c r="R465" i="2"/>
  <c r="S465" i="2"/>
  <c r="T465" i="2"/>
  <c r="U465" i="2"/>
  <c r="V465" i="2"/>
  <c r="W465" i="2"/>
  <c r="X465" i="2"/>
  <c r="Y465" i="2"/>
  <c r="A466" i="2"/>
  <c r="B466" i="2"/>
  <c r="C466" i="2"/>
  <c r="D466" i="2"/>
  <c r="E466" i="2"/>
  <c r="F466" i="2"/>
  <c r="G466" i="2"/>
  <c r="H466" i="2"/>
  <c r="I466" i="2"/>
  <c r="J466" i="2"/>
  <c r="K466" i="2"/>
  <c r="L466" i="2"/>
  <c r="M466" i="2"/>
  <c r="N466" i="2"/>
  <c r="O466" i="2"/>
  <c r="P466" i="2"/>
  <c r="Q466" i="2"/>
  <c r="R466" i="2"/>
  <c r="S466" i="2"/>
  <c r="T466" i="2"/>
  <c r="U466" i="2"/>
  <c r="V466" i="2"/>
  <c r="W466" i="2"/>
  <c r="X466" i="2"/>
  <c r="Y466" i="2"/>
  <c r="A467" i="2"/>
  <c r="B467" i="2"/>
  <c r="C467" i="2"/>
  <c r="D467" i="2"/>
  <c r="E467" i="2"/>
  <c r="F467" i="2"/>
  <c r="G467" i="2"/>
  <c r="H467" i="2"/>
  <c r="I467" i="2"/>
  <c r="J467" i="2"/>
  <c r="K467" i="2"/>
  <c r="L467" i="2"/>
  <c r="M467" i="2"/>
  <c r="N467" i="2"/>
  <c r="O467" i="2"/>
  <c r="P467" i="2"/>
  <c r="Q467" i="2"/>
  <c r="R467" i="2"/>
  <c r="S467" i="2"/>
  <c r="T467" i="2"/>
  <c r="U467" i="2"/>
  <c r="V467" i="2"/>
  <c r="W467" i="2"/>
  <c r="X467" i="2"/>
  <c r="Y467" i="2"/>
  <c r="B468" i="2"/>
  <c r="C468" i="2"/>
  <c r="D468" i="2"/>
  <c r="E468" i="2"/>
  <c r="F468" i="2"/>
  <c r="G468" i="2"/>
  <c r="H468" i="2"/>
  <c r="I468" i="2"/>
  <c r="J468" i="2"/>
  <c r="K468" i="2"/>
  <c r="L468" i="2"/>
  <c r="M468" i="2"/>
  <c r="N468" i="2"/>
  <c r="O468" i="2"/>
  <c r="P468" i="2"/>
  <c r="Q468" i="2"/>
  <c r="R468" i="2"/>
  <c r="S468" i="2"/>
  <c r="T468" i="2"/>
  <c r="U468" i="2"/>
  <c r="V468" i="2"/>
  <c r="W468" i="2"/>
  <c r="X468" i="2"/>
  <c r="Y468" i="2"/>
  <c r="A469" i="2"/>
  <c r="B469" i="2"/>
  <c r="C469" i="2"/>
  <c r="D469" i="2"/>
  <c r="E469" i="2"/>
  <c r="F469" i="2"/>
  <c r="G469" i="2"/>
  <c r="H469" i="2"/>
  <c r="I469" i="2"/>
  <c r="J469" i="2"/>
  <c r="K469" i="2"/>
  <c r="L469" i="2"/>
  <c r="M469" i="2"/>
  <c r="N469" i="2"/>
  <c r="O469" i="2"/>
  <c r="P469" i="2"/>
  <c r="Q469" i="2"/>
  <c r="R469" i="2"/>
  <c r="S469" i="2"/>
  <c r="T469" i="2"/>
  <c r="U469" i="2"/>
  <c r="V469" i="2"/>
  <c r="W469" i="2"/>
  <c r="X469" i="2"/>
  <c r="Y469" i="2"/>
  <c r="B470" i="2"/>
  <c r="C470" i="2"/>
  <c r="D470" i="2"/>
  <c r="E470" i="2"/>
  <c r="F470" i="2"/>
  <c r="G470" i="2"/>
  <c r="H470" i="2"/>
  <c r="I470" i="2"/>
  <c r="J470" i="2"/>
  <c r="K470" i="2"/>
  <c r="L470" i="2"/>
  <c r="M470" i="2"/>
  <c r="N470" i="2"/>
  <c r="O470" i="2"/>
  <c r="P470" i="2"/>
  <c r="Q470" i="2"/>
  <c r="R470" i="2"/>
  <c r="S470" i="2"/>
  <c r="T470" i="2"/>
  <c r="U470" i="2"/>
  <c r="V470" i="2"/>
  <c r="W470" i="2"/>
  <c r="X470" i="2"/>
  <c r="Y470" i="2"/>
  <c r="B471" i="2"/>
  <c r="C471" i="2"/>
  <c r="D471" i="2"/>
  <c r="E471" i="2"/>
  <c r="F471" i="2"/>
  <c r="G471" i="2"/>
  <c r="H471" i="2"/>
  <c r="I471" i="2"/>
  <c r="J471" i="2"/>
  <c r="K471" i="2"/>
  <c r="L471" i="2"/>
  <c r="M471" i="2"/>
  <c r="N471" i="2"/>
  <c r="O471" i="2"/>
  <c r="P471" i="2"/>
  <c r="Q471" i="2"/>
  <c r="R471" i="2"/>
  <c r="S471" i="2"/>
  <c r="T471" i="2"/>
  <c r="U471" i="2"/>
  <c r="V471" i="2"/>
  <c r="W471" i="2"/>
  <c r="X471" i="2"/>
  <c r="Y471" i="2"/>
  <c r="B472" i="2"/>
  <c r="C472" i="2"/>
  <c r="D472" i="2"/>
  <c r="E472" i="2"/>
  <c r="F472" i="2"/>
  <c r="G472" i="2"/>
  <c r="H472" i="2"/>
  <c r="I472" i="2"/>
  <c r="J472" i="2"/>
  <c r="K472" i="2"/>
  <c r="L472" i="2"/>
  <c r="M472" i="2"/>
  <c r="N472" i="2"/>
  <c r="O472" i="2"/>
  <c r="P472" i="2"/>
  <c r="Q472" i="2"/>
  <c r="R472" i="2"/>
  <c r="S472" i="2"/>
  <c r="T472" i="2"/>
  <c r="U472" i="2"/>
  <c r="V472" i="2"/>
  <c r="W472" i="2"/>
  <c r="X472" i="2"/>
  <c r="Y472" i="2"/>
  <c r="A473" i="2"/>
  <c r="B473" i="2"/>
  <c r="C473" i="2"/>
  <c r="D473" i="2"/>
  <c r="E473" i="2"/>
  <c r="F473" i="2"/>
  <c r="G473" i="2"/>
  <c r="H473" i="2"/>
  <c r="I473" i="2"/>
  <c r="J473" i="2"/>
  <c r="K473" i="2"/>
  <c r="L473" i="2"/>
  <c r="M473" i="2"/>
  <c r="N473" i="2"/>
  <c r="O473" i="2"/>
  <c r="P473" i="2"/>
  <c r="Q473" i="2"/>
  <c r="R473" i="2"/>
  <c r="S473" i="2"/>
  <c r="T473" i="2"/>
  <c r="U473" i="2"/>
  <c r="V473" i="2"/>
  <c r="W473" i="2"/>
  <c r="X473" i="2"/>
  <c r="Y473" i="2"/>
  <c r="A474" i="2"/>
  <c r="B474" i="2"/>
  <c r="C474" i="2"/>
  <c r="D474" i="2"/>
  <c r="E474" i="2"/>
  <c r="F474" i="2"/>
  <c r="G474" i="2"/>
  <c r="H474" i="2"/>
  <c r="I474" i="2"/>
  <c r="J474" i="2"/>
  <c r="K474" i="2"/>
  <c r="L474" i="2"/>
  <c r="M474" i="2"/>
  <c r="N474" i="2"/>
  <c r="O474" i="2"/>
  <c r="P474" i="2"/>
  <c r="Q474" i="2"/>
  <c r="R474" i="2"/>
  <c r="S474" i="2"/>
  <c r="T474" i="2"/>
  <c r="U474" i="2"/>
  <c r="V474" i="2"/>
  <c r="W474" i="2"/>
  <c r="X474" i="2"/>
  <c r="Y474" i="2"/>
  <c r="A475" i="2"/>
  <c r="B475" i="2"/>
  <c r="C475" i="2"/>
  <c r="D475" i="2"/>
  <c r="E475" i="2"/>
  <c r="F475" i="2"/>
  <c r="G475" i="2"/>
  <c r="H475" i="2"/>
  <c r="I475" i="2"/>
  <c r="J475" i="2"/>
  <c r="K475" i="2"/>
  <c r="L475" i="2"/>
  <c r="M475" i="2"/>
  <c r="N475" i="2"/>
  <c r="O475" i="2"/>
  <c r="P475" i="2"/>
  <c r="Q475" i="2"/>
  <c r="R475" i="2"/>
  <c r="S475" i="2"/>
  <c r="T475" i="2"/>
  <c r="U475" i="2"/>
  <c r="V475" i="2"/>
  <c r="W475" i="2"/>
  <c r="X475" i="2"/>
  <c r="Y475" i="2"/>
  <c r="B476" i="2"/>
  <c r="C476" i="2"/>
  <c r="D476" i="2"/>
  <c r="E476" i="2"/>
  <c r="F476" i="2"/>
  <c r="G476" i="2"/>
  <c r="H476" i="2"/>
  <c r="I476" i="2"/>
  <c r="J476" i="2"/>
  <c r="K476" i="2"/>
  <c r="L476" i="2"/>
  <c r="M476" i="2"/>
  <c r="N476" i="2"/>
  <c r="O476" i="2"/>
  <c r="P476" i="2"/>
  <c r="Q476" i="2"/>
  <c r="R476" i="2"/>
  <c r="S476" i="2"/>
  <c r="T476" i="2"/>
  <c r="U476" i="2"/>
  <c r="V476" i="2"/>
  <c r="W476" i="2"/>
  <c r="X476" i="2"/>
  <c r="Y476" i="2"/>
  <c r="A477" i="2"/>
  <c r="B477" i="2"/>
  <c r="C477" i="2"/>
  <c r="D477" i="2"/>
  <c r="E477" i="2"/>
  <c r="F477" i="2"/>
  <c r="G477" i="2"/>
  <c r="H477" i="2"/>
  <c r="I477" i="2"/>
  <c r="J477" i="2"/>
  <c r="K477" i="2"/>
  <c r="L477" i="2"/>
  <c r="M477" i="2"/>
  <c r="N477" i="2"/>
  <c r="O477" i="2"/>
  <c r="P477" i="2"/>
  <c r="Q477" i="2"/>
  <c r="R477" i="2"/>
  <c r="S477" i="2"/>
  <c r="T477" i="2"/>
  <c r="U477" i="2"/>
  <c r="V477" i="2"/>
  <c r="W477" i="2"/>
  <c r="X477" i="2"/>
  <c r="Y477" i="2"/>
  <c r="A478" i="2"/>
  <c r="B478" i="2"/>
  <c r="C478" i="2"/>
  <c r="D478" i="2"/>
  <c r="E478" i="2"/>
  <c r="F478" i="2"/>
  <c r="G478" i="2"/>
  <c r="H478" i="2"/>
  <c r="I478" i="2"/>
  <c r="J478" i="2"/>
  <c r="K478" i="2"/>
  <c r="L478" i="2"/>
  <c r="M478" i="2"/>
  <c r="N478" i="2"/>
  <c r="O478" i="2"/>
  <c r="P478" i="2"/>
  <c r="Q478" i="2"/>
  <c r="R478" i="2"/>
  <c r="S478" i="2"/>
  <c r="T478" i="2"/>
  <c r="U478" i="2"/>
  <c r="V478" i="2"/>
  <c r="W478" i="2"/>
  <c r="X478" i="2"/>
  <c r="Y478" i="2"/>
  <c r="A479" i="2"/>
  <c r="B479" i="2"/>
  <c r="C479" i="2"/>
  <c r="D479" i="2"/>
  <c r="E479" i="2"/>
  <c r="F479" i="2"/>
  <c r="G479" i="2"/>
  <c r="H479" i="2"/>
  <c r="I479" i="2"/>
  <c r="J479" i="2"/>
  <c r="K479" i="2"/>
  <c r="L479" i="2"/>
  <c r="M479" i="2"/>
  <c r="N479" i="2"/>
  <c r="O479" i="2"/>
  <c r="P479" i="2"/>
  <c r="Q479" i="2"/>
  <c r="R479" i="2"/>
  <c r="S479" i="2"/>
  <c r="T479" i="2"/>
  <c r="U479" i="2"/>
  <c r="V479" i="2"/>
  <c r="W479" i="2"/>
  <c r="X479" i="2"/>
  <c r="Y479" i="2"/>
  <c r="A480" i="2"/>
  <c r="B480" i="2"/>
  <c r="C480" i="2"/>
  <c r="D480" i="2"/>
  <c r="E480" i="2"/>
  <c r="F480" i="2"/>
  <c r="G480" i="2"/>
  <c r="H480" i="2"/>
  <c r="I480" i="2"/>
  <c r="J480" i="2"/>
  <c r="K480" i="2"/>
  <c r="L480" i="2"/>
  <c r="M480" i="2"/>
  <c r="N480" i="2"/>
  <c r="O480" i="2"/>
  <c r="P480" i="2"/>
  <c r="Q480" i="2"/>
  <c r="R480" i="2"/>
  <c r="S480" i="2"/>
  <c r="T480" i="2"/>
  <c r="U480" i="2"/>
  <c r="V480" i="2"/>
  <c r="W480" i="2"/>
  <c r="X480" i="2"/>
  <c r="Y480" i="2"/>
  <c r="A481" i="2"/>
  <c r="B481" i="2"/>
  <c r="C481" i="2"/>
  <c r="D481" i="2"/>
  <c r="E481" i="2"/>
  <c r="F481" i="2"/>
  <c r="G481" i="2"/>
  <c r="H481" i="2"/>
  <c r="I481" i="2"/>
  <c r="J481" i="2"/>
  <c r="K481" i="2"/>
  <c r="L481" i="2"/>
  <c r="M481" i="2"/>
  <c r="N481" i="2"/>
  <c r="O481" i="2"/>
  <c r="P481" i="2"/>
  <c r="Q481" i="2"/>
  <c r="R481" i="2"/>
  <c r="S481" i="2"/>
  <c r="T481" i="2"/>
  <c r="U481" i="2"/>
  <c r="V481" i="2"/>
  <c r="W481" i="2"/>
  <c r="X481" i="2"/>
  <c r="Y481" i="2"/>
  <c r="A482" i="2"/>
  <c r="B482" i="2"/>
  <c r="C482" i="2"/>
  <c r="D482" i="2"/>
  <c r="E482" i="2"/>
  <c r="F482" i="2"/>
  <c r="G482" i="2"/>
  <c r="H482" i="2"/>
  <c r="I482" i="2"/>
  <c r="J482" i="2"/>
  <c r="K482" i="2"/>
  <c r="L482" i="2"/>
  <c r="M482" i="2"/>
  <c r="N482" i="2"/>
  <c r="O482" i="2"/>
  <c r="P482" i="2"/>
  <c r="Q482" i="2"/>
  <c r="R482" i="2"/>
  <c r="S482" i="2"/>
  <c r="T482" i="2"/>
  <c r="U482" i="2"/>
  <c r="V482" i="2"/>
  <c r="W482" i="2"/>
  <c r="X482" i="2"/>
  <c r="Y482" i="2"/>
  <c r="B483" i="2"/>
  <c r="C483" i="2"/>
  <c r="D483" i="2"/>
  <c r="E483" i="2"/>
  <c r="F483" i="2"/>
  <c r="G483" i="2"/>
  <c r="H483" i="2"/>
  <c r="I483" i="2"/>
  <c r="J483" i="2"/>
  <c r="K483" i="2"/>
  <c r="L483" i="2"/>
  <c r="M483" i="2"/>
  <c r="N483" i="2"/>
  <c r="O483" i="2"/>
  <c r="P483" i="2"/>
  <c r="Q483" i="2"/>
  <c r="R483" i="2"/>
  <c r="S483" i="2"/>
  <c r="T483" i="2"/>
  <c r="U483" i="2"/>
  <c r="V483" i="2"/>
  <c r="W483" i="2"/>
  <c r="X483" i="2"/>
  <c r="Y483" i="2"/>
  <c r="B484" i="2"/>
  <c r="C484" i="2"/>
  <c r="D484" i="2"/>
  <c r="E484" i="2"/>
  <c r="F484" i="2"/>
  <c r="G484" i="2"/>
  <c r="H484" i="2"/>
  <c r="I484" i="2"/>
  <c r="J484" i="2"/>
  <c r="K484" i="2"/>
  <c r="L484" i="2"/>
  <c r="M484" i="2"/>
  <c r="N484" i="2"/>
  <c r="O484" i="2"/>
  <c r="P484" i="2"/>
  <c r="Q484" i="2"/>
  <c r="R484" i="2"/>
  <c r="S484" i="2"/>
  <c r="T484" i="2"/>
  <c r="U484" i="2"/>
  <c r="V484" i="2"/>
  <c r="W484" i="2"/>
  <c r="X484" i="2"/>
  <c r="Y484" i="2"/>
  <c r="A485" i="2"/>
  <c r="B485" i="2"/>
  <c r="C485" i="2"/>
  <c r="D485" i="2"/>
  <c r="E485" i="2"/>
  <c r="F485" i="2"/>
  <c r="G485" i="2"/>
  <c r="H485" i="2"/>
  <c r="I485" i="2"/>
  <c r="J485" i="2"/>
  <c r="K485" i="2"/>
  <c r="L485" i="2"/>
  <c r="M485" i="2"/>
  <c r="N485" i="2"/>
  <c r="O485" i="2"/>
  <c r="P485" i="2"/>
  <c r="Q485" i="2"/>
  <c r="R485" i="2"/>
  <c r="S485" i="2"/>
  <c r="T485" i="2"/>
  <c r="U485" i="2"/>
  <c r="V485" i="2"/>
  <c r="W485" i="2"/>
  <c r="X485" i="2"/>
  <c r="Y485" i="2"/>
  <c r="B486" i="2"/>
  <c r="C486" i="2"/>
  <c r="D486" i="2"/>
  <c r="E486" i="2"/>
  <c r="F486" i="2"/>
  <c r="G486" i="2"/>
  <c r="H486" i="2"/>
  <c r="I486" i="2"/>
  <c r="J486" i="2"/>
  <c r="K486" i="2"/>
  <c r="L486" i="2"/>
  <c r="M486" i="2"/>
  <c r="N486" i="2"/>
  <c r="O486" i="2"/>
  <c r="P486" i="2"/>
  <c r="Q486" i="2"/>
  <c r="R486" i="2"/>
  <c r="S486" i="2"/>
  <c r="T486" i="2"/>
  <c r="U486" i="2"/>
  <c r="V486" i="2"/>
  <c r="W486" i="2"/>
  <c r="X486" i="2"/>
  <c r="Y486" i="2"/>
  <c r="B487" i="2"/>
  <c r="C487" i="2"/>
  <c r="D487" i="2"/>
  <c r="E487" i="2"/>
  <c r="F487" i="2"/>
  <c r="G487" i="2"/>
  <c r="H487" i="2"/>
  <c r="I487" i="2"/>
  <c r="J487" i="2"/>
  <c r="K487" i="2"/>
  <c r="L487" i="2"/>
  <c r="M487" i="2"/>
  <c r="N487" i="2"/>
  <c r="O487" i="2"/>
  <c r="P487" i="2"/>
  <c r="Q487" i="2"/>
  <c r="R487" i="2"/>
  <c r="S487" i="2"/>
  <c r="T487" i="2"/>
  <c r="U487" i="2"/>
  <c r="V487" i="2"/>
  <c r="W487" i="2"/>
  <c r="X487" i="2"/>
  <c r="Y487" i="2"/>
  <c r="B488" i="2"/>
  <c r="C488" i="2"/>
  <c r="D488" i="2"/>
  <c r="E488" i="2"/>
  <c r="F488" i="2"/>
  <c r="G488" i="2"/>
  <c r="H488" i="2"/>
  <c r="I488" i="2"/>
  <c r="J488" i="2"/>
  <c r="K488" i="2"/>
  <c r="L488" i="2"/>
  <c r="M488" i="2"/>
  <c r="N488" i="2"/>
  <c r="O488" i="2"/>
  <c r="P488" i="2"/>
  <c r="Q488" i="2"/>
  <c r="R488" i="2"/>
  <c r="S488" i="2"/>
  <c r="T488" i="2"/>
  <c r="U488" i="2"/>
  <c r="V488" i="2"/>
  <c r="W488" i="2"/>
  <c r="X488" i="2"/>
  <c r="Y488" i="2"/>
  <c r="A489" i="2"/>
  <c r="B489" i="2"/>
  <c r="C489" i="2"/>
  <c r="D489" i="2"/>
  <c r="E489" i="2"/>
  <c r="F489" i="2"/>
  <c r="G489" i="2"/>
  <c r="H489" i="2"/>
  <c r="I489" i="2"/>
  <c r="J489" i="2"/>
  <c r="K489" i="2"/>
  <c r="L489" i="2"/>
  <c r="M489" i="2"/>
  <c r="N489" i="2"/>
  <c r="O489" i="2"/>
  <c r="P489" i="2"/>
  <c r="Q489" i="2"/>
  <c r="R489" i="2"/>
  <c r="S489" i="2"/>
  <c r="T489" i="2"/>
  <c r="U489" i="2"/>
  <c r="V489" i="2"/>
  <c r="W489" i="2"/>
  <c r="X489" i="2"/>
  <c r="Y489" i="2"/>
  <c r="A490" i="2"/>
  <c r="B490" i="2"/>
  <c r="C490" i="2"/>
  <c r="D490" i="2"/>
  <c r="E490" i="2"/>
  <c r="F490" i="2"/>
  <c r="G490" i="2"/>
  <c r="H490" i="2"/>
  <c r="I490" i="2"/>
  <c r="J490" i="2"/>
  <c r="K490" i="2"/>
  <c r="L490" i="2"/>
  <c r="M490" i="2"/>
  <c r="N490" i="2"/>
  <c r="O490" i="2"/>
  <c r="P490" i="2"/>
  <c r="Q490" i="2"/>
  <c r="R490" i="2"/>
  <c r="S490" i="2"/>
  <c r="T490" i="2"/>
  <c r="U490" i="2"/>
  <c r="V490" i="2"/>
  <c r="W490" i="2"/>
  <c r="X490" i="2"/>
  <c r="Y490" i="2"/>
  <c r="A491" i="2"/>
  <c r="B491" i="2"/>
  <c r="C491" i="2"/>
  <c r="D491" i="2"/>
  <c r="E491" i="2"/>
  <c r="F491" i="2"/>
  <c r="G491" i="2"/>
  <c r="H491" i="2"/>
  <c r="I491" i="2"/>
  <c r="J491" i="2"/>
  <c r="K491" i="2"/>
  <c r="L491" i="2"/>
  <c r="M491" i="2"/>
  <c r="N491" i="2"/>
  <c r="O491" i="2"/>
  <c r="P491" i="2"/>
  <c r="Q491" i="2"/>
  <c r="R491" i="2"/>
  <c r="S491" i="2"/>
  <c r="T491" i="2"/>
  <c r="U491" i="2"/>
  <c r="V491" i="2"/>
  <c r="W491" i="2"/>
  <c r="X491" i="2"/>
  <c r="Y491" i="2"/>
  <c r="A492" i="2"/>
  <c r="B492" i="2"/>
  <c r="C492" i="2"/>
  <c r="D492" i="2"/>
  <c r="E492" i="2"/>
  <c r="F492" i="2"/>
  <c r="G492" i="2"/>
  <c r="H492" i="2"/>
  <c r="I492" i="2"/>
  <c r="J492" i="2"/>
  <c r="K492" i="2"/>
  <c r="L492" i="2"/>
  <c r="M492" i="2"/>
  <c r="N492" i="2"/>
  <c r="O492" i="2"/>
  <c r="P492" i="2"/>
  <c r="Q492" i="2"/>
  <c r="R492" i="2"/>
  <c r="S492" i="2"/>
  <c r="T492" i="2"/>
  <c r="U492" i="2"/>
  <c r="V492" i="2"/>
  <c r="W492" i="2"/>
  <c r="X492" i="2"/>
  <c r="Y492" i="2"/>
  <c r="A493" i="2"/>
  <c r="B493" i="2"/>
  <c r="C493" i="2"/>
  <c r="D493" i="2"/>
  <c r="E493" i="2"/>
  <c r="F493" i="2"/>
  <c r="G493" i="2"/>
  <c r="H493" i="2"/>
  <c r="I493" i="2"/>
  <c r="J493" i="2"/>
  <c r="K493" i="2"/>
  <c r="L493" i="2"/>
  <c r="M493" i="2"/>
  <c r="N493" i="2"/>
  <c r="O493" i="2"/>
  <c r="P493" i="2"/>
  <c r="Q493" i="2"/>
  <c r="R493" i="2"/>
  <c r="S493" i="2"/>
  <c r="T493" i="2"/>
  <c r="U493" i="2"/>
  <c r="V493" i="2"/>
  <c r="W493" i="2"/>
  <c r="X493" i="2"/>
  <c r="Y493" i="2"/>
  <c r="A494" i="2"/>
  <c r="B494" i="2"/>
  <c r="C494" i="2"/>
  <c r="D494" i="2"/>
  <c r="E494" i="2"/>
  <c r="F494" i="2"/>
  <c r="G494" i="2"/>
  <c r="H494" i="2"/>
  <c r="I494" i="2"/>
  <c r="J494" i="2"/>
  <c r="K494" i="2"/>
  <c r="L494" i="2"/>
  <c r="M494" i="2"/>
  <c r="N494" i="2"/>
  <c r="O494" i="2"/>
  <c r="P494" i="2"/>
  <c r="Q494" i="2"/>
  <c r="R494" i="2"/>
  <c r="S494" i="2"/>
  <c r="T494" i="2"/>
  <c r="U494" i="2"/>
  <c r="V494" i="2"/>
  <c r="W494" i="2"/>
  <c r="X494" i="2"/>
  <c r="Y494" i="2"/>
  <c r="A495" i="2"/>
  <c r="B495" i="2"/>
  <c r="C495" i="2"/>
  <c r="D495" i="2"/>
  <c r="E495" i="2"/>
  <c r="F495" i="2"/>
  <c r="G495" i="2"/>
  <c r="H495" i="2"/>
  <c r="I495" i="2"/>
  <c r="J495" i="2"/>
  <c r="K495" i="2"/>
  <c r="L495" i="2"/>
  <c r="M495" i="2"/>
  <c r="N495" i="2"/>
  <c r="O495" i="2"/>
  <c r="P495" i="2"/>
  <c r="Q495" i="2"/>
  <c r="R495" i="2"/>
  <c r="S495" i="2"/>
  <c r="T495" i="2"/>
  <c r="U495" i="2"/>
  <c r="V495" i="2"/>
  <c r="W495" i="2"/>
  <c r="X495" i="2"/>
  <c r="Y495" i="2"/>
  <c r="A496" i="2"/>
  <c r="B496" i="2"/>
  <c r="C496" i="2"/>
  <c r="D496" i="2"/>
  <c r="E496" i="2"/>
  <c r="F496" i="2"/>
  <c r="G496" i="2"/>
  <c r="H496" i="2"/>
  <c r="I496" i="2"/>
  <c r="J496" i="2"/>
  <c r="K496" i="2"/>
  <c r="L496" i="2"/>
  <c r="M496" i="2"/>
  <c r="N496" i="2"/>
  <c r="O496" i="2"/>
  <c r="P496" i="2"/>
  <c r="Q496" i="2"/>
  <c r="R496" i="2"/>
  <c r="S496" i="2"/>
  <c r="T496" i="2"/>
  <c r="U496" i="2"/>
  <c r="V496" i="2"/>
  <c r="W496" i="2"/>
  <c r="X496" i="2"/>
  <c r="Y496" i="2"/>
  <c r="A497" i="2"/>
  <c r="B497" i="2"/>
  <c r="C497" i="2"/>
  <c r="D497" i="2"/>
  <c r="E497" i="2"/>
  <c r="F497" i="2"/>
  <c r="G497" i="2"/>
  <c r="H497" i="2"/>
  <c r="I497" i="2"/>
  <c r="J497" i="2"/>
  <c r="K497" i="2"/>
  <c r="L497" i="2"/>
  <c r="M497" i="2"/>
  <c r="N497" i="2"/>
  <c r="O497" i="2"/>
  <c r="P497" i="2"/>
  <c r="Q497" i="2"/>
  <c r="R497" i="2"/>
  <c r="S497" i="2"/>
  <c r="T497" i="2"/>
  <c r="U497" i="2"/>
  <c r="V497" i="2"/>
  <c r="W497" i="2"/>
  <c r="X497" i="2"/>
  <c r="Y497" i="2"/>
  <c r="A498" i="2"/>
  <c r="B498" i="2"/>
  <c r="C498" i="2"/>
  <c r="D498" i="2"/>
  <c r="E498" i="2"/>
  <c r="F498" i="2"/>
  <c r="G498" i="2"/>
  <c r="H498" i="2"/>
  <c r="I498" i="2"/>
  <c r="J498" i="2"/>
  <c r="K498" i="2"/>
  <c r="L498" i="2"/>
  <c r="M498" i="2"/>
  <c r="N498" i="2"/>
  <c r="O498" i="2"/>
  <c r="P498" i="2"/>
  <c r="Q498" i="2"/>
  <c r="R498" i="2"/>
  <c r="S498" i="2"/>
  <c r="T498" i="2"/>
  <c r="U498" i="2"/>
  <c r="V498" i="2"/>
  <c r="W498" i="2"/>
  <c r="X498" i="2"/>
  <c r="Y498" i="2"/>
  <c r="B499" i="2"/>
  <c r="C499" i="2"/>
  <c r="D499" i="2"/>
  <c r="E499" i="2"/>
  <c r="F499" i="2"/>
  <c r="G499" i="2"/>
  <c r="H499" i="2"/>
  <c r="I499" i="2"/>
  <c r="J499" i="2"/>
  <c r="K499" i="2"/>
  <c r="L499" i="2"/>
  <c r="M499" i="2"/>
  <c r="N499" i="2"/>
  <c r="O499" i="2"/>
  <c r="P499" i="2"/>
  <c r="Q499" i="2"/>
  <c r="R499" i="2"/>
  <c r="S499" i="2"/>
  <c r="T499" i="2"/>
  <c r="U499" i="2"/>
  <c r="V499" i="2"/>
  <c r="W499" i="2"/>
  <c r="X499" i="2"/>
  <c r="Y499" i="2"/>
  <c r="B500" i="2"/>
  <c r="C500" i="2"/>
  <c r="D500" i="2"/>
  <c r="E500" i="2"/>
  <c r="F500" i="2"/>
  <c r="G500" i="2"/>
  <c r="H500" i="2"/>
  <c r="I500" i="2"/>
  <c r="J500" i="2"/>
  <c r="K500" i="2"/>
  <c r="L500" i="2"/>
  <c r="M500" i="2"/>
  <c r="N500" i="2"/>
  <c r="O500" i="2"/>
  <c r="P500" i="2"/>
  <c r="Q500" i="2"/>
  <c r="R500" i="2"/>
  <c r="S500" i="2"/>
  <c r="T500" i="2"/>
  <c r="U500" i="2"/>
  <c r="V500" i="2"/>
  <c r="W500" i="2"/>
  <c r="X500" i="2"/>
  <c r="Y500" i="2"/>
  <c r="A501" i="2"/>
  <c r="B501" i="2"/>
  <c r="C501" i="2"/>
  <c r="D501" i="2"/>
  <c r="E501" i="2"/>
  <c r="F501" i="2"/>
  <c r="G501" i="2"/>
  <c r="H501" i="2"/>
  <c r="I501" i="2"/>
  <c r="J501" i="2"/>
  <c r="K501" i="2"/>
  <c r="L501" i="2"/>
  <c r="M501" i="2"/>
  <c r="N501" i="2"/>
  <c r="O501" i="2"/>
  <c r="P501" i="2"/>
  <c r="Q501" i="2"/>
  <c r="R501" i="2"/>
  <c r="S501" i="2"/>
  <c r="T501" i="2"/>
  <c r="U501" i="2"/>
  <c r="V501" i="2"/>
  <c r="W501" i="2"/>
  <c r="X501" i="2"/>
  <c r="Y501" i="2"/>
  <c r="A502" i="2"/>
  <c r="B502" i="2"/>
  <c r="C502" i="2"/>
  <c r="D502" i="2"/>
  <c r="E502" i="2"/>
  <c r="F502" i="2"/>
  <c r="G502" i="2"/>
  <c r="H502" i="2"/>
  <c r="I502" i="2"/>
  <c r="J502" i="2"/>
  <c r="K502" i="2"/>
  <c r="L502" i="2"/>
  <c r="M502" i="2"/>
  <c r="N502" i="2"/>
  <c r="O502" i="2"/>
  <c r="P502" i="2"/>
  <c r="Q502" i="2"/>
  <c r="R502" i="2"/>
  <c r="S502" i="2"/>
  <c r="T502" i="2"/>
  <c r="U502" i="2"/>
  <c r="V502" i="2"/>
  <c r="W502" i="2"/>
  <c r="X502" i="2"/>
  <c r="Y502" i="2"/>
  <c r="B503" i="2"/>
  <c r="C503" i="2"/>
  <c r="D503" i="2"/>
  <c r="E503" i="2"/>
  <c r="F503" i="2"/>
  <c r="G503" i="2"/>
  <c r="H503" i="2"/>
  <c r="I503" i="2"/>
  <c r="J503" i="2"/>
  <c r="K503" i="2"/>
  <c r="L503" i="2"/>
  <c r="M503" i="2"/>
  <c r="N503" i="2"/>
  <c r="O503" i="2"/>
  <c r="P503" i="2"/>
  <c r="Q503" i="2"/>
  <c r="R503" i="2"/>
  <c r="S503" i="2"/>
  <c r="T503" i="2"/>
  <c r="U503" i="2"/>
  <c r="V503" i="2"/>
  <c r="W503" i="2"/>
  <c r="X503" i="2"/>
  <c r="Y503" i="2"/>
  <c r="B504" i="2"/>
  <c r="C504" i="2"/>
  <c r="D504" i="2"/>
  <c r="E504" i="2"/>
  <c r="F504" i="2"/>
  <c r="G504" i="2"/>
  <c r="H504" i="2"/>
  <c r="I504" i="2"/>
  <c r="J504" i="2"/>
  <c r="K504" i="2"/>
  <c r="L504" i="2"/>
  <c r="M504" i="2"/>
  <c r="N504" i="2"/>
  <c r="O504" i="2"/>
  <c r="P504" i="2"/>
  <c r="Q504" i="2"/>
  <c r="R504" i="2"/>
  <c r="S504" i="2"/>
  <c r="T504" i="2"/>
  <c r="U504" i="2"/>
  <c r="V504" i="2"/>
  <c r="W504" i="2"/>
  <c r="X504" i="2"/>
  <c r="Y504" i="2"/>
  <c r="A505" i="2"/>
  <c r="B505" i="2"/>
  <c r="C505" i="2"/>
  <c r="D505" i="2"/>
  <c r="E505" i="2"/>
  <c r="F505" i="2"/>
  <c r="G505" i="2"/>
  <c r="H505" i="2"/>
  <c r="I505" i="2"/>
  <c r="J505" i="2"/>
  <c r="K505" i="2"/>
  <c r="L505" i="2"/>
  <c r="M505" i="2"/>
  <c r="N505" i="2"/>
  <c r="O505" i="2"/>
  <c r="P505" i="2"/>
  <c r="Q505" i="2"/>
  <c r="R505" i="2"/>
  <c r="S505" i="2"/>
  <c r="T505" i="2"/>
  <c r="U505" i="2"/>
  <c r="V505" i="2"/>
  <c r="W505" i="2"/>
  <c r="X505" i="2"/>
  <c r="Y505" i="2"/>
  <c r="A506" i="2"/>
  <c r="B506" i="2"/>
  <c r="C506" i="2"/>
  <c r="D506" i="2"/>
  <c r="E506" i="2"/>
  <c r="F506" i="2"/>
  <c r="G506" i="2"/>
  <c r="H506" i="2"/>
  <c r="I506" i="2"/>
  <c r="J506" i="2"/>
  <c r="K506" i="2"/>
  <c r="L506" i="2"/>
  <c r="M506" i="2"/>
  <c r="N506" i="2"/>
  <c r="O506" i="2"/>
  <c r="P506" i="2"/>
  <c r="Q506" i="2"/>
  <c r="R506" i="2"/>
  <c r="S506" i="2"/>
  <c r="T506" i="2"/>
  <c r="U506" i="2"/>
  <c r="V506" i="2"/>
  <c r="W506" i="2"/>
  <c r="X506" i="2"/>
  <c r="Y506" i="2"/>
  <c r="A507" i="2"/>
  <c r="B507" i="2"/>
  <c r="C507" i="2"/>
  <c r="D507" i="2"/>
  <c r="E507" i="2"/>
  <c r="F507" i="2"/>
  <c r="G507" i="2"/>
  <c r="H507" i="2"/>
  <c r="I507" i="2"/>
  <c r="J507" i="2"/>
  <c r="K507" i="2"/>
  <c r="L507" i="2"/>
  <c r="M507" i="2"/>
  <c r="N507" i="2"/>
  <c r="O507" i="2"/>
  <c r="P507" i="2"/>
  <c r="Q507" i="2"/>
  <c r="R507" i="2"/>
  <c r="S507" i="2"/>
  <c r="T507" i="2"/>
  <c r="U507" i="2"/>
  <c r="V507" i="2"/>
  <c r="W507" i="2"/>
  <c r="X507" i="2"/>
  <c r="Y507" i="2"/>
  <c r="A508" i="2"/>
  <c r="B508" i="2"/>
  <c r="C508" i="2"/>
  <c r="D508" i="2"/>
  <c r="E508" i="2"/>
  <c r="F508" i="2"/>
  <c r="G508" i="2"/>
  <c r="H508" i="2"/>
  <c r="I508" i="2"/>
  <c r="J508" i="2"/>
  <c r="K508" i="2"/>
  <c r="L508" i="2"/>
  <c r="M508" i="2"/>
  <c r="N508" i="2"/>
  <c r="O508" i="2"/>
  <c r="P508" i="2"/>
  <c r="Q508" i="2"/>
  <c r="R508" i="2"/>
  <c r="S508" i="2"/>
  <c r="T508" i="2"/>
  <c r="U508" i="2"/>
  <c r="V508" i="2"/>
  <c r="W508" i="2"/>
  <c r="X508" i="2"/>
  <c r="Y508" i="2"/>
  <c r="A509" i="2"/>
  <c r="B509" i="2"/>
  <c r="C509" i="2"/>
  <c r="D509" i="2"/>
  <c r="E509" i="2"/>
  <c r="F509" i="2"/>
  <c r="G509" i="2"/>
  <c r="H509" i="2"/>
  <c r="I509" i="2"/>
  <c r="J509" i="2"/>
  <c r="K509" i="2"/>
  <c r="L509" i="2"/>
  <c r="M509" i="2"/>
  <c r="N509" i="2"/>
  <c r="O509" i="2"/>
  <c r="P509" i="2"/>
  <c r="Q509" i="2"/>
  <c r="R509" i="2"/>
  <c r="S509" i="2"/>
  <c r="T509" i="2"/>
  <c r="U509" i="2"/>
  <c r="V509" i="2"/>
  <c r="W509" i="2"/>
  <c r="X509" i="2"/>
  <c r="Y509" i="2"/>
  <c r="A510" i="2"/>
  <c r="B510" i="2"/>
  <c r="C510" i="2"/>
  <c r="D510" i="2"/>
  <c r="E510" i="2"/>
  <c r="F510" i="2"/>
  <c r="G510" i="2"/>
  <c r="H510" i="2"/>
  <c r="I510" i="2"/>
  <c r="J510" i="2"/>
  <c r="K510" i="2"/>
  <c r="L510" i="2"/>
  <c r="M510" i="2"/>
  <c r="N510" i="2"/>
  <c r="O510" i="2"/>
  <c r="P510" i="2"/>
  <c r="Q510" i="2"/>
  <c r="R510" i="2"/>
  <c r="S510" i="2"/>
  <c r="T510" i="2"/>
  <c r="U510" i="2"/>
  <c r="V510" i="2"/>
  <c r="W510" i="2"/>
  <c r="X510" i="2"/>
  <c r="Y510" i="2"/>
  <c r="A511" i="2"/>
  <c r="B511" i="2"/>
  <c r="C511" i="2"/>
  <c r="D511" i="2"/>
  <c r="E511" i="2"/>
  <c r="F511" i="2"/>
  <c r="G511" i="2"/>
  <c r="H511" i="2"/>
  <c r="I511" i="2"/>
  <c r="J511" i="2"/>
  <c r="K511" i="2"/>
  <c r="L511" i="2"/>
  <c r="M511" i="2"/>
  <c r="N511" i="2"/>
  <c r="O511" i="2"/>
  <c r="P511" i="2"/>
  <c r="Q511" i="2"/>
  <c r="R511" i="2"/>
  <c r="S511" i="2"/>
  <c r="T511" i="2"/>
  <c r="U511" i="2"/>
  <c r="V511" i="2"/>
  <c r="W511" i="2"/>
  <c r="X511" i="2"/>
  <c r="Y511" i="2"/>
  <c r="A512" i="2"/>
  <c r="B512" i="2"/>
  <c r="C512" i="2"/>
  <c r="D512" i="2"/>
  <c r="E512" i="2"/>
  <c r="F512" i="2"/>
  <c r="G512" i="2"/>
  <c r="H512" i="2"/>
  <c r="I512" i="2"/>
  <c r="J512" i="2"/>
  <c r="K512" i="2"/>
  <c r="L512" i="2"/>
  <c r="M512" i="2"/>
  <c r="N512" i="2"/>
  <c r="O512" i="2"/>
  <c r="P512" i="2"/>
  <c r="Q512" i="2"/>
  <c r="R512" i="2"/>
  <c r="S512" i="2"/>
  <c r="T512" i="2"/>
  <c r="U512" i="2"/>
  <c r="V512" i="2"/>
  <c r="W512" i="2"/>
  <c r="X512" i="2"/>
  <c r="Y512" i="2"/>
  <c r="A513" i="2"/>
  <c r="B513" i="2"/>
  <c r="C513" i="2"/>
  <c r="D513" i="2"/>
  <c r="E513" i="2"/>
  <c r="F513" i="2"/>
  <c r="G513" i="2"/>
  <c r="H513" i="2"/>
  <c r="I513" i="2"/>
  <c r="J513" i="2"/>
  <c r="K513" i="2"/>
  <c r="L513" i="2"/>
  <c r="M513" i="2"/>
  <c r="N513" i="2"/>
  <c r="O513" i="2"/>
  <c r="P513" i="2"/>
  <c r="Q513" i="2"/>
  <c r="R513" i="2"/>
  <c r="S513" i="2"/>
  <c r="T513" i="2"/>
  <c r="U513" i="2"/>
  <c r="V513" i="2"/>
  <c r="W513" i="2"/>
  <c r="X513" i="2"/>
  <c r="Y513" i="2"/>
  <c r="A514" i="2"/>
  <c r="B514" i="2"/>
  <c r="C514" i="2"/>
  <c r="D514" i="2"/>
  <c r="E514" i="2"/>
  <c r="F514" i="2"/>
  <c r="G514" i="2"/>
  <c r="H514" i="2"/>
  <c r="I514" i="2"/>
  <c r="J514" i="2"/>
  <c r="K514" i="2"/>
  <c r="L514" i="2"/>
  <c r="M514" i="2"/>
  <c r="N514" i="2"/>
  <c r="O514" i="2"/>
  <c r="P514" i="2"/>
  <c r="Q514" i="2"/>
  <c r="R514" i="2"/>
  <c r="S514" i="2"/>
  <c r="T514" i="2"/>
  <c r="U514" i="2"/>
  <c r="V514" i="2"/>
  <c r="W514" i="2"/>
  <c r="X514" i="2"/>
  <c r="Y514" i="2"/>
  <c r="A515" i="2"/>
  <c r="B515" i="2"/>
  <c r="C515" i="2"/>
  <c r="D515" i="2"/>
  <c r="E515" i="2"/>
  <c r="F515" i="2"/>
  <c r="G515" i="2"/>
  <c r="H515" i="2"/>
  <c r="I515" i="2"/>
  <c r="J515" i="2"/>
  <c r="K515" i="2"/>
  <c r="L515" i="2"/>
  <c r="M515" i="2"/>
  <c r="N515" i="2"/>
  <c r="O515" i="2"/>
  <c r="P515" i="2"/>
  <c r="Q515" i="2"/>
  <c r="R515" i="2"/>
  <c r="S515" i="2"/>
  <c r="T515" i="2"/>
  <c r="U515" i="2"/>
  <c r="V515" i="2"/>
  <c r="W515" i="2"/>
  <c r="X515" i="2"/>
  <c r="Y515" i="2"/>
  <c r="B516" i="2"/>
  <c r="C516" i="2"/>
  <c r="D516" i="2"/>
  <c r="E516" i="2"/>
  <c r="F516" i="2"/>
  <c r="G516" i="2"/>
  <c r="H516" i="2"/>
  <c r="I516" i="2"/>
  <c r="J516" i="2"/>
  <c r="K516" i="2"/>
  <c r="L516" i="2"/>
  <c r="M516" i="2"/>
  <c r="N516" i="2"/>
  <c r="O516" i="2"/>
  <c r="P516" i="2"/>
  <c r="Q516" i="2"/>
  <c r="R516" i="2"/>
  <c r="S516" i="2"/>
  <c r="T516" i="2"/>
  <c r="U516" i="2"/>
  <c r="V516" i="2"/>
  <c r="W516" i="2"/>
  <c r="X516" i="2"/>
  <c r="Y516" i="2"/>
  <c r="A517" i="2"/>
  <c r="B517" i="2"/>
  <c r="C517" i="2"/>
  <c r="D517" i="2"/>
  <c r="E517" i="2"/>
  <c r="F517" i="2"/>
  <c r="G517" i="2"/>
  <c r="H517" i="2"/>
  <c r="I517" i="2"/>
  <c r="J517" i="2"/>
  <c r="K517" i="2"/>
  <c r="L517" i="2"/>
  <c r="M517" i="2"/>
  <c r="N517" i="2"/>
  <c r="O517" i="2"/>
  <c r="P517" i="2"/>
  <c r="Q517" i="2"/>
  <c r="R517" i="2"/>
  <c r="S517" i="2"/>
  <c r="T517" i="2"/>
  <c r="U517" i="2"/>
  <c r="V517" i="2"/>
  <c r="W517" i="2"/>
  <c r="X517" i="2"/>
  <c r="Y517" i="2"/>
  <c r="B518" i="2"/>
  <c r="C518" i="2"/>
  <c r="D518" i="2"/>
  <c r="E518" i="2"/>
  <c r="F518" i="2"/>
  <c r="G518" i="2"/>
  <c r="H518" i="2"/>
  <c r="I518" i="2"/>
  <c r="J518" i="2"/>
  <c r="K518" i="2"/>
  <c r="L518" i="2"/>
  <c r="M518" i="2"/>
  <c r="N518" i="2"/>
  <c r="O518" i="2"/>
  <c r="P518" i="2"/>
  <c r="Q518" i="2"/>
  <c r="R518" i="2"/>
  <c r="S518" i="2"/>
  <c r="T518" i="2"/>
  <c r="U518" i="2"/>
  <c r="V518" i="2"/>
  <c r="W518" i="2"/>
  <c r="X518" i="2"/>
  <c r="Y518" i="2"/>
  <c r="B519" i="2"/>
  <c r="C519" i="2"/>
  <c r="D519" i="2"/>
  <c r="E519" i="2"/>
  <c r="F519" i="2"/>
  <c r="G519" i="2"/>
  <c r="H519" i="2"/>
  <c r="I519" i="2"/>
  <c r="J519" i="2"/>
  <c r="K519" i="2"/>
  <c r="L519" i="2"/>
  <c r="M519" i="2"/>
  <c r="N519" i="2"/>
  <c r="O519" i="2"/>
  <c r="P519" i="2"/>
  <c r="Q519" i="2"/>
  <c r="R519" i="2"/>
  <c r="S519" i="2"/>
  <c r="T519" i="2"/>
  <c r="U519" i="2"/>
  <c r="V519" i="2"/>
  <c r="W519" i="2"/>
  <c r="X519" i="2"/>
  <c r="Y519" i="2"/>
  <c r="A520" i="2"/>
  <c r="B520" i="2"/>
  <c r="C520" i="2"/>
  <c r="D520" i="2"/>
  <c r="E520" i="2"/>
  <c r="F520" i="2"/>
  <c r="G520" i="2"/>
  <c r="H520" i="2"/>
  <c r="I520" i="2"/>
  <c r="J520" i="2"/>
  <c r="K520" i="2"/>
  <c r="L520" i="2"/>
  <c r="M520" i="2"/>
  <c r="N520" i="2"/>
  <c r="O520" i="2"/>
  <c r="P520" i="2"/>
  <c r="Q520" i="2"/>
  <c r="R520" i="2"/>
  <c r="S520" i="2"/>
  <c r="T520" i="2"/>
  <c r="U520" i="2"/>
  <c r="V520" i="2"/>
  <c r="W520" i="2"/>
  <c r="X520" i="2"/>
  <c r="Y520" i="2"/>
  <c r="A521" i="2"/>
  <c r="B521" i="2"/>
  <c r="C521" i="2"/>
  <c r="D521" i="2"/>
  <c r="E521" i="2"/>
  <c r="F521" i="2"/>
  <c r="G521" i="2"/>
  <c r="H521" i="2"/>
  <c r="I521" i="2"/>
  <c r="J521" i="2"/>
  <c r="K521" i="2"/>
  <c r="L521" i="2"/>
  <c r="M521" i="2"/>
  <c r="N521" i="2"/>
  <c r="O521" i="2"/>
  <c r="P521" i="2"/>
  <c r="Q521" i="2"/>
  <c r="R521" i="2"/>
  <c r="S521" i="2"/>
  <c r="T521" i="2"/>
  <c r="U521" i="2"/>
  <c r="V521" i="2"/>
  <c r="W521" i="2"/>
  <c r="X521" i="2"/>
  <c r="Y521" i="2"/>
  <c r="A522" i="2"/>
  <c r="B522" i="2"/>
  <c r="C522" i="2"/>
  <c r="D522" i="2"/>
  <c r="E522" i="2"/>
  <c r="F522" i="2"/>
  <c r="G522" i="2"/>
  <c r="H522" i="2"/>
  <c r="I522" i="2"/>
  <c r="J522" i="2"/>
  <c r="K522" i="2"/>
  <c r="L522" i="2"/>
  <c r="M522" i="2"/>
  <c r="N522" i="2"/>
  <c r="O522" i="2"/>
  <c r="P522" i="2"/>
  <c r="Q522" i="2"/>
  <c r="R522" i="2"/>
  <c r="S522" i="2"/>
  <c r="T522" i="2"/>
  <c r="U522" i="2"/>
  <c r="V522" i="2"/>
  <c r="W522" i="2"/>
  <c r="X522" i="2"/>
  <c r="Y522" i="2"/>
  <c r="A523" i="2"/>
  <c r="B523" i="2"/>
  <c r="C523" i="2"/>
  <c r="D523" i="2"/>
  <c r="E523" i="2"/>
  <c r="F523" i="2"/>
  <c r="G523" i="2"/>
  <c r="H523" i="2"/>
  <c r="I523" i="2"/>
  <c r="J523" i="2"/>
  <c r="K523" i="2"/>
  <c r="L523" i="2"/>
  <c r="M523" i="2"/>
  <c r="N523" i="2"/>
  <c r="O523" i="2"/>
  <c r="P523" i="2"/>
  <c r="Q523" i="2"/>
  <c r="R523" i="2"/>
  <c r="S523" i="2"/>
  <c r="T523" i="2"/>
  <c r="U523" i="2"/>
  <c r="V523" i="2"/>
  <c r="W523" i="2"/>
  <c r="X523" i="2"/>
  <c r="Y523" i="2"/>
  <c r="B524" i="2"/>
  <c r="C524" i="2"/>
  <c r="D524" i="2"/>
  <c r="E524" i="2"/>
  <c r="F524" i="2"/>
  <c r="G524" i="2"/>
  <c r="H524" i="2"/>
  <c r="I524" i="2"/>
  <c r="J524" i="2"/>
  <c r="K524" i="2"/>
  <c r="L524" i="2"/>
  <c r="M524" i="2"/>
  <c r="N524" i="2"/>
  <c r="O524" i="2"/>
  <c r="P524" i="2"/>
  <c r="Q524" i="2"/>
  <c r="R524" i="2"/>
  <c r="S524" i="2"/>
  <c r="T524" i="2"/>
  <c r="U524" i="2"/>
  <c r="V524" i="2"/>
  <c r="W524" i="2"/>
  <c r="X524" i="2"/>
  <c r="Y524" i="2"/>
  <c r="A525" i="2"/>
  <c r="B525" i="2"/>
  <c r="C525" i="2"/>
  <c r="D525" i="2"/>
  <c r="E525" i="2"/>
  <c r="F525" i="2"/>
  <c r="G525" i="2"/>
  <c r="H525" i="2"/>
  <c r="I525" i="2"/>
  <c r="J525" i="2"/>
  <c r="K525" i="2"/>
  <c r="L525" i="2"/>
  <c r="M525" i="2"/>
  <c r="N525" i="2"/>
  <c r="O525" i="2"/>
  <c r="P525" i="2"/>
  <c r="Q525" i="2"/>
  <c r="R525" i="2"/>
  <c r="S525" i="2"/>
  <c r="T525" i="2"/>
  <c r="U525" i="2"/>
  <c r="V525" i="2"/>
  <c r="W525" i="2"/>
  <c r="X525" i="2"/>
  <c r="Y525" i="2"/>
  <c r="A526" i="2"/>
  <c r="B526" i="2"/>
  <c r="C526" i="2"/>
  <c r="D526" i="2"/>
  <c r="E526" i="2"/>
  <c r="F526" i="2"/>
  <c r="G526" i="2"/>
  <c r="H526" i="2"/>
  <c r="I526" i="2"/>
  <c r="J526" i="2"/>
  <c r="K526" i="2"/>
  <c r="L526" i="2"/>
  <c r="M526" i="2"/>
  <c r="N526" i="2"/>
  <c r="O526" i="2"/>
  <c r="P526" i="2"/>
  <c r="Q526" i="2"/>
  <c r="R526" i="2"/>
  <c r="S526" i="2"/>
  <c r="T526" i="2"/>
  <c r="U526" i="2"/>
  <c r="V526" i="2"/>
  <c r="W526" i="2"/>
  <c r="X526" i="2"/>
  <c r="Y526" i="2"/>
  <c r="A527" i="2"/>
  <c r="B527" i="2"/>
  <c r="C527" i="2"/>
  <c r="D527" i="2"/>
  <c r="E527" i="2"/>
  <c r="F527" i="2"/>
  <c r="G527" i="2"/>
  <c r="H527" i="2"/>
  <c r="I527" i="2"/>
  <c r="J527" i="2"/>
  <c r="K527" i="2"/>
  <c r="L527" i="2"/>
  <c r="M527" i="2"/>
  <c r="N527" i="2"/>
  <c r="O527" i="2"/>
  <c r="P527" i="2"/>
  <c r="Q527" i="2"/>
  <c r="R527" i="2"/>
  <c r="S527" i="2"/>
  <c r="T527" i="2"/>
  <c r="U527" i="2"/>
  <c r="V527" i="2"/>
  <c r="W527" i="2"/>
  <c r="X527" i="2"/>
  <c r="Y527" i="2"/>
  <c r="A528" i="2"/>
  <c r="B528" i="2"/>
  <c r="C528" i="2"/>
  <c r="D528" i="2"/>
  <c r="E528" i="2"/>
  <c r="F528" i="2"/>
  <c r="G528" i="2"/>
  <c r="H528" i="2"/>
  <c r="I528" i="2"/>
  <c r="J528" i="2"/>
  <c r="K528" i="2"/>
  <c r="L528" i="2"/>
  <c r="M528" i="2"/>
  <c r="N528" i="2"/>
  <c r="O528" i="2"/>
  <c r="P528" i="2"/>
  <c r="Q528" i="2"/>
  <c r="R528" i="2"/>
  <c r="S528" i="2"/>
  <c r="T528" i="2"/>
  <c r="U528" i="2"/>
  <c r="V528" i="2"/>
  <c r="W528" i="2"/>
  <c r="X528" i="2"/>
  <c r="Y528" i="2"/>
  <c r="A529" i="2"/>
  <c r="B529" i="2"/>
  <c r="C529" i="2"/>
  <c r="D529" i="2"/>
  <c r="E529" i="2"/>
  <c r="F529" i="2"/>
  <c r="G529" i="2"/>
  <c r="H529" i="2"/>
  <c r="I529" i="2"/>
  <c r="J529" i="2"/>
  <c r="K529" i="2"/>
  <c r="L529" i="2"/>
  <c r="M529" i="2"/>
  <c r="N529" i="2"/>
  <c r="O529" i="2"/>
  <c r="P529" i="2"/>
  <c r="Q529" i="2"/>
  <c r="R529" i="2"/>
  <c r="S529" i="2"/>
  <c r="T529" i="2"/>
  <c r="U529" i="2"/>
  <c r="V529" i="2"/>
  <c r="W529" i="2"/>
  <c r="X529" i="2"/>
  <c r="Y529" i="2"/>
  <c r="A530" i="2"/>
  <c r="B530" i="2"/>
  <c r="C530" i="2"/>
  <c r="D530" i="2"/>
  <c r="E530" i="2"/>
  <c r="F530" i="2"/>
  <c r="G530" i="2"/>
  <c r="H530" i="2"/>
  <c r="I530" i="2"/>
  <c r="J530" i="2"/>
  <c r="K530" i="2"/>
  <c r="L530" i="2"/>
  <c r="M530" i="2"/>
  <c r="N530" i="2"/>
  <c r="O530" i="2"/>
  <c r="P530" i="2"/>
  <c r="Q530" i="2"/>
  <c r="R530" i="2"/>
  <c r="S530" i="2"/>
  <c r="T530" i="2"/>
  <c r="U530" i="2"/>
  <c r="V530" i="2"/>
  <c r="W530" i="2"/>
  <c r="X530" i="2"/>
  <c r="Y530" i="2"/>
  <c r="A531" i="2"/>
  <c r="B531" i="2"/>
  <c r="C531" i="2"/>
  <c r="D531" i="2"/>
  <c r="E531" i="2"/>
  <c r="F531" i="2"/>
  <c r="G531" i="2"/>
  <c r="H531" i="2"/>
  <c r="I531" i="2"/>
  <c r="J531" i="2"/>
  <c r="K531" i="2"/>
  <c r="L531" i="2"/>
  <c r="M531" i="2"/>
  <c r="N531" i="2"/>
  <c r="O531" i="2"/>
  <c r="P531" i="2"/>
  <c r="Q531" i="2"/>
  <c r="R531" i="2"/>
  <c r="S531" i="2"/>
  <c r="T531" i="2"/>
  <c r="U531" i="2"/>
  <c r="V531" i="2"/>
  <c r="W531" i="2"/>
  <c r="X531" i="2"/>
  <c r="Y531" i="2"/>
  <c r="B532" i="2"/>
  <c r="C532" i="2"/>
  <c r="D532" i="2"/>
  <c r="E532" i="2"/>
  <c r="F532" i="2"/>
  <c r="G532" i="2"/>
  <c r="H532" i="2"/>
  <c r="I532" i="2"/>
  <c r="J532" i="2"/>
  <c r="K532" i="2"/>
  <c r="L532" i="2"/>
  <c r="M532" i="2"/>
  <c r="N532" i="2"/>
  <c r="O532" i="2"/>
  <c r="P532" i="2"/>
  <c r="Q532" i="2"/>
  <c r="R532" i="2"/>
  <c r="S532" i="2"/>
  <c r="T532" i="2"/>
  <c r="U532" i="2"/>
  <c r="V532" i="2"/>
  <c r="W532" i="2"/>
  <c r="X532" i="2"/>
  <c r="Y532" i="2"/>
  <c r="A533" i="2"/>
  <c r="B533" i="2"/>
  <c r="C533" i="2"/>
  <c r="D533" i="2"/>
  <c r="E533" i="2"/>
  <c r="F533" i="2"/>
  <c r="G533" i="2"/>
  <c r="H533" i="2"/>
  <c r="I533" i="2"/>
  <c r="J533" i="2"/>
  <c r="K533" i="2"/>
  <c r="L533" i="2"/>
  <c r="M533" i="2"/>
  <c r="N533" i="2"/>
  <c r="O533" i="2"/>
  <c r="P533" i="2"/>
  <c r="Q533" i="2"/>
  <c r="R533" i="2"/>
  <c r="S533" i="2"/>
  <c r="T533" i="2"/>
  <c r="U533" i="2"/>
  <c r="V533" i="2"/>
  <c r="W533" i="2"/>
  <c r="X533" i="2"/>
  <c r="Y533" i="2"/>
  <c r="B534" i="2"/>
  <c r="C534" i="2"/>
  <c r="D534" i="2"/>
  <c r="E534" i="2"/>
  <c r="F534" i="2"/>
  <c r="G534" i="2"/>
  <c r="H534" i="2"/>
  <c r="I534" i="2"/>
  <c r="J534" i="2"/>
  <c r="K534" i="2"/>
  <c r="L534" i="2"/>
  <c r="M534" i="2"/>
  <c r="N534" i="2"/>
  <c r="O534" i="2"/>
  <c r="P534" i="2"/>
  <c r="Q534" i="2"/>
  <c r="R534" i="2"/>
  <c r="S534" i="2"/>
  <c r="T534" i="2"/>
  <c r="U534" i="2"/>
  <c r="V534" i="2"/>
  <c r="W534" i="2"/>
  <c r="X534" i="2"/>
  <c r="Y534" i="2"/>
  <c r="B535" i="2"/>
  <c r="C535" i="2"/>
  <c r="D535" i="2"/>
  <c r="E535" i="2"/>
  <c r="F535" i="2"/>
  <c r="G535" i="2"/>
  <c r="H535" i="2"/>
  <c r="I535" i="2"/>
  <c r="J535" i="2"/>
  <c r="K535" i="2"/>
  <c r="L535" i="2"/>
  <c r="M535" i="2"/>
  <c r="N535" i="2"/>
  <c r="O535" i="2"/>
  <c r="P535" i="2"/>
  <c r="Q535" i="2"/>
  <c r="R535" i="2"/>
  <c r="S535" i="2"/>
  <c r="T535" i="2"/>
  <c r="U535" i="2"/>
  <c r="V535" i="2"/>
  <c r="W535" i="2"/>
  <c r="X535" i="2"/>
  <c r="Y535" i="2"/>
  <c r="B536" i="2"/>
  <c r="C536" i="2"/>
  <c r="D536" i="2"/>
  <c r="E536" i="2"/>
  <c r="F536" i="2"/>
  <c r="G536" i="2"/>
  <c r="H536" i="2"/>
  <c r="I536" i="2"/>
  <c r="J536" i="2"/>
  <c r="K536" i="2"/>
  <c r="L536" i="2"/>
  <c r="M536" i="2"/>
  <c r="N536" i="2"/>
  <c r="O536" i="2"/>
  <c r="P536" i="2"/>
  <c r="Q536" i="2"/>
  <c r="R536" i="2"/>
  <c r="S536" i="2"/>
  <c r="T536" i="2"/>
  <c r="U536" i="2"/>
  <c r="V536" i="2"/>
  <c r="W536" i="2"/>
  <c r="X536" i="2"/>
  <c r="Y536" i="2"/>
  <c r="A537" i="2"/>
  <c r="B537" i="2"/>
  <c r="C537" i="2"/>
  <c r="D537" i="2"/>
  <c r="E537" i="2"/>
  <c r="F537" i="2"/>
  <c r="G537" i="2"/>
  <c r="H537" i="2"/>
  <c r="I537" i="2"/>
  <c r="J537" i="2"/>
  <c r="K537" i="2"/>
  <c r="L537" i="2"/>
  <c r="M537" i="2"/>
  <c r="N537" i="2"/>
  <c r="O537" i="2"/>
  <c r="P537" i="2"/>
  <c r="Q537" i="2"/>
  <c r="R537" i="2"/>
  <c r="S537" i="2"/>
  <c r="T537" i="2"/>
  <c r="U537" i="2"/>
  <c r="V537" i="2"/>
  <c r="W537" i="2"/>
  <c r="X537" i="2"/>
  <c r="Y537" i="2"/>
  <c r="A538" i="2"/>
  <c r="B538" i="2"/>
  <c r="C538" i="2"/>
  <c r="D538" i="2"/>
  <c r="E538" i="2"/>
  <c r="F538" i="2"/>
  <c r="G538" i="2"/>
  <c r="H538" i="2"/>
  <c r="I538" i="2"/>
  <c r="J538" i="2"/>
  <c r="K538" i="2"/>
  <c r="L538" i="2"/>
  <c r="M538" i="2"/>
  <c r="N538" i="2"/>
  <c r="O538" i="2"/>
  <c r="P538" i="2"/>
  <c r="Q538" i="2"/>
  <c r="R538" i="2"/>
  <c r="S538" i="2"/>
  <c r="T538" i="2"/>
  <c r="U538" i="2"/>
  <c r="V538" i="2"/>
  <c r="W538" i="2"/>
  <c r="X538" i="2"/>
  <c r="Y538" i="2"/>
  <c r="A539" i="2"/>
  <c r="B539" i="2"/>
  <c r="C539" i="2"/>
  <c r="D539" i="2"/>
  <c r="E539" i="2"/>
  <c r="F539" i="2"/>
  <c r="G539" i="2"/>
  <c r="H539" i="2"/>
  <c r="I539" i="2"/>
  <c r="J539" i="2"/>
  <c r="K539" i="2"/>
  <c r="L539" i="2"/>
  <c r="M539" i="2"/>
  <c r="N539" i="2"/>
  <c r="O539" i="2"/>
  <c r="P539" i="2"/>
  <c r="Q539" i="2"/>
  <c r="R539" i="2"/>
  <c r="S539" i="2"/>
  <c r="T539" i="2"/>
  <c r="U539" i="2"/>
  <c r="V539" i="2"/>
  <c r="W539" i="2"/>
  <c r="X539" i="2"/>
  <c r="Y539" i="2"/>
  <c r="A540" i="2"/>
  <c r="B540" i="2"/>
  <c r="C540" i="2"/>
  <c r="D540" i="2"/>
  <c r="E540" i="2"/>
  <c r="F540" i="2"/>
  <c r="G540" i="2"/>
  <c r="H540" i="2"/>
  <c r="I540" i="2"/>
  <c r="J540" i="2"/>
  <c r="K540" i="2"/>
  <c r="L540" i="2"/>
  <c r="M540" i="2"/>
  <c r="N540" i="2"/>
  <c r="O540" i="2"/>
  <c r="P540" i="2"/>
  <c r="Q540" i="2"/>
  <c r="R540" i="2"/>
  <c r="S540" i="2"/>
  <c r="T540" i="2"/>
  <c r="U540" i="2"/>
  <c r="V540" i="2"/>
  <c r="W540" i="2"/>
  <c r="X540" i="2"/>
  <c r="Y540" i="2"/>
  <c r="A541" i="2"/>
  <c r="B541" i="2"/>
  <c r="C541" i="2"/>
  <c r="D541" i="2"/>
  <c r="E541" i="2"/>
  <c r="F541" i="2"/>
  <c r="G541" i="2"/>
  <c r="H541" i="2"/>
  <c r="I541" i="2"/>
  <c r="J541" i="2"/>
  <c r="K541" i="2"/>
  <c r="L541" i="2"/>
  <c r="M541" i="2"/>
  <c r="N541" i="2"/>
  <c r="O541" i="2"/>
  <c r="P541" i="2"/>
  <c r="Q541" i="2"/>
  <c r="R541" i="2"/>
  <c r="S541" i="2"/>
  <c r="T541" i="2"/>
  <c r="U541" i="2"/>
  <c r="V541" i="2"/>
  <c r="W541" i="2"/>
  <c r="X541" i="2"/>
  <c r="Y541" i="2"/>
  <c r="A542" i="2"/>
  <c r="B542" i="2"/>
  <c r="C542" i="2"/>
  <c r="D542" i="2"/>
  <c r="E542" i="2"/>
  <c r="F542" i="2"/>
  <c r="G542" i="2"/>
  <c r="H542" i="2"/>
  <c r="I542" i="2"/>
  <c r="J542" i="2"/>
  <c r="K542" i="2"/>
  <c r="L542" i="2"/>
  <c r="M542" i="2"/>
  <c r="N542" i="2"/>
  <c r="O542" i="2"/>
  <c r="P542" i="2"/>
  <c r="Q542" i="2"/>
  <c r="R542" i="2"/>
  <c r="S542" i="2"/>
  <c r="T542" i="2"/>
  <c r="U542" i="2"/>
  <c r="V542" i="2"/>
  <c r="W542" i="2"/>
  <c r="X542" i="2"/>
  <c r="Y542" i="2"/>
  <c r="A543" i="2"/>
  <c r="B543" i="2"/>
  <c r="C543" i="2"/>
  <c r="D543" i="2"/>
  <c r="E543" i="2"/>
  <c r="F543" i="2"/>
  <c r="G543" i="2"/>
  <c r="H543" i="2"/>
  <c r="I543" i="2"/>
  <c r="J543" i="2"/>
  <c r="K543" i="2"/>
  <c r="L543" i="2"/>
  <c r="M543" i="2"/>
  <c r="N543" i="2"/>
  <c r="O543" i="2"/>
  <c r="P543" i="2"/>
  <c r="Q543" i="2"/>
  <c r="R543" i="2"/>
  <c r="S543" i="2"/>
  <c r="T543" i="2"/>
  <c r="U543" i="2"/>
  <c r="V543" i="2"/>
  <c r="W543" i="2"/>
  <c r="X543" i="2"/>
  <c r="Y543" i="2"/>
  <c r="A544" i="2"/>
  <c r="B544" i="2"/>
  <c r="C544" i="2"/>
  <c r="D544" i="2"/>
  <c r="E544" i="2"/>
  <c r="F544" i="2"/>
  <c r="G544" i="2"/>
  <c r="H544" i="2"/>
  <c r="I544" i="2"/>
  <c r="J544" i="2"/>
  <c r="K544" i="2"/>
  <c r="L544" i="2"/>
  <c r="M544" i="2"/>
  <c r="N544" i="2"/>
  <c r="O544" i="2"/>
  <c r="P544" i="2"/>
  <c r="Q544" i="2"/>
  <c r="R544" i="2"/>
  <c r="S544" i="2"/>
  <c r="T544" i="2"/>
  <c r="U544" i="2"/>
  <c r="V544" i="2"/>
  <c r="W544" i="2"/>
  <c r="X544" i="2"/>
  <c r="Y544" i="2"/>
  <c r="A545" i="2"/>
  <c r="B545" i="2"/>
  <c r="C545" i="2"/>
  <c r="D545" i="2"/>
  <c r="E545" i="2"/>
  <c r="F545" i="2"/>
  <c r="G545" i="2"/>
  <c r="H545" i="2"/>
  <c r="I545" i="2"/>
  <c r="J545" i="2"/>
  <c r="K545" i="2"/>
  <c r="L545" i="2"/>
  <c r="M545" i="2"/>
  <c r="N545" i="2"/>
  <c r="O545" i="2"/>
  <c r="P545" i="2"/>
  <c r="Q545" i="2"/>
  <c r="R545" i="2"/>
  <c r="S545" i="2"/>
  <c r="T545" i="2"/>
  <c r="U545" i="2"/>
  <c r="V545" i="2"/>
  <c r="W545" i="2"/>
  <c r="X545" i="2"/>
  <c r="Y545" i="2"/>
  <c r="A546" i="2"/>
  <c r="B546" i="2"/>
  <c r="C546" i="2"/>
  <c r="D546" i="2"/>
  <c r="E546" i="2"/>
  <c r="F546" i="2"/>
  <c r="G546" i="2"/>
  <c r="H546" i="2"/>
  <c r="I546" i="2"/>
  <c r="J546" i="2"/>
  <c r="K546" i="2"/>
  <c r="L546" i="2"/>
  <c r="M546" i="2"/>
  <c r="N546" i="2"/>
  <c r="O546" i="2"/>
  <c r="P546" i="2"/>
  <c r="Q546" i="2"/>
  <c r="R546" i="2"/>
  <c r="S546" i="2"/>
  <c r="T546" i="2"/>
  <c r="U546" i="2"/>
  <c r="V546" i="2"/>
  <c r="W546" i="2"/>
  <c r="X546" i="2"/>
  <c r="Y546" i="2"/>
  <c r="A547" i="2"/>
  <c r="B547" i="2"/>
  <c r="C547" i="2"/>
  <c r="D547" i="2"/>
  <c r="E547" i="2"/>
  <c r="F547" i="2"/>
  <c r="G547" i="2"/>
  <c r="H547" i="2"/>
  <c r="I547" i="2"/>
  <c r="J547" i="2"/>
  <c r="K547" i="2"/>
  <c r="L547" i="2"/>
  <c r="M547" i="2"/>
  <c r="N547" i="2"/>
  <c r="O547" i="2"/>
  <c r="P547" i="2"/>
  <c r="Q547" i="2"/>
  <c r="R547" i="2"/>
  <c r="S547" i="2"/>
  <c r="T547" i="2"/>
  <c r="U547" i="2"/>
  <c r="V547" i="2"/>
  <c r="W547" i="2"/>
  <c r="X547" i="2"/>
  <c r="Y547" i="2"/>
  <c r="B548" i="2"/>
  <c r="C548" i="2"/>
  <c r="D548" i="2"/>
  <c r="E548" i="2"/>
  <c r="F548" i="2"/>
  <c r="G548" i="2"/>
  <c r="H548" i="2"/>
  <c r="I548" i="2"/>
  <c r="J548" i="2"/>
  <c r="K548" i="2"/>
  <c r="L548" i="2"/>
  <c r="M548" i="2"/>
  <c r="N548" i="2"/>
  <c r="O548" i="2"/>
  <c r="P548" i="2"/>
  <c r="Q548" i="2"/>
  <c r="R548" i="2"/>
  <c r="S548" i="2"/>
  <c r="T548" i="2"/>
  <c r="U548" i="2"/>
  <c r="V548" i="2"/>
  <c r="W548" i="2"/>
  <c r="X548" i="2"/>
  <c r="Y548" i="2"/>
  <c r="A549" i="2"/>
  <c r="B549" i="2"/>
  <c r="C549" i="2"/>
  <c r="D549" i="2"/>
  <c r="E549" i="2"/>
  <c r="F549" i="2"/>
  <c r="G549" i="2"/>
  <c r="H549" i="2"/>
  <c r="I549" i="2"/>
  <c r="J549" i="2"/>
  <c r="K549" i="2"/>
  <c r="L549" i="2"/>
  <c r="M549" i="2"/>
  <c r="N549" i="2"/>
  <c r="O549" i="2"/>
  <c r="P549" i="2"/>
  <c r="Q549" i="2"/>
  <c r="R549" i="2"/>
  <c r="S549" i="2"/>
  <c r="T549" i="2"/>
  <c r="U549" i="2"/>
  <c r="V549" i="2"/>
  <c r="W549" i="2"/>
  <c r="X549" i="2"/>
  <c r="Y549" i="2"/>
  <c r="A550" i="2"/>
  <c r="B550" i="2"/>
  <c r="C550" i="2"/>
  <c r="D550" i="2"/>
  <c r="E550" i="2"/>
  <c r="F550" i="2"/>
  <c r="G550" i="2"/>
  <c r="H550" i="2"/>
  <c r="I550" i="2"/>
  <c r="J550" i="2"/>
  <c r="K550" i="2"/>
  <c r="L550" i="2"/>
  <c r="M550" i="2"/>
  <c r="N550" i="2"/>
  <c r="O550" i="2"/>
  <c r="P550" i="2"/>
  <c r="Q550" i="2"/>
  <c r="R550" i="2"/>
  <c r="S550" i="2"/>
  <c r="T550" i="2"/>
  <c r="U550" i="2"/>
  <c r="V550" i="2"/>
  <c r="W550" i="2"/>
  <c r="X550" i="2"/>
  <c r="Y550" i="2"/>
  <c r="B551" i="2"/>
  <c r="C551" i="2"/>
  <c r="D551" i="2"/>
  <c r="E551" i="2"/>
  <c r="F551" i="2"/>
  <c r="G551" i="2"/>
  <c r="H551" i="2"/>
  <c r="I551" i="2"/>
  <c r="J551" i="2"/>
  <c r="K551" i="2"/>
  <c r="L551" i="2"/>
  <c r="M551" i="2"/>
  <c r="N551" i="2"/>
  <c r="O551" i="2"/>
  <c r="P551" i="2"/>
  <c r="Q551" i="2"/>
  <c r="R551" i="2"/>
  <c r="S551" i="2"/>
  <c r="T551" i="2"/>
  <c r="U551" i="2"/>
  <c r="V551" i="2"/>
  <c r="W551" i="2"/>
  <c r="X551" i="2"/>
  <c r="Y551" i="2"/>
  <c r="B552" i="2"/>
  <c r="C552" i="2"/>
  <c r="D552" i="2"/>
  <c r="E552" i="2"/>
  <c r="F552" i="2"/>
  <c r="G552" i="2"/>
  <c r="H552" i="2"/>
  <c r="I552" i="2"/>
  <c r="J552" i="2"/>
  <c r="K552" i="2"/>
  <c r="L552" i="2"/>
  <c r="M552" i="2"/>
  <c r="N552" i="2"/>
  <c r="O552" i="2"/>
  <c r="P552" i="2"/>
  <c r="Q552" i="2"/>
  <c r="R552" i="2"/>
  <c r="S552" i="2"/>
  <c r="T552" i="2"/>
  <c r="U552" i="2"/>
  <c r="V552" i="2"/>
  <c r="W552" i="2"/>
  <c r="X552" i="2"/>
  <c r="Y552" i="2"/>
  <c r="A553" i="2"/>
  <c r="B553" i="2"/>
  <c r="C553" i="2"/>
  <c r="D553" i="2"/>
  <c r="E553" i="2"/>
  <c r="F553" i="2"/>
  <c r="G553" i="2"/>
  <c r="H553" i="2"/>
  <c r="I553" i="2"/>
  <c r="J553" i="2"/>
  <c r="K553" i="2"/>
  <c r="L553" i="2"/>
  <c r="M553" i="2"/>
  <c r="N553" i="2"/>
  <c r="O553" i="2"/>
  <c r="P553" i="2"/>
  <c r="Q553" i="2"/>
  <c r="R553" i="2"/>
  <c r="S553" i="2"/>
  <c r="T553" i="2"/>
  <c r="U553" i="2"/>
  <c r="V553" i="2"/>
  <c r="W553" i="2"/>
  <c r="X553" i="2"/>
  <c r="Y553" i="2"/>
  <c r="A554" i="2"/>
  <c r="B554" i="2"/>
  <c r="C554" i="2"/>
  <c r="D554" i="2"/>
  <c r="E554" i="2"/>
  <c r="F554" i="2"/>
  <c r="G554" i="2"/>
  <c r="H554" i="2"/>
  <c r="I554" i="2"/>
  <c r="J554" i="2"/>
  <c r="K554" i="2"/>
  <c r="L554" i="2"/>
  <c r="M554" i="2"/>
  <c r="N554" i="2"/>
  <c r="O554" i="2"/>
  <c r="P554" i="2"/>
  <c r="Q554" i="2"/>
  <c r="R554" i="2"/>
  <c r="S554" i="2"/>
  <c r="T554" i="2"/>
  <c r="U554" i="2"/>
  <c r="V554" i="2"/>
  <c r="W554" i="2"/>
  <c r="X554" i="2"/>
  <c r="Y554" i="2"/>
  <c r="A555" i="2"/>
  <c r="B555" i="2"/>
  <c r="C555" i="2"/>
  <c r="D555" i="2"/>
  <c r="E555" i="2"/>
  <c r="F555" i="2"/>
  <c r="G555" i="2"/>
  <c r="H555" i="2"/>
  <c r="I555" i="2"/>
  <c r="J555" i="2"/>
  <c r="K555" i="2"/>
  <c r="L555" i="2"/>
  <c r="M555" i="2"/>
  <c r="N555" i="2"/>
  <c r="O555" i="2"/>
  <c r="P555" i="2"/>
  <c r="Q555" i="2"/>
  <c r="R555" i="2"/>
  <c r="S555" i="2"/>
  <c r="T555" i="2"/>
  <c r="U555" i="2"/>
  <c r="V555" i="2"/>
  <c r="W555" i="2"/>
  <c r="X555" i="2"/>
  <c r="Y555" i="2"/>
  <c r="A556" i="2"/>
  <c r="B556" i="2"/>
  <c r="C556" i="2"/>
  <c r="D556" i="2"/>
  <c r="E556" i="2"/>
  <c r="F556" i="2"/>
  <c r="G556" i="2"/>
  <c r="H556" i="2"/>
  <c r="I556" i="2"/>
  <c r="J556" i="2"/>
  <c r="K556" i="2"/>
  <c r="L556" i="2"/>
  <c r="M556" i="2"/>
  <c r="N556" i="2"/>
  <c r="O556" i="2"/>
  <c r="P556" i="2"/>
  <c r="Q556" i="2"/>
  <c r="R556" i="2"/>
  <c r="S556" i="2"/>
  <c r="T556" i="2"/>
  <c r="U556" i="2"/>
  <c r="V556" i="2"/>
  <c r="W556" i="2"/>
  <c r="X556" i="2"/>
  <c r="Y556" i="2"/>
  <c r="A557" i="2"/>
  <c r="B557" i="2"/>
  <c r="C557" i="2"/>
  <c r="D557" i="2"/>
  <c r="E557" i="2"/>
  <c r="F557" i="2"/>
  <c r="G557" i="2"/>
  <c r="H557" i="2"/>
  <c r="I557" i="2"/>
  <c r="J557" i="2"/>
  <c r="K557" i="2"/>
  <c r="L557" i="2"/>
  <c r="M557" i="2"/>
  <c r="N557" i="2"/>
  <c r="O557" i="2"/>
  <c r="P557" i="2"/>
  <c r="Q557" i="2"/>
  <c r="R557" i="2"/>
  <c r="S557" i="2"/>
  <c r="T557" i="2"/>
  <c r="U557" i="2"/>
  <c r="V557" i="2"/>
  <c r="W557" i="2"/>
  <c r="X557" i="2"/>
  <c r="Y557" i="2"/>
  <c r="A558" i="2"/>
  <c r="B558" i="2"/>
  <c r="C558" i="2"/>
  <c r="D558" i="2"/>
  <c r="E558" i="2"/>
  <c r="F558" i="2"/>
  <c r="G558" i="2"/>
  <c r="H558" i="2"/>
  <c r="I558" i="2"/>
  <c r="J558" i="2"/>
  <c r="K558" i="2"/>
  <c r="L558" i="2"/>
  <c r="M558" i="2"/>
  <c r="N558" i="2"/>
  <c r="O558" i="2"/>
  <c r="P558" i="2"/>
  <c r="Q558" i="2"/>
  <c r="R558" i="2"/>
  <c r="S558" i="2"/>
  <c r="T558" i="2"/>
  <c r="U558" i="2"/>
  <c r="V558" i="2"/>
  <c r="W558" i="2"/>
  <c r="X558" i="2"/>
  <c r="Y558" i="2"/>
  <c r="A559" i="2"/>
  <c r="B559" i="2"/>
  <c r="C559" i="2"/>
  <c r="D559" i="2"/>
  <c r="E559" i="2"/>
  <c r="F559" i="2"/>
  <c r="G559" i="2"/>
  <c r="H559" i="2"/>
  <c r="I559" i="2"/>
  <c r="J559" i="2"/>
  <c r="K559" i="2"/>
  <c r="L559" i="2"/>
  <c r="M559" i="2"/>
  <c r="N559" i="2"/>
  <c r="O559" i="2"/>
  <c r="P559" i="2"/>
  <c r="Q559" i="2"/>
  <c r="R559" i="2"/>
  <c r="S559" i="2"/>
  <c r="T559" i="2"/>
  <c r="U559" i="2"/>
  <c r="V559" i="2"/>
  <c r="W559" i="2"/>
  <c r="X559" i="2"/>
  <c r="Y559" i="2"/>
  <c r="A560" i="2"/>
  <c r="B560" i="2"/>
  <c r="C560" i="2"/>
  <c r="D560" i="2"/>
  <c r="E560" i="2"/>
  <c r="F560" i="2"/>
  <c r="G560" i="2"/>
  <c r="H560" i="2"/>
  <c r="I560" i="2"/>
  <c r="J560" i="2"/>
  <c r="K560" i="2"/>
  <c r="L560" i="2"/>
  <c r="M560" i="2"/>
  <c r="N560" i="2"/>
  <c r="O560" i="2"/>
  <c r="P560" i="2"/>
  <c r="Q560" i="2"/>
  <c r="R560" i="2"/>
  <c r="S560" i="2"/>
  <c r="T560" i="2"/>
  <c r="U560" i="2"/>
  <c r="V560" i="2"/>
  <c r="W560" i="2"/>
  <c r="X560" i="2"/>
  <c r="Y560" i="2"/>
  <c r="A561" i="2"/>
  <c r="B561" i="2"/>
  <c r="C561" i="2"/>
  <c r="D561" i="2"/>
  <c r="E561" i="2"/>
  <c r="F561" i="2"/>
  <c r="G561" i="2"/>
  <c r="H561" i="2"/>
  <c r="I561" i="2"/>
  <c r="J561" i="2"/>
  <c r="K561" i="2"/>
  <c r="L561" i="2"/>
  <c r="M561" i="2"/>
  <c r="N561" i="2"/>
  <c r="O561" i="2"/>
  <c r="P561" i="2"/>
  <c r="Q561" i="2"/>
  <c r="R561" i="2"/>
  <c r="S561" i="2"/>
  <c r="T561" i="2"/>
  <c r="U561" i="2"/>
  <c r="V561" i="2"/>
  <c r="W561" i="2"/>
  <c r="X561" i="2"/>
  <c r="Y561" i="2"/>
  <c r="A562" i="2"/>
  <c r="B562" i="2"/>
  <c r="C562" i="2"/>
  <c r="D562" i="2"/>
  <c r="E562" i="2"/>
  <c r="F562" i="2"/>
  <c r="G562" i="2"/>
  <c r="H562" i="2"/>
  <c r="I562" i="2"/>
  <c r="J562" i="2"/>
  <c r="K562" i="2"/>
  <c r="L562" i="2"/>
  <c r="M562" i="2"/>
  <c r="N562" i="2"/>
  <c r="O562" i="2"/>
  <c r="P562" i="2"/>
  <c r="Q562" i="2"/>
  <c r="R562" i="2"/>
  <c r="S562" i="2"/>
  <c r="T562" i="2"/>
  <c r="U562" i="2"/>
  <c r="V562" i="2"/>
  <c r="W562" i="2"/>
  <c r="X562" i="2"/>
  <c r="Y562" i="2"/>
  <c r="A563" i="2"/>
  <c r="B563" i="2"/>
  <c r="C563" i="2"/>
  <c r="D563" i="2"/>
  <c r="E563" i="2"/>
  <c r="F563" i="2"/>
  <c r="G563" i="2"/>
  <c r="H563" i="2"/>
  <c r="I563" i="2"/>
  <c r="J563" i="2"/>
  <c r="K563" i="2"/>
  <c r="L563" i="2"/>
  <c r="M563" i="2"/>
  <c r="N563" i="2"/>
  <c r="O563" i="2"/>
  <c r="P563" i="2"/>
  <c r="Q563" i="2"/>
  <c r="R563" i="2"/>
  <c r="S563" i="2"/>
  <c r="T563" i="2"/>
  <c r="U563" i="2"/>
  <c r="V563" i="2"/>
  <c r="W563" i="2"/>
  <c r="X563" i="2"/>
  <c r="Y563" i="2"/>
  <c r="B564" i="2"/>
  <c r="C564" i="2"/>
  <c r="D564" i="2"/>
  <c r="E564" i="2"/>
  <c r="F564" i="2"/>
  <c r="G564" i="2"/>
  <c r="H564" i="2"/>
  <c r="I564" i="2"/>
  <c r="J564" i="2"/>
  <c r="K564" i="2"/>
  <c r="L564" i="2"/>
  <c r="M564" i="2"/>
  <c r="N564" i="2"/>
  <c r="O564" i="2"/>
  <c r="P564" i="2"/>
  <c r="Q564" i="2"/>
  <c r="R564" i="2"/>
  <c r="S564" i="2"/>
  <c r="T564" i="2"/>
  <c r="U564" i="2"/>
  <c r="V564" i="2"/>
  <c r="W564" i="2"/>
  <c r="X564" i="2"/>
  <c r="Y564" i="2"/>
  <c r="A565" i="2"/>
  <c r="B565" i="2"/>
  <c r="C565" i="2"/>
  <c r="D565" i="2"/>
  <c r="E565" i="2"/>
  <c r="F565" i="2"/>
  <c r="G565" i="2"/>
  <c r="H565" i="2"/>
  <c r="I565" i="2"/>
  <c r="J565" i="2"/>
  <c r="K565" i="2"/>
  <c r="L565" i="2"/>
  <c r="M565" i="2"/>
  <c r="N565" i="2"/>
  <c r="O565" i="2"/>
  <c r="P565" i="2"/>
  <c r="Q565" i="2"/>
  <c r="R565" i="2"/>
  <c r="S565" i="2"/>
  <c r="T565" i="2"/>
  <c r="U565" i="2"/>
  <c r="V565" i="2"/>
  <c r="W565" i="2"/>
  <c r="X565" i="2"/>
  <c r="Y565" i="2"/>
  <c r="A566" i="2"/>
  <c r="B566" i="2"/>
  <c r="C566" i="2"/>
  <c r="D566" i="2"/>
  <c r="E566" i="2"/>
  <c r="F566" i="2"/>
  <c r="G566" i="2"/>
  <c r="H566" i="2"/>
  <c r="I566" i="2"/>
  <c r="J566" i="2"/>
  <c r="K566" i="2"/>
  <c r="L566" i="2"/>
  <c r="M566" i="2"/>
  <c r="N566" i="2"/>
  <c r="O566" i="2"/>
  <c r="P566" i="2"/>
  <c r="Q566" i="2"/>
  <c r="R566" i="2"/>
  <c r="S566" i="2"/>
  <c r="T566" i="2"/>
  <c r="U566" i="2"/>
  <c r="V566" i="2"/>
  <c r="W566" i="2"/>
  <c r="X566" i="2"/>
  <c r="Y566" i="2"/>
  <c r="B567" i="2"/>
  <c r="C567" i="2"/>
  <c r="D567" i="2"/>
  <c r="E567" i="2"/>
  <c r="F567" i="2"/>
  <c r="G567" i="2"/>
  <c r="H567" i="2"/>
  <c r="I567" i="2"/>
  <c r="J567" i="2"/>
  <c r="K567" i="2"/>
  <c r="L567" i="2"/>
  <c r="M567" i="2"/>
  <c r="N567" i="2"/>
  <c r="O567" i="2"/>
  <c r="P567" i="2"/>
  <c r="Q567" i="2"/>
  <c r="R567" i="2"/>
  <c r="S567" i="2"/>
  <c r="T567" i="2"/>
  <c r="U567" i="2"/>
  <c r="V567" i="2"/>
  <c r="W567" i="2"/>
  <c r="X567" i="2"/>
  <c r="Y567" i="2"/>
  <c r="B568" i="2"/>
  <c r="C568" i="2"/>
  <c r="D568" i="2"/>
  <c r="E568" i="2"/>
  <c r="F568" i="2"/>
  <c r="G568" i="2"/>
  <c r="H568" i="2"/>
  <c r="I568" i="2"/>
  <c r="J568" i="2"/>
  <c r="K568" i="2"/>
  <c r="L568" i="2"/>
  <c r="M568" i="2"/>
  <c r="N568" i="2"/>
  <c r="O568" i="2"/>
  <c r="P568" i="2"/>
  <c r="Q568" i="2"/>
  <c r="R568" i="2"/>
  <c r="S568" i="2"/>
  <c r="T568" i="2"/>
  <c r="U568" i="2"/>
  <c r="V568" i="2"/>
  <c r="W568" i="2"/>
  <c r="X568" i="2"/>
  <c r="Y568" i="2"/>
  <c r="A569" i="2"/>
  <c r="B569" i="2"/>
  <c r="C569" i="2"/>
  <c r="D569" i="2"/>
  <c r="E569" i="2"/>
  <c r="F569" i="2"/>
  <c r="G569" i="2"/>
  <c r="H569" i="2"/>
  <c r="I569" i="2"/>
  <c r="J569" i="2"/>
  <c r="K569" i="2"/>
  <c r="L569" i="2"/>
  <c r="M569" i="2"/>
  <c r="N569" i="2"/>
  <c r="O569" i="2"/>
  <c r="P569" i="2"/>
  <c r="Q569" i="2"/>
  <c r="R569" i="2"/>
  <c r="S569" i="2"/>
  <c r="T569" i="2"/>
  <c r="U569" i="2"/>
  <c r="V569" i="2"/>
  <c r="W569" i="2"/>
  <c r="X569" i="2"/>
  <c r="Y569" i="2"/>
  <c r="A570" i="2"/>
  <c r="B570" i="2"/>
  <c r="C570" i="2"/>
  <c r="D570" i="2"/>
  <c r="E570" i="2"/>
  <c r="F570" i="2"/>
  <c r="G570" i="2"/>
  <c r="H570" i="2"/>
  <c r="I570" i="2"/>
  <c r="J570" i="2"/>
  <c r="K570" i="2"/>
  <c r="L570" i="2"/>
  <c r="M570" i="2"/>
  <c r="N570" i="2"/>
  <c r="O570" i="2"/>
  <c r="P570" i="2"/>
  <c r="Q570" i="2"/>
  <c r="R570" i="2"/>
  <c r="S570" i="2"/>
  <c r="T570" i="2"/>
  <c r="U570" i="2"/>
  <c r="V570" i="2"/>
  <c r="W570" i="2"/>
  <c r="X570" i="2"/>
  <c r="Y570" i="2"/>
  <c r="A571" i="2"/>
  <c r="B571" i="2"/>
  <c r="C571" i="2"/>
  <c r="D571" i="2"/>
  <c r="E571" i="2"/>
  <c r="F571" i="2"/>
  <c r="G571" i="2"/>
  <c r="H571" i="2"/>
  <c r="I571" i="2"/>
  <c r="J571" i="2"/>
  <c r="K571" i="2"/>
  <c r="L571" i="2"/>
  <c r="M571" i="2"/>
  <c r="N571" i="2"/>
  <c r="O571" i="2"/>
  <c r="P571" i="2"/>
  <c r="Q571" i="2"/>
  <c r="R571" i="2"/>
  <c r="S571" i="2"/>
  <c r="T571" i="2"/>
  <c r="U571" i="2"/>
  <c r="V571" i="2"/>
  <c r="W571" i="2"/>
  <c r="X571" i="2"/>
  <c r="Y571" i="2"/>
  <c r="B572" i="2"/>
  <c r="C572" i="2"/>
  <c r="D572" i="2"/>
  <c r="E572" i="2"/>
  <c r="F572" i="2"/>
  <c r="G572" i="2"/>
  <c r="H572" i="2"/>
  <c r="I572" i="2"/>
  <c r="J572" i="2"/>
  <c r="K572" i="2"/>
  <c r="L572" i="2"/>
  <c r="M572" i="2"/>
  <c r="N572" i="2"/>
  <c r="O572" i="2"/>
  <c r="P572" i="2"/>
  <c r="Q572" i="2"/>
  <c r="R572" i="2"/>
  <c r="S572" i="2"/>
  <c r="T572" i="2"/>
  <c r="U572" i="2"/>
  <c r="V572" i="2"/>
  <c r="W572" i="2"/>
  <c r="X572" i="2"/>
  <c r="Y572" i="2"/>
  <c r="A573" i="2"/>
  <c r="B573" i="2"/>
  <c r="C573" i="2"/>
  <c r="D573" i="2"/>
  <c r="E573" i="2"/>
  <c r="F573" i="2"/>
  <c r="G573" i="2"/>
  <c r="H573" i="2"/>
  <c r="I573" i="2"/>
  <c r="J573" i="2"/>
  <c r="K573" i="2"/>
  <c r="L573" i="2"/>
  <c r="M573" i="2"/>
  <c r="N573" i="2"/>
  <c r="O573" i="2"/>
  <c r="P573" i="2"/>
  <c r="Q573" i="2"/>
  <c r="R573" i="2"/>
  <c r="S573" i="2"/>
  <c r="T573" i="2"/>
  <c r="U573" i="2"/>
  <c r="V573" i="2"/>
  <c r="W573" i="2"/>
  <c r="X573" i="2"/>
  <c r="Y573" i="2"/>
  <c r="A574" i="2"/>
  <c r="B574" i="2"/>
  <c r="C574" i="2"/>
  <c r="D574" i="2"/>
  <c r="E574" i="2"/>
  <c r="F574" i="2"/>
  <c r="G574" i="2"/>
  <c r="H574" i="2"/>
  <c r="I574" i="2"/>
  <c r="J574" i="2"/>
  <c r="K574" i="2"/>
  <c r="L574" i="2"/>
  <c r="M574" i="2"/>
  <c r="N574" i="2"/>
  <c r="O574" i="2"/>
  <c r="P574" i="2"/>
  <c r="Q574" i="2"/>
  <c r="R574" i="2"/>
  <c r="S574" i="2"/>
  <c r="T574" i="2"/>
  <c r="U574" i="2"/>
  <c r="V574" i="2"/>
  <c r="W574" i="2"/>
  <c r="X574" i="2"/>
  <c r="Y574" i="2"/>
  <c r="A575" i="2"/>
  <c r="B575" i="2"/>
  <c r="C575" i="2"/>
  <c r="D575" i="2"/>
  <c r="E575" i="2"/>
  <c r="F575" i="2"/>
  <c r="G575" i="2"/>
  <c r="H575" i="2"/>
  <c r="I575" i="2"/>
  <c r="J575" i="2"/>
  <c r="K575" i="2"/>
  <c r="L575" i="2"/>
  <c r="M575" i="2"/>
  <c r="N575" i="2"/>
  <c r="O575" i="2"/>
  <c r="P575" i="2"/>
  <c r="Q575" i="2"/>
  <c r="R575" i="2"/>
  <c r="S575" i="2"/>
  <c r="T575" i="2"/>
  <c r="U575" i="2"/>
  <c r="V575" i="2"/>
  <c r="W575" i="2"/>
  <c r="X575" i="2"/>
  <c r="Y575" i="2"/>
  <c r="A576" i="2"/>
  <c r="B576" i="2"/>
  <c r="C576" i="2"/>
  <c r="D576" i="2"/>
  <c r="E576" i="2"/>
  <c r="F576" i="2"/>
  <c r="G576" i="2"/>
  <c r="H576" i="2"/>
  <c r="I576" i="2"/>
  <c r="J576" i="2"/>
  <c r="K576" i="2"/>
  <c r="L576" i="2"/>
  <c r="M576" i="2"/>
  <c r="N576" i="2"/>
  <c r="O576" i="2"/>
  <c r="P576" i="2"/>
  <c r="Q576" i="2"/>
  <c r="R576" i="2"/>
  <c r="S576" i="2"/>
  <c r="T576" i="2"/>
  <c r="U576" i="2"/>
  <c r="V576" i="2"/>
  <c r="W576" i="2"/>
  <c r="X576" i="2"/>
  <c r="Y576" i="2"/>
  <c r="A577" i="2"/>
  <c r="B577" i="2"/>
  <c r="C577" i="2"/>
  <c r="D577" i="2"/>
  <c r="E577" i="2"/>
  <c r="F577" i="2"/>
  <c r="G577" i="2"/>
  <c r="H577" i="2"/>
  <c r="I577" i="2"/>
  <c r="J577" i="2"/>
  <c r="K577" i="2"/>
  <c r="L577" i="2"/>
  <c r="M577" i="2"/>
  <c r="N577" i="2"/>
  <c r="O577" i="2"/>
  <c r="P577" i="2"/>
  <c r="Q577" i="2"/>
  <c r="R577" i="2"/>
  <c r="S577" i="2"/>
  <c r="T577" i="2"/>
  <c r="U577" i="2"/>
  <c r="V577" i="2"/>
  <c r="W577" i="2"/>
  <c r="X577" i="2"/>
  <c r="Y577" i="2"/>
  <c r="A578" i="2"/>
  <c r="B578" i="2"/>
  <c r="C578" i="2"/>
  <c r="D578" i="2"/>
  <c r="E578" i="2"/>
  <c r="F578" i="2"/>
  <c r="G578" i="2"/>
  <c r="H578" i="2"/>
  <c r="I578" i="2"/>
  <c r="J578" i="2"/>
  <c r="K578" i="2"/>
  <c r="L578" i="2"/>
  <c r="M578" i="2"/>
  <c r="N578" i="2"/>
  <c r="O578" i="2"/>
  <c r="P578" i="2"/>
  <c r="Q578" i="2"/>
  <c r="R578" i="2"/>
  <c r="S578" i="2"/>
  <c r="T578" i="2"/>
  <c r="U578" i="2"/>
  <c r="V578" i="2"/>
  <c r="W578" i="2"/>
  <c r="X578" i="2"/>
  <c r="Y578" i="2"/>
  <c r="A579" i="2"/>
  <c r="B579" i="2"/>
  <c r="C579" i="2"/>
  <c r="D579" i="2"/>
  <c r="E579" i="2"/>
  <c r="F579" i="2"/>
  <c r="G579" i="2"/>
  <c r="H579" i="2"/>
  <c r="I579" i="2"/>
  <c r="J579" i="2"/>
  <c r="K579" i="2"/>
  <c r="L579" i="2"/>
  <c r="M579" i="2"/>
  <c r="N579" i="2"/>
  <c r="O579" i="2"/>
  <c r="P579" i="2"/>
  <c r="Q579" i="2"/>
  <c r="R579" i="2"/>
  <c r="S579" i="2"/>
  <c r="T579" i="2"/>
  <c r="U579" i="2"/>
  <c r="V579" i="2"/>
  <c r="W579" i="2"/>
  <c r="X579" i="2"/>
  <c r="Y579" i="2"/>
  <c r="B580" i="2"/>
  <c r="C580" i="2"/>
  <c r="D580" i="2"/>
  <c r="E580" i="2"/>
  <c r="F580" i="2"/>
  <c r="G580" i="2"/>
  <c r="H580" i="2"/>
  <c r="I580" i="2"/>
  <c r="J580" i="2"/>
  <c r="K580" i="2"/>
  <c r="L580" i="2"/>
  <c r="M580" i="2"/>
  <c r="N580" i="2"/>
  <c r="O580" i="2"/>
  <c r="P580" i="2"/>
  <c r="Q580" i="2"/>
  <c r="R580" i="2"/>
  <c r="S580" i="2"/>
  <c r="T580" i="2"/>
  <c r="U580" i="2"/>
  <c r="V580" i="2"/>
  <c r="W580" i="2"/>
  <c r="X580" i="2"/>
  <c r="Y580" i="2"/>
  <c r="A581" i="2"/>
  <c r="B581" i="2"/>
  <c r="C581" i="2"/>
  <c r="D581" i="2"/>
  <c r="E581" i="2"/>
  <c r="F581" i="2"/>
  <c r="G581" i="2"/>
  <c r="H581" i="2"/>
  <c r="I581" i="2"/>
  <c r="J581" i="2"/>
  <c r="K581" i="2"/>
  <c r="L581" i="2"/>
  <c r="M581" i="2"/>
  <c r="N581" i="2"/>
  <c r="O581" i="2"/>
  <c r="P581" i="2"/>
  <c r="Q581" i="2"/>
  <c r="R581" i="2"/>
  <c r="S581" i="2"/>
  <c r="T581" i="2"/>
  <c r="U581" i="2"/>
  <c r="V581" i="2"/>
  <c r="W581" i="2"/>
  <c r="X581" i="2"/>
  <c r="Y581" i="2"/>
  <c r="B582" i="2"/>
  <c r="C582" i="2"/>
  <c r="D582" i="2"/>
  <c r="E582" i="2"/>
  <c r="F582" i="2"/>
  <c r="G582" i="2"/>
  <c r="H582" i="2"/>
  <c r="I582" i="2"/>
  <c r="J582" i="2"/>
  <c r="K582" i="2"/>
  <c r="L582" i="2"/>
  <c r="M582" i="2"/>
  <c r="N582" i="2"/>
  <c r="O582" i="2"/>
  <c r="P582" i="2"/>
  <c r="Q582" i="2"/>
  <c r="R582" i="2"/>
  <c r="S582" i="2"/>
  <c r="T582" i="2"/>
  <c r="U582" i="2"/>
  <c r="V582" i="2"/>
  <c r="W582" i="2"/>
  <c r="X582" i="2"/>
  <c r="Y582" i="2"/>
  <c r="B583" i="2"/>
  <c r="C583" i="2"/>
  <c r="D583" i="2"/>
  <c r="E583" i="2"/>
  <c r="F583" i="2"/>
  <c r="G583" i="2"/>
  <c r="H583" i="2"/>
  <c r="I583" i="2"/>
  <c r="J583" i="2"/>
  <c r="K583" i="2"/>
  <c r="L583" i="2"/>
  <c r="M583" i="2"/>
  <c r="N583" i="2"/>
  <c r="O583" i="2"/>
  <c r="P583" i="2"/>
  <c r="Q583" i="2"/>
  <c r="R583" i="2"/>
  <c r="S583" i="2"/>
  <c r="T583" i="2"/>
  <c r="U583" i="2"/>
  <c r="V583" i="2"/>
  <c r="W583" i="2"/>
  <c r="X583" i="2"/>
  <c r="Y583" i="2"/>
  <c r="B584" i="2"/>
  <c r="C584" i="2"/>
  <c r="D584" i="2"/>
  <c r="E584" i="2"/>
  <c r="F584" i="2"/>
  <c r="G584" i="2"/>
  <c r="H584" i="2"/>
  <c r="I584" i="2"/>
  <c r="J584" i="2"/>
  <c r="K584" i="2"/>
  <c r="L584" i="2"/>
  <c r="M584" i="2"/>
  <c r="N584" i="2"/>
  <c r="O584" i="2"/>
  <c r="P584" i="2"/>
  <c r="Q584" i="2"/>
  <c r="R584" i="2"/>
  <c r="S584" i="2"/>
  <c r="T584" i="2"/>
  <c r="U584" i="2"/>
  <c r="V584" i="2"/>
  <c r="W584" i="2"/>
  <c r="X584" i="2"/>
  <c r="Y584" i="2"/>
  <c r="A585" i="2"/>
  <c r="B585" i="2"/>
  <c r="C585" i="2"/>
  <c r="D585" i="2"/>
  <c r="E585" i="2"/>
  <c r="F585" i="2"/>
  <c r="G585" i="2"/>
  <c r="H585" i="2"/>
  <c r="I585" i="2"/>
  <c r="J585" i="2"/>
  <c r="K585" i="2"/>
  <c r="L585" i="2"/>
  <c r="M585" i="2"/>
  <c r="N585" i="2"/>
  <c r="O585" i="2"/>
  <c r="P585" i="2"/>
  <c r="Q585" i="2"/>
  <c r="R585" i="2"/>
  <c r="S585" i="2"/>
  <c r="T585" i="2"/>
  <c r="U585" i="2"/>
  <c r="V585" i="2"/>
  <c r="W585" i="2"/>
  <c r="X585" i="2"/>
  <c r="Y585" i="2"/>
  <c r="A586" i="2"/>
  <c r="B586" i="2"/>
  <c r="C586" i="2"/>
  <c r="D586" i="2"/>
  <c r="E586" i="2"/>
  <c r="F586" i="2"/>
  <c r="G586" i="2"/>
  <c r="H586" i="2"/>
  <c r="I586" i="2"/>
  <c r="J586" i="2"/>
  <c r="K586" i="2"/>
  <c r="L586" i="2"/>
  <c r="M586" i="2"/>
  <c r="N586" i="2"/>
  <c r="O586" i="2"/>
  <c r="P586" i="2"/>
  <c r="Q586" i="2"/>
  <c r="R586" i="2"/>
  <c r="S586" i="2"/>
  <c r="T586" i="2"/>
  <c r="U586" i="2"/>
  <c r="V586" i="2"/>
  <c r="W586" i="2"/>
  <c r="X586" i="2"/>
  <c r="Y586" i="2"/>
  <c r="A587" i="2"/>
  <c r="B587" i="2"/>
  <c r="C587" i="2"/>
  <c r="D587" i="2"/>
  <c r="E587" i="2"/>
  <c r="F587" i="2"/>
  <c r="G587" i="2"/>
  <c r="H587" i="2"/>
  <c r="I587" i="2"/>
  <c r="J587" i="2"/>
  <c r="K587" i="2"/>
  <c r="L587" i="2"/>
  <c r="M587" i="2"/>
  <c r="N587" i="2"/>
  <c r="O587" i="2"/>
  <c r="P587" i="2"/>
  <c r="Q587" i="2"/>
  <c r="R587" i="2"/>
  <c r="S587" i="2"/>
  <c r="T587" i="2"/>
  <c r="U587" i="2"/>
  <c r="V587" i="2"/>
  <c r="W587" i="2"/>
  <c r="X587" i="2"/>
  <c r="Y587" i="2"/>
  <c r="B588" i="2"/>
  <c r="C588" i="2"/>
  <c r="D588" i="2"/>
  <c r="E588" i="2"/>
  <c r="F588" i="2"/>
  <c r="G588" i="2"/>
  <c r="H588" i="2"/>
  <c r="I588" i="2"/>
  <c r="J588" i="2"/>
  <c r="K588" i="2"/>
  <c r="L588" i="2"/>
  <c r="M588" i="2"/>
  <c r="N588" i="2"/>
  <c r="O588" i="2"/>
  <c r="P588" i="2"/>
  <c r="Q588" i="2"/>
  <c r="R588" i="2"/>
  <c r="S588" i="2"/>
  <c r="T588" i="2"/>
  <c r="U588" i="2"/>
  <c r="V588" i="2"/>
  <c r="W588" i="2"/>
  <c r="X588" i="2"/>
  <c r="Y588" i="2"/>
  <c r="A589" i="2"/>
  <c r="B589" i="2"/>
  <c r="C589" i="2"/>
  <c r="D589" i="2"/>
  <c r="E589" i="2"/>
  <c r="F589" i="2"/>
  <c r="G589" i="2"/>
  <c r="H589" i="2"/>
  <c r="I589" i="2"/>
  <c r="J589" i="2"/>
  <c r="K589" i="2"/>
  <c r="L589" i="2"/>
  <c r="M589" i="2"/>
  <c r="N589" i="2"/>
  <c r="O589" i="2"/>
  <c r="P589" i="2"/>
  <c r="Q589" i="2"/>
  <c r="R589" i="2"/>
  <c r="S589" i="2"/>
  <c r="T589" i="2"/>
  <c r="U589" i="2"/>
  <c r="V589" i="2"/>
  <c r="W589" i="2"/>
  <c r="X589" i="2"/>
  <c r="Y589" i="2"/>
  <c r="A590" i="2"/>
  <c r="B590" i="2"/>
  <c r="C590" i="2"/>
  <c r="D590" i="2"/>
  <c r="E590" i="2"/>
  <c r="F590" i="2"/>
  <c r="G590" i="2"/>
  <c r="H590" i="2"/>
  <c r="I590" i="2"/>
  <c r="J590" i="2"/>
  <c r="K590" i="2"/>
  <c r="L590" i="2"/>
  <c r="M590" i="2"/>
  <c r="N590" i="2"/>
  <c r="O590" i="2"/>
  <c r="P590" i="2"/>
  <c r="Q590" i="2"/>
  <c r="R590" i="2"/>
  <c r="S590" i="2"/>
  <c r="T590" i="2"/>
  <c r="U590" i="2"/>
  <c r="V590" i="2"/>
  <c r="W590" i="2"/>
  <c r="X590" i="2"/>
  <c r="Y590" i="2"/>
  <c r="A591" i="2"/>
  <c r="B591" i="2"/>
  <c r="C591" i="2"/>
  <c r="D591" i="2"/>
  <c r="E591" i="2"/>
  <c r="F591" i="2"/>
  <c r="G591" i="2"/>
  <c r="H591" i="2"/>
  <c r="I591" i="2"/>
  <c r="J591" i="2"/>
  <c r="K591" i="2"/>
  <c r="L591" i="2"/>
  <c r="M591" i="2"/>
  <c r="N591" i="2"/>
  <c r="O591" i="2"/>
  <c r="P591" i="2"/>
  <c r="Q591" i="2"/>
  <c r="R591" i="2"/>
  <c r="S591" i="2"/>
  <c r="T591" i="2"/>
  <c r="U591" i="2"/>
  <c r="V591" i="2"/>
  <c r="W591" i="2"/>
  <c r="X591" i="2"/>
  <c r="Y591" i="2"/>
  <c r="A592" i="2"/>
  <c r="B592" i="2"/>
  <c r="C592" i="2"/>
  <c r="D592" i="2"/>
  <c r="E592" i="2"/>
  <c r="F592" i="2"/>
  <c r="G592" i="2"/>
  <c r="H592" i="2"/>
  <c r="I592" i="2"/>
  <c r="J592" i="2"/>
  <c r="K592" i="2"/>
  <c r="L592" i="2"/>
  <c r="M592" i="2"/>
  <c r="N592" i="2"/>
  <c r="O592" i="2"/>
  <c r="P592" i="2"/>
  <c r="Q592" i="2"/>
  <c r="R592" i="2"/>
  <c r="S592" i="2"/>
  <c r="T592" i="2"/>
  <c r="U592" i="2"/>
  <c r="V592" i="2"/>
  <c r="W592" i="2"/>
  <c r="X592" i="2"/>
  <c r="Y592" i="2"/>
  <c r="A593" i="2"/>
  <c r="B593" i="2"/>
  <c r="C593" i="2"/>
  <c r="D593" i="2"/>
  <c r="E593" i="2"/>
  <c r="F593" i="2"/>
  <c r="G593" i="2"/>
  <c r="H593" i="2"/>
  <c r="I593" i="2"/>
  <c r="J593" i="2"/>
  <c r="K593" i="2"/>
  <c r="L593" i="2"/>
  <c r="M593" i="2"/>
  <c r="N593" i="2"/>
  <c r="O593" i="2"/>
  <c r="P593" i="2"/>
  <c r="Q593" i="2"/>
  <c r="R593" i="2"/>
  <c r="S593" i="2"/>
  <c r="T593" i="2"/>
  <c r="U593" i="2"/>
  <c r="V593" i="2"/>
  <c r="W593" i="2"/>
  <c r="X593" i="2"/>
  <c r="Y593" i="2"/>
  <c r="A594" i="2"/>
  <c r="B594" i="2"/>
  <c r="C594" i="2"/>
  <c r="D594" i="2"/>
  <c r="E594" i="2"/>
  <c r="F594" i="2"/>
  <c r="G594" i="2"/>
  <c r="H594" i="2"/>
  <c r="I594" i="2"/>
  <c r="J594" i="2"/>
  <c r="K594" i="2"/>
  <c r="L594" i="2"/>
  <c r="M594" i="2"/>
  <c r="N594" i="2"/>
  <c r="O594" i="2"/>
  <c r="P594" i="2"/>
  <c r="Q594" i="2"/>
  <c r="R594" i="2"/>
  <c r="S594" i="2"/>
  <c r="T594" i="2"/>
  <c r="U594" i="2"/>
  <c r="V594" i="2"/>
  <c r="W594" i="2"/>
  <c r="X594" i="2"/>
  <c r="Y594" i="2"/>
  <c r="A595" i="2"/>
  <c r="B595" i="2"/>
  <c r="C595" i="2"/>
  <c r="D595" i="2"/>
  <c r="E595" i="2"/>
  <c r="F595" i="2"/>
  <c r="G595" i="2"/>
  <c r="H595" i="2"/>
  <c r="I595" i="2"/>
  <c r="J595" i="2"/>
  <c r="K595" i="2"/>
  <c r="L595" i="2"/>
  <c r="M595" i="2"/>
  <c r="N595" i="2"/>
  <c r="O595" i="2"/>
  <c r="P595" i="2"/>
  <c r="Q595" i="2"/>
  <c r="R595" i="2"/>
  <c r="S595" i="2"/>
  <c r="T595" i="2"/>
  <c r="U595" i="2"/>
  <c r="V595" i="2"/>
  <c r="W595" i="2"/>
  <c r="X595" i="2"/>
  <c r="Y595" i="2"/>
  <c r="B596" i="2"/>
  <c r="C596" i="2"/>
  <c r="D596" i="2"/>
  <c r="E596" i="2"/>
  <c r="F596" i="2"/>
  <c r="G596" i="2"/>
  <c r="H596" i="2"/>
  <c r="I596" i="2"/>
  <c r="J596" i="2"/>
  <c r="K596" i="2"/>
  <c r="L596" i="2"/>
  <c r="M596" i="2"/>
  <c r="N596" i="2"/>
  <c r="O596" i="2"/>
  <c r="P596" i="2"/>
  <c r="Q596" i="2"/>
  <c r="R596" i="2"/>
  <c r="S596" i="2"/>
  <c r="T596" i="2"/>
  <c r="U596" i="2"/>
  <c r="V596" i="2"/>
  <c r="W596" i="2"/>
  <c r="X596" i="2"/>
  <c r="Y596" i="2"/>
  <c r="A597" i="2"/>
  <c r="B597" i="2"/>
  <c r="C597" i="2"/>
  <c r="D597" i="2"/>
  <c r="E597" i="2"/>
  <c r="F597" i="2"/>
  <c r="G597" i="2"/>
  <c r="H597" i="2"/>
  <c r="I597" i="2"/>
  <c r="J597" i="2"/>
  <c r="K597" i="2"/>
  <c r="L597" i="2"/>
  <c r="M597" i="2"/>
  <c r="N597" i="2"/>
  <c r="O597" i="2"/>
  <c r="P597" i="2"/>
  <c r="Q597" i="2"/>
  <c r="R597" i="2"/>
  <c r="S597" i="2"/>
  <c r="T597" i="2"/>
  <c r="U597" i="2"/>
  <c r="V597" i="2"/>
  <c r="W597" i="2"/>
  <c r="X597" i="2"/>
  <c r="Y597" i="2"/>
  <c r="B598" i="2"/>
  <c r="C598" i="2"/>
  <c r="D598" i="2"/>
  <c r="E598" i="2"/>
  <c r="F598" i="2"/>
  <c r="G598" i="2"/>
  <c r="H598" i="2"/>
  <c r="I598" i="2"/>
  <c r="J598" i="2"/>
  <c r="K598" i="2"/>
  <c r="L598" i="2"/>
  <c r="M598" i="2"/>
  <c r="N598" i="2"/>
  <c r="O598" i="2"/>
  <c r="P598" i="2"/>
  <c r="Q598" i="2"/>
  <c r="R598" i="2"/>
  <c r="S598" i="2"/>
  <c r="T598" i="2"/>
  <c r="U598" i="2"/>
  <c r="V598" i="2"/>
  <c r="W598" i="2"/>
  <c r="X598" i="2"/>
  <c r="Y598" i="2"/>
  <c r="B599" i="2"/>
  <c r="C599" i="2"/>
  <c r="D599" i="2"/>
  <c r="E599" i="2"/>
  <c r="F599" i="2"/>
  <c r="G599" i="2"/>
  <c r="H599" i="2"/>
  <c r="I599" i="2"/>
  <c r="J599" i="2"/>
  <c r="K599" i="2"/>
  <c r="L599" i="2"/>
  <c r="M599" i="2"/>
  <c r="N599" i="2"/>
  <c r="O599" i="2"/>
  <c r="P599" i="2"/>
  <c r="Q599" i="2"/>
  <c r="R599" i="2"/>
  <c r="S599" i="2"/>
  <c r="T599" i="2"/>
  <c r="U599" i="2"/>
  <c r="V599" i="2"/>
  <c r="W599" i="2"/>
  <c r="X599" i="2"/>
  <c r="Y599" i="2"/>
  <c r="B600" i="2"/>
  <c r="C600" i="2"/>
  <c r="D600" i="2"/>
  <c r="E600" i="2"/>
  <c r="F600" i="2"/>
  <c r="G600" i="2"/>
  <c r="H600" i="2"/>
  <c r="I600" i="2"/>
  <c r="J600" i="2"/>
  <c r="K600" i="2"/>
  <c r="L600" i="2"/>
  <c r="M600" i="2"/>
  <c r="N600" i="2"/>
  <c r="O600" i="2"/>
  <c r="P600" i="2"/>
  <c r="Q600" i="2"/>
  <c r="R600" i="2"/>
  <c r="S600" i="2"/>
  <c r="T600" i="2"/>
  <c r="U600" i="2"/>
  <c r="V600" i="2"/>
  <c r="W600" i="2"/>
  <c r="X600" i="2"/>
  <c r="Y600" i="2"/>
  <c r="A601" i="2"/>
  <c r="B601" i="2"/>
  <c r="C601" i="2"/>
  <c r="D601" i="2"/>
  <c r="E601" i="2"/>
  <c r="F601" i="2"/>
  <c r="G601" i="2"/>
  <c r="H601" i="2"/>
  <c r="I601" i="2"/>
  <c r="J601" i="2"/>
  <c r="K601" i="2"/>
  <c r="L601" i="2"/>
  <c r="M601" i="2"/>
  <c r="N601" i="2"/>
  <c r="O601" i="2"/>
  <c r="P601" i="2"/>
  <c r="Q601" i="2"/>
  <c r="R601" i="2"/>
  <c r="S601" i="2"/>
  <c r="T601" i="2"/>
  <c r="U601" i="2"/>
  <c r="V601" i="2"/>
  <c r="W601" i="2"/>
  <c r="X601" i="2"/>
  <c r="Y601" i="2"/>
  <c r="A602" i="2"/>
  <c r="B602" i="2"/>
  <c r="C602" i="2"/>
  <c r="D602" i="2"/>
  <c r="E602" i="2"/>
  <c r="F602" i="2"/>
  <c r="G602" i="2"/>
  <c r="H602" i="2"/>
  <c r="I602" i="2"/>
  <c r="J602" i="2"/>
  <c r="K602" i="2"/>
  <c r="L602" i="2"/>
  <c r="M602" i="2"/>
  <c r="N602" i="2"/>
  <c r="O602" i="2"/>
  <c r="P602" i="2"/>
  <c r="Q602" i="2"/>
  <c r="R602" i="2"/>
  <c r="S602" i="2"/>
  <c r="T602" i="2"/>
  <c r="U602" i="2"/>
  <c r="V602" i="2"/>
  <c r="W602" i="2"/>
  <c r="X602" i="2"/>
  <c r="Y602" i="2"/>
  <c r="A603" i="2"/>
  <c r="B603" i="2"/>
  <c r="C603" i="2"/>
  <c r="D603" i="2"/>
  <c r="E603" i="2"/>
  <c r="F603" i="2"/>
  <c r="G603" i="2"/>
  <c r="H603" i="2"/>
  <c r="I603" i="2"/>
  <c r="J603" i="2"/>
  <c r="K603" i="2"/>
  <c r="L603" i="2"/>
  <c r="M603" i="2"/>
  <c r="N603" i="2"/>
  <c r="O603" i="2"/>
  <c r="P603" i="2"/>
  <c r="Q603" i="2"/>
  <c r="R603" i="2"/>
  <c r="S603" i="2"/>
  <c r="T603" i="2"/>
  <c r="U603" i="2"/>
  <c r="V603" i="2"/>
  <c r="W603" i="2"/>
  <c r="X603" i="2"/>
  <c r="Y603" i="2"/>
  <c r="B604" i="2"/>
  <c r="C604" i="2"/>
  <c r="D604" i="2"/>
  <c r="E604" i="2"/>
  <c r="F604" i="2"/>
  <c r="G604" i="2"/>
  <c r="H604" i="2"/>
  <c r="I604" i="2"/>
  <c r="J604" i="2"/>
  <c r="K604" i="2"/>
  <c r="L604" i="2"/>
  <c r="M604" i="2"/>
  <c r="N604" i="2"/>
  <c r="O604" i="2"/>
  <c r="P604" i="2"/>
  <c r="Q604" i="2"/>
  <c r="R604" i="2"/>
  <c r="S604" i="2"/>
  <c r="T604" i="2"/>
  <c r="U604" i="2"/>
  <c r="V604" i="2"/>
  <c r="W604" i="2"/>
  <c r="X604" i="2"/>
  <c r="Y604" i="2"/>
  <c r="A605" i="2"/>
  <c r="B605" i="2"/>
  <c r="C605" i="2"/>
  <c r="D605" i="2"/>
  <c r="E605" i="2"/>
  <c r="F605" i="2"/>
  <c r="G605" i="2"/>
  <c r="H605" i="2"/>
  <c r="I605" i="2"/>
  <c r="J605" i="2"/>
  <c r="K605" i="2"/>
  <c r="L605" i="2"/>
  <c r="M605" i="2"/>
  <c r="N605" i="2"/>
  <c r="O605" i="2"/>
  <c r="P605" i="2"/>
  <c r="Q605" i="2"/>
  <c r="R605" i="2"/>
  <c r="S605" i="2"/>
  <c r="T605" i="2"/>
  <c r="U605" i="2"/>
  <c r="V605" i="2"/>
  <c r="W605" i="2"/>
  <c r="X605" i="2"/>
  <c r="Y605" i="2"/>
  <c r="A606" i="2"/>
  <c r="B606" i="2"/>
  <c r="C606" i="2"/>
  <c r="D606" i="2"/>
  <c r="E606" i="2"/>
  <c r="F606" i="2"/>
  <c r="G606" i="2"/>
  <c r="H606" i="2"/>
  <c r="I606" i="2"/>
  <c r="J606" i="2"/>
  <c r="K606" i="2"/>
  <c r="L606" i="2"/>
  <c r="M606" i="2"/>
  <c r="N606" i="2"/>
  <c r="O606" i="2"/>
  <c r="P606" i="2"/>
  <c r="Q606" i="2"/>
  <c r="R606" i="2"/>
  <c r="S606" i="2"/>
  <c r="T606" i="2"/>
  <c r="U606" i="2"/>
  <c r="V606" i="2"/>
  <c r="W606" i="2"/>
  <c r="X606" i="2"/>
  <c r="Y606" i="2"/>
  <c r="A607" i="2"/>
  <c r="B607" i="2"/>
  <c r="C607" i="2"/>
  <c r="D607" i="2"/>
  <c r="E607" i="2"/>
  <c r="F607" i="2"/>
  <c r="G607" i="2"/>
  <c r="H607" i="2"/>
  <c r="I607" i="2"/>
  <c r="J607" i="2"/>
  <c r="K607" i="2"/>
  <c r="L607" i="2"/>
  <c r="M607" i="2"/>
  <c r="N607" i="2"/>
  <c r="O607" i="2"/>
  <c r="P607" i="2"/>
  <c r="Q607" i="2"/>
  <c r="R607" i="2"/>
  <c r="S607" i="2"/>
  <c r="T607" i="2"/>
  <c r="U607" i="2"/>
  <c r="V607" i="2"/>
  <c r="W607" i="2"/>
  <c r="X607" i="2"/>
  <c r="Y607" i="2"/>
  <c r="A608" i="2"/>
  <c r="B608" i="2"/>
  <c r="C608" i="2"/>
  <c r="D608" i="2"/>
  <c r="E608" i="2"/>
  <c r="F608" i="2"/>
  <c r="G608" i="2"/>
  <c r="H608" i="2"/>
  <c r="I608" i="2"/>
  <c r="J608" i="2"/>
  <c r="K608" i="2"/>
  <c r="L608" i="2"/>
  <c r="M608" i="2"/>
  <c r="N608" i="2"/>
  <c r="O608" i="2"/>
  <c r="P608" i="2"/>
  <c r="Q608" i="2"/>
  <c r="R608" i="2"/>
  <c r="S608" i="2"/>
  <c r="T608" i="2"/>
  <c r="U608" i="2"/>
  <c r="V608" i="2"/>
  <c r="W608" i="2"/>
  <c r="X608" i="2"/>
  <c r="Y608" i="2"/>
  <c r="A609" i="2"/>
  <c r="B609" i="2"/>
  <c r="C609" i="2"/>
  <c r="D609" i="2"/>
  <c r="E609" i="2"/>
  <c r="F609" i="2"/>
  <c r="G609" i="2"/>
  <c r="H609" i="2"/>
  <c r="I609" i="2"/>
  <c r="J609" i="2"/>
  <c r="K609" i="2"/>
  <c r="L609" i="2"/>
  <c r="M609" i="2"/>
  <c r="N609" i="2"/>
  <c r="O609" i="2"/>
  <c r="P609" i="2"/>
  <c r="Q609" i="2"/>
  <c r="R609" i="2"/>
  <c r="S609" i="2"/>
  <c r="T609" i="2"/>
  <c r="U609" i="2"/>
  <c r="V609" i="2"/>
  <c r="W609" i="2"/>
  <c r="X609" i="2"/>
  <c r="Y609" i="2"/>
  <c r="A610" i="2"/>
  <c r="B610" i="2"/>
  <c r="C610" i="2"/>
  <c r="D610" i="2"/>
  <c r="E610" i="2"/>
  <c r="F610" i="2"/>
  <c r="G610" i="2"/>
  <c r="H610" i="2"/>
  <c r="I610" i="2"/>
  <c r="J610" i="2"/>
  <c r="K610" i="2"/>
  <c r="L610" i="2"/>
  <c r="M610" i="2"/>
  <c r="N610" i="2"/>
  <c r="O610" i="2"/>
  <c r="P610" i="2"/>
  <c r="Q610" i="2"/>
  <c r="R610" i="2"/>
  <c r="S610" i="2"/>
  <c r="T610" i="2"/>
  <c r="U610" i="2"/>
  <c r="V610" i="2"/>
  <c r="W610" i="2"/>
  <c r="X610" i="2"/>
  <c r="Y610" i="2"/>
  <c r="B611" i="2"/>
  <c r="C611" i="2"/>
  <c r="D611" i="2"/>
  <c r="E611" i="2"/>
  <c r="F611" i="2"/>
  <c r="G611" i="2"/>
  <c r="H611" i="2"/>
  <c r="I611" i="2"/>
  <c r="J611" i="2"/>
  <c r="K611" i="2"/>
  <c r="L611" i="2"/>
  <c r="M611" i="2"/>
  <c r="N611" i="2"/>
  <c r="O611" i="2"/>
  <c r="P611" i="2"/>
  <c r="Q611" i="2"/>
  <c r="R611" i="2"/>
  <c r="S611" i="2"/>
  <c r="T611" i="2"/>
  <c r="U611" i="2"/>
  <c r="V611" i="2"/>
  <c r="W611" i="2"/>
  <c r="X611" i="2"/>
  <c r="Y611" i="2"/>
  <c r="B612" i="2"/>
  <c r="C612" i="2"/>
  <c r="D612" i="2"/>
  <c r="E612" i="2"/>
  <c r="F612" i="2"/>
  <c r="G612" i="2"/>
  <c r="H612" i="2"/>
  <c r="I612" i="2"/>
  <c r="J612" i="2"/>
  <c r="K612" i="2"/>
  <c r="L612" i="2"/>
  <c r="M612" i="2"/>
  <c r="N612" i="2"/>
  <c r="O612" i="2"/>
  <c r="P612" i="2"/>
  <c r="Q612" i="2"/>
  <c r="R612" i="2"/>
  <c r="S612" i="2"/>
  <c r="T612" i="2"/>
  <c r="U612" i="2"/>
  <c r="V612" i="2"/>
  <c r="W612" i="2"/>
  <c r="X612" i="2"/>
  <c r="Y612" i="2"/>
  <c r="A613" i="2"/>
  <c r="B613" i="2"/>
  <c r="C613" i="2"/>
  <c r="D613" i="2"/>
  <c r="E613" i="2"/>
  <c r="F613" i="2"/>
  <c r="G613" i="2"/>
  <c r="H613" i="2"/>
  <c r="I613" i="2"/>
  <c r="J613" i="2"/>
  <c r="K613" i="2"/>
  <c r="L613" i="2"/>
  <c r="M613" i="2"/>
  <c r="N613" i="2"/>
  <c r="O613" i="2"/>
  <c r="P613" i="2"/>
  <c r="Q613" i="2"/>
  <c r="R613" i="2"/>
  <c r="S613" i="2"/>
  <c r="T613" i="2"/>
  <c r="U613" i="2"/>
  <c r="V613" i="2"/>
  <c r="W613" i="2"/>
  <c r="X613" i="2"/>
  <c r="Y613" i="2"/>
  <c r="B614" i="2"/>
  <c r="C614" i="2"/>
  <c r="D614" i="2"/>
  <c r="E614" i="2"/>
  <c r="F614" i="2"/>
  <c r="G614" i="2"/>
  <c r="H614" i="2"/>
  <c r="I614" i="2"/>
  <c r="J614" i="2"/>
  <c r="K614" i="2"/>
  <c r="L614" i="2"/>
  <c r="M614" i="2"/>
  <c r="N614" i="2"/>
  <c r="O614" i="2"/>
  <c r="P614" i="2"/>
  <c r="Q614" i="2"/>
  <c r="R614" i="2"/>
  <c r="S614" i="2"/>
  <c r="T614" i="2"/>
  <c r="U614" i="2"/>
  <c r="V614" i="2"/>
  <c r="W614" i="2"/>
  <c r="X614" i="2"/>
  <c r="Y614" i="2"/>
  <c r="B615" i="2"/>
  <c r="C615" i="2"/>
  <c r="D615" i="2"/>
  <c r="E615" i="2"/>
  <c r="F615" i="2"/>
  <c r="G615" i="2"/>
  <c r="H615" i="2"/>
  <c r="I615" i="2"/>
  <c r="J615" i="2"/>
  <c r="K615" i="2"/>
  <c r="L615" i="2"/>
  <c r="M615" i="2"/>
  <c r="N615" i="2"/>
  <c r="O615" i="2"/>
  <c r="P615" i="2"/>
  <c r="Q615" i="2"/>
  <c r="R615" i="2"/>
  <c r="S615" i="2"/>
  <c r="T615" i="2"/>
  <c r="U615" i="2"/>
  <c r="V615" i="2"/>
  <c r="W615" i="2"/>
  <c r="X615" i="2"/>
  <c r="Y615" i="2"/>
  <c r="B616" i="2"/>
  <c r="C616" i="2"/>
  <c r="D616" i="2"/>
  <c r="E616" i="2"/>
  <c r="F616" i="2"/>
  <c r="G616" i="2"/>
  <c r="H616" i="2"/>
  <c r="I616" i="2"/>
  <c r="J616" i="2"/>
  <c r="K616" i="2"/>
  <c r="L616" i="2"/>
  <c r="M616" i="2"/>
  <c r="N616" i="2"/>
  <c r="O616" i="2"/>
  <c r="P616" i="2"/>
  <c r="Q616" i="2"/>
  <c r="R616" i="2"/>
  <c r="S616" i="2"/>
  <c r="T616" i="2"/>
  <c r="U616" i="2"/>
  <c r="V616" i="2"/>
  <c r="W616" i="2"/>
  <c r="X616" i="2"/>
  <c r="Y616" i="2"/>
  <c r="A617" i="2"/>
  <c r="B617" i="2"/>
  <c r="C617" i="2"/>
  <c r="D617" i="2"/>
  <c r="E617" i="2"/>
  <c r="F617" i="2"/>
  <c r="G617" i="2"/>
  <c r="H617" i="2"/>
  <c r="I617" i="2"/>
  <c r="J617" i="2"/>
  <c r="K617" i="2"/>
  <c r="L617" i="2"/>
  <c r="M617" i="2"/>
  <c r="N617" i="2"/>
  <c r="O617" i="2"/>
  <c r="P617" i="2"/>
  <c r="Q617" i="2"/>
  <c r="R617" i="2"/>
  <c r="S617" i="2"/>
  <c r="T617" i="2"/>
  <c r="U617" i="2"/>
  <c r="V617" i="2"/>
  <c r="W617" i="2"/>
  <c r="X617" i="2"/>
  <c r="Y617" i="2"/>
  <c r="A618" i="2"/>
  <c r="B618" i="2"/>
  <c r="C618" i="2"/>
  <c r="D618" i="2"/>
  <c r="E618" i="2"/>
  <c r="F618" i="2"/>
  <c r="G618" i="2"/>
  <c r="H618" i="2"/>
  <c r="I618" i="2"/>
  <c r="J618" i="2"/>
  <c r="K618" i="2"/>
  <c r="L618" i="2"/>
  <c r="M618" i="2"/>
  <c r="N618" i="2"/>
  <c r="O618" i="2"/>
  <c r="P618" i="2"/>
  <c r="Q618" i="2"/>
  <c r="R618" i="2"/>
  <c r="S618" i="2"/>
  <c r="T618" i="2"/>
  <c r="U618" i="2"/>
  <c r="V618" i="2"/>
  <c r="W618" i="2"/>
  <c r="X618" i="2"/>
  <c r="Y618" i="2"/>
  <c r="A619" i="2"/>
  <c r="B619" i="2"/>
  <c r="C619" i="2"/>
  <c r="D619" i="2"/>
  <c r="E619" i="2"/>
  <c r="F619" i="2"/>
  <c r="G619" i="2"/>
  <c r="H619" i="2"/>
  <c r="I619" i="2"/>
  <c r="J619" i="2"/>
  <c r="K619" i="2"/>
  <c r="L619" i="2"/>
  <c r="M619" i="2"/>
  <c r="N619" i="2"/>
  <c r="O619" i="2"/>
  <c r="P619" i="2"/>
  <c r="Q619" i="2"/>
  <c r="R619" i="2"/>
  <c r="S619" i="2"/>
  <c r="T619" i="2"/>
  <c r="U619" i="2"/>
  <c r="V619" i="2"/>
  <c r="W619" i="2"/>
  <c r="X619" i="2"/>
  <c r="Y619" i="2"/>
  <c r="A620" i="2"/>
  <c r="B620" i="2"/>
  <c r="C620" i="2"/>
  <c r="D620" i="2"/>
  <c r="E620" i="2"/>
  <c r="F620" i="2"/>
  <c r="G620" i="2"/>
  <c r="H620" i="2"/>
  <c r="I620" i="2"/>
  <c r="J620" i="2"/>
  <c r="K620" i="2"/>
  <c r="L620" i="2"/>
  <c r="M620" i="2"/>
  <c r="N620" i="2"/>
  <c r="O620" i="2"/>
  <c r="P620" i="2"/>
  <c r="Q620" i="2"/>
  <c r="R620" i="2"/>
  <c r="S620" i="2"/>
  <c r="T620" i="2"/>
  <c r="U620" i="2"/>
  <c r="V620" i="2"/>
  <c r="W620" i="2"/>
  <c r="X620" i="2"/>
  <c r="Y620" i="2"/>
  <c r="A621" i="2"/>
  <c r="B621" i="2"/>
  <c r="C621" i="2"/>
  <c r="D621" i="2"/>
  <c r="E621" i="2"/>
  <c r="F621" i="2"/>
  <c r="G621" i="2"/>
  <c r="H621" i="2"/>
  <c r="I621" i="2"/>
  <c r="J621" i="2"/>
  <c r="K621" i="2"/>
  <c r="L621" i="2"/>
  <c r="M621" i="2"/>
  <c r="N621" i="2"/>
  <c r="O621" i="2"/>
  <c r="P621" i="2"/>
  <c r="Q621" i="2"/>
  <c r="R621" i="2"/>
  <c r="S621" i="2"/>
  <c r="T621" i="2"/>
  <c r="U621" i="2"/>
  <c r="V621" i="2"/>
  <c r="W621" i="2"/>
  <c r="X621" i="2"/>
  <c r="Y621" i="2"/>
  <c r="A622" i="2"/>
  <c r="B622" i="2"/>
  <c r="C622" i="2"/>
  <c r="D622" i="2"/>
  <c r="E622" i="2"/>
  <c r="F622" i="2"/>
  <c r="G622" i="2"/>
  <c r="H622" i="2"/>
  <c r="I622" i="2"/>
  <c r="J622" i="2"/>
  <c r="K622" i="2"/>
  <c r="L622" i="2"/>
  <c r="M622" i="2"/>
  <c r="N622" i="2"/>
  <c r="O622" i="2"/>
  <c r="P622" i="2"/>
  <c r="Q622" i="2"/>
  <c r="R622" i="2"/>
  <c r="S622" i="2"/>
  <c r="T622" i="2"/>
  <c r="U622" i="2"/>
  <c r="V622" i="2"/>
  <c r="W622" i="2"/>
  <c r="X622" i="2"/>
  <c r="Y622" i="2"/>
  <c r="A623" i="2"/>
  <c r="B623" i="2"/>
  <c r="C623" i="2"/>
  <c r="D623" i="2"/>
  <c r="E623" i="2"/>
  <c r="F623" i="2"/>
  <c r="G623" i="2"/>
  <c r="H623" i="2"/>
  <c r="I623" i="2"/>
  <c r="J623" i="2"/>
  <c r="K623" i="2"/>
  <c r="L623" i="2"/>
  <c r="M623" i="2"/>
  <c r="N623" i="2"/>
  <c r="O623" i="2"/>
  <c r="P623" i="2"/>
  <c r="Q623" i="2"/>
  <c r="R623" i="2"/>
  <c r="S623" i="2"/>
  <c r="T623" i="2"/>
  <c r="U623" i="2"/>
  <c r="V623" i="2"/>
  <c r="W623" i="2"/>
  <c r="X623" i="2"/>
  <c r="Y623" i="2"/>
  <c r="A624" i="2"/>
  <c r="B624" i="2"/>
  <c r="C624" i="2"/>
  <c r="D624" i="2"/>
  <c r="E624" i="2"/>
  <c r="F624" i="2"/>
  <c r="G624" i="2"/>
  <c r="H624" i="2"/>
  <c r="I624" i="2"/>
  <c r="J624" i="2"/>
  <c r="K624" i="2"/>
  <c r="L624" i="2"/>
  <c r="M624" i="2"/>
  <c r="N624" i="2"/>
  <c r="O624" i="2"/>
  <c r="P624" i="2"/>
  <c r="Q624" i="2"/>
  <c r="R624" i="2"/>
  <c r="S624" i="2"/>
  <c r="T624" i="2"/>
  <c r="U624" i="2"/>
  <c r="V624" i="2"/>
  <c r="W624" i="2"/>
  <c r="X624" i="2"/>
  <c r="Y624" i="2"/>
  <c r="A625" i="2"/>
  <c r="B625" i="2"/>
  <c r="C625" i="2"/>
  <c r="D625" i="2"/>
  <c r="E625" i="2"/>
  <c r="F625" i="2"/>
  <c r="G625" i="2"/>
  <c r="H625" i="2"/>
  <c r="I625" i="2"/>
  <c r="J625" i="2"/>
  <c r="K625" i="2"/>
  <c r="L625" i="2"/>
  <c r="M625" i="2"/>
  <c r="N625" i="2"/>
  <c r="O625" i="2"/>
  <c r="P625" i="2"/>
  <c r="Q625" i="2"/>
  <c r="R625" i="2"/>
  <c r="S625" i="2"/>
  <c r="T625" i="2"/>
  <c r="U625" i="2"/>
  <c r="V625" i="2"/>
  <c r="W625" i="2"/>
  <c r="X625" i="2"/>
  <c r="Y625" i="2"/>
  <c r="A626" i="2"/>
  <c r="B626" i="2"/>
  <c r="C626" i="2"/>
  <c r="D626" i="2"/>
  <c r="E626" i="2"/>
  <c r="F626" i="2"/>
  <c r="G626" i="2"/>
  <c r="H626" i="2"/>
  <c r="I626" i="2"/>
  <c r="J626" i="2"/>
  <c r="K626" i="2"/>
  <c r="L626" i="2"/>
  <c r="M626" i="2"/>
  <c r="N626" i="2"/>
  <c r="O626" i="2"/>
  <c r="P626" i="2"/>
  <c r="Q626" i="2"/>
  <c r="R626" i="2"/>
  <c r="S626" i="2"/>
  <c r="T626" i="2"/>
  <c r="U626" i="2"/>
  <c r="V626" i="2"/>
  <c r="W626" i="2"/>
  <c r="X626" i="2"/>
  <c r="Y626" i="2"/>
  <c r="A627" i="2"/>
  <c r="B627" i="2"/>
  <c r="C627" i="2"/>
  <c r="D627" i="2"/>
  <c r="E627" i="2"/>
  <c r="F627" i="2"/>
  <c r="G627" i="2"/>
  <c r="H627" i="2"/>
  <c r="I627" i="2"/>
  <c r="J627" i="2"/>
  <c r="K627" i="2"/>
  <c r="L627" i="2"/>
  <c r="M627" i="2"/>
  <c r="N627" i="2"/>
  <c r="O627" i="2"/>
  <c r="P627" i="2"/>
  <c r="Q627" i="2"/>
  <c r="R627" i="2"/>
  <c r="S627" i="2"/>
  <c r="T627" i="2"/>
  <c r="U627" i="2"/>
  <c r="V627" i="2"/>
  <c r="W627" i="2"/>
  <c r="X627" i="2"/>
  <c r="Y627" i="2"/>
  <c r="B628" i="2"/>
  <c r="C628" i="2"/>
  <c r="D628" i="2"/>
  <c r="E628" i="2"/>
  <c r="F628" i="2"/>
  <c r="G628" i="2"/>
  <c r="H628" i="2"/>
  <c r="I628" i="2"/>
  <c r="J628" i="2"/>
  <c r="K628" i="2"/>
  <c r="L628" i="2"/>
  <c r="M628" i="2"/>
  <c r="N628" i="2"/>
  <c r="O628" i="2"/>
  <c r="P628" i="2"/>
  <c r="Q628" i="2"/>
  <c r="R628" i="2"/>
  <c r="S628" i="2"/>
  <c r="T628" i="2"/>
  <c r="U628" i="2"/>
  <c r="V628" i="2"/>
  <c r="W628" i="2"/>
  <c r="X628" i="2"/>
  <c r="Y628" i="2"/>
  <c r="A629" i="2"/>
  <c r="B629" i="2"/>
  <c r="C629" i="2"/>
  <c r="D629" i="2"/>
  <c r="E629" i="2"/>
  <c r="F629" i="2"/>
  <c r="G629" i="2"/>
  <c r="H629" i="2"/>
  <c r="I629" i="2"/>
  <c r="J629" i="2"/>
  <c r="K629" i="2"/>
  <c r="L629" i="2"/>
  <c r="M629" i="2"/>
  <c r="N629" i="2"/>
  <c r="O629" i="2"/>
  <c r="P629" i="2"/>
  <c r="Q629" i="2"/>
  <c r="R629" i="2"/>
  <c r="S629" i="2"/>
  <c r="T629" i="2"/>
  <c r="U629" i="2"/>
  <c r="V629" i="2"/>
  <c r="W629" i="2"/>
  <c r="X629" i="2"/>
  <c r="Y629" i="2"/>
  <c r="A630" i="2"/>
  <c r="B630" i="2"/>
  <c r="C630" i="2"/>
  <c r="D630" i="2"/>
  <c r="E630" i="2"/>
  <c r="F630" i="2"/>
  <c r="G630" i="2"/>
  <c r="H630" i="2"/>
  <c r="I630" i="2"/>
  <c r="J630" i="2"/>
  <c r="K630" i="2"/>
  <c r="L630" i="2"/>
  <c r="M630" i="2"/>
  <c r="N630" i="2"/>
  <c r="O630" i="2"/>
  <c r="P630" i="2"/>
  <c r="Q630" i="2"/>
  <c r="R630" i="2"/>
  <c r="S630" i="2"/>
  <c r="T630" i="2"/>
  <c r="U630" i="2"/>
  <c r="V630" i="2"/>
  <c r="W630" i="2"/>
  <c r="X630" i="2"/>
  <c r="Y630" i="2"/>
  <c r="B631" i="2"/>
  <c r="C631" i="2"/>
  <c r="D631" i="2"/>
  <c r="E631" i="2"/>
  <c r="F631" i="2"/>
  <c r="G631" i="2"/>
  <c r="H631" i="2"/>
  <c r="I631" i="2"/>
  <c r="J631" i="2"/>
  <c r="K631" i="2"/>
  <c r="L631" i="2"/>
  <c r="M631" i="2"/>
  <c r="N631" i="2"/>
  <c r="O631" i="2"/>
  <c r="P631" i="2"/>
  <c r="Q631" i="2"/>
  <c r="R631" i="2"/>
  <c r="S631" i="2"/>
  <c r="T631" i="2"/>
  <c r="U631" i="2"/>
  <c r="V631" i="2"/>
  <c r="W631" i="2"/>
  <c r="X631" i="2"/>
  <c r="Y631" i="2"/>
  <c r="A632" i="2"/>
  <c r="B632" i="2"/>
  <c r="C632" i="2"/>
  <c r="D632" i="2"/>
  <c r="E632" i="2"/>
  <c r="F632" i="2"/>
  <c r="G632" i="2"/>
  <c r="H632" i="2"/>
  <c r="I632" i="2"/>
  <c r="J632" i="2"/>
  <c r="K632" i="2"/>
  <c r="L632" i="2"/>
  <c r="M632" i="2"/>
  <c r="N632" i="2"/>
  <c r="O632" i="2"/>
  <c r="P632" i="2"/>
  <c r="Q632" i="2"/>
  <c r="R632" i="2"/>
  <c r="S632" i="2"/>
  <c r="T632" i="2"/>
  <c r="U632" i="2"/>
  <c r="V632" i="2"/>
  <c r="W632" i="2"/>
  <c r="X632" i="2"/>
  <c r="Y632" i="2"/>
  <c r="A633" i="2"/>
  <c r="B633" i="2"/>
  <c r="C633" i="2"/>
  <c r="D633" i="2"/>
  <c r="E633" i="2"/>
  <c r="F633" i="2"/>
  <c r="G633" i="2"/>
  <c r="H633" i="2"/>
  <c r="I633" i="2"/>
  <c r="J633" i="2"/>
  <c r="K633" i="2"/>
  <c r="L633" i="2"/>
  <c r="M633" i="2"/>
  <c r="N633" i="2"/>
  <c r="O633" i="2"/>
  <c r="P633" i="2"/>
  <c r="Q633" i="2"/>
  <c r="R633" i="2"/>
  <c r="S633" i="2"/>
  <c r="T633" i="2"/>
  <c r="U633" i="2"/>
  <c r="V633" i="2"/>
  <c r="W633" i="2"/>
  <c r="X633" i="2"/>
  <c r="Y633" i="2"/>
  <c r="A634" i="2"/>
  <c r="B634" i="2"/>
  <c r="C634" i="2"/>
  <c r="D634" i="2"/>
  <c r="E634" i="2"/>
  <c r="F634" i="2"/>
  <c r="G634" i="2"/>
  <c r="H634" i="2"/>
  <c r="I634" i="2"/>
  <c r="J634" i="2"/>
  <c r="K634" i="2"/>
  <c r="L634" i="2"/>
  <c r="M634" i="2"/>
  <c r="N634" i="2"/>
  <c r="O634" i="2"/>
  <c r="P634" i="2"/>
  <c r="Q634" i="2"/>
  <c r="R634" i="2"/>
  <c r="S634" i="2"/>
  <c r="T634" i="2"/>
  <c r="U634" i="2"/>
  <c r="V634" i="2"/>
  <c r="W634" i="2"/>
  <c r="X634" i="2"/>
  <c r="Y634" i="2"/>
  <c r="A635" i="2"/>
  <c r="B635" i="2"/>
  <c r="C635" i="2"/>
  <c r="D635" i="2"/>
  <c r="E635" i="2"/>
  <c r="F635" i="2"/>
  <c r="G635" i="2"/>
  <c r="H635" i="2"/>
  <c r="I635" i="2"/>
  <c r="J635" i="2"/>
  <c r="K635" i="2"/>
  <c r="L635" i="2"/>
  <c r="M635" i="2"/>
  <c r="N635" i="2"/>
  <c r="O635" i="2"/>
  <c r="P635" i="2"/>
  <c r="Q635" i="2"/>
  <c r="R635" i="2"/>
  <c r="S635" i="2"/>
  <c r="T635" i="2"/>
  <c r="U635" i="2"/>
  <c r="V635" i="2"/>
  <c r="W635" i="2"/>
  <c r="X635" i="2"/>
  <c r="Y635" i="2"/>
  <c r="A636" i="2"/>
  <c r="B636" i="2"/>
  <c r="C636" i="2"/>
  <c r="D636" i="2"/>
  <c r="E636" i="2"/>
  <c r="F636" i="2"/>
  <c r="G636" i="2"/>
  <c r="H636" i="2"/>
  <c r="I636" i="2"/>
  <c r="J636" i="2"/>
  <c r="K636" i="2"/>
  <c r="L636" i="2"/>
  <c r="M636" i="2"/>
  <c r="N636" i="2"/>
  <c r="O636" i="2"/>
  <c r="P636" i="2"/>
  <c r="Q636" i="2"/>
  <c r="R636" i="2"/>
  <c r="S636" i="2"/>
  <c r="T636" i="2"/>
  <c r="U636" i="2"/>
  <c r="V636" i="2"/>
  <c r="W636" i="2"/>
  <c r="X636" i="2"/>
  <c r="Y636" i="2"/>
  <c r="A637" i="2"/>
  <c r="B637" i="2"/>
  <c r="C637" i="2"/>
  <c r="D637" i="2"/>
  <c r="E637" i="2"/>
  <c r="F637" i="2"/>
  <c r="G637" i="2"/>
  <c r="H637" i="2"/>
  <c r="I637" i="2"/>
  <c r="J637" i="2"/>
  <c r="K637" i="2"/>
  <c r="L637" i="2"/>
  <c r="M637" i="2"/>
  <c r="N637" i="2"/>
  <c r="O637" i="2"/>
  <c r="P637" i="2"/>
  <c r="Q637" i="2"/>
  <c r="R637" i="2"/>
  <c r="S637" i="2"/>
  <c r="T637" i="2"/>
  <c r="U637" i="2"/>
  <c r="V637" i="2"/>
  <c r="W637" i="2"/>
  <c r="X637" i="2"/>
  <c r="Y637" i="2"/>
  <c r="A638" i="2"/>
  <c r="B638" i="2"/>
  <c r="C638" i="2"/>
  <c r="D638" i="2"/>
  <c r="E638" i="2"/>
  <c r="F638" i="2"/>
  <c r="G638" i="2"/>
  <c r="H638" i="2"/>
  <c r="I638" i="2"/>
  <c r="J638" i="2"/>
  <c r="K638" i="2"/>
  <c r="L638" i="2"/>
  <c r="M638" i="2"/>
  <c r="N638" i="2"/>
  <c r="O638" i="2"/>
  <c r="P638" i="2"/>
  <c r="Q638" i="2"/>
  <c r="R638" i="2"/>
  <c r="S638" i="2"/>
  <c r="T638" i="2"/>
  <c r="U638" i="2"/>
  <c r="V638" i="2"/>
  <c r="W638" i="2"/>
  <c r="X638" i="2"/>
  <c r="Y638" i="2"/>
  <c r="A639" i="2"/>
  <c r="B639" i="2"/>
  <c r="C639" i="2"/>
  <c r="D639" i="2"/>
  <c r="E639" i="2"/>
  <c r="F639" i="2"/>
  <c r="G639" i="2"/>
  <c r="H639" i="2"/>
  <c r="I639" i="2"/>
  <c r="J639" i="2"/>
  <c r="K639" i="2"/>
  <c r="L639" i="2"/>
  <c r="M639" i="2"/>
  <c r="N639" i="2"/>
  <c r="O639" i="2"/>
  <c r="P639" i="2"/>
  <c r="Q639" i="2"/>
  <c r="R639" i="2"/>
  <c r="S639" i="2"/>
  <c r="T639" i="2"/>
  <c r="U639" i="2"/>
  <c r="V639" i="2"/>
  <c r="W639" i="2"/>
  <c r="X639" i="2"/>
  <c r="Y639" i="2"/>
  <c r="A640" i="2"/>
  <c r="B640" i="2"/>
  <c r="C640" i="2"/>
  <c r="D640" i="2"/>
  <c r="E640" i="2"/>
  <c r="F640" i="2"/>
  <c r="G640" i="2"/>
  <c r="H640" i="2"/>
  <c r="I640" i="2"/>
  <c r="J640" i="2"/>
  <c r="K640" i="2"/>
  <c r="L640" i="2"/>
  <c r="M640" i="2"/>
  <c r="N640" i="2"/>
  <c r="O640" i="2"/>
  <c r="P640" i="2"/>
  <c r="Q640" i="2"/>
  <c r="R640" i="2"/>
  <c r="S640" i="2"/>
  <c r="T640" i="2"/>
  <c r="U640" i="2"/>
  <c r="V640" i="2"/>
  <c r="W640" i="2"/>
  <c r="X640" i="2"/>
  <c r="Y640" i="2"/>
  <c r="A641" i="2"/>
  <c r="B641" i="2"/>
  <c r="C641" i="2"/>
  <c r="D641" i="2"/>
  <c r="E641" i="2"/>
  <c r="F641" i="2"/>
  <c r="G641" i="2"/>
  <c r="H641" i="2"/>
  <c r="I641" i="2"/>
  <c r="J641" i="2"/>
  <c r="K641" i="2"/>
  <c r="L641" i="2"/>
  <c r="M641" i="2"/>
  <c r="N641" i="2"/>
  <c r="O641" i="2"/>
  <c r="P641" i="2"/>
  <c r="Q641" i="2"/>
  <c r="R641" i="2"/>
  <c r="S641" i="2"/>
  <c r="T641" i="2"/>
  <c r="U641" i="2"/>
  <c r="V641" i="2"/>
  <c r="W641" i="2"/>
  <c r="X641" i="2"/>
  <c r="Y641" i="2"/>
  <c r="A642" i="2"/>
  <c r="B642" i="2"/>
  <c r="C642" i="2"/>
  <c r="D642" i="2"/>
  <c r="E642" i="2"/>
  <c r="F642" i="2"/>
  <c r="G642" i="2"/>
  <c r="H642" i="2"/>
  <c r="I642" i="2"/>
  <c r="J642" i="2"/>
  <c r="K642" i="2"/>
  <c r="L642" i="2"/>
  <c r="M642" i="2"/>
  <c r="N642" i="2"/>
  <c r="O642" i="2"/>
  <c r="P642" i="2"/>
  <c r="Q642" i="2"/>
  <c r="R642" i="2"/>
  <c r="S642" i="2"/>
  <c r="T642" i="2"/>
  <c r="U642" i="2"/>
  <c r="V642" i="2"/>
  <c r="W642" i="2"/>
  <c r="X642" i="2"/>
  <c r="Y642" i="2"/>
  <c r="A643" i="2"/>
  <c r="B643" i="2"/>
  <c r="C643" i="2"/>
  <c r="D643" i="2"/>
  <c r="E643" i="2"/>
  <c r="F643" i="2"/>
  <c r="G643" i="2"/>
  <c r="H643" i="2"/>
  <c r="I643" i="2"/>
  <c r="J643" i="2"/>
  <c r="K643" i="2"/>
  <c r="L643" i="2"/>
  <c r="M643" i="2"/>
  <c r="N643" i="2"/>
  <c r="O643" i="2"/>
  <c r="P643" i="2"/>
  <c r="Q643" i="2"/>
  <c r="R643" i="2"/>
  <c r="S643" i="2"/>
  <c r="T643" i="2"/>
  <c r="U643" i="2"/>
  <c r="V643" i="2"/>
  <c r="W643" i="2"/>
  <c r="X643" i="2"/>
  <c r="Y643" i="2"/>
  <c r="B644" i="2"/>
  <c r="C644" i="2"/>
  <c r="D644" i="2"/>
  <c r="E644" i="2"/>
  <c r="F644" i="2"/>
  <c r="G644" i="2"/>
  <c r="H644" i="2"/>
  <c r="I644" i="2"/>
  <c r="J644" i="2"/>
  <c r="K644" i="2"/>
  <c r="L644" i="2"/>
  <c r="M644" i="2"/>
  <c r="N644" i="2"/>
  <c r="O644" i="2"/>
  <c r="P644" i="2"/>
  <c r="Q644" i="2"/>
  <c r="R644" i="2"/>
  <c r="S644" i="2"/>
  <c r="T644" i="2"/>
  <c r="U644" i="2"/>
  <c r="V644" i="2"/>
  <c r="W644" i="2"/>
  <c r="X644" i="2"/>
  <c r="Y644" i="2"/>
  <c r="A645" i="2"/>
  <c r="B645" i="2"/>
  <c r="C645" i="2"/>
  <c r="D645" i="2"/>
  <c r="E645" i="2"/>
  <c r="F645" i="2"/>
  <c r="G645" i="2"/>
  <c r="H645" i="2"/>
  <c r="I645" i="2"/>
  <c r="J645" i="2"/>
  <c r="K645" i="2"/>
  <c r="L645" i="2"/>
  <c r="M645" i="2"/>
  <c r="N645" i="2"/>
  <c r="O645" i="2"/>
  <c r="P645" i="2"/>
  <c r="Q645" i="2"/>
  <c r="R645" i="2"/>
  <c r="S645" i="2"/>
  <c r="T645" i="2"/>
  <c r="U645" i="2"/>
  <c r="V645" i="2"/>
  <c r="W645" i="2"/>
  <c r="X645" i="2"/>
  <c r="Y645" i="2"/>
  <c r="A646" i="2"/>
  <c r="B646" i="2"/>
  <c r="C646" i="2"/>
  <c r="D646" i="2"/>
  <c r="E646" i="2"/>
  <c r="F646" i="2"/>
  <c r="G646" i="2"/>
  <c r="H646" i="2"/>
  <c r="I646" i="2"/>
  <c r="J646" i="2"/>
  <c r="K646" i="2"/>
  <c r="L646" i="2"/>
  <c r="M646" i="2"/>
  <c r="N646" i="2"/>
  <c r="O646" i="2"/>
  <c r="P646" i="2"/>
  <c r="Q646" i="2"/>
  <c r="R646" i="2"/>
  <c r="S646" i="2"/>
  <c r="T646" i="2"/>
  <c r="U646" i="2"/>
  <c r="V646" i="2"/>
  <c r="W646" i="2"/>
  <c r="X646" i="2"/>
  <c r="Y646" i="2"/>
  <c r="B647" i="2"/>
  <c r="C647" i="2"/>
  <c r="D647" i="2"/>
  <c r="E647" i="2"/>
  <c r="F647" i="2"/>
  <c r="G647" i="2"/>
  <c r="H647" i="2"/>
  <c r="I647" i="2"/>
  <c r="J647" i="2"/>
  <c r="K647" i="2"/>
  <c r="L647" i="2"/>
  <c r="M647" i="2"/>
  <c r="N647" i="2"/>
  <c r="O647" i="2"/>
  <c r="P647" i="2"/>
  <c r="Q647" i="2"/>
  <c r="R647" i="2"/>
  <c r="S647" i="2"/>
  <c r="T647" i="2"/>
  <c r="U647" i="2"/>
  <c r="V647" i="2"/>
  <c r="W647" i="2"/>
  <c r="X647" i="2"/>
  <c r="Y647" i="2"/>
  <c r="B648" i="2"/>
  <c r="C648" i="2"/>
  <c r="D648" i="2"/>
  <c r="E648" i="2"/>
  <c r="F648" i="2"/>
  <c r="G648" i="2"/>
  <c r="H648" i="2"/>
  <c r="I648" i="2"/>
  <c r="J648" i="2"/>
  <c r="K648" i="2"/>
  <c r="L648" i="2"/>
  <c r="M648" i="2"/>
  <c r="N648" i="2"/>
  <c r="O648" i="2"/>
  <c r="P648" i="2"/>
  <c r="Q648" i="2"/>
  <c r="R648" i="2"/>
  <c r="S648" i="2"/>
  <c r="T648" i="2"/>
  <c r="U648" i="2"/>
  <c r="V648" i="2"/>
  <c r="W648" i="2"/>
  <c r="X648" i="2"/>
  <c r="Y648" i="2"/>
  <c r="A649" i="2"/>
  <c r="B649" i="2"/>
  <c r="C649" i="2"/>
  <c r="D649" i="2"/>
  <c r="E649" i="2"/>
  <c r="F649" i="2"/>
  <c r="G649" i="2"/>
  <c r="H649" i="2"/>
  <c r="I649" i="2"/>
  <c r="J649" i="2"/>
  <c r="K649" i="2"/>
  <c r="L649" i="2"/>
  <c r="M649" i="2"/>
  <c r="N649" i="2"/>
  <c r="O649" i="2"/>
  <c r="P649" i="2"/>
  <c r="Q649" i="2"/>
  <c r="R649" i="2"/>
  <c r="S649" i="2"/>
  <c r="T649" i="2"/>
  <c r="U649" i="2"/>
  <c r="V649" i="2"/>
  <c r="W649" i="2"/>
  <c r="X649" i="2"/>
  <c r="Y649" i="2"/>
  <c r="A650" i="2"/>
  <c r="B650" i="2"/>
  <c r="C650" i="2"/>
  <c r="D650" i="2"/>
  <c r="E650" i="2"/>
  <c r="F650" i="2"/>
  <c r="G650" i="2"/>
  <c r="H650" i="2"/>
  <c r="I650" i="2"/>
  <c r="J650" i="2"/>
  <c r="K650" i="2"/>
  <c r="L650" i="2"/>
  <c r="M650" i="2"/>
  <c r="N650" i="2"/>
  <c r="O650" i="2"/>
  <c r="P650" i="2"/>
  <c r="Q650" i="2"/>
  <c r="R650" i="2"/>
  <c r="S650" i="2"/>
  <c r="T650" i="2"/>
  <c r="U650" i="2"/>
  <c r="V650" i="2"/>
  <c r="W650" i="2"/>
  <c r="X650" i="2"/>
  <c r="Y650" i="2"/>
  <c r="A651" i="2"/>
  <c r="B651" i="2"/>
  <c r="C651" i="2"/>
  <c r="D651" i="2"/>
  <c r="E651" i="2"/>
  <c r="F651" i="2"/>
  <c r="G651" i="2"/>
  <c r="H651" i="2"/>
  <c r="I651" i="2"/>
  <c r="J651" i="2"/>
  <c r="K651" i="2"/>
  <c r="L651" i="2"/>
  <c r="M651" i="2"/>
  <c r="N651" i="2"/>
  <c r="O651" i="2"/>
  <c r="P651" i="2"/>
  <c r="Q651" i="2"/>
  <c r="R651" i="2"/>
  <c r="S651" i="2"/>
  <c r="T651" i="2"/>
  <c r="U651" i="2"/>
  <c r="V651" i="2"/>
  <c r="W651" i="2"/>
  <c r="X651" i="2"/>
  <c r="Y651" i="2"/>
  <c r="B652" i="2"/>
  <c r="C652" i="2"/>
  <c r="D652" i="2"/>
  <c r="E652" i="2"/>
  <c r="F652" i="2"/>
  <c r="G652" i="2"/>
  <c r="H652" i="2"/>
  <c r="I652" i="2"/>
  <c r="J652" i="2"/>
  <c r="K652" i="2"/>
  <c r="L652" i="2"/>
  <c r="M652" i="2"/>
  <c r="N652" i="2"/>
  <c r="O652" i="2"/>
  <c r="P652" i="2"/>
  <c r="Q652" i="2"/>
  <c r="R652" i="2"/>
  <c r="S652" i="2"/>
  <c r="T652" i="2"/>
  <c r="U652" i="2"/>
  <c r="V652" i="2"/>
  <c r="W652" i="2"/>
  <c r="X652" i="2"/>
  <c r="Y652" i="2"/>
  <c r="A653" i="2"/>
  <c r="B653" i="2"/>
  <c r="C653" i="2"/>
  <c r="D653" i="2"/>
  <c r="E653" i="2"/>
  <c r="F653" i="2"/>
  <c r="G653" i="2"/>
  <c r="H653" i="2"/>
  <c r="I653" i="2"/>
  <c r="J653" i="2"/>
  <c r="K653" i="2"/>
  <c r="L653" i="2"/>
  <c r="M653" i="2"/>
  <c r="N653" i="2"/>
  <c r="O653" i="2"/>
  <c r="P653" i="2"/>
  <c r="Q653" i="2"/>
  <c r="R653" i="2"/>
  <c r="S653" i="2"/>
  <c r="T653" i="2"/>
  <c r="U653" i="2"/>
  <c r="V653" i="2"/>
  <c r="W653" i="2"/>
  <c r="X653" i="2"/>
  <c r="Y653" i="2"/>
  <c r="A654" i="2"/>
  <c r="B654" i="2"/>
  <c r="C654" i="2"/>
  <c r="D654" i="2"/>
  <c r="E654" i="2"/>
  <c r="F654" i="2"/>
  <c r="G654" i="2"/>
  <c r="H654" i="2"/>
  <c r="I654" i="2"/>
  <c r="J654" i="2"/>
  <c r="K654" i="2"/>
  <c r="L654" i="2"/>
  <c r="M654" i="2"/>
  <c r="N654" i="2"/>
  <c r="O654" i="2"/>
  <c r="P654" i="2"/>
  <c r="Q654" i="2"/>
  <c r="R654" i="2"/>
  <c r="S654" i="2"/>
  <c r="T654" i="2"/>
  <c r="U654" i="2"/>
  <c r="V654" i="2"/>
  <c r="W654" i="2"/>
  <c r="X654" i="2"/>
  <c r="Y654" i="2"/>
  <c r="A655" i="2"/>
  <c r="B655" i="2"/>
  <c r="C655" i="2"/>
  <c r="D655" i="2"/>
  <c r="E655" i="2"/>
  <c r="F655" i="2"/>
  <c r="G655" i="2"/>
  <c r="H655" i="2"/>
  <c r="I655" i="2"/>
  <c r="J655" i="2"/>
  <c r="K655" i="2"/>
  <c r="L655" i="2"/>
  <c r="M655" i="2"/>
  <c r="N655" i="2"/>
  <c r="O655" i="2"/>
  <c r="P655" i="2"/>
  <c r="Q655" i="2"/>
  <c r="R655" i="2"/>
  <c r="S655" i="2"/>
  <c r="T655" i="2"/>
  <c r="U655" i="2"/>
  <c r="V655" i="2"/>
  <c r="W655" i="2"/>
  <c r="X655" i="2"/>
  <c r="Y655" i="2"/>
  <c r="A656" i="2"/>
  <c r="B656" i="2"/>
  <c r="C656" i="2"/>
  <c r="D656" i="2"/>
  <c r="E656" i="2"/>
  <c r="F656" i="2"/>
  <c r="G656" i="2"/>
  <c r="H656" i="2"/>
  <c r="I656" i="2"/>
  <c r="J656" i="2"/>
  <c r="K656" i="2"/>
  <c r="L656" i="2"/>
  <c r="M656" i="2"/>
  <c r="N656" i="2"/>
  <c r="O656" i="2"/>
  <c r="P656" i="2"/>
  <c r="Q656" i="2"/>
  <c r="R656" i="2"/>
  <c r="S656" i="2"/>
  <c r="T656" i="2"/>
  <c r="U656" i="2"/>
  <c r="V656" i="2"/>
  <c r="W656" i="2"/>
  <c r="X656" i="2"/>
  <c r="Y656" i="2"/>
  <c r="A657" i="2"/>
  <c r="B657" i="2"/>
  <c r="C657" i="2"/>
  <c r="D657" i="2"/>
  <c r="E657" i="2"/>
  <c r="F657" i="2"/>
  <c r="G657" i="2"/>
  <c r="H657" i="2"/>
  <c r="I657" i="2"/>
  <c r="J657" i="2"/>
  <c r="K657" i="2"/>
  <c r="L657" i="2"/>
  <c r="M657" i="2"/>
  <c r="N657" i="2"/>
  <c r="O657" i="2"/>
  <c r="P657" i="2"/>
  <c r="Q657" i="2"/>
  <c r="R657" i="2"/>
  <c r="S657" i="2"/>
  <c r="T657" i="2"/>
  <c r="U657" i="2"/>
  <c r="V657" i="2"/>
  <c r="W657" i="2"/>
  <c r="X657" i="2"/>
  <c r="Y657" i="2"/>
  <c r="A658" i="2"/>
  <c r="B658" i="2"/>
  <c r="C658" i="2"/>
  <c r="D658" i="2"/>
  <c r="E658" i="2"/>
  <c r="F658" i="2"/>
  <c r="G658" i="2"/>
  <c r="H658" i="2"/>
  <c r="I658" i="2"/>
  <c r="J658" i="2"/>
  <c r="K658" i="2"/>
  <c r="L658" i="2"/>
  <c r="M658" i="2"/>
  <c r="N658" i="2"/>
  <c r="O658" i="2"/>
  <c r="P658" i="2"/>
  <c r="Q658" i="2"/>
  <c r="R658" i="2"/>
  <c r="S658" i="2"/>
  <c r="T658" i="2"/>
  <c r="U658" i="2"/>
  <c r="V658" i="2"/>
  <c r="W658" i="2"/>
  <c r="X658" i="2"/>
  <c r="Y658" i="2"/>
  <c r="A659" i="2"/>
  <c r="B659" i="2"/>
  <c r="C659" i="2"/>
  <c r="D659" i="2"/>
  <c r="E659" i="2"/>
  <c r="F659" i="2"/>
  <c r="G659" i="2"/>
  <c r="H659" i="2"/>
  <c r="I659" i="2"/>
  <c r="J659" i="2"/>
  <c r="K659" i="2"/>
  <c r="L659" i="2"/>
  <c r="M659" i="2"/>
  <c r="N659" i="2"/>
  <c r="O659" i="2"/>
  <c r="P659" i="2"/>
  <c r="Q659" i="2"/>
  <c r="R659" i="2"/>
  <c r="S659" i="2"/>
  <c r="T659" i="2"/>
  <c r="U659" i="2"/>
  <c r="V659" i="2"/>
  <c r="W659" i="2"/>
  <c r="X659" i="2"/>
  <c r="Y659" i="2"/>
  <c r="B660" i="2"/>
  <c r="C660" i="2"/>
  <c r="D660" i="2"/>
  <c r="E660" i="2"/>
  <c r="F660" i="2"/>
  <c r="G660" i="2"/>
  <c r="H660" i="2"/>
  <c r="I660" i="2"/>
  <c r="J660" i="2"/>
  <c r="K660" i="2"/>
  <c r="L660" i="2"/>
  <c r="M660" i="2"/>
  <c r="N660" i="2"/>
  <c r="O660" i="2"/>
  <c r="P660" i="2"/>
  <c r="Q660" i="2"/>
  <c r="R660" i="2"/>
  <c r="S660" i="2"/>
  <c r="T660" i="2"/>
  <c r="U660" i="2"/>
  <c r="V660" i="2"/>
  <c r="W660" i="2"/>
  <c r="X660" i="2"/>
  <c r="Y660" i="2"/>
  <c r="A661" i="2"/>
  <c r="B661" i="2"/>
  <c r="C661" i="2"/>
  <c r="D661" i="2"/>
  <c r="E661" i="2"/>
  <c r="F661" i="2"/>
  <c r="G661" i="2"/>
  <c r="H661" i="2"/>
  <c r="I661" i="2"/>
  <c r="J661" i="2"/>
  <c r="K661" i="2"/>
  <c r="L661" i="2"/>
  <c r="M661" i="2"/>
  <c r="N661" i="2"/>
  <c r="O661" i="2"/>
  <c r="P661" i="2"/>
  <c r="Q661" i="2"/>
  <c r="R661" i="2"/>
  <c r="S661" i="2"/>
  <c r="T661" i="2"/>
  <c r="U661" i="2"/>
  <c r="V661" i="2"/>
  <c r="W661" i="2"/>
  <c r="X661" i="2"/>
  <c r="Y661" i="2"/>
  <c r="B662" i="2"/>
  <c r="C662" i="2"/>
  <c r="D662" i="2"/>
  <c r="E662" i="2"/>
  <c r="F662" i="2"/>
  <c r="G662" i="2"/>
  <c r="H662" i="2"/>
  <c r="I662" i="2"/>
  <c r="J662" i="2"/>
  <c r="K662" i="2"/>
  <c r="L662" i="2"/>
  <c r="M662" i="2"/>
  <c r="N662" i="2"/>
  <c r="O662" i="2"/>
  <c r="P662" i="2"/>
  <c r="Q662" i="2"/>
  <c r="R662" i="2"/>
  <c r="S662" i="2"/>
  <c r="T662" i="2"/>
  <c r="U662" i="2"/>
  <c r="V662" i="2"/>
  <c r="W662" i="2"/>
  <c r="X662" i="2"/>
  <c r="Y662" i="2"/>
  <c r="B663" i="2"/>
  <c r="C663" i="2"/>
  <c r="D663" i="2"/>
  <c r="E663" i="2"/>
  <c r="F663" i="2"/>
  <c r="G663" i="2"/>
  <c r="H663" i="2"/>
  <c r="I663" i="2"/>
  <c r="J663" i="2"/>
  <c r="K663" i="2"/>
  <c r="L663" i="2"/>
  <c r="M663" i="2"/>
  <c r="N663" i="2"/>
  <c r="O663" i="2"/>
  <c r="P663" i="2"/>
  <c r="Q663" i="2"/>
  <c r="R663" i="2"/>
  <c r="S663" i="2"/>
  <c r="T663" i="2"/>
  <c r="U663" i="2"/>
  <c r="V663" i="2"/>
  <c r="W663" i="2"/>
  <c r="X663" i="2"/>
  <c r="Y663" i="2"/>
  <c r="B664" i="2"/>
  <c r="C664" i="2"/>
  <c r="D664" i="2"/>
  <c r="E664" i="2"/>
  <c r="F664" i="2"/>
  <c r="G664" i="2"/>
  <c r="H664" i="2"/>
  <c r="I664" i="2"/>
  <c r="J664" i="2"/>
  <c r="K664" i="2"/>
  <c r="L664" i="2"/>
  <c r="M664" i="2"/>
  <c r="N664" i="2"/>
  <c r="O664" i="2"/>
  <c r="P664" i="2"/>
  <c r="Q664" i="2"/>
  <c r="R664" i="2"/>
  <c r="S664" i="2"/>
  <c r="T664" i="2"/>
  <c r="U664" i="2"/>
  <c r="V664" i="2"/>
  <c r="W664" i="2"/>
  <c r="X664" i="2"/>
  <c r="Y664" i="2"/>
  <c r="A665" i="2"/>
  <c r="B665" i="2"/>
  <c r="C665" i="2"/>
  <c r="D665" i="2"/>
  <c r="E665" i="2"/>
  <c r="F665" i="2"/>
  <c r="G665" i="2"/>
  <c r="H665" i="2"/>
  <c r="I665" i="2"/>
  <c r="J665" i="2"/>
  <c r="K665" i="2"/>
  <c r="L665" i="2"/>
  <c r="M665" i="2"/>
  <c r="N665" i="2"/>
  <c r="O665" i="2"/>
  <c r="P665" i="2"/>
  <c r="Q665" i="2"/>
  <c r="R665" i="2"/>
  <c r="S665" i="2"/>
  <c r="T665" i="2"/>
  <c r="U665" i="2"/>
  <c r="V665" i="2"/>
  <c r="W665" i="2"/>
  <c r="X665" i="2"/>
  <c r="Y665" i="2"/>
  <c r="A666" i="2"/>
  <c r="B666" i="2"/>
  <c r="C666" i="2"/>
  <c r="D666" i="2"/>
  <c r="E666" i="2"/>
  <c r="F666" i="2"/>
  <c r="G666" i="2"/>
  <c r="H666" i="2"/>
  <c r="I666" i="2"/>
  <c r="J666" i="2"/>
  <c r="K666" i="2"/>
  <c r="L666" i="2"/>
  <c r="M666" i="2"/>
  <c r="N666" i="2"/>
  <c r="O666" i="2"/>
  <c r="P666" i="2"/>
  <c r="Q666" i="2"/>
  <c r="R666" i="2"/>
  <c r="S666" i="2"/>
  <c r="T666" i="2"/>
  <c r="U666" i="2"/>
  <c r="V666" i="2"/>
  <c r="W666" i="2"/>
  <c r="X666" i="2"/>
  <c r="Y666" i="2"/>
  <c r="A667" i="2"/>
  <c r="B667" i="2"/>
  <c r="C667" i="2"/>
  <c r="D667" i="2"/>
  <c r="E667" i="2"/>
  <c r="F667" i="2"/>
  <c r="G667" i="2"/>
  <c r="H667" i="2"/>
  <c r="I667" i="2"/>
  <c r="J667" i="2"/>
  <c r="K667" i="2"/>
  <c r="L667" i="2"/>
  <c r="M667" i="2"/>
  <c r="N667" i="2"/>
  <c r="O667" i="2"/>
  <c r="P667" i="2"/>
  <c r="Q667" i="2"/>
  <c r="R667" i="2"/>
  <c r="S667" i="2"/>
  <c r="T667" i="2"/>
  <c r="U667" i="2"/>
  <c r="V667" i="2"/>
  <c r="W667" i="2"/>
  <c r="X667" i="2"/>
  <c r="Y667" i="2"/>
  <c r="A668" i="2"/>
  <c r="B668" i="2"/>
  <c r="C668" i="2"/>
  <c r="D668" i="2"/>
  <c r="E668" i="2"/>
  <c r="F668" i="2"/>
  <c r="G668" i="2"/>
  <c r="H668" i="2"/>
  <c r="I668" i="2"/>
  <c r="J668" i="2"/>
  <c r="K668" i="2"/>
  <c r="L668" i="2"/>
  <c r="M668" i="2"/>
  <c r="N668" i="2"/>
  <c r="O668" i="2"/>
  <c r="P668" i="2"/>
  <c r="Q668" i="2"/>
  <c r="R668" i="2"/>
  <c r="S668" i="2"/>
  <c r="T668" i="2"/>
  <c r="U668" i="2"/>
  <c r="V668" i="2"/>
  <c r="W668" i="2"/>
  <c r="X668" i="2"/>
  <c r="Y668" i="2"/>
  <c r="A669" i="2"/>
  <c r="B669" i="2"/>
  <c r="C669" i="2"/>
  <c r="D669" i="2"/>
  <c r="E669" i="2"/>
  <c r="F669" i="2"/>
  <c r="G669" i="2"/>
  <c r="H669" i="2"/>
  <c r="I669" i="2"/>
  <c r="J669" i="2"/>
  <c r="K669" i="2"/>
  <c r="L669" i="2"/>
  <c r="M669" i="2"/>
  <c r="N669" i="2"/>
  <c r="O669" i="2"/>
  <c r="P669" i="2"/>
  <c r="Q669" i="2"/>
  <c r="R669" i="2"/>
  <c r="S669" i="2"/>
  <c r="T669" i="2"/>
  <c r="U669" i="2"/>
  <c r="V669" i="2"/>
  <c r="W669" i="2"/>
  <c r="X669" i="2"/>
  <c r="Y669" i="2"/>
  <c r="A670" i="2"/>
  <c r="B670" i="2"/>
  <c r="C670" i="2"/>
  <c r="D670" i="2"/>
  <c r="E670" i="2"/>
  <c r="F670" i="2"/>
  <c r="G670" i="2"/>
  <c r="H670" i="2"/>
  <c r="I670" i="2"/>
  <c r="J670" i="2"/>
  <c r="K670" i="2"/>
  <c r="L670" i="2"/>
  <c r="M670" i="2"/>
  <c r="N670" i="2"/>
  <c r="O670" i="2"/>
  <c r="P670" i="2"/>
  <c r="Q670" i="2"/>
  <c r="R670" i="2"/>
  <c r="S670" i="2"/>
  <c r="T670" i="2"/>
  <c r="U670" i="2"/>
  <c r="V670" i="2"/>
  <c r="W670" i="2"/>
  <c r="X670" i="2"/>
  <c r="Y670" i="2"/>
  <c r="A671" i="2"/>
  <c r="B671" i="2"/>
  <c r="C671" i="2"/>
  <c r="D671" i="2"/>
  <c r="E671" i="2"/>
  <c r="F671" i="2"/>
  <c r="G671" i="2"/>
  <c r="H671" i="2"/>
  <c r="I671" i="2"/>
  <c r="J671" i="2"/>
  <c r="K671" i="2"/>
  <c r="L671" i="2"/>
  <c r="M671" i="2"/>
  <c r="N671" i="2"/>
  <c r="O671" i="2"/>
  <c r="P671" i="2"/>
  <c r="Q671" i="2"/>
  <c r="R671" i="2"/>
  <c r="S671" i="2"/>
  <c r="T671" i="2"/>
  <c r="U671" i="2"/>
  <c r="V671" i="2"/>
  <c r="W671" i="2"/>
  <c r="X671" i="2"/>
  <c r="Y671" i="2"/>
  <c r="A672" i="2"/>
  <c r="B672" i="2"/>
  <c r="C672" i="2"/>
  <c r="D672" i="2"/>
  <c r="E672" i="2"/>
  <c r="F672" i="2"/>
  <c r="G672" i="2"/>
  <c r="H672" i="2"/>
  <c r="I672" i="2"/>
  <c r="J672" i="2"/>
  <c r="K672" i="2"/>
  <c r="L672" i="2"/>
  <c r="M672" i="2"/>
  <c r="N672" i="2"/>
  <c r="O672" i="2"/>
  <c r="P672" i="2"/>
  <c r="Q672" i="2"/>
  <c r="R672" i="2"/>
  <c r="S672" i="2"/>
  <c r="T672" i="2"/>
  <c r="U672" i="2"/>
  <c r="V672" i="2"/>
  <c r="W672" i="2"/>
  <c r="X672" i="2"/>
  <c r="Y672" i="2"/>
  <c r="A673" i="2"/>
  <c r="B673" i="2"/>
  <c r="C673" i="2"/>
  <c r="D673" i="2"/>
  <c r="E673" i="2"/>
  <c r="F673" i="2"/>
  <c r="G673" i="2"/>
  <c r="H673" i="2"/>
  <c r="I673" i="2"/>
  <c r="J673" i="2"/>
  <c r="K673" i="2"/>
  <c r="L673" i="2"/>
  <c r="M673" i="2"/>
  <c r="N673" i="2"/>
  <c r="O673" i="2"/>
  <c r="P673" i="2"/>
  <c r="Q673" i="2"/>
  <c r="R673" i="2"/>
  <c r="S673" i="2"/>
  <c r="T673" i="2"/>
  <c r="U673" i="2"/>
  <c r="V673" i="2"/>
  <c r="W673" i="2"/>
  <c r="X673" i="2"/>
  <c r="Y673" i="2"/>
  <c r="A674" i="2"/>
  <c r="B674" i="2"/>
  <c r="C674" i="2"/>
  <c r="D674" i="2"/>
  <c r="E674" i="2"/>
  <c r="F674" i="2"/>
  <c r="G674" i="2"/>
  <c r="H674" i="2"/>
  <c r="I674" i="2"/>
  <c r="J674" i="2"/>
  <c r="K674" i="2"/>
  <c r="L674" i="2"/>
  <c r="M674" i="2"/>
  <c r="N674" i="2"/>
  <c r="O674" i="2"/>
  <c r="P674" i="2"/>
  <c r="Q674" i="2"/>
  <c r="R674" i="2"/>
  <c r="S674" i="2"/>
  <c r="T674" i="2"/>
  <c r="U674" i="2"/>
  <c r="V674" i="2"/>
  <c r="W674" i="2"/>
  <c r="X674" i="2"/>
  <c r="Y674" i="2"/>
  <c r="A675" i="2"/>
  <c r="B675" i="2"/>
  <c r="C675" i="2"/>
  <c r="D675" i="2"/>
  <c r="E675" i="2"/>
  <c r="F675" i="2"/>
  <c r="G675" i="2"/>
  <c r="H675" i="2"/>
  <c r="I675" i="2"/>
  <c r="J675" i="2"/>
  <c r="K675" i="2"/>
  <c r="L675" i="2"/>
  <c r="M675" i="2"/>
  <c r="N675" i="2"/>
  <c r="O675" i="2"/>
  <c r="P675" i="2"/>
  <c r="Q675" i="2"/>
  <c r="R675" i="2"/>
  <c r="S675" i="2"/>
  <c r="T675" i="2"/>
  <c r="U675" i="2"/>
  <c r="V675" i="2"/>
  <c r="W675" i="2"/>
  <c r="X675" i="2"/>
  <c r="Y675" i="2"/>
  <c r="B676" i="2"/>
  <c r="C676" i="2"/>
  <c r="D676" i="2"/>
  <c r="E676" i="2"/>
  <c r="F676" i="2"/>
  <c r="G676" i="2"/>
  <c r="H676" i="2"/>
  <c r="I676" i="2"/>
  <c r="J676" i="2"/>
  <c r="K676" i="2"/>
  <c r="L676" i="2"/>
  <c r="M676" i="2"/>
  <c r="N676" i="2"/>
  <c r="O676" i="2"/>
  <c r="P676" i="2"/>
  <c r="Q676" i="2"/>
  <c r="R676" i="2"/>
  <c r="S676" i="2"/>
  <c r="T676" i="2"/>
  <c r="U676" i="2"/>
  <c r="V676" i="2"/>
  <c r="W676" i="2"/>
  <c r="X676" i="2"/>
  <c r="Y676" i="2"/>
  <c r="A677" i="2"/>
  <c r="B677" i="2"/>
  <c r="C677" i="2"/>
  <c r="D677" i="2"/>
  <c r="E677" i="2"/>
  <c r="F677" i="2"/>
  <c r="G677" i="2"/>
  <c r="H677" i="2"/>
  <c r="I677" i="2"/>
  <c r="J677" i="2"/>
  <c r="K677" i="2"/>
  <c r="L677" i="2"/>
  <c r="M677" i="2"/>
  <c r="N677" i="2"/>
  <c r="O677" i="2"/>
  <c r="P677" i="2"/>
  <c r="Q677" i="2"/>
  <c r="R677" i="2"/>
  <c r="S677" i="2"/>
  <c r="T677" i="2"/>
  <c r="U677" i="2"/>
  <c r="V677" i="2"/>
  <c r="W677" i="2"/>
  <c r="X677" i="2"/>
  <c r="Y677" i="2"/>
  <c r="A678" i="2"/>
  <c r="B678" i="2"/>
  <c r="C678" i="2"/>
  <c r="D678" i="2"/>
  <c r="E678" i="2"/>
  <c r="F678" i="2"/>
  <c r="G678" i="2"/>
  <c r="H678" i="2"/>
  <c r="I678" i="2"/>
  <c r="J678" i="2"/>
  <c r="K678" i="2"/>
  <c r="L678" i="2"/>
  <c r="M678" i="2"/>
  <c r="N678" i="2"/>
  <c r="O678" i="2"/>
  <c r="P678" i="2"/>
  <c r="Q678" i="2"/>
  <c r="R678" i="2"/>
  <c r="S678" i="2"/>
  <c r="T678" i="2"/>
  <c r="U678" i="2"/>
  <c r="V678" i="2"/>
  <c r="W678" i="2"/>
  <c r="X678" i="2"/>
  <c r="Y678" i="2"/>
  <c r="B679" i="2"/>
  <c r="C679" i="2"/>
  <c r="D679" i="2"/>
  <c r="E679" i="2"/>
  <c r="F679" i="2"/>
  <c r="G679" i="2"/>
  <c r="H679" i="2"/>
  <c r="I679" i="2"/>
  <c r="J679" i="2"/>
  <c r="K679" i="2"/>
  <c r="L679" i="2"/>
  <c r="M679" i="2"/>
  <c r="N679" i="2"/>
  <c r="O679" i="2"/>
  <c r="P679" i="2"/>
  <c r="Q679" i="2"/>
  <c r="R679" i="2"/>
  <c r="S679" i="2"/>
  <c r="T679" i="2"/>
  <c r="U679" i="2"/>
  <c r="V679" i="2"/>
  <c r="W679" i="2"/>
  <c r="X679" i="2"/>
  <c r="Y679" i="2"/>
  <c r="B680" i="2"/>
  <c r="C680" i="2"/>
  <c r="D680" i="2"/>
  <c r="E680" i="2"/>
  <c r="F680" i="2"/>
  <c r="G680" i="2"/>
  <c r="H680" i="2"/>
  <c r="I680" i="2"/>
  <c r="J680" i="2"/>
  <c r="K680" i="2"/>
  <c r="L680" i="2"/>
  <c r="M680" i="2"/>
  <c r="N680" i="2"/>
  <c r="O680" i="2"/>
  <c r="P680" i="2"/>
  <c r="Q680" i="2"/>
  <c r="R680" i="2"/>
  <c r="S680" i="2"/>
  <c r="T680" i="2"/>
  <c r="U680" i="2"/>
  <c r="V680" i="2"/>
  <c r="W680" i="2"/>
  <c r="X680" i="2"/>
  <c r="Y680" i="2"/>
  <c r="A681" i="2"/>
  <c r="B681" i="2"/>
  <c r="C681" i="2"/>
  <c r="D681" i="2"/>
  <c r="E681" i="2"/>
  <c r="F681" i="2"/>
  <c r="G681" i="2"/>
  <c r="H681" i="2"/>
  <c r="I681" i="2"/>
  <c r="J681" i="2"/>
  <c r="K681" i="2"/>
  <c r="L681" i="2"/>
  <c r="M681" i="2"/>
  <c r="N681" i="2"/>
  <c r="O681" i="2"/>
  <c r="P681" i="2"/>
  <c r="Q681" i="2"/>
  <c r="R681" i="2"/>
  <c r="S681" i="2"/>
  <c r="T681" i="2"/>
  <c r="U681" i="2"/>
  <c r="V681" i="2"/>
  <c r="W681" i="2"/>
  <c r="X681" i="2"/>
  <c r="Y681" i="2"/>
  <c r="A682" i="2"/>
  <c r="B682" i="2"/>
  <c r="C682" i="2"/>
  <c r="D682" i="2"/>
  <c r="E682" i="2"/>
  <c r="F682" i="2"/>
  <c r="G682" i="2"/>
  <c r="H682" i="2"/>
  <c r="I682" i="2"/>
  <c r="J682" i="2"/>
  <c r="K682" i="2"/>
  <c r="L682" i="2"/>
  <c r="M682" i="2"/>
  <c r="N682" i="2"/>
  <c r="O682" i="2"/>
  <c r="P682" i="2"/>
  <c r="Q682" i="2"/>
  <c r="R682" i="2"/>
  <c r="S682" i="2"/>
  <c r="T682" i="2"/>
  <c r="U682" i="2"/>
  <c r="V682" i="2"/>
  <c r="W682" i="2"/>
  <c r="X682" i="2"/>
  <c r="Y682" i="2"/>
  <c r="A683" i="2"/>
  <c r="B683" i="2"/>
  <c r="C683" i="2"/>
  <c r="D683" i="2"/>
  <c r="E683" i="2"/>
  <c r="F683" i="2"/>
  <c r="G683" i="2"/>
  <c r="H683" i="2"/>
  <c r="I683" i="2"/>
  <c r="J683" i="2"/>
  <c r="K683" i="2"/>
  <c r="L683" i="2"/>
  <c r="M683" i="2"/>
  <c r="N683" i="2"/>
  <c r="O683" i="2"/>
  <c r="P683" i="2"/>
  <c r="Q683" i="2"/>
  <c r="R683" i="2"/>
  <c r="S683" i="2"/>
  <c r="T683" i="2"/>
  <c r="U683" i="2"/>
  <c r="V683" i="2"/>
  <c r="W683" i="2"/>
  <c r="X683" i="2"/>
  <c r="Y683" i="2"/>
  <c r="A684" i="2"/>
  <c r="B684" i="2"/>
  <c r="C684" i="2"/>
  <c r="D684" i="2"/>
  <c r="E684" i="2"/>
  <c r="F684" i="2"/>
  <c r="G684" i="2"/>
  <c r="H684" i="2"/>
  <c r="I684" i="2"/>
  <c r="J684" i="2"/>
  <c r="K684" i="2"/>
  <c r="L684" i="2"/>
  <c r="M684" i="2"/>
  <c r="N684" i="2"/>
  <c r="O684" i="2"/>
  <c r="P684" i="2"/>
  <c r="Q684" i="2"/>
  <c r="R684" i="2"/>
  <c r="S684" i="2"/>
  <c r="T684" i="2"/>
  <c r="U684" i="2"/>
  <c r="V684" i="2"/>
  <c r="W684" i="2"/>
  <c r="X684" i="2"/>
  <c r="Y684" i="2"/>
  <c r="A685" i="2"/>
  <c r="B685" i="2"/>
  <c r="C685" i="2"/>
  <c r="D685" i="2"/>
  <c r="E685" i="2"/>
  <c r="F685" i="2"/>
  <c r="G685" i="2"/>
  <c r="H685" i="2"/>
  <c r="I685" i="2"/>
  <c r="J685" i="2"/>
  <c r="K685" i="2"/>
  <c r="L685" i="2"/>
  <c r="M685" i="2"/>
  <c r="N685" i="2"/>
  <c r="O685" i="2"/>
  <c r="P685" i="2"/>
  <c r="Q685" i="2"/>
  <c r="R685" i="2"/>
  <c r="S685" i="2"/>
  <c r="T685" i="2"/>
  <c r="U685" i="2"/>
  <c r="V685" i="2"/>
  <c r="W685" i="2"/>
  <c r="X685" i="2"/>
  <c r="Y685" i="2"/>
  <c r="A686" i="2"/>
  <c r="B686" i="2"/>
  <c r="C686" i="2"/>
  <c r="D686" i="2"/>
  <c r="E686" i="2"/>
  <c r="F686" i="2"/>
  <c r="G686" i="2"/>
  <c r="H686" i="2"/>
  <c r="I686" i="2"/>
  <c r="J686" i="2"/>
  <c r="K686" i="2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A687" i="2"/>
  <c r="B687" i="2"/>
  <c r="C687" i="2"/>
  <c r="D687" i="2"/>
  <c r="E687" i="2"/>
  <c r="F687" i="2"/>
  <c r="G687" i="2"/>
  <c r="H687" i="2"/>
  <c r="I687" i="2"/>
  <c r="J687" i="2"/>
  <c r="K687" i="2"/>
  <c r="L687" i="2"/>
  <c r="M687" i="2"/>
  <c r="N687" i="2"/>
  <c r="O687" i="2"/>
  <c r="P687" i="2"/>
  <c r="Q687" i="2"/>
  <c r="R687" i="2"/>
  <c r="S687" i="2"/>
  <c r="T687" i="2"/>
  <c r="U687" i="2"/>
  <c r="V687" i="2"/>
  <c r="W687" i="2"/>
  <c r="X687" i="2"/>
  <c r="Y687" i="2"/>
  <c r="A688" i="2"/>
  <c r="B688" i="2"/>
  <c r="C688" i="2"/>
  <c r="D688" i="2"/>
  <c r="E688" i="2"/>
  <c r="F688" i="2"/>
  <c r="G688" i="2"/>
  <c r="H688" i="2"/>
  <c r="I688" i="2"/>
  <c r="J688" i="2"/>
  <c r="K688" i="2"/>
  <c r="L688" i="2"/>
  <c r="M688" i="2"/>
  <c r="N688" i="2"/>
  <c r="O688" i="2"/>
  <c r="P688" i="2"/>
  <c r="Q688" i="2"/>
  <c r="R688" i="2"/>
  <c r="S688" i="2"/>
  <c r="T688" i="2"/>
  <c r="U688" i="2"/>
  <c r="V688" i="2"/>
  <c r="W688" i="2"/>
  <c r="X688" i="2"/>
  <c r="Y688" i="2"/>
  <c r="A689" i="2"/>
  <c r="B689" i="2"/>
  <c r="C689" i="2"/>
  <c r="D689" i="2"/>
  <c r="E689" i="2"/>
  <c r="F689" i="2"/>
  <c r="G689" i="2"/>
  <c r="H689" i="2"/>
  <c r="I689" i="2"/>
  <c r="J689" i="2"/>
  <c r="K689" i="2"/>
  <c r="L689" i="2"/>
  <c r="M689" i="2"/>
  <c r="N689" i="2"/>
  <c r="O689" i="2"/>
  <c r="P689" i="2"/>
  <c r="Q689" i="2"/>
  <c r="R689" i="2"/>
  <c r="S689" i="2"/>
  <c r="T689" i="2"/>
  <c r="U689" i="2"/>
  <c r="V689" i="2"/>
  <c r="W689" i="2"/>
  <c r="X689" i="2"/>
  <c r="Y689" i="2"/>
  <c r="A690" i="2"/>
  <c r="B690" i="2"/>
  <c r="C690" i="2"/>
  <c r="D690" i="2"/>
  <c r="E690" i="2"/>
  <c r="F690" i="2"/>
  <c r="G690" i="2"/>
  <c r="H690" i="2"/>
  <c r="I690" i="2"/>
  <c r="J690" i="2"/>
  <c r="K690" i="2"/>
  <c r="L690" i="2"/>
  <c r="M690" i="2"/>
  <c r="N690" i="2"/>
  <c r="O690" i="2"/>
  <c r="P690" i="2"/>
  <c r="Q690" i="2"/>
  <c r="R690" i="2"/>
  <c r="S690" i="2"/>
  <c r="T690" i="2"/>
  <c r="U690" i="2"/>
  <c r="V690" i="2"/>
  <c r="W690" i="2"/>
  <c r="X690" i="2"/>
  <c r="Y690" i="2"/>
  <c r="A691" i="2"/>
  <c r="B691" i="2"/>
  <c r="C691" i="2"/>
  <c r="D691" i="2"/>
  <c r="E691" i="2"/>
  <c r="F691" i="2"/>
  <c r="G691" i="2"/>
  <c r="H691" i="2"/>
  <c r="I691" i="2"/>
  <c r="J691" i="2"/>
  <c r="K691" i="2"/>
  <c r="L691" i="2"/>
  <c r="M691" i="2"/>
  <c r="N691" i="2"/>
  <c r="O691" i="2"/>
  <c r="P691" i="2"/>
  <c r="Q691" i="2"/>
  <c r="R691" i="2"/>
  <c r="S691" i="2"/>
  <c r="T691" i="2"/>
  <c r="U691" i="2"/>
  <c r="V691" i="2"/>
  <c r="W691" i="2"/>
  <c r="X691" i="2"/>
  <c r="Y691" i="2"/>
  <c r="B692" i="2"/>
  <c r="C692" i="2"/>
  <c r="D692" i="2"/>
  <c r="E692" i="2"/>
  <c r="F692" i="2"/>
  <c r="G692" i="2"/>
  <c r="H692" i="2"/>
  <c r="I692" i="2"/>
  <c r="J692" i="2"/>
  <c r="K692" i="2"/>
  <c r="L692" i="2"/>
  <c r="M692" i="2"/>
  <c r="N692" i="2"/>
  <c r="O692" i="2"/>
  <c r="P692" i="2"/>
  <c r="Q692" i="2"/>
  <c r="R692" i="2"/>
  <c r="S692" i="2"/>
  <c r="T692" i="2"/>
  <c r="U692" i="2"/>
  <c r="V692" i="2"/>
  <c r="W692" i="2"/>
  <c r="X692" i="2"/>
  <c r="Y692" i="2"/>
  <c r="A693" i="2"/>
  <c r="B693" i="2"/>
  <c r="C693" i="2"/>
  <c r="D693" i="2"/>
  <c r="E693" i="2"/>
  <c r="F693" i="2"/>
  <c r="G693" i="2"/>
  <c r="H693" i="2"/>
  <c r="I693" i="2"/>
  <c r="J693" i="2"/>
  <c r="K693" i="2"/>
  <c r="L693" i="2"/>
  <c r="M693" i="2"/>
  <c r="N693" i="2"/>
  <c r="O693" i="2"/>
  <c r="P693" i="2"/>
  <c r="Q693" i="2"/>
  <c r="R693" i="2"/>
  <c r="S693" i="2"/>
  <c r="T693" i="2"/>
  <c r="U693" i="2"/>
  <c r="V693" i="2"/>
  <c r="W693" i="2"/>
  <c r="X693" i="2"/>
  <c r="Y693" i="2"/>
  <c r="A694" i="2"/>
  <c r="B694" i="2"/>
  <c r="C694" i="2"/>
  <c r="D694" i="2"/>
  <c r="E694" i="2"/>
  <c r="F694" i="2"/>
  <c r="G694" i="2"/>
  <c r="H694" i="2"/>
  <c r="I694" i="2"/>
  <c r="J694" i="2"/>
  <c r="K694" i="2"/>
  <c r="L694" i="2"/>
  <c r="M694" i="2"/>
  <c r="N694" i="2"/>
  <c r="O694" i="2"/>
  <c r="P694" i="2"/>
  <c r="Q694" i="2"/>
  <c r="R694" i="2"/>
  <c r="S694" i="2"/>
  <c r="T694" i="2"/>
  <c r="U694" i="2"/>
  <c r="V694" i="2"/>
  <c r="W694" i="2"/>
  <c r="X694" i="2"/>
  <c r="Y694" i="2"/>
  <c r="B695" i="2"/>
  <c r="C695" i="2"/>
  <c r="D695" i="2"/>
  <c r="E695" i="2"/>
  <c r="F695" i="2"/>
  <c r="G695" i="2"/>
  <c r="H695" i="2"/>
  <c r="I695" i="2"/>
  <c r="J695" i="2"/>
  <c r="K695" i="2"/>
  <c r="L695" i="2"/>
  <c r="M695" i="2"/>
  <c r="N695" i="2"/>
  <c r="O695" i="2"/>
  <c r="P695" i="2"/>
  <c r="Q695" i="2"/>
  <c r="R695" i="2"/>
  <c r="S695" i="2"/>
  <c r="T695" i="2"/>
  <c r="U695" i="2"/>
  <c r="V695" i="2"/>
  <c r="W695" i="2"/>
  <c r="X695" i="2"/>
  <c r="Y695" i="2"/>
  <c r="B696" i="2"/>
  <c r="C696" i="2"/>
  <c r="D696" i="2"/>
  <c r="E696" i="2"/>
  <c r="F696" i="2"/>
  <c r="G696" i="2"/>
  <c r="H696" i="2"/>
  <c r="I696" i="2"/>
  <c r="J696" i="2"/>
  <c r="K696" i="2"/>
  <c r="L696" i="2"/>
  <c r="M696" i="2"/>
  <c r="N696" i="2"/>
  <c r="O696" i="2"/>
  <c r="P696" i="2"/>
  <c r="Q696" i="2"/>
  <c r="R696" i="2"/>
  <c r="S696" i="2"/>
  <c r="T696" i="2"/>
  <c r="U696" i="2"/>
  <c r="V696" i="2"/>
  <c r="W696" i="2"/>
  <c r="X696" i="2"/>
  <c r="Y696" i="2"/>
  <c r="A697" i="2"/>
  <c r="B697" i="2"/>
  <c r="C697" i="2"/>
  <c r="D697" i="2"/>
  <c r="E697" i="2"/>
  <c r="F697" i="2"/>
  <c r="G697" i="2"/>
  <c r="H697" i="2"/>
  <c r="I697" i="2"/>
  <c r="J697" i="2"/>
  <c r="K697" i="2"/>
  <c r="L697" i="2"/>
  <c r="M697" i="2"/>
  <c r="N697" i="2"/>
  <c r="O697" i="2"/>
  <c r="P697" i="2"/>
  <c r="Q697" i="2"/>
  <c r="R697" i="2"/>
  <c r="S697" i="2"/>
  <c r="T697" i="2"/>
  <c r="U697" i="2"/>
  <c r="V697" i="2"/>
  <c r="W697" i="2"/>
  <c r="X697" i="2"/>
  <c r="Y697" i="2"/>
  <c r="A698" i="2"/>
  <c r="B698" i="2"/>
  <c r="C698" i="2"/>
  <c r="D698" i="2"/>
  <c r="E698" i="2"/>
  <c r="F698" i="2"/>
  <c r="G698" i="2"/>
  <c r="H698" i="2"/>
  <c r="I698" i="2"/>
  <c r="J698" i="2"/>
  <c r="K698" i="2"/>
  <c r="L698" i="2"/>
  <c r="M698" i="2"/>
  <c r="N698" i="2"/>
  <c r="O698" i="2"/>
  <c r="P698" i="2"/>
  <c r="Q698" i="2"/>
  <c r="R698" i="2"/>
  <c r="S698" i="2"/>
  <c r="T698" i="2"/>
  <c r="U698" i="2"/>
  <c r="V698" i="2"/>
  <c r="W698" i="2"/>
  <c r="X698" i="2"/>
  <c r="Y698" i="2"/>
  <c r="A699" i="2"/>
  <c r="B699" i="2"/>
  <c r="C699" i="2"/>
  <c r="D699" i="2"/>
  <c r="E699" i="2"/>
  <c r="F699" i="2"/>
  <c r="G699" i="2"/>
  <c r="H699" i="2"/>
  <c r="I699" i="2"/>
  <c r="J699" i="2"/>
  <c r="K699" i="2"/>
  <c r="L699" i="2"/>
  <c r="M699" i="2"/>
  <c r="N699" i="2"/>
  <c r="O699" i="2"/>
  <c r="P699" i="2"/>
  <c r="Q699" i="2"/>
  <c r="R699" i="2"/>
  <c r="S699" i="2"/>
  <c r="T699" i="2"/>
  <c r="U699" i="2"/>
  <c r="V699" i="2"/>
  <c r="W699" i="2"/>
  <c r="X699" i="2"/>
  <c r="Y699" i="2"/>
  <c r="B700" i="2"/>
  <c r="C700" i="2"/>
  <c r="D700" i="2"/>
  <c r="E700" i="2"/>
  <c r="F700" i="2"/>
  <c r="G700" i="2"/>
  <c r="H700" i="2"/>
  <c r="I700" i="2"/>
  <c r="J700" i="2"/>
  <c r="K700" i="2"/>
  <c r="L700" i="2"/>
  <c r="M700" i="2"/>
  <c r="N700" i="2"/>
  <c r="O700" i="2"/>
  <c r="P700" i="2"/>
  <c r="Q700" i="2"/>
  <c r="R700" i="2"/>
  <c r="S700" i="2"/>
  <c r="T700" i="2"/>
  <c r="U700" i="2"/>
  <c r="V700" i="2"/>
  <c r="W700" i="2"/>
  <c r="X700" i="2"/>
  <c r="Y700" i="2"/>
  <c r="A701" i="2"/>
  <c r="B701" i="2"/>
  <c r="C701" i="2"/>
  <c r="D701" i="2"/>
  <c r="E701" i="2"/>
  <c r="F701" i="2"/>
  <c r="G701" i="2"/>
  <c r="H701" i="2"/>
  <c r="I701" i="2"/>
  <c r="J701" i="2"/>
  <c r="K701" i="2"/>
  <c r="L701" i="2"/>
  <c r="M701" i="2"/>
  <c r="N701" i="2"/>
  <c r="O701" i="2"/>
  <c r="P701" i="2"/>
  <c r="Q701" i="2"/>
  <c r="R701" i="2"/>
  <c r="S701" i="2"/>
  <c r="T701" i="2"/>
  <c r="U701" i="2"/>
  <c r="V701" i="2"/>
  <c r="W701" i="2"/>
  <c r="X701" i="2"/>
  <c r="Y701" i="2"/>
  <c r="A702" i="2"/>
  <c r="B702" i="2"/>
  <c r="C702" i="2"/>
  <c r="D702" i="2"/>
  <c r="E702" i="2"/>
  <c r="F702" i="2"/>
  <c r="G702" i="2"/>
  <c r="H702" i="2"/>
  <c r="I702" i="2"/>
  <c r="J702" i="2"/>
  <c r="K702" i="2"/>
  <c r="L702" i="2"/>
  <c r="M702" i="2"/>
  <c r="N702" i="2"/>
  <c r="O702" i="2"/>
  <c r="P702" i="2"/>
  <c r="Q702" i="2"/>
  <c r="R702" i="2"/>
  <c r="S702" i="2"/>
  <c r="T702" i="2"/>
  <c r="U702" i="2"/>
  <c r="V702" i="2"/>
  <c r="W702" i="2"/>
  <c r="X702" i="2"/>
  <c r="Y702" i="2"/>
  <c r="A703" i="2"/>
  <c r="B703" i="2"/>
  <c r="C703" i="2"/>
  <c r="D703" i="2"/>
  <c r="E703" i="2"/>
  <c r="F703" i="2"/>
  <c r="G703" i="2"/>
  <c r="H703" i="2"/>
  <c r="I703" i="2"/>
  <c r="J703" i="2"/>
  <c r="K703" i="2"/>
  <c r="L703" i="2"/>
  <c r="M703" i="2"/>
  <c r="N703" i="2"/>
  <c r="O703" i="2"/>
  <c r="P703" i="2"/>
  <c r="Q703" i="2"/>
  <c r="R703" i="2"/>
  <c r="S703" i="2"/>
  <c r="T703" i="2"/>
  <c r="U703" i="2"/>
  <c r="V703" i="2"/>
  <c r="W703" i="2"/>
  <c r="X703" i="2"/>
  <c r="Y703" i="2"/>
  <c r="A704" i="2"/>
  <c r="B704" i="2"/>
  <c r="C704" i="2"/>
  <c r="D704" i="2"/>
  <c r="E704" i="2"/>
  <c r="F704" i="2"/>
  <c r="G704" i="2"/>
  <c r="H704" i="2"/>
  <c r="I704" i="2"/>
  <c r="J704" i="2"/>
  <c r="K704" i="2"/>
  <c r="L704" i="2"/>
  <c r="M704" i="2"/>
  <c r="N704" i="2"/>
  <c r="O704" i="2"/>
  <c r="P704" i="2"/>
  <c r="Q704" i="2"/>
  <c r="R704" i="2"/>
  <c r="S704" i="2"/>
  <c r="T704" i="2"/>
  <c r="U704" i="2"/>
  <c r="V704" i="2"/>
  <c r="W704" i="2"/>
  <c r="X704" i="2"/>
  <c r="Y704" i="2"/>
  <c r="A705" i="2"/>
  <c r="B705" i="2"/>
  <c r="C705" i="2"/>
  <c r="D705" i="2"/>
  <c r="E705" i="2"/>
  <c r="F705" i="2"/>
  <c r="G705" i="2"/>
  <c r="H705" i="2"/>
  <c r="I705" i="2"/>
  <c r="J705" i="2"/>
  <c r="K705" i="2"/>
  <c r="L705" i="2"/>
  <c r="M705" i="2"/>
  <c r="N705" i="2"/>
  <c r="O705" i="2"/>
  <c r="P705" i="2"/>
  <c r="Q705" i="2"/>
  <c r="R705" i="2"/>
  <c r="S705" i="2"/>
  <c r="T705" i="2"/>
  <c r="U705" i="2"/>
  <c r="V705" i="2"/>
  <c r="W705" i="2"/>
  <c r="X705" i="2"/>
  <c r="Y705" i="2"/>
  <c r="A706" i="2"/>
  <c r="B706" i="2"/>
  <c r="C706" i="2"/>
  <c r="D706" i="2"/>
  <c r="E706" i="2"/>
  <c r="F706" i="2"/>
  <c r="G706" i="2"/>
  <c r="H706" i="2"/>
  <c r="I706" i="2"/>
  <c r="J706" i="2"/>
  <c r="K706" i="2"/>
  <c r="L706" i="2"/>
  <c r="M706" i="2"/>
  <c r="N706" i="2"/>
  <c r="O706" i="2"/>
  <c r="P706" i="2"/>
  <c r="Q706" i="2"/>
  <c r="R706" i="2"/>
  <c r="S706" i="2"/>
  <c r="T706" i="2"/>
  <c r="U706" i="2"/>
  <c r="V706" i="2"/>
  <c r="W706" i="2"/>
  <c r="X706" i="2"/>
  <c r="Y706" i="2"/>
  <c r="A707" i="2"/>
  <c r="B707" i="2"/>
  <c r="C707" i="2"/>
  <c r="D707" i="2"/>
  <c r="E707" i="2"/>
  <c r="F707" i="2"/>
  <c r="G707" i="2"/>
  <c r="H707" i="2"/>
  <c r="I707" i="2"/>
  <c r="J707" i="2"/>
  <c r="K707" i="2"/>
  <c r="L707" i="2"/>
  <c r="M707" i="2"/>
  <c r="N707" i="2"/>
  <c r="O707" i="2"/>
  <c r="P707" i="2"/>
  <c r="Q707" i="2"/>
  <c r="R707" i="2"/>
  <c r="S707" i="2"/>
  <c r="T707" i="2"/>
  <c r="U707" i="2"/>
  <c r="V707" i="2"/>
  <c r="W707" i="2"/>
  <c r="X707" i="2"/>
  <c r="Y707" i="2"/>
  <c r="B708" i="2"/>
  <c r="C708" i="2"/>
  <c r="D708" i="2"/>
  <c r="E708" i="2"/>
  <c r="F708" i="2"/>
  <c r="G708" i="2"/>
  <c r="H708" i="2"/>
  <c r="I708" i="2"/>
  <c r="J708" i="2"/>
  <c r="K708" i="2"/>
  <c r="L708" i="2"/>
  <c r="M708" i="2"/>
  <c r="N708" i="2"/>
  <c r="O708" i="2"/>
  <c r="P708" i="2"/>
  <c r="Q708" i="2"/>
  <c r="R708" i="2"/>
  <c r="S708" i="2"/>
  <c r="T708" i="2"/>
  <c r="U708" i="2"/>
  <c r="V708" i="2"/>
  <c r="W708" i="2"/>
  <c r="X708" i="2"/>
  <c r="Y708" i="2"/>
  <c r="A709" i="2"/>
  <c r="B709" i="2"/>
  <c r="C709" i="2"/>
  <c r="D709" i="2"/>
  <c r="E709" i="2"/>
  <c r="F709" i="2"/>
  <c r="G709" i="2"/>
  <c r="H709" i="2"/>
  <c r="I709" i="2"/>
  <c r="J709" i="2"/>
  <c r="K709" i="2"/>
  <c r="L709" i="2"/>
  <c r="M709" i="2"/>
  <c r="N709" i="2"/>
  <c r="O709" i="2"/>
  <c r="P709" i="2"/>
  <c r="Q709" i="2"/>
  <c r="R709" i="2"/>
  <c r="S709" i="2"/>
  <c r="T709" i="2"/>
  <c r="U709" i="2"/>
  <c r="V709" i="2"/>
  <c r="W709" i="2"/>
  <c r="X709" i="2"/>
  <c r="Y709" i="2"/>
  <c r="B710" i="2"/>
  <c r="C710" i="2"/>
  <c r="D710" i="2"/>
  <c r="E710" i="2"/>
  <c r="F710" i="2"/>
  <c r="G710" i="2"/>
  <c r="H710" i="2"/>
  <c r="I710" i="2"/>
  <c r="J710" i="2"/>
  <c r="K710" i="2"/>
  <c r="L710" i="2"/>
  <c r="M710" i="2"/>
  <c r="N710" i="2"/>
  <c r="O710" i="2"/>
  <c r="P710" i="2"/>
  <c r="Q710" i="2"/>
  <c r="R710" i="2"/>
  <c r="S710" i="2"/>
  <c r="T710" i="2"/>
  <c r="U710" i="2"/>
  <c r="V710" i="2"/>
  <c r="W710" i="2"/>
  <c r="X710" i="2"/>
  <c r="Y710" i="2"/>
  <c r="B711" i="2"/>
  <c r="C711" i="2"/>
  <c r="D711" i="2"/>
  <c r="E711" i="2"/>
  <c r="F711" i="2"/>
  <c r="G711" i="2"/>
  <c r="H711" i="2"/>
  <c r="I711" i="2"/>
  <c r="J711" i="2"/>
  <c r="K711" i="2"/>
  <c r="L711" i="2"/>
  <c r="M711" i="2"/>
  <c r="N711" i="2"/>
  <c r="O711" i="2"/>
  <c r="P711" i="2"/>
  <c r="Q711" i="2"/>
  <c r="R711" i="2"/>
  <c r="S711" i="2"/>
  <c r="T711" i="2"/>
  <c r="U711" i="2"/>
  <c r="V711" i="2"/>
  <c r="W711" i="2"/>
  <c r="X711" i="2"/>
  <c r="Y711" i="2"/>
  <c r="A712" i="2"/>
  <c r="B712" i="2"/>
  <c r="C712" i="2"/>
  <c r="D712" i="2"/>
  <c r="E712" i="2"/>
  <c r="F712" i="2"/>
  <c r="G712" i="2"/>
  <c r="H712" i="2"/>
  <c r="I712" i="2"/>
  <c r="J712" i="2"/>
  <c r="K712" i="2"/>
  <c r="L712" i="2"/>
  <c r="M712" i="2"/>
  <c r="N712" i="2"/>
  <c r="O712" i="2"/>
  <c r="P712" i="2"/>
  <c r="Q712" i="2"/>
  <c r="R712" i="2"/>
  <c r="S712" i="2"/>
  <c r="T712" i="2"/>
  <c r="U712" i="2"/>
  <c r="V712" i="2"/>
  <c r="W712" i="2"/>
  <c r="X712" i="2"/>
  <c r="Y712" i="2"/>
  <c r="A713" i="2"/>
  <c r="B713" i="2"/>
  <c r="C713" i="2"/>
  <c r="D713" i="2"/>
  <c r="E713" i="2"/>
  <c r="F713" i="2"/>
  <c r="G713" i="2"/>
  <c r="H713" i="2"/>
  <c r="I713" i="2"/>
  <c r="J713" i="2"/>
  <c r="K713" i="2"/>
  <c r="L713" i="2"/>
  <c r="M713" i="2"/>
  <c r="N713" i="2"/>
  <c r="O713" i="2"/>
  <c r="P713" i="2"/>
  <c r="Q713" i="2"/>
  <c r="R713" i="2"/>
  <c r="S713" i="2"/>
  <c r="T713" i="2"/>
  <c r="U713" i="2"/>
  <c r="V713" i="2"/>
  <c r="W713" i="2"/>
  <c r="X713" i="2"/>
  <c r="Y713" i="2"/>
  <c r="A714" i="2"/>
  <c r="B714" i="2"/>
  <c r="C714" i="2"/>
  <c r="D714" i="2"/>
  <c r="E714" i="2"/>
  <c r="F714" i="2"/>
  <c r="G714" i="2"/>
  <c r="H714" i="2"/>
  <c r="I714" i="2"/>
  <c r="J714" i="2"/>
  <c r="K714" i="2"/>
  <c r="L714" i="2"/>
  <c r="M714" i="2"/>
  <c r="N714" i="2"/>
  <c r="O714" i="2"/>
  <c r="P714" i="2"/>
  <c r="Q714" i="2"/>
  <c r="R714" i="2"/>
  <c r="S714" i="2"/>
  <c r="T714" i="2"/>
  <c r="U714" i="2"/>
  <c r="V714" i="2"/>
  <c r="W714" i="2"/>
  <c r="X714" i="2"/>
  <c r="Y714" i="2"/>
  <c r="A715" i="2"/>
  <c r="B715" i="2"/>
  <c r="C715" i="2"/>
  <c r="D715" i="2"/>
  <c r="E715" i="2"/>
  <c r="F715" i="2"/>
  <c r="G715" i="2"/>
  <c r="H715" i="2"/>
  <c r="I715" i="2"/>
  <c r="J715" i="2"/>
  <c r="K715" i="2"/>
  <c r="L715" i="2"/>
  <c r="M715" i="2"/>
  <c r="N715" i="2"/>
  <c r="O715" i="2"/>
  <c r="P715" i="2"/>
  <c r="Q715" i="2"/>
  <c r="R715" i="2"/>
  <c r="S715" i="2"/>
  <c r="T715" i="2"/>
  <c r="U715" i="2"/>
  <c r="V715" i="2"/>
  <c r="W715" i="2"/>
  <c r="X715" i="2"/>
  <c r="Y715" i="2"/>
  <c r="B716" i="2"/>
  <c r="C716" i="2"/>
  <c r="D716" i="2"/>
  <c r="E716" i="2"/>
  <c r="F716" i="2"/>
  <c r="G716" i="2"/>
  <c r="H716" i="2"/>
  <c r="I716" i="2"/>
  <c r="J716" i="2"/>
  <c r="K716" i="2"/>
  <c r="L716" i="2"/>
  <c r="M716" i="2"/>
  <c r="N716" i="2"/>
  <c r="O716" i="2"/>
  <c r="P716" i="2"/>
  <c r="Q716" i="2"/>
  <c r="R716" i="2"/>
  <c r="S716" i="2"/>
  <c r="T716" i="2"/>
  <c r="U716" i="2"/>
  <c r="V716" i="2"/>
  <c r="W716" i="2"/>
  <c r="X716" i="2"/>
  <c r="Y716" i="2"/>
  <c r="A717" i="2"/>
  <c r="B717" i="2"/>
  <c r="C717" i="2"/>
  <c r="D717" i="2"/>
  <c r="E717" i="2"/>
  <c r="F717" i="2"/>
  <c r="G717" i="2"/>
  <c r="H717" i="2"/>
  <c r="I717" i="2"/>
  <c r="J717" i="2"/>
  <c r="K717" i="2"/>
  <c r="L717" i="2"/>
  <c r="M717" i="2"/>
  <c r="N717" i="2"/>
  <c r="O717" i="2"/>
  <c r="P717" i="2"/>
  <c r="Q717" i="2"/>
  <c r="R717" i="2"/>
  <c r="S717" i="2"/>
  <c r="T717" i="2"/>
  <c r="U717" i="2"/>
  <c r="V717" i="2"/>
  <c r="W717" i="2"/>
  <c r="X717" i="2"/>
  <c r="Y717" i="2"/>
  <c r="A718" i="2"/>
  <c r="B718" i="2"/>
  <c r="C718" i="2"/>
  <c r="D718" i="2"/>
  <c r="E718" i="2"/>
  <c r="F718" i="2"/>
  <c r="G718" i="2"/>
  <c r="H718" i="2"/>
  <c r="I718" i="2"/>
  <c r="J718" i="2"/>
  <c r="K718" i="2"/>
  <c r="L718" i="2"/>
  <c r="M718" i="2"/>
  <c r="N718" i="2"/>
  <c r="O718" i="2"/>
  <c r="P718" i="2"/>
  <c r="Q718" i="2"/>
  <c r="R718" i="2"/>
  <c r="S718" i="2"/>
  <c r="T718" i="2"/>
  <c r="U718" i="2"/>
  <c r="V718" i="2"/>
  <c r="W718" i="2"/>
  <c r="X718" i="2"/>
  <c r="Y718" i="2"/>
  <c r="A719" i="2"/>
  <c r="B719" i="2"/>
  <c r="C719" i="2"/>
  <c r="D719" i="2"/>
  <c r="E719" i="2"/>
  <c r="F719" i="2"/>
  <c r="G719" i="2"/>
  <c r="H719" i="2"/>
  <c r="I719" i="2"/>
  <c r="J719" i="2"/>
  <c r="K719" i="2"/>
  <c r="L719" i="2"/>
  <c r="M719" i="2"/>
  <c r="N719" i="2"/>
  <c r="O719" i="2"/>
  <c r="P719" i="2"/>
  <c r="Q719" i="2"/>
  <c r="R719" i="2"/>
  <c r="S719" i="2"/>
  <c r="T719" i="2"/>
  <c r="U719" i="2"/>
  <c r="V719" i="2"/>
  <c r="W719" i="2"/>
  <c r="X719" i="2"/>
  <c r="Y719" i="2"/>
  <c r="A720" i="2"/>
  <c r="B720" i="2"/>
  <c r="C720" i="2"/>
  <c r="D720" i="2"/>
  <c r="E720" i="2"/>
  <c r="F720" i="2"/>
  <c r="G720" i="2"/>
  <c r="H720" i="2"/>
  <c r="I720" i="2"/>
  <c r="J720" i="2"/>
  <c r="K720" i="2"/>
  <c r="L720" i="2"/>
  <c r="M720" i="2"/>
  <c r="N720" i="2"/>
  <c r="O720" i="2"/>
  <c r="P720" i="2"/>
  <c r="Q720" i="2"/>
  <c r="R720" i="2"/>
  <c r="S720" i="2"/>
  <c r="T720" i="2"/>
  <c r="U720" i="2"/>
  <c r="V720" i="2"/>
  <c r="W720" i="2"/>
  <c r="X720" i="2"/>
  <c r="Y720" i="2"/>
  <c r="A721" i="2"/>
  <c r="B721" i="2"/>
  <c r="C721" i="2"/>
  <c r="D721" i="2"/>
  <c r="E721" i="2"/>
  <c r="F721" i="2"/>
  <c r="G721" i="2"/>
  <c r="H721" i="2"/>
  <c r="I721" i="2"/>
  <c r="J721" i="2"/>
  <c r="K721" i="2"/>
  <c r="L721" i="2"/>
  <c r="M721" i="2"/>
  <c r="N721" i="2"/>
  <c r="O721" i="2"/>
  <c r="P721" i="2"/>
  <c r="Q721" i="2"/>
  <c r="R721" i="2"/>
  <c r="S721" i="2"/>
  <c r="T721" i="2"/>
  <c r="U721" i="2"/>
  <c r="V721" i="2"/>
  <c r="W721" i="2"/>
  <c r="X721" i="2"/>
  <c r="Y721" i="2"/>
  <c r="A722" i="2"/>
  <c r="B722" i="2"/>
  <c r="C722" i="2"/>
  <c r="D722" i="2"/>
  <c r="E722" i="2"/>
  <c r="F722" i="2"/>
  <c r="G722" i="2"/>
  <c r="H722" i="2"/>
  <c r="I722" i="2"/>
  <c r="J722" i="2"/>
  <c r="K722" i="2"/>
  <c r="L722" i="2"/>
  <c r="M722" i="2"/>
  <c r="N722" i="2"/>
  <c r="O722" i="2"/>
  <c r="P722" i="2"/>
  <c r="Q722" i="2"/>
  <c r="R722" i="2"/>
  <c r="S722" i="2"/>
  <c r="T722" i="2"/>
  <c r="U722" i="2"/>
  <c r="V722" i="2"/>
  <c r="W722" i="2"/>
  <c r="X722" i="2"/>
  <c r="Y722" i="2"/>
  <c r="A723" i="2"/>
  <c r="B723" i="2"/>
  <c r="C723" i="2"/>
  <c r="D723" i="2"/>
  <c r="E723" i="2"/>
  <c r="F723" i="2"/>
  <c r="G723" i="2"/>
  <c r="H723" i="2"/>
  <c r="I723" i="2"/>
  <c r="J723" i="2"/>
  <c r="K723" i="2"/>
  <c r="L723" i="2"/>
  <c r="M723" i="2"/>
  <c r="N723" i="2"/>
  <c r="O723" i="2"/>
  <c r="P723" i="2"/>
  <c r="Q723" i="2"/>
  <c r="R723" i="2"/>
  <c r="S723" i="2"/>
  <c r="T723" i="2"/>
  <c r="U723" i="2"/>
  <c r="V723" i="2"/>
  <c r="W723" i="2"/>
  <c r="X723" i="2"/>
  <c r="Y723" i="2"/>
  <c r="B724" i="2"/>
  <c r="C724" i="2"/>
  <c r="D724" i="2"/>
  <c r="E724" i="2"/>
  <c r="F724" i="2"/>
  <c r="G724" i="2"/>
  <c r="H724" i="2"/>
  <c r="I724" i="2"/>
  <c r="J724" i="2"/>
  <c r="K724" i="2"/>
  <c r="L724" i="2"/>
  <c r="M724" i="2"/>
  <c r="N724" i="2"/>
  <c r="O724" i="2"/>
  <c r="P724" i="2"/>
  <c r="Q724" i="2"/>
  <c r="R724" i="2"/>
  <c r="S724" i="2"/>
  <c r="T724" i="2"/>
  <c r="U724" i="2"/>
  <c r="V724" i="2"/>
  <c r="W724" i="2"/>
  <c r="X724" i="2"/>
  <c r="Y724" i="2"/>
  <c r="A725" i="2"/>
  <c r="B725" i="2"/>
  <c r="C725" i="2"/>
  <c r="D725" i="2"/>
  <c r="E725" i="2"/>
  <c r="F725" i="2"/>
  <c r="G725" i="2"/>
  <c r="H725" i="2"/>
  <c r="I725" i="2"/>
  <c r="J725" i="2"/>
  <c r="K725" i="2"/>
  <c r="L725" i="2"/>
  <c r="M725" i="2"/>
  <c r="N725" i="2"/>
  <c r="O725" i="2"/>
  <c r="P725" i="2"/>
  <c r="Q725" i="2"/>
  <c r="R725" i="2"/>
  <c r="S725" i="2"/>
  <c r="T725" i="2"/>
  <c r="U725" i="2"/>
  <c r="V725" i="2"/>
  <c r="W725" i="2"/>
  <c r="X725" i="2"/>
  <c r="Y725" i="2"/>
  <c r="B726" i="2"/>
  <c r="C726" i="2"/>
  <c r="D726" i="2"/>
  <c r="E726" i="2"/>
  <c r="F726" i="2"/>
  <c r="G726" i="2"/>
  <c r="H726" i="2"/>
  <c r="I726" i="2"/>
  <c r="J726" i="2"/>
  <c r="K726" i="2"/>
  <c r="L726" i="2"/>
  <c r="M726" i="2"/>
  <c r="N726" i="2"/>
  <c r="O726" i="2"/>
  <c r="P726" i="2"/>
  <c r="Q726" i="2"/>
  <c r="R726" i="2"/>
  <c r="S726" i="2"/>
  <c r="T726" i="2"/>
  <c r="U726" i="2"/>
  <c r="V726" i="2"/>
  <c r="W726" i="2"/>
  <c r="X726" i="2"/>
  <c r="Y726" i="2"/>
  <c r="B727" i="2"/>
  <c r="C727" i="2"/>
  <c r="D727" i="2"/>
  <c r="E727" i="2"/>
  <c r="F727" i="2"/>
  <c r="G727" i="2"/>
  <c r="H727" i="2"/>
  <c r="I727" i="2"/>
  <c r="J727" i="2"/>
  <c r="K727" i="2"/>
  <c r="L727" i="2"/>
  <c r="M727" i="2"/>
  <c r="N727" i="2"/>
  <c r="O727" i="2"/>
  <c r="P727" i="2"/>
  <c r="Q727" i="2"/>
  <c r="R727" i="2"/>
  <c r="S727" i="2"/>
  <c r="T727" i="2"/>
  <c r="U727" i="2"/>
  <c r="V727" i="2"/>
  <c r="W727" i="2"/>
  <c r="X727" i="2"/>
  <c r="Y727" i="2"/>
  <c r="A728" i="2"/>
  <c r="B728" i="2"/>
  <c r="C728" i="2"/>
  <c r="D728" i="2"/>
  <c r="E728" i="2"/>
  <c r="F728" i="2"/>
  <c r="G728" i="2"/>
  <c r="H728" i="2"/>
  <c r="I728" i="2"/>
  <c r="J728" i="2"/>
  <c r="K728" i="2"/>
  <c r="L728" i="2"/>
  <c r="M728" i="2"/>
  <c r="N728" i="2"/>
  <c r="O728" i="2"/>
  <c r="P728" i="2"/>
  <c r="Q728" i="2"/>
  <c r="R728" i="2"/>
  <c r="S728" i="2"/>
  <c r="T728" i="2"/>
  <c r="U728" i="2"/>
  <c r="V728" i="2"/>
  <c r="W728" i="2"/>
  <c r="X728" i="2"/>
  <c r="Y728" i="2"/>
  <c r="A729" i="2"/>
  <c r="B729" i="2"/>
  <c r="C729" i="2"/>
  <c r="D729" i="2"/>
  <c r="E729" i="2"/>
  <c r="F729" i="2"/>
  <c r="G729" i="2"/>
  <c r="H729" i="2"/>
  <c r="I729" i="2"/>
  <c r="J729" i="2"/>
  <c r="K729" i="2"/>
  <c r="L729" i="2"/>
  <c r="M729" i="2"/>
  <c r="N729" i="2"/>
  <c r="O729" i="2"/>
  <c r="P729" i="2"/>
  <c r="Q729" i="2"/>
  <c r="R729" i="2"/>
  <c r="S729" i="2"/>
  <c r="T729" i="2"/>
  <c r="U729" i="2"/>
  <c r="V729" i="2"/>
  <c r="W729" i="2"/>
  <c r="X729" i="2"/>
  <c r="Y729" i="2"/>
  <c r="A730" i="2"/>
  <c r="B730" i="2"/>
  <c r="C730" i="2"/>
  <c r="D730" i="2"/>
  <c r="E730" i="2"/>
  <c r="F730" i="2"/>
  <c r="G730" i="2"/>
  <c r="H730" i="2"/>
  <c r="I730" i="2"/>
  <c r="J730" i="2"/>
  <c r="K730" i="2"/>
  <c r="L730" i="2"/>
  <c r="M730" i="2"/>
  <c r="N730" i="2"/>
  <c r="O730" i="2"/>
  <c r="P730" i="2"/>
  <c r="Q730" i="2"/>
  <c r="R730" i="2"/>
  <c r="S730" i="2"/>
  <c r="T730" i="2"/>
  <c r="U730" i="2"/>
  <c r="V730" i="2"/>
  <c r="W730" i="2"/>
  <c r="X730" i="2"/>
  <c r="Y730" i="2"/>
  <c r="A731" i="2"/>
  <c r="B731" i="2"/>
  <c r="C731" i="2"/>
  <c r="D731" i="2"/>
  <c r="E731" i="2"/>
  <c r="F731" i="2"/>
  <c r="G731" i="2"/>
  <c r="H731" i="2"/>
  <c r="I731" i="2"/>
  <c r="J731" i="2"/>
  <c r="K731" i="2"/>
  <c r="L731" i="2"/>
  <c r="M731" i="2"/>
  <c r="N731" i="2"/>
  <c r="O731" i="2"/>
  <c r="P731" i="2"/>
  <c r="Q731" i="2"/>
  <c r="R731" i="2"/>
  <c r="S731" i="2"/>
  <c r="T731" i="2"/>
  <c r="U731" i="2"/>
  <c r="V731" i="2"/>
  <c r="W731" i="2"/>
  <c r="X731" i="2"/>
  <c r="Y731" i="2"/>
  <c r="B732" i="2"/>
  <c r="C732" i="2"/>
  <c r="D732" i="2"/>
  <c r="E732" i="2"/>
  <c r="F732" i="2"/>
  <c r="G732" i="2"/>
  <c r="H732" i="2"/>
  <c r="I732" i="2"/>
  <c r="J732" i="2"/>
  <c r="K732" i="2"/>
  <c r="L732" i="2"/>
  <c r="M732" i="2"/>
  <c r="N732" i="2"/>
  <c r="O732" i="2"/>
  <c r="P732" i="2"/>
  <c r="Q732" i="2"/>
  <c r="R732" i="2"/>
  <c r="S732" i="2"/>
  <c r="T732" i="2"/>
  <c r="U732" i="2"/>
  <c r="V732" i="2"/>
  <c r="W732" i="2"/>
  <c r="X732" i="2"/>
  <c r="Y732" i="2"/>
  <c r="A733" i="2"/>
  <c r="B733" i="2"/>
  <c r="C733" i="2"/>
  <c r="D733" i="2"/>
  <c r="E733" i="2"/>
  <c r="F733" i="2"/>
  <c r="G733" i="2"/>
  <c r="H733" i="2"/>
  <c r="I733" i="2"/>
  <c r="J733" i="2"/>
  <c r="K733" i="2"/>
  <c r="L733" i="2"/>
  <c r="M733" i="2"/>
  <c r="N733" i="2"/>
  <c r="O733" i="2"/>
  <c r="P733" i="2"/>
  <c r="Q733" i="2"/>
  <c r="R733" i="2"/>
  <c r="S733" i="2"/>
  <c r="T733" i="2"/>
  <c r="U733" i="2"/>
  <c r="V733" i="2"/>
  <c r="W733" i="2"/>
  <c r="X733" i="2"/>
  <c r="Y733" i="2"/>
  <c r="A734" i="2"/>
  <c r="B734" i="2"/>
  <c r="C734" i="2"/>
  <c r="D734" i="2"/>
  <c r="E734" i="2"/>
  <c r="F734" i="2"/>
  <c r="G734" i="2"/>
  <c r="H734" i="2"/>
  <c r="I734" i="2"/>
  <c r="J734" i="2"/>
  <c r="K734" i="2"/>
  <c r="L734" i="2"/>
  <c r="M734" i="2"/>
  <c r="N734" i="2"/>
  <c r="O734" i="2"/>
  <c r="P734" i="2"/>
  <c r="Q734" i="2"/>
  <c r="R734" i="2"/>
  <c r="S734" i="2"/>
  <c r="T734" i="2"/>
  <c r="U734" i="2"/>
  <c r="V734" i="2"/>
  <c r="W734" i="2"/>
  <c r="X734" i="2"/>
  <c r="Y734" i="2"/>
  <c r="A735" i="2"/>
  <c r="B735" i="2"/>
  <c r="C735" i="2"/>
  <c r="D735" i="2"/>
  <c r="E735" i="2"/>
  <c r="F735" i="2"/>
  <c r="G735" i="2"/>
  <c r="H735" i="2"/>
  <c r="I735" i="2"/>
  <c r="J735" i="2"/>
  <c r="K735" i="2"/>
  <c r="L735" i="2"/>
  <c r="M735" i="2"/>
  <c r="N735" i="2"/>
  <c r="O735" i="2"/>
  <c r="P735" i="2"/>
  <c r="Q735" i="2"/>
  <c r="R735" i="2"/>
  <c r="S735" i="2"/>
  <c r="T735" i="2"/>
  <c r="U735" i="2"/>
  <c r="V735" i="2"/>
  <c r="W735" i="2"/>
  <c r="X735" i="2"/>
  <c r="Y735" i="2"/>
  <c r="A736" i="2"/>
  <c r="B736" i="2"/>
  <c r="C736" i="2"/>
  <c r="D736" i="2"/>
  <c r="E736" i="2"/>
  <c r="F736" i="2"/>
  <c r="G736" i="2"/>
  <c r="H736" i="2"/>
  <c r="I736" i="2"/>
  <c r="J736" i="2"/>
  <c r="K736" i="2"/>
  <c r="L736" i="2"/>
  <c r="M736" i="2"/>
  <c r="N736" i="2"/>
  <c r="O736" i="2"/>
  <c r="P736" i="2"/>
  <c r="Q736" i="2"/>
  <c r="R736" i="2"/>
  <c r="S736" i="2"/>
  <c r="T736" i="2"/>
  <c r="U736" i="2"/>
  <c r="V736" i="2"/>
  <c r="W736" i="2"/>
  <c r="X736" i="2"/>
  <c r="Y736" i="2"/>
  <c r="A737" i="2"/>
  <c r="B737" i="2"/>
  <c r="C737" i="2"/>
  <c r="D737" i="2"/>
  <c r="E737" i="2"/>
  <c r="F737" i="2"/>
  <c r="G737" i="2"/>
  <c r="H737" i="2"/>
  <c r="I737" i="2"/>
  <c r="J737" i="2"/>
  <c r="K737" i="2"/>
  <c r="L737" i="2"/>
  <c r="M737" i="2"/>
  <c r="N737" i="2"/>
  <c r="O737" i="2"/>
  <c r="P737" i="2"/>
  <c r="Q737" i="2"/>
  <c r="R737" i="2"/>
  <c r="S737" i="2"/>
  <c r="T737" i="2"/>
  <c r="U737" i="2"/>
  <c r="V737" i="2"/>
  <c r="W737" i="2"/>
  <c r="X737" i="2"/>
  <c r="Y737" i="2"/>
  <c r="A738" i="2"/>
  <c r="B738" i="2"/>
  <c r="C738" i="2"/>
  <c r="D738" i="2"/>
  <c r="E738" i="2"/>
  <c r="F738" i="2"/>
  <c r="G738" i="2"/>
  <c r="H738" i="2"/>
  <c r="I738" i="2"/>
  <c r="J738" i="2"/>
  <c r="K738" i="2"/>
  <c r="L738" i="2"/>
  <c r="M738" i="2"/>
  <c r="N738" i="2"/>
  <c r="O738" i="2"/>
  <c r="P738" i="2"/>
  <c r="Q738" i="2"/>
  <c r="R738" i="2"/>
  <c r="S738" i="2"/>
  <c r="T738" i="2"/>
  <c r="U738" i="2"/>
  <c r="V738" i="2"/>
  <c r="W738" i="2"/>
  <c r="X738" i="2"/>
  <c r="Y738" i="2"/>
  <c r="B739" i="2"/>
  <c r="C739" i="2"/>
  <c r="D739" i="2"/>
  <c r="E739" i="2"/>
  <c r="F739" i="2"/>
  <c r="G739" i="2"/>
  <c r="H739" i="2"/>
  <c r="I739" i="2"/>
  <c r="J739" i="2"/>
  <c r="K739" i="2"/>
  <c r="L739" i="2"/>
  <c r="M739" i="2"/>
  <c r="N739" i="2"/>
  <c r="O739" i="2"/>
  <c r="P739" i="2"/>
  <c r="Q739" i="2"/>
  <c r="R739" i="2"/>
  <c r="S739" i="2"/>
  <c r="T739" i="2"/>
  <c r="U739" i="2"/>
  <c r="V739" i="2"/>
  <c r="W739" i="2"/>
  <c r="X739" i="2"/>
  <c r="Y739" i="2"/>
  <c r="B740" i="2"/>
  <c r="C740" i="2"/>
  <c r="D740" i="2"/>
  <c r="E740" i="2"/>
  <c r="F740" i="2"/>
  <c r="G740" i="2"/>
  <c r="H740" i="2"/>
  <c r="I740" i="2"/>
  <c r="J740" i="2"/>
  <c r="K740" i="2"/>
  <c r="L740" i="2"/>
  <c r="M740" i="2"/>
  <c r="N740" i="2"/>
  <c r="O740" i="2"/>
  <c r="P740" i="2"/>
  <c r="Q740" i="2"/>
  <c r="R740" i="2"/>
  <c r="S740" i="2"/>
  <c r="T740" i="2"/>
  <c r="U740" i="2"/>
  <c r="V740" i="2"/>
  <c r="W740" i="2"/>
  <c r="X740" i="2"/>
  <c r="Y740" i="2"/>
  <c r="A741" i="2"/>
  <c r="B741" i="2"/>
  <c r="C741" i="2"/>
  <c r="D741" i="2"/>
  <c r="E741" i="2"/>
  <c r="F741" i="2"/>
  <c r="G741" i="2"/>
  <c r="H741" i="2"/>
  <c r="I741" i="2"/>
  <c r="J741" i="2"/>
  <c r="K741" i="2"/>
  <c r="L741" i="2"/>
  <c r="M741" i="2"/>
  <c r="N741" i="2"/>
  <c r="O741" i="2"/>
  <c r="P741" i="2"/>
  <c r="Q741" i="2"/>
  <c r="R741" i="2"/>
  <c r="S741" i="2"/>
  <c r="T741" i="2"/>
  <c r="U741" i="2"/>
  <c r="V741" i="2"/>
  <c r="W741" i="2"/>
  <c r="X741" i="2"/>
  <c r="Y741" i="2"/>
  <c r="B742" i="2"/>
  <c r="C742" i="2"/>
  <c r="D742" i="2"/>
  <c r="E742" i="2"/>
  <c r="F742" i="2"/>
  <c r="G742" i="2"/>
  <c r="H742" i="2"/>
  <c r="I742" i="2"/>
  <c r="J742" i="2"/>
  <c r="K742" i="2"/>
  <c r="L742" i="2"/>
  <c r="M742" i="2"/>
  <c r="N742" i="2"/>
  <c r="O742" i="2"/>
  <c r="P742" i="2"/>
  <c r="Q742" i="2"/>
  <c r="R742" i="2"/>
  <c r="S742" i="2"/>
  <c r="T742" i="2"/>
  <c r="U742" i="2"/>
  <c r="V742" i="2"/>
  <c r="W742" i="2"/>
  <c r="X742" i="2"/>
  <c r="Y742" i="2"/>
  <c r="B743" i="2"/>
  <c r="C743" i="2"/>
  <c r="D743" i="2"/>
  <c r="E743" i="2"/>
  <c r="F743" i="2"/>
  <c r="G743" i="2"/>
  <c r="H743" i="2"/>
  <c r="I743" i="2"/>
  <c r="J743" i="2"/>
  <c r="K743" i="2"/>
  <c r="L743" i="2"/>
  <c r="M743" i="2"/>
  <c r="N743" i="2"/>
  <c r="O743" i="2"/>
  <c r="P743" i="2"/>
  <c r="Q743" i="2"/>
  <c r="R743" i="2"/>
  <c r="S743" i="2"/>
  <c r="T743" i="2"/>
  <c r="U743" i="2"/>
  <c r="V743" i="2"/>
  <c r="W743" i="2"/>
  <c r="X743" i="2"/>
  <c r="Y743" i="2"/>
  <c r="B744" i="2"/>
  <c r="C744" i="2"/>
  <c r="D744" i="2"/>
  <c r="E744" i="2"/>
  <c r="F744" i="2"/>
  <c r="G744" i="2"/>
  <c r="H744" i="2"/>
  <c r="I744" i="2"/>
  <c r="J744" i="2"/>
  <c r="K744" i="2"/>
  <c r="L744" i="2"/>
  <c r="M744" i="2"/>
  <c r="N744" i="2"/>
  <c r="O744" i="2"/>
  <c r="P744" i="2"/>
  <c r="Q744" i="2"/>
  <c r="R744" i="2"/>
  <c r="S744" i="2"/>
  <c r="T744" i="2"/>
  <c r="U744" i="2"/>
  <c r="V744" i="2"/>
  <c r="W744" i="2"/>
  <c r="X744" i="2"/>
  <c r="Y744" i="2"/>
  <c r="A745" i="2"/>
  <c r="B745" i="2"/>
  <c r="C745" i="2"/>
  <c r="D745" i="2"/>
  <c r="E745" i="2"/>
  <c r="F745" i="2"/>
  <c r="G745" i="2"/>
  <c r="H745" i="2"/>
  <c r="I745" i="2"/>
  <c r="J745" i="2"/>
  <c r="K745" i="2"/>
  <c r="L745" i="2"/>
  <c r="M745" i="2"/>
  <c r="N745" i="2"/>
  <c r="O745" i="2"/>
  <c r="P745" i="2"/>
  <c r="Q745" i="2"/>
  <c r="R745" i="2"/>
  <c r="S745" i="2"/>
  <c r="T745" i="2"/>
  <c r="U745" i="2"/>
  <c r="V745" i="2"/>
  <c r="W745" i="2"/>
  <c r="X745" i="2"/>
  <c r="Y745" i="2"/>
  <c r="A746" i="2"/>
  <c r="B746" i="2"/>
  <c r="C746" i="2"/>
  <c r="D746" i="2"/>
  <c r="E746" i="2"/>
  <c r="F746" i="2"/>
  <c r="G746" i="2"/>
  <c r="H746" i="2"/>
  <c r="I746" i="2"/>
  <c r="J746" i="2"/>
  <c r="K746" i="2"/>
  <c r="L746" i="2"/>
  <c r="M746" i="2"/>
  <c r="N746" i="2"/>
  <c r="O746" i="2"/>
  <c r="P746" i="2"/>
  <c r="Q746" i="2"/>
  <c r="R746" i="2"/>
  <c r="S746" i="2"/>
  <c r="T746" i="2"/>
  <c r="U746" i="2"/>
  <c r="V746" i="2"/>
  <c r="W746" i="2"/>
  <c r="X746" i="2"/>
  <c r="Y746" i="2"/>
  <c r="A747" i="2"/>
  <c r="B747" i="2"/>
  <c r="C747" i="2"/>
  <c r="D747" i="2"/>
  <c r="E747" i="2"/>
  <c r="F747" i="2"/>
  <c r="G747" i="2"/>
  <c r="H747" i="2"/>
  <c r="I747" i="2"/>
  <c r="J747" i="2"/>
  <c r="K747" i="2"/>
  <c r="L747" i="2"/>
  <c r="M747" i="2"/>
  <c r="N747" i="2"/>
  <c r="O747" i="2"/>
  <c r="P747" i="2"/>
  <c r="Q747" i="2"/>
  <c r="R747" i="2"/>
  <c r="S747" i="2"/>
  <c r="T747" i="2"/>
  <c r="U747" i="2"/>
  <c r="V747" i="2"/>
  <c r="W747" i="2"/>
  <c r="X747" i="2"/>
  <c r="Y747" i="2"/>
  <c r="A748" i="2"/>
  <c r="B748" i="2"/>
  <c r="C748" i="2"/>
  <c r="D748" i="2"/>
  <c r="E748" i="2"/>
  <c r="F748" i="2"/>
  <c r="G748" i="2"/>
  <c r="H748" i="2"/>
  <c r="I748" i="2"/>
  <c r="J748" i="2"/>
  <c r="K748" i="2"/>
  <c r="L748" i="2"/>
  <c r="M748" i="2"/>
  <c r="N748" i="2"/>
  <c r="O748" i="2"/>
  <c r="P748" i="2"/>
  <c r="Q748" i="2"/>
  <c r="R748" i="2"/>
  <c r="S748" i="2"/>
  <c r="T748" i="2"/>
  <c r="U748" i="2"/>
  <c r="V748" i="2"/>
  <c r="W748" i="2"/>
  <c r="X748" i="2"/>
  <c r="Y748" i="2"/>
  <c r="A749" i="2"/>
  <c r="B749" i="2"/>
  <c r="C749" i="2"/>
  <c r="D749" i="2"/>
  <c r="E749" i="2"/>
  <c r="F749" i="2"/>
  <c r="G749" i="2"/>
  <c r="H749" i="2"/>
  <c r="I749" i="2"/>
  <c r="J749" i="2"/>
  <c r="K749" i="2"/>
  <c r="L749" i="2"/>
  <c r="M749" i="2"/>
  <c r="N749" i="2"/>
  <c r="O749" i="2"/>
  <c r="P749" i="2"/>
  <c r="Q749" i="2"/>
  <c r="R749" i="2"/>
  <c r="S749" i="2"/>
  <c r="T749" i="2"/>
  <c r="U749" i="2"/>
  <c r="V749" i="2"/>
  <c r="W749" i="2"/>
  <c r="X749" i="2"/>
  <c r="Y749" i="2"/>
  <c r="A750" i="2"/>
  <c r="B750" i="2"/>
  <c r="C750" i="2"/>
  <c r="D750" i="2"/>
  <c r="E750" i="2"/>
  <c r="F750" i="2"/>
  <c r="G750" i="2"/>
  <c r="H750" i="2"/>
  <c r="I750" i="2"/>
  <c r="J750" i="2"/>
  <c r="K750" i="2"/>
  <c r="L750" i="2"/>
  <c r="M750" i="2"/>
  <c r="N750" i="2"/>
  <c r="O750" i="2"/>
  <c r="P750" i="2"/>
  <c r="Q750" i="2"/>
  <c r="R750" i="2"/>
  <c r="S750" i="2"/>
  <c r="T750" i="2"/>
  <c r="U750" i="2"/>
  <c r="V750" i="2"/>
  <c r="W750" i="2"/>
  <c r="X750" i="2"/>
  <c r="Y750" i="2"/>
  <c r="A751" i="2"/>
  <c r="B751" i="2"/>
  <c r="C751" i="2"/>
  <c r="D751" i="2"/>
  <c r="E751" i="2"/>
  <c r="F751" i="2"/>
  <c r="G751" i="2"/>
  <c r="H751" i="2"/>
  <c r="I751" i="2"/>
  <c r="J751" i="2"/>
  <c r="K751" i="2"/>
  <c r="L751" i="2"/>
  <c r="M751" i="2"/>
  <c r="N751" i="2"/>
  <c r="O751" i="2"/>
  <c r="P751" i="2"/>
  <c r="Q751" i="2"/>
  <c r="R751" i="2"/>
  <c r="S751" i="2"/>
  <c r="T751" i="2"/>
  <c r="U751" i="2"/>
  <c r="V751" i="2"/>
  <c r="W751" i="2"/>
  <c r="X751" i="2"/>
  <c r="Y751" i="2"/>
  <c r="A752" i="2"/>
  <c r="B752" i="2"/>
  <c r="C752" i="2"/>
  <c r="D752" i="2"/>
  <c r="E752" i="2"/>
  <c r="F752" i="2"/>
  <c r="G752" i="2"/>
  <c r="H752" i="2"/>
  <c r="I752" i="2"/>
  <c r="J752" i="2"/>
  <c r="K752" i="2"/>
  <c r="L752" i="2"/>
  <c r="M752" i="2"/>
  <c r="N752" i="2"/>
  <c r="O752" i="2"/>
  <c r="P752" i="2"/>
  <c r="Q752" i="2"/>
  <c r="R752" i="2"/>
  <c r="S752" i="2"/>
  <c r="T752" i="2"/>
  <c r="U752" i="2"/>
  <c r="V752" i="2"/>
  <c r="W752" i="2"/>
  <c r="X752" i="2"/>
  <c r="Y752" i="2"/>
  <c r="A753" i="2"/>
  <c r="B753" i="2"/>
  <c r="C753" i="2"/>
  <c r="D753" i="2"/>
  <c r="E753" i="2"/>
  <c r="F753" i="2"/>
  <c r="G753" i="2"/>
  <c r="H753" i="2"/>
  <c r="I753" i="2"/>
  <c r="J753" i="2"/>
  <c r="K753" i="2"/>
  <c r="L753" i="2"/>
  <c r="M753" i="2"/>
  <c r="N753" i="2"/>
  <c r="O753" i="2"/>
  <c r="P753" i="2"/>
  <c r="Q753" i="2"/>
  <c r="R753" i="2"/>
  <c r="S753" i="2"/>
  <c r="T753" i="2"/>
  <c r="U753" i="2"/>
  <c r="V753" i="2"/>
  <c r="W753" i="2"/>
  <c r="X753" i="2"/>
  <c r="Y753" i="2"/>
  <c r="A754" i="2"/>
  <c r="B754" i="2"/>
  <c r="C754" i="2"/>
  <c r="D754" i="2"/>
  <c r="E754" i="2"/>
  <c r="F754" i="2"/>
  <c r="G754" i="2"/>
  <c r="H754" i="2"/>
  <c r="I754" i="2"/>
  <c r="J754" i="2"/>
  <c r="K754" i="2"/>
  <c r="L754" i="2"/>
  <c r="M754" i="2"/>
  <c r="N754" i="2"/>
  <c r="O754" i="2"/>
  <c r="P754" i="2"/>
  <c r="Q754" i="2"/>
  <c r="R754" i="2"/>
  <c r="S754" i="2"/>
  <c r="T754" i="2"/>
  <c r="U754" i="2"/>
  <c r="V754" i="2"/>
  <c r="W754" i="2"/>
  <c r="X754" i="2"/>
  <c r="Y754" i="2"/>
  <c r="A755" i="2"/>
  <c r="B755" i="2"/>
  <c r="C755" i="2"/>
  <c r="D755" i="2"/>
  <c r="E755" i="2"/>
  <c r="F755" i="2"/>
  <c r="G755" i="2"/>
  <c r="H755" i="2"/>
  <c r="I755" i="2"/>
  <c r="J755" i="2"/>
  <c r="K755" i="2"/>
  <c r="L755" i="2"/>
  <c r="M755" i="2"/>
  <c r="N755" i="2"/>
  <c r="O755" i="2"/>
  <c r="P755" i="2"/>
  <c r="Q755" i="2"/>
  <c r="R755" i="2"/>
  <c r="S755" i="2"/>
  <c r="T755" i="2"/>
  <c r="U755" i="2"/>
  <c r="V755" i="2"/>
  <c r="W755" i="2"/>
  <c r="X755" i="2"/>
  <c r="Y755" i="2"/>
  <c r="B756" i="2"/>
  <c r="C756" i="2"/>
  <c r="D756" i="2"/>
  <c r="E756" i="2"/>
  <c r="F756" i="2"/>
  <c r="G756" i="2"/>
  <c r="H756" i="2"/>
  <c r="I756" i="2"/>
  <c r="J756" i="2"/>
  <c r="K756" i="2"/>
  <c r="L756" i="2"/>
  <c r="M756" i="2"/>
  <c r="N756" i="2"/>
  <c r="O756" i="2"/>
  <c r="P756" i="2"/>
  <c r="Q756" i="2"/>
  <c r="R756" i="2"/>
  <c r="S756" i="2"/>
  <c r="T756" i="2"/>
  <c r="U756" i="2"/>
  <c r="V756" i="2"/>
  <c r="W756" i="2"/>
  <c r="X756" i="2"/>
  <c r="Y756" i="2"/>
  <c r="A757" i="2"/>
  <c r="B757" i="2"/>
  <c r="C757" i="2"/>
  <c r="D757" i="2"/>
  <c r="E757" i="2"/>
  <c r="F757" i="2"/>
  <c r="G757" i="2"/>
  <c r="H757" i="2"/>
  <c r="I757" i="2"/>
  <c r="J757" i="2"/>
  <c r="K757" i="2"/>
  <c r="L757" i="2"/>
  <c r="M757" i="2"/>
  <c r="N757" i="2"/>
  <c r="O757" i="2"/>
  <c r="P757" i="2"/>
  <c r="Q757" i="2"/>
  <c r="R757" i="2"/>
  <c r="S757" i="2"/>
  <c r="T757" i="2"/>
  <c r="U757" i="2"/>
  <c r="V757" i="2"/>
  <c r="W757" i="2"/>
  <c r="X757" i="2"/>
  <c r="Y757" i="2"/>
  <c r="A758" i="2"/>
  <c r="B758" i="2"/>
  <c r="C758" i="2"/>
  <c r="D758" i="2"/>
  <c r="E758" i="2"/>
  <c r="F758" i="2"/>
  <c r="G758" i="2"/>
  <c r="H758" i="2"/>
  <c r="I758" i="2"/>
  <c r="J758" i="2"/>
  <c r="K758" i="2"/>
  <c r="L758" i="2"/>
  <c r="M758" i="2"/>
  <c r="N758" i="2"/>
  <c r="O758" i="2"/>
  <c r="P758" i="2"/>
  <c r="Q758" i="2"/>
  <c r="R758" i="2"/>
  <c r="S758" i="2"/>
  <c r="T758" i="2"/>
  <c r="U758" i="2"/>
  <c r="V758" i="2"/>
  <c r="W758" i="2"/>
  <c r="X758" i="2"/>
  <c r="Y758" i="2"/>
  <c r="B759" i="2"/>
  <c r="C759" i="2"/>
  <c r="D759" i="2"/>
  <c r="E759" i="2"/>
  <c r="F759" i="2"/>
  <c r="G759" i="2"/>
  <c r="H759" i="2"/>
  <c r="I759" i="2"/>
  <c r="J759" i="2"/>
  <c r="K759" i="2"/>
  <c r="L759" i="2"/>
  <c r="M759" i="2"/>
  <c r="N759" i="2"/>
  <c r="O759" i="2"/>
  <c r="P759" i="2"/>
  <c r="Q759" i="2"/>
  <c r="R759" i="2"/>
  <c r="S759" i="2"/>
  <c r="T759" i="2"/>
  <c r="U759" i="2"/>
  <c r="V759" i="2"/>
  <c r="W759" i="2"/>
  <c r="X759" i="2"/>
  <c r="Y759" i="2"/>
  <c r="B760" i="2"/>
  <c r="C760" i="2"/>
  <c r="D760" i="2"/>
  <c r="E760" i="2"/>
  <c r="F760" i="2"/>
  <c r="G760" i="2"/>
  <c r="H760" i="2"/>
  <c r="I760" i="2"/>
  <c r="J760" i="2"/>
  <c r="K760" i="2"/>
  <c r="L760" i="2"/>
  <c r="M760" i="2"/>
  <c r="N760" i="2"/>
  <c r="O760" i="2"/>
  <c r="P760" i="2"/>
  <c r="Q760" i="2"/>
  <c r="R760" i="2"/>
  <c r="S760" i="2"/>
  <c r="T760" i="2"/>
  <c r="U760" i="2"/>
  <c r="V760" i="2"/>
  <c r="W760" i="2"/>
  <c r="X760" i="2"/>
  <c r="Y760" i="2"/>
  <c r="A761" i="2"/>
  <c r="B761" i="2"/>
  <c r="C761" i="2"/>
  <c r="D761" i="2"/>
  <c r="E761" i="2"/>
  <c r="F761" i="2"/>
  <c r="G761" i="2"/>
  <c r="H761" i="2"/>
  <c r="I761" i="2"/>
  <c r="J761" i="2"/>
  <c r="K761" i="2"/>
  <c r="L761" i="2"/>
  <c r="M761" i="2"/>
  <c r="N761" i="2"/>
  <c r="O761" i="2"/>
  <c r="P761" i="2"/>
  <c r="Q761" i="2"/>
  <c r="R761" i="2"/>
  <c r="S761" i="2"/>
  <c r="T761" i="2"/>
  <c r="U761" i="2"/>
  <c r="V761" i="2"/>
  <c r="W761" i="2"/>
  <c r="X761" i="2"/>
  <c r="Y761" i="2"/>
  <c r="A762" i="2"/>
  <c r="B762" i="2"/>
  <c r="C762" i="2"/>
  <c r="D762" i="2"/>
  <c r="E762" i="2"/>
  <c r="F762" i="2"/>
  <c r="G762" i="2"/>
  <c r="H762" i="2"/>
  <c r="I762" i="2"/>
  <c r="J762" i="2"/>
  <c r="K762" i="2"/>
  <c r="L762" i="2"/>
  <c r="M762" i="2"/>
  <c r="N762" i="2"/>
  <c r="O762" i="2"/>
  <c r="P762" i="2"/>
  <c r="Q762" i="2"/>
  <c r="R762" i="2"/>
  <c r="S762" i="2"/>
  <c r="T762" i="2"/>
  <c r="U762" i="2"/>
  <c r="V762" i="2"/>
  <c r="W762" i="2"/>
  <c r="X762" i="2"/>
  <c r="Y762" i="2"/>
  <c r="A763" i="2"/>
  <c r="B763" i="2"/>
  <c r="C763" i="2"/>
  <c r="D763" i="2"/>
  <c r="E763" i="2"/>
  <c r="F763" i="2"/>
  <c r="G763" i="2"/>
  <c r="H763" i="2"/>
  <c r="I763" i="2"/>
  <c r="J763" i="2"/>
  <c r="K763" i="2"/>
  <c r="L763" i="2"/>
  <c r="M763" i="2"/>
  <c r="N763" i="2"/>
  <c r="O763" i="2"/>
  <c r="P763" i="2"/>
  <c r="Q763" i="2"/>
  <c r="R763" i="2"/>
  <c r="S763" i="2"/>
  <c r="T763" i="2"/>
  <c r="U763" i="2"/>
  <c r="V763" i="2"/>
  <c r="W763" i="2"/>
  <c r="X763" i="2"/>
  <c r="Y763" i="2"/>
  <c r="A764" i="2"/>
  <c r="B764" i="2"/>
  <c r="C764" i="2"/>
  <c r="D764" i="2"/>
  <c r="E764" i="2"/>
  <c r="F764" i="2"/>
  <c r="G764" i="2"/>
  <c r="H764" i="2"/>
  <c r="I764" i="2"/>
  <c r="J764" i="2"/>
  <c r="K764" i="2"/>
  <c r="L764" i="2"/>
  <c r="M764" i="2"/>
  <c r="N764" i="2"/>
  <c r="O764" i="2"/>
  <c r="P764" i="2"/>
  <c r="Q764" i="2"/>
  <c r="R764" i="2"/>
  <c r="S764" i="2"/>
  <c r="T764" i="2"/>
  <c r="U764" i="2"/>
  <c r="V764" i="2"/>
  <c r="W764" i="2"/>
  <c r="X764" i="2"/>
  <c r="Y764" i="2"/>
  <c r="A765" i="2"/>
  <c r="B765" i="2"/>
  <c r="C765" i="2"/>
  <c r="D765" i="2"/>
  <c r="E765" i="2"/>
  <c r="F765" i="2"/>
  <c r="G765" i="2"/>
  <c r="H765" i="2"/>
  <c r="I765" i="2"/>
  <c r="J765" i="2"/>
  <c r="K765" i="2"/>
  <c r="L765" i="2"/>
  <c r="M765" i="2"/>
  <c r="N765" i="2"/>
  <c r="O765" i="2"/>
  <c r="P765" i="2"/>
  <c r="Q765" i="2"/>
  <c r="R765" i="2"/>
  <c r="S765" i="2"/>
  <c r="T765" i="2"/>
  <c r="U765" i="2"/>
  <c r="V765" i="2"/>
  <c r="W765" i="2"/>
  <c r="X765" i="2"/>
  <c r="Y765" i="2"/>
  <c r="A766" i="2"/>
  <c r="B766" i="2"/>
  <c r="C766" i="2"/>
  <c r="D766" i="2"/>
  <c r="E766" i="2"/>
  <c r="F766" i="2"/>
  <c r="G766" i="2"/>
  <c r="H766" i="2"/>
  <c r="I766" i="2"/>
  <c r="J766" i="2"/>
  <c r="K766" i="2"/>
  <c r="L766" i="2"/>
  <c r="M766" i="2"/>
  <c r="N766" i="2"/>
  <c r="O766" i="2"/>
  <c r="P766" i="2"/>
  <c r="Q766" i="2"/>
  <c r="R766" i="2"/>
  <c r="S766" i="2"/>
  <c r="T766" i="2"/>
  <c r="U766" i="2"/>
  <c r="V766" i="2"/>
  <c r="W766" i="2"/>
  <c r="X766" i="2"/>
  <c r="Y766" i="2"/>
  <c r="A767" i="2"/>
  <c r="B767" i="2"/>
  <c r="C767" i="2"/>
  <c r="D767" i="2"/>
  <c r="E767" i="2"/>
  <c r="F767" i="2"/>
  <c r="G767" i="2"/>
  <c r="H767" i="2"/>
  <c r="I767" i="2"/>
  <c r="J767" i="2"/>
  <c r="K767" i="2"/>
  <c r="L767" i="2"/>
  <c r="M767" i="2"/>
  <c r="N767" i="2"/>
  <c r="O767" i="2"/>
  <c r="P767" i="2"/>
  <c r="Q767" i="2"/>
  <c r="R767" i="2"/>
  <c r="S767" i="2"/>
  <c r="T767" i="2"/>
  <c r="U767" i="2"/>
  <c r="V767" i="2"/>
  <c r="W767" i="2"/>
  <c r="X767" i="2"/>
  <c r="Y767" i="2"/>
  <c r="A768" i="2"/>
  <c r="B768" i="2"/>
  <c r="C768" i="2"/>
  <c r="D768" i="2"/>
  <c r="E768" i="2"/>
  <c r="F768" i="2"/>
  <c r="G768" i="2"/>
  <c r="H768" i="2"/>
  <c r="I768" i="2"/>
  <c r="J768" i="2"/>
  <c r="K768" i="2"/>
  <c r="L768" i="2"/>
  <c r="M768" i="2"/>
  <c r="N768" i="2"/>
  <c r="O768" i="2"/>
  <c r="P768" i="2"/>
  <c r="Q768" i="2"/>
  <c r="R768" i="2"/>
  <c r="S768" i="2"/>
  <c r="T768" i="2"/>
  <c r="U768" i="2"/>
  <c r="V768" i="2"/>
  <c r="W768" i="2"/>
  <c r="X768" i="2"/>
  <c r="Y768" i="2"/>
  <c r="A769" i="2"/>
  <c r="B769" i="2"/>
  <c r="C769" i="2"/>
  <c r="D769" i="2"/>
  <c r="E769" i="2"/>
  <c r="F769" i="2"/>
  <c r="G769" i="2"/>
  <c r="H769" i="2"/>
  <c r="I769" i="2"/>
  <c r="J769" i="2"/>
  <c r="K769" i="2"/>
  <c r="L769" i="2"/>
  <c r="M769" i="2"/>
  <c r="N769" i="2"/>
  <c r="O769" i="2"/>
  <c r="P769" i="2"/>
  <c r="Q769" i="2"/>
  <c r="R769" i="2"/>
  <c r="S769" i="2"/>
  <c r="T769" i="2"/>
  <c r="U769" i="2"/>
  <c r="V769" i="2"/>
  <c r="W769" i="2"/>
  <c r="X769" i="2"/>
  <c r="Y769" i="2"/>
  <c r="A770" i="2"/>
  <c r="B770" i="2"/>
  <c r="C770" i="2"/>
  <c r="D770" i="2"/>
  <c r="E770" i="2"/>
  <c r="F770" i="2"/>
  <c r="G770" i="2"/>
  <c r="H770" i="2"/>
  <c r="I770" i="2"/>
  <c r="J770" i="2"/>
  <c r="K770" i="2"/>
  <c r="L770" i="2"/>
  <c r="M770" i="2"/>
  <c r="N770" i="2"/>
  <c r="O770" i="2"/>
  <c r="P770" i="2"/>
  <c r="Q770" i="2"/>
  <c r="R770" i="2"/>
  <c r="S770" i="2"/>
  <c r="T770" i="2"/>
  <c r="U770" i="2"/>
  <c r="V770" i="2"/>
  <c r="W770" i="2"/>
  <c r="X770" i="2"/>
  <c r="Y770" i="2"/>
  <c r="A771" i="2"/>
  <c r="B771" i="2"/>
  <c r="C771" i="2"/>
  <c r="D771" i="2"/>
  <c r="E771" i="2"/>
  <c r="F771" i="2"/>
  <c r="G771" i="2"/>
  <c r="H771" i="2"/>
  <c r="I771" i="2"/>
  <c r="J771" i="2"/>
  <c r="K771" i="2"/>
  <c r="L771" i="2"/>
  <c r="M771" i="2"/>
  <c r="N771" i="2"/>
  <c r="O771" i="2"/>
  <c r="P771" i="2"/>
  <c r="Q771" i="2"/>
  <c r="R771" i="2"/>
  <c r="S771" i="2"/>
  <c r="T771" i="2"/>
  <c r="U771" i="2"/>
  <c r="V771" i="2"/>
  <c r="W771" i="2"/>
  <c r="X771" i="2"/>
  <c r="Y771" i="2"/>
  <c r="B772" i="2"/>
  <c r="C772" i="2"/>
  <c r="D772" i="2"/>
  <c r="E772" i="2"/>
  <c r="F772" i="2"/>
  <c r="G772" i="2"/>
  <c r="H772" i="2"/>
  <c r="I772" i="2"/>
  <c r="J772" i="2"/>
  <c r="K772" i="2"/>
  <c r="L772" i="2"/>
  <c r="M772" i="2"/>
  <c r="N772" i="2"/>
  <c r="O772" i="2"/>
  <c r="P772" i="2"/>
  <c r="Q772" i="2"/>
  <c r="R772" i="2"/>
  <c r="S772" i="2"/>
  <c r="T772" i="2"/>
  <c r="U772" i="2"/>
  <c r="V772" i="2"/>
  <c r="W772" i="2"/>
  <c r="X772" i="2"/>
  <c r="Y772" i="2"/>
  <c r="A773" i="2"/>
  <c r="B773" i="2"/>
  <c r="C773" i="2"/>
  <c r="D773" i="2"/>
  <c r="E773" i="2"/>
  <c r="F773" i="2"/>
  <c r="G773" i="2"/>
  <c r="H773" i="2"/>
  <c r="I773" i="2"/>
  <c r="J773" i="2"/>
  <c r="K773" i="2"/>
  <c r="L773" i="2"/>
  <c r="M773" i="2"/>
  <c r="N773" i="2"/>
  <c r="O773" i="2"/>
  <c r="P773" i="2"/>
  <c r="Q773" i="2"/>
  <c r="R773" i="2"/>
  <c r="S773" i="2"/>
  <c r="T773" i="2"/>
  <c r="U773" i="2"/>
  <c r="V773" i="2"/>
  <c r="W773" i="2"/>
  <c r="X773" i="2"/>
  <c r="Y773" i="2"/>
  <c r="A774" i="2"/>
  <c r="B774" i="2"/>
  <c r="C774" i="2"/>
  <c r="D774" i="2"/>
  <c r="E774" i="2"/>
  <c r="F774" i="2"/>
  <c r="G774" i="2"/>
  <c r="H774" i="2"/>
  <c r="I774" i="2"/>
  <c r="J774" i="2"/>
  <c r="K774" i="2"/>
  <c r="L774" i="2"/>
  <c r="M774" i="2"/>
  <c r="N774" i="2"/>
  <c r="O774" i="2"/>
  <c r="P774" i="2"/>
  <c r="Q774" i="2"/>
  <c r="R774" i="2"/>
  <c r="S774" i="2"/>
  <c r="T774" i="2"/>
  <c r="U774" i="2"/>
  <c r="V774" i="2"/>
  <c r="W774" i="2"/>
  <c r="X774" i="2"/>
  <c r="Y774" i="2"/>
  <c r="B775" i="2"/>
  <c r="C775" i="2"/>
  <c r="D775" i="2"/>
  <c r="E775" i="2"/>
  <c r="F775" i="2"/>
  <c r="G775" i="2"/>
  <c r="H775" i="2"/>
  <c r="I775" i="2"/>
  <c r="J775" i="2"/>
  <c r="K775" i="2"/>
  <c r="L775" i="2"/>
  <c r="M775" i="2"/>
  <c r="N775" i="2"/>
  <c r="O775" i="2"/>
  <c r="P775" i="2"/>
  <c r="Q775" i="2"/>
  <c r="R775" i="2"/>
  <c r="S775" i="2"/>
  <c r="T775" i="2"/>
  <c r="U775" i="2"/>
  <c r="V775" i="2"/>
  <c r="W775" i="2"/>
  <c r="X775" i="2"/>
  <c r="Y775" i="2"/>
  <c r="A776" i="2"/>
  <c r="B776" i="2"/>
  <c r="C776" i="2"/>
  <c r="D776" i="2"/>
  <c r="E776" i="2"/>
  <c r="F776" i="2"/>
  <c r="G776" i="2"/>
  <c r="H776" i="2"/>
  <c r="I776" i="2"/>
  <c r="J776" i="2"/>
  <c r="K776" i="2"/>
  <c r="L776" i="2"/>
  <c r="M776" i="2"/>
  <c r="N776" i="2"/>
  <c r="O776" i="2"/>
  <c r="P776" i="2"/>
  <c r="Q776" i="2"/>
  <c r="R776" i="2"/>
  <c r="S776" i="2"/>
  <c r="T776" i="2"/>
  <c r="U776" i="2"/>
  <c r="V776" i="2"/>
  <c r="W776" i="2"/>
  <c r="X776" i="2"/>
  <c r="Y776" i="2"/>
  <c r="A777" i="2"/>
  <c r="B777" i="2"/>
  <c r="C777" i="2"/>
  <c r="D777" i="2"/>
  <c r="E777" i="2"/>
  <c r="F777" i="2"/>
  <c r="G777" i="2"/>
  <c r="H777" i="2"/>
  <c r="I777" i="2"/>
  <c r="J777" i="2"/>
  <c r="K777" i="2"/>
  <c r="L777" i="2"/>
  <c r="M777" i="2"/>
  <c r="N777" i="2"/>
  <c r="O777" i="2"/>
  <c r="P777" i="2"/>
  <c r="Q777" i="2"/>
  <c r="R777" i="2"/>
  <c r="S777" i="2"/>
  <c r="T777" i="2"/>
  <c r="U777" i="2"/>
  <c r="V777" i="2"/>
  <c r="W777" i="2"/>
  <c r="X777" i="2"/>
  <c r="Y777" i="2"/>
  <c r="A778" i="2"/>
  <c r="B778" i="2"/>
  <c r="C778" i="2"/>
  <c r="D778" i="2"/>
  <c r="E778" i="2"/>
  <c r="F778" i="2"/>
  <c r="G778" i="2"/>
  <c r="H778" i="2"/>
  <c r="I778" i="2"/>
  <c r="J778" i="2"/>
  <c r="K778" i="2"/>
  <c r="L778" i="2"/>
  <c r="M778" i="2"/>
  <c r="N778" i="2"/>
  <c r="O778" i="2"/>
  <c r="P778" i="2"/>
  <c r="Q778" i="2"/>
  <c r="R778" i="2"/>
  <c r="S778" i="2"/>
  <c r="T778" i="2"/>
  <c r="U778" i="2"/>
  <c r="V778" i="2"/>
  <c r="W778" i="2"/>
  <c r="X778" i="2"/>
  <c r="Y778" i="2"/>
  <c r="A779" i="2"/>
  <c r="B779" i="2"/>
  <c r="C779" i="2"/>
  <c r="D779" i="2"/>
  <c r="E779" i="2"/>
  <c r="F779" i="2"/>
  <c r="G779" i="2"/>
  <c r="H779" i="2"/>
  <c r="I779" i="2"/>
  <c r="J779" i="2"/>
  <c r="K779" i="2"/>
  <c r="L779" i="2"/>
  <c r="M779" i="2"/>
  <c r="N779" i="2"/>
  <c r="O779" i="2"/>
  <c r="P779" i="2"/>
  <c r="Q779" i="2"/>
  <c r="R779" i="2"/>
  <c r="S779" i="2"/>
  <c r="T779" i="2"/>
  <c r="U779" i="2"/>
  <c r="V779" i="2"/>
  <c r="W779" i="2"/>
  <c r="X779" i="2"/>
  <c r="Y779" i="2"/>
  <c r="B780" i="2"/>
  <c r="C780" i="2"/>
  <c r="D780" i="2"/>
  <c r="E780" i="2"/>
  <c r="F780" i="2"/>
  <c r="G780" i="2"/>
  <c r="H780" i="2"/>
  <c r="I780" i="2"/>
  <c r="J780" i="2"/>
  <c r="K780" i="2"/>
  <c r="L780" i="2"/>
  <c r="M780" i="2"/>
  <c r="N780" i="2"/>
  <c r="O780" i="2"/>
  <c r="P780" i="2"/>
  <c r="Q780" i="2"/>
  <c r="R780" i="2"/>
  <c r="S780" i="2"/>
  <c r="T780" i="2"/>
  <c r="U780" i="2"/>
  <c r="V780" i="2"/>
  <c r="W780" i="2"/>
  <c r="X780" i="2"/>
  <c r="Y780" i="2"/>
  <c r="A781" i="2"/>
  <c r="B781" i="2"/>
  <c r="C781" i="2"/>
  <c r="D781" i="2"/>
  <c r="E781" i="2"/>
  <c r="F781" i="2"/>
  <c r="G781" i="2"/>
  <c r="H781" i="2"/>
  <c r="I781" i="2"/>
  <c r="J781" i="2"/>
  <c r="K781" i="2"/>
  <c r="L781" i="2"/>
  <c r="M781" i="2"/>
  <c r="N781" i="2"/>
  <c r="O781" i="2"/>
  <c r="P781" i="2"/>
  <c r="Q781" i="2"/>
  <c r="R781" i="2"/>
  <c r="S781" i="2"/>
  <c r="T781" i="2"/>
  <c r="U781" i="2"/>
  <c r="V781" i="2"/>
  <c r="W781" i="2"/>
  <c r="X781" i="2"/>
  <c r="Y781" i="2"/>
  <c r="A782" i="2"/>
  <c r="B782" i="2"/>
  <c r="C782" i="2"/>
  <c r="D782" i="2"/>
  <c r="E782" i="2"/>
  <c r="F782" i="2"/>
  <c r="G782" i="2"/>
  <c r="H782" i="2"/>
  <c r="I782" i="2"/>
  <c r="J782" i="2"/>
  <c r="K782" i="2"/>
  <c r="L782" i="2"/>
  <c r="M782" i="2"/>
  <c r="N782" i="2"/>
  <c r="O782" i="2"/>
  <c r="P782" i="2"/>
  <c r="Q782" i="2"/>
  <c r="R782" i="2"/>
  <c r="S782" i="2"/>
  <c r="T782" i="2"/>
  <c r="U782" i="2"/>
  <c r="V782" i="2"/>
  <c r="W782" i="2"/>
  <c r="X782" i="2"/>
  <c r="Y782" i="2"/>
  <c r="A783" i="2"/>
  <c r="B783" i="2"/>
  <c r="C783" i="2"/>
  <c r="D783" i="2"/>
  <c r="E783" i="2"/>
  <c r="F783" i="2"/>
  <c r="G783" i="2"/>
  <c r="H783" i="2"/>
  <c r="I783" i="2"/>
  <c r="J783" i="2"/>
  <c r="K783" i="2"/>
  <c r="L783" i="2"/>
  <c r="M783" i="2"/>
  <c r="N783" i="2"/>
  <c r="O783" i="2"/>
  <c r="P783" i="2"/>
  <c r="Q783" i="2"/>
  <c r="R783" i="2"/>
  <c r="S783" i="2"/>
  <c r="T783" i="2"/>
  <c r="U783" i="2"/>
  <c r="V783" i="2"/>
  <c r="W783" i="2"/>
  <c r="X783" i="2"/>
  <c r="Y783" i="2"/>
  <c r="A784" i="2"/>
  <c r="B784" i="2"/>
  <c r="C784" i="2"/>
  <c r="D784" i="2"/>
  <c r="E784" i="2"/>
  <c r="F784" i="2"/>
  <c r="G784" i="2"/>
  <c r="H784" i="2"/>
  <c r="I784" i="2"/>
  <c r="J784" i="2"/>
  <c r="K784" i="2"/>
  <c r="L784" i="2"/>
  <c r="M784" i="2"/>
  <c r="N784" i="2"/>
  <c r="O784" i="2"/>
  <c r="P784" i="2"/>
  <c r="Q784" i="2"/>
  <c r="R784" i="2"/>
  <c r="S784" i="2"/>
  <c r="T784" i="2"/>
  <c r="U784" i="2"/>
  <c r="V784" i="2"/>
  <c r="W784" i="2"/>
  <c r="X784" i="2"/>
  <c r="Y784" i="2"/>
  <c r="A785" i="2"/>
  <c r="B785" i="2"/>
  <c r="C785" i="2"/>
  <c r="D785" i="2"/>
  <c r="E785" i="2"/>
  <c r="F785" i="2"/>
  <c r="G785" i="2"/>
  <c r="H785" i="2"/>
  <c r="I785" i="2"/>
  <c r="J785" i="2"/>
  <c r="K785" i="2"/>
  <c r="L785" i="2"/>
  <c r="M785" i="2"/>
  <c r="N785" i="2"/>
  <c r="O785" i="2"/>
  <c r="P785" i="2"/>
  <c r="Q785" i="2"/>
  <c r="R785" i="2"/>
  <c r="S785" i="2"/>
  <c r="T785" i="2"/>
  <c r="U785" i="2"/>
  <c r="V785" i="2"/>
  <c r="W785" i="2"/>
  <c r="X785" i="2"/>
  <c r="Y785" i="2"/>
  <c r="A786" i="2"/>
  <c r="B786" i="2"/>
  <c r="C786" i="2"/>
  <c r="D786" i="2"/>
  <c r="E786" i="2"/>
  <c r="F786" i="2"/>
  <c r="G786" i="2"/>
  <c r="H786" i="2"/>
  <c r="I786" i="2"/>
  <c r="J786" i="2"/>
  <c r="K786" i="2"/>
  <c r="L786" i="2"/>
  <c r="M786" i="2"/>
  <c r="N786" i="2"/>
  <c r="O786" i="2"/>
  <c r="P786" i="2"/>
  <c r="Q786" i="2"/>
  <c r="R786" i="2"/>
  <c r="S786" i="2"/>
  <c r="T786" i="2"/>
  <c r="U786" i="2"/>
  <c r="V786" i="2"/>
  <c r="W786" i="2"/>
  <c r="X786" i="2"/>
  <c r="Y786" i="2"/>
  <c r="A787" i="2"/>
  <c r="B787" i="2"/>
  <c r="C787" i="2"/>
  <c r="D787" i="2"/>
  <c r="E787" i="2"/>
  <c r="F787" i="2"/>
  <c r="G787" i="2"/>
  <c r="H787" i="2"/>
  <c r="I787" i="2"/>
  <c r="J787" i="2"/>
  <c r="K787" i="2"/>
  <c r="L787" i="2"/>
  <c r="M787" i="2"/>
  <c r="N787" i="2"/>
  <c r="O787" i="2"/>
  <c r="P787" i="2"/>
  <c r="Q787" i="2"/>
  <c r="R787" i="2"/>
  <c r="S787" i="2"/>
  <c r="T787" i="2"/>
  <c r="U787" i="2"/>
  <c r="V787" i="2"/>
  <c r="W787" i="2"/>
  <c r="X787" i="2"/>
  <c r="Y787" i="2"/>
  <c r="B788" i="2"/>
  <c r="C788" i="2"/>
  <c r="D788" i="2"/>
  <c r="E788" i="2"/>
  <c r="F788" i="2"/>
  <c r="G788" i="2"/>
  <c r="H788" i="2"/>
  <c r="I788" i="2"/>
  <c r="J788" i="2"/>
  <c r="K788" i="2"/>
  <c r="L788" i="2"/>
  <c r="M788" i="2"/>
  <c r="N788" i="2"/>
  <c r="O788" i="2"/>
  <c r="P788" i="2"/>
  <c r="Q788" i="2"/>
  <c r="R788" i="2"/>
  <c r="S788" i="2"/>
  <c r="T788" i="2"/>
  <c r="U788" i="2"/>
  <c r="V788" i="2"/>
  <c r="W788" i="2"/>
  <c r="X788" i="2"/>
  <c r="Y788" i="2"/>
  <c r="A789" i="2"/>
  <c r="B789" i="2"/>
  <c r="C789" i="2"/>
  <c r="D789" i="2"/>
  <c r="E789" i="2"/>
  <c r="F789" i="2"/>
  <c r="G789" i="2"/>
  <c r="H789" i="2"/>
  <c r="I789" i="2"/>
  <c r="J789" i="2"/>
  <c r="K789" i="2"/>
  <c r="L789" i="2"/>
  <c r="M789" i="2"/>
  <c r="N789" i="2"/>
  <c r="O789" i="2"/>
  <c r="P789" i="2"/>
  <c r="Q789" i="2"/>
  <c r="R789" i="2"/>
  <c r="S789" i="2"/>
  <c r="T789" i="2"/>
  <c r="U789" i="2"/>
  <c r="V789" i="2"/>
  <c r="W789" i="2"/>
  <c r="X789" i="2"/>
  <c r="Y789" i="2"/>
  <c r="B790" i="2"/>
  <c r="C790" i="2"/>
  <c r="D790" i="2"/>
  <c r="E790" i="2"/>
  <c r="F790" i="2"/>
  <c r="G790" i="2"/>
  <c r="H790" i="2"/>
  <c r="I790" i="2"/>
  <c r="J790" i="2"/>
  <c r="K790" i="2"/>
  <c r="L790" i="2"/>
  <c r="M790" i="2"/>
  <c r="N790" i="2"/>
  <c r="O790" i="2"/>
  <c r="P790" i="2"/>
  <c r="Q790" i="2"/>
  <c r="R790" i="2"/>
  <c r="S790" i="2"/>
  <c r="T790" i="2"/>
  <c r="U790" i="2"/>
  <c r="V790" i="2"/>
  <c r="W790" i="2"/>
  <c r="X790" i="2"/>
  <c r="Y790" i="2"/>
  <c r="B791" i="2"/>
  <c r="C791" i="2"/>
  <c r="D791" i="2"/>
  <c r="E791" i="2"/>
  <c r="F791" i="2"/>
  <c r="G791" i="2"/>
  <c r="H791" i="2"/>
  <c r="I791" i="2"/>
  <c r="J791" i="2"/>
  <c r="K791" i="2"/>
  <c r="L791" i="2"/>
  <c r="M791" i="2"/>
  <c r="N791" i="2"/>
  <c r="O791" i="2"/>
  <c r="P791" i="2"/>
  <c r="Q791" i="2"/>
  <c r="R791" i="2"/>
  <c r="S791" i="2"/>
  <c r="T791" i="2"/>
  <c r="U791" i="2"/>
  <c r="V791" i="2"/>
  <c r="W791" i="2"/>
  <c r="X791" i="2"/>
  <c r="Y791" i="2"/>
  <c r="B792" i="2"/>
  <c r="C792" i="2"/>
  <c r="D792" i="2"/>
  <c r="E792" i="2"/>
  <c r="F792" i="2"/>
  <c r="G792" i="2"/>
  <c r="H792" i="2"/>
  <c r="I792" i="2"/>
  <c r="J792" i="2"/>
  <c r="K792" i="2"/>
  <c r="L792" i="2"/>
  <c r="M792" i="2"/>
  <c r="N792" i="2"/>
  <c r="O792" i="2"/>
  <c r="P792" i="2"/>
  <c r="Q792" i="2"/>
  <c r="R792" i="2"/>
  <c r="S792" i="2"/>
  <c r="T792" i="2"/>
  <c r="U792" i="2"/>
  <c r="V792" i="2"/>
  <c r="W792" i="2"/>
  <c r="X792" i="2"/>
  <c r="Y792" i="2"/>
  <c r="A793" i="2"/>
  <c r="B793" i="2"/>
  <c r="C793" i="2"/>
  <c r="D793" i="2"/>
  <c r="E793" i="2"/>
  <c r="F793" i="2"/>
  <c r="G793" i="2"/>
  <c r="H793" i="2"/>
  <c r="I793" i="2"/>
  <c r="J793" i="2"/>
  <c r="K793" i="2"/>
  <c r="L793" i="2"/>
  <c r="M793" i="2"/>
  <c r="N793" i="2"/>
  <c r="O793" i="2"/>
  <c r="P793" i="2"/>
  <c r="Q793" i="2"/>
  <c r="R793" i="2"/>
  <c r="S793" i="2"/>
  <c r="T793" i="2"/>
  <c r="U793" i="2"/>
  <c r="V793" i="2"/>
  <c r="W793" i="2"/>
  <c r="X793" i="2"/>
  <c r="Y793" i="2"/>
  <c r="A794" i="2"/>
  <c r="B794" i="2"/>
  <c r="C794" i="2"/>
  <c r="D794" i="2"/>
  <c r="E794" i="2"/>
  <c r="F794" i="2"/>
  <c r="G794" i="2"/>
  <c r="H794" i="2"/>
  <c r="I794" i="2"/>
  <c r="J794" i="2"/>
  <c r="K794" i="2"/>
  <c r="L794" i="2"/>
  <c r="M794" i="2"/>
  <c r="N794" i="2"/>
  <c r="O794" i="2"/>
  <c r="P794" i="2"/>
  <c r="Q794" i="2"/>
  <c r="R794" i="2"/>
  <c r="S794" i="2"/>
  <c r="T794" i="2"/>
  <c r="U794" i="2"/>
  <c r="V794" i="2"/>
  <c r="W794" i="2"/>
  <c r="X794" i="2"/>
  <c r="Y794" i="2"/>
  <c r="A795" i="2"/>
  <c r="B795" i="2"/>
  <c r="C795" i="2"/>
  <c r="D795" i="2"/>
  <c r="E795" i="2"/>
  <c r="F795" i="2"/>
  <c r="G795" i="2"/>
  <c r="H795" i="2"/>
  <c r="I795" i="2"/>
  <c r="J795" i="2"/>
  <c r="K795" i="2"/>
  <c r="L795" i="2"/>
  <c r="M795" i="2"/>
  <c r="N795" i="2"/>
  <c r="O795" i="2"/>
  <c r="P795" i="2"/>
  <c r="Q795" i="2"/>
  <c r="R795" i="2"/>
  <c r="S795" i="2"/>
  <c r="T795" i="2"/>
  <c r="U795" i="2"/>
  <c r="V795" i="2"/>
  <c r="W795" i="2"/>
  <c r="X795" i="2"/>
  <c r="Y795" i="2"/>
  <c r="A796" i="2"/>
  <c r="B796" i="2"/>
  <c r="C796" i="2"/>
  <c r="D796" i="2"/>
  <c r="E796" i="2"/>
  <c r="F796" i="2"/>
  <c r="G796" i="2"/>
  <c r="H796" i="2"/>
  <c r="I796" i="2"/>
  <c r="J796" i="2"/>
  <c r="K796" i="2"/>
  <c r="L796" i="2"/>
  <c r="M796" i="2"/>
  <c r="N796" i="2"/>
  <c r="O796" i="2"/>
  <c r="P796" i="2"/>
  <c r="Q796" i="2"/>
  <c r="R796" i="2"/>
  <c r="S796" i="2"/>
  <c r="T796" i="2"/>
  <c r="U796" i="2"/>
  <c r="V796" i="2"/>
  <c r="W796" i="2"/>
  <c r="X796" i="2"/>
  <c r="Y796" i="2"/>
  <c r="A797" i="2"/>
  <c r="B797" i="2"/>
  <c r="C797" i="2"/>
  <c r="D797" i="2"/>
  <c r="E797" i="2"/>
  <c r="F797" i="2"/>
  <c r="G797" i="2"/>
  <c r="H797" i="2"/>
  <c r="I797" i="2"/>
  <c r="J797" i="2"/>
  <c r="K797" i="2"/>
  <c r="L797" i="2"/>
  <c r="M797" i="2"/>
  <c r="N797" i="2"/>
  <c r="O797" i="2"/>
  <c r="P797" i="2"/>
  <c r="Q797" i="2"/>
  <c r="R797" i="2"/>
  <c r="S797" i="2"/>
  <c r="T797" i="2"/>
  <c r="U797" i="2"/>
  <c r="V797" i="2"/>
  <c r="W797" i="2"/>
  <c r="X797" i="2"/>
  <c r="Y797" i="2"/>
  <c r="A798" i="2"/>
  <c r="B798" i="2"/>
  <c r="C798" i="2"/>
  <c r="D798" i="2"/>
  <c r="E798" i="2"/>
  <c r="F798" i="2"/>
  <c r="G798" i="2"/>
  <c r="H798" i="2"/>
  <c r="I798" i="2"/>
  <c r="J798" i="2"/>
  <c r="K798" i="2"/>
  <c r="L798" i="2"/>
  <c r="M798" i="2"/>
  <c r="N798" i="2"/>
  <c r="O798" i="2"/>
  <c r="P798" i="2"/>
  <c r="Q798" i="2"/>
  <c r="R798" i="2"/>
  <c r="S798" i="2"/>
  <c r="T798" i="2"/>
  <c r="U798" i="2"/>
  <c r="V798" i="2"/>
  <c r="W798" i="2"/>
  <c r="X798" i="2"/>
  <c r="Y798" i="2"/>
  <c r="A799" i="2"/>
  <c r="B799" i="2"/>
  <c r="C799" i="2"/>
  <c r="D799" i="2"/>
  <c r="E799" i="2"/>
  <c r="F799" i="2"/>
  <c r="G799" i="2"/>
  <c r="H799" i="2"/>
  <c r="I799" i="2"/>
  <c r="J799" i="2"/>
  <c r="K799" i="2"/>
  <c r="L799" i="2"/>
  <c r="M799" i="2"/>
  <c r="N799" i="2"/>
  <c r="O799" i="2"/>
  <c r="P799" i="2"/>
  <c r="Q799" i="2"/>
  <c r="R799" i="2"/>
  <c r="S799" i="2"/>
  <c r="T799" i="2"/>
  <c r="U799" i="2"/>
  <c r="V799" i="2"/>
  <c r="W799" i="2"/>
  <c r="X799" i="2"/>
  <c r="Y799" i="2"/>
  <c r="A800" i="2"/>
  <c r="B800" i="2"/>
  <c r="C800" i="2"/>
  <c r="D800" i="2"/>
  <c r="E800" i="2"/>
  <c r="F800" i="2"/>
  <c r="G800" i="2"/>
  <c r="H800" i="2"/>
  <c r="I800" i="2"/>
  <c r="J800" i="2"/>
  <c r="K800" i="2"/>
  <c r="L800" i="2"/>
  <c r="M800" i="2"/>
  <c r="N800" i="2"/>
  <c r="O800" i="2"/>
  <c r="P800" i="2"/>
  <c r="Q800" i="2"/>
  <c r="R800" i="2"/>
  <c r="S800" i="2"/>
  <c r="T800" i="2"/>
  <c r="U800" i="2"/>
  <c r="V800" i="2"/>
  <c r="W800" i="2"/>
  <c r="X800" i="2"/>
  <c r="Y800" i="2"/>
  <c r="A801" i="2"/>
  <c r="B801" i="2"/>
  <c r="C801" i="2"/>
  <c r="D801" i="2"/>
  <c r="E801" i="2"/>
  <c r="F801" i="2"/>
  <c r="G801" i="2"/>
  <c r="H801" i="2"/>
  <c r="I801" i="2"/>
  <c r="J801" i="2"/>
  <c r="K801" i="2"/>
  <c r="L801" i="2"/>
  <c r="M801" i="2"/>
  <c r="N801" i="2"/>
  <c r="O801" i="2"/>
  <c r="P801" i="2"/>
  <c r="Q801" i="2"/>
  <c r="R801" i="2"/>
  <c r="S801" i="2"/>
  <c r="T801" i="2"/>
  <c r="U801" i="2"/>
  <c r="V801" i="2"/>
  <c r="W801" i="2"/>
  <c r="X801" i="2"/>
  <c r="Y801" i="2"/>
  <c r="A802" i="2"/>
  <c r="B802" i="2"/>
  <c r="C802" i="2"/>
  <c r="D802" i="2"/>
  <c r="E802" i="2"/>
  <c r="F802" i="2"/>
  <c r="G802" i="2"/>
  <c r="H802" i="2"/>
  <c r="I802" i="2"/>
  <c r="J802" i="2"/>
  <c r="K802" i="2"/>
  <c r="L802" i="2"/>
  <c r="M802" i="2"/>
  <c r="N802" i="2"/>
  <c r="O802" i="2"/>
  <c r="P802" i="2"/>
  <c r="Q802" i="2"/>
  <c r="R802" i="2"/>
  <c r="S802" i="2"/>
  <c r="T802" i="2"/>
  <c r="U802" i="2"/>
  <c r="V802" i="2"/>
  <c r="W802" i="2"/>
  <c r="X802" i="2"/>
  <c r="Y802" i="2"/>
  <c r="A803" i="2"/>
  <c r="B803" i="2"/>
  <c r="C803" i="2"/>
  <c r="D803" i="2"/>
  <c r="E803" i="2"/>
  <c r="F803" i="2"/>
  <c r="G803" i="2"/>
  <c r="H803" i="2"/>
  <c r="I803" i="2"/>
  <c r="J803" i="2"/>
  <c r="K803" i="2"/>
  <c r="L803" i="2"/>
  <c r="M803" i="2"/>
  <c r="N803" i="2"/>
  <c r="O803" i="2"/>
  <c r="P803" i="2"/>
  <c r="Q803" i="2"/>
  <c r="R803" i="2"/>
  <c r="S803" i="2"/>
  <c r="T803" i="2"/>
  <c r="U803" i="2"/>
  <c r="V803" i="2"/>
  <c r="W803" i="2"/>
  <c r="X803" i="2"/>
  <c r="Y803" i="2"/>
  <c r="B804" i="2"/>
  <c r="C804" i="2"/>
  <c r="D804" i="2"/>
  <c r="E804" i="2"/>
  <c r="F804" i="2"/>
  <c r="G804" i="2"/>
  <c r="H804" i="2"/>
  <c r="I804" i="2"/>
  <c r="J804" i="2"/>
  <c r="K804" i="2"/>
  <c r="L804" i="2"/>
  <c r="M804" i="2"/>
  <c r="N804" i="2"/>
  <c r="O804" i="2"/>
  <c r="P804" i="2"/>
  <c r="Q804" i="2"/>
  <c r="R804" i="2"/>
  <c r="S804" i="2"/>
  <c r="T804" i="2"/>
  <c r="U804" i="2"/>
  <c r="V804" i="2"/>
  <c r="W804" i="2"/>
  <c r="X804" i="2"/>
  <c r="Y804" i="2"/>
  <c r="A805" i="2"/>
  <c r="B805" i="2"/>
  <c r="C805" i="2"/>
  <c r="D805" i="2"/>
  <c r="E805" i="2"/>
  <c r="F805" i="2"/>
  <c r="G805" i="2"/>
  <c r="H805" i="2"/>
  <c r="I805" i="2"/>
  <c r="J805" i="2"/>
  <c r="K805" i="2"/>
  <c r="L805" i="2"/>
  <c r="M805" i="2"/>
  <c r="N805" i="2"/>
  <c r="O805" i="2"/>
  <c r="P805" i="2"/>
  <c r="Q805" i="2"/>
  <c r="R805" i="2"/>
  <c r="S805" i="2"/>
  <c r="T805" i="2"/>
  <c r="U805" i="2"/>
  <c r="V805" i="2"/>
  <c r="W805" i="2"/>
  <c r="X805" i="2"/>
  <c r="Y805" i="2"/>
  <c r="A806" i="2"/>
  <c r="B806" i="2"/>
  <c r="C806" i="2"/>
  <c r="D806" i="2"/>
  <c r="E806" i="2"/>
  <c r="F806" i="2"/>
  <c r="G806" i="2"/>
  <c r="H806" i="2"/>
  <c r="I806" i="2"/>
  <c r="J806" i="2"/>
  <c r="K806" i="2"/>
  <c r="L806" i="2"/>
  <c r="M806" i="2"/>
  <c r="N806" i="2"/>
  <c r="O806" i="2"/>
  <c r="P806" i="2"/>
  <c r="Q806" i="2"/>
  <c r="R806" i="2"/>
  <c r="S806" i="2"/>
  <c r="T806" i="2"/>
  <c r="U806" i="2"/>
  <c r="V806" i="2"/>
  <c r="W806" i="2"/>
  <c r="X806" i="2"/>
  <c r="Y806" i="2"/>
  <c r="B807" i="2"/>
  <c r="C807" i="2"/>
  <c r="D807" i="2"/>
  <c r="E807" i="2"/>
  <c r="F807" i="2"/>
  <c r="G807" i="2"/>
  <c r="H807" i="2"/>
  <c r="I807" i="2"/>
  <c r="J807" i="2"/>
  <c r="K807" i="2"/>
  <c r="L807" i="2"/>
  <c r="M807" i="2"/>
  <c r="N807" i="2"/>
  <c r="O807" i="2"/>
  <c r="P807" i="2"/>
  <c r="Q807" i="2"/>
  <c r="R807" i="2"/>
  <c r="S807" i="2"/>
  <c r="T807" i="2"/>
  <c r="U807" i="2"/>
  <c r="V807" i="2"/>
  <c r="W807" i="2"/>
  <c r="X807" i="2"/>
  <c r="Y807" i="2"/>
  <c r="B808" i="2"/>
  <c r="C808" i="2"/>
  <c r="D808" i="2"/>
  <c r="E808" i="2"/>
  <c r="F808" i="2"/>
  <c r="G808" i="2"/>
  <c r="H808" i="2"/>
  <c r="I808" i="2"/>
  <c r="J808" i="2"/>
  <c r="K808" i="2"/>
  <c r="L808" i="2"/>
  <c r="M808" i="2"/>
  <c r="N808" i="2"/>
  <c r="O808" i="2"/>
  <c r="P808" i="2"/>
  <c r="Q808" i="2"/>
  <c r="R808" i="2"/>
  <c r="S808" i="2"/>
  <c r="T808" i="2"/>
  <c r="U808" i="2"/>
  <c r="V808" i="2"/>
  <c r="W808" i="2"/>
  <c r="X808" i="2"/>
  <c r="Y808" i="2"/>
  <c r="A809" i="2"/>
  <c r="B809" i="2"/>
  <c r="C809" i="2"/>
  <c r="D809" i="2"/>
  <c r="E809" i="2"/>
  <c r="F809" i="2"/>
  <c r="G809" i="2"/>
  <c r="H809" i="2"/>
  <c r="I809" i="2"/>
  <c r="J809" i="2"/>
  <c r="K809" i="2"/>
  <c r="L809" i="2"/>
  <c r="M809" i="2"/>
  <c r="N809" i="2"/>
  <c r="O809" i="2"/>
  <c r="P809" i="2"/>
  <c r="Q809" i="2"/>
  <c r="R809" i="2"/>
  <c r="S809" i="2"/>
  <c r="T809" i="2"/>
  <c r="U809" i="2"/>
  <c r="V809" i="2"/>
  <c r="W809" i="2"/>
  <c r="X809" i="2"/>
  <c r="Y809" i="2"/>
  <c r="A810" i="2"/>
  <c r="B810" i="2"/>
  <c r="C810" i="2"/>
  <c r="D810" i="2"/>
  <c r="E810" i="2"/>
  <c r="F810" i="2"/>
  <c r="G810" i="2"/>
  <c r="H810" i="2"/>
  <c r="I810" i="2"/>
  <c r="J810" i="2"/>
  <c r="K810" i="2"/>
  <c r="L810" i="2"/>
  <c r="M810" i="2"/>
  <c r="N810" i="2"/>
  <c r="O810" i="2"/>
  <c r="P810" i="2"/>
  <c r="Q810" i="2"/>
  <c r="R810" i="2"/>
  <c r="S810" i="2"/>
  <c r="T810" i="2"/>
  <c r="U810" i="2"/>
  <c r="V810" i="2"/>
  <c r="W810" i="2"/>
  <c r="X810" i="2"/>
  <c r="Y810" i="2"/>
  <c r="A811" i="2"/>
  <c r="B811" i="2"/>
  <c r="C811" i="2"/>
  <c r="D811" i="2"/>
  <c r="E811" i="2"/>
  <c r="F811" i="2"/>
  <c r="G811" i="2"/>
  <c r="H811" i="2"/>
  <c r="I811" i="2"/>
  <c r="J811" i="2"/>
  <c r="K811" i="2"/>
  <c r="L811" i="2"/>
  <c r="M811" i="2"/>
  <c r="N811" i="2"/>
  <c r="O811" i="2"/>
  <c r="P811" i="2"/>
  <c r="Q811" i="2"/>
  <c r="R811" i="2"/>
  <c r="S811" i="2"/>
  <c r="T811" i="2"/>
  <c r="U811" i="2"/>
  <c r="V811" i="2"/>
  <c r="W811" i="2"/>
  <c r="X811" i="2"/>
  <c r="Y811" i="2"/>
  <c r="A812" i="2"/>
  <c r="B812" i="2"/>
  <c r="C812" i="2"/>
  <c r="D812" i="2"/>
  <c r="E812" i="2"/>
  <c r="F812" i="2"/>
  <c r="G812" i="2"/>
  <c r="H812" i="2"/>
  <c r="I812" i="2"/>
  <c r="J812" i="2"/>
  <c r="K812" i="2"/>
  <c r="L812" i="2"/>
  <c r="M812" i="2"/>
  <c r="N812" i="2"/>
  <c r="O812" i="2"/>
  <c r="P812" i="2"/>
  <c r="Q812" i="2"/>
  <c r="R812" i="2"/>
  <c r="S812" i="2"/>
  <c r="T812" i="2"/>
  <c r="U812" i="2"/>
  <c r="V812" i="2"/>
  <c r="W812" i="2"/>
  <c r="X812" i="2"/>
  <c r="Y812" i="2"/>
  <c r="A813" i="2"/>
  <c r="B813" i="2"/>
  <c r="C813" i="2"/>
  <c r="D813" i="2"/>
  <c r="E813" i="2"/>
  <c r="F813" i="2"/>
  <c r="G813" i="2"/>
  <c r="H813" i="2"/>
  <c r="I813" i="2"/>
  <c r="J813" i="2"/>
  <c r="K813" i="2"/>
  <c r="L813" i="2"/>
  <c r="M813" i="2"/>
  <c r="N813" i="2"/>
  <c r="O813" i="2"/>
  <c r="P813" i="2"/>
  <c r="Q813" i="2"/>
  <c r="R813" i="2"/>
  <c r="S813" i="2"/>
  <c r="T813" i="2"/>
  <c r="U813" i="2"/>
  <c r="V813" i="2"/>
  <c r="W813" i="2"/>
  <c r="X813" i="2"/>
  <c r="Y813" i="2"/>
  <c r="A814" i="2"/>
  <c r="B814" i="2"/>
  <c r="C814" i="2"/>
  <c r="D814" i="2"/>
  <c r="E814" i="2"/>
  <c r="F814" i="2"/>
  <c r="G814" i="2"/>
  <c r="H814" i="2"/>
  <c r="I814" i="2"/>
  <c r="J814" i="2"/>
  <c r="K814" i="2"/>
  <c r="L814" i="2"/>
  <c r="M814" i="2"/>
  <c r="N814" i="2"/>
  <c r="O814" i="2"/>
  <c r="P814" i="2"/>
  <c r="Q814" i="2"/>
  <c r="R814" i="2"/>
  <c r="S814" i="2"/>
  <c r="T814" i="2"/>
  <c r="U814" i="2"/>
  <c r="V814" i="2"/>
  <c r="W814" i="2"/>
  <c r="X814" i="2"/>
  <c r="Y814" i="2"/>
  <c r="A815" i="2"/>
  <c r="B815" i="2"/>
  <c r="C815" i="2"/>
  <c r="D815" i="2"/>
  <c r="E815" i="2"/>
  <c r="F815" i="2"/>
  <c r="G815" i="2"/>
  <c r="H815" i="2"/>
  <c r="I815" i="2"/>
  <c r="J815" i="2"/>
  <c r="K815" i="2"/>
  <c r="L815" i="2"/>
  <c r="M815" i="2"/>
  <c r="N815" i="2"/>
  <c r="O815" i="2"/>
  <c r="P815" i="2"/>
  <c r="Q815" i="2"/>
  <c r="R815" i="2"/>
  <c r="S815" i="2"/>
  <c r="T815" i="2"/>
  <c r="U815" i="2"/>
  <c r="V815" i="2"/>
  <c r="W815" i="2"/>
  <c r="X815" i="2"/>
  <c r="Y815" i="2"/>
  <c r="A816" i="2"/>
  <c r="B816" i="2"/>
  <c r="C816" i="2"/>
  <c r="D816" i="2"/>
  <c r="E816" i="2"/>
  <c r="F816" i="2"/>
  <c r="G816" i="2"/>
  <c r="H816" i="2"/>
  <c r="I816" i="2"/>
  <c r="J816" i="2"/>
  <c r="K816" i="2"/>
  <c r="L816" i="2"/>
  <c r="M816" i="2"/>
  <c r="N816" i="2"/>
  <c r="O816" i="2"/>
  <c r="P816" i="2"/>
  <c r="Q816" i="2"/>
  <c r="R816" i="2"/>
  <c r="S816" i="2"/>
  <c r="T816" i="2"/>
  <c r="U816" i="2"/>
  <c r="V816" i="2"/>
  <c r="W816" i="2"/>
  <c r="X816" i="2"/>
  <c r="Y816" i="2"/>
  <c r="A817" i="2"/>
  <c r="B817" i="2"/>
  <c r="C817" i="2"/>
  <c r="D817" i="2"/>
  <c r="E817" i="2"/>
  <c r="F817" i="2"/>
  <c r="G817" i="2"/>
  <c r="H817" i="2"/>
  <c r="I817" i="2"/>
  <c r="J817" i="2"/>
  <c r="K817" i="2"/>
  <c r="L817" i="2"/>
  <c r="M817" i="2"/>
  <c r="N817" i="2"/>
  <c r="O817" i="2"/>
  <c r="P817" i="2"/>
  <c r="Q817" i="2"/>
  <c r="R817" i="2"/>
  <c r="S817" i="2"/>
  <c r="T817" i="2"/>
  <c r="U817" i="2"/>
  <c r="V817" i="2"/>
  <c r="W817" i="2"/>
  <c r="X817" i="2"/>
  <c r="Y817" i="2"/>
  <c r="A818" i="2"/>
  <c r="B818" i="2"/>
  <c r="C818" i="2"/>
  <c r="D818" i="2"/>
  <c r="E818" i="2"/>
  <c r="F818" i="2"/>
  <c r="G818" i="2"/>
  <c r="H818" i="2"/>
  <c r="I818" i="2"/>
  <c r="J818" i="2"/>
  <c r="K818" i="2"/>
  <c r="L818" i="2"/>
  <c r="M818" i="2"/>
  <c r="N818" i="2"/>
  <c r="O818" i="2"/>
  <c r="P818" i="2"/>
  <c r="Q818" i="2"/>
  <c r="R818" i="2"/>
  <c r="S818" i="2"/>
  <c r="T818" i="2"/>
  <c r="U818" i="2"/>
  <c r="V818" i="2"/>
  <c r="W818" i="2"/>
  <c r="X818" i="2"/>
  <c r="Y818" i="2"/>
  <c r="A819" i="2"/>
  <c r="B819" i="2"/>
  <c r="C819" i="2"/>
  <c r="D819" i="2"/>
  <c r="E819" i="2"/>
  <c r="F819" i="2"/>
  <c r="G819" i="2"/>
  <c r="H819" i="2"/>
  <c r="I819" i="2"/>
  <c r="J819" i="2"/>
  <c r="K819" i="2"/>
  <c r="L819" i="2"/>
  <c r="M819" i="2"/>
  <c r="N819" i="2"/>
  <c r="O819" i="2"/>
  <c r="P819" i="2"/>
  <c r="Q819" i="2"/>
  <c r="R819" i="2"/>
  <c r="S819" i="2"/>
  <c r="T819" i="2"/>
  <c r="U819" i="2"/>
  <c r="V819" i="2"/>
  <c r="W819" i="2"/>
  <c r="X819" i="2"/>
  <c r="Y819" i="2"/>
  <c r="B820" i="2"/>
  <c r="C820" i="2"/>
  <c r="D820" i="2"/>
  <c r="E820" i="2"/>
  <c r="F820" i="2"/>
  <c r="G820" i="2"/>
  <c r="H820" i="2"/>
  <c r="I820" i="2"/>
  <c r="J820" i="2"/>
  <c r="K820" i="2"/>
  <c r="L820" i="2"/>
  <c r="M820" i="2"/>
  <c r="N820" i="2"/>
  <c r="O820" i="2"/>
  <c r="P820" i="2"/>
  <c r="Q820" i="2"/>
  <c r="R820" i="2"/>
  <c r="S820" i="2"/>
  <c r="T820" i="2"/>
  <c r="U820" i="2"/>
  <c r="V820" i="2"/>
  <c r="W820" i="2"/>
  <c r="X820" i="2"/>
  <c r="Y820" i="2"/>
  <c r="A821" i="2"/>
  <c r="B821" i="2"/>
  <c r="C821" i="2"/>
  <c r="D821" i="2"/>
  <c r="E821" i="2"/>
  <c r="F821" i="2"/>
  <c r="G821" i="2"/>
  <c r="H821" i="2"/>
  <c r="I821" i="2"/>
  <c r="J821" i="2"/>
  <c r="K821" i="2"/>
  <c r="L821" i="2"/>
  <c r="M821" i="2"/>
  <c r="N821" i="2"/>
  <c r="O821" i="2"/>
  <c r="P821" i="2"/>
  <c r="Q821" i="2"/>
  <c r="R821" i="2"/>
  <c r="S821" i="2"/>
  <c r="T821" i="2"/>
  <c r="U821" i="2"/>
  <c r="V821" i="2"/>
  <c r="W821" i="2"/>
  <c r="X821" i="2"/>
  <c r="Y821" i="2"/>
  <c r="A822" i="2"/>
  <c r="B822" i="2"/>
  <c r="C822" i="2"/>
  <c r="D822" i="2"/>
  <c r="E822" i="2"/>
  <c r="F822" i="2"/>
  <c r="G822" i="2"/>
  <c r="H822" i="2"/>
  <c r="I822" i="2"/>
  <c r="J822" i="2"/>
  <c r="K822" i="2"/>
  <c r="L822" i="2"/>
  <c r="M822" i="2"/>
  <c r="N822" i="2"/>
  <c r="O822" i="2"/>
  <c r="P822" i="2"/>
  <c r="Q822" i="2"/>
  <c r="R822" i="2"/>
  <c r="S822" i="2"/>
  <c r="T822" i="2"/>
  <c r="U822" i="2"/>
  <c r="V822" i="2"/>
  <c r="W822" i="2"/>
  <c r="X822" i="2"/>
  <c r="Y822" i="2"/>
  <c r="B823" i="2"/>
  <c r="C823" i="2"/>
  <c r="D823" i="2"/>
  <c r="E823" i="2"/>
  <c r="F823" i="2"/>
  <c r="G823" i="2"/>
  <c r="H823" i="2"/>
  <c r="I823" i="2"/>
  <c r="J823" i="2"/>
  <c r="K823" i="2"/>
  <c r="L823" i="2"/>
  <c r="M823" i="2"/>
  <c r="N823" i="2"/>
  <c r="O823" i="2"/>
  <c r="P823" i="2"/>
  <c r="Q823" i="2"/>
  <c r="R823" i="2"/>
  <c r="S823" i="2"/>
  <c r="T823" i="2"/>
  <c r="U823" i="2"/>
  <c r="V823" i="2"/>
  <c r="W823" i="2"/>
  <c r="X823" i="2"/>
  <c r="Y823" i="2"/>
  <c r="B824" i="2"/>
  <c r="C824" i="2"/>
  <c r="D824" i="2"/>
  <c r="E824" i="2"/>
  <c r="F824" i="2"/>
  <c r="G824" i="2"/>
  <c r="H824" i="2"/>
  <c r="I824" i="2"/>
  <c r="J824" i="2"/>
  <c r="K824" i="2"/>
  <c r="L824" i="2"/>
  <c r="M824" i="2"/>
  <c r="N824" i="2"/>
  <c r="O824" i="2"/>
  <c r="P824" i="2"/>
  <c r="Q824" i="2"/>
  <c r="R824" i="2"/>
  <c r="S824" i="2"/>
  <c r="T824" i="2"/>
  <c r="U824" i="2"/>
  <c r="V824" i="2"/>
  <c r="W824" i="2"/>
  <c r="X824" i="2"/>
  <c r="Y824" i="2"/>
  <c r="A825" i="2"/>
  <c r="B825" i="2"/>
  <c r="C825" i="2"/>
  <c r="D825" i="2"/>
  <c r="E825" i="2"/>
  <c r="F825" i="2"/>
  <c r="G825" i="2"/>
  <c r="H825" i="2"/>
  <c r="I825" i="2"/>
  <c r="J825" i="2"/>
  <c r="K825" i="2"/>
  <c r="L825" i="2"/>
  <c r="M825" i="2"/>
  <c r="N825" i="2"/>
  <c r="O825" i="2"/>
  <c r="P825" i="2"/>
  <c r="Q825" i="2"/>
  <c r="R825" i="2"/>
  <c r="S825" i="2"/>
  <c r="T825" i="2"/>
  <c r="U825" i="2"/>
  <c r="V825" i="2"/>
  <c r="W825" i="2"/>
  <c r="X825" i="2"/>
  <c r="Y825" i="2"/>
  <c r="A826" i="2"/>
  <c r="B826" i="2"/>
  <c r="C826" i="2"/>
  <c r="D826" i="2"/>
  <c r="E826" i="2"/>
  <c r="F826" i="2"/>
  <c r="G826" i="2"/>
  <c r="H826" i="2"/>
  <c r="I826" i="2"/>
  <c r="J826" i="2"/>
  <c r="K826" i="2"/>
  <c r="L826" i="2"/>
  <c r="M826" i="2"/>
  <c r="N826" i="2"/>
  <c r="O826" i="2"/>
  <c r="P826" i="2"/>
  <c r="Q826" i="2"/>
  <c r="R826" i="2"/>
  <c r="S826" i="2"/>
  <c r="T826" i="2"/>
  <c r="U826" i="2"/>
  <c r="V826" i="2"/>
  <c r="W826" i="2"/>
  <c r="X826" i="2"/>
  <c r="Y826" i="2"/>
  <c r="A827" i="2"/>
  <c r="B827" i="2"/>
  <c r="C827" i="2"/>
  <c r="D827" i="2"/>
  <c r="E827" i="2"/>
  <c r="F827" i="2"/>
  <c r="G827" i="2"/>
  <c r="H827" i="2"/>
  <c r="I827" i="2"/>
  <c r="J827" i="2"/>
  <c r="K827" i="2"/>
  <c r="L827" i="2"/>
  <c r="M827" i="2"/>
  <c r="N827" i="2"/>
  <c r="O827" i="2"/>
  <c r="P827" i="2"/>
  <c r="Q827" i="2"/>
  <c r="R827" i="2"/>
  <c r="S827" i="2"/>
  <c r="T827" i="2"/>
  <c r="U827" i="2"/>
  <c r="V827" i="2"/>
  <c r="W827" i="2"/>
  <c r="X827" i="2"/>
  <c r="Y827" i="2"/>
  <c r="B828" i="2"/>
  <c r="C828" i="2"/>
  <c r="D828" i="2"/>
  <c r="E828" i="2"/>
  <c r="F828" i="2"/>
  <c r="G828" i="2"/>
  <c r="H828" i="2"/>
  <c r="I828" i="2"/>
  <c r="J828" i="2"/>
  <c r="K828" i="2"/>
  <c r="L828" i="2"/>
  <c r="M828" i="2"/>
  <c r="N828" i="2"/>
  <c r="O828" i="2"/>
  <c r="P828" i="2"/>
  <c r="Q828" i="2"/>
  <c r="R828" i="2"/>
  <c r="S828" i="2"/>
  <c r="T828" i="2"/>
  <c r="U828" i="2"/>
  <c r="V828" i="2"/>
  <c r="W828" i="2"/>
  <c r="X828" i="2"/>
  <c r="Y828" i="2"/>
  <c r="A829" i="2"/>
  <c r="B829" i="2"/>
  <c r="C829" i="2"/>
  <c r="D829" i="2"/>
  <c r="E829" i="2"/>
  <c r="F829" i="2"/>
  <c r="G829" i="2"/>
  <c r="H829" i="2"/>
  <c r="I829" i="2"/>
  <c r="J829" i="2"/>
  <c r="K829" i="2"/>
  <c r="L829" i="2"/>
  <c r="M829" i="2"/>
  <c r="N829" i="2"/>
  <c r="O829" i="2"/>
  <c r="P829" i="2"/>
  <c r="Q829" i="2"/>
  <c r="R829" i="2"/>
  <c r="S829" i="2"/>
  <c r="T829" i="2"/>
  <c r="U829" i="2"/>
  <c r="V829" i="2"/>
  <c r="W829" i="2"/>
  <c r="X829" i="2"/>
  <c r="Y829" i="2"/>
  <c r="A830" i="2"/>
  <c r="B830" i="2"/>
  <c r="C830" i="2"/>
  <c r="D830" i="2"/>
  <c r="E830" i="2"/>
  <c r="F830" i="2"/>
  <c r="G830" i="2"/>
  <c r="H830" i="2"/>
  <c r="I830" i="2"/>
  <c r="J830" i="2"/>
  <c r="K830" i="2"/>
  <c r="L830" i="2"/>
  <c r="M830" i="2"/>
  <c r="N830" i="2"/>
  <c r="O830" i="2"/>
  <c r="P830" i="2"/>
  <c r="Q830" i="2"/>
  <c r="R830" i="2"/>
  <c r="S830" i="2"/>
  <c r="T830" i="2"/>
  <c r="U830" i="2"/>
  <c r="V830" i="2"/>
  <c r="W830" i="2"/>
  <c r="X830" i="2"/>
  <c r="Y830" i="2"/>
  <c r="A831" i="2"/>
  <c r="B831" i="2"/>
  <c r="C831" i="2"/>
  <c r="D831" i="2"/>
  <c r="E831" i="2"/>
  <c r="F831" i="2"/>
  <c r="G831" i="2"/>
  <c r="H831" i="2"/>
  <c r="I831" i="2"/>
  <c r="J831" i="2"/>
  <c r="K831" i="2"/>
  <c r="L831" i="2"/>
  <c r="M831" i="2"/>
  <c r="N831" i="2"/>
  <c r="O831" i="2"/>
  <c r="P831" i="2"/>
  <c r="Q831" i="2"/>
  <c r="R831" i="2"/>
  <c r="S831" i="2"/>
  <c r="T831" i="2"/>
  <c r="U831" i="2"/>
  <c r="V831" i="2"/>
  <c r="W831" i="2"/>
  <c r="X831" i="2"/>
  <c r="Y831" i="2"/>
  <c r="A832" i="2"/>
  <c r="B832" i="2"/>
  <c r="C832" i="2"/>
  <c r="D832" i="2"/>
  <c r="E832" i="2"/>
  <c r="F832" i="2"/>
  <c r="G832" i="2"/>
  <c r="H832" i="2"/>
  <c r="I832" i="2"/>
  <c r="J832" i="2"/>
  <c r="K832" i="2"/>
  <c r="L832" i="2"/>
  <c r="M832" i="2"/>
  <c r="N832" i="2"/>
  <c r="O832" i="2"/>
  <c r="P832" i="2"/>
  <c r="Q832" i="2"/>
  <c r="R832" i="2"/>
  <c r="S832" i="2"/>
  <c r="T832" i="2"/>
  <c r="U832" i="2"/>
  <c r="V832" i="2"/>
  <c r="W832" i="2"/>
  <c r="X832" i="2"/>
  <c r="Y832" i="2"/>
  <c r="A833" i="2"/>
  <c r="B833" i="2"/>
  <c r="C833" i="2"/>
  <c r="D833" i="2"/>
  <c r="E833" i="2"/>
  <c r="F833" i="2"/>
  <c r="G833" i="2"/>
  <c r="H833" i="2"/>
  <c r="I833" i="2"/>
  <c r="J833" i="2"/>
  <c r="K833" i="2"/>
  <c r="L833" i="2"/>
  <c r="M833" i="2"/>
  <c r="N833" i="2"/>
  <c r="O833" i="2"/>
  <c r="P833" i="2"/>
  <c r="Q833" i="2"/>
  <c r="R833" i="2"/>
  <c r="S833" i="2"/>
  <c r="T833" i="2"/>
  <c r="U833" i="2"/>
  <c r="V833" i="2"/>
  <c r="W833" i="2"/>
  <c r="X833" i="2"/>
  <c r="Y833" i="2"/>
  <c r="A834" i="2"/>
  <c r="B834" i="2"/>
  <c r="C834" i="2"/>
  <c r="D834" i="2"/>
  <c r="E834" i="2"/>
  <c r="F834" i="2"/>
  <c r="G834" i="2"/>
  <c r="H834" i="2"/>
  <c r="I834" i="2"/>
  <c r="J834" i="2"/>
  <c r="K834" i="2"/>
  <c r="L834" i="2"/>
  <c r="M834" i="2"/>
  <c r="N834" i="2"/>
  <c r="O834" i="2"/>
  <c r="P834" i="2"/>
  <c r="Q834" i="2"/>
  <c r="R834" i="2"/>
  <c r="S834" i="2"/>
  <c r="T834" i="2"/>
  <c r="U834" i="2"/>
  <c r="V834" i="2"/>
  <c r="W834" i="2"/>
  <c r="X834" i="2"/>
  <c r="Y834" i="2"/>
  <c r="A835" i="2"/>
  <c r="B835" i="2"/>
  <c r="C835" i="2"/>
  <c r="D835" i="2"/>
  <c r="E835" i="2"/>
  <c r="F835" i="2"/>
  <c r="G835" i="2"/>
  <c r="H835" i="2"/>
  <c r="I835" i="2"/>
  <c r="J835" i="2"/>
  <c r="K835" i="2"/>
  <c r="L835" i="2"/>
  <c r="M835" i="2"/>
  <c r="N835" i="2"/>
  <c r="O835" i="2"/>
  <c r="P835" i="2"/>
  <c r="Q835" i="2"/>
  <c r="R835" i="2"/>
  <c r="S835" i="2"/>
  <c r="T835" i="2"/>
  <c r="U835" i="2"/>
  <c r="V835" i="2"/>
  <c r="W835" i="2"/>
  <c r="X835" i="2"/>
  <c r="Y835" i="2"/>
  <c r="B836" i="2"/>
  <c r="C836" i="2"/>
  <c r="D836" i="2"/>
  <c r="E836" i="2"/>
  <c r="F836" i="2"/>
  <c r="G836" i="2"/>
  <c r="H836" i="2"/>
  <c r="I836" i="2"/>
  <c r="J836" i="2"/>
  <c r="K836" i="2"/>
  <c r="L836" i="2"/>
  <c r="M836" i="2"/>
  <c r="N836" i="2"/>
  <c r="O836" i="2"/>
  <c r="P836" i="2"/>
  <c r="Q836" i="2"/>
  <c r="R836" i="2"/>
  <c r="S836" i="2"/>
  <c r="T836" i="2"/>
  <c r="U836" i="2"/>
  <c r="V836" i="2"/>
  <c r="W836" i="2"/>
  <c r="X836" i="2"/>
  <c r="Y836" i="2"/>
  <c r="A837" i="2"/>
  <c r="B837" i="2"/>
  <c r="C837" i="2"/>
  <c r="D837" i="2"/>
  <c r="E837" i="2"/>
  <c r="F837" i="2"/>
  <c r="G837" i="2"/>
  <c r="H837" i="2"/>
  <c r="I837" i="2"/>
  <c r="J837" i="2"/>
  <c r="K837" i="2"/>
  <c r="L837" i="2"/>
  <c r="M837" i="2"/>
  <c r="N837" i="2"/>
  <c r="O837" i="2"/>
  <c r="P837" i="2"/>
  <c r="Q837" i="2"/>
  <c r="R837" i="2"/>
  <c r="S837" i="2"/>
  <c r="T837" i="2"/>
  <c r="U837" i="2"/>
  <c r="V837" i="2"/>
  <c r="W837" i="2"/>
  <c r="X837" i="2"/>
  <c r="Y837" i="2"/>
  <c r="B838" i="2"/>
  <c r="C838" i="2"/>
  <c r="D838" i="2"/>
  <c r="E838" i="2"/>
  <c r="F838" i="2"/>
  <c r="G838" i="2"/>
  <c r="H838" i="2"/>
  <c r="I838" i="2"/>
  <c r="J838" i="2"/>
  <c r="K838" i="2"/>
  <c r="L838" i="2"/>
  <c r="M838" i="2"/>
  <c r="N838" i="2"/>
  <c r="O838" i="2"/>
  <c r="P838" i="2"/>
  <c r="Q838" i="2"/>
  <c r="R838" i="2"/>
  <c r="S838" i="2"/>
  <c r="T838" i="2"/>
  <c r="U838" i="2"/>
  <c r="V838" i="2"/>
  <c r="W838" i="2"/>
  <c r="X838" i="2"/>
  <c r="Y838" i="2"/>
  <c r="B839" i="2"/>
  <c r="C839" i="2"/>
  <c r="D839" i="2"/>
  <c r="E839" i="2"/>
  <c r="F839" i="2"/>
  <c r="G839" i="2"/>
  <c r="H839" i="2"/>
  <c r="I839" i="2"/>
  <c r="J839" i="2"/>
  <c r="K839" i="2"/>
  <c r="L839" i="2"/>
  <c r="M839" i="2"/>
  <c r="N839" i="2"/>
  <c r="O839" i="2"/>
  <c r="P839" i="2"/>
  <c r="Q839" i="2"/>
  <c r="R839" i="2"/>
  <c r="S839" i="2"/>
  <c r="T839" i="2"/>
  <c r="U839" i="2"/>
  <c r="V839" i="2"/>
  <c r="W839" i="2"/>
  <c r="X839" i="2"/>
  <c r="Y839" i="2"/>
  <c r="B840" i="2"/>
  <c r="C840" i="2"/>
  <c r="D840" i="2"/>
  <c r="E840" i="2"/>
  <c r="F840" i="2"/>
  <c r="G840" i="2"/>
  <c r="H840" i="2"/>
  <c r="I840" i="2"/>
  <c r="J840" i="2"/>
  <c r="K840" i="2"/>
  <c r="L840" i="2"/>
  <c r="M840" i="2"/>
  <c r="N840" i="2"/>
  <c r="O840" i="2"/>
  <c r="P840" i="2"/>
  <c r="Q840" i="2"/>
  <c r="R840" i="2"/>
  <c r="S840" i="2"/>
  <c r="T840" i="2"/>
  <c r="U840" i="2"/>
  <c r="V840" i="2"/>
  <c r="W840" i="2"/>
  <c r="X840" i="2"/>
  <c r="Y840" i="2"/>
  <c r="A841" i="2"/>
  <c r="B841" i="2"/>
  <c r="C841" i="2"/>
  <c r="D841" i="2"/>
  <c r="E841" i="2"/>
  <c r="F841" i="2"/>
  <c r="G841" i="2"/>
  <c r="H841" i="2"/>
  <c r="I841" i="2"/>
  <c r="J841" i="2"/>
  <c r="K841" i="2"/>
  <c r="L841" i="2"/>
  <c r="M841" i="2"/>
  <c r="N841" i="2"/>
  <c r="O841" i="2"/>
  <c r="P841" i="2"/>
  <c r="Q841" i="2"/>
  <c r="R841" i="2"/>
  <c r="S841" i="2"/>
  <c r="T841" i="2"/>
  <c r="U841" i="2"/>
  <c r="V841" i="2"/>
  <c r="W841" i="2"/>
  <c r="X841" i="2"/>
  <c r="Y841" i="2"/>
  <c r="A842" i="2"/>
  <c r="B842" i="2"/>
  <c r="C842" i="2"/>
  <c r="D842" i="2"/>
  <c r="E842" i="2"/>
  <c r="F842" i="2"/>
  <c r="G842" i="2"/>
  <c r="H842" i="2"/>
  <c r="I842" i="2"/>
  <c r="J842" i="2"/>
  <c r="K842" i="2"/>
  <c r="L842" i="2"/>
  <c r="M842" i="2"/>
  <c r="N842" i="2"/>
  <c r="O842" i="2"/>
  <c r="P842" i="2"/>
  <c r="Q842" i="2"/>
  <c r="R842" i="2"/>
  <c r="S842" i="2"/>
  <c r="T842" i="2"/>
  <c r="U842" i="2"/>
  <c r="V842" i="2"/>
  <c r="W842" i="2"/>
  <c r="X842" i="2"/>
  <c r="Y842" i="2"/>
  <c r="A843" i="2"/>
  <c r="B843" i="2"/>
  <c r="C843" i="2"/>
  <c r="D843" i="2"/>
  <c r="E843" i="2"/>
  <c r="F843" i="2"/>
  <c r="G843" i="2"/>
  <c r="H843" i="2"/>
  <c r="I843" i="2"/>
  <c r="J843" i="2"/>
  <c r="K843" i="2"/>
  <c r="L843" i="2"/>
  <c r="M843" i="2"/>
  <c r="N843" i="2"/>
  <c r="O843" i="2"/>
  <c r="P843" i="2"/>
  <c r="Q843" i="2"/>
  <c r="R843" i="2"/>
  <c r="S843" i="2"/>
  <c r="T843" i="2"/>
  <c r="U843" i="2"/>
  <c r="V843" i="2"/>
  <c r="W843" i="2"/>
  <c r="X843" i="2"/>
  <c r="Y843" i="2"/>
  <c r="B844" i="2"/>
  <c r="C844" i="2"/>
  <c r="D844" i="2"/>
  <c r="E844" i="2"/>
  <c r="F844" i="2"/>
  <c r="G844" i="2"/>
  <c r="H844" i="2"/>
  <c r="I844" i="2"/>
  <c r="J844" i="2"/>
  <c r="K844" i="2"/>
  <c r="L844" i="2"/>
  <c r="M844" i="2"/>
  <c r="N844" i="2"/>
  <c r="O844" i="2"/>
  <c r="P844" i="2"/>
  <c r="Q844" i="2"/>
  <c r="R844" i="2"/>
  <c r="S844" i="2"/>
  <c r="T844" i="2"/>
  <c r="U844" i="2"/>
  <c r="V844" i="2"/>
  <c r="W844" i="2"/>
  <c r="X844" i="2"/>
  <c r="Y844" i="2"/>
  <c r="A845" i="2"/>
  <c r="B845" i="2"/>
  <c r="C845" i="2"/>
  <c r="D845" i="2"/>
  <c r="E845" i="2"/>
  <c r="F845" i="2"/>
  <c r="G845" i="2"/>
  <c r="H845" i="2"/>
  <c r="I845" i="2"/>
  <c r="J845" i="2"/>
  <c r="K845" i="2"/>
  <c r="L845" i="2"/>
  <c r="M845" i="2"/>
  <c r="N845" i="2"/>
  <c r="O845" i="2"/>
  <c r="P845" i="2"/>
  <c r="Q845" i="2"/>
  <c r="R845" i="2"/>
  <c r="S845" i="2"/>
  <c r="T845" i="2"/>
  <c r="U845" i="2"/>
  <c r="V845" i="2"/>
  <c r="W845" i="2"/>
  <c r="X845" i="2"/>
  <c r="Y845" i="2"/>
  <c r="A846" i="2"/>
  <c r="B846" i="2"/>
  <c r="C846" i="2"/>
  <c r="D846" i="2"/>
  <c r="E846" i="2"/>
  <c r="F846" i="2"/>
  <c r="G846" i="2"/>
  <c r="H846" i="2"/>
  <c r="I846" i="2"/>
  <c r="J846" i="2"/>
  <c r="K846" i="2"/>
  <c r="L846" i="2"/>
  <c r="M846" i="2"/>
  <c r="N846" i="2"/>
  <c r="O846" i="2"/>
  <c r="P846" i="2"/>
  <c r="Q846" i="2"/>
  <c r="R846" i="2"/>
  <c r="S846" i="2"/>
  <c r="T846" i="2"/>
  <c r="U846" i="2"/>
  <c r="V846" i="2"/>
  <c r="W846" i="2"/>
  <c r="X846" i="2"/>
  <c r="Y846" i="2"/>
  <c r="A847" i="2"/>
  <c r="B847" i="2"/>
  <c r="C847" i="2"/>
  <c r="D847" i="2"/>
  <c r="E847" i="2"/>
  <c r="F847" i="2"/>
  <c r="G847" i="2"/>
  <c r="H847" i="2"/>
  <c r="I847" i="2"/>
  <c r="J847" i="2"/>
  <c r="K847" i="2"/>
  <c r="L847" i="2"/>
  <c r="M847" i="2"/>
  <c r="N847" i="2"/>
  <c r="O847" i="2"/>
  <c r="P847" i="2"/>
  <c r="Q847" i="2"/>
  <c r="R847" i="2"/>
  <c r="S847" i="2"/>
  <c r="T847" i="2"/>
  <c r="U847" i="2"/>
  <c r="V847" i="2"/>
  <c r="W847" i="2"/>
  <c r="X847" i="2"/>
  <c r="Y847" i="2"/>
  <c r="A848" i="2"/>
  <c r="B848" i="2"/>
  <c r="C848" i="2"/>
  <c r="D848" i="2"/>
  <c r="E848" i="2"/>
  <c r="F848" i="2"/>
  <c r="G848" i="2"/>
  <c r="H848" i="2"/>
  <c r="I848" i="2"/>
  <c r="J848" i="2"/>
  <c r="K848" i="2"/>
  <c r="L848" i="2"/>
  <c r="M848" i="2"/>
  <c r="N848" i="2"/>
  <c r="O848" i="2"/>
  <c r="P848" i="2"/>
  <c r="Q848" i="2"/>
  <c r="R848" i="2"/>
  <c r="S848" i="2"/>
  <c r="T848" i="2"/>
  <c r="U848" i="2"/>
  <c r="V848" i="2"/>
  <c r="W848" i="2"/>
  <c r="X848" i="2"/>
  <c r="Y848" i="2"/>
  <c r="A849" i="2"/>
  <c r="B849" i="2"/>
  <c r="C849" i="2"/>
  <c r="D849" i="2"/>
  <c r="E849" i="2"/>
  <c r="F849" i="2"/>
  <c r="G849" i="2"/>
  <c r="H849" i="2"/>
  <c r="I849" i="2"/>
  <c r="J849" i="2"/>
  <c r="K849" i="2"/>
  <c r="L849" i="2"/>
  <c r="M849" i="2"/>
  <c r="N849" i="2"/>
  <c r="O849" i="2"/>
  <c r="P849" i="2"/>
  <c r="Q849" i="2"/>
  <c r="R849" i="2"/>
  <c r="S849" i="2"/>
  <c r="T849" i="2"/>
  <c r="U849" i="2"/>
  <c r="V849" i="2"/>
  <c r="W849" i="2"/>
  <c r="X849" i="2"/>
  <c r="Y849" i="2"/>
  <c r="A850" i="2"/>
  <c r="B850" i="2"/>
  <c r="C850" i="2"/>
  <c r="D850" i="2"/>
  <c r="E850" i="2"/>
  <c r="F850" i="2"/>
  <c r="G850" i="2"/>
  <c r="H850" i="2"/>
  <c r="I850" i="2"/>
  <c r="J850" i="2"/>
  <c r="K850" i="2"/>
  <c r="L850" i="2"/>
  <c r="M850" i="2"/>
  <c r="N850" i="2"/>
  <c r="O850" i="2"/>
  <c r="P850" i="2"/>
  <c r="Q850" i="2"/>
  <c r="R850" i="2"/>
  <c r="S850" i="2"/>
  <c r="T850" i="2"/>
  <c r="U850" i="2"/>
  <c r="V850" i="2"/>
  <c r="W850" i="2"/>
  <c r="X850" i="2"/>
  <c r="Y850" i="2"/>
  <c r="A851" i="2"/>
  <c r="B851" i="2"/>
  <c r="C851" i="2"/>
  <c r="D851" i="2"/>
  <c r="E851" i="2"/>
  <c r="F851" i="2"/>
  <c r="G851" i="2"/>
  <c r="H851" i="2"/>
  <c r="I851" i="2"/>
  <c r="J851" i="2"/>
  <c r="K851" i="2"/>
  <c r="L851" i="2"/>
  <c r="M851" i="2"/>
  <c r="N851" i="2"/>
  <c r="O851" i="2"/>
  <c r="P851" i="2"/>
  <c r="Q851" i="2"/>
  <c r="R851" i="2"/>
  <c r="S851" i="2"/>
  <c r="T851" i="2"/>
  <c r="U851" i="2"/>
  <c r="V851" i="2"/>
  <c r="W851" i="2"/>
  <c r="X851" i="2"/>
  <c r="Y851" i="2"/>
  <c r="B852" i="2"/>
  <c r="C852" i="2"/>
  <c r="D852" i="2"/>
  <c r="E852" i="2"/>
  <c r="F852" i="2"/>
  <c r="G852" i="2"/>
  <c r="H852" i="2"/>
  <c r="I852" i="2"/>
  <c r="J852" i="2"/>
  <c r="K852" i="2"/>
  <c r="L852" i="2"/>
  <c r="M852" i="2"/>
  <c r="N852" i="2"/>
  <c r="O852" i="2"/>
  <c r="P852" i="2"/>
  <c r="Q852" i="2"/>
  <c r="R852" i="2"/>
  <c r="S852" i="2"/>
  <c r="T852" i="2"/>
  <c r="U852" i="2"/>
  <c r="V852" i="2"/>
  <c r="W852" i="2"/>
  <c r="X852" i="2"/>
  <c r="Y852" i="2"/>
  <c r="A853" i="2"/>
  <c r="B853" i="2"/>
  <c r="C853" i="2"/>
  <c r="D853" i="2"/>
  <c r="E853" i="2"/>
  <c r="F853" i="2"/>
  <c r="G853" i="2"/>
  <c r="H853" i="2"/>
  <c r="I853" i="2"/>
  <c r="J853" i="2"/>
  <c r="K853" i="2"/>
  <c r="L853" i="2"/>
  <c r="M853" i="2"/>
  <c r="N853" i="2"/>
  <c r="O853" i="2"/>
  <c r="P853" i="2"/>
  <c r="Q853" i="2"/>
  <c r="R853" i="2"/>
  <c r="S853" i="2"/>
  <c r="T853" i="2"/>
  <c r="U853" i="2"/>
  <c r="V853" i="2"/>
  <c r="W853" i="2"/>
  <c r="X853" i="2"/>
  <c r="Y853" i="2"/>
  <c r="B854" i="2"/>
  <c r="C854" i="2"/>
  <c r="D854" i="2"/>
  <c r="E854" i="2"/>
  <c r="F854" i="2"/>
  <c r="G854" i="2"/>
  <c r="H854" i="2"/>
  <c r="I854" i="2"/>
  <c r="J854" i="2"/>
  <c r="K854" i="2"/>
  <c r="L854" i="2"/>
  <c r="M854" i="2"/>
  <c r="N854" i="2"/>
  <c r="O854" i="2"/>
  <c r="P854" i="2"/>
  <c r="Q854" i="2"/>
  <c r="R854" i="2"/>
  <c r="S854" i="2"/>
  <c r="T854" i="2"/>
  <c r="U854" i="2"/>
  <c r="V854" i="2"/>
  <c r="W854" i="2"/>
  <c r="X854" i="2"/>
  <c r="Y854" i="2"/>
  <c r="B855" i="2"/>
  <c r="C855" i="2"/>
  <c r="D855" i="2"/>
  <c r="E855" i="2"/>
  <c r="F855" i="2"/>
  <c r="G855" i="2"/>
  <c r="H855" i="2"/>
  <c r="I855" i="2"/>
  <c r="J855" i="2"/>
  <c r="K855" i="2"/>
  <c r="L855" i="2"/>
  <c r="M855" i="2"/>
  <c r="N855" i="2"/>
  <c r="O855" i="2"/>
  <c r="P855" i="2"/>
  <c r="Q855" i="2"/>
  <c r="R855" i="2"/>
  <c r="S855" i="2"/>
  <c r="T855" i="2"/>
  <c r="U855" i="2"/>
  <c r="V855" i="2"/>
  <c r="W855" i="2"/>
  <c r="X855" i="2"/>
  <c r="Y855" i="2"/>
  <c r="B856" i="2"/>
  <c r="C856" i="2"/>
  <c r="D856" i="2"/>
  <c r="E856" i="2"/>
  <c r="F856" i="2"/>
  <c r="G856" i="2"/>
  <c r="H856" i="2"/>
  <c r="I856" i="2"/>
  <c r="J856" i="2"/>
  <c r="K856" i="2"/>
  <c r="L856" i="2"/>
  <c r="M856" i="2"/>
  <c r="N856" i="2"/>
  <c r="O856" i="2"/>
  <c r="P856" i="2"/>
  <c r="Q856" i="2"/>
  <c r="R856" i="2"/>
  <c r="S856" i="2"/>
  <c r="T856" i="2"/>
  <c r="U856" i="2"/>
  <c r="V856" i="2"/>
  <c r="W856" i="2"/>
  <c r="X856" i="2"/>
  <c r="Y856" i="2"/>
  <c r="A857" i="2"/>
  <c r="B857" i="2"/>
  <c r="C857" i="2"/>
  <c r="D857" i="2"/>
  <c r="E857" i="2"/>
  <c r="F857" i="2"/>
  <c r="G857" i="2"/>
  <c r="H857" i="2"/>
  <c r="I857" i="2"/>
  <c r="J857" i="2"/>
  <c r="K857" i="2"/>
  <c r="L857" i="2"/>
  <c r="M857" i="2"/>
  <c r="N857" i="2"/>
  <c r="O857" i="2"/>
  <c r="P857" i="2"/>
  <c r="Q857" i="2"/>
  <c r="R857" i="2"/>
  <c r="S857" i="2"/>
  <c r="T857" i="2"/>
  <c r="U857" i="2"/>
  <c r="V857" i="2"/>
  <c r="W857" i="2"/>
  <c r="X857" i="2"/>
  <c r="Y857" i="2"/>
  <c r="A858" i="2"/>
  <c r="B858" i="2"/>
  <c r="C858" i="2"/>
  <c r="D858" i="2"/>
  <c r="E858" i="2"/>
  <c r="F858" i="2"/>
  <c r="G858" i="2"/>
  <c r="H858" i="2"/>
  <c r="I858" i="2"/>
  <c r="J858" i="2"/>
  <c r="K858" i="2"/>
  <c r="L858" i="2"/>
  <c r="M858" i="2"/>
  <c r="N858" i="2"/>
  <c r="O858" i="2"/>
  <c r="P858" i="2"/>
  <c r="Q858" i="2"/>
  <c r="R858" i="2"/>
  <c r="S858" i="2"/>
  <c r="T858" i="2"/>
  <c r="U858" i="2"/>
  <c r="V858" i="2"/>
  <c r="W858" i="2"/>
  <c r="X858" i="2"/>
  <c r="Y858" i="2"/>
  <c r="A859" i="2"/>
  <c r="B859" i="2"/>
  <c r="C859" i="2"/>
  <c r="D859" i="2"/>
  <c r="E859" i="2"/>
  <c r="F859" i="2"/>
  <c r="G859" i="2"/>
  <c r="H859" i="2"/>
  <c r="I859" i="2"/>
  <c r="J859" i="2"/>
  <c r="K859" i="2"/>
  <c r="L859" i="2"/>
  <c r="M859" i="2"/>
  <c r="N859" i="2"/>
  <c r="O859" i="2"/>
  <c r="P859" i="2"/>
  <c r="Q859" i="2"/>
  <c r="R859" i="2"/>
  <c r="S859" i="2"/>
  <c r="T859" i="2"/>
  <c r="U859" i="2"/>
  <c r="V859" i="2"/>
  <c r="W859" i="2"/>
  <c r="X859" i="2"/>
  <c r="Y859" i="2"/>
  <c r="B860" i="2"/>
  <c r="C860" i="2"/>
  <c r="D860" i="2"/>
  <c r="E860" i="2"/>
  <c r="F860" i="2"/>
  <c r="G860" i="2"/>
  <c r="H860" i="2"/>
  <c r="I860" i="2"/>
  <c r="J860" i="2"/>
  <c r="K860" i="2"/>
  <c r="L860" i="2"/>
  <c r="M860" i="2"/>
  <c r="N860" i="2"/>
  <c r="O860" i="2"/>
  <c r="P860" i="2"/>
  <c r="Q860" i="2"/>
  <c r="R860" i="2"/>
  <c r="S860" i="2"/>
  <c r="T860" i="2"/>
  <c r="U860" i="2"/>
  <c r="V860" i="2"/>
  <c r="W860" i="2"/>
  <c r="X860" i="2"/>
  <c r="Y860" i="2"/>
  <c r="A861" i="2"/>
  <c r="B861" i="2"/>
  <c r="C861" i="2"/>
  <c r="D861" i="2"/>
  <c r="E861" i="2"/>
  <c r="F861" i="2"/>
  <c r="G861" i="2"/>
  <c r="H861" i="2"/>
  <c r="I861" i="2"/>
  <c r="J861" i="2"/>
  <c r="K861" i="2"/>
  <c r="L861" i="2"/>
  <c r="M861" i="2"/>
  <c r="N861" i="2"/>
  <c r="O861" i="2"/>
  <c r="P861" i="2"/>
  <c r="Q861" i="2"/>
  <c r="R861" i="2"/>
  <c r="S861" i="2"/>
  <c r="T861" i="2"/>
  <c r="U861" i="2"/>
  <c r="V861" i="2"/>
  <c r="W861" i="2"/>
  <c r="X861" i="2"/>
  <c r="Y861" i="2"/>
  <c r="A862" i="2"/>
  <c r="B862" i="2"/>
  <c r="C862" i="2"/>
  <c r="D862" i="2"/>
  <c r="E862" i="2"/>
  <c r="F862" i="2"/>
  <c r="G862" i="2"/>
  <c r="H862" i="2"/>
  <c r="I862" i="2"/>
  <c r="J862" i="2"/>
  <c r="K862" i="2"/>
  <c r="L862" i="2"/>
  <c r="M862" i="2"/>
  <c r="N862" i="2"/>
  <c r="O862" i="2"/>
  <c r="P862" i="2"/>
  <c r="Q862" i="2"/>
  <c r="R862" i="2"/>
  <c r="S862" i="2"/>
  <c r="T862" i="2"/>
  <c r="U862" i="2"/>
  <c r="V862" i="2"/>
  <c r="W862" i="2"/>
  <c r="X862" i="2"/>
  <c r="Y862" i="2"/>
  <c r="A863" i="2"/>
  <c r="B863" i="2"/>
  <c r="C863" i="2"/>
  <c r="D863" i="2"/>
  <c r="E863" i="2"/>
  <c r="F863" i="2"/>
  <c r="G863" i="2"/>
  <c r="H863" i="2"/>
  <c r="I863" i="2"/>
  <c r="J863" i="2"/>
  <c r="K863" i="2"/>
  <c r="L863" i="2"/>
  <c r="M863" i="2"/>
  <c r="N863" i="2"/>
  <c r="O863" i="2"/>
  <c r="P863" i="2"/>
  <c r="Q863" i="2"/>
  <c r="R863" i="2"/>
  <c r="S863" i="2"/>
  <c r="T863" i="2"/>
  <c r="U863" i="2"/>
  <c r="V863" i="2"/>
  <c r="W863" i="2"/>
  <c r="X863" i="2"/>
  <c r="Y863" i="2"/>
  <c r="A864" i="2"/>
  <c r="B864" i="2"/>
  <c r="C864" i="2"/>
  <c r="D864" i="2"/>
  <c r="E864" i="2"/>
  <c r="F864" i="2"/>
  <c r="G864" i="2"/>
  <c r="H864" i="2"/>
  <c r="I864" i="2"/>
  <c r="J864" i="2"/>
  <c r="K864" i="2"/>
  <c r="L864" i="2"/>
  <c r="M864" i="2"/>
  <c r="N864" i="2"/>
  <c r="O864" i="2"/>
  <c r="P864" i="2"/>
  <c r="Q864" i="2"/>
  <c r="R864" i="2"/>
  <c r="S864" i="2"/>
  <c r="T864" i="2"/>
  <c r="U864" i="2"/>
  <c r="V864" i="2"/>
  <c r="W864" i="2"/>
  <c r="X864" i="2"/>
  <c r="Y864" i="2"/>
  <c r="A865" i="2"/>
  <c r="B865" i="2"/>
  <c r="C865" i="2"/>
  <c r="D865" i="2"/>
  <c r="E865" i="2"/>
  <c r="F865" i="2"/>
  <c r="G865" i="2"/>
  <c r="H865" i="2"/>
  <c r="I865" i="2"/>
  <c r="J865" i="2"/>
  <c r="K865" i="2"/>
  <c r="L865" i="2"/>
  <c r="M865" i="2"/>
  <c r="N865" i="2"/>
  <c r="O865" i="2"/>
  <c r="P865" i="2"/>
  <c r="Q865" i="2"/>
  <c r="R865" i="2"/>
  <c r="S865" i="2"/>
  <c r="T865" i="2"/>
  <c r="U865" i="2"/>
  <c r="V865" i="2"/>
  <c r="W865" i="2"/>
  <c r="X865" i="2"/>
  <c r="Y865" i="2"/>
  <c r="A866" i="2"/>
  <c r="B866" i="2"/>
  <c r="C866" i="2"/>
  <c r="D866" i="2"/>
  <c r="E866" i="2"/>
  <c r="F866" i="2"/>
  <c r="G866" i="2"/>
  <c r="H866" i="2"/>
  <c r="I866" i="2"/>
  <c r="J866" i="2"/>
  <c r="K866" i="2"/>
  <c r="L866" i="2"/>
  <c r="M866" i="2"/>
  <c r="N866" i="2"/>
  <c r="O866" i="2"/>
  <c r="P866" i="2"/>
  <c r="Q866" i="2"/>
  <c r="R866" i="2"/>
  <c r="S866" i="2"/>
  <c r="T866" i="2"/>
  <c r="U866" i="2"/>
  <c r="V866" i="2"/>
  <c r="W866" i="2"/>
  <c r="X866" i="2"/>
  <c r="Y866" i="2"/>
  <c r="B867" i="2"/>
  <c r="C867" i="2"/>
  <c r="D867" i="2"/>
  <c r="E867" i="2"/>
  <c r="F867" i="2"/>
  <c r="G867" i="2"/>
  <c r="H867" i="2"/>
  <c r="I867" i="2"/>
  <c r="J867" i="2"/>
  <c r="K867" i="2"/>
  <c r="L867" i="2"/>
  <c r="M867" i="2"/>
  <c r="N867" i="2"/>
  <c r="O867" i="2"/>
  <c r="P867" i="2"/>
  <c r="Q867" i="2"/>
  <c r="R867" i="2"/>
  <c r="S867" i="2"/>
  <c r="T867" i="2"/>
  <c r="U867" i="2"/>
  <c r="V867" i="2"/>
  <c r="W867" i="2"/>
  <c r="X867" i="2"/>
  <c r="Y867" i="2"/>
  <c r="B868" i="2"/>
  <c r="C868" i="2"/>
  <c r="D868" i="2"/>
  <c r="E868" i="2"/>
  <c r="F868" i="2"/>
  <c r="G868" i="2"/>
  <c r="H868" i="2"/>
  <c r="I868" i="2"/>
  <c r="J868" i="2"/>
  <c r="K868" i="2"/>
  <c r="L868" i="2"/>
  <c r="M868" i="2"/>
  <c r="N868" i="2"/>
  <c r="O868" i="2"/>
  <c r="P868" i="2"/>
  <c r="Q868" i="2"/>
  <c r="R868" i="2"/>
  <c r="S868" i="2"/>
  <c r="T868" i="2"/>
  <c r="U868" i="2"/>
  <c r="V868" i="2"/>
  <c r="W868" i="2"/>
  <c r="X868" i="2"/>
  <c r="Y868" i="2"/>
  <c r="A869" i="2"/>
  <c r="B869" i="2"/>
  <c r="C869" i="2"/>
  <c r="D869" i="2"/>
  <c r="E869" i="2"/>
  <c r="F869" i="2"/>
  <c r="G869" i="2"/>
  <c r="H869" i="2"/>
  <c r="I869" i="2"/>
  <c r="J869" i="2"/>
  <c r="K869" i="2"/>
  <c r="L869" i="2"/>
  <c r="M869" i="2"/>
  <c r="N869" i="2"/>
  <c r="O869" i="2"/>
  <c r="P869" i="2"/>
  <c r="Q869" i="2"/>
  <c r="R869" i="2"/>
  <c r="S869" i="2"/>
  <c r="T869" i="2"/>
  <c r="U869" i="2"/>
  <c r="V869" i="2"/>
  <c r="W869" i="2"/>
  <c r="X869" i="2"/>
  <c r="Y869" i="2"/>
  <c r="B870" i="2"/>
  <c r="C870" i="2"/>
  <c r="D870" i="2"/>
  <c r="E870" i="2"/>
  <c r="F870" i="2"/>
  <c r="G870" i="2"/>
  <c r="H870" i="2"/>
  <c r="I870" i="2"/>
  <c r="J870" i="2"/>
  <c r="K870" i="2"/>
  <c r="L870" i="2"/>
  <c r="M870" i="2"/>
  <c r="N870" i="2"/>
  <c r="O870" i="2"/>
  <c r="P870" i="2"/>
  <c r="Q870" i="2"/>
  <c r="R870" i="2"/>
  <c r="S870" i="2"/>
  <c r="T870" i="2"/>
  <c r="U870" i="2"/>
  <c r="V870" i="2"/>
  <c r="W870" i="2"/>
  <c r="X870" i="2"/>
  <c r="Y870" i="2"/>
  <c r="B871" i="2"/>
  <c r="C871" i="2"/>
  <c r="D871" i="2"/>
  <c r="E871" i="2"/>
  <c r="F871" i="2"/>
  <c r="G871" i="2"/>
  <c r="H871" i="2"/>
  <c r="I871" i="2"/>
  <c r="J871" i="2"/>
  <c r="K871" i="2"/>
  <c r="L871" i="2"/>
  <c r="M871" i="2"/>
  <c r="N871" i="2"/>
  <c r="O871" i="2"/>
  <c r="P871" i="2"/>
  <c r="Q871" i="2"/>
  <c r="R871" i="2"/>
  <c r="S871" i="2"/>
  <c r="T871" i="2"/>
  <c r="U871" i="2"/>
  <c r="V871" i="2"/>
  <c r="W871" i="2"/>
  <c r="X871" i="2"/>
  <c r="Y871" i="2"/>
  <c r="B872" i="2"/>
  <c r="C872" i="2"/>
  <c r="D872" i="2"/>
  <c r="E872" i="2"/>
  <c r="F872" i="2"/>
  <c r="G872" i="2"/>
  <c r="H872" i="2"/>
  <c r="I872" i="2"/>
  <c r="J872" i="2"/>
  <c r="K872" i="2"/>
  <c r="L872" i="2"/>
  <c r="M872" i="2"/>
  <c r="N872" i="2"/>
  <c r="O872" i="2"/>
  <c r="P872" i="2"/>
  <c r="Q872" i="2"/>
  <c r="R872" i="2"/>
  <c r="S872" i="2"/>
  <c r="T872" i="2"/>
  <c r="U872" i="2"/>
  <c r="V872" i="2"/>
  <c r="W872" i="2"/>
  <c r="X872" i="2"/>
  <c r="Y872" i="2"/>
  <c r="A873" i="2"/>
  <c r="B873" i="2"/>
  <c r="C873" i="2"/>
  <c r="D873" i="2"/>
  <c r="E873" i="2"/>
  <c r="F873" i="2"/>
  <c r="G873" i="2"/>
  <c r="H873" i="2"/>
  <c r="I873" i="2"/>
  <c r="J873" i="2"/>
  <c r="K873" i="2"/>
  <c r="L873" i="2"/>
  <c r="M873" i="2"/>
  <c r="N873" i="2"/>
  <c r="O873" i="2"/>
  <c r="P873" i="2"/>
  <c r="Q873" i="2"/>
  <c r="R873" i="2"/>
  <c r="S873" i="2"/>
  <c r="T873" i="2"/>
  <c r="U873" i="2"/>
  <c r="V873" i="2"/>
  <c r="W873" i="2"/>
  <c r="X873" i="2"/>
  <c r="Y873" i="2"/>
  <c r="A874" i="2"/>
  <c r="B874" i="2"/>
  <c r="C874" i="2"/>
  <c r="D874" i="2"/>
  <c r="E874" i="2"/>
  <c r="F874" i="2"/>
  <c r="G874" i="2"/>
  <c r="H874" i="2"/>
  <c r="I874" i="2"/>
  <c r="J874" i="2"/>
  <c r="K874" i="2"/>
  <c r="L874" i="2"/>
  <c r="M874" i="2"/>
  <c r="N874" i="2"/>
  <c r="O874" i="2"/>
  <c r="P874" i="2"/>
  <c r="Q874" i="2"/>
  <c r="R874" i="2"/>
  <c r="S874" i="2"/>
  <c r="T874" i="2"/>
  <c r="U874" i="2"/>
  <c r="V874" i="2"/>
  <c r="W874" i="2"/>
  <c r="X874" i="2"/>
  <c r="Y874" i="2"/>
  <c r="A875" i="2"/>
  <c r="B875" i="2"/>
  <c r="C875" i="2"/>
  <c r="D875" i="2"/>
  <c r="E875" i="2"/>
  <c r="F875" i="2"/>
  <c r="G875" i="2"/>
  <c r="H875" i="2"/>
  <c r="I875" i="2"/>
  <c r="J875" i="2"/>
  <c r="K875" i="2"/>
  <c r="L875" i="2"/>
  <c r="M875" i="2"/>
  <c r="N875" i="2"/>
  <c r="O875" i="2"/>
  <c r="P875" i="2"/>
  <c r="Q875" i="2"/>
  <c r="R875" i="2"/>
  <c r="S875" i="2"/>
  <c r="T875" i="2"/>
  <c r="U875" i="2"/>
  <c r="V875" i="2"/>
  <c r="W875" i="2"/>
  <c r="X875" i="2"/>
  <c r="Y875" i="2"/>
  <c r="A876" i="2"/>
  <c r="B876" i="2"/>
  <c r="C876" i="2"/>
  <c r="D876" i="2"/>
  <c r="E876" i="2"/>
  <c r="F876" i="2"/>
  <c r="G876" i="2"/>
  <c r="H876" i="2"/>
  <c r="I876" i="2"/>
  <c r="J876" i="2"/>
  <c r="K876" i="2"/>
  <c r="L876" i="2"/>
  <c r="M876" i="2"/>
  <c r="N876" i="2"/>
  <c r="O876" i="2"/>
  <c r="P876" i="2"/>
  <c r="Q876" i="2"/>
  <c r="R876" i="2"/>
  <c r="S876" i="2"/>
  <c r="T876" i="2"/>
  <c r="U876" i="2"/>
  <c r="V876" i="2"/>
  <c r="W876" i="2"/>
  <c r="X876" i="2"/>
  <c r="Y876" i="2"/>
  <c r="A877" i="2"/>
  <c r="B877" i="2"/>
  <c r="C877" i="2"/>
  <c r="D877" i="2"/>
  <c r="E877" i="2"/>
  <c r="F877" i="2"/>
  <c r="G877" i="2"/>
  <c r="H877" i="2"/>
  <c r="I877" i="2"/>
  <c r="J877" i="2"/>
  <c r="K877" i="2"/>
  <c r="L877" i="2"/>
  <c r="M877" i="2"/>
  <c r="N877" i="2"/>
  <c r="O877" i="2"/>
  <c r="P877" i="2"/>
  <c r="Q877" i="2"/>
  <c r="R877" i="2"/>
  <c r="S877" i="2"/>
  <c r="T877" i="2"/>
  <c r="U877" i="2"/>
  <c r="V877" i="2"/>
  <c r="W877" i="2"/>
  <c r="X877" i="2"/>
  <c r="Y877" i="2"/>
  <c r="A878" i="2"/>
  <c r="B878" i="2"/>
  <c r="C878" i="2"/>
  <c r="D878" i="2"/>
  <c r="E878" i="2"/>
  <c r="F878" i="2"/>
  <c r="G878" i="2"/>
  <c r="H878" i="2"/>
  <c r="I878" i="2"/>
  <c r="J878" i="2"/>
  <c r="K878" i="2"/>
  <c r="L878" i="2"/>
  <c r="M878" i="2"/>
  <c r="N878" i="2"/>
  <c r="O878" i="2"/>
  <c r="P878" i="2"/>
  <c r="Q878" i="2"/>
  <c r="R878" i="2"/>
  <c r="S878" i="2"/>
  <c r="T878" i="2"/>
  <c r="U878" i="2"/>
  <c r="V878" i="2"/>
  <c r="W878" i="2"/>
  <c r="X878" i="2"/>
  <c r="Y878" i="2"/>
  <c r="A879" i="2"/>
  <c r="B879" i="2"/>
  <c r="C879" i="2"/>
  <c r="D879" i="2"/>
  <c r="E879" i="2"/>
  <c r="F879" i="2"/>
  <c r="G879" i="2"/>
  <c r="H879" i="2"/>
  <c r="I879" i="2"/>
  <c r="J879" i="2"/>
  <c r="K879" i="2"/>
  <c r="L879" i="2"/>
  <c r="M879" i="2"/>
  <c r="N879" i="2"/>
  <c r="O879" i="2"/>
  <c r="P879" i="2"/>
  <c r="Q879" i="2"/>
  <c r="R879" i="2"/>
  <c r="S879" i="2"/>
  <c r="T879" i="2"/>
  <c r="U879" i="2"/>
  <c r="V879" i="2"/>
  <c r="W879" i="2"/>
  <c r="X879" i="2"/>
  <c r="Y879" i="2"/>
  <c r="A880" i="2"/>
  <c r="B880" i="2"/>
  <c r="C880" i="2"/>
  <c r="D880" i="2"/>
  <c r="E880" i="2"/>
  <c r="F880" i="2"/>
  <c r="G880" i="2"/>
  <c r="H880" i="2"/>
  <c r="I880" i="2"/>
  <c r="J880" i="2"/>
  <c r="K880" i="2"/>
  <c r="L880" i="2"/>
  <c r="M880" i="2"/>
  <c r="N880" i="2"/>
  <c r="O880" i="2"/>
  <c r="P880" i="2"/>
  <c r="Q880" i="2"/>
  <c r="R880" i="2"/>
  <c r="S880" i="2"/>
  <c r="T880" i="2"/>
  <c r="U880" i="2"/>
  <c r="V880" i="2"/>
  <c r="W880" i="2"/>
  <c r="X880" i="2"/>
  <c r="Y880" i="2"/>
  <c r="A881" i="2"/>
  <c r="B881" i="2"/>
  <c r="C881" i="2"/>
  <c r="D881" i="2"/>
  <c r="E881" i="2"/>
  <c r="F881" i="2"/>
  <c r="G881" i="2"/>
  <c r="H881" i="2"/>
  <c r="I881" i="2"/>
  <c r="J881" i="2"/>
  <c r="K881" i="2"/>
  <c r="L881" i="2"/>
  <c r="M881" i="2"/>
  <c r="N881" i="2"/>
  <c r="O881" i="2"/>
  <c r="P881" i="2"/>
  <c r="Q881" i="2"/>
  <c r="R881" i="2"/>
  <c r="S881" i="2"/>
  <c r="T881" i="2"/>
  <c r="U881" i="2"/>
  <c r="V881" i="2"/>
  <c r="W881" i="2"/>
  <c r="X881" i="2"/>
  <c r="Y881" i="2"/>
  <c r="A882" i="2"/>
  <c r="B882" i="2"/>
  <c r="C882" i="2"/>
  <c r="D882" i="2"/>
  <c r="E882" i="2"/>
  <c r="F882" i="2"/>
  <c r="G882" i="2"/>
  <c r="H882" i="2"/>
  <c r="I882" i="2"/>
  <c r="J882" i="2"/>
  <c r="K882" i="2"/>
  <c r="L882" i="2"/>
  <c r="M882" i="2"/>
  <c r="N882" i="2"/>
  <c r="O882" i="2"/>
  <c r="P882" i="2"/>
  <c r="Q882" i="2"/>
  <c r="R882" i="2"/>
  <c r="S882" i="2"/>
  <c r="T882" i="2"/>
  <c r="U882" i="2"/>
  <c r="V882" i="2"/>
  <c r="W882" i="2"/>
  <c r="X882" i="2"/>
  <c r="Y882" i="2"/>
  <c r="A883" i="2"/>
  <c r="B883" i="2"/>
  <c r="C883" i="2"/>
  <c r="D883" i="2"/>
  <c r="E883" i="2"/>
  <c r="F883" i="2"/>
  <c r="G883" i="2"/>
  <c r="H883" i="2"/>
  <c r="I883" i="2"/>
  <c r="J883" i="2"/>
  <c r="K883" i="2"/>
  <c r="L883" i="2"/>
  <c r="M883" i="2"/>
  <c r="N883" i="2"/>
  <c r="O883" i="2"/>
  <c r="P883" i="2"/>
  <c r="Q883" i="2"/>
  <c r="R883" i="2"/>
  <c r="S883" i="2"/>
  <c r="T883" i="2"/>
  <c r="U883" i="2"/>
  <c r="V883" i="2"/>
  <c r="W883" i="2"/>
  <c r="X883" i="2"/>
  <c r="Y883" i="2"/>
  <c r="B884" i="2"/>
  <c r="C884" i="2"/>
  <c r="D884" i="2"/>
  <c r="E884" i="2"/>
  <c r="F884" i="2"/>
  <c r="G884" i="2"/>
  <c r="H884" i="2"/>
  <c r="I884" i="2"/>
  <c r="J884" i="2"/>
  <c r="K884" i="2"/>
  <c r="L884" i="2"/>
  <c r="M884" i="2"/>
  <c r="N884" i="2"/>
  <c r="O884" i="2"/>
  <c r="P884" i="2"/>
  <c r="Q884" i="2"/>
  <c r="R884" i="2"/>
  <c r="S884" i="2"/>
  <c r="T884" i="2"/>
  <c r="U884" i="2"/>
  <c r="V884" i="2"/>
  <c r="W884" i="2"/>
  <c r="X884" i="2"/>
  <c r="Y884" i="2"/>
  <c r="A885" i="2"/>
  <c r="B885" i="2"/>
  <c r="C885" i="2"/>
  <c r="D885" i="2"/>
  <c r="E885" i="2"/>
  <c r="F885" i="2"/>
  <c r="G885" i="2"/>
  <c r="H885" i="2"/>
  <c r="I885" i="2"/>
  <c r="J885" i="2"/>
  <c r="K885" i="2"/>
  <c r="L885" i="2"/>
  <c r="M885" i="2"/>
  <c r="N885" i="2"/>
  <c r="O885" i="2"/>
  <c r="P885" i="2"/>
  <c r="Q885" i="2"/>
  <c r="R885" i="2"/>
  <c r="S885" i="2"/>
  <c r="T885" i="2"/>
  <c r="U885" i="2"/>
  <c r="V885" i="2"/>
  <c r="W885" i="2"/>
  <c r="X885" i="2"/>
  <c r="Y885" i="2"/>
  <c r="A886" i="2"/>
  <c r="B886" i="2"/>
  <c r="C886" i="2"/>
  <c r="D886" i="2"/>
  <c r="E886" i="2"/>
  <c r="F886" i="2"/>
  <c r="G886" i="2"/>
  <c r="H886" i="2"/>
  <c r="I886" i="2"/>
  <c r="J886" i="2"/>
  <c r="K886" i="2"/>
  <c r="L886" i="2"/>
  <c r="M886" i="2"/>
  <c r="N886" i="2"/>
  <c r="O886" i="2"/>
  <c r="P886" i="2"/>
  <c r="Q886" i="2"/>
  <c r="R886" i="2"/>
  <c r="S886" i="2"/>
  <c r="T886" i="2"/>
  <c r="U886" i="2"/>
  <c r="V886" i="2"/>
  <c r="W886" i="2"/>
  <c r="X886" i="2"/>
  <c r="Y886" i="2"/>
  <c r="B887" i="2"/>
  <c r="C887" i="2"/>
  <c r="D887" i="2"/>
  <c r="E887" i="2"/>
  <c r="F887" i="2"/>
  <c r="G887" i="2"/>
  <c r="H887" i="2"/>
  <c r="I887" i="2"/>
  <c r="J887" i="2"/>
  <c r="K887" i="2"/>
  <c r="L887" i="2"/>
  <c r="M887" i="2"/>
  <c r="N887" i="2"/>
  <c r="O887" i="2"/>
  <c r="P887" i="2"/>
  <c r="Q887" i="2"/>
  <c r="R887" i="2"/>
  <c r="S887" i="2"/>
  <c r="T887" i="2"/>
  <c r="U887" i="2"/>
  <c r="V887" i="2"/>
  <c r="W887" i="2"/>
  <c r="X887" i="2"/>
  <c r="Y887" i="2"/>
  <c r="B888" i="2"/>
  <c r="C888" i="2"/>
  <c r="D888" i="2"/>
  <c r="E888" i="2"/>
  <c r="F888" i="2"/>
  <c r="G888" i="2"/>
  <c r="H888" i="2"/>
  <c r="I888" i="2"/>
  <c r="J888" i="2"/>
  <c r="K888" i="2"/>
  <c r="L888" i="2"/>
  <c r="M888" i="2"/>
  <c r="N888" i="2"/>
  <c r="O888" i="2"/>
  <c r="P888" i="2"/>
  <c r="Q888" i="2"/>
  <c r="R888" i="2"/>
  <c r="S888" i="2"/>
  <c r="T888" i="2"/>
  <c r="U888" i="2"/>
  <c r="V888" i="2"/>
  <c r="W888" i="2"/>
  <c r="X888" i="2"/>
  <c r="Y888" i="2"/>
  <c r="A889" i="2"/>
  <c r="B889" i="2"/>
  <c r="C889" i="2"/>
  <c r="D889" i="2"/>
  <c r="E889" i="2"/>
  <c r="F889" i="2"/>
  <c r="G889" i="2"/>
  <c r="H889" i="2"/>
  <c r="I889" i="2"/>
  <c r="J889" i="2"/>
  <c r="K889" i="2"/>
  <c r="L889" i="2"/>
  <c r="M889" i="2"/>
  <c r="N889" i="2"/>
  <c r="O889" i="2"/>
  <c r="P889" i="2"/>
  <c r="Q889" i="2"/>
  <c r="R889" i="2"/>
  <c r="S889" i="2"/>
  <c r="T889" i="2"/>
  <c r="U889" i="2"/>
  <c r="V889" i="2"/>
  <c r="W889" i="2"/>
  <c r="X889" i="2"/>
  <c r="Y889" i="2"/>
  <c r="A890" i="2"/>
  <c r="B890" i="2"/>
  <c r="C890" i="2"/>
  <c r="D890" i="2"/>
  <c r="E890" i="2"/>
  <c r="F890" i="2"/>
  <c r="G890" i="2"/>
  <c r="H890" i="2"/>
  <c r="I890" i="2"/>
  <c r="J890" i="2"/>
  <c r="K890" i="2"/>
  <c r="L890" i="2"/>
  <c r="M890" i="2"/>
  <c r="N890" i="2"/>
  <c r="O890" i="2"/>
  <c r="P890" i="2"/>
  <c r="Q890" i="2"/>
  <c r="R890" i="2"/>
  <c r="S890" i="2"/>
  <c r="T890" i="2"/>
  <c r="U890" i="2"/>
  <c r="V890" i="2"/>
  <c r="W890" i="2"/>
  <c r="X890" i="2"/>
  <c r="Y890" i="2"/>
  <c r="A891" i="2"/>
  <c r="B891" i="2"/>
  <c r="C891" i="2"/>
  <c r="D891" i="2"/>
  <c r="E891" i="2"/>
  <c r="F891" i="2"/>
  <c r="G891" i="2"/>
  <c r="H891" i="2"/>
  <c r="I891" i="2"/>
  <c r="J891" i="2"/>
  <c r="K891" i="2"/>
  <c r="L891" i="2"/>
  <c r="M891" i="2"/>
  <c r="N891" i="2"/>
  <c r="O891" i="2"/>
  <c r="P891" i="2"/>
  <c r="Q891" i="2"/>
  <c r="R891" i="2"/>
  <c r="S891" i="2"/>
  <c r="T891" i="2"/>
  <c r="U891" i="2"/>
  <c r="V891" i="2"/>
  <c r="W891" i="2"/>
  <c r="X891" i="2"/>
  <c r="Y891" i="2"/>
  <c r="A892" i="2"/>
  <c r="B892" i="2"/>
  <c r="C892" i="2"/>
  <c r="D892" i="2"/>
  <c r="E892" i="2"/>
  <c r="F892" i="2"/>
  <c r="G892" i="2"/>
  <c r="H892" i="2"/>
  <c r="I892" i="2"/>
  <c r="J892" i="2"/>
  <c r="K892" i="2"/>
  <c r="L892" i="2"/>
  <c r="M892" i="2"/>
  <c r="N892" i="2"/>
  <c r="O892" i="2"/>
  <c r="P892" i="2"/>
  <c r="Q892" i="2"/>
  <c r="R892" i="2"/>
  <c r="S892" i="2"/>
  <c r="T892" i="2"/>
  <c r="U892" i="2"/>
  <c r="V892" i="2"/>
  <c r="W892" i="2"/>
  <c r="X892" i="2"/>
  <c r="Y892" i="2"/>
  <c r="A893" i="2"/>
  <c r="B893" i="2"/>
  <c r="C893" i="2"/>
  <c r="D893" i="2"/>
  <c r="E893" i="2"/>
  <c r="F893" i="2"/>
  <c r="G893" i="2"/>
  <c r="H893" i="2"/>
  <c r="I893" i="2"/>
  <c r="J893" i="2"/>
  <c r="K893" i="2"/>
  <c r="L893" i="2"/>
  <c r="M893" i="2"/>
  <c r="N893" i="2"/>
  <c r="O893" i="2"/>
  <c r="P893" i="2"/>
  <c r="Q893" i="2"/>
  <c r="R893" i="2"/>
  <c r="S893" i="2"/>
  <c r="T893" i="2"/>
  <c r="U893" i="2"/>
  <c r="V893" i="2"/>
  <c r="W893" i="2"/>
  <c r="X893" i="2"/>
  <c r="Y893" i="2"/>
  <c r="A894" i="2"/>
  <c r="B894" i="2"/>
  <c r="C894" i="2"/>
  <c r="D894" i="2"/>
  <c r="E894" i="2"/>
  <c r="F894" i="2"/>
  <c r="G894" i="2"/>
  <c r="H894" i="2"/>
  <c r="I894" i="2"/>
  <c r="J894" i="2"/>
  <c r="K894" i="2"/>
  <c r="L894" i="2"/>
  <c r="M894" i="2"/>
  <c r="N894" i="2"/>
  <c r="O894" i="2"/>
  <c r="P894" i="2"/>
  <c r="Q894" i="2"/>
  <c r="R894" i="2"/>
  <c r="S894" i="2"/>
  <c r="T894" i="2"/>
  <c r="U894" i="2"/>
  <c r="V894" i="2"/>
  <c r="W894" i="2"/>
  <c r="X894" i="2"/>
  <c r="Y894" i="2"/>
  <c r="A895" i="2"/>
  <c r="B895" i="2"/>
  <c r="C895" i="2"/>
  <c r="D895" i="2"/>
  <c r="E895" i="2"/>
  <c r="F895" i="2"/>
  <c r="G895" i="2"/>
  <c r="H895" i="2"/>
  <c r="I895" i="2"/>
  <c r="J895" i="2"/>
  <c r="K895" i="2"/>
  <c r="L895" i="2"/>
  <c r="M895" i="2"/>
  <c r="N895" i="2"/>
  <c r="O895" i="2"/>
  <c r="P895" i="2"/>
  <c r="Q895" i="2"/>
  <c r="R895" i="2"/>
  <c r="S895" i="2"/>
  <c r="T895" i="2"/>
  <c r="U895" i="2"/>
  <c r="V895" i="2"/>
  <c r="W895" i="2"/>
  <c r="X895" i="2"/>
  <c r="Y895" i="2"/>
  <c r="A896" i="2"/>
  <c r="B896" i="2"/>
  <c r="C896" i="2"/>
  <c r="D896" i="2"/>
  <c r="E896" i="2"/>
  <c r="F896" i="2"/>
  <c r="G896" i="2"/>
  <c r="H896" i="2"/>
  <c r="I896" i="2"/>
  <c r="J896" i="2"/>
  <c r="K896" i="2"/>
  <c r="L896" i="2"/>
  <c r="M896" i="2"/>
  <c r="N896" i="2"/>
  <c r="O896" i="2"/>
  <c r="P896" i="2"/>
  <c r="Q896" i="2"/>
  <c r="R896" i="2"/>
  <c r="S896" i="2"/>
  <c r="T896" i="2"/>
  <c r="U896" i="2"/>
  <c r="V896" i="2"/>
  <c r="W896" i="2"/>
  <c r="X896" i="2"/>
  <c r="Y896" i="2"/>
  <c r="A897" i="2"/>
  <c r="B897" i="2"/>
  <c r="C897" i="2"/>
  <c r="D897" i="2"/>
  <c r="E897" i="2"/>
  <c r="F897" i="2"/>
  <c r="G897" i="2"/>
  <c r="H897" i="2"/>
  <c r="I897" i="2"/>
  <c r="J897" i="2"/>
  <c r="K897" i="2"/>
  <c r="L897" i="2"/>
  <c r="M897" i="2"/>
  <c r="N897" i="2"/>
  <c r="O897" i="2"/>
  <c r="P897" i="2"/>
  <c r="Q897" i="2"/>
  <c r="R897" i="2"/>
  <c r="S897" i="2"/>
  <c r="T897" i="2"/>
  <c r="U897" i="2"/>
  <c r="V897" i="2"/>
  <c r="W897" i="2"/>
  <c r="X897" i="2"/>
  <c r="Y897" i="2"/>
  <c r="A898" i="2"/>
  <c r="B898" i="2"/>
  <c r="C898" i="2"/>
  <c r="D898" i="2"/>
  <c r="E898" i="2"/>
  <c r="F898" i="2"/>
  <c r="G898" i="2"/>
  <c r="H898" i="2"/>
  <c r="I898" i="2"/>
  <c r="J898" i="2"/>
  <c r="K898" i="2"/>
  <c r="L898" i="2"/>
  <c r="M898" i="2"/>
  <c r="N898" i="2"/>
  <c r="O898" i="2"/>
  <c r="P898" i="2"/>
  <c r="Q898" i="2"/>
  <c r="R898" i="2"/>
  <c r="S898" i="2"/>
  <c r="T898" i="2"/>
  <c r="U898" i="2"/>
  <c r="V898" i="2"/>
  <c r="W898" i="2"/>
  <c r="X898" i="2"/>
  <c r="Y898" i="2"/>
  <c r="A899" i="2"/>
  <c r="B899" i="2"/>
  <c r="C899" i="2"/>
  <c r="D899" i="2"/>
  <c r="E899" i="2"/>
  <c r="F899" i="2"/>
  <c r="G899" i="2"/>
  <c r="H899" i="2"/>
  <c r="I899" i="2"/>
  <c r="J899" i="2"/>
  <c r="K899" i="2"/>
  <c r="L899" i="2"/>
  <c r="M899" i="2"/>
  <c r="N899" i="2"/>
  <c r="O899" i="2"/>
  <c r="P899" i="2"/>
  <c r="Q899" i="2"/>
  <c r="R899" i="2"/>
  <c r="S899" i="2"/>
  <c r="T899" i="2"/>
  <c r="U899" i="2"/>
  <c r="V899" i="2"/>
  <c r="W899" i="2"/>
  <c r="X899" i="2"/>
  <c r="Y899" i="2"/>
  <c r="B900" i="2"/>
  <c r="C900" i="2"/>
  <c r="D900" i="2"/>
  <c r="E900" i="2"/>
  <c r="F900" i="2"/>
  <c r="G900" i="2"/>
  <c r="H900" i="2"/>
  <c r="I900" i="2"/>
  <c r="J900" i="2"/>
  <c r="K900" i="2"/>
  <c r="L900" i="2"/>
  <c r="M900" i="2"/>
  <c r="N900" i="2"/>
  <c r="O900" i="2"/>
  <c r="P900" i="2"/>
  <c r="Q900" i="2"/>
  <c r="R900" i="2"/>
  <c r="S900" i="2"/>
  <c r="T900" i="2"/>
  <c r="U900" i="2"/>
  <c r="V900" i="2"/>
  <c r="W900" i="2"/>
  <c r="X900" i="2"/>
  <c r="Y900" i="2"/>
  <c r="A901" i="2"/>
  <c r="B901" i="2"/>
  <c r="C901" i="2"/>
  <c r="D901" i="2"/>
  <c r="E901" i="2"/>
  <c r="F901" i="2"/>
  <c r="G901" i="2"/>
  <c r="H901" i="2"/>
  <c r="I901" i="2"/>
  <c r="J901" i="2"/>
  <c r="K901" i="2"/>
  <c r="L901" i="2"/>
  <c r="M901" i="2"/>
  <c r="N901" i="2"/>
  <c r="O901" i="2"/>
  <c r="P901" i="2"/>
  <c r="Q901" i="2"/>
  <c r="R901" i="2"/>
  <c r="S901" i="2"/>
  <c r="T901" i="2"/>
  <c r="U901" i="2"/>
  <c r="V901" i="2"/>
  <c r="W901" i="2"/>
  <c r="X901" i="2"/>
  <c r="Y901" i="2"/>
  <c r="A902" i="2"/>
  <c r="B902" i="2"/>
  <c r="C902" i="2"/>
  <c r="D902" i="2"/>
  <c r="E902" i="2"/>
  <c r="F902" i="2"/>
  <c r="G902" i="2"/>
  <c r="H902" i="2"/>
  <c r="I902" i="2"/>
  <c r="J902" i="2"/>
  <c r="K902" i="2"/>
  <c r="L902" i="2"/>
  <c r="M902" i="2"/>
  <c r="N902" i="2"/>
  <c r="O902" i="2"/>
  <c r="P902" i="2"/>
  <c r="Q902" i="2"/>
  <c r="R902" i="2"/>
  <c r="S902" i="2"/>
  <c r="T902" i="2"/>
  <c r="U902" i="2"/>
  <c r="V902" i="2"/>
  <c r="W902" i="2"/>
  <c r="X902" i="2"/>
  <c r="Y902" i="2"/>
  <c r="B903" i="2"/>
  <c r="C903" i="2"/>
  <c r="D903" i="2"/>
  <c r="E903" i="2"/>
  <c r="F903" i="2"/>
  <c r="G903" i="2"/>
  <c r="H903" i="2"/>
  <c r="I903" i="2"/>
  <c r="J903" i="2"/>
  <c r="K903" i="2"/>
  <c r="L903" i="2"/>
  <c r="M903" i="2"/>
  <c r="N903" i="2"/>
  <c r="O903" i="2"/>
  <c r="P903" i="2"/>
  <c r="Q903" i="2"/>
  <c r="R903" i="2"/>
  <c r="S903" i="2"/>
  <c r="T903" i="2"/>
  <c r="U903" i="2"/>
  <c r="V903" i="2"/>
  <c r="W903" i="2"/>
  <c r="X903" i="2"/>
  <c r="Y903" i="2"/>
  <c r="B904" i="2"/>
  <c r="C904" i="2"/>
  <c r="D904" i="2"/>
  <c r="E904" i="2"/>
  <c r="F904" i="2"/>
  <c r="G904" i="2"/>
  <c r="H904" i="2"/>
  <c r="I904" i="2"/>
  <c r="J904" i="2"/>
  <c r="K904" i="2"/>
  <c r="L904" i="2"/>
  <c r="M904" i="2"/>
  <c r="N904" i="2"/>
  <c r="O904" i="2"/>
  <c r="P904" i="2"/>
  <c r="Q904" i="2"/>
  <c r="R904" i="2"/>
  <c r="S904" i="2"/>
  <c r="T904" i="2"/>
  <c r="U904" i="2"/>
  <c r="V904" i="2"/>
  <c r="W904" i="2"/>
  <c r="X904" i="2"/>
  <c r="Y904" i="2"/>
  <c r="A905" i="2"/>
  <c r="B905" i="2"/>
  <c r="C905" i="2"/>
  <c r="D905" i="2"/>
  <c r="E905" i="2"/>
  <c r="F905" i="2"/>
  <c r="G905" i="2"/>
  <c r="H905" i="2"/>
  <c r="I905" i="2"/>
  <c r="J905" i="2"/>
  <c r="K905" i="2"/>
  <c r="L905" i="2"/>
  <c r="M905" i="2"/>
  <c r="N905" i="2"/>
  <c r="O905" i="2"/>
  <c r="P905" i="2"/>
  <c r="Q905" i="2"/>
  <c r="R905" i="2"/>
  <c r="S905" i="2"/>
  <c r="T905" i="2"/>
  <c r="U905" i="2"/>
  <c r="V905" i="2"/>
  <c r="W905" i="2"/>
  <c r="X905" i="2"/>
  <c r="Y905" i="2"/>
  <c r="A906" i="2"/>
  <c r="B906" i="2"/>
  <c r="C906" i="2"/>
  <c r="D906" i="2"/>
  <c r="E906" i="2"/>
  <c r="F906" i="2"/>
  <c r="G906" i="2"/>
  <c r="H906" i="2"/>
  <c r="I906" i="2"/>
  <c r="J906" i="2"/>
  <c r="K906" i="2"/>
  <c r="L906" i="2"/>
  <c r="M906" i="2"/>
  <c r="N906" i="2"/>
  <c r="O906" i="2"/>
  <c r="P906" i="2"/>
  <c r="Q906" i="2"/>
  <c r="R906" i="2"/>
  <c r="S906" i="2"/>
  <c r="T906" i="2"/>
  <c r="U906" i="2"/>
  <c r="V906" i="2"/>
  <c r="W906" i="2"/>
  <c r="X906" i="2"/>
  <c r="Y906" i="2"/>
  <c r="A907" i="2"/>
  <c r="B907" i="2"/>
  <c r="C907" i="2"/>
  <c r="D907" i="2"/>
  <c r="E907" i="2"/>
  <c r="F907" i="2"/>
  <c r="G907" i="2"/>
  <c r="H907" i="2"/>
  <c r="I907" i="2"/>
  <c r="J907" i="2"/>
  <c r="K907" i="2"/>
  <c r="L907" i="2"/>
  <c r="M907" i="2"/>
  <c r="N907" i="2"/>
  <c r="O907" i="2"/>
  <c r="P907" i="2"/>
  <c r="Q907" i="2"/>
  <c r="R907" i="2"/>
  <c r="S907" i="2"/>
  <c r="T907" i="2"/>
  <c r="U907" i="2"/>
  <c r="V907" i="2"/>
  <c r="W907" i="2"/>
  <c r="X907" i="2"/>
  <c r="Y907" i="2"/>
  <c r="B908" i="2"/>
  <c r="C908" i="2"/>
  <c r="D908" i="2"/>
  <c r="E908" i="2"/>
  <c r="F908" i="2"/>
  <c r="G908" i="2"/>
  <c r="H908" i="2"/>
  <c r="I908" i="2"/>
  <c r="J908" i="2"/>
  <c r="K908" i="2"/>
  <c r="L908" i="2"/>
  <c r="M908" i="2"/>
  <c r="N908" i="2"/>
  <c r="O908" i="2"/>
  <c r="P908" i="2"/>
  <c r="Q908" i="2"/>
  <c r="R908" i="2"/>
  <c r="S908" i="2"/>
  <c r="T908" i="2"/>
  <c r="U908" i="2"/>
  <c r="V908" i="2"/>
  <c r="W908" i="2"/>
  <c r="X908" i="2"/>
  <c r="Y908" i="2"/>
  <c r="A909" i="2"/>
  <c r="B909" i="2"/>
  <c r="C909" i="2"/>
  <c r="D909" i="2"/>
  <c r="E909" i="2"/>
  <c r="F909" i="2"/>
  <c r="G909" i="2"/>
  <c r="H909" i="2"/>
  <c r="I909" i="2"/>
  <c r="J909" i="2"/>
  <c r="K909" i="2"/>
  <c r="L909" i="2"/>
  <c r="M909" i="2"/>
  <c r="N909" i="2"/>
  <c r="O909" i="2"/>
  <c r="P909" i="2"/>
  <c r="Q909" i="2"/>
  <c r="R909" i="2"/>
  <c r="S909" i="2"/>
  <c r="T909" i="2"/>
  <c r="U909" i="2"/>
  <c r="V909" i="2"/>
  <c r="W909" i="2"/>
  <c r="X909" i="2"/>
  <c r="Y909" i="2"/>
  <c r="A910" i="2"/>
  <c r="B910" i="2"/>
  <c r="C910" i="2"/>
  <c r="D910" i="2"/>
  <c r="E910" i="2"/>
  <c r="F910" i="2"/>
  <c r="G910" i="2"/>
  <c r="H910" i="2"/>
  <c r="I910" i="2"/>
  <c r="J910" i="2"/>
  <c r="K910" i="2"/>
  <c r="L910" i="2"/>
  <c r="M910" i="2"/>
  <c r="N910" i="2"/>
  <c r="O910" i="2"/>
  <c r="P910" i="2"/>
  <c r="Q910" i="2"/>
  <c r="R910" i="2"/>
  <c r="S910" i="2"/>
  <c r="T910" i="2"/>
  <c r="U910" i="2"/>
  <c r="V910" i="2"/>
  <c r="W910" i="2"/>
  <c r="X910" i="2"/>
  <c r="Y910" i="2"/>
  <c r="A911" i="2"/>
  <c r="B911" i="2"/>
  <c r="C911" i="2"/>
  <c r="D911" i="2"/>
  <c r="E911" i="2"/>
  <c r="F911" i="2"/>
  <c r="G911" i="2"/>
  <c r="H911" i="2"/>
  <c r="I911" i="2"/>
  <c r="J911" i="2"/>
  <c r="K911" i="2"/>
  <c r="L911" i="2"/>
  <c r="M911" i="2"/>
  <c r="N911" i="2"/>
  <c r="O911" i="2"/>
  <c r="P911" i="2"/>
  <c r="Q911" i="2"/>
  <c r="R911" i="2"/>
  <c r="S911" i="2"/>
  <c r="T911" i="2"/>
  <c r="U911" i="2"/>
  <c r="V911" i="2"/>
  <c r="W911" i="2"/>
  <c r="X911" i="2"/>
  <c r="Y911" i="2"/>
  <c r="A912" i="2"/>
  <c r="B912" i="2"/>
  <c r="C912" i="2"/>
  <c r="D912" i="2"/>
  <c r="E912" i="2"/>
  <c r="F912" i="2"/>
  <c r="G912" i="2"/>
  <c r="H912" i="2"/>
  <c r="I912" i="2"/>
  <c r="J912" i="2"/>
  <c r="K912" i="2"/>
  <c r="L912" i="2"/>
  <c r="M912" i="2"/>
  <c r="N912" i="2"/>
  <c r="O912" i="2"/>
  <c r="P912" i="2"/>
  <c r="Q912" i="2"/>
  <c r="R912" i="2"/>
  <c r="S912" i="2"/>
  <c r="T912" i="2"/>
  <c r="U912" i="2"/>
  <c r="V912" i="2"/>
  <c r="W912" i="2"/>
  <c r="X912" i="2"/>
  <c r="Y912" i="2"/>
  <c r="A913" i="2"/>
  <c r="B913" i="2"/>
  <c r="C913" i="2"/>
  <c r="D913" i="2"/>
  <c r="E913" i="2"/>
  <c r="F913" i="2"/>
  <c r="G913" i="2"/>
  <c r="H913" i="2"/>
  <c r="I913" i="2"/>
  <c r="J913" i="2"/>
  <c r="K913" i="2"/>
  <c r="L913" i="2"/>
  <c r="M913" i="2"/>
  <c r="N913" i="2"/>
  <c r="O913" i="2"/>
  <c r="P913" i="2"/>
  <c r="Q913" i="2"/>
  <c r="R913" i="2"/>
  <c r="S913" i="2"/>
  <c r="T913" i="2"/>
  <c r="U913" i="2"/>
  <c r="V913" i="2"/>
  <c r="W913" i="2"/>
  <c r="X913" i="2"/>
  <c r="Y913" i="2"/>
  <c r="A914" i="2"/>
  <c r="B914" i="2"/>
  <c r="C914" i="2"/>
  <c r="D914" i="2"/>
  <c r="E914" i="2"/>
  <c r="F914" i="2"/>
  <c r="G914" i="2"/>
  <c r="H914" i="2"/>
  <c r="I914" i="2"/>
  <c r="J914" i="2"/>
  <c r="K914" i="2"/>
  <c r="L914" i="2"/>
  <c r="M914" i="2"/>
  <c r="N914" i="2"/>
  <c r="O914" i="2"/>
  <c r="P914" i="2"/>
  <c r="Q914" i="2"/>
  <c r="R914" i="2"/>
  <c r="S914" i="2"/>
  <c r="T914" i="2"/>
  <c r="U914" i="2"/>
  <c r="V914" i="2"/>
  <c r="W914" i="2"/>
  <c r="X914" i="2"/>
  <c r="Y914" i="2"/>
  <c r="A915" i="2"/>
  <c r="B915" i="2"/>
  <c r="C915" i="2"/>
  <c r="D915" i="2"/>
  <c r="E915" i="2"/>
  <c r="F915" i="2"/>
  <c r="G915" i="2"/>
  <c r="H915" i="2"/>
  <c r="I915" i="2"/>
  <c r="J915" i="2"/>
  <c r="K915" i="2"/>
  <c r="L915" i="2"/>
  <c r="M915" i="2"/>
  <c r="N915" i="2"/>
  <c r="O915" i="2"/>
  <c r="P915" i="2"/>
  <c r="Q915" i="2"/>
  <c r="R915" i="2"/>
  <c r="S915" i="2"/>
  <c r="T915" i="2"/>
  <c r="U915" i="2"/>
  <c r="V915" i="2"/>
  <c r="W915" i="2"/>
  <c r="X915" i="2"/>
  <c r="Y915" i="2"/>
  <c r="B916" i="2"/>
  <c r="C916" i="2"/>
  <c r="D916" i="2"/>
  <c r="E916" i="2"/>
  <c r="F916" i="2"/>
  <c r="G916" i="2"/>
  <c r="H916" i="2"/>
  <c r="I916" i="2"/>
  <c r="J916" i="2"/>
  <c r="K916" i="2"/>
  <c r="L916" i="2"/>
  <c r="M916" i="2"/>
  <c r="N916" i="2"/>
  <c r="O916" i="2"/>
  <c r="P916" i="2"/>
  <c r="Q916" i="2"/>
  <c r="R916" i="2"/>
  <c r="S916" i="2"/>
  <c r="T916" i="2"/>
  <c r="U916" i="2"/>
  <c r="V916" i="2"/>
  <c r="W916" i="2"/>
  <c r="X916" i="2"/>
  <c r="Y916" i="2"/>
  <c r="A917" i="2"/>
  <c r="B917" i="2"/>
  <c r="C917" i="2"/>
  <c r="D917" i="2"/>
  <c r="E917" i="2"/>
  <c r="F917" i="2"/>
  <c r="G917" i="2"/>
  <c r="H917" i="2"/>
  <c r="I917" i="2"/>
  <c r="J917" i="2"/>
  <c r="K917" i="2"/>
  <c r="L917" i="2"/>
  <c r="M917" i="2"/>
  <c r="N917" i="2"/>
  <c r="O917" i="2"/>
  <c r="P917" i="2"/>
  <c r="Q917" i="2"/>
  <c r="R917" i="2"/>
  <c r="S917" i="2"/>
  <c r="T917" i="2"/>
  <c r="U917" i="2"/>
  <c r="V917" i="2"/>
  <c r="W917" i="2"/>
  <c r="X917" i="2"/>
  <c r="Y917" i="2"/>
  <c r="B918" i="2"/>
  <c r="C918" i="2"/>
  <c r="D918" i="2"/>
  <c r="E918" i="2"/>
  <c r="F918" i="2"/>
  <c r="G918" i="2"/>
  <c r="H918" i="2"/>
  <c r="I918" i="2"/>
  <c r="J918" i="2"/>
  <c r="K918" i="2"/>
  <c r="L918" i="2"/>
  <c r="M918" i="2"/>
  <c r="N918" i="2"/>
  <c r="O918" i="2"/>
  <c r="P918" i="2"/>
  <c r="Q918" i="2"/>
  <c r="R918" i="2"/>
  <c r="S918" i="2"/>
  <c r="T918" i="2"/>
  <c r="U918" i="2"/>
  <c r="V918" i="2"/>
  <c r="W918" i="2"/>
  <c r="X918" i="2"/>
  <c r="Y918" i="2"/>
  <c r="B919" i="2"/>
  <c r="C919" i="2"/>
  <c r="D919" i="2"/>
  <c r="E919" i="2"/>
  <c r="F919" i="2"/>
  <c r="G919" i="2"/>
  <c r="H919" i="2"/>
  <c r="I919" i="2"/>
  <c r="J919" i="2"/>
  <c r="K919" i="2"/>
  <c r="L919" i="2"/>
  <c r="M919" i="2"/>
  <c r="N919" i="2"/>
  <c r="O919" i="2"/>
  <c r="P919" i="2"/>
  <c r="Q919" i="2"/>
  <c r="R919" i="2"/>
  <c r="S919" i="2"/>
  <c r="T919" i="2"/>
  <c r="U919" i="2"/>
  <c r="V919" i="2"/>
  <c r="W919" i="2"/>
  <c r="X919" i="2"/>
  <c r="Y919" i="2"/>
  <c r="B920" i="2"/>
  <c r="C920" i="2"/>
  <c r="D920" i="2"/>
  <c r="E920" i="2"/>
  <c r="F920" i="2"/>
  <c r="G920" i="2"/>
  <c r="H920" i="2"/>
  <c r="I920" i="2"/>
  <c r="J920" i="2"/>
  <c r="K920" i="2"/>
  <c r="L920" i="2"/>
  <c r="M920" i="2"/>
  <c r="N920" i="2"/>
  <c r="O920" i="2"/>
  <c r="P920" i="2"/>
  <c r="Q920" i="2"/>
  <c r="R920" i="2"/>
  <c r="S920" i="2"/>
  <c r="T920" i="2"/>
  <c r="U920" i="2"/>
  <c r="V920" i="2"/>
  <c r="W920" i="2"/>
  <c r="X920" i="2"/>
  <c r="Y920" i="2"/>
  <c r="A921" i="2"/>
  <c r="B921" i="2"/>
  <c r="C921" i="2"/>
  <c r="D921" i="2"/>
  <c r="E921" i="2"/>
  <c r="F921" i="2"/>
  <c r="G921" i="2"/>
  <c r="H921" i="2"/>
  <c r="I921" i="2"/>
  <c r="J921" i="2"/>
  <c r="K921" i="2"/>
  <c r="L921" i="2"/>
  <c r="M921" i="2"/>
  <c r="N921" i="2"/>
  <c r="O921" i="2"/>
  <c r="P921" i="2"/>
  <c r="Q921" i="2"/>
  <c r="R921" i="2"/>
  <c r="S921" i="2"/>
  <c r="T921" i="2"/>
  <c r="U921" i="2"/>
  <c r="V921" i="2"/>
  <c r="W921" i="2"/>
  <c r="X921" i="2"/>
  <c r="Y921" i="2"/>
  <c r="A922" i="2"/>
  <c r="B922" i="2"/>
  <c r="C922" i="2"/>
  <c r="D922" i="2"/>
  <c r="E922" i="2"/>
  <c r="F922" i="2"/>
  <c r="G922" i="2"/>
  <c r="H922" i="2"/>
  <c r="I922" i="2"/>
  <c r="J922" i="2"/>
  <c r="K922" i="2"/>
  <c r="L922" i="2"/>
  <c r="M922" i="2"/>
  <c r="N922" i="2"/>
  <c r="O922" i="2"/>
  <c r="P922" i="2"/>
  <c r="Q922" i="2"/>
  <c r="R922" i="2"/>
  <c r="S922" i="2"/>
  <c r="T922" i="2"/>
  <c r="U922" i="2"/>
  <c r="V922" i="2"/>
  <c r="W922" i="2"/>
  <c r="X922" i="2"/>
  <c r="Y922" i="2"/>
  <c r="A923" i="2"/>
  <c r="B923" i="2"/>
  <c r="C923" i="2"/>
  <c r="D923" i="2"/>
  <c r="E923" i="2"/>
  <c r="F923" i="2"/>
  <c r="G923" i="2"/>
  <c r="H923" i="2"/>
  <c r="I923" i="2"/>
  <c r="J923" i="2"/>
  <c r="K923" i="2"/>
  <c r="L923" i="2"/>
  <c r="M923" i="2"/>
  <c r="N923" i="2"/>
  <c r="O923" i="2"/>
  <c r="P923" i="2"/>
  <c r="Q923" i="2"/>
  <c r="R923" i="2"/>
  <c r="S923" i="2"/>
  <c r="T923" i="2"/>
  <c r="U923" i="2"/>
  <c r="V923" i="2"/>
  <c r="W923" i="2"/>
  <c r="X923" i="2"/>
  <c r="Y923" i="2"/>
  <c r="A924" i="2"/>
  <c r="B924" i="2"/>
  <c r="C924" i="2"/>
  <c r="D924" i="2"/>
  <c r="E924" i="2"/>
  <c r="F924" i="2"/>
  <c r="G924" i="2"/>
  <c r="H924" i="2"/>
  <c r="I924" i="2"/>
  <c r="J924" i="2"/>
  <c r="K924" i="2"/>
  <c r="L924" i="2"/>
  <c r="M924" i="2"/>
  <c r="N924" i="2"/>
  <c r="O924" i="2"/>
  <c r="P924" i="2"/>
  <c r="Q924" i="2"/>
  <c r="R924" i="2"/>
  <c r="S924" i="2"/>
  <c r="T924" i="2"/>
  <c r="U924" i="2"/>
  <c r="V924" i="2"/>
  <c r="W924" i="2"/>
  <c r="X924" i="2"/>
  <c r="Y924" i="2"/>
  <c r="A925" i="2"/>
  <c r="B925" i="2"/>
  <c r="C925" i="2"/>
  <c r="D925" i="2"/>
  <c r="E925" i="2"/>
  <c r="F925" i="2"/>
  <c r="G925" i="2"/>
  <c r="H925" i="2"/>
  <c r="I925" i="2"/>
  <c r="J925" i="2"/>
  <c r="K925" i="2"/>
  <c r="L925" i="2"/>
  <c r="M925" i="2"/>
  <c r="N925" i="2"/>
  <c r="O925" i="2"/>
  <c r="P925" i="2"/>
  <c r="Q925" i="2"/>
  <c r="R925" i="2"/>
  <c r="S925" i="2"/>
  <c r="T925" i="2"/>
  <c r="U925" i="2"/>
  <c r="V925" i="2"/>
  <c r="W925" i="2"/>
  <c r="X925" i="2"/>
  <c r="Y925" i="2"/>
  <c r="A926" i="2"/>
  <c r="B926" i="2"/>
  <c r="C926" i="2"/>
  <c r="D926" i="2"/>
  <c r="E926" i="2"/>
  <c r="F926" i="2"/>
  <c r="G926" i="2"/>
  <c r="H926" i="2"/>
  <c r="I926" i="2"/>
  <c r="J926" i="2"/>
  <c r="K926" i="2"/>
  <c r="L926" i="2"/>
  <c r="M926" i="2"/>
  <c r="N926" i="2"/>
  <c r="O926" i="2"/>
  <c r="P926" i="2"/>
  <c r="Q926" i="2"/>
  <c r="R926" i="2"/>
  <c r="S926" i="2"/>
  <c r="T926" i="2"/>
  <c r="U926" i="2"/>
  <c r="V926" i="2"/>
  <c r="W926" i="2"/>
  <c r="X926" i="2"/>
  <c r="Y926" i="2"/>
  <c r="A927" i="2"/>
  <c r="B927" i="2"/>
  <c r="C927" i="2"/>
  <c r="D927" i="2"/>
  <c r="E927" i="2"/>
  <c r="F927" i="2"/>
  <c r="G927" i="2"/>
  <c r="H927" i="2"/>
  <c r="I927" i="2"/>
  <c r="J927" i="2"/>
  <c r="K927" i="2"/>
  <c r="L927" i="2"/>
  <c r="M927" i="2"/>
  <c r="N927" i="2"/>
  <c r="O927" i="2"/>
  <c r="P927" i="2"/>
  <c r="Q927" i="2"/>
  <c r="R927" i="2"/>
  <c r="S927" i="2"/>
  <c r="T927" i="2"/>
  <c r="U927" i="2"/>
  <c r="V927" i="2"/>
  <c r="W927" i="2"/>
  <c r="X927" i="2"/>
  <c r="Y927" i="2"/>
  <c r="A928" i="2"/>
  <c r="B928" i="2"/>
  <c r="C928" i="2"/>
  <c r="D928" i="2"/>
  <c r="E928" i="2"/>
  <c r="F928" i="2"/>
  <c r="G928" i="2"/>
  <c r="H928" i="2"/>
  <c r="I928" i="2"/>
  <c r="J928" i="2"/>
  <c r="K928" i="2"/>
  <c r="L928" i="2"/>
  <c r="M928" i="2"/>
  <c r="N928" i="2"/>
  <c r="O928" i="2"/>
  <c r="P928" i="2"/>
  <c r="Q928" i="2"/>
  <c r="R928" i="2"/>
  <c r="S928" i="2"/>
  <c r="T928" i="2"/>
  <c r="U928" i="2"/>
  <c r="V928" i="2"/>
  <c r="W928" i="2"/>
  <c r="X928" i="2"/>
  <c r="Y928" i="2"/>
  <c r="A929" i="2"/>
  <c r="B929" i="2"/>
  <c r="C929" i="2"/>
  <c r="D929" i="2"/>
  <c r="E929" i="2"/>
  <c r="F929" i="2"/>
  <c r="G929" i="2"/>
  <c r="H929" i="2"/>
  <c r="I929" i="2"/>
  <c r="J929" i="2"/>
  <c r="K929" i="2"/>
  <c r="L929" i="2"/>
  <c r="M929" i="2"/>
  <c r="N929" i="2"/>
  <c r="O929" i="2"/>
  <c r="P929" i="2"/>
  <c r="Q929" i="2"/>
  <c r="R929" i="2"/>
  <c r="S929" i="2"/>
  <c r="T929" i="2"/>
  <c r="U929" i="2"/>
  <c r="V929" i="2"/>
  <c r="W929" i="2"/>
  <c r="X929" i="2"/>
  <c r="Y929" i="2"/>
  <c r="A930" i="2"/>
  <c r="B930" i="2"/>
  <c r="C930" i="2"/>
  <c r="D930" i="2"/>
  <c r="E930" i="2"/>
  <c r="F930" i="2"/>
  <c r="G930" i="2"/>
  <c r="H930" i="2"/>
  <c r="I930" i="2"/>
  <c r="J930" i="2"/>
  <c r="K930" i="2"/>
  <c r="L930" i="2"/>
  <c r="M930" i="2"/>
  <c r="N930" i="2"/>
  <c r="O930" i="2"/>
  <c r="P930" i="2"/>
  <c r="Q930" i="2"/>
  <c r="R930" i="2"/>
  <c r="S930" i="2"/>
  <c r="T930" i="2"/>
  <c r="U930" i="2"/>
  <c r="V930" i="2"/>
  <c r="W930" i="2"/>
  <c r="X930" i="2"/>
  <c r="Y930" i="2"/>
  <c r="A931" i="2"/>
  <c r="B931" i="2"/>
  <c r="C931" i="2"/>
  <c r="D931" i="2"/>
  <c r="E931" i="2"/>
  <c r="F931" i="2"/>
  <c r="G931" i="2"/>
  <c r="H931" i="2"/>
  <c r="I931" i="2"/>
  <c r="J931" i="2"/>
  <c r="K931" i="2"/>
  <c r="L931" i="2"/>
  <c r="M931" i="2"/>
  <c r="N931" i="2"/>
  <c r="O931" i="2"/>
  <c r="P931" i="2"/>
  <c r="Q931" i="2"/>
  <c r="R931" i="2"/>
  <c r="S931" i="2"/>
  <c r="T931" i="2"/>
  <c r="U931" i="2"/>
  <c r="V931" i="2"/>
  <c r="W931" i="2"/>
  <c r="X931" i="2"/>
  <c r="Y931" i="2"/>
  <c r="B932" i="2"/>
  <c r="C932" i="2"/>
  <c r="D932" i="2"/>
  <c r="E932" i="2"/>
  <c r="F932" i="2"/>
  <c r="G932" i="2"/>
  <c r="H932" i="2"/>
  <c r="I932" i="2"/>
  <c r="J932" i="2"/>
  <c r="K932" i="2"/>
  <c r="L932" i="2"/>
  <c r="M932" i="2"/>
  <c r="N932" i="2"/>
  <c r="O932" i="2"/>
  <c r="P932" i="2"/>
  <c r="Q932" i="2"/>
  <c r="R932" i="2"/>
  <c r="S932" i="2"/>
  <c r="T932" i="2"/>
  <c r="U932" i="2"/>
  <c r="V932" i="2"/>
  <c r="W932" i="2"/>
  <c r="X932" i="2"/>
  <c r="Y932" i="2"/>
  <c r="A933" i="2"/>
  <c r="B933" i="2"/>
  <c r="C933" i="2"/>
  <c r="D933" i="2"/>
  <c r="E933" i="2"/>
  <c r="F933" i="2"/>
  <c r="G933" i="2"/>
  <c r="H933" i="2"/>
  <c r="I933" i="2"/>
  <c r="J933" i="2"/>
  <c r="K933" i="2"/>
  <c r="L933" i="2"/>
  <c r="M933" i="2"/>
  <c r="N933" i="2"/>
  <c r="O933" i="2"/>
  <c r="P933" i="2"/>
  <c r="Q933" i="2"/>
  <c r="R933" i="2"/>
  <c r="S933" i="2"/>
  <c r="T933" i="2"/>
  <c r="U933" i="2"/>
  <c r="V933" i="2"/>
  <c r="W933" i="2"/>
  <c r="X933" i="2"/>
  <c r="Y933" i="2"/>
  <c r="A934" i="2"/>
  <c r="B934" i="2"/>
  <c r="C934" i="2"/>
  <c r="D934" i="2"/>
  <c r="E934" i="2"/>
  <c r="F934" i="2"/>
  <c r="G934" i="2"/>
  <c r="H934" i="2"/>
  <c r="I934" i="2"/>
  <c r="J934" i="2"/>
  <c r="K934" i="2"/>
  <c r="L934" i="2"/>
  <c r="M934" i="2"/>
  <c r="N934" i="2"/>
  <c r="O934" i="2"/>
  <c r="P934" i="2"/>
  <c r="Q934" i="2"/>
  <c r="R934" i="2"/>
  <c r="S934" i="2"/>
  <c r="T934" i="2"/>
  <c r="U934" i="2"/>
  <c r="V934" i="2"/>
  <c r="W934" i="2"/>
  <c r="X934" i="2"/>
  <c r="Y934" i="2"/>
  <c r="B935" i="2"/>
  <c r="C935" i="2"/>
  <c r="D935" i="2"/>
  <c r="E935" i="2"/>
  <c r="F935" i="2"/>
  <c r="G935" i="2"/>
  <c r="H935" i="2"/>
  <c r="I935" i="2"/>
  <c r="J935" i="2"/>
  <c r="K935" i="2"/>
  <c r="L935" i="2"/>
  <c r="M935" i="2"/>
  <c r="N935" i="2"/>
  <c r="O935" i="2"/>
  <c r="P935" i="2"/>
  <c r="Q935" i="2"/>
  <c r="R935" i="2"/>
  <c r="S935" i="2"/>
  <c r="T935" i="2"/>
  <c r="U935" i="2"/>
  <c r="V935" i="2"/>
  <c r="W935" i="2"/>
  <c r="X935" i="2"/>
  <c r="Y935" i="2"/>
  <c r="B936" i="2"/>
  <c r="C936" i="2"/>
  <c r="D936" i="2"/>
  <c r="E936" i="2"/>
  <c r="F936" i="2"/>
  <c r="G936" i="2"/>
  <c r="H936" i="2"/>
  <c r="I936" i="2"/>
  <c r="J936" i="2"/>
  <c r="K936" i="2"/>
  <c r="L936" i="2"/>
  <c r="M936" i="2"/>
  <c r="N936" i="2"/>
  <c r="O936" i="2"/>
  <c r="P936" i="2"/>
  <c r="Q936" i="2"/>
  <c r="R936" i="2"/>
  <c r="S936" i="2"/>
  <c r="T936" i="2"/>
  <c r="U936" i="2"/>
  <c r="V936" i="2"/>
  <c r="W936" i="2"/>
  <c r="X936" i="2"/>
  <c r="Y936" i="2"/>
  <c r="A937" i="2"/>
  <c r="B937" i="2"/>
  <c r="C937" i="2"/>
  <c r="D937" i="2"/>
  <c r="E937" i="2"/>
  <c r="F937" i="2"/>
  <c r="G937" i="2"/>
  <c r="H937" i="2"/>
  <c r="I937" i="2"/>
  <c r="J937" i="2"/>
  <c r="K937" i="2"/>
  <c r="L937" i="2"/>
  <c r="M937" i="2"/>
  <c r="N937" i="2"/>
  <c r="O937" i="2"/>
  <c r="P937" i="2"/>
  <c r="Q937" i="2"/>
  <c r="R937" i="2"/>
  <c r="S937" i="2"/>
  <c r="T937" i="2"/>
  <c r="U937" i="2"/>
  <c r="V937" i="2"/>
  <c r="W937" i="2"/>
  <c r="X937" i="2"/>
  <c r="Y937" i="2"/>
  <c r="A938" i="2"/>
  <c r="B938" i="2"/>
  <c r="C938" i="2"/>
  <c r="D938" i="2"/>
  <c r="E938" i="2"/>
  <c r="F938" i="2"/>
  <c r="G938" i="2"/>
  <c r="H938" i="2"/>
  <c r="I938" i="2"/>
  <c r="J938" i="2"/>
  <c r="K938" i="2"/>
  <c r="L938" i="2"/>
  <c r="M938" i="2"/>
  <c r="N938" i="2"/>
  <c r="O938" i="2"/>
  <c r="P938" i="2"/>
  <c r="Q938" i="2"/>
  <c r="R938" i="2"/>
  <c r="S938" i="2"/>
  <c r="T938" i="2"/>
  <c r="U938" i="2"/>
  <c r="V938" i="2"/>
  <c r="W938" i="2"/>
  <c r="X938" i="2"/>
  <c r="Y938" i="2"/>
  <c r="A939" i="2"/>
  <c r="B939" i="2"/>
  <c r="C939" i="2"/>
  <c r="D939" i="2"/>
  <c r="E939" i="2"/>
  <c r="F939" i="2"/>
  <c r="G939" i="2"/>
  <c r="H939" i="2"/>
  <c r="I939" i="2"/>
  <c r="J939" i="2"/>
  <c r="K939" i="2"/>
  <c r="L939" i="2"/>
  <c r="M939" i="2"/>
  <c r="N939" i="2"/>
  <c r="O939" i="2"/>
  <c r="P939" i="2"/>
  <c r="Q939" i="2"/>
  <c r="R939" i="2"/>
  <c r="S939" i="2"/>
  <c r="T939" i="2"/>
  <c r="U939" i="2"/>
  <c r="V939" i="2"/>
  <c r="W939" i="2"/>
  <c r="X939" i="2"/>
  <c r="Y939" i="2"/>
  <c r="A940" i="2"/>
  <c r="B940" i="2"/>
  <c r="C940" i="2"/>
  <c r="D940" i="2"/>
  <c r="E940" i="2"/>
  <c r="F940" i="2"/>
  <c r="G940" i="2"/>
  <c r="H940" i="2"/>
  <c r="I940" i="2"/>
  <c r="J940" i="2"/>
  <c r="K940" i="2"/>
  <c r="L940" i="2"/>
  <c r="M940" i="2"/>
  <c r="N940" i="2"/>
  <c r="O940" i="2"/>
  <c r="P940" i="2"/>
  <c r="Q940" i="2"/>
  <c r="R940" i="2"/>
  <c r="S940" i="2"/>
  <c r="T940" i="2"/>
  <c r="U940" i="2"/>
  <c r="V940" i="2"/>
  <c r="W940" i="2"/>
  <c r="X940" i="2"/>
  <c r="Y940" i="2"/>
  <c r="A941" i="2"/>
  <c r="B941" i="2"/>
  <c r="C941" i="2"/>
  <c r="D941" i="2"/>
  <c r="E941" i="2"/>
  <c r="F941" i="2"/>
  <c r="G941" i="2"/>
  <c r="H941" i="2"/>
  <c r="I941" i="2"/>
  <c r="J941" i="2"/>
  <c r="K941" i="2"/>
  <c r="L941" i="2"/>
  <c r="M941" i="2"/>
  <c r="N941" i="2"/>
  <c r="O941" i="2"/>
  <c r="P941" i="2"/>
  <c r="Q941" i="2"/>
  <c r="R941" i="2"/>
  <c r="S941" i="2"/>
  <c r="T941" i="2"/>
  <c r="U941" i="2"/>
  <c r="V941" i="2"/>
  <c r="W941" i="2"/>
  <c r="X941" i="2"/>
  <c r="Y941" i="2"/>
  <c r="A942" i="2"/>
  <c r="B942" i="2"/>
  <c r="C942" i="2"/>
  <c r="D942" i="2"/>
  <c r="E942" i="2"/>
  <c r="F942" i="2"/>
  <c r="G942" i="2"/>
  <c r="H942" i="2"/>
  <c r="I942" i="2"/>
  <c r="J942" i="2"/>
  <c r="K942" i="2"/>
  <c r="L942" i="2"/>
  <c r="M942" i="2"/>
  <c r="N942" i="2"/>
  <c r="O942" i="2"/>
  <c r="P942" i="2"/>
  <c r="Q942" i="2"/>
  <c r="R942" i="2"/>
  <c r="S942" i="2"/>
  <c r="T942" i="2"/>
  <c r="U942" i="2"/>
  <c r="V942" i="2"/>
  <c r="W942" i="2"/>
  <c r="X942" i="2"/>
  <c r="Y942" i="2"/>
  <c r="A943" i="2"/>
  <c r="B943" i="2"/>
  <c r="C943" i="2"/>
  <c r="D943" i="2"/>
  <c r="E943" i="2"/>
  <c r="F943" i="2"/>
  <c r="G943" i="2"/>
  <c r="H943" i="2"/>
  <c r="I943" i="2"/>
  <c r="J943" i="2"/>
  <c r="K943" i="2"/>
  <c r="L943" i="2"/>
  <c r="M943" i="2"/>
  <c r="N943" i="2"/>
  <c r="O943" i="2"/>
  <c r="P943" i="2"/>
  <c r="Q943" i="2"/>
  <c r="R943" i="2"/>
  <c r="S943" i="2"/>
  <c r="T943" i="2"/>
  <c r="U943" i="2"/>
  <c r="V943" i="2"/>
  <c r="W943" i="2"/>
  <c r="X943" i="2"/>
  <c r="Y943" i="2"/>
  <c r="A944" i="2"/>
  <c r="B944" i="2"/>
  <c r="C944" i="2"/>
  <c r="D944" i="2"/>
  <c r="E944" i="2"/>
  <c r="F944" i="2"/>
  <c r="G944" i="2"/>
  <c r="H944" i="2"/>
  <c r="I944" i="2"/>
  <c r="J944" i="2"/>
  <c r="K944" i="2"/>
  <c r="L944" i="2"/>
  <c r="M944" i="2"/>
  <c r="N944" i="2"/>
  <c r="O944" i="2"/>
  <c r="P944" i="2"/>
  <c r="Q944" i="2"/>
  <c r="R944" i="2"/>
  <c r="S944" i="2"/>
  <c r="T944" i="2"/>
  <c r="U944" i="2"/>
  <c r="V944" i="2"/>
  <c r="W944" i="2"/>
  <c r="X944" i="2"/>
  <c r="Y944" i="2"/>
  <c r="A945" i="2"/>
  <c r="B945" i="2"/>
  <c r="C945" i="2"/>
  <c r="D945" i="2"/>
  <c r="E945" i="2"/>
  <c r="F945" i="2"/>
  <c r="G945" i="2"/>
  <c r="H945" i="2"/>
  <c r="I945" i="2"/>
  <c r="J945" i="2"/>
  <c r="K945" i="2"/>
  <c r="L945" i="2"/>
  <c r="M945" i="2"/>
  <c r="N945" i="2"/>
  <c r="O945" i="2"/>
  <c r="P945" i="2"/>
  <c r="Q945" i="2"/>
  <c r="R945" i="2"/>
  <c r="S945" i="2"/>
  <c r="T945" i="2"/>
  <c r="U945" i="2"/>
  <c r="V945" i="2"/>
  <c r="W945" i="2"/>
  <c r="X945" i="2"/>
  <c r="Y945" i="2"/>
  <c r="A946" i="2"/>
  <c r="B946" i="2"/>
  <c r="C946" i="2"/>
  <c r="D946" i="2"/>
  <c r="E946" i="2"/>
  <c r="F946" i="2"/>
  <c r="G946" i="2"/>
  <c r="H946" i="2"/>
  <c r="I946" i="2"/>
  <c r="J946" i="2"/>
  <c r="K946" i="2"/>
  <c r="L946" i="2"/>
  <c r="M946" i="2"/>
  <c r="N946" i="2"/>
  <c r="O946" i="2"/>
  <c r="P946" i="2"/>
  <c r="Q946" i="2"/>
  <c r="R946" i="2"/>
  <c r="S946" i="2"/>
  <c r="T946" i="2"/>
  <c r="U946" i="2"/>
  <c r="V946" i="2"/>
  <c r="W946" i="2"/>
  <c r="X946" i="2"/>
  <c r="Y946" i="2"/>
  <c r="A947" i="2"/>
  <c r="B947" i="2"/>
  <c r="C947" i="2"/>
  <c r="D947" i="2"/>
  <c r="E947" i="2"/>
  <c r="F947" i="2"/>
  <c r="G947" i="2"/>
  <c r="H947" i="2"/>
  <c r="I947" i="2"/>
  <c r="J947" i="2"/>
  <c r="K947" i="2"/>
  <c r="L947" i="2"/>
  <c r="M947" i="2"/>
  <c r="N947" i="2"/>
  <c r="O947" i="2"/>
  <c r="P947" i="2"/>
  <c r="Q947" i="2"/>
  <c r="R947" i="2"/>
  <c r="S947" i="2"/>
  <c r="T947" i="2"/>
  <c r="U947" i="2"/>
  <c r="V947" i="2"/>
  <c r="W947" i="2"/>
  <c r="X947" i="2"/>
  <c r="Y947" i="2"/>
  <c r="B948" i="2"/>
  <c r="C948" i="2"/>
  <c r="D948" i="2"/>
  <c r="E948" i="2"/>
  <c r="F948" i="2"/>
  <c r="G948" i="2"/>
  <c r="H948" i="2"/>
  <c r="I948" i="2"/>
  <c r="J948" i="2"/>
  <c r="K948" i="2"/>
  <c r="L948" i="2"/>
  <c r="M948" i="2"/>
  <c r="N948" i="2"/>
  <c r="O948" i="2"/>
  <c r="P948" i="2"/>
  <c r="Q948" i="2"/>
  <c r="R948" i="2"/>
  <c r="S948" i="2"/>
  <c r="T948" i="2"/>
  <c r="U948" i="2"/>
  <c r="V948" i="2"/>
  <c r="W948" i="2"/>
  <c r="X948" i="2"/>
  <c r="Y948" i="2"/>
  <c r="A949" i="2"/>
  <c r="B949" i="2"/>
  <c r="C949" i="2"/>
  <c r="D949" i="2"/>
  <c r="E949" i="2"/>
  <c r="F949" i="2"/>
  <c r="G949" i="2"/>
  <c r="H949" i="2"/>
  <c r="I949" i="2"/>
  <c r="J949" i="2"/>
  <c r="K949" i="2"/>
  <c r="L949" i="2"/>
  <c r="M949" i="2"/>
  <c r="N949" i="2"/>
  <c r="O949" i="2"/>
  <c r="P949" i="2"/>
  <c r="Q949" i="2"/>
  <c r="R949" i="2"/>
  <c r="S949" i="2"/>
  <c r="T949" i="2"/>
  <c r="U949" i="2"/>
  <c r="V949" i="2"/>
  <c r="W949" i="2"/>
  <c r="X949" i="2"/>
  <c r="Y949" i="2"/>
  <c r="A950" i="2"/>
  <c r="B950" i="2"/>
  <c r="C950" i="2"/>
  <c r="D950" i="2"/>
  <c r="E950" i="2"/>
  <c r="F950" i="2"/>
  <c r="G950" i="2"/>
  <c r="H950" i="2"/>
  <c r="I950" i="2"/>
  <c r="J950" i="2"/>
  <c r="K950" i="2"/>
  <c r="L950" i="2"/>
  <c r="M950" i="2"/>
  <c r="N950" i="2"/>
  <c r="O950" i="2"/>
  <c r="P950" i="2"/>
  <c r="Q950" i="2"/>
  <c r="R950" i="2"/>
  <c r="S950" i="2"/>
  <c r="T950" i="2"/>
  <c r="U950" i="2"/>
  <c r="V950" i="2"/>
  <c r="W950" i="2"/>
  <c r="X950" i="2"/>
  <c r="Y950" i="2"/>
  <c r="A951" i="2"/>
  <c r="B951" i="2"/>
  <c r="C951" i="2"/>
  <c r="D951" i="2"/>
  <c r="E951" i="2"/>
  <c r="F951" i="2"/>
  <c r="G951" i="2"/>
  <c r="H951" i="2"/>
  <c r="I951" i="2"/>
  <c r="J951" i="2"/>
  <c r="K951" i="2"/>
  <c r="L951" i="2"/>
  <c r="M951" i="2"/>
  <c r="N951" i="2"/>
  <c r="O951" i="2"/>
  <c r="P951" i="2"/>
  <c r="Q951" i="2"/>
  <c r="R951" i="2"/>
  <c r="S951" i="2"/>
  <c r="T951" i="2"/>
  <c r="U951" i="2"/>
  <c r="V951" i="2"/>
  <c r="W951" i="2"/>
  <c r="X951" i="2"/>
  <c r="Y951" i="2"/>
  <c r="B952" i="2"/>
  <c r="C952" i="2"/>
  <c r="D952" i="2"/>
  <c r="E952" i="2"/>
  <c r="F952" i="2"/>
  <c r="G952" i="2"/>
  <c r="H952" i="2"/>
  <c r="I952" i="2"/>
  <c r="J952" i="2"/>
  <c r="K952" i="2"/>
  <c r="L952" i="2"/>
  <c r="M952" i="2"/>
  <c r="N952" i="2"/>
  <c r="O952" i="2"/>
  <c r="P952" i="2"/>
  <c r="Q952" i="2"/>
  <c r="R952" i="2"/>
  <c r="S952" i="2"/>
  <c r="T952" i="2"/>
  <c r="U952" i="2"/>
  <c r="V952" i="2"/>
  <c r="W952" i="2"/>
  <c r="X952" i="2"/>
  <c r="Y952" i="2"/>
  <c r="A953" i="2"/>
  <c r="B953" i="2"/>
  <c r="C953" i="2"/>
  <c r="D953" i="2"/>
  <c r="E953" i="2"/>
  <c r="F953" i="2"/>
  <c r="G953" i="2"/>
  <c r="H953" i="2"/>
  <c r="I953" i="2"/>
  <c r="J953" i="2"/>
  <c r="K953" i="2"/>
  <c r="L953" i="2"/>
  <c r="M953" i="2"/>
  <c r="N953" i="2"/>
  <c r="O953" i="2"/>
  <c r="P953" i="2"/>
  <c r="Q953" i="2"/>
  <c r="R953" i="2"/>
  <c r="S953" i="2"/>
  <c r="T953" i="2"/>
  <c r="U953" i="2"/>
  <c r="V953" i="2"/>
  <c r="W953" i="2"/>
  <c r="X953" i="2"/>
  <c r="Y953" i="2"/>
  <c r="A954" i="2"/>
  <c r="B954" i="2"/>
  <c r="C954" i="2"/>
  <c r="D954" i="2"/>
  <c r="E954" i="2"/>
  <c r="F954" i="2"/>
  <c r="G954" i="2"/>
  <c r="H954" i="2"/>
  <c r="I954" i="2"/>
  <c r="J954" i="2"/>
  <c r="K954" i="2"/>
  <c r="L954" i="2"/>
  <c r="M954" i="2"/>
  <c r="N954" i="2"/>
  <c r="O954" i="2"/>
  <c r="P954" i="2"/>
  <c r="Q954" i="2"/>
  <c r="R954" i="2"/>
  <c r="S954" i="2"/>
  <c r="T954" i="2"/>
  <c r="U954" i="2"/>
  <c r="V954" i="2"/>
  <c r="W954" i="2"/>
  <c r="X954" i="2"/>
  <c r="Y954" i="2"/>
  <c r="A955" i="2"/>
  <c r="B955" i="2"/>
  <c r="C955" i="2"/>
  <c r="D955" i="2"/>
  <c r="E955" i="2"/>
  <c r="F955" i="2"/>
  <c r="G955" i="2"/>
  <c r="H955" i="2"/>
  <c r="I955" i="2"/>
  <c r="J955" i="2"/>
  <c r="K955" i="2"/>
  <c r="L955" i="2"/>
  <c r="M955" i="2"/>
  <c r="N955" i="2"/>
  <c r="O955" i="2"/>
  <c r="P955" i="2"/>
  <c r="Q955" i="2"/>
  <c r="R955" i="2"/>
  <c r="S955" i="2"/>
  <c r="T955" i="2"/>
  <c r="U955" i="2"/>
  <c r="V955" i="2"/>
  <c r="W955" i="2"/>
  <c r="X955" i="2"/>
  <c r="Y955" i="2"/>
  <c r="B956" i="2"/>
  <c r="C956" i="2"/>
  <c r="D956" i="2"/>
  <c r="E956" i="2"/>
  <c r="F956" i="2"/>
  <c r="G956" i="2"/>
  <c r="H956" i="2"/>
  <c r="I956" i="2"/>
  <c r="J956" i="2"/>
  <c r="K956" i="2"/>
  <c r="L956" i="2"/>
  <c r="M956" i="2"/>
  <c r="N956" i="2"/>
  <c r="O956" i="2"/>
  <c r="P956" i="2"/>
  <c r="Q956" i="2"/>
  <c r="R956" i="2"/>
  <c r="S956" i="2"/>
  <c r="T956" i="2"/>
  <c r="U956" i="2"/>
  <c r="V956" i="2"/>
  <c r="W956" i="2"/>
  <c r="X956" i="2"/>
  <c r="Y956" i="2"/>
  <c r="A957" i="2"/>
  <c r="B957" i="2"/>
  <c r="C957" i="2"/>
  <c r="D957" i="2"/>
  <c r="E957" i="2"/>
  <c r="F957" i="2"/>
  <c r="G957" i="2"/>
  <c r="H957" i="2"/>
  <c r="I957" i="2"/>
  <c r="J957" i="2"/>
  <c r="K957" i="2"/>
  <c r="L957" i="2"/>
  <c r="M957" i="2"/>
  <c r="N957" i="2"/>
  <c r="O957" i="2"/>
  <c r="P957" i="2"/>
  <c r="Q957" i="2"/>
  <c r="R957" i="2"/>
  <c r="S957" i="2"/>
  <c r="T957" i="2"/>
  <c r="U957" i="2"/>
  <c r="V957" i="2"/>
  <c r="W957" i="2"/>
  <c r="X957" i="2"/>
  <c r="Y957" i="2"/>
  <c r="A958" i="2"/>
  <c r="B958" i="2"/>
  <c r="C958" i="2"/>
  <c r="D958" i="2"/>
  <c r="E958" i="2"/>
  <c r="F958" i="2"/>
  <c r="G958" i="2"/>
  <c r="H958" i="2"/>
  <c r="I958" i="2"/>
  <c r="J958" i="2"/>
  <c r="K958" i="2"/>
  <c r="L958" i="2"/>
  <c r="M958" i="2"/>
  <c r="N958" i="2"/>
  <c r="O958" i="2"/>
  <c r="P958" i="2"/>
  <c r="Q958" i="2"/>
  <c r="R958" i="2"/>
  <c r="S958" i="2"/>
  <c r="T958" i="2"/>
  <c r="U958" i="2"/>
  <c r="V958" i="2"/>
  <c r="W958" i="2"/>
  <c r="X958" i="2"/>
  <c r="Y958" i="2"/>
  <c r="A959" i="2"/>
  <c r="B959" i="2"/>
  <c r="C959" i="2"/>
  <c r="D959" i="2"/>
  <c r="E959" i="2"/>
  <c r="F959" i="2"/>
  <c r="G959" i="2"/>
  <c r="H959" i="2"/>
  <c r="I959" i="2"/>
  <c r="J959" i="2"/>
  <c r="K959" i="2"/>
  <c r="L959" i="2"/>
  <c r="M959" i="2"/>
  <c r="N959" i="2"/>
  <c r="O959" i="2"/>
  <c r="P959" i="2"/>
  <c r="Q959" i="2"/>
  <c r="R959" i="2"/>
  <c r="S959" i="2"/>
  <c r="T959" i="2"/>
  <c r="U959" i="2"/>
  <c r="V959" i="2"/>
  <c r="W959" i="2"/>
  <c r="X959" i="2"/>
  <c r="Y959" i="2"/>
  <c r="A960" i="2"/>
  <c r="B960" i="2"/>
  <c r="C960" i="2"/>
  <c r="D960" i="2"/>
  <c r="E960" i="2"/>
  <c r="F960" i="2"/>
  <c r="G960" i="2"/>
  <c r="H960" i="2"/>
  <c r="I960" i="2"/>
  <c r="J960" i="2"/>
  <c r="K960" i="2"/>
  <c r="L960" i="2"/>
  <c r="M960" i="2"/>
  <c r="N960" i="2"/>
  <c r="O960" i="2"/>
  <c r="P960" i="2"/>
  <c r="Q960" i="2"/>
  <c r="R960" i="2"/>
  <c r="S960" i="2"/>
  <c r="T960" i="2"/>
  <c r="U960" i="2"/>
  <c r="V960" i="2"/>
  <c r="W960" i="2"/>
  <c r="X960" i="2"/>
  <c r="Y960" i="2"/>
  <c r="A961" i="2"/>
  <c r="B961" i="2"/>
  <c r="C961" i="2"/>
  <c r="D961" i="2"/>
  <c r="E961" i="2"/>
  <c r="F961" i="2"/>
  <c r="G961" i="2"/>
  <c r="H961" i="2"/>
  <c r="I961" i="2"/>
  <c r="J961" i="2"/>
  <c r="K961" i="2"/>
  <c r="L961" i="2"/>
  <c r="M961" i="2"/>
  <c r="N961" i="2"/>
  <c r="O961" i="2"/>
  <c r="P961" i="2"/>
  <c r="Q961" i="2"/>
  <c r="R961" i="2"/>
  <c r="S961" i="2"/>
  <c r="T961" i="2"/>
  <c r="U961" i="2"/>
  <c r="V961" i="2"/>
  <c r="W961" i="2"/>
  <c r="X961" i="2"/>
  <c r="Y961" i="2"/>
  <c r="A962" i="2"/>
  <c r="B962" i="2"/>
  <c r="C962" i="2"/>
  <c r="D962" i="2"/>
  <c r="E962" i="2"/>
  <c r="F962" i="2"/>
  <c r="G962" i="2"/>
  <c r="H962" i="2"/>
  <c r="I962" i="2"/>
  <c r="J962" i="2"/>
  <c r="K962" i="2"/>
  <c r="L962" i="2"/>
  <c r="M962" i="2"/>
  <c r="N962" i="2"/>
  <c r="O962" i="2"/>
  <c r="P962" i="2"/>
  <c r="Q962" i="2"/>
  <c r="R962" i="2"/>
  <c r="S962" i="2"/>
  <c r="T962" i="2"/>
  <c r="U962" i="2"/>
  <c r="V962" i="2"/>
  <c r="W962" i="2"/>
  <c r="X962" i="2"/>
  <c r="Y962" i="2"/>
  <c r="A963" i="2"/>
  <c r="B963" i="2"/>
  <c r="C963" i="2"/>
  <c r="D963" i="2"/>
  <c r="E963" i="2"/>
  <c r="F963" i="2"/>
  <c r="G963" i="2"/>
  <c r="H963" i="2"/>
  <c r="I963" i="2"/>
  <c r="J963" i="2"/>
  <c r="K963" i="2"/>
  <c r="L963" i="2"/>
  <c r="M963" i="2"/>
  <c r="N963" i="2"/>
  <c r="O963" i="2"/>
  <c r="P963" i="2"/>
  <c r="Q963" i="2"/>
  <c r="R963" i="2"/>
  <c r="S963" i="2"/>
  <c r="T963" i="2"/>
  <c r="U963" i="2"/>
  <c r="V963" i="2"/>
  <c r="W963" i="2"/>
  <c r="X963" i="2"/>
  <c r="Y963" i="2"/>
  <c r="A964" i="2"/>
  <c r="B964" i="2"/>
  <c r="C964" i="2"/>
  <c r="D964" i="2"/>
  <c r="E964" i="2"/>
  <c r="F964" i="2"/>
  <c r="G964" i="2"/>
  <c r="H964" i="2"/>
  <c r="I964" i="2"/>
  <c r="J964" i="2"/>
  <c r="K964" i="2"/>
  <c r="L964" i="2"/>
  <c r="M964" i="2"/>
  <c r="N964" i="2"/>
  <c r="O964" i="2"/>
  <c r="P964" i="2"/>
  <c r="Q964" i="2"/>
  <c r="R964" i="2"/>
  <c r="S964" i="2"/>
  <c r="T964" i="2"/>
  <c r="U964" i="2"/>
  <c r="V964" i="2"/>
  <c r="W964" i="2"/>
  <c r="X964" i="2"/>
  <c r="Y964" i="2"/>
  <c r="A965" i="2"/>
  <c r="B965" i="2"/>
  <c r="C965" i="2"/>
  <c r="D965" i="2"/>
  <c r="E965" i="2"/>
  <c r="F965" i="2"/>
  <c r="G965" i="2"/>
  <c r="H965" i="2"/>
  <c r="I965" i="2"/>
  <c r="J965" i="2"/>
  <c r="K965" i="2"/>
  <c r="L965" i="2"/>
  <c r="M965" i="2"/>
  <c r="N965" i="2"/>
  <c r="O965" i="2"/>
  <c r="P965" i="2"/>
  <c r="Q965" i="2"/>
  <c r="R965" i="2"/>
  <c r="S965" i="2"/>
  <c r="T965" i="2"/>
  <c r="U965" i="2"/>
  <c r="V965" i="2"/>
  <c r="W965" i="2"/>
  <c r="X965" i="2"/>
  <c r="Y965" i="2"/>
  <c r="A966" i="2"/>
  <c r="B966" i="2"/>
  <c r="C966" i="2"/>
  <c r="D966" i="2"/>
  <c r="E966" i="2"/>
  <c r="F966" i="2"/>
  <c r="G966" i="2"/>
  <c r="H966" i="2"/>
  <c r="I966" i="2"/>
  <c r="J966" i="2"/>
  <c r="K966" i="2"/>
  <c r="L966" i="2"/>
  <c r="M966" i="2"/>
  <c r="N966" i="2"/>
  <c r="O966" i="2"/>
  <c r="P966" i="2"/>
  <c r="Q966" i="2"/>
  <c r="R966" i="2"/>
  <c r="S966" i="2"/>
  <c r="T966" i="2"/>
  <c r="U966" i="2"/>
  <c r="V966" i="2"/>
  <c r="W966" i="2"/>
  <c r="X966" i="2"/>
  <c r="Y966" i="2"/>
  <c r="A967" i="2"/>
  <c r="B967" i="2"/>
  <c r="C967" i="2"/>
  <c r="D967" i="2"/>
  <c r="E967" i="2"/>
  <c r="F967" i="2"/>
  <c r="G967" i="2"/>
  <c r="H967" i="2"/>
  <c r="I967" i="2"/>
  <c r="J967" i="2"/>
  <c r="K967" i="2"/>
  <c r="L967" i="2"/>
  <c r="M967" i="2"/>
  <c r="N967" i="2"/>
  <c r="O967" i="2"/>
  <c r="P967" i="2"/>
  <c r="Q967" i="2"/>
  <c r="R967" i="2"/>
  <c r="S967" i="2"/>
  <c r="T967" i="2"/>
  <c r="U967" i="2"/>
  <c r="V967" i="2"/>
  <c r="W967" i="2"/>
  <c r="X967" i="2"/>
  <c r="Y967" i="2"/>
  <c r="B968" i="2"/>
  <c r="C968" i="2"/>
  <c r="D968" i="2"/>
  <c r="E968" i="2"/>
  <c r="F968" i="2"/>
  <c r="G968" i="2"/>
  <c r="H968" i="2"/>
  <c r="I968" i="2"/>
  <c r="J968" i="2"/>
  <c r="K968" i="2"/>
  <c r="L968" i="2"/>
  <c r="M968" i="2"/>
  <c r="N968" i="2"/>
  <c r="O968" i="2"/>
  <c r="P968" i="2"/>
  <c r="Q968" i="2"/>
  <c r="R968" i="2"/>
  <c r="S968" i="2"/>
  <c r="T968" i="2"/>
  <c r="U968" i="2"/>
  <c r="V968" i="2"/>
  <c r="W968" i="2"/>
  <c r="X968" i="2"/>
  <c r="Y968" i="2"/>
  <c r="A969" i="2"/>
  <c r="B969" i="2"/>
  <c r="C969" i="2"/>
  <c r="D969" i="2"/>
  <c r="E969" i="2"/>
  <c r="F969" i="2"/>
  <c r="G969" i="2"/>
  <c r="H969" i="2"/>
  <c r="I969" i="2"/>
  <c r="J969" i="2"/>
  <c r="K969" i="2"/>
  <c r="L969" i="2"/>
  <c r="M969" i="2"/>
  <c r="N969" i="2"/>
  <c r="O969" i="2"/>
  <c r="P969" i="2"/>
  <c r="Q969" i="2"/>
  <c r="R969" i="2"/>
  <c r="S969" i="2"/>
  <c r="T969" i="2"/>
  <c r="U969" i="2"/>
  <c r="V969" i="2"/>
  <c r="W969" i="2"/>
  <c r="X969" i="2"/>
  <c r="Y969" i="2"/>
  <c r="A970" i="2"/>
  <c r="B970" i="2"/>
  <c r="C970" i="2"/>
  <c r="D970" i="2"/>
  <c r="E970" i="2"/>
  <c r="F970" i="2"/>
  <c r="G970" i="2"/>
  <c r="H970" i="2"/>
  <c r="I970" i="2"/>
  <c r="J970" i="2"/>
  <c r="K970" i="2"/>
  <c r="L970" i="2"/>
  <c r="M970" i="2"/>
  <c r="N970" i="2"/>
  <c r="O970" i="2"/>
  <c r="P970" i="2"/>
  <c r="Q970" i="2"/>
  <c r="R970" i="2"/>
  <c r="S970" i="2"/>
  <c r="T970" i="2"/>
  <c r="U970" i="2"/>
  <c r="V970" i="2"/>
  <c r="W970" i="2"/>
  <c r="X970" i="2"/>
  <c r="Y970" i="2"/>
  <c r="A971" i="2"/>
  <c r="B971" i="2"/>
  <c r="C971" i="2"/>
  <c r="D971" i="2"/>
  <c r="E971" i="2"/>
  <c r="F971" i="2"/>
  <c r="G971" i="2"/>
  <c r="H971" i="2"/>
  <c r="I971" i="2"/>
  <c r="J971" i="2"/>
  <c r="K971" i="2"/>
  <c r="L971" i="2"/>
  <c r="M971" i="2"/>
  <c r="N971" i="2"/>
  <c r="O971" i="2"/>
  <c r="P971" i="2"/>
  <c r="Q971" i="2"/>
  <c r="R971" i="2"/>
  <c r="S971" i="2"/>
  <c r="T971" i="2"/>
  <c r="U971" i="2"/>
  <c r="V971" i="2"/>
  <c r="W971" i="2"/>
  <c r="X971" i="2"/>
  <c r="Y971" i="2"/>
  <c r="B972" i="2"/>
  <c r="C972" i="2"/>
  <c r="D972" i="2"/>
  <c r="E972" i="2"/>
  <c r="F972" i="2"/>
  <c r="G972" i="2"/>
  <c r="H972" i="2"/>
  <c r="I972" i="2"/>
  <c r="J972" i="2"/>
  <c r="K972" i="2"/>
  <c r="L972" i="2"/>
  <c r="M972" i="2"/>
  <c r="N972" i="2"/>
  <c r="O972" i="2"/>
  <c r="P972" i="2"/>
  <c r="Q972" i="2"/>
  <c r="R972" i="2"/>
  <c r="S972" i="2"/>
  <c r="T972" i="2"/>
  <c r="U972" i="2"/>
  <c r="V972" i="2"/>
  <c r="W972" i="2"/>
  <c r="X972" i="2"/>
  <c r="Y972" i="2"/>
  <c r="A973" i="2"/>
  <c r="B973" i="2"/>
  <c r="C973" i="2"/>
  <c r="D973" i="2"/>
  <c r="E973" i="2"/>
  <c r="F973" i="2"/>
  <c r="G973" i="2"/>
  <c r="H973" i="2"/>
  <c r="I973" i="2"/>
  <c r="J973" i="2"/>
  <c r="K973" i="2"/>
  <c r="L973" i="2"/>
  <c r="M973" i="2"/>
  <c r="N973" i="2"/>
  <c r="O973" i="2"/>
  <c r="P973" i="2"/>
  <c r="Q973" i="2"/>
  <c r="R973" i="2"/>
  <c r="S973" i="2"/>
  <c r="T973" i="2"/>
  <c r="U973" i="2"/>
  <c r="V973" i="2"/>
  <c r="W973" i="2"/>
  <c r="X973" i="2"/>
  <c r="Y973" i="2"/>
  <c r="A974" i="2"/>
  <c r="B974" i="2"/>
  <c r="C974" i="2"/>
  <c r="D974" i="2"/>
  <c r="E974" i="2"/>
  <c r="F974" i="2"/>
  <c r="G974" i="2"/>
  <c r="H974" i="2"/>
  <c r="I974" i="2"/>
  <c r="J974" i="2"/>
  <c r="K974" i="2"/>
  <c r="L974" i="2"/>
  <c r="M974" i="2"/>
  <c r="N974" i="2"/>
  <c r="O974" i="2"/>
  <c r="P974" i="2"/>
  <c r="Q974" i="2"/>
  <c r="R974" i="2"/>
  <c r="S974" i="2"/>
  <c r="T974" i="2"/>
  <c r="U974" i="2"/>
  <c r="V974" i="2"/>
  <c r="W974" i="2"/>
  <c r="X974" i="2"/>
  <c r="Y974" i="2"/>
  <c r="A975" i="2"/>
  <c r="B975" i="2"/>
  <c r="C975" i="2"/>
  <c r="D975" i="2"/>
  <c r="E975" i="2"/>
  <c r="F975" i="2"/>
  <c r="G975" i="2"/>
  <c r="H975" i="2"/>
  <c r="I975" i="2"/>
  <c r="J975" i="2"/>
  <c r="K975" i="2"/>
  <c r="L975" i="2"/>
  <c r="M975" i="2"/>
  <c r="N975" i="2"/>
  <c r="O975" i="2"/>
  <c r="P975" i="2"/>
  <c r="Q975" i="2"/>
  <c r="R975" i="2"/>
  <c r="S975" i="2"/>
  <c r="T975" i="2"/>
  <c r="U975" i="2"/>
  <c r="V975" i="2"/>
  <c r="W975" i="2"/>
  <c r="X975" i="2"/>
  <c r="Y975" i="2"/>
  <c r="A976" i="2"/>
  <c r="B976" i="2"/>
  <c r="C976" i="2"/>
  <c r="D976" i="2"/>
  <c r="E976" i="2"/>
  <c r="F976" i="2"/>
  <c r="G976" i="2"/>
  <c r="H976" i="2"/>
  <c r="I976" i="2"/>
  <c r="J976" i="2"/>
  <c r="K976" i="2"/>
  <c r="L976" i="2"/>
  <c r="M976" i="2"/>
  <c r="N976" i="2"/>
  <c r="O976" i="2"/>
  <c r="P976" i="2"/>
  <c r="Q976" i="2"/>
  <c r="R976" i="2"/>
  <c r="S976" i="2"/>
  <c r="T976" i="2"/>
  <c r="U976" i="2"/>
  <c r="V976" i="2"/>
  <c r="W976" i="2"/>
  <c r="X976" i="2"/>
  <c r="Y976" i="2"/>
  <c r="A977" i="2"/>
  <c r="B977" i="2"/>
  <c r="C977" i="2"/>
  <c r="D977" i="2"/>
  <c r="E977" i="2"/>
  <c r="F977" i="2"/>
  <c r="G977" i="2"/>
  <c r="H977" i="2"/>
  <c r="I977" i="2"/>
  <c r="J977" i="2"/>
  <c r="K977" i="2"/>
  <c r="L977" i="2"/>
  <c r="M977" i="2"/>
  <c r="N977" i="2"/>
  <c r="O977" i="2"/>
  <c r="P977" i="2"/>
  <c r="Q977" i="2"/>
  <c r="R977" i="2"/>
  <c r="S977" i="2"/>
  <c r="T977" i="2"/>
  <c r="U977" i="2"/>
  <c r="V977" i="2"/>
  <c r="W977" i="2"/>
  <c r="X977" i="2"/>
  <c r="Y977" i="2"/>
  <c r="A978" i="2"/>
  <c r="B978" i="2"/>
  <c r="C978" i="2"/>
  <c r="D978" i="2"/>
  <c r="E978" i="2"/>
  <c r="F978" i="2"/>
  <c r="G978" i="2"/>
  <c r="H978" i="2"/>
  <c r="I978" i="2"/>
  <c r="J978" i="2"/>
  <c r="K978" i="2"/>
  <c r="L978" i="2"/>
  <c r="M978" i="2"/>
  <c r="N978" i="2"/>
  <c r="O978" i="2"/>
  <c r="P978" i="2"/>
  <c r="Q978" i="2"/>
  <c r="R978" i="2"/>
  <c r="S978" i="2"/>
  <c r="T978" i="2"/>
  <c r="U978" i="2"/>
  <c r="V978" i="2"/>
  <c r="W978" i="2"/>
  <c r="X978" i="2"/>
  <c r="Y978" i="2"/>
  <c r="A979" i="2"/>
  <c r="B979" i="2"/>
  <c r="C979" i="2"/>
  <c r="D979" i="2"/>
  <c r="E979" i="2"/>
  <c r="F979" i="2"/>
  <c r="G979" i="2"/>
  <c r="H979" i="2"/>
  <c r="I979" i="2"/>
  <c r="J979" i="2"/>
  <c r="K979" i="2"/>
  <c r="L979" i="2"/>
  <c r="M979" i="2"/>
  <c r="N979" i="2"/>
  <c r="O979" i="2"/>
  <c r="P979" i="2"/>
  <c r="Q979" i="2"/>
  <c r="R979" i="2"/>
  <c r="S979" i="2"/>
  <c r="T979" i="2"/>
  <c r="U979" i="2"/>
  <c r="V979" i="2"/>
  <c r="W979" i="2"/>
  <c r="X979" i="2"/>
  <c r="Y979" i="2"/>
  <c r="A980" i="2"/>
  <c r="B980" i="2"/>
  <c r="C980" i="2"/>
  <c r="D980" i="2"/>
  <c r="E980" i="2"/>
  <c r="F980" i="2"/>
  <c r="G980" i="2"/>
  <c r="H980" i="2"/>
  <c r="I980" i="2"/>
  <c r="J980" i="2"/>
  <c r="K980" i="2"/>
  <c r="L980" i="2"/>
  <c r="M980" i="2"/>
  <c r="N980" i="2"/>
  <c r="O980" i="2"/>
  <c r="P980" i="2"/>
  <c r="Q980" i="2"/>
  <c r="R980" i="2"/>
  <c r="S980" i="2"/>
  <c r="T980" i="2"/>
  <c r="U980" i="2"/>
  <c r="V980" i="2"/>
  <c r="W980" i="2"/>
  <c r="X980" i="2"/>
  <c r="Y980" i="2"/>
  <c r="A981" i="2"/>
  <c r="B981" i="2"/>
  <c r="C981" i="2"/>
  <c r="D981" i="2"/>
  <c r="E981" i="2"/>
  <c r="F981" i="2"/>
  <c r="G981" i="2"/>
  <c r="H981" i="2"/>
  <c r="I981" i="2"/>
  <c r="J981" i="2"/>
  <c r="K981" i="2"/>
  <c r="L981" i="2"/>
  <c r="M981" i="2"/>
  <c r="N981" i="2"/>
  <c r="O981" i="2"/>
  <c r="P981" i="2"/>
  <c r="Q981" i="2"/>
  <c r="R981" i="2"/>
  <c r="S981" i="2"/>
  <c r="T981" i="2"/>
  <c r="U981" i="2"/>
  <c r="V981" i="2"/>
  <c r="W981" i="2"/>
  <c r="X981" i="2"/>
  <c r="Y981" i="2"/>
  <c r="A982" i="2"/>
  <c r="B982" i="2"/>
  <c r="C982" i="2"/>
  <c r="D982" i="2"/>
  <c r="E982" i="2"/>
  <c r="F982" i="2"/>
  <c r="G982" i="2"/>
  <c r="H982" i="2"/>
  <c r="I982" i="2"/>
  <c r="J982" i="2"/>
  <c r="K982" i="2"/>
  <c r="L982" i="2"/>
  <c r="M982" i="2"/>
  <c r="N982" i="2"/>
  <c r="O982" i="2"/>
  <c r="P982" i="2"/>
  <c r="Q982" i="2"/>
  <c r="R982" i="2"/>
  <c r="S982" i="2"/>
  <c r="T982" i="2"/>
  <c r="U982" i="2"/>
  <c r="V982" i="2"/>
  <c r="W982" i="2"/>
  <c r="X982" i="2"/>
  <c r="Y982" i="2"/>
  <c r="B983" i="2"/>
  <c r="C983" i="2"/>
  <c r="D983" i="2"/>
  <c r="E983" i="2"/>
  <c r="F983" i="2"/>
  <c r="G983" i="2"/>
  <c r="H983" i="2"/>
  <c r="I983" i="2"/>
  <c r="J983" i="2"/>
  <c r="K983" i="2"/>
  <c r="L983" i="2"/>
  <c r="M983" i="2"/>
  <c r="N983" i="2"/>
  <c r="O983" i="2"/>
  <c r="P983" i="2"/>
  <c r="Q983" i="2"/>
  <c r="R983" i="2"/>
  <c r="S983" i="2"/>
  <c r="T983" i="2"/>
  <c r="U983" i="2"/>
  <c r="V983" i="2"/>
  <c r="W983" i="2"/>
  <c r="X983" i="2"/>
  <c r="Y983" i="2"/>
  <c r="B984" i="2"/>
  <c r="C984" i="2"/>
  <c r="D984" i="2"/>
  <c r="E984" i="2"/>
  <c r="F984" i="2"/>
  <c r="G984" i="2"/>
  <c r="H984" i="2"/>
  <c r="I984" i="2"/>
  <c r="J984" i="2"/>
  <c r="K984" i="2"/>
  <c r="L984" i="2"/>
  <c r="M984" i="2"/>
  <c r="N984" i="2"/>
  <c r="O984" i="2"/>
  <c r="P984" i="2"/>
  <c r="Q984" i="2"/>
  <c r="R984" i="2"/>
  <c r="S984" i="2"/>
  <c r="T984" i="2"/>
  <c r="U984" i="2"/>
  <c r="V984" i="2"/>
  <c r="W984" i="2"/>
  <c r="X984" i="2"/>
  <c r="Y984" i="2"/>
  <c r="A985" i="2"/>
  <c r="B985" i="2"/>
  <c r="C985" i="2"/>
  <c r="D985" i="2"/>
  <c r="E985" i="2"/>
  <c r="F985" i="2"/>
  <c r="G985" i="2"/>
  <c r="H985" i="2"/>
  <c r="I985" i="2"/>
  <c r="J985" i="2"/>
  <c r="K985" i="2"/>
  <c r="L985" i="2"/>
  <c r="M985" i="2"/>
  <c r="N985" i="2"/>
  <c r="O985" i="2"/>
  <c r="P985" i="2"/>
  <c r="Q985" i="2"/>
  <c r="R985" i="2"/>
  <c r="S985" i="2"/>
  <c r="T985" i="2"/>
  <c r="U985" i="2"/>
  <c r="V985" i="2"/>
  <c r="W985" i="2"/>
  <c r="X985" i="2"/>
  <c r="Y985" i="2"/>
  <c r="A986" i="2"/>
  <c r="B986" i="2"/>
  <c r="C986" i="2"/>
  <c r="D986" i="2"/>
  <c r="E986" i="2"/>
  <c r="F986" i="2"/>
  <c r="G986" i="2"/>
  <c r="H986" i="2"/>
  <c r="I986" i="2"/>
  <c r="J986" i="2"/>
  <c r="K986" i="2"/>
  <c r="L986" i="2"/>
  <c r="M986" i="2"/>
  <c r="N986" i="2"/>
  <c r="O986" i="2"/>
  <c r="P986" i="2"/>
  <c r="Q986" i="2"/>
  <c r="R986" i="2"/>
  <c r="S986" i="2"/>
  <c r="T986" i="2"/>
  <c r="U986" i="2"/>
  <c r="V986" i="2"/>
  <c r="W986" i="2"/>
  <c r="X986" i="2"/>
  <c r="Y986" i="2"/>
  <c r="A987" i="2"/>
  <c r="B987" i="2"/>
  <c r="C987" i="2"/>
  <c r="D987" i="2"/>
  <c r="E987" i="2"/>
  <c r="F987" i="2"/>
  <c r="G987" i="2"/>
  <c r="H987" i="2"/>
  <c r="I987" i="2"/>
  <c r="J987" i="2"/>
  <c r="K987" i="2"/>
  <c r="L987" i="2"/>
  <c r="M987" i="2"/>
  <c r="N987" i="2"/>
  <c r="O987" i="2"/>
  <c r="P987" i="2"/>
  <c r="Q987" i="2"/>
  <c r="R987" i="2"/>
  <c r="S987" i="2"/>
  <c r="T987" i="2"/>
  <c r="U987" i="2"/>
  <c r="V987" i="2"/>
  <c r="W987" i="2"/>
  <c r="X987" i="2"/>
  <c r="Y987" i="2"/>
  <c r="B988" i="2"/>
  <c r="C988" i="2"/>
  <c r="D988" i="2"/>
  <c r="E988" i="2"/>
  <c r="F988" i="2"/>
  <c r="G988" i="2"/>
  <c r="H988" i="2"/>
  <c r="I988" i="2"/>
  <c r="J988" i="2"/>
  <c r="K988" i="2"/>
  <c r="L988" i="2"/>
  <c r="M988" i="2"/>
  <c r="N988" i="2"/>
  <c r="O988" i="2"/>
  <c r="P988" i="2"/>
  <c r="Q988" i="2"/>
  <c r="R988" i="2"/>
  <c r="S988" i="2"/>
  <c r="T988" i="2"/>
  <c r="U988" i="2"/>
  <c r="V988" i="2"/>
  <c r="W988" i="2"/>
  <c r="X988" i="2"/>
  <c r="Y988" i="2"/>
  <c r="A989" i="2"/>
  <c r="B989" i="2"/>
  <c r="C989" i="2"/>
  <c r="D989" i="2"/>
  <c r="E989" i="2"/>
  <c r="F989" i="2"/>
  <c r="G989" i="2"/>
  <c r="H989" i="2"/>
  <c r="I989" i="2"/>
  <c r="J989" i="2"/>
  <c r="K989" i="2"/>
  <c r="L989" i="2"/>
  <c r="M989" i="2"/>
  <c r="N989" i="2"/>
  <c r="O989" i="2"/>
  <c r="P989" i="2"/>
  <c r="Q989" i="2"/>
  <c r="R989" i="2"/>
  <c r="S989" i="2"/>
  <c r="T989" i="2"/>
  <c r="U989" i="2"/>
  <c r="V989" i="2"/>
  <c r="W989" i="2"/>
  <c r="X989" i="2"/>
  <c r="Y989" i="2"/>
  <c r="A990" i="2"/>
  <c r="B990" i="2"/>
  <c r="C990" i="2"/>
  <c r="D990" i="2"/>
  <c r="E990" i="2"/>
  <c r="F990" i="2"/>
  <c r="G990" i="2"/>
  <c r="H990" i="2"/>
  <c r="I990" i="2"/>
  <c r="J990" i="2"/>
  <c r="K990" i="2"/>
  <c r="L990" i="2"/>
  <c r="M990" i="2"/>
  <c r="N990" i="2"/>
  <c r="O990" i="2"/>
  <c r="P990" i="2"/>
  <c r="Q990" i="2"/>
  <c r="R990" i="2"/>
  <c r="S990" i="2"/>
  <c r="T990" i="2"/>
  <c r="U990" i="2"/>
  <c r="V990" i="2"/>
  <c r="W990" i="2"/>
  <c r="X990" i="2"/>
  <c r="Y990" i="2"/>
  <c r="A991" i="2"/>
  <c r="B991" i="2"/>
  <c r="C991" i="2"/>
  <c r="D991" i="2"/>
  <c r="E991" i="2"/>
  <c r="F991" i="2"/>
  <c r="G991" i="2"/>
  <c r="H991" i="2"/>
  <c r="I991" i="2"/>
  <c r="J991" i="2"/>
  <c r="K991" i="2"/>
  <c r="L991" i="2"/>
  <c r="M991" i="2"/>
  <c r="N991" i="2"/>
  <c r="O991" i="2"/>
  <c r="P991" i="2"/>
  <c r="Q991" i="2"/>
  <c r="R991" i="2"/>
  <c r="S991" i="2"/>
  <c r="T991" i="2"/>
  <c r="U991" i="2"/>
  <c r="V991" i="2"/>
  <c r="W991" i="2"/>
  <c r="X991" i="2"/>
  <c r="Y991" i="2"/>
  <c r="A992" i="2"/>
  <c r="B992" i="2"/>
  <c r="C992" i="2"/>
  <c r="D992" i="2"/>
  <c r="E992" i="2"/>
  <c r="F992" i="2"/>
  <c r="G992" i="2"/>
  <c r="H992" i="2"/>
  <c r="I992" i="2"/>
  <c r="J992" i="2"/>
  <c r="K992" i="2"/>
  <c r="L992" i="2"/>
  <c r="M992" i="2"/>
  <c r="N992" i="2"/>
  <c r="O992" i="2"/>
  <c r="P992" i="2"/>
  <c r="Q992" i="2"/>
  <c r="R992" i="2"/>
  <c r="S992" i="2"/>
  <c r="T992" i="2"/>
  <c r="U992" i="2"/>
  <c r="V992" i="2"/>
  <c r="W992" i="2"/>
  <c r="X992" i="2"/>
  <c r="Y992" i="2"/>
  <c r="A993" i="2"/>
  <c r="B993" i="2"/>
  <c r="C993" i="2"/>
  <c r="D993" i="2"/>
  <c r="E993" i="2"/>
  <c r="F993" i="2"/>
  <c r="G993" i="2"/>
  <c r="H993" i="2"/>
  <c r="I993" i="2"/>
  <c r="J993" i="2"/>
  <c r="K993" i="2"/>
  <c r="L993" i="2"/>
  <c r="M993" i="2"/>
  <c r="N993" i="2"/>
  <c r="O993" i="2"/>
  <c r="P993" i="2"/>
  <c r="Q993" i="2"/>
  <c r="R993" i="2"/>
  <c r="S993" i="2"/>
  <c r="T993" i="2"/>
  <c r="U993" i="2"/>
  <c r="V993" i="2"/>
  <c r="W993" i="2"/>
  <c r="X993" i="2"/>
  <c r="Y993" i="2"/>
  <c r="A994" i="2"/>
  <c r="B994" i="2"/>
  <c r="C994" i="2"/>
  <c r="D994" i="2"/>
  <c r="E994" i="2"/>
  <c r="F994" i="2"/>
  <c r="G994" i="2"/>
  <c r="H994" i="2"/>
  <c r="I994" i="2"/>
  <c r="J994" i="2"/>
  <c r="K994" i="2"/>
  <c r="L994" i="2"/>
  <c r="M994" i="2"/>
  <c r="N994" i="2"/>
  <c r="O994" i="2"/>
  <c r="P994" i="2"/>
  <c r="Q994" i="2"/>
  <c r="R994" i="2"/>
  <c r="S994" i="2"/>
  <c r="T994" i="2"/>
  <c r="U994" i="2"/>
  <c r="V994" i="2"/>
  <c r="W994" i="2"/>
  <c r="X994" i="2"/>
  <c r="Y994" i="2"/>
  <c r="A995" i="2"/>
  <c r="B995" i="2"/>
  <c r="C995" i="2"/>
  <c r="D995" i="2"/>
  <c r="E995" i="2"/>
  <c r="F995" i="2"/>
  <c r="G995" i="2"/>
  <c r="H995" i="2"/>
  <c r="I995" i="2"/>
  <c r="J995" i="2"/>
  <c r="K995" i="2"/>
  <c r="L995" i="2"/>
  <c r="M995" i="2"/>
  <c r="N995" i="2"/>
  <c r="O995" i="2"/>
  <c r="P995" i="2"/>
  <c r="Q995" i="2"/>
  <c r="R995" i="2"/>
  <c r="S995" i="2"/>
  <c r="T995" i="2"/>
  <c r="U995" i="2"/>
  <c r="V995" i="2"/>
  <c r="W995" i="2"/>
  <c r="X995" i="2"/>
  <c r="Y995" i="2"/>
  <c r="A996" i="2"/>
  <c r="B996" i="2"/>
  <c r="C996" i="2"/>
  <c r="D996" i="2"/>
  <c r="E996" i="2"/>
  <c r="F996" i="2"/>
  <c r="G996" i="2"/>
  <c r="H996" i="2"/>
  <c r="I996" i="2"/>
  <c r="J996" i="2"/>
  <c r="K996" i="2"/>
  <c r="L996" i="2"/>
  <c r="M996" i="2"/>
  <c r="N996" i="2"/>
  <c r="O996" i="2"/>
  <c r="P996" i="2"/>
  <c r="Q996" i="2"/>
  <c r="R996" i="2"/>
  <c r="S996" i="2"/>
  <c r="T996" i="2"/>
  <c r="U996" i="2"/>
  <c r="V996" i="2"/>
  <c r="W996" i="2"/>
  <c r="X996" i="2"/>
  <c r="Y996" i="2"/>
  <c r="A997" i="2"/>
  <c r="B997" i="2"/>
  <c r="C997" i="2"/>
  <c r="D997" i="2"/>
  <c r="E997" i="2"/>
  <c r="F997" i="2"/>
  <c r="G997" i="2"/>
  <c r="H997" i="2"/>
  <c r="I997" i="2"/>
  <c r="J997" i="2"/>
  <c r="K997" i="2"/>
  <c r="L997" i="2"/>
  <c r="M997" i="2"/>
  <c r="N997" i="2"/>
  <c r="O997" i="2"/>
  <c r="P997" i="2"/>
  <c r="Q997" i="2"/>
  <c r="R997" i="2"/>
  <c r="S997" i="2"/>
  <c r="T997" i="2"/>
  <c r="U997" i="2"/>
  <c r="V997" i="2"/>
  <c r="W997" i="2"/>
  <c r="X997" i="2"/>
  <c r="Y997" i="2"/>
  <c r="A998" i="2"/>
  <c r="B998" i="2"/>
  <c r="C998" i="2"/>
  <c r="D998" i="2"/>
  <c r="E998" i="2"/>
  <c r="F998" i="2"/>
  <c r="G998" i="2"/>
  <c r="H998" i="2"/>
  <c r="I998" i="2"/>
  <c r="J998" i="2"/>
  <c r="K998" i="2"/>
  <c r="L998" i="2"/>
  <c r="M998" i="2"/>
  <c r="N998" i="2"/>
  <c r="O998" i="2"/>
  <c r="P998" i="2"/>
  <c r="Q998" i="2"/>
  <c r="R998" i="2"/>
  <c r="S998" i="2"/>
  <c r="T998" i="2"/>
  <c r="U998" i="2"/>
  <c r="V998" i="2"/>
  <c r="W998" i="2"/>
  <c r="X998" i="2"/>
  <c r="Y998" i="2"/>
  <c r="A999" i="2"/>
  <c r="B999" i="2"/>
  <c r="C999" i="2"/>
  <c r="D999" i="2"/>
  <c r="E999" i="2"/>
  <c r="F999" i="2"/>
  <c r="G999" i="2"/>
  <c r="H999" i="2"/>
  <c r="I999" i="2"/>
  <c r="J999" i="2"/>
  <c r="K999" i="2"/>
  <c r="L999" i="2"/>
  <c r="M999" i="2"/>
  <c r="N999" i="2"/>
  <c r="O999" i="2"/>
  <c r="P999" i="2"/>
  <c r="Q999" i="2"/>
  <c r="R999" i="2"/>
  <c r="S999" i="2"/>
  <c r="T999" i="2"/>
  <c r="U999" i="2"/>
  <c r="V999" i="2"/>
  <c r="W999" i="2"/>
  <c r="X999" i="2"/>
  <c r="Y999" i="2"/>
  <c r="B1000" i="2"/>
  <c r="C1000" i="2"/>
  <c r="D1000" i="2"/>
  <c r="E1000" i="2"/>
  <c r="F1000" i="2"/>
  <c r="G1000" i="2"/>
  <c r="H1000" i="2"/>
  <c r="I1000" i="2"/>
  <c r="J1000" i="2"/>
  <c r="K1000" i="2"/>
  <c r="L1000" i="2"/>
  <c r="M1000" i="2"/>
  <c r="N1000" i="2"/>
  <c r="O1000" i="2"/>
  <c r="P1000" i="2"/>
  <c r="Q1000" i="2"/>
  <c r="R1000" i="2"/>
  <c r="S1000" i="2"/>
  <c r="T1000" i="2"/>
  <c r="U1000" i="2"/>
  <c r="V1000" i="2"/>
  <c r="W1000" i="2"/>
  <c r="X1000" i="2"/>
  <c r="Y1000" i="2"/>
  <c r="A1001" i="2"/>
  <c r="B1001" i="2"/>
  <c r="C1001" i="2"/>
  <c r="D1001" i="2"/>
  <c r="E1001" i="2"/>
  <c r="F1001" i="2"/>
  <c r="G1001" i="2"/>
  <c r="H1001" i="2"/>
  <c r="I1001" i="2"/>
  <c r="J1001" i="2"/>
  <c r="K1001" i="2"/>
  <c r="L1001" i="2"/>
  <c r="M1001" i="2"/>
  <c r="N1001" i="2"/>
  <c r="O1001" i="2"/>
  <c r="P1001" i="2"/>
  <c r="Q1001" i="2"/>
  <c r="R1001" i="2"/>
  <c r="S1001" i="2"/>
  <c r="T1001" i="2"/>
  <c r="U1001" i="2"/>
  <c r="V1001" i="2"/>
  <c r="W1001" i="2"/>
  <c r="X1001" i="2"/>
  <c r="Y1001" i="2"/>
  <c r="A1002" i="2"/>
  <c r="B1002" i="2"/>
  <c r="C1002" i="2"/>
  <c r="D1002" i="2"/>
  <c r="E1002" i="2"/>
  <c r="F1002" i="2"/>
  <c r="G1002" i="2"/>
  <c r="H1002" i="2"/>
  <c r="I1002" i="2"/>
  <c r="J1002" i="2"/>
  <c r="K1002" i="2"/>
  <c r="L1002" i="2"/>
  <c r="M1002" i="2"/>
  <c r="N1002" i="2"/>
  <c r="O1002" i="2"/>
  <c r="P1002" i="2"/>
  <c r="Q1002" i="2"/>
  <c r="R1002" i="2"/>
  <c r="S1002" i="2"/>
  <c r="T1002" i="2"/>
  <c r="U1002" i="2"/>
  <c r="V1002" i="2"/>
  <c r="W1002" i="2"/>
  <c r="X1002" i="2"/>
  <c r="Y1002" i="2"/>
  <c r="A1003" i="2"/>
  <c r="B1003" i="2"/>
  <c r="C1003" i="2"/>
  <c r="D1003" i="2"/>
  <c r="E1003" i="2"/>
  <c r="F1003" i="2"/>
  <c r="G1003" i="2"/>
  <c r="H1003" i="2"/>
  <c r="I1003" i="2"/>
  <c r="J1003" i="2"/>
  <c r="K1003" i="2"/>
  <c r="L1003" i="2"/>
  <c r="M1003" i="2"/>
  <c r="N1003" i="2"/>
  <c r="O1003" i="2"/>
  <c r="P1003" i="2"/>
  <c r="Q1003" i="2"/>
  <c r="R1003" i="2"/>
  <c r="S1003" i="2"/>
  <c r="T1003" i="2"/>
  <c r="U1003" i="2"/>
  <c r="V1003" i="2"/>
  <c r="W1003" i="2"/>
  <c r="X1003" i="2"/>
  <c r="Y1003" i="2"/>
  <c r="B1004" i="2"/>
  <c r="C1004" i="2"/>
  <c r="D1004" i="2"/>
  <c r="E1004" i="2"/>
  <c r="F1004" i="2"/>
  <c r="G1004" i="2"/>
  <c r="H1004" i="2"/>
  <c r="I1004" i="2"/>
  <c r="J1004" i="2"/>
  <c r="K1004" i="2"/>
  <c r="L1004" i="2"/>
  <c r="M1004" i="2"/>
  <c r="N1004" i="2"/>
  <c r="O1004" i="2"/>
  <c r="P1004" i="2"/>
  <c r="Q1004" i="2"/>
  <c r="R1004" i="2"/>
  <c r="S1004" i="2"/>
  <c r="T1004" i="2"/>
  <c r="U1004" i="2"/>
  <c r="V1004" i="2"/>
  <c r="W1004" i="2"/>
  <c r="X1004" i="2"/>
  <c r="Y1004" i="2"/>
  <c r="A1005" i="2"/>
  <c r="B1005" i="2"/>
  <c r="C1005" i="2"/>
  <c r="D1005" i="2"/>
  <c r="E1005" i="2"/>
  <c r="F1005" i="2"/>
  <c r="G1005" i="2"/>
  <c r="H1005" i="2"/>
  <c r="I1005" i="2"/>
  <c r="J1005" i="2"/>
  <c r="K1005" i="2"/>
  <c r="L1005" i="2"/>
  <c r="M1005" i="2"/>
  <c r="N1005" i="2"/>
  <c r="O1005" i="2"/>
  <c r="P1005" i="2"/>
  <c r="Q1005" i="2"/>
  <c r="R1005" i="2"/>
  <c r="S1005" i="2"/>
  <c r="T1005" i="2"/>
  <c r="U1005" i="2"/>
  <c r="V1005" i="2"/>
  <c r="W1005" i="2"/>
  <c r="X1005" i="2"/>
  <c r="Y1005" i="2"/>
  <c r="A1006" i="2"/>
  <c r="B1006" i="2"/>
  <c r="C1006" i="2"/>
  <c r="D1006" i="2"/>
  <c r="E1006" i="2"/>
  <c r="F1006" i="2"/>
  <c r="G1006" i="2"/>
  <c r="H1006" i="2"/>
  <c r="I1006" i="2"/>
  <c r="J1006" i="2"/>
  <c r="K1006" i="2"/>
  <c r="L1006" i="2"/>
  <c r="M1006" i="2"/>
  <c r="N1006" i="2"/>
  <c r="O1006" i="2"/>
  <c r="P1006" i="2"/>
  <c r="Q1006" i="2"/>
  <c r="R1006" i="2"/>
  <c r="S1006" i="2"/>
  <c r="T1006" i="2"/>
  <c r="U1006" i="2"/>
  <c r="V1006" i="2"/>
  <c r="W1006" i="2"/>
  <c r="X1006" i="2"/>
  <c r="Y1006" i="2"/>
  <c r="A1007" i="2"/>
  <c r="B1007" i="2"/>
  <c r="C1007" i="2"/>
  <c r="D1007" i="2"/>
  <c r="E1007" i="2"/>
  <c r="F1007" i="2"/>
  <c r="G1007" i="2"/>
  <c r="H1007" i="2"/>
  <c r="I1007" i="2"/>
  <c r="J1007" i="2"/>
  <c r="K1007" i="2"/>
  <c r="L1007" i="2"/>
  <c r="M1007" i="2"/>
  <c r="N1007" i="2"/>
  <c r="O1007" i="2"/>
  <c r="P1007" i="2"/>
  <c r="Q1007" i="2"/>
  <c r="R1007" i="2"/>
  <c r="S1007" i="2"/>
  <c r="T1007" i="2"/>
  <c r="U1007" i="2"/>
  <c r="V1007" i="2"/>
  <c r="W1007" i="2"/>
  <c r="X1007" i="2"/>
  <c r="Y1007" i="2"/>
  <c r="A1008" i="2"/>
  <c r="B1008" i="2"/>
  <c r="C1008" i="2"/>
  <c r="D1008" i="2"/>
  <c r="E1008" i="2"/>
  <c r="F1008" i="2"/>
  <c r="G1008" i="2"/>
  <c r="H1008" i="2"/>
  <c r="I1008" i="2"/>
  <c r="J1008" i="2"/>
  <c r="K1008" i="2"/>
  <c r="L1008" i="2"/>
  <c r="M1008" i="2"/>
  <c r="N1008" i="2"/>
  <c r="O1008" i="2"/>
  <c r="P1008" i="2"/>
  <c r="Q1008" i="2"/>
  <c r="R1008" i="2"/>
  <c r="S1008" i="2"/>
  <c r="T1008" i="2"/>
  <c r="U1008" i="2"/>
  <c r="V1008" i="2"/>
  <c r="W1008" i="2"/>
  <c r="X1008" i="2"/>
  <c r="Y1008" i="2"/>
  <c r="A1009" i="2"/>
  <c r="B1009" i="2"/>
  <c r="C1009" i="2"/>
  <c r="D1009" i="2"/>
  <c r="E1009" i="2"/>
  <c r="F1009" i="2"/>
  <c r="G1009" i="2"/>
  <c r="H1009" i="2"/>
  <c r="I1009" i="2"/>
  <c r="J1009" i="2"/>
  <c r="K1009" i="2"/>
  <c r="L1009" i="2"/>
  <c r="M1009" i="2"/>
  <c r="N1009" i="2"/>
  <c r="O1009" i="2"/>
  <c r="P1009" i="2"/>
  <c r="Q1009" i="2"/>
  <c r="R1009" i="2"/>
  <c r="S1009" i="2"/>
  <c r="T1009" i="2"/>
  <c r="U1009" i="2"/>
  <c r="V1009" i="2"/>
  <c r="W1009" i="2"/>
  <c r="X1009" i="2"/>
  <c r="Y1009" i="2"/>
  <c r="A1010" i="2"/>
  <c r="B1010" i="2"/>
  <c r="C1010" i="2"/>
  <c r="D1010" i="2"/>
  <c r="E1010" i="2"/>
  <c r="F1010" i="2"/>
  <c r="G1010" i="2"/>
  <c r="H1010" i="2"/>
  <c r="I1010" i="2"/>
  <c r="J1010" i="2"/>
  <c r="K1010" i="2"/>
  <c r="L1010" i="2"/>
  <c r="M1010" i="2"/>
  <c r="N1010" i="2"/>
  <c r="O1010" i="2"/>
  <c r="P1010" i="2"/>
  <c r="Q1010" i="2"/>
  <c r="R1010" i="2"/>
  <c r="S1010" i="2"/>
  <c r="T1010" i="2"/>
  <c r="U1010" i="2"/>
  <c r="V1010" i="2"/>
  <c r="W1010" i="2"/>
  <c r="X1010" i="2"/>
  <c r="Y1010" i="2"/>
  <c r="A1011" i="2"/>
  <c r="B1011" i="2"/>
  <c r="C1011" i="2"/>
  <c r="D1011" i="2"/>
  <c r="E1011" i="2"/>
  <c r="F1011" i="2"/>
  <c r="G1011" i="2"/>
  <c r="H1011" i="2"/>
  <c r="I1011" i="2"/>
  <c r="J1011" i="2"/>
  <c r="K1011" i="2"/>
  <c r="L1011" i="2"/>
  <c r="M1011" i="2"/>
  <c r="N1011" i="2"/>
  <c r="O1011" i="2"/>
  <c r="P1011" i="2"/>
  <c r="Q1011" i="2"/>
  <c r="R1011" i="2"/>
  <c r="S1011" i="2"/>
  <c r="T1011" i="2"/>
  <c r="U1011" i="2"/>
  <c r="V1011" i="2"/>
  <c r="W1011" i="2"/>
  <c r="X1011" i="2"/>
  <c r="Y1011" i="2"/>
  <c r="A1012" i="2"/>
  <c r="B1012" i="2"/>
  <c r="C1012" i="2"/>
  <c r="D1012" i="2"/>
  <c r="E1012" i="2"/>
  <c r="F1012" i="2"/>
  <c r="G1012" i="2"/>
  <c r="H1012" i="2"/>
  <c r="I1012" i="2"/>
  <c r="J1012" i="2"/>
  <c r="K1012" i="2"/>
  <c r="L1012" i="2"/>
  <c r="M1012" i="2"/>
  <c r="N1012" i="2"/>
  <c r="O1012" i="2"/>
  <c r="P1012" i="2"/>
  <c r="Q1012" i="2"/>
  <c r="R1012" i="2"/>
  <c r="S1012" i="2"/>
  <c r="T1012" i="2"/>
  <c r="U1012" i="2"/>
  <c r="V1012" i="2"/>
  <c r="W1012" i="2"/>
  <c r="X1012" i="2"/>
  <c r="Y1012" i="2"/>
  <c r="A1013" i="2"/>
  <c r="B1013" i="2"/>
  <c r="C1013" i="2"/>
  <c r="D1013" i="2"/>
  <c r="E1013" i="2"/>
  <c r="F1013" i="2"/>
  <c r="G1013" i="2"/>
  <c r="H1013" i="2"/>
  <c r="I1013" i="2"/>
  <c r="J1013" i="2"/>
  <c r="K1013" i="2"/>
  <c r="L1013" i="2"/>
  <c r="M1013" i="2"/>
  <c r="N1013" i="2"/>
  <c r="O1013" i="2"/>
  <c r="P1013" i="2"/>
  <c r="Q1013" i="2"/>
  <c r="R1013" i="2"/>
  <c r="S1013" i="2"/>
  <c r="T1013" i="2"/>
  <c r="U1013" i="2"/>
  <c r="V1013" i="2"/>
  <c r="W1013" i="2"/>
  <c r="X1013" i="2"/>
  <c r="Y1013" i="2"/>
  <c r="A1014" i="2"/>
  <c r="B1014" i="2"/>
  <c r="C1014" i="2"/>
  <c r="D1014" i="2"/>
  <c r="E1014" i="2"/>
  <c r="F1014" i="2"/>
  <c r="G1014" i="2"/>
  <c r="H1014" i="2"/>
  <c r="I1014" i="2"/>
  <c r="J1014" i="2"/>
  <c r="K1014" i="2"/>
  <c r="L1014" i="2"/>
  <c r="M1014" i="2"/>
  <c r="N1014" i="2"/>
  <c r="O1014" i="2"/>
  <c r="P1014" i="2"/>
  <c r="Q1014" i="2"/>
  <c r="R1014" i="2"/>
  <c r="S1014" i="2"/>
  <c r="T1014" i="2"/>
  <c r="U1014" i="2"/>
  <c r="V1014" i="2"/>
  <c r="W1014" i="2"/>
  <c r="X1014" i="2"/>
  <c r="Y1014" i="2"/>
  <c r="A1015" i="2"/>
  <c r="B1015" i="2"/>
  <c r="C1015" i="2"/>
  <c r="D1015" i="2"/>
  <c r="E1015" i="2"/>
  <c r="F1015" i="2"/>
  <c r="G1015" i="2"/>
  <c r="H1015" i="2"/>
  <c r="I1015" i="2"/>
  <c r="J1015" i="2"/>
  <c r="K1015" i="2"/>
  <c r="L1015" i="2"/>
  <c r="M1015" i="2"/>
  <c r="N1015" i="2"/>
  <c r="O1015" i="2"/>
  <c r="P1015" i="2"/>
  <c r="Q1015" i="2"/>
  <c r="R1015" i="2"/>
  <c r="S1015" i="2"/>
  <c r="T1015" i="2"/>
  <c r="U1015" i="2"/>
  <c r="V1015" i="2"/>
  <c r="W1015" i="2"/>
  <c r="X1015" i="2"/>
  <c r="Y1015" i="2"/>
  <c r="B1016" i="2"/>
  <c r="C1016" i="2"/>
  <c r="D1016" i="2"/>
  <c r="E1016" i="2"/>
  <c r="F1016" i="2"/>
  <c r="G1016" i="2"/>
  <c r="H1016" i="2"/>
  <c r="I1016" i="2"/>
  <c r="J1016" i="2"/>
  <c r="K1016" i="2"/>
  <c r="L1016" i="2"/>
  <c r="M1016" i="2"/>
  <c r="N1016" i="2"/>
  <c r="O1016" i="2"/>
  <c r="P1016" i="2"/>
  <c r="Q1016" i="2"/>
  <c r="R1016" i="2"/>
  <c r="S1016" i="2"/>
  <c r="T1016" i="2"/>
  <c r="U1016" i="2"/>
  <c r="V1016" i="2"/>
  <c r="W1016" i="2"/>
  <c r="X1016" i="2"/>
  <c r="Y1016" i="2"/>
  <c r="A1017" i="2"/>
  <c r="B1017" i="2"/>
  <c r="C1017" i="2"/>
  <c r="D1017" i="2"/>
  <c r="E1017" i="2"/>
  <c r="F1017" i="2"/>
  <c r="G1017" i="2"/>
  <c r="H1017" i="2"/>
  <c r="I1017" i="2"/>
  <c r="J1017" i="2"/>
  <c r="K1017" i="2"/>
  <c r="L1017" i="2"/>
  <c r="M1017" i="2"/>
  <c r="N1017" i="2"/>
  <c r="O1017" i="2"/>
  <c r="P1017" i="2"/>
  <c r="Q1017" i="2"/>
  <c r="R1017" i="2"/>
  <c r="S1017" i="2"/>
  <c r="T1017" i="2"/>
  <c r="U1017" i="2"/>
  <c r="V1017" i="2"/>
  <c r="W1017" i="2"/>
  <c r="X1017" i="2"/>
  <c r="Y1017" i="2"/>
  <c r="A1018" i="2"/>
  <c r="B1018" i="2"/>
  <c r="C1018" i="2"/>
  <c r="D1018" i="2"/>
  <c r="E1018" i="2"/>
  <c r="F1018" i="2"/>
  <c r="G1018" i="2"/>
  <c r="H1018" i="2"/>
  <c r="I1018" i="2"/>
  <c r="J1018" i="2"/>
  <c r="K1018" i="2"/>
  <c r="L1018" i="2"/>
  <c r="M1018" i="2"/>
  <c r="N1018" i="2"/>
  <c r="O1018" i="2"/>
  <c r="P1018" i="2"/>
  <c r="Q1018" i="2"/>
  <c r="R1018" i="2"/>
  <c r="S1018" i="2"/>
  <c r="T1018" i="2"/>
  <c r="U1018" i="2"/>
  <c r="V1018" i="2"/>
  <c r="W1018" i="2"/>
  <c r="X1018" i="2"/>
  <c r="Y1018" i="2"/>
  <c r="A1019" i="2"/>
  <c r="B1019" i="2"/>
  <c r="C1019" i="2"/>
  <c r="D1019" i="2"/>
  <c r="E1019" i="2"/>
  <c r="F1019" i="2"/>
  <c r="G1019" i="2"/>
  <c r="H1019" i="2"/>
  <c r="I1019" i="2"/>
  <c r="J1019" i="2"/>
  <c r="K1019" i="2"/>
  <c r="L1019" i="2"/>
  <c r="M1019" i="2"/>
  <c r="N1019" i="2"/>
  <c r="O1019" i="2"/>
  <c r="P1019" i="2"/>
  <c r="Q1019" i="2"/>
  <c r="R1019" i="2"/>
  <c r="S1019" i="2"/>
  <c r="T1019" i="2"/>
  <c r="U1019" i="2"/>
  <c r="V1019" i="2"/>
  <c r="W1019" i="2"/>
  <c r="X1019" i="2"/>
  <c r="Y1019" i="2"/>
  <c r="B1020" i="2"/>
  <c r="C1020" i="2"/>
  <c r="D1020" i="2"/>
  <c r="E1020" i="2"/>
  <c r="F1020" i="2"/>
  <c r="G1020" i="2"/>
  <c r="H1020" i="2"/>
  <c r="I1020" i="2"/>
  <c r="J1020" i="2"/>
  <c r="K1020" i="2"/>
  <c r="L1020" i="2"/>
  <c r="M1020" i="2"/>
  <c r="N1020" i="2"/>
  <c r="O1020" i="2"/>
  <c r="P1020" i="2"/>
  <c r="Q1020" i="2"/>
  <c r="R1020" i="2"/>
  <c r="S1020" i="2"/>
  <c r="T1020" i="2"/>
  <c r="U1020" i="2"/>
  <c r="V1020" i="2"/>
  <c r="W1020" i="2"/>
  <c r="X1020" i="2"/>
  <c r="Y1020" i="2"/>
  <c r="A1021" i="2"/>
  <c r="B1021" i="2"/>
  <c r="C1021" i="2"/>
  <c r="D1021" i="2"/>
  <c r="E1021" i="2"/>
  <c r="F1021" i="2"/>
  <c r="G1021" i="2"/>
  <c r="H1021" i="2"/>
  <c r="I1021" i="2"/>
  <c r="J1021" i="2"/>
  <c r="K1021" i="2"/>
  <c r="L1021" i="2"/>
  <c r="M1021" i="2"/>
  <c r="N1021" i="2"/>
  <c r="O1021" i="2"/>
  <c r="P1021" i="2"/>
  <c r="Q1021" i="2"/>
  <c r="R1021" i="2"/>
  <c r="S1021" i="2"/>
  <c r="T1021" i="2"/>
  <c r="U1021" i="2"/>
  <c r="V1021" i="2"/>
  <c r="W1021" i="2"/>
  <c r="X1021" i="2"/>
  <c r="Y1021" i="2"/>
  <c r="A1022" i="2"/>
  <c r="B1022" i="2"/>
  <c r="C1022" i="2"/>
  <c r="D1022" i="2"/>
  <c r="E1022" i="2"/>
  <c r="F1022" i="2"/>
  <c r="G1022" i="2"/>
  <c r="H1022" i="2"/>
  <c r="I1022" i="2"/>
  <c r="J1022" i="2"/>
  <c r="K1022" i="2"/>
  <c r="L1022" i="2"/>
  <c r="M1022" i="2"/>
  <c r="N1022" i="2"/>
  <c r="O1022" i="2"/>
  <c r="P1022" i="2"/>
  <c r="Q1022" i="2"/>
  <c r="R1022" i="2"/>
  <c r="S1022" i="2"/>
  <c r="T1022" i="2"/>
  <c r="U1022" i="2"/>
  <c r="V1022" i="2"/>
  <c r="W1022" i="2"/>
  <c r="X1022" i="2"/>
  <c r="Y1022" i="2"/>
  <c r="A1023" i="2"/>
  <c r="B1023" i="2"/>
  <c r="C1023" i="2"/>
  <c r="D1023" i="2"/>
  <c r="E1023" i="2"/>
  <c r="F1023" i="2"/>
  <c r="G1023" i="2"/>
  <c r="H1023" i="2"/>
  <c r="I1023" i="2"/>
  <c r="J1023" i="2"/>
  <c r="K1023" i="2"/>
  <c r="L1023" i="2"/>
  <c r="M1023" i="2"/>
  <c r="N1023" i="2"/>
  <c r="O1023" i="2"/>
  <c r="P1023" i="2"/>
  <c r="Q1023" i="2"/>
  <c r="R1023" i="2"/>
  <c r="S1023" i="2"/>
  <c r="T1023" i="2"/>
  <c r="U1023" i="2"/>
  <c r="V1023" i="2"/>
  <c r="W1023" i="2"/>
  <c r="X1023" i="2"/>
  <c r="Y1023" i="2"/>
  <c r="A1024" i="2"/>
  <c r="B1024" i="2"/>
  <c r="C1024" i="2"/>
  <c r="D1024" i="2"/>
  <c r="E1024" i="2"/>
  <c r="F1024" i="2"/>
  <c r="G1024" i="2"/>
  <c r="H1024" i="2"/>
  <c r="I1024" i="2"/>
  <c r="J1024" i="2"/>
  <c r="K1024" i="2"/>
  <c r="L1024" i="2"/>
  <c r="M1024" i="2"/>
  <c r="N1024" i="2"/>
  <c r="O1024" i="2"/>
  <c r="P1024" i="2"/>
  <c r="Q1024" i="2"/>
  <c r="R1024" i="2"/>
  <c r="S1024" i="2"/>
  <c r="T1024" i="2"/>
  <c r="U1024" i="2"/>
  <c r="V1024" i="2"/>
  <c r="W1024" i="2"/>
  <c r="X1024" i="2"/>
  <c r="Y1024" i="2"/>
  <c r="A1025" i="2"/>
  <c r="B1025" i="2"/>
  <c r="C1025" i="2"/>
  <c r="D1025" i="2"/>
  <c r="E1025" i="2"/>
  <c r="F1025" i="2"/>
  <c r="G1025" i="2"/>
  <c r="H1025" i="2"/>
  <c r="I1025" i="2"/>
  <c r="J1025" i="2"/>
  <c r="K1025" i="2"/>
  <c r="L1025" i="2"/>
  <c r="M1025" i="2"/>
  <c r="N1025" i="2"/>
  <c r="O1025" i="2"/>
  <c r="P1025" i="2"/>
  <c r="Q1025" i="2"/>
  <c r="R1025" i="2"/>
  <c r="S1025" i="2"/>
  <c r="T1025" i="2"/>
  <c r="U1025" i="2"/>
  <c r="V1025" i="2"/>
  <c r="W1025" i="2"/>
  <c r="X1025" i="2"/>
  <c r="Y1025" i="2"/>
  <c r="A1026" i="2"/>
  <c r="B1026" i="2"/>
  <c r="C1026" i="2"/>
  <c r="D1026" i="2"/>
  <c r="E1026" i="2"/>
  <c r="F1026" i="2"/>
  <c r="G1026" i="2"/>
  <c r="H1026" i="2"/>
  <c r="I1026" i="2"/>
  <c r="J1026" i="2"/>
  <c r="K1026" i="2"/>
  <c r="L1026" i="2"/>
  <c r="M1026" i="2"/>
  <c r="N1026" i="2"/>
  <c r="O1026" i="2"/>
  <c r="P1026" i="2"/>
  <c r="Q1026" i="2"/>
  <c r="R1026" i="2"/>
  <c r="S1026" i="2"/>
  <c r="T1026" i="2"/>
  <c r="U1026" i="2"/>
  <c r="V1026" i="2"/>
  <c r="W1026" i="2"/>
  <c r="X1026" i="2"/>
  <c r="Y1026" i="2"/>
  <c r="A1027" i="2"/>
  <c r="B1027" i="2"/>
  <c r="C1027" i="2"/>
  <c r="D1027" i="2"/>
  <c r="E1027" i="2"/>
  <c r="F1027" i="2"/>
  <c r="G1027" i="2"/>
  <c r="H1027" i="2"/>
  <c r="I1027" i="2"/>
  <c r="J1027" i="2"/>
  <c r="K1027" i="2"/>
  <c r="L1027" i="2"/>
  <c r="M1027" i="2"/>
  <c r="N1027" i="2"/>
  <c r="O1027" i="2"/>
  <c r="P1027" i="2"/>
  <c r="Q1027" i="2"/>
  <c r="R1027" i="2"/>
  <c r="S1027" i="2"/>
  <c r="T1027" i="2"/>
  <c r="U1027" i="2"/>
  <c r="V1027" i="2"/>
  <c r="W1027" i="2"/>
  <c r="X1027" i="2"/>
  <c r="Y1027" i="2"/>
  <c r="A1028" i="2"/>
  <c r="B1028" i="2"/>
  <c r="C1028" i="2"/>
  <c r="D1028" i="2"/>
  <c r="E1028" i="2"/>
  <c r="F1028" i="2"/>
  <c r="G1028" i="2"/>
  <c r="H1028" i="2"/>
  <c r="I1028" i="2"/>
  <c r="J1028" i="2"/>
  <c r="K1028" i="2"/>
  <c r="L1028" i="2"/>
  <c r="M1028" i="2"/>
  <c r="N1028" i="2"/>
  <c r="O1028" i="2"/>
  <c r="P1028" i="2"/>
  <c r="Q1028" i="2"/>
  <c r="R1028" i="2"/>
  <c r="S1028" i="2"/>
  <c r="T1028" i="2"/>
  <c r="U1028" i="2"/>
  <c r="V1028" i="2"/>
  <c r="W1028" i="2"/>
  <c r="X1028" i="2"/>
  <c r="Y1028" i="2"/>
  <c r="A1029" i="2"/>
  <c r="B1029" i="2"/>
  <c r="C1029" i="2"/>
  <c r="D1029" i="2"/>
  <c r="E1029" i="2"/>
  <c r="F1029" i="2"/>
  <c r="G1029" i="2"/>
  <c r="H1029" i="2"/>
  <c r="I1029" i="2"/>
  <c r="J1029" i="2"/>
  <c r="K1029" i="2"/>
  <c r="L1029" i="2"/>
  <c r="M1029" i="2"/>
  <c r="N1029" i="2"/>
  <c r="O1029" i="2"/>
  <c r="P1029" i="2"/>
  <c r="Q1029" i="2"/>
  <c r="R1029" i="2"/>
  <c r="S1029" i="2"/>
  <c r="T1029" i="2"/>
  <c r="U1029" i="2"/>
  <c r="V1029" i="2"/>
  <c r="W1029" i="2"/>
  <c r="X1029" i="2"/>
  <c r="Y1029" i="2"/>
  <c r="A1030" i="2"/>
  <c r="B1030" i="2"/>
  <c r="C1030" i="2"/>
  <c r="D1030" i="2"/>
  <c r="E1030" i="2"/>
  <c r="F1030" i="2"/>
  <c r="G1030" i="2"/>
  <c r="H1030" i="2"/>
  <c r="I1030" i="2"/>
  <c r="J1030" i="2"/>
  <c r="K1030" i="2"/>
  <c r="L1030" i="2"/>
  <c r="M1030" i="2"/>
  <c r="N1030" i="2"/>
  <c r="O1030" i="2"/>
  <c r="P1030" i="2"/>
  <c r="Q1030" i="2"/>
  <c r="R1030" i="2"/>
  <c r="S1030" i="2"/>
  <c r="T1030" i="2"/>
  <c r="U1030" i="2"/>
  <c r="V1030" i="2"/>
  <c r="W1030" i="2"/>
  <c r="X1030" i="2"/>
  <c r="Y1030" i="2"/>
  <c r="A1031" i="2"/>
  <c r="B1031" i="2"/>
  <c r="C1031" i="2"/>
  <c r="D1031" i="2"/>
  <c r="E1031" i="2"/>
  <c r="F1031" i="2"/>
  <c r="G1031" i="2"/>
  <c r="H1031" i="2"/>
  <c r="I1031" i="2"/>
  <c r="J1031" i="2"/>
  <c r="K1031" i="2"/>
  <c r="L1031" i="2"/>
  <c r="M1031" i="2"/>
  <c r="N1031" i="2"/>
  <c r="O1031" i="2"/>
  <c r="P1031" i="2"/>
  <c r="Q1031" i="2"/>
  <c r="R1031" i="2"/>
  <c r="S1031" i="2"/>
  <c r="T1031" i="2"/>
  <c r="U1031" i="2"/>
  <c r="V1031" i="2"/>
  <c r="W1031" i="2"/>
  <c r="X1031" i="2"/>
  <c r="Y1031" i="2"/>
  <c r="B1032" i="2"/>
  <c r="C1032" i="2"/>
  <c r="D1032" i="2"/>
  <c r="E1032" i="2"/>
  <c r="F1032" i="2"/>
  <c r="G1032" i="2"/>
  <c r="H1032" i="2"/>
  <c r="I1032" i="2"/>
  <c r="J1032" i="2"/>
  <c r="K1032" i="2"/>
  <c r="L1032" i="2"/>
  <c r="M1032" i="2"/>
  <c r="N1032" i="2"/>
  <c r="O1032" i="2"/>
  <c r="P1032" i="2"/>
  <c r="Q1032" i="2"/>
  <c r="R1032" i="2"/>
  <c r="S1032" i="2"/>
  <c r="T1032" i="2"/>
  <c r="U1032" i="2"/>
  <c r="V1032" i="2"/>
  <c r="W1032" i="2"/>
  <c r="X1032" i="2"/>
  <c r="Y1032" i="2"/>
  <c r="A1033" i="2"/>
  <c r="B1033" i="2"/>
  <c r="C1033" i="2"/>
  <c r="D1033" i="2"/>
  <c r="E1033" i="2"/>
  <c r="F1033" i="2"/>
  <c r="G1033" i="2"/>
  <c r="H1033" i="2"/>
  <c r="I1033" i="2"/>
  <c r="J1033" i="2"/>
  <c r="K1033" i="2"/>
  <c r="L1033" i="2"/>
  <c r="M1033" i="2"/>
  <c r="N1033" i="2"/>
  <c r="O1033" i="2"/>
  <c r="P1033" i="2"/>
  <c r="Q1033" i="2"/>
  <c r="R1033" i="2"/>
  <c r="S1033" i="2"/>
  <c r="T1033" i="2"/>
  <c r="U1033" i="2"/>
  <c r="V1033" i="2"/>
  <c r="W1033" i="2"/>
  <c r="X1033" i="2"/>
  <c r="Y1033" i="2"/>
  <c r="A1034" i="2"/>
  <c r="B1034" i="2"/>
  <c r="C1034" i="2"/>
  <c r="D1034" i="2"/>
  <c r="E1034" i="2"/>
  <c r="F1034" i="2"/>
  <c r="G1034" i="2"/>
  <c r="H1034" i="2"/>
  <c r="I1034" i="2"/>
  <c r="J1034" i="2"/>
  <c r="K1034" i="2"/>
  <c r="L1034" i="2"/>
  <c r="M1034" i="2"/>
  <c r="N1034" i="2"/>
  <c r="O1034" i="2"/>
  <c r="P1034" i="2"/>
  <c r="Q1034" i="2"/>
  <c r="R1034" i="2"/>
  <c r="S1034" i="2"/>
  <c r="T1034" i="2"/>
  <c r="U1034" i="2"/>
  <c r="V1034" i="2"/>
  <c r="W1034" i="2"/>
  <c r="X1034" i="2"/>
  <c r="Y1034" i="2"/>
  <c r="A1035" i="2"/>
  <c r="B1035" i="2"/>
  <c r="C1035" i="2"/>
  <c r="D1035" i="2"/>
  <c r="E1035" i="2"/>
  <c r="F1035" i="2"/>
  <c r="G1035" i="2"/>
  <c r="H1035" i="2"/>
  <c r="I1035" i="2"/>
  <c r="J1035" i="2"/>
  <c r="K1035" i="2"/>
  <c r="L1035" i="2"/>
  <c r="M1035" i="2"/>
  <c r="N1035" i="2"/>
  <c r="O1035" i="2"/>
  <c r="P1035" i="2"/>
  <c r="Q1035" i="2"/>
  <c r="R1035" i="2"/>
  <c r="S1035" i="2"/>
  <c r="T1035" i="2"/>
  <c r="U1035" i="2"/>
  <c r="V1035" i="2"/>
  <c r="W1035" i="2"/>
  <c r="X1035" i="2"/>
  <c r="Y1035" i="2"/>
  <c r="B1036" i="2"/>
  <c r="C1036" i="2"/>
  <c r="D1036" i="2"/>
  <c r="E1036" i="2"/>
  <c r="F1036" i="2"/>
  <c r="G1036" i="2"/>
  <c r="H1036" i="2"/>
  <c r="I1036" i="2"/>
  <c r="J1036" i="2"/>
  <c r="K1036" i="2"/>
  <c r="L1036" i="2"/>
  <c r="M1036" i="2"/>
  <c r="N1036" i="2"/>
  <c r="O1036" i="2"/>
  <c r="P1036" i="2"/>
  <c r="Q1036" i="2"/>
  <c r="R1036" i="2"/>
  <c r="S1036" i="2"/>
  <c r="T1036" i="2"/>
  <c r="U1036" i="2"/>
  <c r="V1036" i="2"/>
  <c r="W1036" i="2"/>
  <c r="X1036" i="2"/>
  <c r="Y1036" i="2"/>
  <c r="A1037" i="2"/>
  <c r="B1037" i="2"/>
  <c r="C1037" i="2"/>
  <c r="D1037" i="2"/>
  <c r="E1037" i="2"/>
  <c r="F1037" i="2"/>
  <c r="G1037" i="2"/>
  <c r="H1037" i="2"/>
  <c r="I1037" i="2"/>
  <c r="J1037" i="2"/>
  <c r="K1037" i="2"/>
  <c r="L1037" i="2"/>
  <c r="M1037" i="2"/>
  <c r="N1037" i="2"/>
  <c r="O1037" i="2"/>
  <c r="P1037" i="2"/>
  <c r="Q1037" i="2"/>
  <c r="R1037" i="2"/>
  <c r="S1037" i="2"/>
  <c r="T1037" i="2"/>
  <c r="U1037" i="2"/>
  <c r="V1037" i="2"/>
  <c r="W1037" i="2"/>
  <c r="X1037" i="2"/>
  <c r="Y1037" i="2"/>
  <c r="A1038" i="2"/>
  <c r="B1038" i="2"/>
  <c r="C1038" i="2"/>
  <c r="D1038" i="2"/>
  <c r="E1038" i="2"/>
  <c r="F1038" i="2"/>
  <c r="G1038" i="2"/>
  <c r="H1038" i="2"/>
  <c r="I1038" i="2"/>
  <c r="J1038" i="2"/>
  <c r="K1038" i="2"/>
  <c r="L1038" i="2"/>
  <c r="M1038" i="2"/>
  <c r="N1038" i="2"/>
  <c r="O1038" i="2"/>
  <c r="P1038" i="2"/>
  <c r="Q1038" i="2"/>
  <c r="R1038" i="2"/>
  <c r="S1038" i="2"/>
  <c r="T1038" i="2"/>
  <c r="U1038" i="2"/>
  <c r="V1038" i="2"/>
  <c r="W1038" i="2"/>
  <c r="X1038" i="2"/>
  <c r="Y1038" i="2"/>
  <c r="A1039" i="2"/>
  <c r="B1039" i="2"/>
  <c r="C1039" i="2"/>
  <c r="D1039" i="2"/>
  <c r="E1039" i="2"/>
  <c r="F1039" i="2"/>
  <c r="G1039" i="2"/>
  <c r="H1039" i="2"/>
  <c r="I1039" i="2"/>
  <c r="J1039" i="2"/>
  <c r="K1039" i="2"/>
  <c r="L1039" i="2"/>
  <c r="M1039" i="2"/>
  <c r="N1039" i="2"/>
  <c r="O1039" i="2"/>
  <c r="P1039" i="2"/>
  <c r="Q1039" i="2"/>
  <c r="R1039" i="2"/>
  <c r="S1039" i="2"/>
  <c r="T1039" i="2"/>
  <c r="U1039" i="2"/>
  <c r="V1039" i="2"/>
  <c r="W1039" i="2"/>
  <c r="X1039" i="2"/>
  <c r="Y1039" i="2"/>
  <c r="A1040" i="2"/>
  <c r="B1040" i="2"/>
  <c r="C1040" i="2"/>
  <c r="D1040" i="2"/>
  <c r="E1040" i="2"/>
  <c r="F1040" i="2"/>
  <c r="G1040" i="2"/>
  <c r="H1040" i="2"/>
  <c r="I1040" i="2"/>
  <c r="J1040" i="2"/>
  <c r="K1040" i="2"/>
  <c r="L1040" i="2"/>
  <c r="M1040" i="2"/>
  <c r="N1040" i="2"/>
  <c r="O1040" i="2"/>
  <c r="P1040" i="2"/>
  <c r="Q1040" i="2"/>
  <c r="R1040" i="2"/>
  <c r="S1040" i="2"/>
  <c r="T1040" i="2"/>
  <c r="U1040" i="2"/>
  <c r="V1040" i="2"/>
  <c r="W1040" i="2"/>
  <c r="X1040" i="2"/>
  <c r="Y1040" i="2"/>
  <c r="A1041" i="2"/>
  <c r="B1041" i="2"/>
  <c r="C1041" i="2"/>
  <c r="D1041" i="2"/>
  <c r="E1041" i="2"/>
  <c r="F1041" i="2"/>
  <c r="G1041" i="2"/>
  <c r="H1041" i="2"/>
  <c r="I1041" i="2"/>
  <c r="J1041" i="2"/>
  <c r="K1041" i="2"/>
  <c r="L1041" i="2"/>
  <c r="M1041" i="2"/>
  <c r="N1041" i="2"/>
  <c r="O1041" i="2"/>
  <c r="P1041" i="2"/>
  <c r="Q1041" i="2"/>
  <c r="R1041" i="2"/>
  <c r="S1041" i="2"/>
  <c r="T1041" i="2"/>
  <c r="U1041" i="2"/>
  <c r="V1041" i="2"/>
  <c r="W1041" i="2"/>
  <c r="X1041" i="2"/>
  <c r="Y1041" i="2"/>
  <c r="A1042" i="2"/>
  <c r="B1042" i="2"/>
  <c r="C1042" i="2"/>
  <c r="D1042" i="2"/>
  <c r="E1042" i="2"/>
  <c r="F1042" i="2"/>
  <c r="G1042" i="2"/>
  <c r="H1042" i="2"/>
  <c r="I1042" i="2"/>
  <c r="J1042" i="2"/>
  <c r="K1042" i="2"/>
  <c r="L1042" i="2"/>
  <c r="M1042" i="2"/>
  <c r="N1042" i="2"/>
  <c r="O1042" i="2"/>
  <c r="P1042" i="2"/>
  <c r="Q1042" i="2"/>
  <c r="R1042" i="2"/>
  <c r="S1042" i="2"/>
  <c r="T1042" i="2"/>
  <c r="U1042" i="2"/>
  <c r="V1042" i="2"/>
  <c r="W1042" i="2"/>
  <c r="X1042" i="2"/>
  <c r="Y1042" i="2"/>
  <c r="A1043" i="2"/>
  <c r="B1043" i="2"/>
  <c r="C1043" i="2"/>
  <c r="D1043" i="2"/>
  <c r="E1043" i="2"/>
  <c r="F1043" i="2"/>
  <c r="G1043" i="2"/>
  <c r="H1043" i="2"/>
  <c r="I1043" i="2"/>
  <c r="J1043" i="2"/>
  <c r="K1043" i="2"/>
  <c r="L1043" i="2"/>
  <c r="M1043" i="2"/>
  <c r="N1043" i="2"/>
  <c r="O1043" i="2"/>
  <c r="P1043" i="2"/>
  <c r="Q1043" i="2"/>
  <c r="R1043" i="2"/>
  <c r="S1043" i="2"/>
  <c r="T1043" i="2"/>
  <c r="U1043" i="2"/>
  <c r="V1043" i="2"/>
  <c r="W1043" i="2"/>
  <c r="X1043" i="2"/>
  <c r="Y1043" i="2"/>
  <c r="A1044" i="2"/>
  <c r="B1044" i="2"/>
  <c r="C1044" i="2"/>
  <c r="D1044" i="2"/>
  <c r="E1044" i="2"/>
  <c r="F1044" i="2"/>
  <c r="G1044" i="2"/>
  <c r="H1044" i="2"/>
  <c r="I1044" i="2"/>
  <c r="J1044" i="2"/>
  <c r="K1044" i="2"/>
  <c r="L1044" i="2"/>
  <c r="M1044" i="2"/>
  <c r="N1044" i="2"/>
  <c r="O1044" i="2"/>
  <c r="P1044" i="2"/>
  <c r="Q1044" i="2"/>
  <c r="R1044" i="2"/>
  <c r="S1044" i="2"/>
  <c r="T1044" i="2"/>
  <c r="U1044" i="2"/>
  <c r="V1044" i="2"/>
  <c r="W1044" i="2"/>
  <c r="X1044" i="2"/>
  <c r="Y1044" i="2"/>
  <c r="A1045" i="2"/>
  <c r="B1045" i="2"/>
  <c r="C1045" i="2"/>
  <c r="D1045" i="2"/>
  <c r="E1045" i="2"/>
  <c r="F1045" i="2"/>
  <c r="G1045" i="2"/>
  <c r="H1045" i="2"/>
  <c r="I1045" i="2"/>
  <c r="J1045" i="2"/>
  <c r="K1045" i="2"/>
  <c r="L1045" i="2"/>
  <c r="M1045" i="2"/>
  <c r="N1045" i="2"/>
  <c r="O1045" i="2"/>
  <c r="P1045" i="2"/>
  <c r="Q1045" i="2"/>
  <c r="R1045" i="2"/>
  <c r="S1045" i="2"/>
  <c r="T1045" i="2"/>
  <c r="U1045" i="2"/>
  <c r="V1045" i="2"/>
  <c r="W1045" i="2"/>
  <c r="X1045" i="2"/>
  <c r="Y1045" i="2"/>
  <c r="A1046" i="2"/>
  <c r="B1046" i="2"/>
  <c r="C1046" i="2"/>
  <c r="D1046" i="2"/>
  <c r="E1046" i="2"/>
  <c r="F1046" i="2"/>
  <c r="G1046" i="2"/>
  <c r="H1046" i="2"/>
  <c r="I1046" i="2"/>
  <c r="J1046" i="2"/>
  <c r="K1046" i="2"/>
  <c r="L1046" i="2"/>
  <c r="M1046" i="2"/>
  <c r="N1046" i="2"/>
  <c r="O1046" i="2"/>
  <c r="P1046" i="2"/>
  <c r="Q1046" i="2"/>
  <c r="R1046" i="2"/>
  <c r="S1046" i="2"/>
  <c r="T1046" i="2"/>
  <c r="U1046" i="2"/>
  <c r="V1046" i="2"/>
  <c r="W1046" i="2"/>
  <c r="X1046" i="2"/>
  <c r="Y1046" i="2"/>
  <c r="A1047" i="2"/>
  <c r="B1047" i="2"/>
  <c r="C1047" i="2"/>
  <c r="D1047" i="2"/>
  <c r="E1047" i="2"/>
  <c r="F1047" i="2"/>
  <c r="G1047" i="2"/>
  <c r="H1047" i="2"/>
  <c r="I1047" i="2"/>
  <c r="J1047" i="2"/>
  <c r="K1047" i="2"/>
  <c r="L1047" i="2"/>
  <c r="M1047" i="2"/>
  <c r="N1047" i="2"/>
  <c r="O1047" i="2"/>
  <c r="P1047" i="2"/>
  <c r="Q1047" i="2"/>
  <c r="R1047" i="2"/>
  <c r="S1047" i="2"/>
  <c r="T1047" i="2"/>
  <c r="U1047" i="2"/>
  <c r="V1047" i="2"/>
  <c r="W1047" i="2"/>
  <c r="X1047" i="2"/>
  <c r="Y1047" i="2"/>
  <c r="B1048" i="2"/>
  <c r="C1048" i="2"/>
  <c r="D1048" i="2"/>
  <c r="E1048" i="2"/>
  <c r="F1048" i="2"/>
  <c r="G1048" i="2"/>
  <c r="H1048" i="2"/>
  <c r="I1048" i="2"/>
  <c r="J1048" i="2"/>
  <c r="K1048" i="2"/>
  <c r="L1048" i="2"/>
  <c r="M1048" i="2"/>
  <c r="N1048" i="2"/>
  <c r="O1048" i="2"/>
  <c r="P1048" i="2"/>
  <c r="Q1048" i="2"/>
  <c r="R1048" i="2"/>
  <c r="S1048" i="2"/>
  <c r="T1048" i="2"/>
  <c r="U1048" i="2"/>
  <c r="V1048" i="2"/>
  <c r="W1048" i="2"/>
  <c r="X1048" i="2"/>
  <c r="Y1048" i="2"/>
  <c r="A1049" i="2"/>
  <c r="B1049" i="2"/>
  <c r="C1049" i="2"/>
  <c r="D1049" i="2"/>
  <c r="E1049" i="2"/>
  <c r="F1049" i="2"/>
  <c r="G1049" i="2"/>
  <c r="H1049" i="2"/>
  <c r="I1049" i="2"/>
  <c r="J1049" i="2"/>
  <c r="K1049" i="2"/>
  <c r="L1049" i="2"/>
  <c r="M1049" i="2"/>
  <c r="N1049" i="2"/>
  <c r="O1049" i="2"/>
  <c r="P1049" i="2"/>
  <c r="Q1049" i="2"/>
  <c r="R1049" i="2"/>
  <c r="S1049" i="2"/>
  <c r="T1049" i="2"/>
  <c r="U1049" i="2"/>
  <c r="V1049" i="2"/>
  <c r="W1049" i="2"/>
  <c r="X1049" i="2"/>
  <c r="Y1049" i="2"/>
  <c r="A1050" i="2"/>
  <c r="B1050" i="2"/>
  <c r="C1050" i="2"/>
  <c r="D1050" i="2"/>
  <c r="E1050" i="2"/>
  <c r="F1050" i="2"/>
  <c r="G1050" i="2"/>
  <c r="H1050" i="2"/>
  <c r="I1050" i="2"/>
  <c r="J1050" i="2"/>
  <c r="K1050" i="2"/>
  <c r="L1050" i="2"/>
  <c r="M1050" i="2"/>
  <c r="N1050" i="2"/>
  <c r="O1050" i="2"/>
  <c r="P1050" i="2"/>
  <c r="Q1050" i="2"/>
  <c r="R1050" i="2"/>
  <c r="S1050" i="2"/>
  <c r="T1050" i="2"/>
  <c r="U1050" i="2"/>
  <c r="V1050" i="2"/>
  <c r="W1050" i="2"/>
  <c r="X1050" i="2"/>
  <c r="Y1050" i="2"/>
  <c r="A1051" i="2"/>
  <c r="B1051" i="2"/>
  <c r="C1051" i="2"/>
  <c r="D1051" i="2"/>
  <c r="E1051" i="2"/>
  <c r="F1051" i="2"/>
  <c r="G1051" i="2"/>
  <c r="H1051" i="2"/>
  <c r="I1051" i="2"/>
  <c r="J1051" i="2"/>
  <c r="K1051" i="2"/>
  <c r="L1051" i="2"/>
  <c r="M1051" i="2"/>
  <c r="N1051" i="2"/>
  <c r="O1051" i="2"/>
  <c r="P1051" i="2"/>
  <c r="Q1051" i="2"/>
  <c r="R1051" i="2"/>
  <c r="S1051" i="2"/>
  <c r="T1051" i="2"/>
  <c r="U1051" i="2"/>
  <c r="V1051" i="2"/>
  <c r="W1051" i="2"/>
  <c r="X1051" i="2"/>
  <c r="Y1051" i="2"/>
  <c r="B1052" i="2"/>
  <c r="C1052" i="2"/>
  <c r="D1052" i="2"/>
  <c r="E1052" i="2"/>
  <c r="F1052" i="2"/>
  <c r="G1052" i="2"/>
  <c r="H1052" i="2"/>
  <c r="I1052" i="2"/>
  <c r="J1052" i="2"/>
  <c r="K1052" i="2"/>
  <c r="L1052" i="2"/>
  <c r="M1052" i="2"/>
  <c r="N1052" i="2"/>
  <c r="O1052" i="2"/>
  <c r="P1052" i="2"/>
  <c r="Q1052" i="2"/>
  <c r="R1052" i="2"/>
  <c r="S1052" i="2"/>
  <c r="T1052" i="2"/>
  <c r="U1052" i="2"/>
  <c r="V1052" i="2"/>
  <c r="W1052" i="2"/>
  <c r="X1052" i="2"/>
  <c r="Y1052" i="2"/>
  <c r="A1053" i="2"/>
  <c r="B1053" i="2"/>
  <c r="C1053" i="2"/>
  <c r="D1053" i="2"/>
  <c r="E1053" i="2"/>
  <c r="F1053" i="2"/>
  <c r="G1053" i="2"/>
  <c r="H1053" i="2"/>
  <c r="I1053" i="2"/>
  <c r="J1053" i="2"/>
  <c r="K1053" i="2"/>
  <c r="L1053" i="2"/>
  <c r="M1053" i="2"/>
  <c r="N1053" i="2"/>
  <c r="O1053" i="2"/>
  <c r="P1053" i="2"/>
  <c r="Q1053" i="2"/>
  <c r="R1053" i="2"/>
  <c r="S1053" i="2"/>
  <c r="T1053" i="2"/>
  <c r="U1053" i="2"/>
  <c r="V1053" i="2"/>
  <c r="W1053" i="2"/>
  <c r="X1053" i="2"/>
  <c r="Y1053" i="2"/>
  <c r="A1054" i="2"/>
  <c r="B1054" i="2"/>
  <c r="C1054" i="2"/>
  <c r="D1054" i="2"/>
  <c r="E1054" i="2"/>
  <c r="F1054" i="2"/>
  <c r="G1054" i="2"/>
  <c r="H1054" i="2"/>
  <c r="I1054" i="2"/>
  <c r="J1054" i="2"/>
  <c r="K1054" i="2"/>
  <c r="L1054" i="2"/>
  <c r="M1054" i="2"/>
  <c r="N1054" i="2"/>
  <c r="O1054" i="2"/>
  <c r="P1054" i="2"/>
  <c r="Q1054" i="2"/>
  <c r="R1054" i="2"/>
  <c r="S1054" i="2"/>
  <c r="T1054" i="2"/>
  <c r="U1054" i="2"/>
  <c r="V1054" i="2"/>
  <c r="W1054" i="2"/>
  <c r="X1054" i="2"/>
  <c r="Y1054" i="2"/>
  <c r="A1055" i="2"/>
  <c r="B1055" i="2"/>
  <c r="C1055" i="2"/>
  <c r="D1055" i="2"/>
  <c r="E1055" i="2"/>
  <c r="F1055" i="2"/>
  <c r="G1055" i="2"/>
  <c r="H1055" i="2"/>
  <c r="I1055" i="2"/>
  <c r="J1055" i="2"/>
  <c r="K1055" i="2"/>
  <c r="L1055" i="2"/>
  <c r="M1055" i="2"/>
  <c r="N1055" i="2"/>
  <c r="O1055" i="2"/>
  <c r="P1055" i="2"/>
  <c r="Q1055" i="2"/>
  <c r="R1055" i="2"/>
  <c r="S1055" i="2"/>
  <c r="T1055" i="2"/>
  <c r="U1055" i="2"/>
  <c r="V1055" i="2"/>
  <c r="W1055" i="2"/>
  <c r="X1055" i="2"/>
  <c r="Y1055" i="2"/>
  <c r="A1056" i="2"/>
  <c r="B1056" i="2"/>
  <c r="C1056" i="2"/>
  <c r="D1056" i="2"/>
  <c r="E1056" i="2"/>
  <c r="F1056" i="2"/>
  <c r="G1056" i="2"/>
  <c r="H1056" i="2"/>
  <c r="I1056" i="2"/>
  <c r="J1056" i="2"/>
  <c r="K1056" i="2"/>
  <c r="L1056" i="2"/>
  <c r="M1056" i="2"/>
  <c r="N1056" i="2"/>
  <c r="O1056" i="2"/>
  <c r="P1056" i="2"/>
  <c r="Q1056" i="2"/>
  <c r="R1056" i="2"/>
  <c r="S1056" i="2"/>
  <c r="T1056" i="2"/>
  <c r="U1056" i="2"/>
  <c r="V1056" i="2"/>
  <c r="W1056" i="2"/>
  <c r="X1056" i="2"/>
  <c r="Y1056" i="2"/>
  <c r="A1057" i="2"/>
  <c r="B1057" i="2"/>
  <c r="C1057" i="2"/>
  <c r="D1057" i="2"/>
  <c r="E1057" i="2"/>
  <c r="F1057" i="2"/>
  <c r="G1057" i="2"/>
  <c r="H1057" i="2"/>
  <c r="I1057" i="2"/>
  <c r="J1057" i="2"/>
  <c r="K1057" i="2"/>
  <c r="L1057" i="2"/>
  <c r="M1057" i="2"/>
  <c r="N1057" i="2"/>
  <c r="O1057" i="2"/>
  <c r="P1057" i="2"/>
  <c r="Q1057" i="2"/>
  <c r="R1057" i="2"/>
  <c r="S1057" i="2"/>
  <c r="T1057" i="2"/>
  <c r="U1057" i="2"/>
  <c r="V1057" i="2"/>
  <c r="W1057" i="2"/>
  <c r="X1057" i="2"/>
  <c r="Y1057" i="2"/>
  <c r="A1058" i="2"/>
  <c r="B1058" i="2"/>
  <c r="C1058" i="2"/>
  <c r="D1058" i="2"/>
  <c r="E1058" i="2"/>
  <c r="F1058" i="2"/>
  <c r="G1058" i="2"/>
  <c r="H1058" i="2"/>
  <c r="I1058" i="2"/>
  <c r="J1058" i="2"/>
  <c r="K1058" i="2"/>
  <c r="L1058" i="2"/>
  <c r="M1058" i="2"/>
  <c r="N1058" i="2"/>
  <c r="O1058" i="2"/>
  <c r="P1058" i="2"/>
  <c r="Q1058" i="2"/>
  <c r="R1058" i="2"/>
  <c r="S1058" i="2"/>
  <c r="T1058" i="2"/>
  <c r="U1058" i="2"/>
  <c r="V1058" i="2"/>
  <c r="W1058" i="2"/>
  <c r="X1058" i="2"/>
  <c r="Y1058" i="2"/>
  <c r="A1059" i="2"/>
  <c r="B1059" i="2"/>
  <c r="C1059" i="2"/>
  <c r="D1059" i="2"/>
  <c r="E1059" i="2"/>
  <c r="F1059" i="2"/>
  <c r="G1059" i="2"/>
  <c r="H1059" i="2"/>
  <c r="I1059" i="2"/>
  <c r="J1059" i="2"/>
  <c r="K1059" i="2"/>
  <c r="L1059" i="2"/>
  <c r="M1059" i="2"/>
  <c r="N1059" i="2"/>
  <c r="O1059" i="2"/>
  <c r="P1059" i="2"/>
  <c r="Q1059" i="2"/>
  <c r="R1059" i="2"/>
  <c r="S1059" i="2"/>
  <c r="T1059" i="2"/>
  <c r="U1059" i="2"/>
  <c r="V1059" i="2"/>
  <c r="W1059" i="2"/>
  <c r="X1059" i="2"/>
  <c r="Y1059" i="2"/>
  <c r="A1060" i="2"/>
  <c r="B1060" i="2"/>
  <c r="C1060" i="2"/>
  <c r="D1060" i="2"/>
  <c r="E1060" i="2"/>
  <c r="F1060" i="2"/>
  <c r="G1060" i="2"/>
  <c r="H1060" i="2"/>
  <c r="I1060" i="2"/>
  <c r="J1060" i="2"/>
  <c r="K1060" i="2"/>
  <c r="L1060" i="2"/>
  <c r="M1060" i="2"/>
  <c r="N1060" i="2"/>
  <c r="O1060" i="2"/>
  <c r="P1060" i="2"/>
  <c r="Q1060" i="2"/>
  <c r="R1060" i="2"/>
  <c r="S1060" i="2"/>
  <c r="T1060" i="2"/>
  <c r="U1060" i="2"/>
  <c r="V1060" i="2"/>
  <c r="W1060" i="2"/>
  <c r="X1060" i="2"/>
  <c r="Y1060" i="2"/>
  <c r="A1061" i="2"/>
  <c r="B1061" i="2"/>
  <c r="C1061" i="2"/>
  <c r="D1061" i="2"/>
  <c r="E1061" i="2"/>
  <c r="F1061" i="2"/>
  <c r="G1061" i="2"/>
  <c r="H1061" i="2"/>
  <c r="I1061" i="2"/>
  <c r="J1061" i="2"/>
  <c r="K1061" i="2"/>
  <c r="L1061" i="2"/>
  <c r="M1061" i="2"/>
  <c r="N1061" i="2"/>
  <c r="O1061" i="2"/>
  <c r="P1061" i="2"/>
  <c r="Q1061" i="2"/>
  <c r="R1061" i="2"/>
  <c r="S1061" i="2"/>
  <c r="T1061" i="2"/>
  <c r="U1061" i="2"/>
  <c r="V1061" i="2"/>
  <c r="W1061" i="2"/>
  <c r="X1061" i="2"/>
  <c r="Y1061" i="2"/>
  <c r="A1062" i="2"/>
  <c r="B1062" i="2"/>
  <c r="C1062" i="2"/>
  <c r="D1062" i="2"/>
  <c r="E1062" i="2"/>
  <c r="F1062" i="2"/>
  <c r="G1062" i="2"/>
  <c r="H1062" i="2"/>
  <c r="I1062" i="2"/>
  <c r="J1062" i="2"/>
  <c r="K1062" i="2"/>
  <c r="L1062" i="2"/>
  <c r="M1062" i="2"/>
  <c r="N1062" i="2"/>
  <c r="O1062" i="2"/>
  <c r="P1062" i="2"/>
  <c r="Q1062" i="2"/>
  <c r="R1062" i="2"/>
  <c r="S1062" i="2"/>
  <c r="T1062" i="2"/>
  <c r="U1062" i="2"/>
  <c r="V1062" i="2"/>
  <c r="W1062" i="2"/>
  <c r="X1062" i="2"/>
  <c r="Y1062" i="2"/>
  <c r="A1063" i="2"/>
  <c r="B1063" i="2"/>
  <c r="C1063" i="2"/>
  <c r="D1063" i="2"/>
  <c r="E1063" i="2"/>
  <c r="F1063" i="2"/>
  <c r="G1063" i="2"/>
  <c r="H1063" i="2"/>
  <c r="I1063" i="2"/>
  <c r="J1063" i="2"/>
  <c r="K1063" i="2"/>
  <c r="L1063" i="2"/>
  <c r="M1063" i="2"/>
  <c r="N1063" i="2"/>
  <c r="O1063" i="2"/>
  <c r="P1063" i="2"/>
  <c r="Q1063" i="2"/>
  <c r="R1063" i="2"/>
  <c r="S1063" i="2"/>
  <c r="T1063" i="2"/>
  <c r="U1063" i="2"/>
  <c r="V1063" i="2"/>
  <c r="W1063" i="2"/>
  <c r="X1063" i="2"/>
  <c r="Y1063" i="2"/>
  <c r="B1064" i="2"/>
  <c r="C1064" i="2"/>
  <c r="D1064" i="2"/>
  <c r="E1064" i="2"/>
  <c r="F1064" i="2"/>
  <c r="G1064" i="2"/>
  <c r="H1064" i="2"/>
  <c r="I1064" i="2"/>
  <c r="J1064" i="2"/>
  <c r="K1064" i="2"/>
  <c r="L1064" i="2"/>
  <c r="M1064" i="2"/>
  <c r="N1064" i="2"/>
  <c r="O1064" i="2"/>
  <c r="P1064" i="2"/>
  <c r="Q1064" i="2"/>
  <c r="R1064" i="2"/>
  <c r="S1064" i="2"/>
  <c r="T1064" i="2"/>
  <c r="U1064" i="2"/>
  <c r="V1064" i="2"/>
  <c r="W1064" i="2"/>
  <c r="X1064" i="2"/>
  <c r="Y1064" i="2"/>
  <c r="A1065" i="2"/>
  <c r="B1065" i="2"/>
  <c r="C1065" i="2"/>
  <c r="D1065" i="2"/>
  <c r="E1065" i="2"/>
  <c r="F1065" i="2"/>
  <c r="G1065" i="2"/>
  <c r="H1065" i="2"/>
  <c r="I1065" i="2"/>
  <c r="J1065" i="2"/>
  <c r="K1065" i="2"/>
  <c r="L1065" i="2"/>
  <c r="M1065" i="2"/>
  <c r="N1065" i="2"/>
  <c r="O1065" i="2"/>
  <c r="P1065" i="2"/>
  <c r="Q1065" i="2"/>
  <c r="R1065" i="2"/>
  <c r="S1065" i="2"/>
  <c r="T1065" i="2"/>
  <c r="U1065" i="2"/>
  <c r="V1065" i="2"/>
  <c r="W1065" i="2"/>
  <c r="X1065" i="2"/>
  <c r="Y1065" i="2"/>
  <c r="A1066" i="2"/>
  <c r="B1066" i="2"/>
  <c r="C1066" i="2"/>
  <c r="D1066" i="2"/>
  <c r="E1066" i="2"/>
  <c r="F1066" i="2"/>
  <c r="G1066" i="2"/>
  <c r="H1066" i="2"/>
  <c r="I1066" i="2"/>
  <c r="J1066" i="2"/>
  <c r="K1066" i="2"/>
  <c r="L1066" i="2"/>
  <c r="M1066" i="2"/>
  <c r="N1066" i="2"/>
  <c r="O1066" i="2"/>
  <c r="P1066" i="2"/>
  <c r="Q1066" i="2"/>
  <c r="R1066" i="2"/>
  <c r="S1066" i="2"/>
  <c r="T1066" i="2"/>
  <c r="U1066" i="2"/>
  <c r="V1066" i="2"/>
  <c r="W1066" i="2"/>
  <c r="X1066" i="2"/>
  <c r="Y1066" i="2"/>
  <c r="A1067" i="2"/>
  <c r="B1067" i="2"/>
  <c r="C1067" i="2"/>
  <c r="D1067" i="2"/>
  <c r="E1067" i="2"/>
  <c r="F1067" i="2"/>
  <c r="G1067" i="2"/>
  <c r="H1067" i="2"/>
  <c r="I1067" i="2"/>
  <c r="J1067" i="2"/>
  <c r="K1067" i="2"/>
  <c r="L1067" i="2"/>
  <c r="M1067" i="2"/>
  <c r="N1067" i="2"/>
  <c r="O1067" i="2"/>
  <c r="P1067" i="2"/>
  <c r="Q1067" i="2"/>
  <c r="R1067" i="2"/>
  <c r="S1067" i="2"/>
  <c r="T1067" i="2"/>
  <c r="U1067" i="2"/>
  <c r="V1067" i="2"/>
  <c r="W1067" i="2"/>
  <c r="X1067" i="2"/>
  <c r="Y1067" i="2"/>
  <c r="B1068" i="2"/>
  <c r="C1068" i="2"/>
  <c r="D1068" i="2"/>
  <c r="E1068" i="2"/>
  <c r="F1068" i="2"/>
  <c r="G1068" i="2"/>
  <c r="H1068" i="2"/>
  <c r="I1068" i="2"/>
  <c r="J1068" i="2"/>
  <c r="K1068" i="2"/>
  <c r="L1068" i="2"/>
  <c r="M1068" i="2"/>
  <c r="N1068" i="2"/>
  <c r="O1068" i="2"/>
  <c r="P1068" i="2"/>
  <c r="Q1068" i="2"/>
  <c r="R1068" i="2"/>
  <c r="S1068" i="2"/>
  <c r="T1068" i="2"/>
  <c r="U1068" i="2"/>
  <c r="V1068" i="2"/>
  <c r="W1068" i="2"/>
  <c r="X1068" i="2"/>
  <c r="Y1068" i="2"/>
  <c r="A1069" i="2"/>
  <c r="B1069" i="2"/>
  <c r="C1069" i="2"/>
  <c r="D1069" i="2"/>
  <c r="E1069" i="2"/>
  <c r="F1069" i="2"/>
  <c r="G1069" i="2"/>
  <c r="H1069" i="2"/>
  <c r="I1069" i="2"/>
  <c r="J1069" i="2"/>
  <c r="K1069" i="2"/>
  <c r="L1069" i="2"/>
  <c r="M1069" i="2"/>
  <c r="N1069" i="2"/>
  <c r="O1069" i="2"/>
  <c r="P1069" i="2"/>
  <c r="Q1069" i="2"/>
  <c r="R1069" i="2"/>
  <c r="S1069" i="2"/>
  <c r="T1069" i="2"/>
  <c r="U1069" i="2"/>
  <c r="V1069" i="2"/>
  <c r="W1069" i="2"/>
  <c r="X1069" i="2"/>
  <c r="Y1069" i="2"/>
  <c r="A1070" i="2"/>
  <c r="B1070" i="2"/>
  <c r="C1070" i="2"/>
  <c r="D1070" i="2"/>
  <c r="E1070" i="2"/>
  <c r="F1070" i="2"/>
  <c r="G1070" i="2"/>
  <c r="H1070" i="2"/>
  <c r="I1070" i="2"/>
  <c r="J1070" i="2"/>
  <c r="K1070" i="2"/>
  <c r="L1070" i="2"/>
  <c r="M1070" i="2"/>
  <c r="N1070" i="2"/>
  <c r="O1070" i="2"/>
  <c r="P1070" i="2"/>
  <c r="Q1070" i="2"/>
  <c r="R1070" i="2"/>
  <c r="S1070" i="2"/>
  <c r="T1070" i="2"/>
  <c r="U1070" i="2"/>
  <c r="V1070" i="2"/>
  <c r="W1070" i="2"/>
  <c r="X1070" i="2"/>
  <c r="Y1070" i="2"/>
  <c r="A1071" i="2"/>
  <c r="B1071" i="2"/>
  <c r="C1071" i="2"/>
  <c r="D1071" i="2"/>
  <c r="E1071" i="2"/>
  <c r="F1071" i="2"/>
  <c r="G1071" i="2"/>
  <c r="H1071" i="2"/>
  <c r="I1071" i="2"/>
  <c r="J1071" i="2"/>
  <c r="K1071" i="2"/>
  <c r="L1071" i="2"/>
  <c r="M1071" i="2"/>
  <c r="N1071" i="2"/>
  <c r="O1071" i="2"/>
  <c r="P1071" i="2"/>
  <c r="Q1071" i="2"/>
  <c r="R1071" i="2"/>
  <c r="S1071" i="2"/>
  <c r="T1071" i="2"/>
  <c r="U1071" i="2"/>
  <c r="V1071" i="2"/>
  <c r="W1071" i="2"/>
  <c r="X1071" i="2"/>
  <c r="Y1071" i="2"/>
  <c r="A1072" i="2"/>
  <c r="B1072" i="2"/>
  <c r="C1072" i="2"/>
  <c r="D1072" i="2"/>
  <c r="E1072" i="2"/>
  <c r="F1072" i="2"/>
  <c r="G1072" i="2"/>
  <c r="H1072" i="2"/>
  <c r="I1072" i="2"/>
  <c r="J1072" i="2"/>
  <c r="K1072" i="2"/>
  <c r="L1072" i="2"/>
  <c r="M1072" i="2"/>
  <c r="N1072" i="2"/>
  <c r="O1072" i="2"/>
  <c r="P1072" i="2"/>
  <c r="Q1072" i="2"/>
  <c r="R1072" i="2"/>
  <c r="S1072" i="2"/>
  <c r="T1072" i="2"/>
  <c r="U1072" i="2"/>
  <c r="V1072" i="2"/>
  <c r="W1072" i="2"/>
  <c r="X1072" i="2"/>
  <c r="Y1072" i="2"/>
  <c r="A1073" i="2"/>
  <c r="B1073" i="2"/>
  <c r="C1073" i="2"/>
  <c r="D1073" i="2"/>
  <c r="E1073" i="2"/>
  <c r="F1073" i="2"/>
  <c r="G1073" i="2"/>
  <c r="H1073" i="2"/>
  <c r="I1073" i="2"/>
  <c r="J1073" i="2"/>
  <c r="K1073" i="2"/>
  <c r="L1073" i="2"/>
  <c r="M1073" i="2"/>
  <c r="N1073" i="2"/>
  <c r="O1073" i="2"/>
  <c r="P1073" i="2"/>
  <c r="Q1073" i="2"/>
  <c r="R1073" i="2"/>
  <c r="S1073" i="2"/>
  <c r="T1073" i="2"/>
  <c r="U1073" i="2"/>
  <c r="V1073" i="2"/>
  <c r="W1073" i="2"/>
  <c r="X1073" i="2"/>
  <c r="Y1073" i="2"/>
  <c r="A1074" i="2"/>
  <c r="B1074" i="2"/>
  <c r="C1074" i="2"/>
  <c r="D1074" i="2"/>
  <c r="E1074" i="2"/>
  <c r="F1074" i="2"/>
  <c r="G1074" i="2"/>
  <c r="H1074" i="2"/>
  <c r="I1074" i="2"/>
  <c r="J1074" i="2"/>
  <c r="K1074" i="2"/>
  <c r="L1074" i="2"/>
  <c r="M1074" i="2"/>
  <c r="N1074" i="2"/>
  <c r="O1074" i="2"/>
  <c r="P1074" i="2"/>
  <c r="Q1074" i="2"/>
  <c r="R1074" i="2"/>
  <c r="S1074" i="2"/>
  <c r="T1074" i="2"/>
  <c r="U1074" i="2"/>
  <c r="V1074" i="2"/>
  <c r="W1074" i="2"/>
  <c r="X1074" i="2"/>
  <c r="Y1074" i="2"/>
  <c r="A1075" i="2"/>
  <c r="B1075" i="2"/>
  <c r="C1075" i="2"/>
  <c r="D1075" i="2"/>
  <c r="E1075" i="2"/>
  <c r="F1075" i="2"/>
  <c r="G1075" i="2"/>
  <c r="H1075" i="2"/>
  <c r="I1075" i="2"/>
  <c r="J1075" i="2"/>
  <c r="K1075" i="2"/>
  <c r="L1075" i="2"/>
  <c r="M1075" i="2"/>
  <c r="N1075" i="2"/>
  <c r="O1075" i="2"/>
  <c r="P1075" i="2"/>
  <c r="Q1075" i="2"/>
  <c r="R1075" i="2"/>
  <c r="S1075" i="2"/>
  <c r="T1075" i="2"/>
  <c r="U1075" i="2"/>
  <c r="V1075" i="2"/>
  <c r="W1075" i="2"/>
  <c r="X1075" i="2"/>
  <c r="Y1075" i="2"/>
  <c r="A1076" i="2"/>
  <c r="B1076" i="2"/>
  <c r="C1076" i="2"/>
  <c r="D1076" i="2"/>
  <c r="E1076" i="2"/>
  <c r="F1076" i="2"/>
  <c r="G1076" i="2"/>
  <c r="H1076" i="2"/>
  <c r="I1076" i="2"/>
  <c r="J1076" i="2"/>
  <c r="K1076" i="2"/>
  <c r="L1076" i="2"/>
  <c r="M1076" i="2"/>
  <c r="N1076" i="2"/>
  <c r="O1076" i="2"/>
  <c r="P1076" i="2"/>
  <c r="Q1076" i="2"/>
  <c r="R1076" i="2"/>
  <c r="S1076" i="2"/>
  <c r="T1076" i="2"/>
  <c r="U1076" i="2"/>
  <c r="V1076" i="2"/>
  <c r="W1076" i="2"/>
  <c r="X1076" i="2"/>
  <c r="Y1076" i="2"/>
  <c r="A1077" i="2"/>
  <c r="B1077" i="2"/>
  <c r="C1077" i="2"/>
  <c r="D1077" i="2"/>
  <c r="E1077" i="2"/>
  <c r="F1077" i="2"/>
  <c r="G1077" i="2"/>
  <c r="H1077" i="2"/>
  <c r="I1077" i="2"/>
  <c r="J1077" i="2"/>
  <c r="K1077" i="2"/>
  <c r="L1077" i="2"/>
  <c r="M1077" i="2"/>
  <c r="N1077" i="2"/>
  <c r="O1077" i="2"/>
  <c r="P1077" i="2"/>
  <c r="Q1077" i="2"/>
  <c r="R1077" i="2"/>
  <c r="S1077" i="2"/>
  <c r="T1077" i="2"/>
  <c r="U1077" i="2"/>
  <c r="V1077" i="2"/>
  <c r="W1077" i="2"/>
  <c r="X1077" i="2"/>
  <c r="Y1077" i="2"/>
  <c r="A1078" i="2"/>
  <c r="B1078" i="2"/>
  <c r="C1078" i="2"/>
  <c r="D1078" i="2"/>
  <c r="E1078" i="2"/>
  <c r="F1078" i="2"/>
  <c r="G1078" i="2"/>
  <c r="H1078" i="2"/>
  <c r="I1078" i="2"/>
  <c r="J1078" i="2"/>
  <c r="K1078" i="2"/>
  <c r="L1078" i="2"/>
  <c r="M1078" i="2"/>
  <c r="N1078" i="2"/>
  <c r="O1078" i="2"/>
  <c r="P1078" i="2"/>
  <c r="Q1078" i="2"/>
  <c r="R1078" i="2"/>
  <c r="S1078" i="2"/>
  <c r="T1078" i="2"/>
  <c r="U1078" i="2"/>
  <c r="V1078" i="2"/>
  <c r="W1078" i="2"/>
  <c r="X1078" i="2"/>
  <c r="Y1078" i="2"/>
  <c r="A1079" i="2"/>
  <c r="B1079" i="2"/>
  <c r="C1079" i="2"/>
  <c r="D1079" i="2"/>
  <c r="E1079" i="2"/>
  <c r="F1079" i="2"/>
  <c r="G1079" i="2"/>
  <c r="H1079" i="2"/>
  <c r="I1079" i="2"/>
  <c r="J1079" i="2"/>
  <c r="K1079" i="2"/>
  <c r="L1079" i="2"/>
  <c r="M1079" i="2"/>
  <c r="N1079" i="2"/>
  <c r="O1079" i="2"/>
  <c r="P1079" i="2"/>
  <c r="Q1079" i="2"/>
  <c r="R1079" i="2"/>
  <c r="S1079" i="2"/>
  <c r="T1079" i="2"/>
  <c r="U1079" i="2"/>
  <c r="V1079" i="2"/>
  <c r="W1079" i="2"/>
  <c r="X1079" i="2"/>
  <c r="Y1079" i="2"/>
  <c r="B1080" i="2"/>
  <c r="C1080" i="2"/>
  <c r="D1080" i="2"/>
  <c r="E1080" i="2"/>
  <c r="F1080" i="2"/>
  <c r="G1080" i="2"/>
  <c r="H1080" i="2"/>
  <c r="I1080" i="2"/>
  <c r="J1080" i="2"/>
  <c r="K1080" i="2"/>
  <c r="L1080" i="2"/>
  <c r="M1080" i="2"/>
  <c r="N1080" i="2"/>
  <c r="O1080" i="2"/>
  <c r="P1080" i="2"/>
  <c r="Q1080" i="2"/>
  <c r="R1080" i="2"/>
  <c r="S1080" i="2"/>
  <c r="T1080" i="2"/>
  <c r="U1080" i="2"/>
  <c r="V1080" i="2"/>
  <c r="W1080" i="2"/>
  <c r="X1080" i="2"/>
  <c r="Y1080" i="2"/>
  <c r="A1081" i="2"/>
  <c r="B1081" i="2"/>
  <c r="C1081" i="2"/>
  <c r="D1081" i="2"/>
  <c r="E1081" i="2"/>
  <c r="F1081" i="2"/>
  <c r="G1081" i="2"/>
  <c r="H1081" i="2"/>
  <c r="I1081" i="2"/>
  <c r="J1081" i="2"/>
  <c r="K1081" i="2"/>
  <c r="L1081" i="2"/>
  <c r="M1081" i="2"/>
  <c r="N1081" i="2"/>
  <c r="O1081" i="2"/>
  <c r="P1081" i="2"/>
  <c r="Q1081" i="2"/>
  <c r="R1081" i="2"/>
  <c r="S1081" i="2"/>
  <c r="T1081" i="2"/>
  <c r="U1081" i="2"/>
  <c r="V1081" i="2"/>
  <c r="W1081" i="2"/>
  <c r="X1081" i="2"/>
  <c r="Y1081" i="2"/>
  <c r="A1082" i="2"/>
  <c r="B1082" i="2"/>
  <c r="C1082" i="2"/>
  <c r="D1082" i="2"/>
  <c r="E1082" i="2"/>
  <c r="F1082" i="2"/>
  <c r="G1082" i="2"/>
  <c r="H1082" i="2"/>
  <c r="I1082" i="2"/>
  <c r="J1082" i="2"/>
  <c r="K1082" i="2"/>
  <c r="L1082" i="2"/>
  <c r="M1082" i="2"/>
  <c r="N1082" i="2"/>
  <c r="O1082" i="2"/>
  <c r="P1082" i="2"/>
  <c r="Q1082" i="2"/>
  <c r="R1082" i="2"/>
  <c r="S1082" i="2"/>
  <c r="T1082" i="2"/>
  <c r="U1082" i="2"/>
  <c r="V1082" i="2"/>
  <c r="W1082" i="2"/>
  <c r="X1082" i="2"/>
  <c r="Y1082" i="2"/>
  <c r="A1083" i="2"/>
  <c r="B1083" i="2"/>
  <c r="C1083" i="2"/>
  <c r="D1083" i="2"/>
  <c r="E1083" i="2"/>
  <c r="F1083" i="2"/>
  <c r="G1083" i="2"/>
  <c r="H1083" i="2"/>
  <c r="I1083" i="2"/>
  <c r="J1083" i="2"/>
  <c r="K1083" i="2"/>
  <c r="L1083" i="2"/>
  <c r="M1083" i="2"/>
  <c r="N1083" i="2"/>
  <c r="O1083" i="2"/>
  <c r="P1083" i="2"/>
  <c r="Q1083" i="2"/>
  <c r="R1083" i="2"/>
  <c r="S1083" i="2"/>
  <c r="T1083" i="2"/>
  <c r="U1083" i="2"/>
  <c r="V1083" i="2"/>
  <c r="W1083" i="2"/>
  <c r="X1083" i="2"/>
  <c r="Y1083" i="2"/>
  <c r="B1084" i="2"/>
  <c r="C1084" i="2"/>
  <c r="D1084" i="2"/>
  <c r="E1084" i="2"/>
  <c r="F1084" i="2"/>
  <c r="G1084" i="2"/>
  <c r="H1084" i="2"/>
  <c r="I1084" i="2"/>
  <c r="J1084" i="2"/>
  <c r="K1084" i="2"/>
  <c r="L1084" i="2"/>
  <c r="M1084" i="2"/>
  <c r="N1084" i="2"/>
  <c r="O1084" i="2"/>
  <c r="P1084" i="2"/>
  <c r="Q1084" i="2"/>
  <c r="R1084" i="2"/>
  <c r="S1084" i="2"/>
  <c r="T1084" i="2"/>
  <c r="U1084" i="2"/>
  <c r="V1084" i="2"/>
  <c r="W1084" i="2"/>
  <c r="X1084" i="2"/>
  <c r="Y1084" i="2"/>
  <c r="A1085" i="2"/>
  <c r="B1085" i="2"/>
  <c r="C1085" i="2"/>
  <c r="D1085" i="2"/>
  <c r="E1085" i="2"/>
  <c r="F1085" i="2"/>
  <c r="G1085" i="2"/>
  <c r="H1085" i="2"/>
  <c r="I1085" i="2"/>
  <c r="J1085" i="2"/>
  <c r="K1085" i="2"/>
  <c r="L1085" i="2"/>
  <c r="M1085" i="2"/>
  <c r="N1085" i="2"/>
  <c r="O1085" i="2"/>
  <c r="P1085" i="2"/>
  <c r="Q1085" i="2"/>
  <c r="R1085" i="2"/>
  <c r="S1085" i="2"/>
  <c r="T1085" i="2"/>
  <c r="U1085" i="2"/>
  <c r="V1085" i="2"/>
  <c r="W1085" i="2"/>
  <c r="X1085" i="2"/>
  <c r="Y1085" i="2"/>
  <c r="A1086" i="2"/>
  <c r="B1086" i="2"/>
  <c r="C1086" i="2"/>
  <c r="D1086" i="2"/>
  <c r="E1086" i="2"/>
  <c r="F1086" i="2"/>
  <c r="G1086" i="2"/>
  <c r="H1086" i="2"/>
  <c r="I1086" i="2"/>
  <c r="J1086" i="2"/>
  <c r="K1086" i="2"/>
  <c r="L1086" i="2"/>
  <c r="M1086" i="2"/>
  <c r="N1086" i="2"/>
  <c r="O1086" i="2"/>
  <c r="P1086" i="2"/>
  <c r="Q1086" i="2"/>
  <c r="R1086" i="2"/>
  <c r="S1086" i="2"/>
  <c r="T1086" i="2"/>
  <c r="U1086" i="2"/>
  <c r="V1086" i="2"/>
  <c r="W1086" i="2"/>
  <c r="X1086" i="2"/>
  <c r="Y1086" i="2"/>
  <c r="A1087" i="2"/>
  <c r="B1087" i="2"/>
  <c r="C1087" i="2"/>
  <c r="D1087" i="2"/>
  <c r="E1087" i="2"/>
  <c r="F1087" i="2"/>
  <c r="G1087" i="2"/>
  <c r="H1087" i="2"/>
  <c r="I1087" i="2"/>
  <c r="J1087" i="2"/>
  <c r="K1087" i="2"/>
  <c r="L1087" i="2"/>
  <c r="M1087" i="2"/>
  <c r="N1087" i="2"/>
  <c r="O1087" i="2"/>
  <c r="P1087" i="2"/>
  <c r="Q1087" i="2"/>
  <c r="R1087" i="2"/>
  <c r="S1087" i="2"/>
  <c r="T1087" i="2"/>
  <c r="U1087" i="2"/>
  <c r="V1087" i="2"/>
  <c r="W1087" i="2"/>
  <c r="X1087" i="2"/>
  <c r="Y1087" i="2"/>
  <c r="A1088" i="2"/>
  <c r="B1088" i="2"/>
  <c r="C1088" i="2"/>
  <c r="D1088" i="2"/>
  <c r="E1088" i="2"/>
  <c r="F1088" i="2"/>
  <c r="G1088" i="2"/>
  <c r="H1088" i="2"/>
  <c r="I1088" i="2"/>
  <c r="J1088" i="2"/>
  <c r="K1088" i="2"/>
  <c r="L1088" i="2"/>
  <c r="M1088" i="2"/>
  <c r="N1088" i="2"/>
  <c r="O1088" i="2"/>
  <c r="P1088" i="2"/>
  <c r="Q1088" i="2"/>
  <c r="R1088" i="2"/>
  <c r="S1088" i="2"/>
  <c r="T1088" i="2"/>
  <c r="U1088" i="2"/>
  <c r="V1088" i="2"/>
  <c r="W1088" i="2"/>
  <c r="X1088" i="2"/>
  <c r="Y1088" i="2"/>
  <c r="A1089" i="2"/>
  <c r="B1089" i="2"/>
  <c r="C1089" i="2"/>
  <c r="D1089" i="2"/>
  <c r="E1089" i="2"/>
  <c r="F1089" i="2"/>
  <c r="G1089" i="2"/>
  <c r="H1089" i="2"/>
  <c r="I1089" i="2"/>
  <c r="J1089" i="2"/>
  <c r="K1089" i="2"/>
  <c r="L1089" i="2"/>
  <c r="M1089" i="2"/>
  <c r="N1089" i="2"/>
  <c r="O1089" i="2"/>
  <c r="P1089" i="2"/>
  <c r="Q1089" i="2"/>
  <c r="R1089" i="2"/>
  <c r="S1089" i="2"/>
  <c r="T1089" i="2"/>
  <c r="U1089" i="2"/>
  <c r="V1089" i="2"/>
  <c r="W1089" i="2"/>
  <c r="X1089" i="2"/>
  <c r="Y1089" i="2"/>
  <c r="A1090" i="2"/>
  <c r="B1090" i="2"/>
  <c r="C1090" i="2"/>
  <c r="D1090" i="2"/>
  <c r="E1090" i="2"/>
  <c r="F1090" i="2"/>
  <c r="G1090" i="2"/>
  <c r="H1090" i="2"/>
  <c r="I1090" i="2"/>
  <c r="J1090" i="2"/>
  <c r="K1090" i="2"/>
  <c r="L1090" i="2"/>
  <c r="M1090" i="2"/>
  <c r="N1090" i="2"/>
  <c r="O1090" i="2"/>
  <c r="P1090" i="2"/>
  <c r="Q1090" i="2"/>
  <c r="R1090" i="2"/>
  <c r="S1090" i="2"/>
  <c r="T1090" i="2"/>
  <c r="U1090" i="2"/>
  <c r="V1090" i="2"/>
  <c r="W1090" i="2"/>
  <c r="X1090" i="2"/>
  <c r="Y1090" i="2"/>
  <c r="A1091" i="2"/>
  <c r="B1091" i="2"/>
  <c r="C1091" i="2"/>
  <c r="D1091" i="2"/>
  <c r="E1091" i="2"/>
  <c r="F1091" i="2"/>
  <c r="G1091" i="2"/>
  <c r="H1091" i="2"/>
  <c r="I1091" i="2"/>
  <c r="J1091" i="2"/>
  <c r="K1091" i="2"/>
  <c r="L1091" i="2"/>
  <c r="M1091" i="2"/>
  <c r="N1091" i="2"/>
  <c r="O1091" i="2"/>
  <c r="P1091" i="2"/>
  <c r="Q1091" i="2"/>
  <c r="R1091" i="2"/>
  <c r="S1091" i="2"/>
  <c r="T1091" i="2"/>
  <c r="U1091" i="2"/>
  <c r="V1091" i="2"/>
  <c r="W1091" i="2"/>
  <c r="X1091" i="2"/>
  <c r="Y1091" i="2"/>
  <c r="A1092" i="2"/>
  <c r="B1092" i="2"/>
  <c r="C1092" i="2"/>
  <c r="D1092" i="2"/>
  <c r="E1092" i="2"/>
  <c r="F1092" i="2"/>
  <c r="G1092" i="2"/>
  <c r="H1092" i="2"/>
  <c r="I1092" i="2"/>
  <c r="J1092" i="2"/>
  <c r="K1092" i="2"/>
  <c r="L1092" i="2"/>
  <c r="M1092" i="2"/>
  <c r="N1092" i="2"/>
  <c r="O1092" i="2"/>
  <c r="P1092" i="2"/>
  <c r="Q1092" i="2"/>
  <c r="R1092" i="2"/>
  <c r="S1092" i="2"/>
  <c r="T1092" i="2"/>
  <c r="U1092" i="2"/>
  <c r="V1092" i="2"/>
  <c r="W1092" i="2"/>
  <c r="X1092" i="2"/>
  <c r="Y1092" i="2"/>
  <c r="A1093" i="2"/>
  <c r="B1093" i="2"/>
  <c r="C1093" i="2"/>
  <c r="D1093" i="2"/>
  <c r="E1093" i="2"/>
  <c r="F1093" i="2"/>
  <c r="G1093" i="2"/>
  <c r="H1093" i="2"/>
  <c r="I1093" i="2"/>
  <c r="J1093" i="2"/>
  <c r="K1093" i="2"/>
  <c r="L1093" i="2"/>
  <c r="M1093" i="2"/>
  <c r="N1093" i="2"/>
  <c r="O1093" i="2"/>
  <c r="P1093" i="2"/>
  <c r="Q1093" i="2"/>
  <c r="R1093" i="2"/>
  <c r="S1093" i="2"/>
  <c r="T1093" i="2"/>
  <c r="U1093" i="2"/>
  <c r="V1093" i="2"/>
  <c r="W1093" i="2"/>
  <c r="X1093" i="2"/>
  <c r="Y1093" i="2"/>
  <c r="A1094" i="2"/>
  <c r="B1094" i="2"/>
  <c r="C1094" i="2"/>
  <c r="D1094" i="2"/>
  <c r="E1094" i="2"/>
  <c r="F1094" i="2"/>
  <c r="G1094" i="2"/>
  <c r="H1094" i="2"/>
  <c r="I1094" i="2"/>
  <c r="J1094" i="2"/>
  <c r="K1094" i="2"/>
  <c r="L1094" i="2"/>
  <c r="M1094" i="2"/>
  <c r="N1094" i="2"/>
  <c r="O1094" i="2"/>
  <c r="P1094" i="2"/>
  <c r="Q1094" i="2"/>
  <c r="R1094" i="2"/>
  <c r="S1094" i="2"/>
  <c r="T1094" i="2"/>
  <c r="U1094" i="2"/>
  <c r="V1094" i="2"/>
  <c r="W1094" i="2"/>
  <c r="X1094" i="2"/>
  <c r="Y1094" i="2"/>
  <c r="A1095" i="2"/>
  <c r="B1095" i="2"/>
  <c r="C1095" i="2"/>
  <c r="D1095" i="2"/>
  <c r="E1095" i="2"/>
  <c r="F1095" i="2"/>
  <c r="G1095" i="2"/>
  <c r="H1095" i="2"/>
  <c r="I1095" i="2"/>
  <c r="J1095" i="2"/>
  <c r="K1095" i="2"/>
  <c r="L1095" i="2"/>
  <c r="M1095" i="2"/>
  <c r="N1095" i="2"/>
  <c r="O1095" i="2"/>
  <c r="P1095" i="2"/>
  <c r="Q1095" i="2"/>
  <c r="R1095" i="2"/>
  <c r="S1095" i="2"/>
  <c r="T1095" i="2"/>
  <c r="U1095" i="2"/>
  <c r="V1095" i="2"/>
  <c r="W1095" i="2"/>
  <c r="X1095" i="2"/>
  <c r="Y1095" i="2"/>
  <c r="B1096" i="2"/>
  <c r="C1096" i="2"/>
  <c r="D1096" i="2"/>
  <c r="E1096" i="2"/>
  <c r="F1096" i="2"/>
  <c r="G1096" i="2"/>
  <c r="H1096" i="2"/>
  <c r="I1096" i="2"/>
  <c r="J1096" i="2"/>
  <c r="K1096" i="2"/>
  <c r="L1096" i="2"/>
  <c r="M1096" i="2"/>
  <c r="N1096" i="2"/>
  <c r="O1096" i="2"/>
  <c r="P1096" i="2"/>
  <c r="Q1096" i="2"/>
  <c r="R1096" i="2"/>
  <c r="S1096" i="2"/>
  <c r="T1096" i="2"/>
  <c r="U1096" i="2"/>
  <c r="V1096" i="2"/>
  <c r="W1096" i="2"/>
  <c r="X1096" i="2"/>
  <c r="Y1096" i="2"/>
  <c r="A1097" i="2"/>
  <c r="B1097" i="2"/>
  <c r="C1097" i="2"/>
  <c r="D1097" i="2"/>
  <c r="E1097" i="2"/>
  <c r="F1097" i="2"/>
  <c r="G1097" i="2"/>
  <c r="H1097" i="2"/>
  <c r="I1097" i="2"/>
  <c r="J1097" i="2"/>
  <c r="K1097" i="2"/>
  <c r="L1097" i="2"/>
  <c r="M1097" i="2"/>
  <c r="N1097" i="2"/>
  <c r="O1097" i="2"/>
  <c r="P1097" i="2"/>
  <c r="Q1097" i="2"/>
  <c r="R1097" i="2"/>
  <c r="S1097" i="2"/>
  <c r="T1097" i="2"/>
  <c r="U1097" i="2"/>
  <c r="V1097" i="2"/>
  <c r="W1097" i="2"/>
  <c r="X1097" i="2"/>
  <c r="Y1097" i="2"/>
  <c r="A1098" i="2"/>
  <c r="B1098" i="2"/>
  <c r="C1098" i="2"/>
  <c r="D1098" i="2"/>
  <c r="E1098" i="2"/>
  <c r="F1098" i="2"/>
  <c r="G1098" i="2"/>
  <c r="H1098" i="2"/>
  <c r="I1098" i="2"/>
  <c r="J1098" i="2"/>
  <c r="K1098" i="2"/>
  <c r="L1098" i="2"/>
  <c r="M1098" i="2"/>
  <c r="N1098" i="2"/>
  <c r="O1098" i="2"/>
  <c r="P1098" i="2"/>
  <c r="Q1098" i="2"/>
  <c r="R1098" i="2"/>
  <c r="S1098" i="2"/>
  <c r="T1098" i="2"/>
  <c r="U1098" i="2"/>
  <c r="V1098" i="2"/>
  <c r="W1098" i="2"/>
  <c r="X1098" i="2"/>
  <c r="Y1098" i="2"/>
  <c r="A1099" i="2"/>
  <c r="B1099" i="2"/>
  <c r="C1099" i="2"/>
  <c r="D1099" i="2"/>
  <c r="E1099" i="2"/>
  <c r="F1099" i="2"/>
  <c r="G1099" i="2"/>
  <c r="H1099" i="2"/>
  <c r="I1099" i="2"/>
  <c r="J1099" i="2"/>
  <c r="K1099" i="2"/>
  <c r="L1099" i="2"/>
  <c r="M1099" i="2"/>
  <c r="N1099" i="2"/>
  <c r="O1099" i="2"/>
  <c r="P1099" i="2"/>
  <c r="Q1099" i="2"/>
  <c r="R1099" i="2"/>
  <c r="S1099" i="2"/>
  <c r="T1099" i="2"/>
  <c r="U1099" i="2"/>
  <c r="V1099" i="2"/>
  <c r="W1099" i="2"/>
  <c r="X1099" i="2"/>
  <c r="Y1099" i="2"/>
  <c r="B1100" i="2"/>
  <c r="C1100" i="2"/>
  <c r="D1100" i="2"/>
  <c r="E1100" i="2"/>
  <c r="F1100" i="2"/>
  <c r="G1100" i="2"/>
  <c r="H1100" i="2"/>
  <c r="I1100" i="2"/>
  <c r="J1100" i="2"/>
  <c r="K1100" i="2"/>
  <c r="L1100" i="2"/>
  <c r="M1100" i="2"/>
  <c r="N1100" i="2"/>
  <c r="O1100" i="2"/>
  <c r="P1100" i="2"/>
  <c r="Q1100" i="2"/>
  <c r="R1100" i="2"/>
  <c r="S1100" i="2"/>
  <c r="T1100" i="2"/>
  <c r="U1100" i="2"/>
  <c r="V1100" i="2"/>
  <c r="W1100" i="2"/>
  <c r="X1100" i="2"/>
  <c r="Y1100" i="2"/>
  <c r="A1101" i="2"/>
  <c r="B1101" i="2"/>
  <c r="C1101" i="2"/>
  <c r="D1101" i="2"/>
  <c r="E1101" i="2"/>
  <c r="F1101" i="2"/>
  <c r="G1101" i="2"/>
  <c r="H1101" i="2"/>
  <c r="I1101" i="2"/>
  <c r="J1101" i="2"/>
  <c r="K1101" i="2"/>
  <c r="L1101" i="2"/>
  <c r="M1101" i="2"/>
  <c r="N1101" i="2"/>
  <c r="O1101" i="2"/>
  <c r="P1101" i="2"/>
  <c r="Q1101" i="2"/>
  <c r="R1101" i="2"/>
  <c r="S1101" i="2"/>
  <c r="T1101" i="2"/>
  <c r="U1101" i="2"/>
  <c r="V1101" i="2"/>
  <c r="W1101" i="2"/>
  <c r="X1101" i="2"/>
  <c r="Y1101" i="2"/>
  <c r="A1102" i="2"/>
  <c r="B1102" i="2"/>
  <c r="C1102" i="2"/>
  <c r="D1102" i="2"/>
  <c r="E1102" i="2"/>
  <c r="F1102" i="2"/>
  <c r="G1102" i="2"/>
  <c r="H1102" i="2"/>
  <c r="I1102" i="2"/>
  <c r="J1102" i="2"/>
  <c r="K1102" i="2"/>
  <c r="L1102" i="2"/>
  <c r="M1102" i="2"/>
  <c r="N1102" i="2"/>
  <c r="O1102" i="2"/>
  <c r="P1102" i="2"/>
  <c r="Q1102" i="2"/>
  <c r="R1102" i="2"/>
  <c r="S1102" i="2"/>
  <c r="T1102" i="2"/>
  <c r="U1102" i="2"/>
  <c r="V1102" i="2"/>
  <c r="W1102" i="2"/>
  <c r="X1102" i="2"/>
  <c r="Y1102" i="2"/>
  <c r="A1103" i="2"/>
  <c r="B1103" i="2"/>
  <c r="C1103" i="2"/>
  <c r="D1103" i="2"/>
  <c r="E1103" i="2"/>
  <c r="F1103" i="2"/>
  <c r="G1103" i="2"/>
  <c r="H1103" i="2"/>
  <c r="I1103" i="2"/>
  <c r="J1103" i="2"/>
  <c r="K1103" i="2"/>
  <c r="L1103" i="2"/>
  <c r="M1103" i="2"/>
  <c r="N1103" i="2"/>
  <c r="O1103" i="2"/>
  <c r="P1103" i="2"/>
  <c r="Q1103" i="2"/>
  <c r="R1103" i="2"/>
  <c r="S1103" i="2"/>
  <c r="T1103" i="2"/>
  <c r="U1103" i="2"/>
  <c r="V1103" i="2"/>
  <c r="W1103" i="2"/>
  <c r="X1103" i="2"/>
  <c r="Y1103" i="2"/>
  <c r="A1104" i="2"/>
  <c r="B1104" i="2"/>
  <c r="C1104" i="2"/>
  <c r="D1104" i="2"/>
  <c r="E1104" i="2"/>
  <c r="F1104" i="2"/>
  <c r="G1104" i="2"/>
  <c r="H1104" i="2"/>
  <c r="I1104" i="2"/>
  <c r="J1104" i="2"/>
  <c r="K1104" i="2"/>
  <c r="L1104" i="2"/>
  <c r="M1104" i="2"/>
  <c r="N1104" i="2"/>
  <c r="O1104" i="2"/>
  <c r="P1104" i="2"/>
  <c r="Q1104" i="2"/>
  <c r="R1104" i="2"/>
  <c r="S1104" i="2"/>
  <c r="T1104" i="2"/>
  <c r="U1104" i="2"/>
  <c r="V1104" i="2"/>
  <c r="W1104" i="2"/>
  <c r="X1104" i="2"/>
  <c r="Y1104" i="2"/>
  <c r="A1105" i="2"/>
  <c r="B1105" i="2"/>
  <c r="C1105" i="2"/>
  <c r="D1105" i="2"/>
  <c r="E1105" i="2"/>
  <c r="F1105" i="2"/>
  <c r="G1105" i="2"/>
  <c r="H1105" i="2"/>
  <c r="I1105" i="2"/>
  <c r="J1105" i="2"/>
  <c r="K1105" i="2"/>
  <c r="L1105" i="2"/>
  <c r="M1105" i="2"/>
  <c r="N1105" i="2"/>
  <c r="O1105" i="2"/>
  <c r="P1105" i="2"/>
  <c r="Q1105" i="2"/>
  <c r="R1105" i="2"/>
  <c r="S1105" i="2"/>
  <c r="T1105" i="2"/>
  <c r="U1105" i="2"/>
  <c r="V1105" i="2"/>
  <c r="W1105" i="2"/>
  <c r="X1105" i="2"/>
  <c r="Y1105" i="2"/>
  <c r="A1106" i="2"/>
  <c r="B1106" i="2"/>
  <c r="C1106" i="2"/>
  <c r="D1106" i="2"/>
  <c r="E1106" i="2"/>
  <c r="F1106" i="2"/>
  <c r="G1106" i="2"/>
  <c r="H1106" i="2"/>
  <c r="I1106" i="2"/>
  <c r="J1106" i="2"/>
  <c r="K1106" i="2"/>
  <c r="L1106" i="2"/>
  <c r="M1106" i="2"/>
  <c r="N1106" i="2"/>
  <c r="O1106" i="2"/>
  <c r="P1106" i="2"/>
  <c r="Q1106" i="2"/>
  <c r="R1106" i="2"/>
  <c r="S1106" i="2"/>
  <c r="T1106" i="2"/>
  <c r="U1106" i="2"/>
  <c r="V1106" i="2"/>
  <c r="W1106" i="2"/>
  <c r="X1106" i="2"/>
  <c r="Y1106" i="2"/>
  <c r="A1107" i="2"/>
  <c r="B1107" i="2"/>
  <c r="C1107" i="2"/>
  <c r="D1107" i="2"/>
  <c r="E1107" i="2"/>
  <c r="F1107" i="2"/>
  <c r="G1107" i="2"/>
  <c r="H1107" i="2"/>
  <c r="I1107" i="2"/>
  <c r="J1107" i="2"/>
  <c r="K1107" i="2"/>
  <c r="L1107" i="2"/>
  <c r="M1107" i="2"/>
  <c r="N1107" i="2"/>
  <c r="O1107" i="2"/>
  <c r="P1107" i="2"/>
  <c r="Q1107" i="2"/>
  <c r="R1107" i="2"/>
  <c r="S1107" i="2"/>
  <c r="T1107" i="2"/>
  <c r="U1107" i="2"/>
  <c r="V1107" i="2"/>
  <c r="W1107" i="2"/>
  <c r="X1107" i="2"/>
  <c r="Y1107" i="2"/>
  <c r="A1108" i="2"/>
  <c r="B1108" i="2"/>
  <c r="C1108" i="2"/>
  <c r="D1108" i="2"/>
  <c r="E1108" i="2"/>
  <c r="F1108" i="2"/>
  <c r="G1108" i="2"/>
  <c r="H1108" i="2"/>
  <c r="I1108" i="2"/>
  <c r="J1108" i="2"/>
  <c r="K1108" i="2"/>
  <c r="L1108" i="2"/>
  <c r="M1108" i="2"/>
  <c r="N1108" i="2"/>
  <c r="O1108" i="2"/>
  <c r="P1108" i="2"/>
  <c r="Q1108" i="2"/>
  <c r="R1108" i="2"/>
  <c r="S1108" i="2"/>
  <c r="T1108" i="2"/>
  <c r="U1108" i="2"/>
  <c r="V1108" i="2"/>
  <c r="W1108" i="2"/>
  <c r="X1108" i="2"/>
  <c r="Y1108" i="2"/>
  <c r="A1109" i="2"/>
  <c r="B1109" i="2"/>
  <c r="C1109" i="2"/>
  <c r="D1109" i="2"/>
  <c r="E1109" i="2"/>
  <c r="F1109" i="2"/>
  <c r="G1109" i="2"/>
  <c r="H1109" i="2"/>
  <c r="I1109" i="2"/>
  <c r="J1109" i="2"/>
  <c r="K1109" i="2"/>
  <c r="L1109" i="2"/>
  <c r="M1109" i="2"/>
  <c r="N1109" i="2"/>
  <c r="O1109" i="2"/>
  <c r="P1109" i="2"/>
  <c r="Q1109" i="2"/>
  <c r="R1109" i="2"/>
  <c r="S1109" i="2"/>
  <c r="T1109" i="2"/>
  <c r="U1109" i="2"/>
  <c r="V1109" i="2"/>
  <c r="W1109" i="2"/>
  <c r="X1109" i="2"/>
  <c r="Y1109" i="2"/>
  <c r="A1110" i="2"/>
  <c r="B1110" i="2"/>
  <c r="C1110" i="2"/>
  <c r="D1110" i="2"/>
  <c r="E1110" i="2"/>
  <c r="F1110" i="2"/>
  <c r="G1110" i="2"/>
  <c r="H1110" i="2"/>
  <c r="I1110" i="2"/>
  <c r="J1110" i="2"/>
  <c r="K1110" i="2"/>
  <c r="L1110" i="2"/>
  <c r="M1110" i="2"/>
  <c r="N1110" i="2"/>
  <c r="O1110" i="2"/>
  <c r="P1110" i="2"/>
  <c r="Q1110" i="2"/>
  <c r="R1110" i="2"/>
  <c r="S1110" i="2"/>
  <c r="T1110" i="2"/>
  <c r="U1110" i="2"/>
  <c r="V1110" i="2"/>
  <c r="W1110" i="2"/>
  <c r="X1110" i="2"/>
  <c r="Y1110" i="2"/>
  <c r="B1111" i="2"/>
  <c r="C1111" i="2"/>
  <c r="D1111" i="2"/>
  <c r="E1111" i="2"/>
  <c r="F1111" i="2"/>
  <c r="G1111" i="2"/>
  <c r="H1111" i="2"/>
  <c r="I1111" i="2"/>
  <c r="J1111" i="2"/>
  <c r="K1111" i="2"/>
  <c r="L1111" i="2"/>
  <c r="M1111" i="2"/>
  <c r="N1111" i="2"/>
  <c r="O1111" i="2"/>
  <c r="P1111" i="2"/>
  <c r="Q1111" i="2"/>
  <c r="R1111" i="2"/>
  <c r="S1111" i="2"/>
  <c r="T1111" i="2"/>
  <c r="U1111" i="2"/>
  <c r="V1111" i="2"/>
  <c r="W1111" i="2"/>
  <c r="X1111" i="2"/>
  <c r="Y1111" i="2"/>
  <c r="B1112" i="2"/>
  <c r="C1112" i="2"/>
  <c r="D1112" i="2"/>
  <c r="E1112" i="2"/>
  <c r="F1112" i="2"/>
  <c r="G1112" i="2"/>
  <c r="H1112" i="2"/>
  <c r="I1112" i="2"/>
  <c r="J1112" i="2"/>
  <c r="K1112" i="2"/>
  <c r="L1112" i="2"/>
  <c r="M1112" i="2"/>
  <c r="N1112" i="2"/>
  <c r="O1112" i="2"/>
  <c r="P1112" i="2"/>
  <c r="Q1112" i="2"/>
  <c r="R1112" i="2"/>
  <c r="S1112" i="2"/>
  <c r="T1112" i="2"/>
  <c r="U1112" i="2"/>
  <c r="V1112" i="2"/>
  <c r="W1112" i="2"/>
  <c r="X1112" i="2"/>
  <c r="Y1112" i="2"/>
  <c r="A1113" i="2"/>
  <c r="B1113" i="2"/>
  <c r="C1113" i="2"/>
  <c r="D1113" i="2"/>
  <c r="E1113" i="2"/>
  <c r="F1113" i="2"/>
  <c r="G1113" i="2"/>
  <c r="H1113" i="2"/>
  <c r="I1113" i="2"/>
  <c r="J1113" i="2"/>
  <c r="K1113" i="2"/>
  <c r="L1113" i="2"/>
  <c r="M1113" i="2"/>
  <c r="N1113" i="2"/>
  <c r="O1113" i="2"/>
  <c r="P1113" i="2"/>
  <c r="Q1113" i="2"/>
  <c r="R1113" i="2"/>
  <c r="S1113" i="2"/>
  <c r="T1113" i="2"/>
  <c r="U1113" i="2"/>
  <c r="V1113" i="2"/>
  <c r="W1113" i="2"/>
  <c r="X1113" i="2"/>
  <c r="Y1113" i="2"/>
  <c r="A1114" i="2"/>
  <c r="B1114" i="2"/>
  <c r="C1114" i="2"/>
  <c r="D1114" i="2"/>
  <c r="E1114" i="2"/>
  <c r="F1114" i="2"/>
  <c r="G1114" i="2"/>
  <c r="H1114" i="2"/>
  <c r="I1114" i="2"/>
  <c r="J1114" i="2"/>
  <c r="K1114" i="2"/>
  <c r="L1114" i="2"/>
  <c r="M1114" i="2"/>
  <c r="N1114" i="2"/>
  <c r="O1114" i="2"/>
  <c r="P1114" i="2"/>
  <c r="Q1114" i="2"/>
  <c r="R1114" i="2"/>
  <c r="S1114" i="2"/>
  <c r="T1114" i="2"/>
  <c r="U1114" i="2"/>
  <c r="V1114" i="2"/>
  <c r="W1114" i="2"/>
  <c r="X1114" i="2"/>
  <c r="Y1114" i="2"/>
  <c r="A1115" i="2"/>
  <c r="B1115" i="2"/>
  <c r="C1115" i="2"/>
  <c r="D1115" i="2"/>
  <c r="E1115" i="2"/>
  <c r="F1115" i="2"/>
  <c r="G1115" i="2"/>
  <c r="H1115" i="2"/>
  <c r="I1115" i="2"/>
  <c r="J1115" i="2"/>
  <c r="K1115" i="2"/>
  <c r="L1115" i="2"/>
  <c r="M1115" i="2"/>
  <c r="N1115" i="2"/>
  <c r="O1115" i="2"/>
  <c r="P1115" i="2"/>
  <c r="Q1115" i="2"/>
  <c r="R1115" i="2"/>
  <c r="S1115" i="2"/>
  <c r="T1115" i="2"/>
  <c r="U1115" i="2"/>
  <c r="V1115" i="2"/>
  <c r="W1115" i="2"/>
  <c r="X1115" i="2"/>
  <c r="Y1115" i="2"/>
  <c r="B1116" i="2"/>
  <c r="C1116" i="2"/>
  <c r="D1116" i="2"/>
  <c r="E1116" i="2"/>
  <c r="F1116" i="2"/>
  <c r="G1116" i="2"/>
  <c r="H1116" i="2"/>
  <c r="I1116" i="2"/>
  <c r="J1116" i="2"/>
  <c r="K1116" i="2"/>
  <c r="L1116" i="2"/>
  <c r="M1116" i="2"/>
  <c r="N1116" i="2"/>
  <c r="O1116" i="2"/>
  <c r="P1116" i="2"/>
  <c r="Q1116" i="2"/>
  <c r="R1116" i="2"/>
  <c r="S1116" i="2"/>
  <c r="T1116" i="2"/>
  <c r="U1116" i="2"/>
  <c r="V1116" i="2"/>
  <c r="W1116" i="2"/>
  <c r="X1116" i="2"/>
  <c r="Y1116" i="2"/>
  <c r="A1117" i="2"/>
  <c r="B1117" i="2"/>
  <c r="C1117" i="2"/>
  <c r="D1117" i="2"/>
  <c r="E1117" i="2"/>
  <c r="F1117" i="2"/>
  <c r="G1117" i="2"/>
  <c r="H1117" i="2"/>
  <c r="I1117" i="2"/>
  <c r="J1117" i="2"/>
  <c r="K1117" i="2"/>
  <c r="L1117" i="2"/>
  <c r="M1117" i="2"/>
  <c r="N1117" i="2"/>
  <c r="O1117" i="2"/>
  <c r="P1117" i="2"/>
  <c r="Q1117" i="2"/>
  <c r="R1117" i="2"/>
  <c r="S1117" i="2"/>
  <c r="T1117" i="2"/>
  <c r="U1117" i="2"/>
  <c r="V1117" i="2"/>
  <c r="W1117" i="2"/>
  <c r="X1117" i="2"/>
  <c r="Y1117" i="2"/>
  <c r="A1118" i="2"/>
  <c r="B1118" i="2"/>
  <c r="C1118" i="2"/>
  <c r="D1118" i="2"/>
  <c r="E1118" i="2"/>
  <c r="F1118" i="2"/>
  <c r="G1118" i="2"/>
  <c r="H1118" i="2"/>
  <c r="I1118" i="2"/>
  <c r="J1118" i="2"/>
  <c r="K1118" i="2"/>
  <c r="L1118" i="2"/>
  <c r="M1118" i="2"/>
  <c r="N1118" i="2"/>
  <c r="O1118" i="2"/>
  <c r="P1118" i="2"/>
  <c r="Q1118" i="2"/>
  <c r="R1118" i="2"/>
  <c r="S1118" i="2"/>
  <c r="T1118" i="2"/>
  <c r="U1118" i="2"/>
  <c r="V1118" i="2"/>
  <c r="W1118" i="2"/>
  <c r="X1118" i="2"/>
  <c r="Y1118" i="2"/>
  <c r="A1119" i="2"/>
  <c r="B1119" i="2"/>
  <c r="C1119" i="2"/>
  <c r="D1119" i="2"/>
  <c r="E1119" i="2"/>
  <c r="F1119" i="2"/>
  <c r="G1119" i="2"/>
  <c r="H1119" i="2"/>
  <c r="I1119" i="2"/>
  <c r="J1119" i="2"/>
  <c r="K1119" i="2"/>
  <c r="L1119" i="2"/>
  <c r="M1119" i="2"/>
  <c r="N1119" i="2"/>
  <c r="O1119" i="2"/>
  <c r="P1119" i="2"/>
  <c r="Q1119" i="2"/>
  <c r="R1119" i="2"/>
  <c r="S1119" i="2"/>
  <c r="T1119" i="2"/>
  <c r="U1119" i="2"/>
  <c r="V1119" i="2"/>
  <c r="W1119" i="2"/>
  <c r="X1119" i="2"/>
  <c r="Y1119" i="2"/>
  <c r="A1120" i="2"/>
  <c r="B1120" i="2"/>
  <c r="C1120" i="2"/>
  <c r="D1120" i="2"/>
  <c r="E1120" i="2"/>
  <c r="F1120" i="2"/>
  <c r="G1120" i="2"/>
  <c r="H1120" i="2"/>
  <c r="I1120" i="2"/>
  <c r="J1120" i="2"/>
  <c r="K1120" i="2"/>
  <c r="L1120" i="2"/>
  <c r="M1120" i="2"/>
  <c r="N1120" i="2"/>
  <c r="O1120" i="2"/>
  <c r="P1120" i="2"/>
  <c r="Q1120" i="2"/>
  <c r="R1120" i="2"/>
  <c r="S1120" i="2"/>
  <c r="T1120" i="2"/>
  <c r="U1120" i="2"/>
  <c r="V1120" i="2"/>
  <c r="W1120" i="2"/>
  <c r="X1120" i="2"/>
  <c r="Y1120" i="2"/>
  <c r="A1121" i="2"/>
  <c r="B1121" i="2"/>
  <c r="C1121" i="2"/>
  <c r="D1121" i="2"/>
  <c r="E1121" i="2"/>
  <c r="F1121" i="2"/>
  <c r="G1121" i="2"/>
  <c r="H1121" i="2"/>
  <c r="I1121" i="2"/>
  <c r="J1121" i="2"/>
  <c r="K1121" i="2"/>
  <c r="L1121" i="2"/>
  <c r="M1121" i="2"/>
  <c r="N1121" i="2"/>
  <c r="O1121" i="2"/>
  <c r="P1121" i="2"/>
  <c r="Q1121" i="2"/>
  <c r="R1121" i="2"/>
  <c r="S1121" i="2"/>
  <c r="T1121" i="2"/>
  <c r="U1121" i="2"/>
  <c r="V1121" i="2"/>
  <c r="W1121" i="2"/>
  <c r="X1121" i="2"/>
  <c r="Y1121" i="2"/>
  <c r="A1122" i="2"/>
  <c r="B1122" i="2"/>
  <c r="C1122" i="2"/>
  <c r="D1122" i="2"/>
  <c r="E1122" i="2"/>
  <c r="F1122" i="2"/>
  <c r="G1122" i="2"/>
  <c r="H1122" i="2"/>
  <c r="I1122" i="2"/>
  <c r="J1122" i="2"/>
  <c r="K1122" i="2"/>
  <c r="L1122" i="2"/>
  <c r="M1122" i="2"/>
  <c r="N1122" i="2"/>
  <c r="O1122" i="2"/>
  <c r="P1122" i="2"/>
  <c r="Q1122" i="2"/>
  <c r="R1122" i="2"/>
  <c r="S1122" i="2"/>
  <c r="T1122" i="2"/>
  <c r="U1122" i="2"/>
  <c r="V1122" i="2"/>
  <c r="W1122" i="2"/>
  <c r="X1122" i="2"/>
  <c r="Y1122" i="2"/>
  <c r="A1123" i="2"/>
  <c r="B1123" i="2"/>
  <c r="C1123" i="2"/>
  <c r="D1123" i="2"/>
  <c r="E1123" i="2"/>
  <c r="F1123" i="2"/>
  <c r="G1123" i="2"/>
  <c r="H1123" i="2"/>
  <c r="I1123" i="2"/>
  <c r="J1123" i="2"/>
  <c r="K1123" i="2"/>
  <c r="L1123" i="2"/>
  <c r="M1123" i="2"/>
  <c r="N1123" i="2"/>
  <c r="O1123" i="2"/>
  <c r="P1123" i="2"/>
  <c r="Q1123" i="2"/>
  <c r="R1123" i="2"/>
  <c r="S1123" i="2"/>
  <c r="T1123" i="2"/>
  <c r="U1123" i="2"/>
  <c r="V1123" i="2"/>
  <c r="W1123" i="2"/>
  <c r="X1123" i="2"/>
  <c r="Y1123" i="2"/>
  <c r="A1124" i="2"/>
  <c r="B1124" i="2"/>
  <c r="C1124" i="2"/>
  <c r="D1124" i="2"/>
  <c r="E1124" i="2"/>
  <c r="F1124" i="2"/>
  <c r="G1124" i="2"/>
  <c r="H1124" i="2"/>
  <c r="I1124" i="2"/>
  <c r="J1124" i="2"/>
  <c r="K1124" i="2"/>
  <c r="L1124" i="2"/>
  <c r="M1124" i="2"/>
  <c r="N1124" i="2"/>
  <c r="O1124" i="2"/>
  <c r="P1124" i="2"/>
  <c r="Q1124" i="2"/>
  <c r="R1124" i="2"/>
  <c r="S1124" i="2"/>
  <c r="T1124" i="2"/>
  <c r="U1124" i="2"/>
  <c r="V1124" i="2"/>
  <c r="W1124" i="2"/>
  <c r="X1124" i="2"/>
  <c r="Y1124" i="2"/>
  <c r="A1125" i="2"/>
  <c r="B1125" i="2"/>
  <c r="C1125" i="2"/>
  <c r="D1125" i="2"/>
  <c r="E1125" i="2"/>
  <c r="F1125" i="2"/>
  <c r="G1125" i="2"/>
  <c r="H1125" i="2"/>
  <c r="I1125" i="2"/>
  <c r="J1125" i="2"/>
  <c r="K1125" i="2"/>
  <c r="L1125" i="2"/>
  <c r="M1125" i="2"/>
  <c r="N1125" i="2"/>
  <c r="O1125" i="2"/>
  <c r="P1125" i="2"/>
  <c r="Q1125" i="2"/>
  <c r="R1125" i="2"/>
  <c r="S1125" i="2"/>
  <c r="T1125" i="2"/>
  <c r="U1125" i="2"/>
  <c r="V1125" i="2"/>
  <c r="W1125" i="2"/>
  <c r="X1125" i="2"/>
  <c r="Y1125" i="2"/>
  <c r="A1126" i="2"/>
  <c r="B1126" i="2"/>
  <c r="C1126" i="2"/>
  <c r="D1126" i="2"/>
  <c r="E1126" i="2"/>
  <c r="F1126" i="2"/>
  <c r="G1126" i="2"/>
  <c r="H1126" i="2"/>
  <c r="I1126" i="2"/>
  <c r="J1126" i="2"/>
  <c r="K1126" i="2"/>
  <c r="L1126" i="2"/>
  <c r="M1126" i="2"/>
  <c r="N1126" i="2"/>
  <c r="O1126" i="2"/>
  <c r="P1126" i="2"/>
  <c r="Q1126" i="2"/>
  <c r="R1126" i="2"/>
  <c r="S1126" i="2"/>
  <c r="T1126" i="2"/>
  <c r="U1126" i="2"/>
  <c r="V1126" i="2"/>
  <c r="W1126" i="2"/>
  <c r="X1126" i="2"/>
  <c r="Y1126" i="2"/>
  <c r="A1127" i="2"/>
  <c r="B1127" i="2"/>
  <c r="C1127" i="2"/>
  <c r="D1127" i="2"/>
  <c r="E1127" i="2"/>
  <c r="F1127" i="2"/>
  <c r="G1127" i="2"/>
  <c r="H1127" i="2"/>
  <c r="I1127" i="2"/>
  <c r="J1127" i="2"/>
  <c r="K1127" i="2"/>
  <c r="L1127" i="2"/>
  <c r="M1127" i="2"/>
  <c r="N1127" i="2"/>
  <c r="O1127" i="2"/>
  <c r="P1127" i="2"/>
  <c r="Q1127" i="2"/>
  <c r="R1127" i="2"/>
  <c r="S1127" i="2"/>
  <c r="T1127" i="2"/>
  <c r="U1127" i="2"/>
  <c r="V1127" i="2"/>
  <c r="W1127" i="2"/>
  <c r="X1127" i="2"/>
  <c r="Y1127" i="2"/>
  <c r="B1128" i="2"/>
  <c r="C1128" i="2"/>
  <c r="D1128" i="2"/>
  <c r="E1128" i="2"/>
  <c r="F1128" i="2"/>
  <c r="G1128" i="2"/>
  <c r="H1128" i="2"/>
  <c r="I1128" i="2"/>
  <c r="J1128" i="2"/>
  <c r="K1128" i="2"/>
  <c r="L1128" i="2"/>
  <c r="M1128" i="2"/>
  <c r="N1128" i="2"/>
  <c r="O1128" i="2"/>
  <c r="P1128" i="2"/>
  <c r="Q1128" i="2"/>
  <c r="R1128" i="2"/>
  <c r="S1128" i="2"/>
  <c r="T1128" i="2"/>
  <c r="U1128" i="2"/>
  <c r="V1128" i="2"/>
  <c r="W1128" i="2"/>
  <c r="X1128" i="2"/>
  <c r="Y1128" i="2"/>
  <c r="A1129" i="2"/>
  <c r="B1129" i="2"/>
  <c r="C1129" i="2"/>
  <c r="D1129" i="2"/>
  <c r="E1129" i="2"/>
  <c r="F1129" i="2"/>
  <c r="G1129" i="2"/>
  <c r="H1129" i="2"/>
  <c r="I1129" i="2"/>
  <c r="J1129" i="2"/>
  <c r="K1129" i="2"/>
  <c r="L1129" i="2"/>
  <c r="M1129" i="2"/>
  <c r="N1129" i="2"/>
  <c r="O1129" i="2"/>
  <c r="P1129" i="2"/>
  <c r="Q1129" i="2"/>
  <c r="R1129" i="2"/>
  <c r="S1129" i="2"/>
  <c r="T1129" i="2"/>
  <c r="U1129" i="2"/>
  <c r="V1129" i="2"/>
  <c r="W1129" i="2"/>
  <c r="X1129" i="2"/>
  <c r="Y1129" i="2"/>
  <c r="A1130" i="2"/>
  <c r="B1130" i="2"/>
  <c r="C1130" i="2"/>
  <c r="D1130" i="2"/>
  <c r="E1130" i="2"/>
  <c r="F1130" i="2"/>
  <c r="G1130" i="2"/>
  <c r="H1130" i="2"/>
  <c r="I1130" i="2"/>
  <c r="J1130" i="2"/>
  <c r="K1130" i="2"/>
  <c r="L1130" i="2"/>
  <c r="M1130" i="2"/>
  <c r="N1130" i="2"/>
  <c r="O1130" i="2"/>
  <c r="P1130" i="2"/>
  <c r="Q1130" i="2"/>
  <c r="R1130" i="2"/>
  <c r="S1130" i="2"/>
  <c r="T1130" i="2"/>
  <c r="U1130" i="2"/>
  <c r="V1130" i="2"/>
  <c r="W1130" i="2"/>
  <c r="X1130" i="2"/>
  <c r="Y1130" i="2"/>
  <c r="A1131" i="2"/>
  <c r="B1131" i="2"/>
  <c r="C1131" i="2"/>
  <c r="D1131" i="2"/>
  <c r="E1131" i="2"/>
  <c r="F1131" i="2"/>
  <c r="G1131" i="2"/>
  <c r="H1131" i="2"/>
  <c r="I1131" i="2"/>
  <c r="J1131" i="2"/>
  <c r="K1131" i="2"/>
  <c r="L1131" i="2"/>
  <c r="M1131" i="2"/>
  <c r="N1131" i="2"/>
  <c r="O1131" i="2"/>
  <c r="P1131" i="2"/>
  <c r="Q1131" i="2"/>
  <c r="R1131" i="2"/>
  <c r="S1131" i="2"/>
  <c r="T1131" i="2"/>
  <c r="U1131" i="2"/>
  <c r="V1131" i="2"/>
  <c r="W1131" i="2"/>
  <c r="X1131" i="2"/>
  <c r="Y1131" i="2"/>
  <c r="B1132" i="2"/>
  <c r="C1132" i="2"/>
  <c r="D1132" i="2"/>
  <c r="E1132" i="2"/>
  <c r="F1132" i="2"/>
  <c r="G1132" i="2"/>
  <c r="H1132" i="2"/>
  <c r="I1132" i="2"/>
  <c r="J1132" i="2"/>
  <c r="K1132" i="2"/>
  <c r="L1132" i="2"/>
  <c r="M1132" i="2"/>
  <c r="N1132" i="2"/>
  <c r="O1132" i="2"/>
  <c r="P1132" i="2"/>
  <c r="Q1132" i="2"/>
  <c r="R1132" i="2"/>
  <c r="S1132" i="2"/>
  <c r="T1132" i="2"/>
  <c r="U1132" i="2"/>
  <c r="V1132" i="2"/>
  <c r="W1132" i="2"/>
  <c r="X1132" i="2"/>
  <c r="Y1132" i="2"/>
  <c r="A1133" i="2"/>
  <c r="B1133" i="2"/>
  <c r="C1133" i="2"/>
  <c r="D1133" i="2"/>
  <c r="E1133" i="2"/>
  <c r="F1133" i="2"/>
  <c r="G1133" i="2"/>
  <c r="H1133" i="2"/>
  <c r="I1133" i="2"/>
  <c r="J1133" i="2"/>
  <c r="K1133" i="2"/>
  <c r="L1133" i="2"/>
  <c r="M1133" i="2"/>
  <c r="N1133" i="2"/>
  <c r="O1133" i="2"/>
  <c r="P1133" i="2"/>
  <c r="Q1133" i="2"/>
  <c r="R1133" i="2"/>
  <c r="S1133" i="2"/>
  <c r="T1133" i="2"/>
  <c r="U1133" i="2"/>
  <c r="V1133" i="2"/>
  <c r="W1133" i="2"/>
  <c r="X1133" i="2"/>
  <c r="Y1133" i="2"/>
  <c r="A1134" i="2"/>
  <c r="B1134" i="2"/>
  <c r="C1134" i="2"/>
  <c r="D1134" i="2"/>
  <c r="E1134" i="2"/>
  <c r="F1134" i="2"/>
  <c r="G1134" i="2"/>
  <c r="H1134" i="2"/>
  <c r="I1134" i="2"/>
  <c r="J1134" i="2"/>
  <c r="K1134" i="2"/>
  <c r="L1134" i="2"/>
  <c r="M1134" i="2"/>
  <c r="N1134" i="2"/>
  <c r="O1134" i="2"/>
  <c r="P1134" i="2"/>
  <c r="Q1134" i="2"/>
  <c r="R1134" i="2"/>
  <c r="S1134" i="2"/>
  <c r="T1134" i="2"/>
  <c r="U1134" i="2"/>
  <c r="V1134" i="2"/>
  <c r="W1134" i="2"/>
  <c r="X1134" i="2"/>
  <c r="Y1134" i="2"/>
  <c r="A1135" i="2"/>
  <c r="B1135" i="2"/>
  <c r="C1135" i="2"/>
  <c r="D1135" i="2"/>
  <c r="E1135" i="2"/>
  <c r="F1135" i="2"/>
  <c r="G1135" i="2"/>
  <c r="H1135" i="2"/>
  <c r="I1135" i="2"/>
  <c r="J1135" i="2"/>
  <c r="K1135" i="2"/>
  <c r="L1135" i="2"/>
  <c r="M1135" i="2"/>
  <c r="N1135" i="2"/>
  <c r="O1135" i="2"/>
  <c r="P1135" i="2"/>
  <c r="Q1135" i="2"/>
  <c r="R1135" i="2"/>
  <c r="S1135" i="2"/>
  <c r="T1135" i="2"/>
  <c r="U1135" i="2"/>
  <c r="V1135" i="2"/>
  <c r="W1135" i="2"/>
  <c r="X1135" i="2"/>
  <c r="Y1135" i="2"/>
  <c r="A1136" i="2"/>
  <c r="B1136" i="2"/>
  <c r="C1136" i="2"/>
  <c r="D1136" i="2"/>
  <c r="E1136" i="2"/>
  <c r="F1136" i="2"/>
  <c r="G1136" i="2"/>
  <c r="H1136" i="2"/>
  <c r="I1136" i="2"/>
  <c r="J1136" i="2"/>
  <c r="K1136" i="2"/>
  <c r="L1136" i="2"/>
  <c r="M1136" i="2"/>
  <c r="N1136" i="2"/>
  <c r="O1136" i="2"/>
  <c r="P1136" i="2"/>
  <c r="Q1136" i="2"/>
  <c r="R1136" i="2"/>
  <c r="S1136" i="2"/>
  <c r="T1136" i="2"/>
  <c r="U1136" i="2"/>
  <c r="V1136" i="2"/>
  <c r="W1136" i="2"/>
  <c r="X1136" i="2"/>
  <c r="Y1136" i="2"/>
  <c r="A1137" i="2"/>
  <c r="B1137" i="2"/>
  <c r="C1137" i="2"/>
  <c r="D1137" i="2"/>
  <c r="E1137" i="2"/>
  <c r="F1137" i="2"/>
  <c r="G1137" i="2"/>
  <c r="H1137" i="2"/>
  <c r="I1137" i="2"/>
  <c r="J1137" i="2"/>
  <c r="K1137" i="2"/>
  <c r="L1137" i="2"/>
  <c r="M1137" i="2"/>
  <c r="N1137" i="2"/>
  <c r="O1137" i="2"/>
  <c r="P1137" i="2"/>
  <c r="Q1137" i="2"/>
  <c r="R1137" i="2"/>
  <c r="S1137" i="2"/>
  <c r="T1137" i="2"/>
  <c r="U1137" i="2"/>
  <c r="V1137" i="2"/>
  <c r="W1137" i="2"/>
  <c r="X1137" i="2"/>
  <c r="Y1137" i="2"/>
  <c r="A1138" i="2"/>
  <c r="B1138" i="2"/>
  <c r="C1138" i="2"/>
  <c r="D1138" i="2"/>
  <c r="E1138" i="2"/>
  <c r="F1138" i="2"/>
  <c r="G1138" i="2"/>
  <c r="H1138" i="2"/>
  <c r="I1138" i="2"/>
  <c r="J1138" i="2"/>
  <c r="K1138" i="2"/>
  <c r="L1138" i="2"/>
  <c r="M1138" i="2"/>
  <c r="N1138" i="2"/>
  <c r="O1138" i="2"/>
  <c r="P1138" i="2"/>
  <c r="Q1138" i="2"/>
  <c r="R1138" i="2"/>
  <c r="S1138" i="2"/>
  <c r="T1138" i="2"/>
  <c r="U1138" i="2"/>
  <c r="V1138" i="2"/>
  <c r="W1138" i="2"/>
  <c r="X1138" i="2"/>
  <c r="Y1138" i="2"/>
  <c r="A1139" i="2"/>
  <c r="B1139" i="2"/>
  <c r="C1139" i="2"/>
  <c r="D1139" i="2"/>
  <c r="E1139" i="2"/>
  <c r="F1139" i="2"/>
  <c r="G1139" i="2"/>
  <c r="H1139" i="2"/>
  <c r="I1139" i="2"/>
  <c r="J1139" i="2"/>
  <c r="K1139" i="2"/>
  <c r="L1139" i="2"/>
  <c r="M1139" i="2"/>
  <c r="N1139" i="2"/>
  <c r="O1139" i="2"/>
  <c r="P1139" i="2"/>
  <c r="Q1139" i="2"/>
  <c r="R1139" i="2"/>
  <c r="S1139" i="2"/>
  <c r="T1139" i="2"/>
  <c r="U1139" i="2"/>
  <c r="V1139" i="2"/>
  <c r="W1139" i="2"/>
  <c r="X1139" i="2"/>
  <c r="Y1139" i="2"/>
  <c r="A1140" i="2"/>
  <c r="B1140" i="2"/>
  <c r="C1140" i="2"/>
  <c r="D1140" i="2"/>
  <c r="E1140" i="2"/>
  <c r="F1140" i="2"/>
  <c r="G1140" i="2"/>
  <c r="H1140" i="2"/>
  <c r="I1140" i="2"/>
  <c r="J1140" i="2"/>
  <c r="K1140" i="2"/>
  <c r="L1140" i="2"/>
  <c r="M1140" i="2"/>
  <c r="N1140" i="2"/>
  <c r="O1140" i="2"/>
  <c r="P1140" i="2"/>
  <c r="Q1140" i="2"/>
  <c r="R1140" i="2"/>
  <c r="S1140" i="2"/>
  <c r="T1140" i="2"/>
  <c r="U1140" i="2"/>
  <c r="V1140" i="2"/>
  <c r="W1140" i="2"/>
  <c r="X1140" i="2"/>
  <c r="Y1140" i="2"/>
  <c r="A1141" i="2"/>
  <c r="B1141" i="2"/>
  <c r="C1141" i="2"/>
  <c r="D1141" i="2"/>
  <c r="E1141" i="2"/>
  <c r="F1141" i="2"/>
  <c r="G1141" i="2"/>
  <c r="H1141" i="2"/>
  <c r="I1141" i="2"/>
  <c r="J1141" i="2"/>
  <c r="K1141" i="2"/>
  <c r="L1141" i="2"/>
  <c r="M1141" i="2"/>
  <c r="N1141" i="2"/>
  <c r="O1141" i="2"/>
  <c r="P1141" i="2"/>
  <c r="Q1141" i="2"/>
  <c r="R1141" i="2"/>
  <c r="S1141" i="2"/>
  <c r="T1141" i="2"/>
  <c r="U1141" i="2"/>
  <c r="V1141" i="2"/>
  <c r="W1141" i="2"/>
  <c r="X1141" i="2"/>
  <c r="Y1141" i="2"/>
  <c r="A1142" i="2"/>
  <c r="B1142" i="2"/>
  <c r="C1142" i="2"/>
  <c r="D1142" i="2"/>
  <c r="E1142" i="2"/>
  <c r="F1142" i="2"/>
  <c r="G1142" i="2"/>
  <c r="H1142" i="2"/>
  <c r="I1142" i="2"/>
  <c r="J1142" i="2"/>
  <c r="K1142" i="2"/>
  <c r="L1142" i="2"/>
  <c r="M1142" i="2"/>
  <c r="N1142" i="2"/>
  <c r="O1142" i="2"/>
  <c r="P1142" i="2"/>
  <c r="Q1142" i="2"/>
  <c r="R1142" i="2"/>
  <c r="S1142" i="2"/>
  <c r="T1142" i="2"/>
  <c r="U1142" i="2"/>
  <c r="V1142" i="2"/>
  <c r="W1142" i="2"/>
  <c r="X1142" i="2"/>
  <c r="Y1142" i="2"/>
  <c r="A1143" i="2"/>
  <c r="B1143" i="2"/>
  <c r="C1143" i="2"/>
  <c r="D1143" i="2"/>
  <c r="E1143" i="2"/>
  <c r="F1143" i="2"/>
  <c r="G1143" i="2"/>
  <c r="H1143" i="2"/>
  <c r="I1143" i="2"/>
  <c r="J1143" i="2"/>
  <c r="K1143" i="2"/>
  <c r="L1143" i="2"/>
  <c r="M1143" i="2"/>
  <c r="N1143" i="2"/>
  <c r="O1143" i="2"/>
  <c r="P1143" i="2"/>
  <c r="Q1143" i="2"/>
  <c r="R1143" i="2"/>
  <c r="S1143" i="2"/>
  <c r="T1143" i="2"/>
  <c r="U1143" i="2"/>
  <c r="V1143" i="2"/>
  <c r="W1143" i="2"/>
  <c r="X1143" i="2"/>
  <c r="Y1143" i="2"/>
  <c r="B1144" i="2"/>
  <c r="C1144" i="2"/>
  <c r="D1144" i="2"/>
  <c r="E1144" i="2"/>
  <c r="F1144" i="2"/>
  <c r="G1144" i="2"/>
  <c r="H1144" i="2"/>
  <c r="I1144" i="2"/>
  <c r="J1144" i="2"/>
  <c r="K1144" i="2"/>
  <c r="L1144" i="2"/>
  <c r="M1144" i="2"/>
  <c r="N1144" i="2"/>
  <c r="O1144" i="2"/>
  <c r="P1144" i="2"/>
  <c r="Q1144" i="2"/>
  <c r="R1144" i="2"/>
  <c r="S1144" i="2"/>
  <c r="T1144" i="2"/>
  <c r="U1144" i="2"/>
  <c r="V1144" i="2"/>
  <c r="W1144" i="2"/>
  <c r="X1144" i="2"/>
  <c r="Y1144" i="2"/>
  <c r="A1145" i="2"/>
  <c r="B1145" i="2"/>
  <c r="C1145" i="2"/>
  <c r="D1145" i="2"/>
  <c r="E1145" i="2"/>
  <c r="F1145" i="2"/>
  <c r="G1145" i="2"/>
  <c r="H1145" i="2"/>
  <c r="I1145" i="2"/>
  <c r="J1145" i="2"/>
  <c r="K1145" i="2"/>
  <c r="L1145" i="2"/>
  <c r="M1145" i="2"/>
  <c r="N1145" i="2"/>
  <c r="O1145" i="2"/>
  <c r="P1145" i="2"/>
  <c r="Q1145" i="2"/>
  <c r="R1145" i="2"/>
  <c r="S1145" i="2"/>
  <c r="T1145" i="2"/>
  <c r="U1145" i="2"/>
  <c r="V1145" i="2"/>
  <c r="W1145" i="2"/>
  <c r="X1145" i="2"/>
  <c r="Y1145" i="2"/>
  <c r="A1146" i="2"/>
  <c r="B1146" i="2"/>
  <c r="C1146" i="2"/>
  <c r="D1146" i="2"/>
  <c r="E1146" i="2"/>
  <c r="F1146" i="2"/>
  <c r="G1146" i="2"/>
  <c r="H1146" i="2"/>
  <c r="I1146" i="2"/>
  <c r="J1146" i="2"/>
  <c r="K1146" i="2"/>
  <c r="L1146" i="2"/>
  <c r="M1146" i="2"/>
  <c r="N1146" i="2"/>
  <c r="O1146" i="2"/>
  <c r="P1146" i="2"/>
  <c r="Q1146" i="2"/>
  <c r="R1146" i="2"/>
  <c r="S1146" i="2"/>
  <c r="T1146" i="2"/>
  <c r="U1146" i="2"/>
  <c r="V1146" i="2"/>
  <c r="W1146" i="2"/>
  <c r="X1146" i="2"/>
  <c r="Y1146" i="2"/>
  <c r="A1147" i="2"/>
  <c r="B1147" i="2"/>
  <c r="C1147" i="2"/>
  <c r="D1147" i="2"/>
  <c r="E1147" i="2"/>
  <c r="F1147" i="2"/>
  <c r="G1147" i="2"/>
  <c r="H1147" i="2"/>
  <c r="I1147" i="2"/>
  <c r="J1147" i="2"/>
  <c r="K1147" i="2"/>
  <c r="L1147" i="2"/>
  <c r="M1147" i="2"/>
  <c r="N1147" i="2"/>
  <c r="O1147" i="2"/>
  <c r="P1147" i="2"/>
  <c r="Q1147" i="2"/>
  <c r="R1147" i="2"/>
  <c r="S1147" i="2"/>
  <c r="T1147" i="2"/>
  <c r="U1147" i="2"/>
  <c r="V1147" i="2"/>
  <c r="W1147" i="2"/>
  <c r="X1147" i="2"/>
  <c r="Y1147" i="2"/>
  <c r="B1148" i="2"/>
  <c r="C1148" i="2"/>
  <c r="D1148" i="2"/>
  <c r="E1148" i="2"/>
  <c r="F1148" i="2"/>
  <c r="G1148" i="2"/>
  <c r="H1148" i="2"/>
  <c r="I1148" i="2"/>
  <c r="J1148" i="2"/>
  <c r="K1148" i="2"/>
  <c r="L1148" i="2"/>
  <c r="M1148" i="2"/>
  <c r="N1148" i="2"/>
  <c r="O1148" i="2"/>
  <c r="P1148" i="2"/>
  <c r="Q1148" i="2"/>
  <c r="R1148" i="2"/>
  <c r="S1148" i="2"/>
  <c r="T1148" i="2"/>
  <c r="U1148" i="2"/>
  <c r="V1148" i="2"/>
  <c r="W1148" i="2"/>
  <c r="X1148" i="2"/>
  <c r="Y1148" i="2"/>
  <c r="A1149" i="2"/>
  <c r="B1149" i="2"/>
  <c r="C1149" i="2"/>
  <c r="D1149" i="2"/>
  <c r="E1149" i="2"/>
  <c r="F1149" i="2"/>
  <c r="G1149" i="2"/>
  <c r="H1149" i="2"/>
  <c r="I1149" i="2"/>
  <c r="J1149" i="2"/>
  <c r="K1149" i="2"/>
  <c r="L1149" i="2"/>
  <c r="M1149" i="2"/>
  <c r="N1149" i="2"/>
  <c r="O1149" i="2"/>
  <c r="P1149" i="2"/>
  <c r="Q1149" i="2"/>
  <c r="R1149" i="2"/>
  <c r="S1149" i="2"/>
  <c r="T1149" i="2"/>
  <c r="U1149" i="2"/>
  <c r="V1149" i="2"/>
  <c r="W1149" i="2"/>
  <c r="X1149" i="2"/>
  <c r="Y1149" i="2"/>
  <c r="A1150" i="2"/>
  <c r="B1150" i="2"/>
  <c r="C1150" i="2"/>
  <c r="D1150" i="2"/>
  <c r="E1150" i="2"/>
  <c r="F1150" i="2"/>
  <c r="G1150" i="2"/>
  <c r="H1150" i="2"/>
  <c r="I1150" i="2"/>
  <c r="J1150" i="2"/>
  <c r="K1150" i="2"/>
  <c r="L1150" i="2"/>
  <c r="M1150" i="2"/>
  <c r="N1150" i="2"/>
  <c r="O1150" i="2"/>
  <c r="P1150" i="2"/>
  <c r="Q1150" i="2"/>
  <c r="R1150" i="2"/>
  <c r="S1150" i="2"/>
  <c r="T1150" i="2"/>
  <c r="U1150" i="2"/>
  <c r="V1150" i="2"/>
  <c r="W1150" i="2"/>
  <c r="X1150" i="2"/>
  <c r="Y1150" i="2"/>
  <c r="A1151" i="2"/>
  <c r="B1151" i="2"/>
  <c r="C1151" i="2"/>
  <c r="D1151" i="2"/>
  <c r="E1151" i="2"/>
  <c r="F1151" i="2"/>
  <c r="G1151" i="2"/>
  <c r="H1151" i="2"/>
  <c r="I1151" i="2"/>
  <c r="J1151" i="2"/>
  <c r="K1151" i="2"/>
  <c r="L1151" i="2"/>
  <c r="M1151" i="2"/>
  <c r="N1151" i="2"/>
  <c r="O1151" i="2"/>
  <c r="P1151" i="2"/>
  <c r="Q1151" i="2"/>
  <c r="R1151" i="2"/>
  <c r="S1151" i="2"/>
  <c r="T1151" i="2"/>
  <c r="U1151" i="2"/>
  <c r="V1151" i="2"/>
  <c r="W1151" i="2"/>
  <c r="X1151" i="2"/>
  <c r="Y1151" i="2"/>
  <c r="A1152" i="2"/>
  <c r="B1152" i="2"/>
  <c r="C1152" i="2"/>
  <c r="D1152" i="2"/>
  <c r="E1152" i="2"/>
  <c r="F1152" i="2"/>
  <c r="G1152" i="2"/>
  <c r="H1152" i="2"/>
  <c r="I1152" i="2"/>
  <c r="J1152" i="2"/>
  <c r="K1152" i="2"/>
  <c r="L1152" i="2"/>
  <c r="M1152" i="2"/>
  <c r="N1152" i="2"/>
  <c r="O1152" i="2"/>
  <c r="P1152" i="2"/>
  <c r="Q1152" i="2"/>
  <c r="R1152" i="2"/>
  <c r="S1152" i="2"/>
  <c r="T1152" i="2"/>
  <c r="U1152" i="2"/>
  <c r="V1152" i="2"/>
  <c r="W1152" i="2"/>
  <c r="X1152" i="2"/>
  <c r="Y1152" i="2"/>
  <c r="A1153" i="2"/>
  <c r="B1153" i="2"/>
  <c r="C1153" i="2"/>
  <c r="D1153" i="2"/>
  <c r="E1153" i="2"/>
  <c r="F1153" i="2"/>
  <c r="G1153" i="2"/>
  <c r="H1153" i="2"/>
  <c r="I1153" i="2"/>
  <c r="J1153" i="2"/>
  <c r="K1153" i="2"/>
  <c r="L1153" i="2"/>
  <c r="M1153" i="2"/>
  <c r="N1153" i="2"/>
  <c r="O1153" i="2"/>
  <c r="P1153" i="2"/>
  <c r="Q1153" i="2"/>
  <c r="R1153" i="2"/>
  <c r="S1153" i="2"/>
  <c r="T1153" i="2"/>
  <c r="U1153" i="2"/>
  <c r="V1153" i="2"/>
  <c r="W1153" i="2"/>
  <c r="X1153" i="2"/>
  <c r="Y1153" i="2"/>
  <c r="A1154" i="2"/>
  <c r="B1154" i="2"/>
  <c r="C1154" i="2"/>
  <c r="D1154" i="2"/>
  <c r="E1154" i="2"/>
  <c r="F1154" i="2"/>
  <c r="G1154" i="2"/>
  <c r="H1154" i="2"/>
  <c r="I1154" i="2"/>
  <c r="J1154" i="2"/>
  <c r="K1154" i="2"/>
  <c r="L1154" i="2"/>
  <c r="M1154" i="2"/>
  <c r="N1154" i="2"/>
  <c r="O1154" i="2"/>
  <c r="P1154" i="2"/>
  <c r="Q1154" i="2"/>
  <c r="R1154" i="2"/>
  <c r="S1154" i="2"/>
  <c r="T1154" i="2"/>
  <c r="U1154" i="2"/>
  <c r="V1154" i="2"/>
  <c r="W1154" i="2"/>
  <c r="X1154" i="2"/>
  <c r="Y1154" i="2"/>
  <c r="A1155" i="2"/>
  <c r="B1155" i="2"/>
  <c r="C1155" i="2"/>
  <c r="D1155" i="2"/>
  <c r="E1155" i="2"/>
  <c r="F1155" i="2"/>
  <c r="G1155" i="2"/>
  <c r="H1155" i="2"/>
  <c r="I1155" i="2"/>
  <c r="J1155" i="2"/>
  <c r="K1155" i="2"/>
  <c r="L1155" i="2"/>
  <c r="M1155" i="2"/>
  <c r="N1155" i="2"/>
  <c r="O1155" i="2"/>
  <c r="P1155" i="2"/>
  <c r="Q1155" i="2"/>
  <c r="R1155" i="2"/>
  <c r="S1155" i="2"/>
  <c r="T1155" i="2"/>
  <c r="U1155" i="2"/>
  <c r="V1155" i="2"/>
  <c r="W1155" i="2"/>
  <c r="X1155" i="2"/>
  <c r="Y1155" i="2"/>
  <c r="A1156" i="2"/>
  <c r="B1156" i="2"/>
  <c r="C1156" i="2"/>
  <c r="D1156" i="2"/>
  <c r="E1156" i="2"/>
  <c r="F1156" i="2"/>
  <c r="G1156" i="2"/>
  <c r="H1156" i="2"/>
  <c r="I1156" i="2"/>
  <c r="J1156" i="2"/>
  <c r="K1156" i="2"/>
  <c r="L1156" i="2"/>
  <c r="M1156" i="2"/>
  <c r="N1156" i="2"/>
  <c r="O1156" i="2"/>
  <c r="P1156" i="2"/>
  <c r="Q1156" i="2"/>
  <c r="R1156" i="2"/>
  <c r="S1156" i="2"/>
  <c r="T1156" i="2"/>
  <c r="U1156" i="2"/>
  <c r="V1156" i="2"/>
  <c r="W1156" i="2"/>
  <c r="X1156" i="2"/>
  <c r="Y1156" i="2"/>
  <c r="A1157" i="2"/>
  <c r="B1157" i="2"/>
  <c r="C1157" i="2"/>
  <c r="D1157" i="2"/>
  <c r="E1157" i="2"/>
  <c r="F1157" i="2"/>
  <c r="G1157" i="2"/>
  <c r="H1157" i="2"/>
  <c r="I1157" i="2"/>
  <c r="J1157" i="2"/>
  <c r="K1157" i="2"/>
  <c r="L1157" i="2"/>
  <c r="M1157" i="2"/>
  <c r="N1157" i="2"/>
  <c r="O1157" i="2"/>
  <c r="P1157" i="2"/>
  <c r="Q1157" i="2"/>
  <c r="R1157" i="2"/>
  <c r="S1157" i="2"/>
  <c r="T1157" i="2"/>
  <c r="U1157" i="2"/>
  <c r="V1157" i="2"/>
  <c r="W1157" i="2"/>
  <c r="X1157" i="2"/>
  <c r="Y1157" i="2"/>
  <c r="A1158" i="2"/>
  <c r="B1158" i="2"/>
  <c r="C1158" i="2"/>
  <c r="D1158" i="2"/>
  <c r="E1158" i="2"/>
  <c r="F1158" i="2"/>
  <c r="G1158" i="2"/>
  <c r="H1158" i="2"/>
  <c r="I1158" i="2"/>
  <c r="J1158" i="2"/>
  <c r="K1158" i="2"/>
  <c r="L1158" i="2"/>
  <c r="M1158" i="2"/>
  <c r="N1158" i="2"/>
  <c r="O1158" i="2"/>
  <c r="P1158" i="2"/>
  <c r="Q1158" i="2"/>
  <c r="R1158" i="2"/>
  <c r="S1158" i="2"/>
  <c r="T1158" i="2"/>
  <c r="U1158" i="2"/>
  <c r="V1158" i="2"/>
  <c r="W1158" i="2"/>
  <c r="X1158" i="2"/>
  <c r="Y1158" i="2"/>
  <c r="A1159" i="2"/>
  <c r="B1159" i="2"/>
  <c r="C1159" i="2"/>
  <c r="D1159" i="2"/>
  <c r="E1159" i="2"/>
  <c r="F1159" i="2"/>
  <c r="G1159" i="2"/>
  <c r="H1159" i="2"/>
  <c r="I1159" i="2"/>
  <c r="J1159" i="2"/>
  <c r="K1159" i="2"/>
  <c r="L1159" i="2"/>
  <c r="M1159" i="2"/>
  <c r="N1159" i="2"/>
  <c r="O1159" i="2"/>
  <c r="P1159" i="2"/>
  <c r="Q1159" i="2"/>
  <c r="R1159" i="2"/>
  <c r="S1159" i="2"/>
  <c r="T1159" i="2"/>
  <c r="U1159" i="2"/>
  <c r="V1159" i="2"/>
  <c r="W1159" i="2"/>
  <c r="X1159" i="2"/>
  <c r="Y1159" i="2"/>
  <c r="B1160" i="2"/>
  <c r="C1160" i="2"/>
  <c r="D1160" i="2"/>
  <c r="E1160" i="2"/>
  <c r="F1160" i="2"/>
  <c r="G1160" i="2"/>
  <c r="H1160" i="2"/>
  <c r="I1160" i="2"/>
  <c r="J1160" i="2"/>
  <c r="K1160" i="2"/>
  <c r="L1160" i="2"/>
  <c r="M1160" i="2"/>
  <c r="N1160" i="2"/>
  <c r="O1160" i="2"/>
  <c r="P1160" i="2"/>
  <c r="Q1160" i="2"/>
  <c r="R1160" i="2"/>
  <c r="S1160" i="2"/>
  <c r="T1160" i="2"/>
  <c r="U1160" i="2"/>
  <c r="V1160" i="2"/>
  <c r="W1160" i="2"/>
  <c r="X1160" i="2"/>
  <c r="Y1160" i="2"/>
  <c r="A1161" i="2"/>
  <c r="B1161" i="2"/>
  <c r="C1161" i="2"/>
  <c r="D1161" i="2"/>
  <c r="E1161" i="2"/>
  <c r="F1161" i="2"/>
  <c r="G1161" i="2"/>
  <c r="H1161" i="2"/>
  <c r="I1161" i="2"/>
  <c r="J1161" i="2"/>
  <c r="K1161" i="2"/>
  <c r="L1161" i="2"/>
  <c r="M1161" i="2"/>
  <c r="N1161" i="2"/>
  <c r="O1161" i="2"/>
  <c r="P1161" i="2"/>
  <c r="Q1161" i="2"/>
  <c r="R1161" i="2"/>
  <c r="S1161" i="2"/>
  <c r="T1161" i="2"/>
  <c r="U1161" i="2"/>
  <c r="V1161" i="2"/>
  <c r="W1161" i="2"/>
  <c r="X1161" i="2"/>
  <c r="Y1161" i="2"/>
  <c r="A1162" i="2"/>
  <c r="B1162" i="2"/>
  <c r="C1162" i="2"/>
  <c r="D1162" i="2"/>
  <c r="E1162" i="2"/>
  <c r="F1162" i="2"/>
  <c r="G1162" i="2"/>
  <c r="H1162" i="2"/>
  <c r="I1162" i="2"/>
  <c r="J1162" i="2"/>
  <c r="K1162" i="2"/>
  <c r="L1162" i="2"/>
  <c r="M1162" i="2"/>
  <c r="N1162" i="2"/>
  <c r="O1162" i="2"/>
  <c r="P1162" i="2"/>
  <c r="Q1162" i="2"/>
  <c r="R1162" i="2"/>
  <c r="S1162" i="2"/>
  <c r="T1162" i="2"/>
  <c r="U1162" i="2"/>
  <c r="V1162" i="2"/>
  <c r="W1162" i="2"/>
  <c r="X1162" i="2"/>
  <c r="Y1162" i="2"/>
  <c r="A1163" i="2"/>
  <c r="B1163" i="2"/>
  <c r="C1163" i="2"/>
  <c r="D1163" i="2"/>
  <c r="E1163" i="2"/>
  <c r="F1163" i="2"/>
  <c r="G1163" i="2"/>
  <c r="H1163" i="2"/>
  <c r="I1163" i="2"/>
  <c r="J1163" i="2"/>
  <c r="K1163" i="2"/>
  <c r="L1163" i="2"/>
  <c r="M1163" i="2"/>
  <c r="N1163" i="2"/>
  <c r="O1163" i="2"/>
  <c r="P1163" i="2"/>
  <c r="Q1163" i="2"/>
  <c r="R1163" i="2"/>
  <c r="S1163" i="2"/>
  <c r="T1163" i="2"/>
  <c r="U1163" i="2"/>
  <c r="V1163" i="2"/>
  <c r="W1163" i="2"/>
  <c r="X1163" i="2"/>
  <c r="Y1163" i="2"/>
  <c r="B1164" i="2"/>
  <c r="C1164" i="2"/>
  <c r="D1164" i="2"/>
  <c r="E1164" i="2"/>
  <c r="F1164" i="2"/>
  <c r="G1164" i="2"/>
  <c r="H1164" i="2"/>
  <c r="I1164" i="2"/>
  <c r="J1164" i="2"/>
  <c r="K1164" i="2"/>
  <c r="L1164" i="2"/>
  <c r="M1164" i="2"/>
  <c r="N1164" i="2"/>
  <c r="O1164" i="2"/>
  <c r="P1164" i="2"/>
  <c r="Q1164" i="2"/>
  <c r="R1164" i="2"/>
  <c r="S1164" i="2"/>
  <c r="T1164" i="2"/>
  <c r="U1164" i="2"/>
  <c r="V1164" i="2"/>
  <c r="W1164" i="2"/>
  <c r="X1164" i="2"/>
  <c r="Y1164" i="2"/>
  <c r="A1165" i="2"/>
  <c r="B1165" i="2"/>
  <c r="C1165" i="2"/>
  <c r="D1165" i="2"/>
  <c r="E1165" i="2"/>
  <c r="F1165" i="2"/>
  <c r="G1165" i="2"/>
  <c r="H1165" i="2"/>
  <c r="I1165" i="2"/>
  <c r="J1165" i="2"/>
  <c r="K1165" i="2"/>
  <c r="L1165" i="2"/>
  <c r="M1165" i="2"/>
  <c r="N1165" i="2"/>
  <c r="O1165" i="2"/>
  <c r="P1165" i="2"/>
  <c r="Q1165" i="2"/>
  <c r="R1165" i="2"/>
  <c r="S1165" i="2"/>
  <c r="T1165" i="2"/>
  <c r="U1165" i="2"/>
  <c r="V1165" i="2"/>
  <c r="W1165" i="2"/>
  <c r="X1165" i="2"/>
  <c r="Y1165" i="2"/>
  <c r="A1166" i="2"/>
  <c r="B1166" i="2"/>
  <c r="C1166" i="2"/>
  <c r="D1166" i="2"/>
  <c r="E1166" i="2"/>
  <c r="F1166" i="2"/>
  <c r="G1166" i="2"/>
  <c r="H1166" i="2"/>
  <c r="I1166" i="2"/>
  <c r="J1166" i="2"/>
  <c r="K1166" i="2"/>
  <c r="L1166" i="2"/>
  <c r="M1166" i="2"/>
  <c r="N1166" i="2"/>
  <c r="O1166" i="2"/>
  <c r="P1166" i="2"/>
  <c r="Q1166" i="2"/>
  <c r="R1166" i="2"/>
  <c r="S1166" i="2"/>
  <c r="T1166" i="2"/>
  <c r="U1166" i="2"/>
  <c r="V1166" i="2"/>
  <c r="W1166" i="2"/>
  <c r="X1166" i="2"/>
  <c r="Y1166" i="2"/>
  <c r="A1167" i="2"/>
  <c r="B1167" i="2"/>
  <c r="C1167" i="2"/>
  <c r="D1167" i="2"/>
  <c r="E1167" i="2"/>
  <c r="F1167" i="2"/>
  <c r="G1167" i="2"/>
  <c r="H1167" i="2"/>
  <c r="I1167" i="2"/>
  <c r="J1167" i="2"/>
  <c r="K1167" i="2"/>
  <c r="L1167" i="2"/>
  <c r="M1167" i="2"/>
  <c r="N1167" i="2"/>
  <c r="O1167" i="2"/>
  <c r="P1167" i="2"/>
  <c r="Q1167" i="2"/>
  <c r="R1167" i="2"/>
  <c r="S1167" i="2"/>
  <c r="T1167" i="2"/>
  <c r="U1167" i="2"/>
  <c r="V1167" i="2"/>
  <c r="W1167" i="2"/>
  <c r="X1167" i="2"/>
  <c r="Y1167" i="2"/>
  <c r="A1168" i="2"/>
  <c r="B1168" i="2"/>
  <c r="C1168" i="2"/>
  <c r="D1168" i="2"/>
  <c r="E1168" i="2"/>
  <c r="F1168" i="2"/>
  <c r="G1168" i="2"/>
  <c r="H1168" i="2"/>
  <c r="I1168" i="2"/>
  <c r="J1168" i="2"/>
  <c r="K1168" i="2"/>
  <c r="L1168" i="2"/>
  <c r="M1168" i="2"/>
  <c r="N1168" i="2"/>
  <c r="O1168" i="2"/>
  <c r="P1168" i="2"/>
  <c r="Q1168" i="2"/>
  <c r="R1168" i="2"/>
  <c r="S1168" i="2"/>
  <c r="T1168" i="2"/>
  <c r="U1168" i="2"/>
  <c r="V1168" i="2"/>
  <c r="W1168" i="2"/>
  <c r="X1168" i="2"/>
  <c r="Y1168" i="2"/>
  <c r="A1169" i="2"/>
  <c r="B1169" i="2"/>
  <c r="C1169" i="2"/>
  <c r="D1169" i="2"/>
  <c r="E1169" i="2"/>
  <c r="F1169" i="2"/>
  <c r="G1169" i="2"/>
  <c r="H1169" i="2"/>
  <c r="I1169" i="2"/>
  <c r="J1169" i="2"/>
  <c r="K1169" i="2"/>
  <c r="L1169" i="2"/>
  <c r="M1169" i="2"/>
  <c r="N1169" i="2"/>
  <c r="O1169" i="2"/>
  <c r="P1169" i="2"/>
  <c r="Q1169" i="2"/>
  <c r="R1169" i="2"/>
  <c r="S1169" i="2"/>
  <c r="T1169" i="2"/>
  <c r="U1169" i="2"/>
  <c r="V1169" i="2"/>
  <c r="W1169" i="2"/>
  <c r="X1169" i="2"/>
  <c r="Y1169" i="2"/>
  <c r="A1170" i="2"/>
  <c r="B1170" i="2"/>
  <c r="C1170" i="2"/>
  <c r="D1170" i="2"/>
  <c r="E1170" i="2"/>
  <c r="F1170" i="2"/>
  <c r="G1170" i="2"/>
  <c r="H1170" i="2"/>
  <c r="I1170" i="2"/>
  <c r="J1170" i="2"/>
  <c r="K1170" i="2"/>
  <c r="L1170" i="2"/>
  <c r="M1170" i="2"/>
  <c r="N1170" i="2"/>
  <c r="O1170" i="2"/>
  <c r="P1170" i="2"/>
  <c r="Q1170" i="2"/>
  <c r="R1170" i="2"/>
  <c r="S1170" i="2"/>
  <c r="T1170" i="2"/>
  <c r="U1170" i="2"/>
  <c r="V1170" i="2"/>
  <c r="W1170" i="2"/>
  <c r="X1170" i="2"/>
  <c r="Y1170" i="2"/>
  <c r="A1171" i="2"/>
  <c r="B1171" i="2"/>
  <c r="C1171" i="2"/>
  <c r="D1171" i="2"/>
  <c r="E1171" i="2"/>
  <c r="F1171" i="2"/>
  <c r="G1171" i="2"/>
  <c r="H1171" i="2"/>
  <c r="I1171" i="2"/>
  <c r="J1171" i="2"/>
  <c r="K1171" i="2"/>
  <c r="L1171" i="2"/>
  <c r="M1171" i="2"/>
  <c r="N1171" i="2"/>
  <c r="O1171" i="2"/>
  <c r="P1171" i="2"/>
  <c r="Q1171" i="2"/>
  <c r="R1171" i="2"/>
  <c r="S1171" i="2"/>
  <c r="T1171" i="2"/>
  <c r="U1171" i="2"/>
  <c r="V1171" i="2"/>
  <c r="W1171" i="2"/>
  <c r="X1171" i="2"/>
  <c r="Y1171" i="2"/>
  <c r="A1172" i="2"/>
  <c r="B1172" i="2"/>
  <c r="C1172" i="2"/>
  <c r="D1172" i="2"/>
  <c r="E1172" i="2"/>
  <c r="F1172" i="2"/>
  <c r="G1172" i="2"/>
  <c r="H1172" i="2"/>
  <c r="I1172" i="2"/>
  <c r="J1172" i="2"/>
  <c r="K1172" i="2"/>
  <c r="L1172" i="2"/>
  <c r="M1172" i="2"/>
  <c r="N1172" i="2"/>
  <c r="O1172" i="2"/>
  <c r="P1172" i="2"/>
  <c r="Q1172" i="2"/>
  <c r="R1172" i="2"/>
  <c r="S1172" i="2"/>
  <c r="T1172" i="2"/>
  <c r="U1172" i="2"/>
  <c r="V1172" i="2"/>
  <c r="W1172" i="2"/>
  <c r="X1172" i="2"/>
  <c r="Y1172" i="2"/>
  <c r="A1173" i="2"/>
  <c r="B1173" i="2"/>
  <c r="C1173" i="2"/>
  <c r="D1173" i="2"/>
  <c r="E1173" i="2"/>
  <c r="F1173" i="2"/>
  <c r="G1173" i="2"/>
  <c r="H1173" i="2"/>
  <c r="I1173" i="2"/>
  <c r="J1173" i="2"/>
  <c r="K1173" i="2"/>
  <c r="L1173" i="2"/>
  <c r="M1173" i="2"/>
  <c r="N1173" i="2"/>
  <c r="O1173" i="2"/>
  <c r="P1173" i="2"/>
  <c r="Q1173" i="2"/>
  <c r="R1173" i="2"/>
  <c r="S1173" i="2"/>
  <c r="T1173" i="2"/>
  <c r="U1173" i="2"/>
  <c r="V1173" i="2"/>
  <c r="W1173" i="2"/>
  <c r="X1173" i="2"/>
  <c r="Y1173" i="2"/>
  <c r="A1174" i="2"/>
  <c r="B1174" i="2"/>
  <c r="C1174" i="2"/>
  <c r="D1174" i="2"/>
  <c r="E1174" i="2"/>
  <c r="F1174" i="2"/>
  <c r="G1174" i="2"/>
  <c r="H1174" i="2"/>
  <c r="I1174" i="2"/>
  <c r="J1174" i="2"/>
  <c r="K1174" i="2"/>
  <c r="L1174" i="2"/>
  <c r="M1174" i="2"/>
  <c r="N1174" i="2"/>
  <c r="O1174" i="2"/>
  <c r="P1174" i="2"/>
  <c r="Q1174" i="2"/>
  <c r="R1174" i="2"/>
  <c r="S1174" i="2"/>
  <c r="T1174" i="2"/>
  <c r="U1174" i="2"/>
  <c r="V1174" i="2"/>
  <c r="W1174" i="2"/>
  <c r="X1174" i="2"/>
  <c r="Y1174" i="2"/>
  <c r="A1175" i="2"/>
  <c r="B1175" i="2"/>
  <c r="C1175" i="2"/>
  <c r="D1175" i="2"/>
  <c r="E1175" i="2"/>
  <c r="F1175" i="2"/>
  <c r="G1175" i="2"/>
  <c r="H1175" i="2"/>
  <c r="I1175" i="2"/>
  <c r="J1175" i="2"/>
  <c r="K1175" i="2"/>
  <c r="L1175" i="2"/>
  <c r="M1175" i="2"/>
  <c r="N1175" i="2"/>
  <c r="O1175" i="2"/>
  <c r="P1175" i="2"/>
  <c r="Q1175" i="2"/>
  <c r="R1175" i="2"/>
  <c r="S1175" i="2"/>
  <c r="T1175" i="2"/>
  <c r="U1175" i="2"/>
  <c r="V1175" i="2"/>
  <c r="W1175" i="2"/>
  <c r="X1175" i="2"/>
  <c r="Y1175" i="2"/>
  <c r="B1176" i="2"/>
  <c r="C1176" i="2"/>
  <c r="D1176" i="2"/>
  <c r="E1176" i="2"/>
  <c r="F1176" i="2"/>
  <c r="G1176" i="2"/>
  <c r="H1176" i="2"/>
  <c r="I1176" i="2"/>
  <c r="J1176" i="2"/>
  <c r="K1176" i="2"/>
  <c r="L1176" i="2"/>
  <c r="M1176" i="2"/>
  <c r="N1176" i="2"/>
  <c r="O1176" i="2"/>
  <c r="P1176" i="2"/>
  <c r="Q1176" i="2"/>
  <c r="R1176" i="2"/>
  <c r="S1176" i="2"/>
  <c r="T1176" i="2"/>
  <c r="U1176" i="2"/>
  <c r="V1176" i="2"/>
  <c r="W1176" i="2"/>
  <c r="X1176" i="2"/>
  <c r="Y1176" i="2"/>
  <c r="A1177" i="2"/>
  <c r="B1177" i="2"/>
  <c r="C1177" i="2"/>
  <c r="D1177" i="2"/>
  <c r="E1177" i="2"/>
  <c r="F1177" i="2"/>
  <c r="G1177" i="2"/>
  <c r="H1177" i="2"/>
  <c r="I1177" i="2"/>
  <c r="J1177" i="2"/>
  <c r="K1177" i="2"/>
  <c r="L1177" i="2"/>
  <c r="M1177" i="2"/>
  <c r="N1177" i="2"/>
  <c r="O1177" i="2"/>
  <c r="P1177" i="2"/>
  <c r="Q1177" i="2"/>
  <c r="R1177" i="2"/>
  <c r="S1177" i="2"/>
  <c r="T1177" i="2"/>
  <c r="U1177" i="2"/>
  <c r="V1177" i="2"/>
  <c r="W1177" i="2"/>
  <c r="X1177" i="2"/>
  <c r="Y1177" i="2"/>
  <c r="A1178" i="2"/>
  <c r="B1178" i="2"/>
  <c r="C1178" i="2"/>
  <c r="D1178" i="2"/>
  <c r="E1178" i="2"/>
  <c r="F1178" i="2"/>
  <c r="G1178" i="2"/>
  <c r="H1178" i="2"/>
  <c r="I1178" i="2"/>
  <c r="J1178" i="2"/>
  <c r="K1178" i="2"/>
  <c r="L1178" i="2"/>
  <c r="M1178" i="2"/>
  <c r="N1178" i="2"/>
  <c r="O1178" i="2"/>
  <c r="P1178" i="2"/>
  <c r="Q1178" i="2"/>
  <c r="R1178" i="2"/>
  <c r="S1178" i="2"/>
  <c r="T1178" i="2"/>
  <c r="U1178" i="2"/>
  <c r="V1178" i="2"/>
  <c r="W1178" i="2"/>
  <c r="X1178" i="2"/>
  <c r="Y1178" i="2"/>
  <c r="A1179" i="2"/>
  <c r="B1179" i="2"/>
  <c r="C1179" i="2"/>
  <c r="D1179" i="2"/>
  <c r="E1179" i="2"/>
  <c r="F1179" i="2"/>
  <c r="G1179" i="2"/>
  <c r="H1179" i="2"/>
  <c r="I1179" i="2"/>
  <c r="J1179" i="2"/>
  <c r="K1179" i="2"/>
  <c r="L1179" i="2"/>
  <c r="M1179" i="2"/>
  <c r="N1179" i="2"/>
  <c r="O1179" i="2"/>
  <c r="P1179" i="2"/>
  <c r="Q1179" i="2"/>
  <c r="R1179" i="2"/>
  <c r="S1179" i="2"/>
  <c r="T1179" i="2"/>
  <c r="U1179" i="2"/>
  <c r="V1179" i="2"/>
  <c r="W1179" i="2"/>
  <c r="X1179" i="2"/>
  <c r="Y1179" i="2"/>
  <c r="B1180" i="2"/>
  <c r="C1180" i="2"/>
  <c r="D1180" i="2"/>
  <c r="E1180" i="2"/>
  <c r="F1180" i="2"/>
  <c r="G1180" i="2"/>
  <c r="H1180" i="2"/>
  <c r="I1180" i="2"/>
  <c r="J1180" i="2"/>
  <c r="K1180" i="2"/>
  <c r="L1180" i="2"/>
  <c r="M1180" i="2"/>
  <c r="N1180" i="2"/>
  <c r="O1180" i="2"/>
  <c r="P1180" i="2"/>
  <c r="Q1180" i="2"/>
  <c r="R1180" i="2"/>
  <c r="S1180" i="2"/>
  <c r="T1180" i="2"/>
  <c r="U1180" i="2"/>
  <c r="V1180" i="2"/>
  <c r="W1180" i="2"/>
  <c r="X1180" i="2"/>
  <c r="Y1180" i="2"/>
  <c r="A1181" i="2"/>
  <c r="B1181" i="2"/>
  <c r="C1181" i="2"/>
  <c r="D1181" i="2"/>
  <c r="E1181" i="2"/>
  <c r="F1181" i="2"/>
  <c r="G1181" i="2"/>
  <c r="H1181" i="2"/>
  <c r="I1181" i="2"/>
  <c r="J1181" i="2"/>
  <c r="K1181" i="2"/>
  <c r="L1181" i="2"/>
  <c r="M1181" i="2"/>
  <c r="N1181" i="2"/>
  <c r="O1181" i="2"/>
  <c r="P1181" i="2"/>
  <c r="Q1181" i="2"/>
  <c r="R1181" i="2"/>
  <c r="S1181" i="2"/>
  <c r="T1181" i="2"/>
  <c r="U1181" i="2"/>
  <c r="V1181" i="2"/>
  <c r="W1181" i="2"/>
  <c r="X1181" i="2"/>
  <c r="Y1181" i="2"/>
  <c r="A1182" i="2"/>
  <c r="B1182" i="2"/>
  <c r="C1182" i="2"/>
  <c r="D1182" i="2"/>
  <c r="E1182" i="2"/>
  <c r="F1182" i="2"/>
  <c r="G1182" i="2"/>
  <c r="H1182" i="2"/>
  <c r="I1182" i="2"/>
  <c r="J1182" i="2"/>
  <c r="K1182" i="2"/>
  <c r="L1182" i="2"/>
  <c r="M1182" i="2"/>
  <c r="N1182" i="2"/>
  <c r="O1182" i="2"/>
  <c r="P1182" i="2"/>
  <c r="Q1182" i="2"/>
  <c r="R1182" i="2"/>
  <c r="S1182" i="2"/>
  <c r="T1182" i="2"/>
  <c r="U1182" i="2"/>
  <c r="V1182" i="2"/>
  <c r="W1182" i="2"/>
  <c r="X1182" i="2"/>
  <c r="Y1182" i="2"/>
  <c r="A1183" i="2"/>
  <c r="B1183" i="2"/>
  <c r="C1183" i="2"/>
  <c r="D1183" i="2"/>
  <c r="E1183" i="2"/>
  <c r="F1183" i="2"/>
  <c r="G1183" i="2"/>
  <c r="H1183" i="2"/>
  <c r="I1183" i="2"/>
  <c r="J1183" i="2"/>
  <c r="K1183" i="2"/>
  <c r="L1183" i="2"/>
  <c r="M1183" i="2"/>
  <c r="N1183" i="2"/>
  <c r="O1183" i="2"/>
  <c r="P1183" i="2"/>
  <c r="Q1183" i="2"/>
  <c r="R1183" i="2"/>
  <c r="S1183" i="2"/>
  <c r="T1183" i="2"/>
  <c r="U1183" i="2"/>
  <c r="V1183" i="2"/>
  <c r="W1183" i="2"/>
  <c r="X1183" i="2"/>
  <c r="Y1183" i="2"/>
  <c r="A1184" i="2"/>
  <c r="B1184" i="2"/>
  <c r="C1184" i="2"/>
  <c r="D1184" i="2"/>
  <c r="E1184" i="2"/>
  <c r="F1184" i="2"/>
  <c r="G1184" i="2"/>
  <c r="H1184" i="2"/>
  <c r="I1184" i="2"/>
  <c r="J1184" i="2"/>
  <c r="K1184" i="2"/>
  <c r="L1184" i="2"/>
  <c r="M1184" i="2"/>
  <c r="N1184" i="2"/>
  <c r="O1184" i="2"/>
  <c r="P1184" i="2"/>
  <c r="Q1184" i="2"/>
  <c r="R1184" i="2"/>
  <c r="S1184" i="2"/>
  <c r="T1184" i="2"/>
  <c r="U1184" i="2"/>
  <c r="V1184" i="2"/>
  <c r="W1184" i="2"/>
  <c r="X1184" i="2"/>
  <c r="Y1184" i="2"/>
  <c r="A1185" i="2"/>
  <c r="B1185" i="2"/>
  <c r="C1185" i="2"/>
  <c r="D1185" i="2"/>
  <c r="E1185" i="2"/>
  <c r="F1185" i="2"/>
  <c r="G1185" i="2"/>
  <c r="H1185" i="2"/>
  <c r="I1185" i="2"/>
  <c r="J1185" i="2"/>
  <c r="K1185" i="2"/>
  <c r="L1185" i="2"/>
  <c r="M1185" i="2"/>
  <c r="N1185" i="2"/>
  <c r="O1185" i="2"/>
  <c r="P1185" i="2"/>
  <c r="Q1185" i="2"/>
  <c r="R1185" i="2"/>
  <c r="S1185" i="2"/>
  <c r="T1185" i="2"/>
  <c r="U1185" i="2"/>
  <c r="V1185" i="2"/>
  <c r="W1185" i="2"/>
  <c r="X1185" i="2"/>
  <c r="Y1185" i="2"/>
  <c r="A1186" i="2"/>
  <c r="B1186" i="2"/>
  <c r="C1186" i="2"/>
  <c r="D1186" i="2"/>
  <c r="E1186" i="2"/>
  <c r="F1186" i="2"/>
  <c r="G1186" i="2"/>
  <c r="H1186" i="2"/>
  <c r="I1186" i="2"/>
  <c r="J1186" i="2"/>
  <c r="K1186" i="2"/>
  <c r="L1186" i="2"/>
  <c r="M1186" i="2"/>
  <c r="N1186" i="2"/>
  <c r="O1186" i="2"/>
  <c r="P1186" i="2"/>
  <c r="Q1186" i="2"/>
  <c r="R1186" i="2"/>
  <c r="S1186" i="2"/>
  <c r="T1186" i="2"/>
  <c r="U1186" i="2"/>
  <c r="V1186" i="2"/>
  <c r="W1186" i="2"/>
  <c r="X1186" i="2"/>
  <c r="Y1186" i="2"/>
  <c r="A1187" i="2"/>
  <c r="B1187" i="2"/>
  <c r="C1187" i="2"/>
  <c r="D1187" i="2"/>
  <c r="E1187" i="2"/>
  <c r="F1187" i="2"/>
  <c r="G1187" i="2"/>
  <c r="H1187" i="2"/>
  <c r="I1187" i="2"/>
  <c r="J1187" i="2"/>
  <c r="K1187" i="2"/>
  <c r="L1187" i="2"/>
  <c r="M1187" i="2"/>
  <c r="N1187" i="2"/>
  <c r="O1187" i="2"/>
  <c r="P1187" i="2"/>
  <c r="Q1187" i="2"/>
  <c r="R1187" i="2"/>
  <c r="S1187" i="2"/>
  <c r="T1187" i="2"/>
  <c r="U1187" i="2"/>
  <c r="V1187" i="2"/>
  <c r="W1187" i="2"/>
  <c r="X1187" i="2"/>
  <c r="Y1187" i="2"/>
  <c r="A1188" i="2"/>
  <c r="B1188" i="2"/>
  <c r="C1188" i="2"/>
  <c r="D1188" i="2"/>
  <c r="E1188" i="2"/>
  <c r="F1188" i="2"/>
  <c r="G1188" i="2"/>
  <c r="H1188" i="2"/>
  <c r="I1188" i="2"/>
  <c r="J1188" i="2"/>
  <c r="K1188" i="2"/>
  <c r="L1188" i="2"/>
  <c r="M1188" i="2"/>
  <c r="N1188" i="2"/>
  <c r="O1188" i="2"/>
  <c r="P1188" i="2"/>
  <c r="Q1188" i="2"/>
  <c r="R1188" i="2"/>
  <c r="S1188" i="2"/>
  <c r="T1188" i="2"/>
  <c r="U1188" i="2"/>
  <c r="V1188" i="2"/>
  <c r="W1188" i="2"/>
  <c r="X1188" i="2"/>
  <c r="Y1188" i="2"/>
  <c r="A1189" i="2"/>
  <c r="B1189" i="2"/>
  <c r="C1189" i="2"/>
  <c r="D1189" i="2"/>
  <c r="E1189" i="2"/>
  <c r="F1189" i="2"/>
  <c r="G1189" i="2"/>
  <c r="H1189" i="2"/>
  <c r="I1189" i="2"/>
  <c r="J1189" i="2"/>
  <c r="K1189" i="2"/>
  <c r="L1189" i="2"/>
  <c r="M1189" i="2"/>
  <c r="N1189" i="2"/>
  <c r="O1189" i="2"/>
  <c r="P1189" i="2"/>
  <c r="Q1189" i="2"/>
  <c r="R1189" i="2"/>
  <c r="S1189" i="2"/>
  <c r="T1189" i="2"/>
  <c r="U1189" i="2"/>
  <c r="V1189" i="2"/>
  <c r="W1189" i="2"/>
  <c r="X1189" i="2"/>
  <c r="Y1189" i="2"/>
  <c r="A1190" i="2"/>
  <c r="B1190" i="2"/>
  <c r="C1190" i="2"/>
  <c r="D1190" i="2"/>
  <c r="E1190" i="2"/>
  <c r="F1190" i="2"/>
  <c r="G1190" i="2"/>
  <c r="H1190" i="2"/>
  <c r="I1190" i="2"/>
  <c r="J1190" i="2"/>
  <c r="K1190" i="2"/>
  <c r="L1190" i="2"/>
  <c r="M1190" i="2"/>
  <c r="N1190" i="2"/>
  <c r="O1190" i="2"/>
  <c r="P1190" i="2"/>
  <c r="Q1190" i="2"/>
  <c r="R1190" i="2"/>
  <c r="S1190" i="2"/>
  <c r="T1190" i="2"/>
  <c r="U1190" i="2"/>
  <c r="V1190" i="2"/>
  <c r="W1190" i="2"/>
  <c r="X1190" i="2"/>
  <c r="Y1190" i="2"/>
  <c r="A1191" i="2"/>
  <c r="B1191" i="2"/>
  <c r="C1191" i="2"/>
  <c r="D1191" i="2"/>
  <c r="E1191" i="2"/>
  <c r="F1191" i="2"/>
  <c r="G1191" i="2"/>
  <c r="H1191" i="2"/>
  <c r="I1191" i="2"/>
  <c r="J1191" i="2"/>
  <c r="K1191" i="2"/>
  <c r="L1191" i="2"/>
  <c r="M1191" i="2"/>
  <c r="N1191" i="2"/>
  <c r="O1191" i="2"/>
  <c r="P1191" i="2"/>
  <c r="Q1191" i="2"/>
  <c r="R1191" i="2"/>
  <c r="S1191" i="2"/>
  <c r="T1191" i="2"/>
  <c r="U1191" i="2"/>
  <c r="V1191" i="2"/>
  <c r="W1191" i="2"/>
  <c r="X1191" i="2"/>
  <c r="Y1191" i="2"/>
  <c r="B1192" i="2"/>
  <c r="C1192" i="2"/>
  <c r="D1192" i="2"/>
  <c r="E1192" i="2"/>
  <c r="F1192" i="2"/>
  <c r="G1192" i="2"/>
  <c r="H1192" i="2"/>
  <c r="I1192" i="2"/>
  <c r="J1192" i="2"/>
  <c r="K1192" i="2"/>
  <c r="L1192" i="2"/>
  <c r="M1192" i="2"/>
  <c r="N1192" i="2"/>
  <c r="O1192" i="2"/>
  <c r="P1192" i="2"/>
  <c r="Q1192" i="2"/>
  <c r="R1192" i="2"/>
  <c r="S1192" i="2"/>
  <c r="T1192" i="2"/>
  <c r="U1192" i="2"/>
  <c r="V1192" i="2"/>
  <c r="W1192" i="2"/>
  <c r="X1192" i="2"/>
  <c r="Y1192" i="2"/>
  <c r="A1193" i="2"/>
  <c r="B1193" i="2"/>
  <c r="C1193" i="2"/>
  <c r="D1193" i="2"/>
  <c r="E1193" i="2"/>
  <c r="F1193" i="2"/>
  <c r="G1193" i="2"/>
  <c r="H1193" i="2"/>
  <c r="I1193" i="2"/>
  <c r="J1193" i="2"/>
  <c r="K1193" i="2"/>
  <c r="L1193" i="2"/>
  <c r="M1193" i="2"/>
  <c r="N1193" i="2"/>
  <c r="O1193" i="2"/>
  <c r="P1193" i="2"/>
  <c r="Q1193" i="2"/>
  <c r="R1193" i="2"/>
  <c r="S1193" i="2"/>
  <c r="T1193" i="2"/>
  <c r="U1193" i="2"/>
  <c r="V1193" i="2"/>
  <c r="W1193" i="2"/>
  <c r="X1193" i="2"/>
  <c r="Y1193" i="2"/>
  <c r="A1194" i="2"/>
  <c r="B1194" i="2"/>
  <c r="C1194" i="2"/>
  <c r="D1194" i="2"/>
  <c r="E1194" i="2"/>
  <c r="F1194" i="2"/>
  <c r="G1194" i="2"/>
  <c r="H1194" i="2"/>
  <c r="I1194" i="2"/>
  <c r="J1194" i="2"/>
  <c r="K1194" i="2"/>
  <c r="L1194" i="2"/>
  <c r="M1194" i="2"/>
  <c r="N1194" i="2"/>
  <c r="O1194" i="2"/>
  <c r="P1194" i="2"/>
  <c r="Q1194" i="2"/>
  <c r="R1194" i="2"/>
  <c r="S1194" i="2"/>
  <c r="T1194" i="2"/>
  <c r="U1194" i="2"/>
  <c r="V1194" i="2"/>
  <c r="W1194" i="2"/>
  <c r="X1194" i="2"/>
  <c r="Y1194" i="2"/>
  <c r="A1195" i="2"/>
  <c r="B1195" i="2"/>
  <c r="C1195" i="2"/>
  <c r="D1195" i="2"/>
  <c r="E1195" i="2"/>
  <c r="F1195" i="2"/>
  <c r="G1195" i="2"/>
  <c r="H1195" i="2"/>
  <c r="I1195" i="2"/>
  <c r="J1195" i="2"/>
  <c r="K1195" i="2"/>
  <c r="L1195" i="2"/>
  <c r="M1195" i="2"/>
  <c r="N1195" i="2"/>
  <c r="O1195" i="2"/>
  <c r="P1195" i="2"/>
  <c r="Q1195" i="2"/>
  <c r="R1195" i="2"/>
  <c r="S1195" i="2"/>
  <c r="T1195" i="2"/>
  <c r="U1195" i="2"/>
  <c r="V1195" i="2"/>
  <c r="W1195" i="2"/>
  <c r="X1195" i="2"/>
  <c r="Y1195" i="2"/>
  <c r="B1196" i="2"/>
  <c r="C1196" i="2"/>
  <c r="D1196" i="2"/>
  <c r="E1196" i="2"/>
  <c r="F1196" i="2"/>
  <c r="G1196" i="2"/>
  <c r="H1196" i="2"/>
  <c r="I1196" i="2"/>
  <c r="J1196" i="2"/>
  <c r="K1196" i="2"/>
  <c r="L1196" i="2"/>
  <c r="M1196" i="2"/>
  <c r="N1196" i="2"/>
  <c r="O1196" i="2"/>
  <c r="P1196" i="2"/>
  <c r="Q1196" i="2"/>
  <c r="R1196" i="2"/>
  <c r="S1196" i="2"/>
  <c r="T1196" i="2"/>
  <c r="U1196" i="2"/>
  <c r="V1196" i="2"/>
  <c r="W1196" i="2"/>
  <c r="X1196" i="2"/>
  <c r="Y1196" i="2"/>
  <c r="A1197" i="2"/>
  <c r="B1197" i="2"/>
  <c r="C1197" i="2"/>
  <c r="D1197" i="2"/>
  <c r="E1197" i="2"/>
  <c r="F1197" i="2"/>
  <c r="G1197" i="2"/>
  <c r="H1197" i="2"/>
  <c r="I1197" i="2"/>
  <c r="J1197" i="2"/>
  <c r="K1197" i="2"/>
  <c r="L1197" i="2"/>
  <c r="M1197" i="2"/>
  <c r="N1197" i="2"/>
  <c r="O1197" i="2"/>
  <c r="P1197" i="2"/>
  <c r="Q1197" i="2"/>
  <c r="R1197" i="2"/>
  <c r="S1197" i="2"/>
  <c r="T1197" i="2"/>
  <c r="U1197" i="2"/>
  <c r="V1197" i="2"/>
  <c r="W1197" i="2"/>
  <c r="X1197" i="2"/>
  <c r="Y1197" i="2"/>
  <c r="A1198" i="2"/>
  <c r="B1198" i="2"/>
  <c r="C1198" i="2"/>
  <c r="D1198" i="2"/>
  <c r="E1198" i="2"/>
  <c r="F1198" i="2"/>
  <c r="G1198" i="2"/>
  <c r="H1198" i="2"/>
  <c r="I1198" i="2"/>
  <c r="J1198" i="2"/>
  <c r="K1198" i="2"/>
  <c r="L1198" i="2"/>
  <c r="M1198" i="2"/>
  <c r="N1198" i="2"/>
  <c r="O1198" i="2"/>
  <c r="P1198" i="2"/>
  <c r="Q1198" i="2"/>
  <c r="R1198" i="2"/>
  <c r="S1198" i="2"/>
  <c r="T1198" i="2"/>
  <c r="U1198" i="2"/>
  <c r="V1198" i="2"/>
  <c r="W1198" i="2"/>
  <c r="X1198" i="2"/>
  <c r="Y1198" i="2"/>
  <c r="A1199" i="2"/>
  <c r="B1199" i="2"/>
  <c r="C1199" i="2"/>
  <c r="D1199" i="2"/>
  <c r="E1199" i="2"/>
  <c r="F1199" i="2"/>
  <c r="G1199" i="2"/>
  <c r="H1199" i="2"/>
  <c r="I1199" i="2"/>
  <c r="J1199" i="2"/>
  <c r="K1199" i="2"/>
  <c r="L1199" i="2"/>
  <c r="M1199" i="2"/>
  <c r="N1199" i="2"/>
  <c r="O1199" i="2"/>
  <c r="P1199" i="2"/>
  <c r="Q1199" i="2"/>
  <c r="R1199" i="2"/>
  <c r="S1199" i="2"/>
  <c r="T1199" i="2"/>
  <c r="U1199" i="2"/>
  <c r="V1199" i="2"/>
  <c r="W1199" i="2"/>
  <c r="X1199" i="2"/>
  <c r="Y1199" i="2"/>
  <c r="A1200" i="2"/>
  <c r="B1200" i="2"/>
  <c r="C1200" i="2"/>
  <c r="D1200" i="2"/>
  <c r="E1200" i="2"/>
  <c r="F1200" i="2"/>
  <c r="G1200" i="2"/>
  <c r="H1200" i="2"/>
  <c r="I1200" i="2"/>
  <c r="J1200" i="2"/>
  <c r="K1200" i="2"/>
  <c r="L1200" i="2"/>
  <c r="M1200" i="2"/>
  <c r="N1200" i="2"/>
  <c r="O1200" i="2"/>
  <c r="P1200" i="2"/>
  <c r="Q1200" i="2"/>
  <c r="R1200" i="2"/>
  <c r="S1200" i="2"/>
  <c r="T1200" i="2"/>
  <c r="U1200" i="2"/>
  <c r="V1200" i="2"/>
  <c r="W1200" i="2"/>
  <c r="X1200" i="2"/>
  <c r="Y1200" i="2"/>
  <c r="A1201" i="2"/>
  <c r="B1201" i="2"/>
  <c r="C1201" i="2"/>
  <c r="D1201" i="2"/>
  <c r="E1201" i="2"/>
  <c r="F1201" i="2"/>
  <c r="G1201" i="2"/>
  <c r="H1201" i="2"/>
  <c r="I1201" i="2"/>
  <c r="J1201" i="2"/>
  <c r="K1201" i="2"/>
  <c r="L1201" i="2"/>
  <c r="M1201" i="2"/>
  <c r="N1201" i="2"/>
  <c r="O1201" i="2"/>
  <c r="P1201" i="2"/>
  <c r="Q1201" i="2"/>
  <c r="R1201" i="2"/>
  <c r="S1201" i="2"/>
  <c r="T1201" i="2"/>
  <c r="U1201" i="2"/>
  <c r="V1201" i="2"/>
  <c r="W1201" i="2"/>
  <c r="X1201" i="2"/>
  <c r="Y1201" i="2"/>
  <c r="A1202" i="2"/>
  <c r="B1202" i="2"/>
  <c r="C1202" i="2"/>
  <c r="D1202" i="2"/>
  <c r="E1202" i="2"/>
  <c r="F1202" i="2"/>
  <c r="G1202" i="2"/>
  <c r="H1202" i="2"/>
  <c r="I1202" i="2"/>
  <c r="J1202" i="2"/>
  <c r="K1202" i="2"/>
  <c r="L1202" i="2"/>
  <c r="M1202" i="2"/>
  <c r="N1202" i="2"/>
  <c r="O1202" i="2"/>
  <c r="P1202" i="2"/>
  <c r="Q1202" i="2"/>
  <c r="R1202" i="2"/>
  <c r="S1202" i="2"/>
  <c r="T1202" i="2"/>
  <c r="U1202" i="2"/>
  <c r="V1202" i="2"/>
  <c r="W1202" i="2"/>
  <c r="X1202" i="2"/>
  <c r="Y1202" i="2"/>
  <c r="A1203" i="2"/>
  <c r="B1203" i="2"/>
  <c r="C1203" i="2"/>
  <c r="D1203" i="2"/>
  <c r="E1203" i="2"/>
  <c r="F1203" i="2"/>
  <c r="G1203" i="2"/>
  <c r="H1203" i="2"/>
  <c r="I1203" i="2"/>
  <c r="J1203" i="2"/>
  <c r="K1203" i="2"/>
  <c r="L1203" i="2"/>
  <c r="M1203" i="2"/>
  <c r="N1203" i="2"/>
  <c r="O1203" i="2"/>
  <c r="P1203" i="2"/>
  <c r="Q1203" i="2"/>
  <c r="R1203" i="2"/>
  <c r="S1203" i="2"/>
  <c r="T1203" i="2"/>
  <c r="U1203" i="2"/>
  <c r="V1203" i="2"/>
  <c r="W1203" i="2"/>
  <c r="X1203" i="2"/>
  <c r="Y1203" i="2"/>
  <c r="A1204" i="2"/>
  <c r="B1204" i="2"/>
  <c r="C1204" i="2"/>
  <c r="D1204" i="2"/>
  <c r="E1204" i="2"/>
  <c r="F1204" i="2"/>
  <c r="G1204" i="2"/>
  <c r="H1204" i="2"/>
  <c r="I1204" i="2"/>
  <c r="J1204" i="2"/>
  <c r="K1204" i="2"/>
  <c r="L1204" i="2"/>
  <c r="M1204" i="2"/>
  <c r="N1204" i="2"/>
  <c r="O1204" i="2"/>
  <c r="P1204" i="2"/>
  <c r="Q1204" i="2"/>
  <c r="R1204" i="2"/>
  <c r="S1204" i="2"/>
  <c r="T1204" i="2"/>
  <c r="U1204" i="2"/>
  <c r="V1204" i="2"/>
  <c r="W1204" i="2"/>
  <c r="X1204" i="2"/>
  <c r="Y1204" i="2"/>
  <c r="A1205" i="2"/>
  <c r="B1205" i="2"/>
  <c r="C1205" i="2"/>
  <c r="D1205" i="2"/>
  <c r="E1205" i="2"/>
  <c r="F1205" i="2"/>
  <c r="G1205" i="2"/>
  <c r="H1205" i="2"/>
  <c r="I1205" i="2"/>
  <c r="J1205" i="2"/>
  <c r="K1205" i="2"/>
  <c r="L1205" i="2"/>
  <c r="M1205" i="2"/>
  <c r="N1205" i="2"/>
  <c r="O1205" i="2"/>
  <c r="P1205" i="2"/>
  <c r="Q1205" i="2"/>
  <c r="R1205" i="2"/>
  <c r="S1205" i="2"/>
  <c r="T1205" i="2"/>
  <c r="U1205" i="2"/>
  <c r="V1205" i="2"/>
  <c r="W1205" i="2"/>
  <c r="X1205" i="2"/>
  <c r="Y1205" i="2"/>
  <c r="A1206" i="2"/>
  <c r="B1206" i="2"/>
  <c r="C1206" i="2"/>
  <c r="D1206" i="2"/>
  <c r="E1206" i="2"/>
  <c r="F1206" i="2"/>
  <c r="G1206" i="2"/>
  <c r="H1206" i="2"/>
  <c r="I1206" i="2"/>
  <c r="J1206" i="2"/>
  <c r="K1206" i="2"/>
  <c r="L1206" i="2"/>
  <c r="M1206" i="2"/>
  <c r="N1206" i="2"/>
  <c r="O1206" i="2"/>
  <c r="P1206" i="2"/>
  <c r="Q1206" i="2"/>
  <c r="R1206" i="2"/>
  <c r="S1206" i="2"/>
  <c r="T1206" i="2"/>
  <c r="U1206" i="2"/>
  <c r="V1206" i="2"/>
  <c r="W1206" i="2"/>
  <c r="X1206" i="2"/>
  <c r="Y1206" i="2"/>
  <c r="A1207" i="2"/>
  <c r="B1207" i="2"/>
  <c r="C1207" i="2"/>
  <c r="D1207" i="2"/>
  <c r="E1207" i="2"/>
  <c r="F1207" i="2"/>
  <c r="G1207" i="2"/>
  <c r="H1207" i="2"/>
  <c r="I1207" i="2"/>
  <c r="J1207" i="2"/>
  <c r="K1207" i="2"/>
  <c r="L1207" i="2"/>
  <c r="M1207" i="2"/>
  <c r="N1207" i="2"/>
  <c r="O1207" i="2"/>
  <c r="P1207" i="2"/>
  <c r="Q1207" i="2"/>
  <c r="R1207" i="2"/>
  <c r="S1207" i="2"/>
  <c r="T1207" i="2"/>
  <c r="U1207" i="2"/>
  <c r="V1207" i="2"/>
  <c r="W1207" i="2"/>
  <c r="X1207" i="2"/>
  <c r="Y1207" i="2"/>
  <c r="B1208" i="2"/>
  <c r="C1208" i="2"/>
  <c r="D1208" i="2"/>
  <c r="E1208" i="2"/>
  <c r="F1208" i="2"/>
  <c r="G1208" i="2"/>
  <c r="H1208" i="2"/>
  <c r="I1208" i="2"/>
  <c r="J1208" i="2"/>
  <c r="K1208" i="2"/>
  <c r="L1208" i="2"/>
  <c r="M1208" i="2"/>
  <c r="N1208" i="2"/>
  <c r="O1208" i="2"/>
  <c r="P1208" i="2"/>
  <c r="Q1208" i="2"/>
  <c r="R1208" i="2"/>
  <c r="S1208" i="2"/>
  <c r="T1208" i="2"/>
  <c r="U1208" i="2"/>
  <c r="V1208" i="2"/>
  <c r="W1208" i="2"/>
  <c r="X1208" i="2"/>
  <c r="Y1208" i="2"/>
  <c r="A1209" i="2"/>
  <c r="B1209" i="2"/>
  <c r="C1209" i="2"/>
  <c r="D1209" i="2"/>
  <c r="E1209" i="2"/>
  <c r="F1209" i="2"/>
  <c r="G1209" i="2"/>
  <c r="H1209" i="2"/>
  <c r="I1209" i="2"/>
  <c r="J1209" i="2"/>
  <c r="K1209" i="2"/>
  <c r="L1209" i="2"/>
  <c r="M1209" i="2"/>
  <c r="N1209" i="2"/>
  <c r="O1209" i="2"/>
  <c r="P1209" i="2"/>
  <c r="Q1209" i="2"/>
  <c r="R1209" i="2"/>
  <c r="S1209" i="2"/>
  <c r="T1209" i="2"/>
  <c r="U1209" i="2"/>
  <c r="V1209" i="2"/>
  <c r="W1209" i="2"/>
  <c r="X1209" i="2"/>
  <c r="Y1209" i="2"/>
  <c r="A1210" i="2"/>
  <c r="B1210" i="2"/>
  <c r="C1210" i="2"/>
  <c r="D1210" i="2"/>
  <c r="E1210" i="2"/>
  <c r="F1210" i="2"/>
  <c r="G1210" i="2"/>
  <c r="H1210" i="2"/>
  <c r="I1210" i="2"/>
  <c r="J1210" i="2"/>
  <c r="K1210" i="2"/>
  <c r="L1210" i="2"/>
  <c r="M1210" i="2"/>
  <c r="N1210" i="2"/>
  <c r="O1210" i="2"/>
  <c r="P1210" i="2"/>
  <c r="Q1210" i="2"/>
  <c r="R1210" i="2"/>
  <c r="S1210" i="2"/>
  <c r="T1210" i="2"/>
  <c r="U1210" i="2"/>
  <c r="V1210" i="2"/>
  <c r="W1210" i="2"/>
  <c r="X1210" i="2"/>
  <c r="Y1210" i="2"/>
  <c r="A1211" i="2"/>
  <c r="B1211" i="2"/>
  <c r="C1211" i="2"/>
  <c r="D1211" i="2"/>
  <c r="E1211" i="2"/>
  <c r="F1211" i="2"/>
  <c r="G1211" i="2"/>
  <c r="H1211" i="2"/>
  <c r="I1211" i="2"/>
  <c r="J1211" i="2"/>
  <c r="K1211" i="2"/>
  <c r="L1211" i="2"/>
  <c r="M1211" i="2"/>
  <c r="N1211" i="2"/>
  <c r="O1211" i="2"/>
  <c r="P1211" i="2"/>
  <c r="Q1211" i="2"/>
  <c r="R1211" i="2"/>
  <c r="S1211" i="2"/>
  <c r="T1211" i="2"/>
  <c r="U1211" i="2"/>
  <c r="V1211" i="2"/>
  <c r="W1211" i="2"/>
  <c r="X1211" i="2"/>
  <c r="Y1211" i="2"/>
  <c r="B1212" i="2"/>
  <c r="C1212" i="2"/>
  <c r="D1212" i="2"/>
  <c r="E1212" i="2"/>
  <c r="F1212" i="2"/>
  <c r="G1212" i="2"/>
  <c r="H1212" i="2"/>
  <c r="I1212" i="2"/>
  <c r="J1212" i="2"/>
  <c r="K1212" i="2"/>
  <c r="L1212" i="2"/>
  <c r="M1212" i="2"/>
  <c r="N1212" i="2"/>
  <c r="O1212" i="2"/>
  <c r="P1212" i="2"/>
  <c r="Q1212" i="2"/>
  <c r="R1212" i="2"/>
  <c r="S1212" i="2"/>
  <c r="T1212" i="2"/>
  <c r="U1212" i="2"/>
  <c r="V1212" i="2"/>
  <c r="W1212" i="2"/>
  <c r="X1212" i="2"/>
  <c r="Y1212" i="2"/>
  <c r="A1213" i="2"/>
  <c r="B1213" i="2"/>
  <c r="C1213" i="2"/>
  <c r="D1213" i="2"/>
  <c r="E1213" i="2"/>
  <c r="F1213" i="2"/>
  <c r="G1213" i="2"/>
  <c r="H1213" i="2"/>
  <c r="I1213" i="2"/>
  <c r="J1213" i="2"/>
  <c r="K1213" i="2"/>
  <c r="L1213" i="2"/>
  <c r="M1213" i="2"/>
  <c r="N1213" i="2"/>
  <c r="O1213" i="2"/>
  <c r="P1213" i="2"/>
  <c r="Q1213" i="2"/>
  <c r="R1213" i="2"/>
  <c r="S1213" i="2"/>
  <c r="T1213" i="2"/>
  <c r="U1213" i="2"/>
  <c r="V1213" i="2"/>
  <c r="W1213" i="2"/>
  <c r="X1213" i="2"/>
  <c r="Y1213" i="2"/>
  <c r="A1214" i="2"/>
  <c r="B1214" i="2"/>
  <c r="C1214" i="2"/>
  <c r="D1214" i="2"/>
  <c r="E1214" i="2"/>
  <c r="F1214" i="2"/>
  <c r="G1214" i="2"/>
  <c r="H1214" i="2"/>
  <c r="I1214" i="2"/>
  <c r="J1214" i="2"/>
  <c r="K1214" i="2"/>
  <c r="L1214" i="2"/>
  <c r="M1214" i="2"/>
  <c r="N1214" i="2"/>
  <c r="O1214" i="2"/>
  <c r="P1214" i="2"/>
  <c r="Q1214" i="2"/>
  <c r="R1214" i="2"/>
  <c r="S1214" i="2"/>
  <c r="T1214" i="2"/>
  <c r="U1214" i="2"/>
  <c r="V1214" i="2"/>
  <c r="W1214" i="2"/>
  <c r="X1214" i="2"/>
  <c r="Y1214" i="2"/>
  <c r="A1215" i="2"/>
  <c r="B1215" i="2"/>
  <c r="C1215" i="2"/>
  <c r="D1215" i="2"/>
  <c r="E1215" i="2"/>
  <c r="F1215" i="2"/>
  <c r="G1215" i="2"/>
  <c r="H1215" i="2"/>
  <c r="I1215" i="2"/>
  <c r="J1215" i="2"/>
  <c r="K1215" i="2"/>
  <c r="L1215" i="2"/>
  <c r="M1215" i="2"/>
  <c r="N1215" i="2"/>
  <c r="O1215" i="2"/>
  <c r="P1215" i="2"/>
  <c r="Q1215" i="2"/>
  <c r="R1215" i="2"/>
  <c r="S1215" i="2"/>
  <c r="T1215" i="2"/>
  <c r="U1215" i="2"/>
  <c r="V1215" i="2"/>
  <c r="W1215" i="2"/>
  <c r="X1215" i="2"/>
  <c r="Y1215" i="2"/>
  <c r="A1216" i="2"/>
  <c r="B1216" i="2"/>
  <c r="C1216" i="2"/>
  <c r="D1216" i="2"/>
  <c r="E1216" i="2"/>
  <c r="F1216" i="2"/>
  <c r="G1216" i="2"/>
  <c r="H1216" i="2"/>
  <c r="I1216" i="2"/>
  <c r="J1216" i="2"/>
  <c r="K1216" i="2"/>
  <c r="L1216" i="2"/>
  <c r="M1216" i="2"/>
  <c r="N1216" i="2"/>
  <c r="O1216" i="2"/>
  <c r="P1216" i="2"/>
  <c r="Q1216" i="2"/>
  <c r="R1216" i="2"/>
  <c r="S1216" i="2"/>
  <c r="T1216" i="2"/>
  <c r="U1216" i="2"/>
  <c r="V1216" i="2"/>
  <c r="W1216" i="2"/>
  <c r="X1216" i="2"/>
  <c r="Y1216" i="2"/>
  <c r="A1217" i="2"/>
  <c r="B1217" i="2"/>
  <c r="C1217" i="2"/>
  <c r="D1217" i="2"/>
  <c r="E1217" i="2"/>
  <c r="F1217" i="2"/>
  <c r="G1217" i="2"/>
  <c r="H1217" i="2"/>
  <c r="I1217" i="2"/>
  <c r="J1217" i="2"/>
  <c r="K1217" i="2"/>
  <c r="L1217" i="2"/>
  <c r="M1217" i="2"/>
  <c r="N1217" i="2"/>
  <c r="O1217" i="2"/>
  <c r="P1217" i="2"/>
  <c r="Q1217" i="2"/>
  <c r="R1217" i="2"/>
  <c r="S1217" i="2"/>
  <c r="T1217" i="2"/>
  <c r="U1217" i="2"/>
  <c r="V1217" i="2"/>
  <c r="W1217" i="2"/>
  <c r="X1217" i="2"/>
  <c r="Y1217" i="2"/>
  <c r="A1218" i="2"/>
  <c r="B1218" i="2"/>
  <c r="C1218" i="2"/>
  <c r="D1218" i="2"/>
  <c r="E1218" i="2"/>
  <c r="F1218" i="2"/>
  <c r="G1218" i="2"/>
  <c r="H1218" i="2"/>
  <c r="I1218" i="2"/>
  <c r="J1218" i="2"/>
  <c r="K1218" i="2"/>
  <c r="L1218" i="2"/>
  <c r="M1218" i="2"/>
  <c r="N1218" i="2"/>
  <c r="O1218" i="2"/>
  <c r="P1218" i="2"/>
  <c r="Q1218" i="2"/>
  <c r="R1218" i="2"/>
  <c r="S1218" i="2"/>
  <c r="T1218" i="2"/>
  <c r="U1218" i="2"/>
  <c r="V1218" i="2"/>
  <c r="W1218" i="2"/>
  <c r="X1218" i="2"/>
  <c r="Y1218" i="2"/>
  <c r="A1219" i="2"/>
  <c r="B1219" i="2"/>
  <c r="C1219" i="2"/>
  <c r="D1219" i="2"/>
  <c r="E1219" i="2"/>
  <c r="F1219" i="2"/>
  <c r="G1219" i="2"/>
  <c r="H1219" i="2"/>
  <c r="I1219" i="2"/>
  <c r="J1219" i="2"/>
  <c r="K1219" i="2"/>
  <c r="L1219" i="2"/>
  <c r="M1219" i="2"/>
  <c r="N1219" i="2"/>
  <c r="O1219" i="2"/>
  <c r="P1219" i="2"/>
  <c r="Q1219" i="2"/>
  <c r="R1219" i="2"/>
  <c r="S1219" i="2"/>
  <c r="T1219" i="2"/>
  <c r="U1219" i="2"/>
  <c r="V1219" i="2"/>
  <c r="W1219" i="2"/>
  <c r="X1219" i="2"/>
  <c r="Y1219" i="2"/>
  <c r="A1220" i="2"/>
  <c r="B1220" i="2"/>
  <c r="C1220" i="2"/>
  <c r="D1220" i="2"/>
  <c r="E1220" i="2"/>
  <c r="F1220" i="2"/>
  <c r="G1220" i="2"/>
  <c r="H1220" i="2"/>
  <c r="I1220" i="2"/>
  <c r="J1220" i="2"/>
  <c r="K1220" i="2"/>
  <c r="L1220" i="2"/>
  <c r="M1220" i="2"/>
  <c r="N1220" i="2"/>
  <c r="O1220" i="2"/>
  <c r="P1220" i="2"/>
  <c r="Q1220" i="2"/>
  <c r="R1220" i="2"/>
  <c r="S1220" i="2"/>
  <c r="T1220" i="2"/>
  <c r="U1220" i="2"/>
  <c r="V1220" i="2"/>
  <c r="W1220" i="2"/>
  <c r="X1220" i="2"/>
  <c r="Y1220" i="2"/>
  <c r="A1221" i="2"/>
  <c r="B1221" i="2"/>
  <c r="C1221" i="2"/>
  <c r="D1221" i="2"/>
  <c r="E1221" i="2"/>
  <c r="F1221" i="2"/>
  <c r="G1221" i="2"/>
  <c r="H1221" i="2"/>
  <c r="I1221" i="2"/>
  <c r="J1221" i="2"/>
  <c r="K1221" i="2"/>
  <c r="L1221" i="2"/>
  <c r="M1221" i="2"/>
  <c r="N1221" i="2"/>
  <c r="O1221" i="2"/>
  <c r="P1221" i="2"/>
  <c r="Q1221" i="2"/>
  <c r="R1221" i="2"/>
  <c r="S1221" i="2"/>
  <c r="T1221" i="2"/>
  <c r="U1221" i="2"/>
  <c r="V1221" i="2"/>
  <c r="W1221" i="2"/>
  <c r="X1221" i="2"/>
  <c r="Y1221" i="2"/>
  <c r="A1222" i="2"/>
  <c r="B1222" i="2"/>
  <c r="C1222" i="2"/>
  <c r="D1222" i="2"/>
  <c r="E1222" i="2"/>
  <c r="F1222" i="2"/>
  <c r="G1222" i="2"/>
  <c r="H1222" i="2"/>
  <c r="I1222" i="2"/>
  <c r="J1222" i="2"/>
  <c r="K1222" i="2"/>
  <c r="L1222" i="2"/>
  <c r="M1222" i="2"/>
  <c r="N1222" i="2"/>
  <c r="O1222" i="2"/>
  <c r="P1222" i="2"/>
  <c r="Q1222" i="2"/>
  <c r="R1222" i="2"/>
  <c r="S1222" i="2"/>
  <c r="T1222" i="2"/>
  <c r="U1222" i="2"/>
  <c r="V1222" i="2"/>
  <c r="W1222" i="2"/>
  <c r="X1222" i="2"/>
  <c r="Y1222" i="2"/>
  <c r="A1223" i="2"/>
  <c r="B1223" i="2"/>
  <c r="C1223" i="2"/>
  <c r="D1223" i="2"/>
  <c r="E1223" i="2"/>
  <c r="F1223" i="2"/>
  <c r="G1223" i="2"/>
  <c r="H1223" i="2"/>
  <c r="I1223" i="2"/>
  <c r="J1223" i="2"/>
  <c r="K1223" i="2"/>
  <c r="L1223" i="2"/>
  <c r="M1223" i="2"/>
  <c r="N1223" i="2"/>
  <c r="O1223" i="2"/>
  <c r="P1223" i="2"/>
  <c r="Q1223" i="2"/>
  <c r="R1223" i="2"/>
  <c r="S1223" i="2"/>
  <c r="T1223" i="2"/>
  <c r="U1223" i="2"/>
  <c r="V1223" i="2"/>
  <c r="W1223" i="2"/>
  <c r="X1223" i="2"/>
  <c r="Y1223" i="2"/>
  <c r="B1224" i="2"/>
  <c r="C1224" i="2"/>
  <c r="D1224" i="2"/>
  <c r="E1224" i="2"/>
  <c r="F1224" i="2"/>
  <c r="G1224" i="2"/>
  <c r="H1224" i="2"/>
  <c r="I1224" i="2"/>
  <c r="J1224" i="2"/>
  <c r="K1224" i="2"/>
  <c r="L1224" i="2"/>
  <c r="M1224" i="2"/>
  <c r="N1224" i="2"/>
  <c r="O1224" i="2"/>
  <c r="P1224" i="2"/>
  <c r="Q1224" i="2"/>
  <c r="R1224" i="2"/>
  <c r="S1224" i="2"/>
  <c r="T1224" i="2"/>
  <c r="U1224" i="2"/>
  <c r="V1224" i="2"/>
  <c r="W1224" i="2"/>
  <c r="X1224" i="2"/>
  <c r="Y1224" i="2"/>
  <c r="A1225" i="2"/>
  <c r="B1225" i="2"/>
  <c r="C1225" i="2"/>
  <c r="D1225" i="2"/>
  <c r="E1225" i="2"/>
  <c r="F1225" i="2"/>
  <c r="G1225" i="2"/>
  <c r="H1225" i="2"/>
  <c r="I1225" i="2"/>
  <c r="J1225" i="2"/>
  <c r="K1225" i="2"/>
  <c r="L1225" i="2"/>
  <c r="M1225" i="2"/>
  <c r="N1225" i="2"/>
  <c r="O1225" i="2"/>
  <c r="P1225" i="2"/>
  <c r="Q1225" i="2"/>
  <c r="R1225" i="2"/>
  <c r="S1225" i="2"/>
  <c r="T1225" i="2"/>
  <c r="U1225" i="2"/>
  <c r="V1225" i="2"/>
  <c r="W1225" i="2"/>
  <c r="X1225" i="2"/>
  <c r="Y1225" i="2"/>
  <c r="A1226" i="2"/>
  <c r="B1226" i="2"/>
  <c r="C1226" i="2"/>
  <c r="D1226" i="2"/>
  <c r="E1226" i="2"/>
  <c r="F1226" i="2"/>
  <c r="G1226" i="2"/>
  <c r="H1226" i="2"/>
  <c r="I1226" i="2"/>
  <c r="J1226" i="2"/>
  <c r="K1226" i="2"/>
  <c r="L1226" i="2"/>
  <c r="M1226" i="2"/>
  <c r="N1226" i="2"/>
  <c r="O1226" i="2"/>
  <c r="P1226" i="2"/>
  <c r="Q1226" i="2"/>
  <c r="R1226" i="2"/>
  <c r="S1226" i="2"/>
  <c r="T1226" i="2"/>
  <c r="U1226" i="2"/>
  <c r="V1226" i="2"/>
  <c r="W1226" i="2"/>
  <c r="X1226" i="2"/>
  <c r="Y1226" i="2"/>
  <c r="A1227" i="2"/>
  <c r="B1227" i="2"/>
  <c r="C1227" i="2"/>
  <c r="D1227" i="2"/>
  <c r="E1227" i="2"/>
  <c r="F1227" i="2"/>
  <c r="G1227" i="2"/>
  <c r="H1227" i="2"/>
  <c r="I1227" i="2"/>
  <c r="J1227" i="2"/>
  <c r="K1227" i="2"/>
  <c r="L1227" i="2"/>
  <c r="M1227" i="2"/>
  <c r="N1227" i="2"/>
  <c r="O1227" i="2"/>
  <c r="P1227" i="2"/>
  <c r="Q1227" i="2"/>
  <c r="R1227" i="2"/>
  <c r="S1227" i="2"/>
  <c r="T1227" i="2"/>
  <c r="U1227" i="2"/>
  <c r="V1227" i="2"/>
  <c r="W1227" i="2"/>
  <c r="X1227" i="2"/>
  <c r="Y1227" i="2"/>
  <c r="B1228" i="2"/>
  <c r="C1228" i="2"/>
  <c r="D1228" i="2"/>
  <c r="E1228" i="2"/>
  <c r="F1228" i="2"/>
  <c r="G1228" i="2"/>
  <c r="H1228" i="2"/>
  <c r="I1228" i="2"/>
  <c r="J1228" i="2"/>
  <c r="K1228" i="2"/>
  <c r="L1228" i="2"/>
  <c r="M1228" i="2"/>
  <c r="N1228" i="2"/>
  <c r="O1228" i="2"/>
  <c r="P1228" i="2"/>
  <c r="Q1228" i="2"/>
  <c r="R1228" i="2"/>
  <c r="S1228" i="2"/>
  <c r="T1228" i="2"/>
  <c r="U1228" i="2"/>
  <c r="V1228" i="2"/>
  <c r="W1228" i="2"/>
  <c r="X1228" i="2"/>
  <c r="Y1228" i="2"/>
  <c r="A1229" i="2"/>
  <c r="B1229" i="2"/>
  <c r="C1229" i="2"/>
  <c r="D1229" i="2"/>
  <c r="E1229" i="2"/>
  <c r="F1229" i="2"/>
  <c r="G1229" i="2"/>
  <c r="H1229" i="2"/>
  <c r="I1229" i="2"/>
  <c r="J1229" i="2"/>
  <c r="K1229" i="2"/>
  <c r="L1229" i="2"/>
  <c r="M1229" i="2"/>
  <c r="N1229" i="2"/>
  <c r="O1229" i="2"/>
  <c r="P1229" i="2"/>
  <c r="Q1229" i="2"/>
  <c r="R1229" i="2"/>
  <c r="S1229" i="2"/>
  <c r="T1229" i="2"/>
  <c r="U1229" i="2"/>
  <c r="V1229" i="2"/>
  <c r="W1229" i="2"/>
  <c r="X1229" i="2"/>
  <c r="Y1229" i="2"/>
  <c r="A1230" i="2"/>
  <c r="B1230" i="2"/>
  <c r="C1230" i="2"/>
  <c r="D1230" i="2"/>
  <c r="E1230" i="2"/>
  <c r="F1230" i="2"/>
  <c r="G1230" i="2"/>
  <c r="H1230" i="2"/>
  <c r="I1230" i="2"/>
  <c r="J1230" i="2"/>
  <c r="K1230" i="2"/>
  <c r="L1230" i="2"/>
  <c r="M1230" i="2"/>
  <c r="N1230" i="2"/>
  <c r="O1230" i="2"/>
  <c r="P1230" i="2"/>
  <c r="Q1230" i="2"/>
  <c r="R1230" i="2"/>
  <c r="S1230" i="2"/>
  <c r="T1230" i="2"/>
  <c r="U1230" i="2"/>
  <c r="V1230" i="2"/>
  <c r="W1230" i="2"/>
  <c r="X1230" i="2"/>
  <c r="Y1230" i="2"/>
  <c r="A1231" i="2"/>
  <c r="B1231" i="2"/>
  <c r="C1231" i="2"/>
  <c r="D1231" i="2"/>
  <c r="E1231" i="2"/>
  <c r="F1231" i="2"/>
  <c r="G1231" i="2"/>
  <c r="H1231" i="2"/>
  <c r="I1231" i="2"/>
  <c r="J1231" i="2"/>
  <c r="K1231" i="2"/>
  <c r="L1231" i="2"/>
  <c r="M1231" i="2"/>
  <c r="N1231" i="2"/>
  <c r="O1231" i="2"/>
  <c r="P1231" i="2"/>
  <c r="Q1231" i="2"/>
  <c r="R1231" i="2"/>
  <c r="S1231" i="2"/>
  <c r="T1231" i="2"/>
  <c r="U1231" i="2"/>
  <c r="V1231" i="2"/>
  <c r="W1231" i="2"/>
  <c r="X1231" i="2"/>
  <c r="Y1231" i="2"/>
  <c r="A1232" i="2"/>
  <c r="B1232" i="2"/>
  <c r="C1232" i="2"/>
  <c r="D1232" i="2"/>
  <c r="E1232" i="2"/>
  <c r="F1232" i="2"/>
  <c r="G1232" i="2"/>
  <c r="H1232" i="2"/>
  <c r="I1232" i="2"/>
  <c r="J1232" i="2"/>
  <c r="K1232" i="2"/>
  <c r="L1232" i="2"/>
  <c r="M1232" i="2"/>
  <c r="N1232" i="2"/>
  <c r="O1232" i="2"/>
  <c r="P1232" i="2"/>
  <c r="Q1232" i="2"/>
  <c r="R1232" i="2"/>
  <c r="S1232" i="2"/>
  <c r="T1232" i="2"/>
  <c r="U1232" i="2"/>
  <c r="V1232" i="2"/>
  <c r="W1232" i="2"/>
  <c r="X1232" i="2"/>
  <c r="Y1232" i="2"/>
  <c r="A1233" i="2"/>
  <c r="B1233" i="2"/>
  <c r="C1233" i="2"/>
  <c r="D1233" i="2"/>
  <c r="E1233" i="2"/>
  <c r="F1233" i="2"/>
  <c r="G1233" i="2"/>
  <c r="H1233" i="2"/>
  <c r="I1233" i="2"/>
  <c r="J1233" i="2"/>
  <c r="K1233" i="2"/>
  <c r="L1233" i="2"/>
  <c r="M1233" i="2"/>
  <c r="N1233" i="2"/>
  <c r="O1233" i="2"/>
  <c r="P1233" i="2"/>
  <c r="Q1233" i="2"/>
  <c r="R1233" i="2"/>
  <c r="S1233" i="2"/>
  <c r="T1233" i="2"/>
  <c r="U1233" i="2"/>
  <c r="V1233" i="2"/>
  <c r="W1233" i="2"/>
  <c r="X1233" i="2"/>
  <c r="Y1233" i="2"/>
  <c r="A1234" i="2"/>
  <c r="B1234" i="2"/>
  <c r="C1234" i="2"/>
  <c r="D1234" i="2"/>
  <c r="E1234" i="2"/>
  <c r="F1234" i="2"/>
  <c r="G1234" i="2"/>
  <c r="H1234" i="2"/>
  <c r="I1234" i="2"/>
  <c r="J1234" i="2"/>
  <c r="K1234" i="2"/>
  <c r="L1234" i="2"/>
  <c r="M1234" i="2"/>
  <c r="N1234" i="2"/>
  <c r="O1234" i="2"/>
  <c r="P1234" i="2"/>
  <c r="Q1234" i="2"/>
  <c r="R1234" i="2"/>
  <c r="S1234" i="2"/>
  <c r="T1234" i="2"/>
  <c r="U1234" i="2"/>
  <c r="V1234" i="2"/>
  <c r="W1234" i="2"/>
  <c r="X1234" i="2"/>
  <c r="Y1234" i="2"/>
  <c r="A1235" i="2"/>
  <c r="B1235" i="2"/>
  <c r="C1235" i="2"/>
  <c r="D1235" i="2"/>
  <c r="E1235" i="2"/>
  <c r="F1235" i="2"/>
  <c r="G1235" i="2"/>
  <c r="H1235" i="2"/>
  <c r="I1235" i="2"/>
  <c r="J1235" i="2"/>
  <c r="K1235" i="2"/>
  <c r="L1235" i="2"/>
  <c r="M1235" i="2"/>
  <c r="N1235" i="2"/>
  <c r="O1235" i="2"/>
  <c r="P1235" i="2"/>
  <c r="Q1235" i="2"/>
  <c r="R1235" i="2"/>
  <c r="S1235" i="2"/>
  <c r="T1235" i="2"/>
  <c r="U1235" i="2"/>
  <c r="V1235" i="2"/>
  <c r="W1235" i="2"/>
  <c r="X1235" i="2"/>
  <c r="Y1235" i="2"/>
  <c r="A1236" i="2"/>
  <c r="B1236" i="2"/>
  <c r="C1236" i="2"/>
  <c r="D1236" i="2"/>
  <c r="E1236" i="2"/>
  <c r="F1236" i="2"/>
  <c r="G1236" i="2"/>
  <c r="H1236" i="2"/>
  <c r="I1236" i="2"/>
  <c r="J1236" i="2"/>
  <c r="K1236" i="2"/>
  <c r="L1236" i="2"/>
  <c r="M1236" i="2"/>
  <c r="N1236" i="2"/>
  <c r="O1236" i="2"/>
  <c r="P1236" i="2"/>
  <c r="Q1236" i="2"/>
  <c r="R1236" i="2"/>
  <c r="S1236" i="2"/>
  <c r="T1236" i="2"/>
  <c r="U1236" i="2"/>
  <c r="V1236" i="2"/>
  <c r="W1236" i="2"/>
  <c r="X1236" i="2"/>
  <c r="Y1236" i="2"/>
  <c r="A1237" i="2"/>
  <c r="B1237" i="2"/>
  <c r="C1237" i="2"/>
  <c r="D1237" i="2"/>
  <c r="E1237" i="2"/>
  <c r="F1237" i="2"/>
  <c r="G1237" i="2"/>
  <c r="H1237" i="2"/>
  <c r="I1237" i="2"/>
  <c r="J1237" i="2"/>
  <c r="K1237" i="2"/>
  <c r="L1237" i="2"/>
  <c r="M1237" i="2"/>
  <c r="N1237" i="2"/>
  <c r="O1237" i="2"/>
  <c r="P1237" i="2"/>
  <c r="Q1237" i="2"/>
  <c r="R1237" i="2"/>
  <c r="S1237" i="2"/>
  <c r="T1237" i="2"/>
  <c r="U1237" i="2"/>
  <c r="V1237" i="2"/>
  <c r="W1237" i="2"/>
  <c r="X1237" i="2"/>
  <c r="Y1237" i="2"/>
  <c r="A1238" i="2"/>
  <c r="B1238" i="2"/>
  <c r="C1238" i="2"/>
  <c r="D1238" i="2"/>
  <c r="E1238" i="2"/>
  <c r="F1238" i="2"/>
  <c r="G1238" i="2"/>
  <c r="H1238" i="2"/>
  <c r="I1238" i="2"/>
  <c r="J1238" i="2"/>
  <c r="K1238" i="2"/>
  <c r="L1238" i="2"/>
  <c r="M1238" i="2"/>
  <c r="N1238" i="2"/>
  <c r="O1238" i="2"/>
  <c r="P1238" i="2"/>
  <c r="Q1238" i="2"/>
  <c r="R1238" i="2"/>
  <c r="S1238" i="2"/>
  <c r="T1238" i="2"/>
  <c r="U1238" i="2"/>
  <c r="V1238" i="2"/>
  <c r="W1238" i="2"/>
  <c r="X1238" i="2"/>
  <c r="Y1238" i="2"/>
  <c r="A1239" i="2"/>
  <c r="B1239" i="2"/>
  <c r="C1239" i="2"/>
  <c r="D1239" i="2"/>
  <c r="E1239" i="2"/>
  <c r="F1239" i="2"/>
  <c r="G1239" i="2"/>
  <c r="H1239" i="2"/>
  <c r="I1239" i="2"/>
  <c r="J1239" i="2"/>
  <c r="K1239" i="2"/>
  <c r="L1239" i="2"/>
  <c r="M1239" i="2"/>
  <c r="N1239" i="2"/>
  <c r="O1239" i="2"/>
  <c r="P1239" i="2"/>
  <c r="Q1239" i="2"/>
  <c r="R1239" i="2"/>
  <c r="S1239" i="2"/>
  <c r="T1239" i="2"/>
  <c r="U1239" i="2"/>
  <c r="V1239" i="2"/>
  <c r="W1239" i="2"/>
  <c r="X1239" i="2"/>
  <c r="Y1239" i="2"/>
  <c r="B1240" i="2"/>
  <c r="C1240" i="2"/>
  <c r="D1240" i="2"/>
  <c r="E1240" i="2"/>
  <c r="F1240" i="2"/>
  <c r="G1240" i="2"/>
  <c r="H1240" i="2"/>
  <c r="I1240" i="2"/>
  <c r="J1240" i="2"/>
  <c r="K1240" i="2"/>
  <c r="L1240" i="2"/>
  <c r="M1240" i="2"/>
  <c r="N1240" i="2"/>
  <c r="O1240" i="2"/>
  <c r="P1240" i="2"/>
  <c r="Q1240" i="2"/>
  <c r="R1240" i="2"/>
  <c r="S1240" i="2"/>
  <c r="T1240" i="2"/>
  <c r="U1240" i="2"/>
  <c r="V1240" i="2"/>
  <c r="W1240" i="2"/>
  <c r="X1240" i="2"/>
  <c r="Y1240" i="2"/>
  <c r="A1241" i="2"/>
  <c r="B1241" i="2"/>
  <c r="C1241" i="2"/>
  <c r="D1241" i="2"/>
  <c r="E1241" i="2"/>
  <c r="F1241" i="2"/>
  <c r="G1241" i="2"/>
  <c r="H1241" i="2"/>
  <c r="I1241" i="2"/>
  <c r="J1241" i="2"/>
  <c r="K1241" i="2"/>
  <c r="L1241" i="2"/>
  <c r="M1241" i="2"/>
  <c r="N1241" i="2"/>
  <c r="O1241" i="2"/>
  <c r="P1241" i="2"/>
  <c r="Q1241" i="2"/>
  <c r="R1241" i="2"/>
  <c r="S1241" i="2"/>
  <c r="T1241" i="2"/>
  <c r="U1241" i="2"/>
  <c r="V1241" i="2"/>
  <c r="W1241" i="2"/>
  <c r="X1241" i="2"/>
  <c r="Y1241" i="2"/>
  <c r="A1242" i="2"/>
  <c r="B1242" i="2"/>
  <c r="C1242" i="2"/>
  <c r="D1242" i="2"/>
  <c r="E1242" i="2"/>
  <c r="F1242" i="2"/>
  <c r="G1242" i="2"/>
  <c r="H1242" i="2"/>
  <c r="I1242" i="2"/>
  <c r="J1242" i="2"/>
  <c r="K1242" i="2"/>
  <c r="L1242" i="2"/>
  <c r="M1242" i="2"/>
  <c r="N1242" i="2"/>
  <c r="O1242" i="2"/>
  <c r="P1242" i="2"/>
  <c r="Q1242" i="2"/>
  <c r="R1242" i="2"/>
  <c r="S1242" i="2"/>
  <c r="T1242" i="2"/>
  <c r="U1242" i="2"/>
  <c r="V1242" i="2"/>
  <c r="W1242" i="2"/>
  <c r="X1242" i="2"/>
  <c r="Y1242" i="2"/>
  <c r="A1243" i="2"/>
  <c r="B1243" i="2"/>
  <c r="C1243" i="2"/>
  <c r="D1243" i="2"/>
  <c r="E1243" i="2"/>
  <c r="F1243" i="2"/>
  <c r="G1243" i="2"/>
  <c r="H1243" i="2"/>
  <c r="I1243" i="2"/>
  <c r="J1243" i="2"/>
  <c r="K1243" i="2"/>
  <c r="L1243" i="2"/>
  <c r="M1243" i="2"/>
  <c r="N1243" i="2"/>
  <c r="O1243" i="2"/>
  <c r="P1243" i="2"/>
  <c r="Q1243" i="2"/>
  <c r="R1243" i="2"/>
  <c r="S1243" i="2"/>
  <c r="T1243" i="2"/>
  <c r="U1243" i="2"/>
  <c r="V1243" i="2"/>
  <c r="W1243" i="2"/>
  <c r="X1243" i="2"/>
  <c r="Y1243" i="2"/>
  <c r="B1244" i="2"/>
  <c r="C1244" i="2"/>
  <c r="D1244" i="2"/>
  <c r="E1244" i="2"/>
  <c r="F1244" i="2"/>
  <c r="G1244" i="2"/>
  <c r="H1244" i="2"/>
  <c r="I1244" i="2"/>
  <c r="J1244" i="2"/>
  <c r="K1244" i="2"/>
  <c r="L1244" i="2"/>
  <c r="M1244" i="2"/>
  <c r="N1244" i="2"/>
  <c r="O1244" i="2"/>
  <c r="P1244" i="2"/>
  <c r="Q1244" i="2"/>
  <c r="R1244" i="2"/>
  <c r="S1244" i="2"/>
  <c r="T1244" i="2"/>
  <c r="U1244" i="2"/>
  <c r="V1244" i="2"/>
  <c r="W1244" i="2"/>
  <c r="X1244" i="2"/>
  <c r="Y1244" i="2"/>
  <c r="A1245" i="2"/>
  <c r="B1245" i="2"/>
  <c r="C1245" i="2"/>
  <c r="D1245" i="2"/>
  <c r="E1245" i="2"/>
  <c r="F1245" i="2"/>
  <c r="G1245" i="2"/>
  <c r="H1245" i="2"/>
  <c r="I1245" i="2"/>
  <c r="J1245" i="2"/>
  <c r="K1245" i="2"/>
  <c r="L1245" i="2"/>
  <c r="M1245" i="2"/>
  <c r="N1245" i="2"/>
  <c r="O1245" i="2"/>
  <c r="P1245" i="2"/>
  <c r="Q1245" i="2"/>
  <c r="R1245" i="2"/>
  <c r="S1245" i="2"/>
  <c r="T1245" i="2"/>
  <c r="U1245" i="2"/>
  <c r="V1245" i="2"/>
  <c r="W1245" i="2"/>
  <c r="X1245" i="2"/>
  <c r="Y1245" i="2"/>
  <c r="A1246" i="2"/>
  <c r="B1246" i="2"/>
  <c r="C1246" i="2"/>
  <c r="D1246" i="2"/>
  <c r="E1246" i="2"/>
  <c r="F1246" i="2"/>
  <c r="G1246" i="2"/>
  <c r="H1246" i="2"/>
  <c r="I1246" i="2"/>
  <c r="J1246" i="2"/>
  <c r="K1246" i="2"/>
  <c r="L1246" i="2"/>
  <c r="M1246" i="2"/>
  <c r="N1246" i="2"/>
  <c r="O1246" i="2"/>
  <c r="P1246" i="2"/>
  <c r="Q1246" i="2"/>
  <c r="R1246" i="2"/>
  <c r="S1246" i="2"/>
  <c r="T1246" i="2"/>
  <c r="U1246" i="2"/>
  <c r="V1246" i="2"/>
  <c r="W1246" i="2"/>
  <c r="X1246" i="2"/>
  <c r="Y1246" i="2"/>
  <c r="A1247" i="2"/>
  <c r="B1247" i="2"/>
  <c r="C1247" i="2"/>
  <c r="D1247" i="2"/>
  <c r="E1247" i="2"/>
  <c r="F1247" i="2"/>
  <c r="G1247" i="2"/>
  <c r="H1247" i="2"/>
  <c r="I1247" i="2"/>
  <c r="J1247" i="2"/>
  <c r="K1247" i="2"/>
  <c r="L1247" i="2"/>
  <c r="M1247" i="2"/>
  <c r="N1247" i="2"/>
  <c r="O1247" i="2"/>
  <c r="P1247" i="2"/>
  <c r="Q1247" i="2"/>
  <c r="R1247" i="2"/>
  <c r="S1247" i="2"/>
  <c r="T1247" i="2"/>
  <c r="U1247" i="2"/>
  <c r="V1247" i="2"/>
  <c r="W1247" i="2"/>
  <c r="X1247" i="2"/>
  <c r="Y1247" i="2"/>
  <c r="A1248" i="2"/>
  <c r="B1248" i="2"/>
  <c r="C1248" i="2"/>
  <c r="D1248" i="2"/>
  <c r="E1248" i="2"/>
  <c r="F1248" i="2"/>
  <c r="G1248" i="2"/>
  <c r="H1248" i="2"/>
  <c r="I1248" i="2"/>
  <c r="J1248" i="2"/>
  <c r="K1248" i="2"/>
  <c r="L1248" i="2"/>
  <c r="M1248" i="2"/>
  <c r="N1248" i="2"/>
  <c r="O1248" i="2"/>
  <c r="P1248" i="2"/>
  <c r="Q1248" i="2"/>
  <c r="R1248" i="2"/>
  <c r="S1248" i="2"/>
  <c r="T1248" i="2"/>
  <c r="U1248" i="2"/>
  <c r="V1248" i="2"/>
  <c r="W1248" i="2"/>
  <c r="X1248" i="2"/>
  <c r="Y1248" i="2"/>
  <c r="A1249" i="2"/>
  <c r="B1249" i="2"/>
  <c r="C1249" i="2"/>
  <c r="D1249" i="2"/>
  <c r="E1249" i="2"/>
  <c r="F1249" i="2"/>
  <c r="G1249" i="2"/>
  <c r="H1249" i="2"/>
  <c r="I1249" i="2"/>
  <c r="J1249" i="2"/>
  <c r="K1249" i="2"/>
  <c r="L1249" i="2"/>
  <c r="M1249" i="2"/>
  <c r="N1249" i="2"/>
  <c r="O1249" i="2"/>
  <c r="P1249" i="2"/>
  <c r="Q1249" i="2"/>
  <c r="R1249" i="2"/>
  <c r="S1249" i="2"/>
  <c r="T1249" i="2"/>
  <c r="U1249" i="2"/>
  <c r="V1249" i="2"/>
  <c r="W1249" i="2"/>
  <c r="X1249" i="2"/>
  <c r="Y1249" i="2"/>
  <c r="A1250" i="2"/>
  <c r="B1250" i="2"/>
  <c r="C1250" i="2"/>
  <c r="D1250" i="2"/>
  <c r="E1250" i="2"/>
  <c r="F1250" i="2"/>
  <c r="G1250" i="2"/>
  <c r="H1250" i="2"/>
  <c r="I1250" i="2"/>
  <c r="J1250" i="2"/>
  <c r="K1250" i="2"/>
  <c r="L1250" i="2"/>
  <c r="M1250" i="2"/>
  <c r="N1250" i="2"/>
  <c r="O1250" i="2"/>
  <c r="P1250" i="2"/>
  <c r="Q1250" i="2"/>
  <c r="R1250" i="2"/>
  <c r="S1250" i="2"/>
  <c r="T1250" i="2"/>
  <c r="U1250" i="2"/>
  <c r="V1250" i="2"/>
  <c r="W1250" i="2"/>
  <c r="X1250" i="2"/>
  <c r="Y1250" i="2"/>
  <c r="A1251" i="2"/>
  <c r="B1251" i="2"/>
  <c r="C1251" i="2"/>
  <c r="D1251" i="2"/>
  <c r="E1251" i="2"/>
  <c r="F1251" i="2"/>
  <c r="G1251" i="2"/>
  <c r="H1251" i="2"/>
  <c r="I1251" i="2"/>
  <c r="J1251" i="2"/>
  <c r="K1251" i="2"/>
  <c r="L1251" i="2"/>
  <c r="M1251" i="2"/>
  <c r="N1251" i="2"/>
  <c r="O1251" i="2"/>
  <c r="P1251" i="2"/>
  <c r="Q1251" i="2"/>
  <c r="R1251" i="2"/>
  <c r="S1251" i="2"/>
  <c r="T1251" i="2"/>
  <c r="U1251" i="2"/>
  <c r="V1251" i="2"/>
  <c r="W1251" i="2"/>
  <c r="X1251" i="2"/>
  <c r="Y1251" i="2"/>
  <c r="A1252" i="2"/>
  <c r="B1252" i="2"/>
  <c r="C1252" i="2"/>
  <c r="D1252" i="2"/>
  <c r="E1252" i="2"/>
  <c r="F1252" i="2"/>
  <c r="G1252" i="2"/>
  <c r="H1252" i="2"/>
  <c r="I1252" i="2"/>
  <c r="J1252" i="2"/>
  <c r="K1252" i="2"/>
  <c r="L1252" i="2"/>
  <c r="M1252" i="2"/>
  <c r="N1252" i="2"/>
  <c r="O1252" i="2"/>
  <c r="P1252" i="2"/>
  <c r="Q1252" i="2"/>
  <c r="R1252" i="2"/>
  <c r="S1252" i="2"/>
  <c r="T1252" i="2"/>
  <c r="U1252" i="2"/>
  <c r="V1252" i="2"/>
  <c r="W1252" i="2"/>
  <c r="X1252" i="2"/>
  <c r="Y1252" i="2"/>
  <c r="A1253" i="2"/>
  <c r="B1253" i="2"/>
  <c r="C1253" i="2"/>
  <c r="D1253" i="2"/>
  <c r="E1253" i="2"/>
  <c r="F1253" i="2"/>
  <c r="G1253" i="2"/>
  <c r="H1253" i="2"/>
  <c r="I1253" i="2"/>
  <c r="J1253" i="2"/>
  <c r="K1253" i="2"/>
  <c r="L1253" i="2"/>
  <c r="M1253" i="2"/>
  <c r="N1253" i="2"/>
  <c r="O1253" i="2"/>
  <c r="P1253" i="2"/>
  <c r="Q1253" i="2"/>
  <c r="R1253" i="2"/>
  <c r="S1253" i="2"/>
  <c r="T1253" i="2"/>
  <c r="U1253" i="2"/>
  <c r="V1253" i="2"/>
  <c r="W1253" i="2"/>
  <c r="X1253" i="2"/>
  <c r="Y1253" i="2"/>
  <c r="A1254" i="2"/>
  <c r="B1254" i="2"/>
  <c r="C1254" i="2"/>
  <c r="D1254" i="2"/>
  <c r="E1254" i="2"/>
  <c r="F1254" i="2"/>
  <c r="G1254" i="2"/>
  <c r="H1254" i="2"/>
  <c r="I1254" i="2"/>
  <c r="J1254" i="2"/>
  <c r="K1254" i="2"/>
  <c r="L1254" i="2"/>
  <c r="M1254" i="2"/>
  <c r="N1254" i="2"/>
  <c r="O1254" i="2"/>
  <c r="P1254" i="2"/>
  <c r="Q1254" i="2"/>
  <c r="R1254" i="2"/>
  <c r="S1254" i="2"/>
  <c r="T1254" i="2"/>
  <c r="U1254" i="2"/>
  <c r="V1254" i="2"/>
  <c r="W1254" i="2"/>
  <c r="X1254" i="2"/>
  <c r="Y1254" i="2"/>
  <c r="A1255" i="2"/>
  <c r="B1255" i="2"/>
  <c r="C1255" i="2"/>
  <c r="D1255" i="2"/>
  <c r="E1255" i="2"/>
  <c r="F1255" i="2"/>
  <c r="G1255" i="2"/>
  <c r="H1255" i="2"/>
  <c r="I1255" i="2"/>
  <c r="J1255" i="2"/>
  <c r="K1255" i="2"/>
  <c r="L1255" i="2"/>
  <c r="M1255" i="2"/>
  <c r="N1255" i="2"/>
  <c r="O1255" i="2"/>
  <c r="P1255" i="2"/>
  <c r="Q1255" i="2"/>
  <c r="R1255" i="2"/>
  <c r="S1255" i="2"/>
  <c r="T1255" i="2"/>
  <c r="U1255" i="2"/>
  <c r="V1255" i="2"/>
  <c r="W1255" i="2"/>
  <c r="X1255" i="2"/>
  <c r="Y1255" i="2"/>
  <c r="B1256" i="2"/>
  <c r="C1256" i="2"/>
  <c r="D1256" i="2"/>
  <c r="E1256" i="2"/>
  <c r="F1256" i="2"/>
  <c r="G1256" i="2"/>
  <c r="H1256" i="2"/>
  <c r="I1256" i="2"/>
  <c r="J1256" i="2"/>
  <c r="K1256" i="2"/>
  <c r="L1256" i="2"/>
  <c r="M1256" i="2"/>
  <c r="N1256" i="2"/>
  <c r="O1256" i="2"/>
  <c r="P1256" i="2"/>
  <c r="Q1256" i="2"/>
  <c r="R1256" i="2"/>
  <c r="S1256" i="2"/>
  <c r="T1256" i="2"/>
  <c r="U1256" i="2"/>
  <c r="V1256" i="2"/>
  <c r="W1256" i="2"/>
  <c r="X1256" i="2"/>
  <c r="Y1256" i="2"/>
  <c r="A1257" i="2"/>
  <c r="B1257" i="2"/>
  <c r="C1257" i="2"/>
  <c r="D1257" i="2"/>
  <c r="E1257" i="2"/>
  <c r="F1257" i="2"/>
  <c r="G1257" i="2"/>
  <c r="H1257" i="2"/>
  <c r="I1257" i="2"/>
  <c r="J1257" i="2"/>
  <c r="K1257" i="2"/>
  <c r="L1257" i="2"/>
  <c r="M1257" i="2"/>
  <c r="N1257" i="2"/>
  <c r="O1257" i="2"/>
  <c r="P1257" i="2"/>
  <c r="Q1257" i="2"/>
  <c r="R1257" i="2"/>
  <c r="S1257" i="2"/>
  <c r="T1257" i="2"/>
  <c r="U1257" i="2"/>
  <c r="V1257" i="2"/>
  <c r="W1257" i="2"/>
  <c r="X1257" i="2"/>
  <c r="Y1257" i="2"/>
  <c r="A1258" i="2"/>
  <c r="B1258" i="2"/>
  <c r="C1258" i="2"/>
  <c r="D1258" i="2"/>
  <c r="E1258" i="2"/>
  <c r="F1258" i="2"/>
  <c r="G1258" i="2"/>
  <c r="H1258" i="2"/>
  <c r="I1258" i="2"/>
  <c r="J1258" i="2"/>
  <c r="K1258" i="2"/>
  <c r="L1258" i="2"/>
  <c r="M1258" i="2"/>
  <c r="N1258" i="2"/>
  <c r="O1258" i="2"/>
  <c r="P1258" i="2"/>
  <c r="Q1258" i="2"/>
  <c r="R1258" i="2"/>
  <c r="S1258" i="2"/>
  <c r="T1258" i="2"/>
  <c r="U1258" i="2"/>
  <c r="V1258" i="2"/>
  <c r="W1258" i="2"/>
  <c r="X1258" i="2"/>
  <c r="Y1258" i="2"/>
  <c r="A1259" i="2"/>
  <c r="B1259" i="2"/>
  <c r="C1259" i="2"/>
  <c r="D1259" i="2"/>
  <c r="E1259" i="2"/>
  <c r="F1259" i="2"/>
  <c r="G1259" i="2"/>
  <c r="H1259" i="2"/>
  <c r="I1259" i="2"/>
  <c r="J1259" i="2"/>
  <c r="K1259" i="2"/>
  <c r="L1259" i="2"/>
  <c r="M1259" i="2"/>
  <c r="N1259" i="2"/>
  <c r="O1259" i="2"/>
  <c r="P1259" i="2"/>
  <c r="Q1259" i="2"/>
  <c r="R1259" i="2"/>
  <c r="S1259" i="2"/>
  <c r="T1259" i="2"/>
  <c r="U1259" i="2"/>
  <c r="V1259" i="2"/>
  <c r="W1259" i="2"/>
  <c r="X1259" i="2"/>
  <c r="Y1259" i="2"/>
  <c r="B1260" i="2"/>
  <c r="C1260" i="2"/>
  <c r="D1260" i="2"/>
  <c r="E1260" i="2"/>
  <c r="F1260" i="2"/>
  <c r="G1260" i="2"/>
  <c r="H1260" i="2"/>
  <c r="I1260" i="2"/>
  <c r="J1260" i="2"/>
  <c r="K1260" i="2"/>
  <c r="L1260" i="2"/>
  <c r="M1260" i="2"/>
  <c r="N1260" i="2"/>
  <c r="O1260" i="2"/>
  <c r="P1260" i="2"/>
  <c r="Q1260" i="2"/>
  <c r="R1260" i="2"/>
  <c r="S1260" i="2"/>
  <c r="T1260" i="2"/>
  <c r="U1260" i="2"/>
  <c r="V1260" i="2"/>
  <c r="W1260" i="2"/>
  <c r="X1260" i="2"/>
  <c r="Y1260" i="2"/>
  <c r="A1261" i="2"/>
  <c r="B1261" i="2"/>
  <c r="C1261" i="2"/>
  <c r="D1261" i="2"/>
  <c r="E1261" i="2"/>
  <c r="F1261" i="2"/>
  <c r="G1261" i="2"/>
  <c r="H1261" i="2"/>
  <c r="I1261" i="2"/>
  <c r="J1261" i="2"/>
  <c r="K1261" i="2"/>
  <c r="L1261" i="2"/>
  <c r="M1261" i="2"/>
  <c r="N1261" i="2"/>
  <c r="O1261" i="2"/>
  <c r="P1261" i="2"/>
  <c r="Q1261" i="2"/>
  <c r="R1261" i="2"/>
  <c r="S1261" i="2"/>
  <c r="T1261" i="2"/>
  <c r="U1261" i="2"/>
  <c r="V1261" i="2"/>
  <c r="W1261" i="2"/>
  <c r="X1261" i="2"/>
  <c r="Y1261" i="2"/>
  <c r="A1262" i="2"/>
  <c r="B1262" i="2"/>
  <c r="C1262" i="2"/>
  <c r="D1262" i="2"/>
  <c r="E1262" i="2"/>
  <c r="F1262" i="2"/>
  <c r="G1262" i="2"/>
  <c r="H1262" i="2"/>
  <c r="I1262" i="2"/>
  <c r="J1262" i="2"/>
  <c r="K1262" i="2"/>
  <c r="L1262" i="2"/>
  <c r="M1262" i="2"/>
  <c r="N1262" i="2"/>
  <c r="O1262" i="2"/>
  <c r="P1262" i="2"/>
  <c r="Q1262" i="2"/>
  <c r="R1262" i="2"/>
  <c r="S1262" i="2"/>
  <c r="T1262" i="2"/>
  <c r="U1262" i="2"/>
  <c r="V1262" i="2"/>
  <c r="W1262" i="2"/>
  <c r="X1262" i="2"/>
  <c r="Y1262" i="2"/>
  <c r="A1263" i="2"/>
  <c r="B1263" i="2"/>
  <c r="C1263" i="2"/>
  <c r="D1263" i="2"/>
  <c r="E1263" i="2"/>
  <c r="F1263" i="2"/>
  <c r="G1263" i="2"/>
  <c r="H1263" i="2"/>
  <c r="I1263" i="2"/>
  <c r="J1263" i="2"/>
  <c r="K1263" i="2"/>
  <c r="L1263" i="2"/>
  <c r="M1263" i="2"/>
  <c r="N1263" i="2"/>
  <c r="O1263" i="2"/>
  <c r="P1263" i="2"/>
  <c r="Q1263" i="2"/>
  <c r="R1263" i="2"/>
  <c r="S1263" i="2"/>
  <c r="T1263" i="2"/>
  <c r="U1263" i="2"/>
  <c r="V1263" i="2"/>
  <c r="W1263" i="2"/>
  <c r="X1263" i="2"/>
  <c r="Y1263" i="2"/>
  <c r="A1264" i="2"/>
  <c r="B1264" i="2"/>
  <c r="C1264" i="2"/>
  <c r="D1264" i="2"/>
  <c r="E1264" i="2"/>
  <c r="F1264" i="2"/>
  <c r="G1264" i="2"/>
  <c r="H1264" i="2"/>
  <c r="I1264" i="2"/>
  <c r="J1264" i="2"/>
  <c r="K1264" i="2"/>
  <c r="L1264" i="2"/>
  <c r="M1264" i="2"/>
  <c r="N1264" i="2"/>
  <c r="O1264" i="2"/>
  <c r="P1264" i="2"/>
  <c r="Q1264" i="2"/>
  <c r="R1264" i="2"/>
  <c r="S1264" i="2"/>
  <c r="T1264" i="2"/>
  <c r="U1264" i="2"/>
  <c r="V1264" i="2"/>
  <c r="W1264" i="2"/>
  <c r="X1264" i="2"/>
  <c r="Y1264" i="2"/>
  <c r="A1265" i="2"/>
  <c r="B1265" i="2"/>
  <c r="C1265" i="2"/>
  <c r="D1265" i="2"/>
  <c r="E1265" i="2"/>
  <c r="F1265" i="2"/>
  <c r="G1265" i="2"/>
  <c r="H1265" i="2"/>
  <c r="I1265" i="2"/>
  <c r="J1265" i="2"/>
  <c r="K1265" i="2"/>
  <c r="L1265" i="2"/>
  <c r="M1265" i="2"/>
  <c r="N1265" i="2"/>
  <c r="O1265" i="2"/>
  <c r="P1265" i="2"/>
  <c r="Q1265" i="2"/>
  <c r="R1265" i="2"/>
  <c r="S1265" i="2"/>
  <c r="T1265" i="2"/>
  <c r="U1265" i="2"/>
  <c r="V1265" i="2"/>
  <c r="W1265" i="2"/>
  <c r="X1265" i="2"/>
  <c r="Y1265" i="2"/>
  <c r="A1266" i="2"/>
  <c r="B1266" i="2"/>
  <c r="C1266" i="2"/>
  <c r="D1266" i="2"/>
  <c r="E1266" i="2"/>
  <c r="F1266" i="2"/>
  <c r="G1266" i="2"/>
  <c r="H1266" i="2"/>
  <c r="I1266" i="2"/>
  <c r="J1266" i="2"/>
  <c r="K1266" i="2"/>
  <c r="L1266" i="2"/>
  <c r="M1266" i="2"/>
  <c r="N1266" i="2"/>
  <c r="O1266" i="2"/>
  <c r="P1266" i="2"/>
  <c r="Q1266" i="2"/>
  <c r="R1266" i="2"/>
  <c r="S1266" i="2"/>
  <c r="T1266" i="2"/>
  <c r="U1266" i="2"/>
  <c r="V1266" i="2"/>
  <c r="W1266" i="2"/>
  <c r="X1266" i="2"/>
  <c r="Y1266" i="2"/>
  <c r="A1267" i="2"/>
  <c r="B1267" i="2"/>
  <c r="C1267" i="2"/>
  <c r="D1267" i="2"/>
  <c r="E1267" i="2"/>
  <c r="F1267" i="2"/>
  <c r="G1267" i="2"/>
  <c r="H1267" i="2"/>
  <c r="I1267" i="2"/>
  <c r="J1267" i="2"/>
  <c r="K1267" i="2"/>
  <c r="L1267" i="2"/>
  <c r="M1267" i="2"/>
  <c r="N1267" i="2"/>
  <c r="O1267" i="2"/>
  <c r="P1267" i="2"/>
  <c r="Q1267" i="2"/>
  <c r="R1267" i="2"/>
  <c r="S1267" i="2"/>
  <c r="T1267" i="2"/>
  <c r="U1267" i="2"/>
  <c r="V1267" i="2"/>
  <c r="W1267" i="2"/>
  <c r="X1267" i="2"/>
  <c r="Y1267" i="2"/>
  <c r="A1268" i="2"/>
  <c r="B1268" i="2"/>
  <c r="C1268" i="2"/>
  <c r="D1268" i="2"/>
  <c r="E1268" i="2"/>
  <c r="F1268" i="2"/>
  <c r="G1268" i="2"/>
  <c r="H1268" i="2"/>
  <c r="I1268" i="2"/>
  <c r="J1268" i="2"/>
  <c r="K1268" i="2"/>
  <c r="L1268" i="2"/>
  <c r="M1268" i="2"/>
  <c r="N1268" i="2"/>
  <c r="O1268" i="2"/>
  <c r="P1268" i="2"/>
  <c r="Q1268" i="2"/>
  <c r="R1268" i="2"/>
  <c r="S1268" i="2"/>
  <c r="T1268" i="2"/>
  <c r="U1268" i="2"/>
  <c r="V1268" i="2"/>
  <c r="W1268" i="2"/>
  <c r="X1268" i="2"/>
  <c r="Y1268" i="2"/>
  <c r="A1269" i="2"/>
  <c r="B1269" i="2"/>
  <c r="C1269" i="2"/>
  <c r="D1269" i="2"/>
  <c r="E1269" i="2"/>
  <c r="F1269" i="2"/>
  <c r="G1269" i="2"/>
  <c r="H1269" i="2"/>
  <c r="I1269" i="2"/>
  <c r="J1269" i="2"/>
  <c r="K1269" i="2"/>
  <c r="L1269" i="2"/>
  <c r="M1269" i="2"/>
  <c r="N1269" i="2"/>
  <c r="O1269" i="2"/>
  <c r="P1269" i="2"/>
  <c r="Q1269" i="2"/>
  <c r="R1269" i="2"/>
  <c r="S1269" i="2"/>
  <c r="T1269" i="2"/>
  <c r="U1269" i="2"/>
  <c r="V1269" i="2"/>
  <c r="W1269" i="2"/>
  <c r="X1269" i="2"/>
  <c r="Y1269" i="2"/>
  <c r="A1270" i="2"/>
  <c r="B1270" i="2"/>
  <c r="C1270" i="2"/>
  <c r="D1270" i="2"/>
  <c r="E1270" i="2"/>
  <c r="F1270" i="2"/>
  <c r="G1270" i="2"/>
  <c r="H1270" i="2"/>
  <c r="I1270" i="2"/>
  <c r="J1270" i="2"/>
  <c r="K1270" i="2"/>
  <c r="L1270" i="2"/>
  <c r="M1270" i="2"/>
  <c r="N1270" i="2"/>
  <c r="O1270" i="2"/>
  <c r="P1270" i="2"/>
  <c r="Q1270" i="2"/>
  <c r="R1270" i="2"/>
  <c r="S1270" i="2"/>
  <c r="T1270" i="2"/>
  <c r="U1270" i="2"/>
  <c r="V1270" i="2"/>
  <c r="W1270" i="2"/>
  <c r="X1270" i="2"/>
  <c r="Y1270" i="2"/>
  <c r="A1271" i="2"/>
  <c r="B1271" i="2"/>
  <c r="C1271" i="2"/>
  <c r="D1271" i="2"/>
  <c r="E1271" i="2"/>
  <c r="F1271" i="2"/>
  <c r="G1271" i="2"/>
  <c r="H1271" i="2"/>
  <c r="I1271" i="2"/>
  <c r="J1271" i="2"/>
  <c r="K1271" i="2"/>
  <c r="L1271" i="2"/>
  <c r="M1271" i="2"/>
  <c r="N1271" i="2"/>
  <c r="O1271" i="2"/>
  <c r="P1271" i="2"/>
  <c r="Q1271" i="2"/>
  <c r="R1271" i="2"/>
  <c r="S1271" i="2"/>
  <c r="T1271" i="2"/>
  <c r="U1271" i="2"/>
  <c r="V1271" i="2"/>
  <c r="W1271" i="2"/>
  <c r="X1271" i="2"/>
  <c r="Y1271" i="2"/>
  <c r="B1272" i="2"/>
  <c r="C1272" i="2"/>
  <c r="D1272" i="2"/>
  <c r="E1272" i="2"/>
  <c r="F1272" i="2"/>
  <c r="G1272" i="2"/>
  <c r="H1272" i="2"/>
  <c r="I1272" i="2"/>
  <c r="J1272" i="2"/>
  <c r="K1272" i="2"/>
  <c r="L1272" i="2"/>
  <c r="M1272" i="2"/>
  <c r="N1272" i="2"/>
  <c r="O1272" i="2"/>
  <c r="P1272" i="2"/>
  <c r="Q1272" i="2"/>
  <c r="R1272" i="2"/>
  <c r="S1272" i="2"/>
  <c r="T1272" i="2"/>
  <c r="U1272" i="2"/>
  <c r="V1272" i="2"/>
  <c r="W1272" i="2"/>
  <c r="X1272" i="2"/>
  <c r="Y1272" i="2"/>
  <c r="A1273" i="2"/>
  <c r="B1273" i="2"/>
  <c r="C1273" i="2"/>
  <c r="D1273" i="2"/>
  <c r="E1273" i="2"/>
  <c r="F1273" i="2"/>
  <c r="G1273" i="2"/>
  <c r="H1273" i="2"/>
  <c r="I1273" i="2"/>
  <c r="J1273" i="2"/>
  <c r="K1273" i="2"/>
  <c r="L1273" i="2"/>
  <c r="M1273" i="2"/>
  <c r="N1273" i="2"/>
  <c r="O1273" i="2"/>
  <c r="P1273" i="2"/>
  <c r="Q1273" i="2"/>
  <c r="R1273" i="2"/>
  <c r="S1273" i="2"/>
  <c r="T1273" i="2"/>
  <c r="U1273" i="2"/>
  <c r="V1273" i="2"/>
  <c r="W1273" i="2"/>
  <c r="X1273" i="2"/>
  <c r="Y1273" i="2"/>
  <c r="A1274" i="2"/>
  <c r="B1274" i="2"/>
  <c r="C1274" i="2"/>
  <c r="D1274" i="2"/>
  <c r="E1274" i="2"/>
  <c r="F1274" i="2"/>
  <c r="G1274" i="2"/>
  <c r="H1274" i="2"/>
  <c r="I1274" i="2"/>
  <c r="J1274" i="2"/>
  <c r="K1274" i="2"/>
  <c r="L1274" i="2"/>
  <c r="M1274" i="2"/>
  <c r="N1274" i="2"/>
  <c r="O1274" i="2"/>
  <c r="P1274" i="2"/>
  <c r="Q1274" i="2"/>
  <c r="R1274" i="2"/>
  <c r="S1274" i="2"/>
  <c r="T1274" i="2"/>
  <c r="U1274" i="2"/>
  <c r="V1274" i="2"/>
  <c r="W1274" i="2"/>
  <c r="X1274" i="2"/>
  <c r="Y1274" i="2"/>
  <c r="A1275" i="2"/>
  <c r="B1275" i="2"/>
  <c r="C1275" i="2"/>
  <c r="D1275" i="2"/>
  <c r="E1275" i="2"/>
  <c r="F1275" i="2"/>
  <c r="G1275" i="2"/>
  <c r="H1275" i="2"/>
  <c r="I1275" i="2"/>
  <c r="J1275" i="2"/>
  <c r="K1275" i="2"/>
  <c r="L1275" i="2"/>
  <c r="M1275" i="2"/>
  <c r="N1275" i="2"/>
  <c r="O1275" i="2"/>
  <c r="P1275" i="2"/>
  <c r="Q1275" i="2"/>
  <c r="R1275" i="2"/>
  <c r="S1275" i="2"/>
  <c r="T1275" i="2"/>
  <c r="U1275" i="2"/>
  <c r="V1275" i="2"/>
  <c r="W1275" i="2"/>
  <c r="X1275" i="2"/>
  <c r="Y1275" i="2"/>
  <c r="B1276" i="2"/>
  <c r="C1276" i="2"/>
  <c r="D1276" i="2"/>
  <c r="E1276" i="2"/>
  <c r="F1276" i="2"/>
  <c r="G1276" i="2"/>
  <c r="H1276" i="2"/>
  <c r="I1276" i="2"/>
  <c r="J1276" i="2"/>
  <c r="K1276" i="2"/>
  <c r="L1276" i="2"/>
  <c r="M1276" i="2"/>
  <c r="N1276" i="2"/>
  <c r="O1276" i="2"/>
  <c r="P1276" i="2"/>
  <c r="Q1276" i="2"/>
  <c r="R1276" i="2"/>
  <c r="S1276" i="2"/>
  <c r="T1276" i="2"/>
  <c r="U1276" i="2"/>
  <c r="V1276" i="2"/>
  <c r="W1276" i="2"/>
  <c r="X1276" i="2"/>
  <c r="Y1276" i="2"/>
  <c r="A1277" i="2"/>
  <c r="B1277" i="2"/>
  <c r="C1277" i="2"/>
  <c r="D1277" i="2"/>
  <c r="E1277" i="2"/>
  <c r="F1277" i="2"/>
  <c r="G1277" i="2"/>
  <c r="H1277" i="2"/>
  <c r="I1277" i="2"/>
  <c r="J1277" i="2"/>
  <c r="K1277" i="2"/>
  <c r="L1277" i="2"/>
  <c r="M1277" i="2"/>
  <c r="N1277" i="2"/>
  <c r="O1277" i="2"/>
  <c r="P1277" i="2"/>
  <c r="Q1277" i="2"/>
  <c r="R1277" i="2"/>
  <c r="S1277" i="2"/>
  <c r="T1277" i="2"/>
  <c r="U1277" i="2"/>
  <c r="V1277" i="2"/>
  <c r="W1277" i="2"/>
  <c r="X1277" i="2"/>
  <c r="Y1277" i="2"/>
  <c r="A1278" i="2"/>
  <c r="B1278" i="2"/>
  <c r="C1278" i="2"/>
  <c r="D1278" i="2"/>
  <c r="E1278" i="2"/>
  <c r="F1278" i="2"/>
  <c r="G1278" i="2"/>
  <c r="H1278" i="2"/>
  <c r="I1278" i="2"/>
  <c r="J1278" i="2"/>
  <c r="K1278" i="2"/>
  <c r="L1278" i="2"/>
  <c r="M1278" i="2"/>
  <c r="N1278" i="2"/>
  <c r="O1278" i="2"/>
  <c r="P1278" i="2"/>
  <c r="Q1278" i="2"/>
  <c r="R1278" i="2"/>
  <c r="S1278" i="2"/>
  <c r="T1278" i="2"/>
  <c r="U1278" i="2"/>
  <c r="V1278" i="2"/>
  <c r="W1278" i="2"/>
  <c r="X1278" i="2"/>
  <c r="Y1278" i="2"/>
  <c r="A1279" i="2"/>
  <c r="B1279" i="2"/>
  <c r="C1279" i="2"/>
  <c r="D1279" i="2"/>
  <c r="E1279" i="2"/>
  <c r="F1279" i="2"/>
  <c r="G1279" i="2"/>
  <c r="H1279" i="2"/>
  <c r="I1279" i="2"/>
  <c r="J1279" i="2"/>
  <c r="K1279" i="2"/>
  <c r="L1279" i="2"/>
  <c r="M1279" i="2"/>
  <c r="N1279" i="2"/>
  <c r="O1279" i="2"/>
  <c r="P1279" i="2"/>
  <c r="Q1279" i="2"/>
  <c r="R1279" i="2"/>
  <c r="S1279" i="2"/>
  <c r="T1279" i="2"/>
  <c r="U1279" i="2"/>
  <c r="V1279" i="2"/>
  <c r="W1279" i="2"/>
  <c r="X1279" i="2"/>
  <c r="Y1279" i="2"/>
  <c r="A1280" i="2"/>
  <c r="B1280" i="2"/>
  <c r="C1280" i="2"/>
  <c r="D1280" i="2"/>
  <c r="E1280" i="2"/>
  <c r="F1280" i="2"/>
  <c r="G1280" i="2"/>
  <c r="H1280" i="2"/>
  <c r="I1280" i="2"/>
  <c r="J1280" i="2"/>
  <c r="K1280" i="2"/>
  <c r="L1280" i="2"/>
  <c r="M1280" i="2"/>
  <c r="N1280" i="2"/>
  <c r="O1280" i="2"/>
  <c r="P1280" i="2"/>
  <c r="Q1280" i="2"/>
  <c r="R1280" i="2"/>
  <c r="S1280" i="2"/>
  <c r="T1280" i="2"/>
  <c r="U1280" i="2"/>
  <c r="V1280" i="2"/>
  <c r="W1280" i="2"/>
  <c r="X1280" i="2"/>
  <c r="Y1280" i="2"/>
  <c r="A1281" i="2"/>
  <c r="B1281" i="2"/>
  <c r="C1281" i="2"/>
  <c r="D1281" i="2"/>
  <c r="E1281" i="2"/>
  <c r="F1281" i="2"/>
  <c r="G1281" i="2"/>
  <c r="H1281" i="2"/>
  <c r="I1281" i="2"/>
  <c r="J1281" i="2"/>
  <c r="K1281" i="2"/>
  <c r="L1281" i="2"/>
  <c r="M1281" i="2"/>
  <c r="N1281" i="2"/>
  <c r="O1281" i="2"/>
  <c r="P1281" i="2"/>
  <c r="Q1281" i="2"/>
  <c r="R1281" i="2"/>
  <c r="S1281" i="2"/>
  <c r="T1281" i="2"/>
  <c r="U1281" i="2"/>
  <c r="V1281" i="2"/>
  <c r="W1281" i="2"/>
  <c r="X1281" i="2"/>
  <c r="Y1281" i="2"/>
  <c r="A1282" i="2"/>
  <c r="B1282" i="2"/>
  <c r="C1282" i="2"/>
  <c r="D1282" i="2"/>
  <c r="E1282" i="2"/>
  <c r="F1282" i="2"/>
  <c r="G1282" i="2"/>
  <c r="H1282" i="2"/>
  <c r="I1282" i="2"/>
  <c r="J1282" i="2"/>
  <c r="K1282" i="2"/>
  <c r="L1282" i="2"/>
  <c r="M1282" i="2"/>
  <c r="N1282" i="2"/>
  <c r="O1282" i="2"/>
  <c r="P1282" i="2"/>
  <c r="Q1282" i="2"/>
  <c r="R1282" i="2"/>
  <c r="S1282" i="2"/>
  <c r="T1282" i="2"/>
  <c r="U1282" i="2"/>
  <c r="V1282" i="2"/>
  <c r="W1282" i="2"/>
  <c r="X1282" i="2"/>
  <c r="Y1282" i="2"/>
  <c r="A1283" i="2"/>
  <c r="B1283" i="2"/>
  <c r="C1283" i="2"/>
  <c r="D1283" i="2"/>
  <c r="E1283" i="2"/>
  <c r="F1283" i="2"/>
  <c r="G1283" i="2"/>
  <c r="H1283" i="2"/>
  <c r="I1283" i="2"/>
  <c r="J1283" i="2"/>
  <c r="K1283" i="2"/>
  <c r="L1283" i="2"/>
  <c r="M1283" i="2"/>
  <c r="N1283" i="2"/>
  <c r="O1283" i="2"/>
  <c r="P1283" i="2"/>
  <c r="Q1283" i="2"/>
  <c r="R1283" i="2"/>
  <c r="S1283" i="2"/>
  <c r="T1283" i="2"/>
  <c r="U1283" i="2"/>
  <c r="V1283" i="2"/>
  <c r="W1283" i="2"/>
  <c r="X1283" i="2"/>
  <c r="Y1283" i="2"/>
  <c r="A1284" i="2"/>
  <c r="B1284" i="2"/>
  <c r="C1284" i="2"/>
  <c r="D1284" i="2"/>
  <c r="E1284" i="2"/>
  <c r="F1284" i="2"/>
  <c r="G1284" i="2"/>
  <c r="H1284" i="2"/>
  <c r="I1284" i="2"/>
  <c r="J1284" i="2"/>
  <c r="K1284" i="2"/>
  <c r="L1284" i="2"/>
  <c r="M1284" i="2"/>
  <c r="N1284" i="2"/>
  <c r="O1284" i="2"/>
  <c r="P1284" i="2"/>
  <c r="Q1284" i="2"/>
  <c r="R1284" i="2"/>
  <c r="S1284" i="2"/>
  <c r="T1284" i="2"/>
  <c r="U1284" i="2"/>
  <c r="V1284" i="2"/>
  <c r="W1284" i="2"/>
  <c r="X1284" i="2"/>
  <c r="Y1284" i="2"/>
  <c r="A1285" i="2"/>
  <c r="B1285" i="2"/>
  <c r="C1285" i="2"/>
  <c r="D1285" i="2"/>
  <c r="E1285" i="2"/>
  <c r="F1285" i="2"/>
  <c r="G1285" i="2"/>
  <c r="H1285" i="2"/>
  <c r="I1285" i="2"/>
  <c r="J1285" i="2"/>
  <c r="K1285" i="2"/>
  <c r="L1285" i="2"/>
  <c r="M1285" i="2"/>
  <c r="N1285" i="2"/>
  <c r="O1285" i="2"/>
  <c r="P1285" i="2"/>
  <c r="Q1285" i="2"/>
  <c r="R1285" i="2"/>
  <c r="S1285" i="2"/>
  <c r="T1285" i="2"/>
  <c r="U1285" i="2"/>
  <c r="V1285" i="2"/>
  <c r="W1285" i="2"/>
  <c r="X1285" i="2"/>
  <c r="Y1285" i="2"/>
  <c r="A1286" i="2"/>
  <c r="B1286" i="2"/>
  <c r="C1286" i="2"/>
  <c r="D1286" i="2"/>
  <c r="E1286" i="2"/>
  <c r="F1286" i="2"/>
  <c r="G1286" i="2"/>
  <c r="H1286" i="2"/>
  <c r="I1286" i="2"/>
  <c r="J1286" i="2"/>
  <c r="K1286" i="2"/>
  <c r="L1286" i="2"/>
  <c r="M1286" i="2"/>
  <c r="N1286" i="2"/>
  <c r="O1286" i="2"/>
  <c r="P1286" i="2"/>
  <c r="Q1286" i="2"/>
  <c r="R1286" i="2"/>
  <c r="S1286" i="2"/>
  <c r="T1286" i="2"/>
  <c r="U1286" i="2"/>
  <c r="V1286" i="2"/>
  <c r="W1286" i="2"/>
  <c r="X1286" i="2"/>
  <c r="Y1286" i="2"/>
  <c r="A1287" i="2"/>
  <c r="B1287" i="2"/>
  <c r="C1287" i="2"/>
  <c r="D1287" i="2"/>
  <c r="E1287" i="2"/>
  <c r="F1287" i="2"/>
  <c r="G1287" i="2"/>
  <c r="H1287" i="2"/>
  <c r="I1287" i="2"/>
  <c r="J1287" i="2"/>
  <c r="K1287" i="2"/>
  <c r="L1287" i="2"/>
  <c r="M1287" i="2"/>
  <c r="N1287" i="2"/>
  <c r="O1287" i="2"/>
  <c r="P1287" i="2"/>
  <c r="Q1287" i="2"/>
  <c r="R1287" i="2"/>
  <c r="S1287" i="2"/>
  <c r="T1287" i="2"/>
  <c r="U1287" i="2"/>
  <c r="V1287" i="2"/>
  <c r="W1287" i="2"/>
  <c r="X1287" i="2"/>
  <c r="Y1287" i="2"/>
  <c r="B1288" i="2"/>
  <c r="C1288" i="2"/>
  <c r="D1288" i="2"/>
  <c r="E1288" i="2"/>
  <c r="F1288" i="2"/>
  <c r="G1288" i="2"/>
  <c r="H1288" i="2"/>
  <c r="I1288" i="2"/>
  <c r="J1288" i="2"/>
  <c r="K1288" i="2"/>
  <c r="L1288" i="2"/>
  <c r="M1288" i="2"/>
  <c r="N1288" i="2"/>
  <c r="O1288" i="2"/>
  <c r="P1288" i="2"/>
  <c r="Q1288" i="2"/>
  <c r="R1288" i="2"/>
  <c r="S1288" i="2"/>
  <c r="T1288" i="2"/>
  <c r="U1288" i="2"/>
  <c r="V1288" i="2"/>
  <c r="W1288" i="2"/>
  <c r="X1288" i="2"/>
  <c r="Y1288" i="2"/>
  <c r="A1289" i="2"/>
  <c r="B1289" i="2"/>
  <c r="C1289" i="2"/>
  <c r="D1289" i="2"/>
  <c r="E1289" i="2"/>
  <c r="F1289" i="2"/>
  <c r="G1289" i="2"/>
  <c r="H1289" i="2"/>
  <c r="I1289" i="2"/>
  <c r="J1289" i="2"/>
  <c r="K1289" i="2"/>
  <c r="L1289" i="2"/>
  <c r="M1289" i="2"/>
  <c r="N1289" i="2"/>
  <c r="O1289" i="2"/>
  <c r="P1289" i="2"/>
  <c r="Q1289" i="2"/>
  <c r="R1289" i="2"/>
  <c r="S1289" i="2"/>
  <c r="T1289" i="2"/>
  <c r="U1289" i="2"/>
  <c r="V1289" i="2"/>
  <c r="W1289" i="2"/>
  <c r="X1289" i="2"/>
  <c r="Y1289" i="2"/>
  <c r="A1290" i="2"/>
  <c r="B1290" i="2"/>
  <c r="C1290" i="2"/>
  <c r="D1290" i="2"/>
  <c r="E1290" i="2"/>
  <c r="F1290" i="2"/>
  <c r="G1290" i="2"/>
  <c r="H1290" i="2"/>
  <c r="I1290" i="2"/>
  <c r="J1290" i="2"/>
  <c r="K1290" i="2"/>
  <c r="L1290" i="2"/>
  <c r="M1290" i="2"/>
  <c r="N1290" i="2"/>
  <c r="O1290" i="2"/>
  <c r="P1290" i="2"/>
  <c r="Q1290" i="2"/>
  <c r="R1290" i="2"/>
  <c r="S1290" i="2"/>
  <c r="T1290" i="2"/>
  <c r="U1290" i="2"/>
  <c r="V1290" i="2"/>
  <c r="W1290" i="2"/>
  <c r="X1290" i="2"/>
  <c r="Y1290" i="2"/>
  <c r="A1291" i="2"/>
  <c r="B1291" i="2"/>
  <c r="C1291" i="2"/>
  <c r="D1291" i="2"/>
  <c r="E1291" i="2"/>
  <c r="F1291" i="2"/>
  <c r="G1291" i="2"/>
  <c r="H1291" i="2"/>
  <c r="I1291" i="2"/>
  <c r="J1291" i="2"/>
  <c r="K1291" i="2"/>
  <c r="L1291" i="2"/>
  <c r="M1291" i="2"/>
  <c r="N1291" i="2"/>
  <c r="O1291" i="2"/>
  <c r="P1291" i="2"/>
  <c r="Q1291" i="2"/>
  <c r="R1291" i="2"/>
  <c r="S1291" i="2"/>
  <c r="T1291" i="2"/>
  <c r="U1291" i="2"/>
  <c r="V1291" i="2"/>
  <c r="W1291" i="2"/>
  <c r="X1291" i="2"/>
  <c r="Y1291" i="2"/>
  <c r="B1292" i="2"/>
  <c r="C1292" i="2"/>
  <c r="D1292" i="2"/>
  <c r="E1292" i="2"/>
  <c r="F1292" i="2"/>
  <c r="G1292" i="2"/>
  <c r="H1292" i="2"/>
  <c r="I1292" i="2"/>
  <c r="J1292" i="2"/>
  <c r="K1292" i="2"/>
  <c r="L1292" i="2"/>
  <c r="M1292" i="2"/>
  <c r="N1292" i="2"/>
  <c r="O1292" i="2"/>
  <c r="P1292" i="2"/>
  <c r="Q1292" i="2"/>
  <c r="R1292" i="2"/>
  <c r="S1292" i="2"/>
  <c r="T1292" i="2"/>
  <c r="U1292" i="2"/>
  <c r="V1292" i="2"/>
  <c r="W1292" i="2"/>
  <c r="X1292" i="2"/>
  <c r="Y1292" i="2"/>
  <c r="A1293" i="2"/>
  <c r="B1293" i="2"/>
  <c r="C1293" i="2"/>
  <c r="D1293" i="2"/>
  <c r="E1293" i="2"/>
  <c r="F1293" i="2"/>
  <c r="G1293" i="2"/>
  <c r="H1293" i="2"/>
  <c r="I1293" i="2"/>
  <c r="J1293" i="2"/>
  <c r="K1293" i="2"/>
  <c r="L1293" i="2"/>
  <c r="M1293" i="2"/>
  <c r="N1293" i="2"/>
  <c r="O1293" i="2"/>
  <c r="P1293" i="2"/>
  <c r="Q1293" i="2"/>
  <c r="R1293" i="2"/>
  <c r="S1293" i="2"/>
  <c r="T1293" i="2"/>
  <c r="U1293" i="2"/>
  <c r="V1293" i="2"/>
  <c r="W1293" i="2"/>
  <c r="X1293" i="2"/>
  <c r="Y1293" i="2"/>
  <c r="A1294" i="2"/>
  <c r="B1294" i="2"/>
  <c r="C1294" i="2"/>
  <c r="D1294" i="2"/>
  <c r="E1294" i="2"/>
  <c r="F1294" i="2"/>
  <c r="G1294" i="2"/>
  <c r="H1294" i="2"/>
  <c r="I1294" i="2"/>
  <c r="J1294" i="2"/>
  <c r="K1294" i="2"/>
  <c r="L1294" i="2"/>
  <c r="M1294" i="2"/>
  <c r="N1294" i="2"/>
  <c r="O1294" i="2"/>
  <c r="P1294" i="2"/>
  <c r="Q1294" i="2"/>
  <c r="R1294" i="2"/>
  <c r="S1294" i="2"/>
  <c r="T1294" i="2"/>
  <c r="U1294" i="2"/>
  <c r="V1294" i="2"/>
  <c r="W1294" i="2"/>
  <c r="X1294" i="2"/>
  <c r="Y1294" i="2"/>
  <c r="A1295" i="2"/>
  <c r="B1295" i="2"/>
  <c r="C1295" i="2"/>
  <c r="D1295" i="2"/>
  <c r="E1295" i="2"/>
  <c r="F1295" i="2"/>
  <c r="G1295" i="2"/>
  <c r="H1295" i="2"/>
  <c r="I1295" i="2"/>
  <c r="J1295" i="2"/>
  <c r="K1295" i="2"/>
  <c r="L1295" i="2"/>
  <c r="M1295" i="2"/>
  <c r="N1295" i="2"/>
  <c r="O1295" i="2"/>
  <c r="P1295" i="2"/>
  <c r="Q1295" i="2"/>
  <c r="R1295" i="2"/>
  <c r="S1295" i="2"/>
  <c r="T1295" i="2"/>
  <c r="U1295" i="2"/>
  <c r="V1295" i="2"/>
  <c r="W1295" i="2"/>
  <c r="X1295" i="2"/>
  <c r="Y1295" i="2"/>
  <c r="A1296" i="2"/>
  <c r="B1296" i="2"/>
  <c r="C1296" i="2"/>
  <c r="D1296" i="2"/>
  <c r="E1296" i="2"/>
  <c r="F1296" i="2"/>
  <c r="G1296" i="2"/>
  <c r="H1296" i="2"/>
  <c r="I1296" i="2"/>
  <c r="J1296" i="2"/>
  <c r="K1296" i="2"/>
  <c r="L1296" i="2"/>
  <c r="M1296" i="2"/>
  <c r="N1296" i="2"/>
  <c r="O1296" i="2"/>
  <c r="P1296" i="2"/>
  <c r="Q1296" i="2"/>
  <c r="R1296" i="2"/>
  <c r="S1296" i="2"/>
  <c r="T1296" i="2"/>
  <c r="U1296" i="2"/>
  <c r="V1296" i="2"/>
  <c r="W1296" i="2"/>
  <c r="X1296" i="2"/>
  <c r="Y1296" i="2"/>
  <c r="A1297" i="2"/>
  <c r="B1297" i="2"/>
  <c r="C1297" i="2"/>
  <c r="D1297" i="2"/>
  <c r="E1297" i="2"/>
  <c r="F1297" i="2"/>
  <c r="G1297" i="2"/>
  <c r="H1297" i="2"/>
  <c r="I1297" i="2"/>
  <c r="J1297" i="2"/>
  <c r="K1297" i="2"/>
  <c r="L1297" i="2"/>
  <c r="M1297" i="2"/>
  <c r="N1297" i="2"/>
  <c r="O1297" i="2"/>
  <c r="P1297" i="2"/>
  <c r="Q1297" i="2"/>
  <c r="R1297" i="2"/>
  <c r="S1297" i="2"/>
  <c r="T1297" i="2"/>
  <c r="U1297" i="2"/>
  <c r="V1297" i="2"/>
  <c r="W1297" i="2"/>
  <c r="X1297" i="2"/>
  <c r="Y1297" i="2"/>
  <c r="A1298" i="2"/>
  <c r="B1298" i="2"/>
  <c r="C1298" i="2"/>
  <c r="D1298" i="2"/>
  <c r="E1298" i="2"/>
  <c r="F1298" i="2"/>
  <c r="G1298" i="2"/>
  <c r="H1298" i="2"/>
  <c r="I1298" i="2"/>
  <c r="J1298" i="2"/>
  <c r="K1298" i="2"/>
  <c r="L1298" i="2"/>
  <c r="M1298" i="2"/>
  <c r="N1298" i="2"/>
  <c r="O1298" i="2"/>
  <c r="P1298" i="2"/>
  <c r="Q1298" i="2"/>
  <c r="R1298" i="2"/>
  <c r="S1298" i="2"/>
  <c r="T1298" i="2"/>
  <c r="U1298" i="2"/>
  <c r="V1298" i="2"/>
  <c r="W1298" i="2"/>
  <c r="X1298" i="2"/>
  <c r="Y1298" i="2"/>
  <c r="A1299" i="2"/>
  <c r="B1299" i="2"/>
  <c r="C1299" i="2"/>
  <c r="D1299" i="2"/>
  <c r="E1299" i="2"/>
  <c r="F1299" i="2"/>
  <c r="G1299" i="2"/>
  <c r="H1299" i="2"/>
  <c r="I1299" i="2"/>
  <c r="J1299" i="2"/>
  <c r="K1299" i="2"/>
  <c r="L1299" i="2"/>
  <c r="M1299" i="2"/>
  <c r="N1299" i="2"/>
  <c r="O1299" i="2"/>
  <c r="P1299" i="2"/>
  <c r="Q1299" i="2"/>
  <c r="R1299" i="2"/>
  <c r="S1299" i="2"/>
  <c r="T1299" i="2"/>
  <c r="U1299" i="2"/>
  <c r="V1299" i="2"/>
  <c r="W1299" i="2"/>
  <c r="X1299" i="2"/>
  <c r="Y1299" i="2"/>
  <c r="A1300" i="2"/>
  <c r="B1300" i="2"/>
  <c r="C1300" i="2"/>
  <c r="D1300" i="2"/>
  <c r="E1300" i="2"/>
  <c r="F1300" i="2"/>
  <c r="G1300" i="2"/>
  <c r="H1300" i="2"/>
  <c r="I1300" i="2"/>
  <c r="J1300" i="2"/>
  <c r="K1300" i="2"/>
  <c r="L1300" i="2"/>
  <c r="M1300" i="2"/>
  <c r="N1300" i="2"/>
  <c r="O1300" i="2"/>
  <c r="P1300" i="2"/>
  <c r="Q1300" i="2"/>
  <c r="R1300" i="2"/>
  <c r="S1300" i="2"/>
  <c r="T1300" i="2"/>
  <c r="U1300" i="2"/>
  <c r="V1300" i="2"/>
  <c r="W1300" i="2"/>
  <c r="X1300" i="2"/>
  <c r="Y1300" i="2"/>
  <c r="A1301" i="2"/>
  <c r="B1301" i="2"/>
  <c r="C1301" i="2"/>
  <c r="D1301" i="2"/>
  <c r="E1301" i="2"/>
  <c r="F1301" i="2"/>
  <c r="G1301" i="2"/>
  <c r="H1301" i="2"/>
  <c r="I1301" i="2"/>
  <c r="J1301" i="2"/>
  <c r="K1301" i="2"/>
  <c r="L1301" i="2"/>
  <c r="M1301" i="2"/>
  <c r="N1301" i="2"/>
  <c r="O1301" i="2"/>
  <c r="P1301" i="2"/>
  <c r="Q1301" i="2"/>
  <c r="R1301" i="2"/>
  <c r="S1301" i="2"/>
  <c r="T1301" i="2"/>
  <c r="U1301" i="2"/>
  <c r="V1301" i="2"/>
  <c r="W1301" i="2"/>
  <c r="X1301" i="2"/>
  <c r="Y1301" i="2"/>
  <c r="A1302" i="2"/>
  <c r="B1302" i="2"/>
  <c r="C1302" i="2"/>
  <c r="D1302" i="2"/>
  <c r="E1302" i="2"/>
  <c r="F1302" i="2"/>
  <c r="G1302" i="2"/>
  <c r="H1302" i="2"/>
  <c r="I1302" i="2"/>
  <c r="J1302" i="2"/>
  <c r="K1302" i="2"/>
  <c r="L1302" i="2"/>
  <c r="M1302" i="2"/>
  <c r="N1302" i="2"/>
  <c r="O1302" i="2"/>
  <c r="P1302" i="2"/>
  <c r="Q1302" i="2"/>
  <c r="R1302" i="2"/>
  <c r="S1302" i="2"/>
  <c r="T1302" i="2"/>
  <c r="U1302" i="2"/>
  <c r="V1302" i="2"/>
  <c r="W1302" i="2"/>
  <c r="X1302" i="2"/>
  <c r="Y1302" i="2"/>
  <c r="A1303" i="2"/>
  <c r="B1303" i="2"/>
  <c r="C1303" i="2"/>
  <c r="D1303" i="2"/>
  <c r="E1303" i="2"/>
  <c r="F1303" i="2"/>
  <c r="G1303" i="2"/>
  <c r="H1303" i="2"/>
  <c r="I1303" i="2"/>
  <c r="J1303" i="2"/>
  <c r="K1303" i="2"/>
  <c r="L1303" i="2"/>
  <c r="M1303" i="2"/>
  <c r="N1303" i="2"/>
  <c r="O1303" i="2"/>
  <c r="P1303" i="2"/>
  <c r="Q1303" i="2"/>
  <c r="R1303" i="2"/>
  <c r="S1303" i="2"/>
  <c r="T1303" i="2"/>
  <c r="U1303" i="2"/>
  <c r="V1303" i="2"/>
  <c r="W1303" i="2"/>
  <c r="X1303" i="2"/>
  <c r="Y1303" i="2"/>
  <c r="B1304" i="2"/>
  <c r="C1304" i="2"/>
  <c r="D1304" i="2"/>
  <c r="E1304" i="2"/>
  <c r="F1304" i="2"/>
  <c r="G1304" i="2"/>
  <c r="H1304" i="2"/>
  <c r="I1304" i="2"/>
  <c r="J1304" i="2"/>
  <c r="K1304" i="2"/>
  <c r="L1304" i="2"/>
  <c r="M1304" i="2"/>
  <c r="N1304" i="2"/>
  <c r="O1304" i="2"/>
  <c r="P1304" i="2"/>
  <c r="Q1304" i="2"/>
  <c r="R1304" i="2"/>
  <c r="S1304" i="2"/>
  <c r="T1304" i="2"/>
  <c r="U1304" i="2"/>
  <c r="V1304" i="2"/>
  <c r="W1304" i="2"/>
  <c r="X1304" i="2"/>
  <c r="Y1304" i="2"/>
  <c r="A1305" i="2"/>
  <c r="B1305" i="2"/>
  <c r="C1305" i="2"/>
  <c r="D1305" i="2"/>
  <c r="E1305" i="2"/>
  <c r="F1305" i="2"/>
  <c r="G1305" i="2"/>
  <c r="H1305" i="2"/>
  <c r="I1305" i="2"/>
  <c r="J1305" i="2"/>
  <c r="K1305" i="2"/>
  <c r="L1305" i="2"/>
  <c r="M1305" i="2"/>
  <c r="N1305" i="2"/>
  <c r="O1305" i="2"/>
  <c r="P1305" i="2"/>
  <c r="Q1305" i="2"/>
  <c r="R1305" i="2"/>
  <c r="S1305" i="2"/>
  <c r="T1305" i="2"/>
  <c r="U1305" i="2"/>
  <c r="V1305" i="2"/>
  <c r="W1305" i="2"/>
  <c r="X1305" i="2"/>
  <c r="Y1305" i="2"/>
  <c r="A1306" i="2"/>
  <c r="B1306" i="2"/>
  <c r="C1306" i="2"/>
  <c r="D1306" i="2"/>
  <c r="E1306" i="2"/>
  <c r="F1306" i="2"/>
  <c r="G1306" i="2"/>
  <c r="H1306" i="2"/>
  <c r="I1306" i="2"/>
  <c r="J1306" i="2"/>
  <c r="K1306" i="2"/>
  <c r="L1306" i="2"/>
  <c r="M1306" i="2"/>
  <c r="N1306" i="2"/>
  <c r="O1306" i="2"/>
  <c r="P1306" i="2"/>
  <c r="Q1306" i="2"/>
  <c r="R1306" i="2"/>
  <c r="S1306" i="2"/>
  <c r="T1306" i="2"/>
  <c r="U1306" i="2"/>
  <c r="V1306" i="2"/>
  <c r="W1306" i="2"/>
  <c r="X1306" i="2"/>
  <c r="Y1306" i="2"/>
  <c r="A1307" i="2"/>
  <c r="B1307" i="2"/>
  <c r="C1307" i="2"/>
  <c r="D1307" i="2"/>
  <c r="E1307" i="2"/>
  <c r="F1307" i="2"/>
  <c r="G1307" i="2"/>
  <c r="H1307" i="2"/>
  <c r="I1307" i="2"/>
  <c r="J1307" i="2"/>
  <c r="K1307" i="2"/>
  <c r="L1307" i="2"/>
  <c r="M1307" i="2"/>
  <c r="N1307" i="2"/>
  <c r="O1307" i="2"/>
  <c r="P1307" i="2"/>
  <c r="Q1307" i="2"/>
  <c r="R1307" i="2"/>
  <c r="S1307" i="2"/>
  <c r="T1307" i="2"/>
  <c r="U1307" i="2"/>
  <c r="V1307" i="2"/>
  <c r="W1307" i="2"/>
  <c r="X1307" i="2"/>
  <c r="Y1307" i="2"/>
  <c r="B1308" i="2"/>
  <c r="C1308" i="2"/>
  <c r="D1308" i="2"/>
  <c r="E1308" i="2"/>
  <c r="F1308" i="2"/>
  <c r="G1308" i="2"/>
  <c r="H1308" i="2"/>
  <c r="I1308" i="2"/>
  <c r="J1308" i="2"/>
  <c r="K1308" i="2"/>
  <c r="L1308" i="2"/>
  <c r="M1308" i="2"/>
  <c r="N1308" i="2"/>
  <c r="O1308" i="2"/>
  <c r="P1308" i="2"/>
  <c r="Q1308" i="2"/>
  <c r="R1308" i="2"/>
  <c r="S1308" i="2"/>
  <c r="T1308" i="2"/>
  <c r="U1308" i="2"/>
  <c r="V1308" i="2"/>
  <c r="W1308" i="2"/>
  <c r="X1308" i="2"/>
  <c r="Y1308" i="2"/>
  <c r="A1309" i="2"/>
  <c r="B1309" i="2"/>
  <c r="C1309" i="2"/>
  <c r="D1309" i="2"/>
  <c r="E1309" i="2"/>
  <c r="F1309" i="2"/>
  <c r="G1309" i="2"/>
  <c r="H1309" i="2"/>
  <c r="I1309" i="2"/>
  <c r="J1309" i="2"/>
  <c r="K1309" i="2"/>
  <c r="L1309" i="2"/>
  <c r="M1309" i="2"/>
  <c r="N1309" i="2"/>
  <c r="O1309" i="2"/>
  <c r="P1309" i="2"/>
  <c r="Q1309" i="2"/>
  <c r="R1309" i="2"/>
  <c r="S1309" i="2"/>
  <c r="T1309" i="2"/>
  <c r="U1309" i="2"/>
  <c r="V1309" i="2"/>
  <c r="W1309" i="2"/>
  <c r="X1309" i="2"/>
  <c r="Y1309" i="2"/>
  <c r="A1310" i="2"/>
  <c r="B1310" i="2"/>
  <c r="C1310" i="2"/>
  <c r="D1310" i="2"/>
  <c r="E1310" i="2"/>
  <c r="F1310" i="2"/>
  <c r="G1310" i="2"/>
  <c r="H1310" i="2"/>
  <c r="I1310" i="2"/>
  <c r="J1310" i="2"/>
  <c r="K1310" i="2"/>
  <c r="L1310" i="2"/>
  <c r="M1310" i="2"/>
  <c r="N1310" i="2"/>
  <c r="O1310" i="2"/>
  <c r="P1310" i="2"/>
  <c r="Q1310" i="2"/>
  <c r="R1310" i="2"/>
  <c r="S1310" i="2"/>
  <c r="T1310" i="2"/>
  <c r="U1310" i="2"/>
  <c r="V1310" i="2"/>
  <c r="W1310" i="2"/>
  <c r="X1310" i="2"/>
  <c r="Y1310" i="2"/>
  <c r="A1311" i="2"/>
  <c r="B1311" i="2"/>
  <c r="C1311" i="2"/>
  <c r="D1311" i="2"/>
  <c r="E1311" i="2"/>
  <c r="F1311" i="2"/>
  <c r="G1311" i="2"/>
  <c r="H1311" i="2"/>
  <c r="I1311" i="2"/>
  <c r="J1311" i="2"/>
  <c r="K1311" i="2"/>
  <c r="L1311" i="2"/>
  <c r="M1311" i="2"/>
  <c r="N1311" i="2"/>
  <c r="O1311" i="2"/>
  <c r="P1311" i="2"/>
  <c r="Q1311" i="2"/>
  <c r="R1311" i="2"/>
  <c r="S1311" i="2"/>
  <c r="T1311" i="2"/>
  <c r="U1311" i="2"/>
  <c r="V1311" i="2"/>
  <c r="W1311" i="2"/>
  <c r="X1311" i="2"/>
  <c r="Y1311" i="2"/>
  <c r="A1312" i="2"/>
  <c r="B1312" i="2"/>
  <c r="C1312" i="2"/>
  <c r="D1312" i="2"/>
  <c r="E1312" i="2"/>
  <c r="F1312" i="2"/>
  <c r="G1312" i="2"/>
  <c r="H1312" i="2"/>
  <c r="I1312" i="2"/>
  <c r="J1312" i="2"/>
  <c r="K1312" i="2"/>
  <c r="L1312" i="2"/>
  <c r="M1312" i="2"/>
  <c r="N1312" i="2"/>
  <c r="O1312" i="2"/>
  <c r="P1312" i="2"/>
  <c r="Q1312" i="2"/>
  <c r="R1312" i="2"/>
  <c r="S1312" i="2"/>
  <c r="T1312" i="2"/>
  <c r="U1312" i="2"/>
  <c r="V1312" i="2"/>
  <c r="W1312" i="2"/>
  <c r="X1312" i="2"/>
  <c r="Y1312" i="2"/>
  <c r="A1313" i="2"/>
  <c r="B1313" i="2"/>
  <c r="C1313" i="2"/>
  <c r="D1313" i="2"/>
  <c r="E1313" i="2"/>
  <c r="F1313" i="2"/>
  <c r="G1313" i="2"/>
  <c r="H1313" i="2"/>
  <c r="I1313" i="2"/>
  <c r="J1313" i="2"/>
  <c r="K1313" i="2"/>
  <c r="L1313" i="2"/>
  <c r="M1313" i="2"/>
  <c r="N1313" i="2"/>
  <c r="O1313" i="2"/>
  <c r="P1313" i="2"/>
  <c r="Q1313" i="2"/>
  <c r="R1313" i="2"/>
  <c r="S1313" i="2"/>
  <c r="T1313" i="2"/>
  <c r="U1313" i="2"/>
  <c r="V1313" i="2"/>
  <c r="W1313" i="2"/>
  <c r="X1313" i="2"/>
  <c r="Y1313" i="2"/>
  <c r="A1314" i="2"/>
  <c r="B1314" i="2"/>
  <c r="C1314" i="2"/>
  <c r="D1314" i="2"/>
  <c r="E1314" i="2"/>
  <c r="F1314" i="2"/>
  <c r="G1314" i="2"/>
  <c r="H1314" i="2"/>
  <c r="I1314" i="2"/>
  <c r="J1314" i="2"/>
  <c r="K1314" i="2"/>
  <c r="L1314" i="2"/>
  <c r="M1314" i="2"/>
  <c r="N1314" i="2"/>
  <c r="O1314" i="2"/>
  <c r="P1314" i="2"/>
  <c r="Q1314" i="2"/>
  <c r="R1314" i="2"/>
  <c r="S1314" i="2"/>
  <c r="T1314" i="2"/>
  <c r="U1314" i="2"/>
  <c r="V1314" i="2"/>
  <c r="W1314" i="2"/>
  <c r="X1314" i="2"/>
  <c r="Y1314" i="2"/>
  <c r="A1315" i="2"/>
  <c r="B1315" i="2"/>
  <c r="C1315" i="2"/>
  <c r="D1315" i="2"/>
  <c r="E1315" i="2"/>
  <c r="F1315" i="2"/>
  <c r="G1315" i="2"/>
  <c r="H1315" i="2"/>
  <c r="I1315" i="2"/>
  <c r="J1315" i="2"/>
  <c r="K1315" i="2"/>
  <c r="L1315" i="2"/>
  <c r="M1315" i="2"/>
  <c r="N1315" i="2"/>
  <c r="O1315" i="2"/>
  <c r="P1315" i="2"/>
  <c r="Q1315" i="2"/>
  <c r="R1315" i="2"/>
  <c r="S1315" i="2"/>
  <c r="T1315" i="2"/>
  <c r="U1315" i="2"/>
  <c r="V1315" i="2"/>
  <c r="W1315" i="2"/>
  <c r="X1315" i="2"/>
  <c r="Y1315" i="2"/>
  <c r="A1316" i="2"/>
  <c r="B1316" i="2"/>
  <c r="C1316" i="2"/>
  <c r="D1316" i="2"/>
  <c r="E1316" i="2"/>
  <c r="F1316" i="2"/>
  <c r="G1316" i="2"/>
  <c r="H1316" i="2"/>
  <c r="I1316" i="2"/>
  <c r="J1316" i="2"/>
  <c r="K1316" i="2"/>
  <c r="L1316" i="2"/>
  <c r="M1316" i="2"/>
  <c r="N1316" i="2"/>
  <c r="O1316" i="2"/>
  <c r="P1316" i="2"/>
  <c r="Q1316" i="2"/>
  <c r="R1316" i="2"/>
  <c r="S1316" i="2"/>
  <c r="T1316" i="2"/>
  <c r="U1316" i="2"/>
  <c r="V1316" i="2"/>
  <c r="W1316" i="2"/>
  <c r="X1316" i="2"/>
  <c r="Y1316" i="2"/>
  <c r="A1317" i="2"/>
  <c r="B1317" i="2"/>
  <c r="C1317" i="2"/>
  <c r="D1317" i="2"/>
  <c r="E1317" i="2"/>
  <c r="F1317" i="2"/>
  <c r="G1317" i="2"/>
  <c r="H1317" i="2"/>
  <c r="I1317" i="2"/>
  <c r="J1317" i="2"/>
  <c r="K1317" i="2"/>
  <c r="L1317" i="2"/>
  <c r="M1317" i="2"/>
  <c r="N1317" i="2"/>
  <c r="O1317" i="2"/>
  <c r="P1317" i="2"/>
  <c r="Q1317" i="2"/>
  <c r="R1317" i="2"/>
  <c r="S1317" i="2"/>
  <c r="T1317" i="2"/>
  <c r="U1317" i="2"/>
  <c r="V1317" i="2"/>
  <c r="W1317" i="2"/>
  <c r="X1317" i="2"/>
  <c r="Y1317" i="2"/>
  <c r="A1318" i="2"/>
  <c r="B1318" i="2"/>
  <c r="C1318" i="2"/>
  <c r="D1318" i="2"/>
  <c r="E1318" i="2"/>
  <c r="F1318" i="2"/>
  <c r="G1318" i="2"/>
  <c r="H1318" i="2"/>
  <c r="I1318" i="2"/>
  <c r="J1318" i="2"/>
  <c r="K1318" i="2"/>
  <c r="L1318" i="2"/>
  <c r="M1318" i="2"/>
  <c r="N1318" i="2"/>
  <c r="O1318" i="2"/>
  <c r="P1318" i="2"/>
  <c r="Q1318" i="2"/>
  <c r="R1318" i="2"/>
  <c r="S1318" i="2"/>
  <c r="T1318" i="2"/>
  <c r="U1318" i="2"/>
  <c r="V1318" i="2"/>
  <c r="W1318" i="2"/>
  <c r="X1318" i="2"/>
  <c r="Y1318" i="2"/>
  <c r="A1319" i="2"/>
  <c r="B1319" i="2"/>
  <c r="C1319" i="2"/>
  <c r="D1319" i="2"/>
  <c r="E1319" i="2"/>
  <c r="F1319" i="2"/>
  <c r="G1319" i="2"/>
  <c r="H1319" i="2"/>
  <c r="I1319" i="2"/>
  <c r="J1319" i="2"/>
  <c r="K1319" i="2"/>
  <c r="L1319" i="2"/>
  <c r="M1319" i="2"/>
  <c r="N1319" i="2"/>
  <c r="O1319" i="2"/>
  <c r="P1319" i="2"/>
  <c r="Q1319" i="2"/>
  <c r="R1319" i="2"/>
  <c r="S1319" i="2"/>
  <c r="T1319" i="2"/>
  <c r="U1319" i="2"/>
  <c r="V1319" i="2"/>
  <c r="W1319" i="2"/>
  <c r="X1319" i="2"/>
  <c r="Y1319" i="2"/>
  <c r="B1320" i="2"/>
  <c r="C1320" i="2"/>
  <c r="D1320" i="2"/>
  <c r="E1320" i="2"/>
  <c r="F1320" i="2"/>
  <c r="G1320" i="2"/>
  <c r="H1320" i="2"/>
  <c r="I1320" i="2"/>
  <c r="J1320" i="2"/>
  <c r="K1320" i="2"/>
  <c r="L1320" i="2"/>
  <c r="M1320" i="2"/>
  <c r="N1320" i="2"/>
  <c r="O1320" i="2"/>
  <c r="P1320" i="2"/>
  <c r="Q1320" i="2"/>
  <c r="R1320" i="2"/>
  <c r="S1320" i="2"/>
  <c r="T1320" i="2"/>
  <c r="U1320" i="2"/>
  <c r="V1320" i="2"/>
  <c r="W1320" i="2"/>
  <c r="X1320" i="2"/>
  <c r="Y1320" i="2"/>
  <c r="A1321" i="2"/>
  <c r="B1321" i="2"/>
  <c r="C1321" i="2"/>
  <c r="D1321" i="2"/>
  <c r="E1321" i="2"/>
  <c r="F1321" i="2"/>
  <c r="G1321" i="2"/>
  <c r="H1321" i="2"/>
  <c r="I1321" i="2"/>
  <c r="J1321" i="2"/>
  <c r="K1321" i="2"/>
  <c r="L1321" i="2"/>
  <c r="M1321" i="2"/>
  <c r="N1321" i="2"/>
  <c r="O1321" i="2"/>
  <c r="P1321" i="2"/>
  <c r="Q1321" i="2"/>
  <c r="R1321" i="2"/>
  <c r="S1321" i="2"/>
  <c r="T1321" i="2"/>
  <c r="U1321" i="2"/>
  <c r="V1321" i="2"/>
  <c r="W1321" i="2"/>
  <c r="X1321" i="2"/>
  <c r="Y1321" i="2"/>
  <c r="A1322" i="2"/>
  <c r="B1322" i="2"/>
  <c r="C1322" i="2"/>
  <c r="D1322" i="2"/>
  <c r="E1322" i="2"/>
  <c r="F1322" i="2"/>
  <c r="G1322" i="2"/>
  <c r="H1322" i="2"/>
  <c r="I1322" i="2"/>
  <c r="J1322" i="2"/>
  <c r="K1322" i="2"/>
  <c r="L1322" i="2"/>
  <c r="M1322" i="2"/>
  <c r="N1322" i="2"/>
  <c r="O1322" i="2"/>
  <c r="P1322" i="2"/>
  <c r="Q1322" i="2"/>
  <c r="R1322" i="2"/>
  <c r="S1322" i="2"/>
  <c r="T1322" i="2"/>
  <c r="U1322" i="2"/>
  <c r="V1322" i="2"/>
  <c r="W1322" i="2"/>
  <c r="X1322" i="2"/>
  <c r="Y1322" i="2"/>
  <c r="A1323" i="2"/>
  <c r="B1323" i="2"/>
  <c r="C1323" i="2"/>
  <c r="D1323" i="2"/>
  <c r="E1323" i="2"/>
  <c r="F1323" i="2"/>
  <c r="G1323" i="2"/>
  <c r="H1323" i="2"/>
  <c r="I1323" i="2"/>
  <c r="J1323" i="2"/>
  <c r="K1323" i="2"/>
  <c r="L1323" i="2"/>
  <c r="M1323" i="2"/>
  <c r="N1323" i="2"/>
  <c r="O1323" i="2"/>
  <c r="P1323" i="2"/>
  <c r="Q1323" i="2"/>
  <c r="R1323" i="2"/>
  <c r="S1323" i="2"/>
  <c r="T1323" i="2"/>
  <c r="U1323" i="2"/>
  <c r="V1323" i="2"/>
  <c r="W1323" i="2"/>
  <c r="X1323" i="2"/>
  <c r="Y1323" i="2"/>
  <c r="B1324" i="2"/>
  <c r="C1324" i="2"/>
  <c r="D1324" i="2"/>
  <c r="E1324" i="2"/>
  <c r="F1324" i="2"/>
  <c r="G1324" i="2"/>
  <c r="H1324" i="2"/>
  <c r="I1324" i="2"/>
  <c r="J1324" i="2"/>
  <c r="K1324" i="2"/>
  <c r="L1324" i="2"/>
  <c r="M1324" i="2"/>
  <c r="N1324" i="2"/>
  <c r="O1324" i="2"/>
  <c r="P1324" i="2"/>
  <c r="Q1324" i="2"/>
  <c r="R1324" i="2"/>
  <c r="S1324" i="2"/>
  <c r="T1324" i="2"/>
  <c r="U1324" i="2"/>
  <c r="V1324" i="2"/>
  <c r="W1324" i="2"/>
  <c r="X1324" i="2"/>
  <c r="Y1324" i="2"/>
  <c r="A1325" i="2"/>
  <c r="B1325" i="2"/>
  <c r="C1325" i="2"/>
  <c r="D1325" i="2"/>
  <c r="E1325" i="2"/>
  <c r="F1325" i="2"/>
  <c r="G1325" i="2"/>
  <c r="H1325" i="2"/>
  <c r="I1325" i="2"/>
  <c r="J1325" i="2"/>
  <c r="K1325" i="2"/>
  <c r="L1325" i="2"/>
  <c r="M1325" i="2"/>
  <c r="N1325" i="2"/>
  <c r="O1325" i="2"/>
  <c r="P1325" i="2"/>
  <c r="Q1325" i="2"/>
  <c r="R1325" i="2"/>
  <c r="S1325" i="2"/>
  <c r="T1325" i="2"/>
  <c r="U1325" i="2"/>
  <c r="V1325" i="2"/>
  <c r="W1325" i="2"/>
  <c r="X1325" i="2"/>
  <c r="Y1325" i="2"/>
  <c r="A1326" i="2"/>
  <c r="B1326" i="2"/>
  <c r="C1326" i="2"/>
  <c r="D1326" i="2"/>
  <c r="E1326" i="2"/>
  <c r="F1326" i="2"/>
  <c r="G1326" i="2"/>
  <c r="H1326" i="2"/>
  <c r="I1326" i="2"/>
  <c r="J1326" i="2"/>
  <c r="K1326" i="2"/>
  <c r="L1326" i="2"/>
  <c r="M1326" i="2"/>
  <c r="N1326" i="2"/>
  <c r="O1326" i="2"/>
  <c r="P1326" i="2"/>
  <c r="Q1326" i="2"/>
  <c r="R1326" i="2"/>
  <c r="S1326" i="2"/>
  <c r="T1326" i="2"/>
  <c r="U1326" i="2"/>
  <c r="V1326" i="2"/>
  <c r="W1326" i="2"/>
  <c r="X1326" i="2"/>
  <c r="Y1326" i="2"/>
  <c r="A1327" i="2"/>
  <c r="B1327" i="2"/>
  <c r="C1327" i="2"/>
  <c r="D1327" i="2"/>
  <c r="E1327" i="2"/>
  <c r="F1327" i="2"/>
  <c r="G1327" i="2"/>
  <c r="H1327" i="2"/>
  <c r="I1327" i="2"/>
  <c r="J1327" i="2"/>
  <c r="K1327" i="2"/>
  <c r="L1327" i="2"/>
  <c r="M1327" i="2"/>
  <c r="N1327" i="2"/>
  <c r="O1327" i="2"/>
  <c r="P1327" i="2"/>
  <c r="Q1327" i="2"/>
  <c r="R1327" i="2"/>
  <c r="S1327" i="2"/>
  <c r="T1327" i="2"/>
  <c r="U1327" i="2"/>
  <c r="V1327" i="2"/>
  <c r="W1327" i="2"/>
  <c r="X1327" i="2"/>
  <c r="Y1327" i="2"/>
  <c r="A1328" i="2"/>
  <c r="B1328" i="2"/>
  <c r="C1328" i="2"/>
  <c r="D1328" i="2"/>
  <c r="E1328" i="2"/>
  <c r="F1328" i="2"/>
  <c r="G1328" i="2"/>
  <c r="H1328" i="2"/>
  <c r="I1328" i="2"/>
  <c r="J1328" i="2"/>
  <c r="K1328" i="2"/>
  <c r="L1328" i="2"/>
  <c r="M1328" i="2"/>
  <c r="N1328" i="2"/>
  <c r="O1328" i="2"/>
  <c r="P1328" i="2"/>
  <c r="Q1328" i="2"/>
  <c r="R1328" i="2"/>
  <c r="S1328" i="2"/>
  <c r="T1328" i="2"/>
  <c r="U1328" i="2"/>
  <c r="V1328" i="2"/>
  <c r="W1328" i="2"/>
  <c r="X1328" i="2"/>
  <c r="Y1328" i="2"/>
  <c r="A1329" i="2"/>
  <c r="B1329" i="2"/>
  <c r="C1329" i="2"/>
  <c r="D1329" i="2"/>
  <c r="E1329" i="2"/>
  <c r="F1329" i="2"/>
  <c r="G1329" i="2"/>
  <c r="H1329" i="2"/>
  <c r="I1329" i="2"/>
  <c r="J1329" i="2"/>
  <c r="K1329" i="2"/>
  <c r="L1329" i="2"/>
  <c r="M1329" i="2"/>
  <c r="N1329" i="2"/>
  <c r="O1329" i="2"/>
  <c r="P1329" i="2"/>
  <c r="Q1329" i="2"/>
  <c r="R1329" i="2"/>
  <c r="S1329" i="2"/>
  <c r="T1329" i="2"/>
  <c r="U1329" i="2"/>
  <c r="V1329" i="2"/>
  <c r="W1329" i="2"/>
  <c r="X1329" i="2"/>
  <c r="Y1329" i="2"/>
  <c r="A1330" i="2"/>
  <c r="B1330" i="2"/>
  <c r="C1330" i="2"/>
  <c r="D1330" i="2"/>
  <c r="E1330" i="2"/>
  <c r="F1330" i="2"/>
  <c r="G1330" i="2"/>
  <c r="H1330" i="2"/>
  <c r="I1330" i="2"/>
  <c r="J1330" i="2"/>
  <c r="K1330" i="2"/>
  <c r="L1330" i="2"/>
  <c r="M1330" i="2"/>
  <c r="N1330" i="2"/>
  <c r="O1330" i="2"/>
  <c r="P1330" i="2"/>
  <c r="Q1330" i="2"/>
  <c r="R1330" i="2"/>
  <c r="S1330" i="2"/>
  <c r="T1330" i="2"/>
  <c r="U1330" i="2"/>
  <c r="V1330" i="2"/>
  <c r="W1330" i="2"/>
  <c r="X1330" i="2"/>
  <c r="Y1330" i="2"/>
  <c r="A1331" i="2"/>
  <c r="B1331" i="2"/>
  <c r="C1331" i="2"/>
  <c r="D1331" i="2"/>
  <c r="E1331" i="2"/>
  <c r="F1331" i="2"/>
  <c r="G1331" i="2"/>
  <c r="H1331" i="2"/>
  <c r="I1331" i="2"/>
  <c r="J1331" i="2"/>
  <c r="K1331" i="2"/>
  <c r="L1331" i="2"/>
  <c r="M1331" i="2"/>
  <c r="N1331" i="2"/>
  <c r="O1331" i="2"/>
  <c r="P1331" i="2"/>
  <c r="Q1331" i="2"/>
  <c r="R1331" i="2"/>
  <c r="S1331" i="2"/>
  <c r="T1331" i="2"/>
  <c r="U1331" i="2"/>
  <c r="V1331" i="2"/>
  <c r="W1331" i="2"/>
  <c r="X1331" i="2"/>
  <c r="Y1331" i="2"/>
  <c r="A1332" i="2"/>
  <c r="B1332" i="2"/>
  <c r="C1332" i="2"/>
  <c r="D1332" i="2"/>
  <c r="E1332" i="2"/>
  <c r="F1332" i="2"/>
  <c r="G1332" i="2"/>
  <c r="H1332" i="2"/>
  <c r="I1332" i="2"/>
  <c r="J1332" i="2"/>
  <c r="K1332" i="2"/>
  <c r="L1332" i="2"/>
  <c r="M1332" i="2"/>
  <c r="N1332" i="2"/>
  <c r="O1332" i="2"/>
  <c r="P1332" i="2"/>
  <c r="Q1332" i="2"/>
  <c r="R1332" i="2"/>
  <c r="S1332" i="2"/>
  <c r="T1332" i="2"/>
  <c r="U1332" i="2"/>
  <c r="V1332" i="2"/>
  <c r="W1332" i="2"/>
  <c r="X1332" i="2"/>
  <c r="Y1332" i="2"/>
  <c r="A1333" i="2"/>
  <c r="B1333" i="2"/>
  <c r="C1333" i="2"/>
  <c r="D1333" i="2"/>
  <c r="E1333" i="2"/>
  <c r="F1333" i="2"/>
  <c r="G1333" i="2"/>
  <c r="H1333" i="2"/>
  <c r="I1333" i="2"/>
  <c r="J1333" i="2"/>
  <c r="K1333" i="2"/>
  <c r="L1333" i="2"/>
  <c r="M1333" i="2"/>
  <c r="N1333" i="2"/>
  <c r="O1333" i="2"/>
  <c r="P1333" i="2"/>
  <c r="Q1333" i="2"/>
  <c r="R1333" i="2"/>
  <c r="S1333" i="2"/>
  <c r="T1333" i="2"/>
  <c r="U1333" i="2"/>
  <c r="V1333" i="2"/>
  <c r="W1333" i="2"/>
  <c r="X1333" i="2"/>
  <c r="Y1333" i="2"/>
  <c r="A1334" i="2"/>
  <c r="B1334" i="2"/>
  <c r="C1334" i="2"/>
  <c r="D1334" i="2"/>
  <c r="E1334" i="2"/>
  <c r="F1334" i="2"/>
  <c r="G1334" i="2"/>
  <c r="H1334" i="2"/>
  <c r="I1334" i="2"/>
  <c r="J1334" i="2"/>
  <c r="K1334" i="2"/>
  <c r="L1334" i="2"/>
  <c r="M1334" i="2"/>
  <c r="N1334" i="2"/>
  <c r="O1334" i="2"/>
  <c r="P1334" i="2"/>
  <c r="Q1334" i="2"/>
  <c r="R1334" i="2"/>
  <c r="S1334" i="2"/>
  <c r="T1334" i="2"/>
  <c r="U1334" i="2"/>
  <c r="V1334" i="2"/>
  <c r="W1334" i="2"/>
  <c r="X1334" i="2"/>
  <c r="Y1334" i="2"/>
  <c r="A1335" i="2"/>
  <c r="B1335" i="2"/>
  <c r="C1335" i="2"/>
  <c r="D1335" i="2"/>
  <c r="E1335" i="2"/>
  <c r="F1335" i="2"/>
  <c r="G1335" i="2"/>
  <c r="H1335" i="2"/>
  <c r="I1335" i="2"/>
  <c r="J1335" i="2"/>
  <c r="K1335" i="2"/>
  <c r="L1335" i="2"/>
  <c r="M1335" i="2"/>
  <c r="N1335" i="2"/>
  <c r="O1335" i="2"/>
  <c r="P1335" i="2"/>
  <c r="Q1335" i="2"/>
  <c r="R1335" i="2"/>
  <c r="S1335" i="2"/>
  <c r="T1335" i="2"/>
  <c r="U1335" i="2"/>
  <c r="V1335" i="2"/>
  <c r="W1335" i="2"/>
  <c r="X1335" i="2"/>
  <c r="Y1335" i="2"/>
  <c r="B1336" i="2"/>
  <c r="C1336" i="2"/>
  <c r="D1336" i="2"/>
  <c r="E1336" i="2"/>
  <c r="F1336" i="2"/>
  <c r="G1336" i="2"/>
  <c r="H1336" i="2"/>
  <c r="I1336" i="2"/>
  <c r="J1336" i="2"/>
  <c r="K1336" i="2"/>
  <c r="L1336" i="2"/>
  <c r="M1336" i="2"/>
  <c r="N1336" i="2"/>
  <c r="O1336" i="2"/>
  <c r="P1336" i="2"/>
  <c r="Q1336" i="2"/>
  <c r="R1336" i="2"/>
  <c r="S1336" i="2"/>
  <c r="T1336" i="2"/>
  <c r="U1336" i="2"/>
  <c r="V1336" i="2"/>
  <c r="W1336" i="2"/>
  <c r="X1336" i="2"/>
  <c r="Y1336" i="2"/>
  <c r="A1337" i="2"/>
  <c r="B1337" i="2"/>
  <c r="C1337" i="2"/>
  <c r="D1337" i="2"/>
  <c r="E1337" i="2"/>
  <c r="F1337" i="2"/>
  <c r="G1337" i="2"/>
  <c r="H1337" i="2"/>
  <c r="I1337" i="2"/>
  <c r="J1337" i="2"/>
  <c r="K1337" i="2"/>
  <c r="L1337" i="2"/>
  <c r="M1337" i="2"/>
  <c r="N1337" i="2"/>
  <c r="O1337" i="2"/>
  <c r="P1337" i="2"/>
  <c r="Q1337" i="2"/>
  <c r="R1337" i="2"/>
  <c r="S1337" i="2"/>
  <c r="T1337" i="2"/>
  <c r="U1337" i="2"/>
  <c r="V1337" i="2"/>
  <c r="W1337" i="2"/>
  <c r="X1337" i="2"/>
  <c r="Y1337" i="2"/>
  <c r="A1338" i="2"/>
  <c r="B1338" i="2"/>
  <c r="C1338" i="2"/>
  <c r="D1338" i="2"/>
  <c r="E1338" i="2"/>
  <c r="F1338" i="2"/>
  <c r="G1338" i="2"/>
  <c r="H1338" i="2"/>
  <c r="I1338" i="2"/>
  <c r="J1338" i="2"/>
  <c r="K1338" i="2"/>
  <c r="L1338" i="2"/>
  <c r="M1338" i="2"/>
  <c r="N1338" i="2"/>
  <c r="O1338" i="2"/>
  <c r="P1338" i="2"/>
  <c r="Q1338" i="2"/>
  <c r="R1338" i="2"/>
  <c r="S1338" i="2"/>
  <c r="T1338" i="2"/>
  <c r="U1338" i="2"/>
  <c r="V1338" i="2"/>
  <c r="W1338" i="2"/>
  <c r="X1338" i="2"/>
  <c r="Y1338" i="2"/>
  <c r="A1339" i="2"/>
  <c r="B1339" i="2"/>
  <c r="C1339" i="2"/>
  <c r="D1339" i="2"/>
  <c r="E1339" i="2"/>
  <c r="F1339" i="2"/>
  <c r="G1339" i="2"/>
  <c r="H1339" i="2"/>
  <c r="I1339" i="2"/>
  <c r="J1339" i="2"/>
  <c r="K1339" i="2"/>
  <c r="L1339" i="2"/>
  <c r="M1339" i="2"/>
  <c r="N1339" i="2"/>
  <c r="O1339" i="2"/>
  <c r="P1339" i="2"/>
  <c r="Q1339" i="2"/>
  <c r="R1339" i="2"/>
  <c r="S1339" i="2"/>
  <c r="T1339" i="2"/>
  <c r="U1339" i="2"/>
  <c r="V1339" i="2"/>
  <c r="W1339" i="2"/>
  <c r="X1339" i="2"/>
  <c r="Y1339" i="2"/>
  <c r="B1340" i="2"/>
  <c r="C1340" i="2"/>
  <c r="D1340" i="2"/>
  <c r="E1340" i="2"/>
  <c r="F1340" i="2"/>
  <c r="G1340" i="2"/>
  <c r="H1340" i="2"/>
  <c r="I1340" i="2"/>
  <c r="J1340" i="2"/>
  <c r="K1340" i="2"/>
  <c r="L1340" i="2"/>
  <c r="M1340" i="2"/>
  <c r="N1340" i="2"/>
  <c r="O1340" i="2"/>
  <c r="P1340" i="2"/>
  <c r="Q1340" i="2"/>
  <c r="R1340" i="2"/>
  <c r="S1340" i="2"/>
  <c r="T1340" i="2"/>
  <c r="U1340" i="2"/>
  <c r="V1340" i="2"/>
  <c r="W1340" i="2"/>
  <c r="X1340" i="2"/>
  <c r="Y1340" i="2"/>
  <c r="A1341" i="2"/>
  <c r="B1341" i="2"/>
  <c r="C1341" i="2"/>
  <c r="D1341" i="2"/>
  <c r="E1341" i="2"/>
  <c r="F1341" i="2"/>
  <c r="G1341" i="2"/>
  <c r="H1341" i="2"/>
  <c r="I1341" i="2"/>
  <c r="J1341" i="2"/>
  <c r="K1341" i="2"/>
  <c r="L1341" i="2"/>
  <c r="M1341" i="2"/>
  <c r="N1341" i="2"/>
  <c r="O1341" i="2"/>
  <c r="P1341" i="2"/>
  <c r="Q1341" i="2"/>
  <c r="R1341" i="2"/>
  <c r="S1341" i="2"/>
  <c r="T1341" i="2"/>
  <c r="U1341" i="2"/>
  <c r="V1341" i="2"/>
  <c r="W1341" i="2"/>
  <c r="X1341" i="2"/>
  <c r="Y1341" i="2"/>
  <c r="A1342" i="2"/>
  <c r="B1342" i="2"/>
  <c r="C1342" i="2"/>
  <c r="D1342" i="2"/>
  <c r="E1342" i="2"/>
  <c r="F1342" i="2"/>
  <c r="G1342" i="2"/>
  <c r="H1342" i="2"/>
  <c r="I1342" i="2"/>
  <c r="J1342" i="2"/>
  <c r="K1342" i="2"/>
  <c r="L1342" i="2"/>
  <c r="M1342" i="2"/>
  <c r="N1342" i="2"/>
  <c r="O1342" i="2"/>
  <c r="P1342" i="2"/>
  <c r="Q1342" i="2"/>
  <c r="R1342" i="2"/>
  <c r="S1342" i="2"/>
  <c r="T1342" i="2"/>
  <c r="U1342" i="2"/>
  <c r="V1342" i="2"/>
  <c r="W1342" i="2"/>
  <c r="X1342" i="2"/>
  <c r="Y1342" i="2"/>
  <c r="A1343" i="2"/>
  <c r="B1343" i="2"/>
  <c r="C1343" i="2"/>
  <c r="D1343" i="2"/>
  <c r="E1343" i="2"/>
  <c r="F1343" i="2"/>
  <c r="G1343" i="2"/>
  <c r="H1343" i="2"/>
  <c r="I1343" i="2"/>
  <c r="J1343" i="2"/>
  <c r="K1343" i="2"/>
  <c r="L1343" i="2"/>
  <c r="M1343" i="2"/>
  <c r="N1343" i="2"/>
  <c r="O1343" i="2"/>
  <c r="P1343" i="2"/>
  <c r="Q1343" i="2"/>
  <c r="R1343" i="2"/>
  <c r="S1343" i="2"/>
  <c r="T1343" i="2"/>
  <c r="U1343" i="2"/>
  <c r="V1343" i="2"/>
  <c r="W1343" i="2"/>
  <c r="X1343" i="2"/>
  <c r="Y1343" i="2"/>
  <c r="A1344" i="2"/>
  <c r="B1344" i="2"/>
  <c r="C1344" i="2"/>
  <c r="D1344" i="2"/>
  <c r="E1344" i="2"/>
  <c r="F1344" i="2"/>
  <c r="G1344" i="2"/>
  <c r="H1344" i="2"/>
  <c r="I1344" i="2"/>
  <c r="J1344" i="2"/>
  <c r="K1344" i="2"/>
  <c r="L1344" i="2"/>
  <c r="M1344" i="2"/>
  <c r="N1344" i="2"/>
  <c r="O1344" i="2"/>
  <c r="P1344" i="2"/>
  <c r="Q1344" i="2"/>
  <c r="R1344" i="2"/>
  <c r="S1344" i="2"/>
  <c r="T1344" i="2"/>
  <c r="U1344" i="2"/>
  <c r="V1344" i="2"/>
  <c r="W1344" i="2"/>
  <c r="X1344" i="2"/>
  <c r="Y1344" i="2"/>
  <c r="A1345" i="2"/>
  <c r="B1345" i="2"/>
  <c r="C1345" i="2"/>
  <c r="D1345" i="2"/>
  <c r="E1345" i="2"/>
  <c r="F1345" i="2"/>
  <c r="G1345" i="2"/>
  <c r="H1345" i="2"/>
  <c r="I1345" i="2"/>
  <c r="J1345" i="2"/>
  <c r="K1345" i="2"/>
  <c r="L1345" i="2"/>
  <c r="M1345" i="2"/>
  <c r="N1345" i="2"/>
  <c r="O1345" i="2"/>
  <c r="P1345" i="2"/>
  <c r="Q1345" i="2"/>
  <c r="R1345" i="2"/>
  <c r="S1345" i="2"/>
  <c r="T1345" i="2"/>
  <c r="U1345" i="2"/>
  <c r="V1345" i="2"/>
  <c r="W1345" i="2"/>
  <c r="X1345" i="2"/>
  <c r="Y1345" i="2"/>
  <c r="A1346" i="2"/>
  <c r="B1346" i="2"/>
  <c r="C1346" i="2"/>
  <c r="D1346" i="2"/>
  <c r="E1346" i="2"/>
  <c r="F1346" i="2"/>
  <c r="G1346" i="2"/>
  <c r="H1346" i="2"/>
  <c r="I1346" i="2"/>
  <c r="J1346" i="2"/>
  <c r="K1346" i="2"/>
  <c r="L1346" i="2"/>
  <c r="M1346" i="2"/>
  <c r="N1346" i="2"/>
  <c r="O1346" i="2"/>
  <c r="P1346" i="2"/>
  <c r="Q1346" i="2"/>
  <c r="R1346" i="2"/>
  <c r="S1346" i="2"/>
  <c r="T1346" i="2"/>
  <c r="U1346" i="2"/>
  <c r="V1346" i="2"/>
  <c r="W1346" i="2"/>
  <c r="X1346" i="2"/>
  <c r="Y1346" i="2"/>
  <c r="A1347" i="2"/>
  <c r="B1347" i="2"/>
  <c r="C1347" i="2"/>
  <c r="D1347" i="2"/>
  <c r="E1347" i="2"/>
  <c r="F1347" i="2"/>
  <c r="G1347" i="2"/>
  <c r="H1347" i="2"/>
  <c r="I1347" i="2"/>
  <c r="J1347" i="2"/>
  <c r="K1347" i="2"/>
  <c r="L1347" i="2"/>
  <c r="M1347" i="2"/>
  <c r="N1347" i="2"/>
  <c r="O1347" i="2"/>
  <c r="P1347" i="2"/>
  <c r="Q1347" i="2"/>
  <c r="R1347" i="2"/>
  <c r="S1347" i="2"/>
  <c r="T1347" i="2"/>
  <c r="U1347" i="2"/>
  <c r="V1347" i="2"/>
  <c r="W1347" i="2"/>
  <c r="X1347" i="2"/>
  <c r="Y1347" i="2"/>
  <c r="A1348" i="2"/>
  <c r="B1348" i="2"/>
  <c r="C1348" i="2"/>
  <c r="D1348" i="2"/>
  <c r="E1348" i="2"/>
  <c r="F1348" i="2"/>
  <c r="G1348" i="2"/>
  <c r="H1348" i="2"/>
  <c r="I1348" i="2"/>
  <c r="J1348" i="2"/>
  <c r="K1348" i="2"/>
  <c r="L1348" i="2"/>
  <c r="M1348" i="2"/>
  <c r="N1348" i="2"/>
  <c r="O1348" i="2"/>
  <c r="P1348" i="2"/>
  <c r="Q1348" i="2"/>
  <c r="R1348" i="2"/>
  <c r="S1348" i="2"/>
  <c r="T1348" i="2"/>
  <c r="U1348" i="2"/>
  <c r="V1348" i="2"/>
  <c r="W1348" i="2"/>
  <c r="X1348" i="2"/>
  <c r="Y1348" i="2"/>
  <c r="A1349" i="2"/>
  <c r="B1349" i="2"/>
  <c r="C1349" i="2"/>
  <c r="D1349" i="2"/>
  <c r="E1349" i="2"/>
  <c r="F1349" i="2"/>
  <c r="G1349" i="2"/>
  <c r="H1349" i="2"/>
  <c r="I1349" i="2"/>
  <c r="J1349" i="2"/>
  <c r="K1349" i="2"/>
  <c r="L1349" i="2"/>
  <c r="M1349" i="2"/>
  <c r="N1349" i="2"/>
  <c r="O1349" i="2"/>
  <c r="P1349" i="2"/>
  <c r="Q1349" i="2"/>
  <c r="R1349" i="2"/>
  <c r="S1349" i="2"/>
  <c r="T1349" i="2"/>
  <c r="U1349" i="2"/>
  <c r="V1349" i="2"/>
  <c r="W1349" i="2"/>
  <c r="X1349" i="2"/>
  <c r="Y1349" i="2"/>
  <c r="A1350" i="2"/>
  <c r="B1350" i="2"/>
  <c r="C1350" i="2"/>
  <c r="D1350" i="2"/>
  <c r="E1350" i="2"/>
  <c r="F1350" i="2"/>
  <c r="G1350" i="2"/>
  <c r="H1350" i="2"/>
  <c r="I1350" i="2"/>
  <c r="J1350" i="2"/>
  <c r="K1350" i="2"/>
  <c r="L1350" i="2"/>
  <c r="M1350" i="2"/>
  <c r="N1350" i="2"/>
  <c r="O1350" i="2"/>
  <c r="P1350" i="2"/>
  <c r="Q1350" i="2"/>
  <c r="R1350" i="2"/>
  <c r="S1350" i="2"/>
  <c r="T1350" i="2"/>
  <c r="U1350" i="2"/>
  <c r="V1350" i="2"/>
  <c r="W1350" i="2"/>
  <c r="X1350" i="2"/>
  <c r="Y1350" i="2"/>
  <c r="A1351" i="2"/>
  <c r="B1351" i="2"/>
  <c r="C1351" i="2"/>
  <c r="D1351" i="2"/>
  <c r="E1351" i="2"/>
  <c r="F1351" i="2"/>
  <c r="G1351" i="2"/>
  <c r="H1351" i="2"/>
  <c r="I1351" i="2"/>
  <c r="J1351" i="2"/>
  <c r="K1351" i="2"/>
  <c r="L1351" i="2"/>
  <c r="M1351" i="2"/>
  <c r="N1351" i="2"/>
  <c r="O1351" i="2"/>
  <c r="P1351" i="2"/>
  <c r="Q1351" i="2"/>
  <c r="R1351" i="2"/>
  <c r="S1351" i="2"/>
  <c r="T1351" i="2"/>
  <c r="U1351" i="2"/>
  <c r="V1351" i="2"/>
  <c r="W1351" i="2"/>
  <c r="X1351" i="2"/>
  <c r="Y1351" i="2"/>
  <c r="B1352" i="2"/>
  <c r="C1352" i="2"/>
  <c r="D1352" i="2"/>
  <c r="E1352" i="2"/>
  <c r="F1352" i="2"/>
  <c r="G1352" i="2"/>
  <c r="H1352" i="2"/>
  <c r="I1352" i="2"/>
  <c r="J1352" i="2"/>
  <c r="K1352" i="2"/>
  <c r="L1352" i="2"/>
  <c r="M1352" i="2"/>
  <c r="N1352" i="2"/>
  <c r="O1352" i="2"/>
  <c r="P1352" i="2"/>
  <c r="Q1352" i="2"/>
  <c r="R1352" i="2"/>
  <c r="S1352" i="2"/>
  <c r="T1352" i="2"/>
  <c r="U1352" i="2"/>
  <c r="V1352" i="2"/>
  <c r="W1352" i="2"/>
  <c r="X1352" i="2"/>
  <c r="Y1352" i="2"/>
  <c r="A1353" i="2"/>
  <c r="B1353" i="2"/>
  <c r="C1353" i="2"/>
  <c r="D1353" i="2"/>
  <c r="E1353" i="2"/>
  <c r="F1353" i="2"/>
  <c r="G1353" i="2"/>
  <c r="H1353" i="2"/>
  <c r="I1353" i="2"/>
  <c r="J1353" i="2"/>
  <c r="K1353" i="2"/>
  <c r="L1353" i="2"/>
  <c r="M1353" i="2"/>
  <c r="N1353" i="2"/>
  <c r="O1353" i="2"/>
  <c r="P1353" i="2"/>
  <c r="Q1353" i="2"/>
  <c r="R1353" i="2"/>
  <c r="S1353" i="2"/>
  <c r="T1353" i="2"/>
  <c r="U1353" i="2"/>
  <c r="V1353" i="2"/>
  <c r="W1353" i="2"/>
  <c r="X1353" i="2"/>
  <c r="Y1353" i="2"/>
  <c r="A1354" i="2"/>
  <c r="B1354" i="2"/>
  <c r="C1354" i="2"/>
  <c r="D1354" i="2"/>
  <c r="E1354" i="2"/>
  <c r="F1354" i="2"/>
  <c r="G1354" i="2"/>
  <c r="H1354" i="2"/>
  <c r="I1354" i="2"/>
  <c r="J1354" i="2"/>
  <c r="K1354" i="2"/>
  <c r="L1354" i="2"/>
  <c r="M1354" i="2"/>
  <c r="N1354" i="2"/>
  <c r="O1354" i="2"/>
  <c r="P1354" i="2"/>
  <c r="Q1354" i="2"/>
  <c r="R1354" i="2"/>
  <c r="S1354" i="2"/>
  <c r="T1354" i="2"/>
  <c r="U1354" i="2"/>
  <c r="V1354" i="2"/>
  <c r="W1354" i="2"/>
  <c r="X1354" i="2"/>
  <c r="Y1354" i="2"/>
  <c r="A1355" i="2"/>
  <c r="B1355" i="2"/>
  <c r="C1355" i="2"/>
  <c r="D1355" i="2"/>
  <c r="E1355" i="2"/>
  <c r="F1355" i="2"/>
  <c r="G1355" i="2"/>
  <c r="H1355" i="2"/>
  <c r="I1355" i="2"/>
  <c r="J1355" i="2"/>
  <c r="K1355" i="2"/>
  <c r="L1355" i="2"/>
  <c r="M1355" i="2"/>
  <c r="N1355" i="2"/>
  <c r="O1355" i="2"/>
  <c r="P1355" i="2"/>
  <c r="Q1355" i="2"/>
  <c r="R1355" i="2"/>
  <c r="S1355" i="2"/>
  <c r="T1355" i="2"/>
  <c r="U1355" i="2"/>
  <c r="V1355" i="2"/>
  <c r="W1355" i="2"/>
  <c r="X1355" i="2"/>
  <c r="Y1355" i="2"/>
  <c r="B1356" i="2"/>
  <c r="C1356" i="2"/>
  <c r="D1356" i="2"/>
  <c r="E1356" i="2"/>
  <c r="F1356" i="2"/>
  <c r="G1356" i="2"/>
  <c r="H1356" i="2"/>
  <c r="I1356" i="2"/>
  <c r="J1356" i="2"/>
  <c r="K1356" i="2"/>
  <c r="L1356" i="2"/>
  <c r="M1356" i="2"/>
  <c r="N1356" i="2"/>
  <c r="O1356" i="2"/>
  <c r="P1356" i="2"/>
  <c r="Q1356" i="2"/>
  <c r="R1356" i="2"/>
  <c r="S1356" i="2"/>
  <c r="T1356" i="2"/>
  <c r="U1356" i="2"/>
  <c r="V1356" i="2"/>
  <c r="W1356" i="2"/>
  <c r="X1356" i="2"/>
  <c r="Y1356" i="2"/>
  <c r="A1357" i="2"/>
  <c r="B1357" i="2"/>
  <c r="C1357" i="2"/>
  <c r="D1357" i="2"/>
  <c r="E1357" i="2"/>
  <c r="F1357" i="2"/>
  <c r="G1357" i="2"/>
  <c r="H1357" i="2"/>
  <c r="I1357" i="2"/>
  <c r="J1357" i="2"/>
  <c r="K1357" i="2"/>
  <c r="L1357" i="2"/>
  <c r="M1357" i="2"/>
  <c r="N1357" i="2"/>
  <c r="O1357" i="2"/>
  <c r="P1357" i="2"/>
  <c r="Q1357" i="2"/>
  <c r="R1357" i="2"/>
  <c r="S1357" i="2"/>
  <c r="T1357" i="2"/>
  <c r="U1357" i="2"/>
  <c r="V1357" i="2"/>
  <c r="W1357" i="2"/>
  <c r="X1357" i="2"/>
  <c r="Y1357" i="2"/>
  <c r="A1358" i="2"/>
  <c r="B1358" i="2"/>
  <c r="C1358" i="2"/>
  <c r="D1358" i="2"/>
  <c r="E1358" i="2"/>
  <c r="F1358" i="2"/>
  <c r="G1358" i="2"/>
  <c r="H1358" i="2"/>
  <c r="I1358" i="2"/>
  <c r="J1358" i="2"/>
  <c r="K1358" i="2"/>
  <c r="L1358" i="2"/>
  <c r="M1358" i="2"/>
  <c r="N1358" i="2"/>
  <c r="O1358" i="2"/>
  <c r="P1358" i="2"/>
  <c r="Q1358" i="2"/>
  <c r="R1358" i="2"/>
  <c r="S1358" i="2"/>
  <c r="T1358" i="2"/>
  <c r="U1358" i="2"/>
  <c r="V1358" i="2"/>
  <c r="W1358" i="2"/>
  <c r="X1358" i="2"/>
  <c r="Y1358" i="2"/>
  <c r="A1359" i="2"/>
  <c r="B1359" i="2"/>
  <c r="C1359" i="2"/>
  <c r="D1359" i="2"/>
  <c r="E1359" i="2"/>
  <c r="F1359" i="2"/>
  <c r="G1359" i="2"/>
  <c r="H1359" i="2"/>
  <c r="I1359" i="2"/>
  <c r="J1359" i="2"/>
  <c r="K1359" i="2"/>
  <c r="L1359" i="2"/>
  <c r="M1359" i="2"/>
  <c r="N1359" i="2"/>
  <c r="O1359" i="2"/>
  <c r="P1359" i="2"/>
  <c r="Q1359" i="2"/>
  <c r="R1359" i="2"/>
  <c r="S1359" i="2"/>
  <c r="T1359" i="2"/>
  <c r="U1359" i="2"/>
  <c r="V1359" i="2"/>
  <c r="W1359" i="2"/>
  <c r="X1359" i="2"/>
  <c r="Y1359" i="2"/>
  <c r="A1360" i="2"/>
  <c r="B1360" i="2"/>
  <c r="C1360" i="2"/>
  <c r="D1360" i="2"/>
  <c r="E1360" i="2"/>
  <c r="F1360" i="2"/>
  <c r="G1360" i="2"/>
  <c r="H1360" i="2"/>
  <c r="I1360" i="2"/>
  <c r="J1360" i="2"/>
  <c r="K1360" i="2"/>
  <c r="L1360" i="2"/>
  <c r="M1360" i="2"/>
  <c r="N1360" i="2"/>
  <c r="O1360" i="2"/>
  <c r="P1360" i="2"/>
  <c r="Q1360" i="2"/>
  <c r="R1360" i="2"/>
  <c r="S1360" i="2"/>
  <c r="T1360" i="2"/>
  <c r="U1360" i="2"/>
  <c r="V1360" i="2"/>
  <c r="W1360" i="2"/>
  <c r="X1360" i="2"/>
  <c r="Y1360" i="2"/>
  <c r="A1361" i="2"/>
  <c r="B1361" i="2"/>
  <c r="C1361" i="2"/>
  <c r="D1361" i="2"/>
  <c r="E1361" i="2"/>
  <c r="F1361" i="2"/>
  <c r="G1361" i="2"/>
  <c r="H1361" i="2"/>
  <c r="I1361" i="2"/>
  <c r="J1361" i="2"/>
  <c r="K1361" i="2"/>
  <c r="L1361" i="2"/>
  <c r="M1361" i="2"/>
  <c r="N1361" i="2"/>
  <c r="O1361" i="2"/>
  <c r="P1361" i="2"/>
  <c r="Q1361" i="2"/>
  <c r="R1361" i="2"/>
  <c r="S1361" i="2"/>
  <c r="T1361" i="2"/>
  <c r="U1361" i="2"/>
  <c r="V1361" i="2"/>
  <c r="W1361" i="2"/>
  <c r="X1361" i="2"/>
  <c r="Y1361" i="2"/>
  <c r="A1362" i="2"/>
  <c r="B1362" i="2"/>
  <c r="C1362" i="2"/>
  <c r="D1362" i="2"/>
  <c r="E1362" i="2"/>
  <c r="F1362" i="2"/>
  <c r="G1362" i="2"/>
  <c r="H1362" i="2"/>
  <c r="I1362" i="2"/>
  <c r="J1362" i="2"/>
  <c r="K1362" i="2"/>
  <c r="L1362" i="2"/>
  <c r="M1362" i="2"/>
  <c r="N1362" i="2"/>
  <c r="O1362" i="2"/>
  <c r="P1362" i="2"/>
  <c r="Q1362" i="2"/>
  <c r="R1362" i="2"/>
  <c r="S1362" i="2"/>
  <c r="T1362" i="2"/>
  <c r="U1362" i="2"/>
  <c r="V1362" i="2"/>
  <c r="W1362" i="2"/>
  <c r="X1362" i="2"/>
  <c r="Y1362" i="2"/>
  <c r="A1363" i="2"/>
  <c r="B1363" i="2"/>
  <c r="C1363" i="2"/>
  <c r="D1363" i="2"/>
  <c r="E1363" i="2"/>
  <c r="F1363" i="2"/>
  <c r="G1363" i="2"/>
  <c r="H1363" i="2"/>
  <c r="I1363" i="2"/>
  <c r="J1363" i="2"/>
  <c r="K1363" i="2"/>
  <c r="L1363" i="2"/>
  <c r="M1363" i="2"/>
  <c r="N1363" i="2"/>
  <c r="O1363" i="2"/>
  <c r="P1363" i="2"/>
  <c r="Q1363" i="2"/>
  <c r="R1363" i="2"/>
  <c r="S1363" i="2"/>
  <c r="T1363" i="2"/>
  <c r="U1363" i="2"/>
  <c r="V1363" i="2"/>
  <c r="W1363" i="2"/>
  <c r="X1363" i="2"/>
  <c r="Y1363" i="2"/>
  <c r="A1364" i="2"/>
  <c r="B1364" i="2"/>
  <c r="C1364" i="2"/>
  <c r="D1364" i="2"/>
  <c r="E1364" i="2"/>
  <c r="F1364" i="2"/>
  <c r="G1364" i="2"/>
  <c r="H1364" i="2"/>
  <c r="I1364" i="2"/>
  <c r="J1364" i="2"/>
  <c r="K1364" i="2"/>
  <c r="L1364" i="2"/>
  <c r="M1364" i="2"/>
  <c r="N1364" i="2"/>
  <c r="O1364" i="2"/>
  <c r="P1364" i="2"/>
  <c r="Q1364" i="2"/>
  <c r="R1364" i="2"/>
  <c r="S1364" i="2"/>
  <c r="T1364" i="2"/>
  <c r="U1364" i="2"/>
  <c r="V1364" i="2"/>
  <c r="W1364" i="2"/>
  <c r="X1364" i="2"/>
  <c r="Y1364" i="2"/>
  <c r="A1365" i="2"/>
  <c r="B1365" i="2"/>
  <c r="C1365" i="2"/>
  <c r="D1365" i="2"/>
  <c r="E1365" i="2"/>
  <c r="F1365" i="2"/>
  <c r="G1365" i="2"/>
  <c r="H1365" i="2"/>
  <c r="I1365" i="2"/>
  <c r="J1365" i="2"/>
  <c r="K1365" i="2"/>
  <c r="L1365" i="2"/>
  <c r="M1365" i="2"/>
  <c r="N1365" i="2"/>
  <c r="O1365" i="2"/>
  <c r="P1365" i="2"/>
  <c r="Q1365" i="2"/>
  <c r="R1365" i="2"/>
  <c r="S1365" i="2"/>
  <c r="T1365" i="2"/>
  <c r="U1365" i="2"/>
  <c r="V1365" i="2"/>
  <c r="W1365" i="2"/>
  <c r="X1365" i="2"/>
  <c r="Y1365" i="2"/>
  <c r="A1366" i="2"/>
  <c r="B1366" i="2"/>
  <c r="C1366" i="2"/>
  <c r="D1366" i="2"/>
  <c r="E1366" i="2"/>
  <c r="F1366" i="2"/>
  <c r="G1366" i="2"/>
  <c r="H1366" i="2"/>
  <c r="I1366" i="2"/>
  <c r="J1366" i="2"/>
  <c r="K1366" i="2"/>
  <c r="L1366" i="2"/>
  <c r="M1366" i="2"/>
  <c r="N1366" i="2"/>
  <c r="O1366" i="2"/>
  <c r="P1366" i="2"/>
  <c r="Q1366" i="2"/>
  <c r="R1366" i="2"/>
  <c r="S1366" i="2"/>
  <c r="T1366" i="2"/>
  <c r="U1366" i="2"/>
  <c r="V1366" i="2"/>
  <c r="W1366" i="2"/>
  <c r="X1366" i="2"/>
  <c r="Y1366" i="2"/>
  <c r="A1367" i="2"/>
  <c r="B1367" i="2"/>
  <c r="C1367" i="2"/>
  <c r="D1367" i="2"/>
  <c r="E1367" i="2"/>
  <c r="F1367" i="2"/>
  <c r="G1367" i="2"/>
  <c r="H1367" i="2"/>
  <c r="I1367" i="2"/>
  <c r="J1367" i="2"/>
  <c r="K1367" i="2"/>
  <c r="L1367" i="2"/>
  <c r="M1367" i="2"/>
  <c r="N1367" i="2"/>
  <c r="O1367" i="2"/>
  <c r="P1367" i="2"/>
  <c r="Q1367" i="2"/>
  <c r="R1367" i="2"/>
  <c r="S1367" i="2"/>
  <c r="T1367" i="2"/>
  <c r="U1367" i="2"/>
  <c r="V1367" i="2"/>
  <c r="W1367" i="2"/>
  <c r="X1367" i="2"/>
  <c r="Y1367" i="2"/>
  <c r="B1368" i="2"/>
  <c r="C1368" i="2"/>
  <c r="D1368" i="2"/>
  <c r="E1368" i="2"/>
  <c r="F1368" i="2"/>
  <c r="G1368" i="2"/>
  <c r="H1368" i="2"/>
  <c r="I1368" i="2"/>
  <c r="J1368" i="2"/>
  <c r="K1368" i="2"/>
  <c r="L1368" i="2"/>
  <c r="M1368" i="2"/>
  <c r="N1368" i="2"/>
  <c r="O1368" i="2"/>
  <c r="P1368" i="2"/>
  <c r="Q1368" i="2"/>
  <c r="R1368" i="2"/>
  <c r="S1368" i="2"/>
  <c r="T1368" i="2"/>
  <c r="U1368" i="2"/>
  <c r="V1368" i="2"/>
  <c r="W1368" i="2"/>
  <c r="X1368" i="2"/>
  <c r="Y1368" i="2"/>
  <c r="A1369" i="2"/>
  <c r="B1369" i="2"/>
  <c r="C1369" i="2"/>
  <c r="D1369" i="2"/>
  <c r="E1369" i="2"/>
  <c r="F1369" i="2"/>
  <c r="G1369" i="2"/>
  <c r="H1369" i="2"/>
  <c r="I1369" i="2"/>
  <c r="J1369" i="2"/>
  <c r="K1369" i="2"/>
  <c r="L1369" i="2"/>
  <c r="M1369" i="2"/>
  <c r="N1369" i="2"/>
  <c r="O1369" i="2"/>
  <c r="P1369" i="2"/>
  <c r="Q1369" i="2"/>
  <c r="R1369" i="2"/>
  <c r="S1369" i="2"/>
  <c r="T1369" i="2"/>
  <c r="U1369" i="2"/>
  <c r="V1369" i="2"/>
  <c r="W1369" i="2"/>
  <c r="X1369" i="2"/>
  <c r="Y1369" i="2"/>
  <c r="A1370" i="2"/>
  <c r="B1370" i="2"/>
  <c r="C1370" i="2"/>
  <c r="D1370" i="2"/>
  <c r="E1370" i="2"/>
  <c r="F1370" i="2"/>
  <c r="G1370" i="2"/>
  <c r="H1370" i="2"/>
  <c r="I1370" i="2"/>
  <c r="J1370" i="2"/>
  <c r="K1370" i="2"/>
  <c r="L1370" i="2"/>
  <c r="M1370" i="2"/>
  <c r="N1370" i="2"/>
  <c r="O1370" i="2"/>
  <c r="P1370" i="2"/>
  <c r="Q1370" i="2"/>
  <c r="R1370" i="2"/>
  <c r="S1370" i="2"/>
  <c r="T1370" i="2"/>
  <c r="U1370" i="2"/>
  <c r="V1370" i="2"/>
  <c r="W1370" i="2"/>
  <c r="X1370" i="2"/>
  <c r="Y1370" i="2"/>
  <c r="A1371" i="2"/>
  <c r="B1371" i="2"/>
  <c r="C1371" i="2"/>
  <c r="D1371" i="2"/>
  <c r="E1371" i="2"/>
  <c r="F1371" i="2"/>
  <c r="G1371" i="2"/>
  <c r="H1371" i="2"/>
  <c r="I1371" i="2"/>
  <c r="J1371" i="2"/>
  <c r="K1371" i="2"/>
  <c r="L1371" i="2"/>
  <c r="M1371" i="2"/>
  <c r="N1371" i="2"/>
  <c r="O1371" i="2"/>
  <c r="P1371" i="2"/>
  <c r="Q1371" i="2"/>
  <c r="R1371" i="2"/>
  <c r="S1371" i="2"/>
  <c r="T1371" i="2"/>
  <c r="U1371" i="2"/>
  <c r="V1371" i="2"/>
  <c r="W1371" i="2"/>
  <c r="X1371" i="2"/>
  <c r="Y1371" i="2"/>
  <c r="B1372" i="2"/>
  <c r="C1372" i="2"/>
  <c r="D1372" i="2"/>
  <c r="E1372" i="2"/>
  <c r="F1372" i="2"/>
  <c r="G1372" i="2"/>
  <c r="H1372" i="2"/>
  <c r="I1372" i="2"/>
  <c r="J1372" i="2"/>
  <c r="K1372" i="2"/>
  <c r="L1372" i="2"/>
  <c r="M1372" i="2"/>
  <c r="N1372" i="2"/>
  <c r="O1372" i="2"/>
  <c r="P1372" i="2"/>
  <c r="Q1372" i="2"/>
  <c r="R1372" i="2"/>
  <c r="S1372" i="2"/>
  <c r="T1372" i="2"/>
  <c r="U1372" i="2"/>
  <c r="V1372" i="2"/>
  <c r="W1372" i="2"/>
  <c r="X1372" i="2"/>
  <c r="Y1372" i="2"/>
  <c r="A1373" i="2"/>
  <c r="B1373" i="2"/>
  <c r="C1373" i="2"/>
  <c r="D1373" i="2"/>
  <c r="E1373" i="2"/>
  <c r="F1373" i="2"/>
  <c r="G1373" i="2"/>
  <c r="H1373" i="2"/>
  <c r="I1373" i="2"/>
  <c r="J1373" i="2"/>
  <c r="K1373" i="2"/>
  <c r="L1373" i="2"/>
  <c r="M1373" i="2"/>
  <c r="N1373" i="2"/>
  <c r="O1373" i="2"/>
  <c r="P1373" i="2"/>
  <c r="Q1373" i="2"/>
  <c r="R1373" i="2"/>
  <c r="S1373" i="2"/>
  <c r="T1373" i="2"/>
  <c r="U1373" i="2"/>
  <c r="V1373" i="2"/>
  <c r="W1373" i="2"/>
  <c r="X1373" i="2"/>
  <c r="Y1373" i="2"/>
  <c r="A1374" i="2"/>
  <c r="B1374" i="2"/>
  <c r="C1374" i="2"/>
  <c r="D1374" i="2"/>
  <c r="E1374" i="2"/>
  <c r="F1374" i="2"/>
  <c r="G1374" i="2"/>
  <c r="H1374" i="2"/>
  <c r="I1374" i="2"/>
  <c r="J1374" i="2"/>
  <c r="K1374" i="2"/>
  <c r="L1374" i="2"/>
  <c r="M1374" i="2"/>
  <c r="N1374" i="2"/>
  <c r="O1374" i="2"/>
  <c r="P1374" i="2"/>
  <c r="Q1374" i="2"/>
  <c r="R1374" i="2"/>
  <c r="S1374" i="2"/>
  <c r="T1374" i="2"/>
  <c r="U1374" i="2"/>
  <c r="V1374" i="2"/>
  <c r="W1374" i="2"/>
  <c r="X1374" i="2"/>
  <c r="Y1374" i="2"/>
  <c r="A1375" i="2"/>
  <c r="B1375" i="2"/>
  <c r="C1375" i="2"/>
  <c r="D1375" i="2"/>
  <c r="E1375" i="2"/>
  <c r="F1375" i="2"/>
  <c r="G1375" i="2"/>
  <c r="H1375" i="2"/>
  <c r="I1375" i="2"/>
  <c r="J1375" i="2"/>
  <c r="K1375" i="2"/>
  <c r="L1375" i="2"/>
  <c r="M1375" i="2"/>
  <c r="N1375" i="2"/>
  <c r="O1375" i="2"/>
  <c r="P1375" i="2"/>
  <c r="Q1375" i="2"/>
  <c r="R1375" i="2"/>
  <c r="S1375" i="2"/>
  <c r="T1375" i="2"/>
  <c r="U1375" i="2"/>
  <c r="V1375" i="2"/>
  <c r="W1375" i="2"/>
  <c r="X1375" i="2"/>
  <c r="Y1375" i="2"/>
  <c r="A1376" i="2"/>
  <c r="B1376" i="2"/>
  <c r="C1376" i="2"/>
  <c r="D1376" i="2"/>
  <c r="E1376" i="2"/>
  <c r="F1376" i="2"/>
  <c r="G1376" i="2"/>
  <c r="H1376" i="2"/>
  <c r="I1376" i="2"/>
  <c r="J1376" i="2"/>
  <c r="K1376" i="2"/>
  <c r="L1376" i="2"/>
  <c r="M1376" i="2"/>
  <c r="N1376" i="2"/>
  <c r="O1376" i="2"/>
  <c r="P1376" i="2"/>
  <c r="Q1376" i="2"/>
  <c r="R1376" i="2"/>
  <c r="S1376" i="2"/>
  <c r="T1376" i="2"/>
  <c r="U1376" i="2"/>
  <c r="V1376" i="2"/>
  <c r="W1376" i="2"/>
  <c r="X1376" i="2"/>
  <c r="Y1376" i="2"/>
  <c r="A1377" i="2"/>
  <c r="B1377" i="2"/>
  <c r="C1377" i="2"/>
  <c r="D1377" i="2"/>
  <c r="E1377" i="2"/>
  <c r="F1377" i="2"/>
  <c r="G1377" i="2"/>
  <c r="H1377" i="2"/>
  <c r="I1377" i="2"/>
  <c r="J1377" i="2"/>
  <c r="K1377" i="2"/>
  <c r="L1377" i="2"/>
  <c r="M1377" i="2"/>
  <c r="N1377" i="2"/>
  <c r="O1377" i="2"/>
  <c r="P1377" i="2"/>
  <c r="Q1377" i="2"/>
  <c r="R1377" i="2"/>
  <c r="S1377" i="2"/>
  <c r="T1377" i="2"/>
  <c r="U1377" i="2"/>
  <c r="V1377" i="2"/>
  <c r="W1377" i="2"/>
  <c r="X1377" i="2"/>
  <c r="Y1377" i="2"/>
  <c r="A1378" i="2"/>
  <c r="B1378" i="2"/>
  <c r="C1378" i="2"/>
  <c r="D1378" i="2"/>
  <c r="E1378" i="2"/>
  <c r="F1378" i="2"/>
  <c r="G1378" i="2"/>
  <c r="H1378" i="2"/>
  <c r="I1378" i="2"/>
  <c r="J1378" i="2"/>
  <c r="K1378" i="2"/>
  <c r="L1378" i="2"/>
  <c r="M1378" i="2"/>
  <c r="N1378" i="2"/>
  <c r="O1378" i="2"/>
  <c r="P1378" i="2"/>
  <c r="Q1378" i="2"/>
  <c r="R1378" i="2"/>
  <c r="S1378" i="2"/>
  <c r="T1378" i="2"/>
  <c r="U1378" i="2"/>
  <c r="V1378" i="2"/>
  <c r="W1378" i="2"/>
  <c r="X1378" i="2"/>
  <c r="Y1378" i="2"/>
  <c r="A1379" i="2"/>
  <c r="B1379" i="2"/>
  <c r="C1379" i="2"/>
  <c r="D1379" i="2"/>
  <c r="E1379" i="2"/>
  <c r="F1379" i="2"/>
  <c r="G1379" i="2"/>
  <c r="H1379" i="2"/>
  <c r="I1379" i="2"/>
  <c r="J1379" i="2"/>
  <c r="K1379" i="2"/>
  <c r="L1379" i="2"/>
  <c r="M1379" i="2"/>
  <c r="N1379" i="2"/>
  <c r="O1379" i="2"/>
  <c r="P1379" i="2"/>
  <c r="Q1379" i="2"/>
  <c r="R1379" i="2"/>
  <c r="S1379" i="2"/>
  <c r="T1379" i="2"/>
  <c r="U1379" i="2"/>
  <c r="V1379" i="2"/>
  <c r="W1379" i="2"/>
  <c r="X1379" i="2"/>
  <c r="Y1379" i="2"/>
  <c r="A1380" i="2"/>
  <c r="B1380" i="2"/>
  <c r="C1380" i="2"/>
  <c r="D1380" i="2"/>
  <c r="E1380" i="2"/>
  <c r="F1380" i="2"/>
  <c r="G1380" i="2"/>
  <c r="H1380" i="2"/>
  <c r="I1380" i="2"/>
  <c r="J1380" i="2"/>
  <c r="K1380" i="2"/>
  <c r="L1380" i="2"/>
  <c r="M1380" i="2"/>
  <c r="N1380" i="2"/>
  <c r="O1380" i="2"/>
  <c r="P1380" i="2"/>
  <c r="Q1380" i="2"/>
  <c r="R1380" i="2"/>
  <c r="S1380" i="2"/>
  <c r="T1380" i="2"/>
  <c r="U1380" i="2"/>
  <c r="V1380" i="2"/>
  <c r="W1380" i="2"/>
  <c r="X1380" i="2"/>
  <c r="Y1380" i="2"/>
  <c r="A1381" i="2"/>
  <c r="B1381" i="2"/>
  <c r="C1381" i="2"/>
  <c r="D1381" i="2"/>
  <c r="E1381" i="2"/>
  <c r="F1381" i="2"/>
  <c r="G1381" i="2"/>
  <c r="H1381" i="2"/>
  <c r="I1381" i="2"/>
  <c r="J1381" i="2"/>
  <c r="K1381" i="2"/>
  <c r="L1381" i="2"/>
  <c r="M1381" i="2"/>
  <c r="N1381" i="2"/>
  <c r="O1381" i="2"/>
  <c r="P1381" i="2"/>
  <c r="Q1381" i="2"/>
  <c r="R1381" i="2"/>
  <c r="S1381" i="2"/>
  <c r="T1381" i="2"/>
  <c r="U1381" i="2"/>
  <c r="V1381" i="2"/>
  <c r="W1381" i="2"/>
  <c r="X1381" i="2"/>
  <c r="Y1381" i="2"/>
  <c r="A1382" i="2"/>
  <c r="B1382" i="2"/>
  <c r="C1382" i="2"/>
  <c r="D1382" i="2"/>
  <c r="E1382" i="2"/>
  <c r="F1382" i="2"/>
  <c r="G1382" i="2"/>
  <c r="H1382" i="2"/>
  <c r="I1382" i="2"/>
  <c r="J1382" i="2"/>
  <c r="K1382" i="2"/>
  <c r="L1382" i="2"/>
  <c r="M1382" i="2"/>
  <c r="N1382" i="2"/>
  <c r="O1382" i="2"/>
  <c r="P1382" i="2"/>
  <c r="Q1382" i="2"/>
  <c r="R1382" i="2"/>
  <c r="S1382" i="2"/>
  <c r="T1382" i="2"/>
  <c r="U1382" i="2"/>
  <c r="V1382" i="2"/>
  <c r="W1382" i="2"/>
  <c r="X1382" i="2"/>
  <c r="Y1382" i="2"/>
  <c r="A1383" i="2"/>
  <c r="B1383" i="2"/>
  <c r="C1383" i="2"/>
  <c r="D1383" i="2"/>
  <c r="E1383" i="2"/>
  <c r="F1383" i="2"/>
  <c r="G1383" i="2"/>
  <c r="H1383" i="2"/>
  <c r="I1383" i="2"/>
  <c r="J1383" i="2"/>
  <c r="K1383" i="2"/>
  <c r="L1383" i="2"/>
  <c r="M1383" i="2"/>
  <c r="N1383" i="2"/>
  <c r="O1383" i="2"/>
  <c r="P1383" i="2"/>
  <c r="Q1383" i="2"/>
  <c r="R1383" i="2"/>
  <c r="S1383" i="2"/>
  <c r="T1383" i="2"/>
  <c r="U1383" i="2"/>
  <c r="V1383" i="2"/>
  <c r="W1383" i="2"/>
  <c r="X1383" i="2"/>
  <c r="Y1383" i="2"/>
  <c r="B1384" i="2"/>
  <c r="C1384" i="2"/>
  <c r="D1384" i="2"/>
  <c r="E1384" i="2"/>
  <c r="F1384" i="2"/>
  <c r="G1384" i="2"/>
  <c r="H1384" i="2"/>
  <c r="I1384" i="2"/>
  <c r="J1384" i="2"/>
  <c r="K1384" i="2"/>
  <c r="L1384" i="2"/>
  <c r="M1384" i="2"/>
  <c r="N1384" i="2"/>
  <c r="O1384" i="2"/>
  <c r="P1384" i="2"/>
  <c r="Q1384" i="2"/>
  <c r="R1384" i="2"/>
  <c r="S1384" i="2"/>
  <c r="T1384" i="2"/>
  <c r="U1384" i="2"/>
  <c r="V1384" i="2"/>
  <c r="W1384" i="2"/>
  <c r="X1384" i="2"/>
  <c r="Y1384" i="2"/>
  <c r="A1385" i="2"/>
  <c r="B1385" i="2"/>
  <c r="C1385" i="2"/>
  <c r="D1385" i="2"/>
  <c r="E1385" i="2"/>
  <c r="F1385" i="2"/>
  <c r="G1385" i="2"/>
  <c r="H1385" i="2"/>
  <c r="I1385" i="2"/>
  <c r="J1385" i="2"/>
  <c r="K1385" i="2"/>
  <c r="L1385" i="2"/>
  <c r="M1385" i="2"/>
  <c r="N1385" i="2"/>
  <c r="O1385" i="2"/>
  <c r="P1385" i="2"/>
  <c r="Q1385" i="2"/>
  <c r="R1385" i="2"/>
  <c r="S1385" i="2"/>
  <c r="T1385" i="2"/>
  <c r="U1385" i="2"/>
  <c r="V1385" i="2"/>
  <c r="W1385" i="2"/>
  <c r="X1385" i="2"/>
  <c r="Y1385" i="2"/>
  <c r="A1386" i="2"/>
  <c r="B1386" i="2"/>
  <c r="C1386" i="2"/>
  <c r="D1386" i="2"/>
  <c r="E1386" i="2"/>
  <c r="F1386" i="2"/>
  <c r="G1386" i="2"/>
  <c r="H1386" i="2"/>
  <c r="I1386" i="2"/>
  <c r="J1386" i="2"/>
  <c r="K1386" i="2"/>
  <c r="L1386" i="2"/>
  <c r="M1386" i="2"/>
  <c r="N1386" i="2"/>
  <c r="O1386" i="2"/>
  <c r="P1386" i="2"/>
  <c r="Q1386" i="2"/>
  <c r="R1386" i="2"/>
  <c r="S1386" i="2"/>
  <c r="T1386" i="2"/>
  <c r="U1386" i="2"/>
  <c r="V1386" i="2"/>
  <c r="W1386" i="2"/>
  <c r="X1386" i="2"/>
  <c r="Y1386" i="2"/>
  <c r="A1387" i="2"/>
  <c r="B1387" i="2"/>
  <c r="C1387" i="2"/>
  <c r="D1387" i="2"/>
  <c r="E1387" i="2"/>
  <c r="F1387" i="2"/>
  <c r="G1387" i="2"/>
  <c r="H1387" i="2"/>
  <c r="I1387" i="2"/>
  <c r="J1387" i="2"/>
  <c r="K1387" i="2"/>
  <c r="L1387" i="2"/>
  <c r="M1387" i="2"/>
  <c r="N1387" i="2"/>
  <c r="O1387" i="2"/>
  <c r="P1387" i="2"/>
  <c r="Q1387" i="2"/>
  <c r="R1387" i="2"/>
  <c r="S1387" i="2"/>
  <c r="T1387" i="2"/>
  <c r="U1387" i="2"/>
  <c r="V1387" i="2"/>
  <c r="W1387" i="2"/>
  <c r="X1387" i="2"/>
  <c r="Y1387" i="2"/>
  <c r="B1388" i="2"/>
  <c r="C1388" i="2"/>
  <c r="D1388" i="2"/>
  <c r="E1388" i="2"/>
  <c r="F1388" i="2"/>
  <c r="G1388" i="2"/>
  <c r="H1388" i="2"/>
  <c r="I1388" i="2"/>
  <c r="J1388" i="2"/>
  <c r="K1388" i="2"/>
  <c r="L1388" i="2"/>
  <c r="M1388" i="2"/>
  <c r="N1388" i="2"/>
  <c r="O1388" i="2"/>
  <c r="P1388" i="2"/>
  <c r="Q1388" i="2"/>
  <c r="R1388" i="2"/>
  <c r="S1388" i="2"/>
  <c r="T1388" i="2"/>
  <c r="U1388" i="2"/>
  <c r="V1388" i="2"/>
  <c r="W1388" i="2"/>
  <c r="X1388" i="2"/>
  <c r="Y1388" i="2"/>
  <c r="A1389" i="2"/>
  <c r="B1389" i="2"/>
  <c r="C1389" i="2"/>
  <c r="D1389" i="2"/>
  <c r="E1389" i="2"/>
  <c r="F1389" i="2"/>
  <c r="G1389" i="2"/>
  <c r="H1389" i="2"/>
  <c r="I1389" i="2"/>
  <c r="J1389" i="2"/>
  <c r="K1389" i="2"/>
  <c r="L1389" i="2"/>
  <c r="M1389" i="2"/>
  <c r="N1389" i="2"/>
  <c r="O1389" i="2"/>
  <c r="P1389" i="2"/>
  <c r="Q1389" i="2"/>
  <c r="R1389" i="2"/>
  <c r="S1389" i="2"/>
  <c r="T1389" i="2"/>
  <c r="U1389" i="2"/>
  <c r="V1389" i="2"/>
  <c r="W1389" i="2"/>
  <c r="X1389" i="2"/>
  <c r="Y1389" i="2"/>
  <c r="A1390" i="2"/>
  <c r="B1390" i="2"/>
  <c r="C1390" i="2"/>
  <c r="D1390" i="2"/>
  <c r="E1390" i="2"/>
  <c r="F1390" i="2"/>
  <c r="G1390" i="2"/>
  <c r="H1390" i="2"/>
  <c r="I1390" i="2"/>
  <c r="J1390" i="2"/>
  <c r="K1390" i="2"/>
  <c r="L1390" i="2"/>
  <c r="M1390" i="2"/>
  <c r="N1390" i="2"/>
  <c r="O1390" i="2"/>
  <c r="P1390" i="2"/>
  <c r="Q1390" i="2"/>
  <c r="R1390" i="2"/>
  <c r="S1390" i="2"/>
  <c r="T1390" i="2"/>
  <c r="U1390" i="2"/>
  <c r="V1390" i="2"/>
  <c r="W1390" i="2"/>
  <c r="X1390" i="2"/>
  <c r="Y1390" i="2"/>
  <c r="A1391" i="2"/>
  <c r="B1391" i="2"/>
  <c r="C1391" i="2"/>
  <c r="D1391" i="2"/>
  <c r="E1391" i="2"/>
  <c r="F1391" i="2"/>
  <c r="G1391" i="2"/>
  <c r="H1391" i="2"/>
  <c r="I1391" i="2"/>
  <c r="J1391" i="2"/>
  <c r="K1391" i="2"/>
  <c r="L1391" i="2"/>
  <c r="M1391" i="2"/>
  <c r="N1391" i="2"/>
  <c r="O1391" i="2"/>
  <c r="P1391" i="2"/>
  <c r="Q1391" i="2"/>
  <c r="R1391" i="2"/>
  <c r="S1391" i="2"/>
  <c r="T1391" i="2"/>
  <c r="U1391" i="2"/>
  <c r="V1391" i="2"/>
  <c r="W1391" i="2"/>
  <c r="X1391" i="2"/>
  <c r="Y1391" i="2"/>
  <c r="A1392" i="2"/>
  <c r="B1392" i="2"/>
  <c r="C1392" i="2"/>
  <c r="D1392" i="2"/>
  <c r="E1392" i="2"/>
  <c r="F1392" i="2"/>
  <c r="G1392" i="2"/>
  <c r="H1392" i="2"/>
  <c r="I1392" i="2"/>
  <c r="J1392" i="2"/>
  <c r="K1392" i="2"/>
  <c r="L1392" i="2"/>
  <c r="M1392" i="2"/>
  <c r="N1392" i="2"/>
  <c r="O1392" i="2"/>
  <c r="P1392" i="2"/>
  <c r="Q1392" i="2"/>
  <c r="R1392" i="2"/>
  <c r="S1392" i="2"/>
  <c r="T1392" i="2"/>
  <c r="U1392" i="2"/>
  <c r="V1392" i="2"/>
  <c r="W1392" i="2"/>
  <c r="X1392" i="2"/>
  <c r="Y1392" i="2"/>
  <c r="A1393" i="2"/>
  <c r="B1393" i="2"/>
  <c r="C1393" i="2"/>
  <c r="D1393" i="2"/>
  <c r="E1393" i="2"/>
  <c r="F1393" i="2"/>
  <c r="G1393" i="2"/>
  <c r="H1393" i="2"/>
  <c r="I1393" i="2"/>
  <c r="J1393" i="2"/>
  <c r="K1393" i="2"/>
  <c r="L1393" i="2"/>
  <c r="M1393" i="2"/>
  <c r="N1393" i="2"/>
  <c r="O1393" i="2"/>
  <c r="P1393" i="2"/>
  <c r="Q1393" i="2"/>
  <c r="R1393" i="2"/>
  <c r="S1393" i="2"/>
  <c r="T1393" i="2"/>
  <c r="U1393" i="2"/>
  <c r="V1393" i="2"/>
  <c r="W1393" i="2"/>
  <c r="X1393" i="2"/>
  <c r="Y1393" i="2"/>
  <c r="A1394" i="2"/>
  <c r="B1394" i="2"/>
  <c r="C1394" i="2"/>
  <c r="D1394" i="2"/>
  <c r="E1394" i="2"/>
  <c r="F1394" i="2"/>
  <c r="G1394" i="2"/>
  <c r="H1394" i="2"/>
  <c r="I1394" i="2"/>
  <c r="J1394" i="2"/>
  <c r="K1394" i="2"/>
  <c r="L1394" i="2"/>
  <c r="M1394" i="2"/>
  <c r="N1394" i="2"/>
  <c r="O1394" i="2"/>
  <c r="P1394" i="2"/>
  <c r="Q1394" i="2"/>
  <c r="R1394" i="2"/>
  <c r="S1394" i="2"/>
  <c r="T1394" i="2"/>
  <c r="U1394" i="2"/>
  <c r="V1394" i="2"/>
  <c r="W1394" i="2"/>
  <c r="X1394" i="2"/>
  <c r="Y1394" i="2"/>
  <c r="A1395" i="2"/>
  <c r="B1395" i="2"/>
  <c r="C1395" i="2"/>
  <c r="D1395" i="2"/>
  <c r="E1395" i="2"/>
  <c r="F1395" i="2"/>
  <c r="G1395" i="2"/>
  <c r="H1395" i="2"/>
  <c r="I1395" i="2"/>
  <c r="J1395" i="2"/>
  <c r="K1395" i="2"/>
  <c r="L1395" i="2"/>
  <c r="M1395" i="2"/>
  <c r="N1395" i="2"/>
  <c r="O1395" i="2"/>
  <c r="P1395" i="2"/>
  <c r="Q1395" i="2"/>
  <c r="R1395" i="2"/>
  <c r="S1395" i="2"/>
  <c r="T1395" i="2"/>
  <c r="U1395" i="2"/>
  <c r="V1395" i="2"/>
  <c r="W1395" i="2"/>
  <c r="X1395" i="2"/>
  <c r="Y1395" i="2"/>
  <c r="A1396" i="2"/>
  <c r="B1396" i="2"/>
  <c r="C1396" i="2"/>
  <c r="D1396" i="2"/>
  <c r="E1396" i="2"/>
  <c r="F1396" i="2"/>
  <c r="G1396" i="2"/>
  <c r="H1396" i="2"/>
  <c r="I1396" i="2"/>
  <c r="J1396" i="2"/>
  <c r="K1396" i="2"/>
  <c r="L1396" i="2"/>
  <c r="M1396" i="2"/>
  <c r="N1396" i="2"/>
  <c r="O1396" i="2"/>
  <c r="P1396" i="2"/>
  <c r="Q1396" i="2"/>
  <c r="R1396" i="2"/>
  <c r="S1396" i="2"/>
  <c r="T1396" i="2"/>
  <c r="U1396" i="2"/>
  <c r="V1396" i="2"/>
  <c r="W1396" i="2"/>
  <c r="X1396" i="2"/>
  <c r="Y1396" i="2"/>
  <c r="A1397" i="2"/>
  <c r="B1397" i="2"/>
  <c r="C1397" i="2"/>
  <c r="D1397" i="2"/>
  <c r="E1397" i="2"/>
  <c r="F1397" i="2"/>
  <c r="G1397" i="2"/>
  <c r="H1397" i="2"/>
  <c r="I1397" i="2"/>
  <c r="J1397" i="2"/>
  <c r="K1397" i="2"/>
  <c r="L1397" i="2"/>
  <c r="M1397" i="2"/>
  <c r="N1397" i="2"/>
  <c r="O1397" i="2"/>
  <c r="P1397" i="2"/>
  <c r="Q1397" i="2"/>
  <c r="R1397" i="2"/>
  <c r="S1397" i="2"/>
  <c r="T1397" i="2"/>
  <c r="U1397" i="2"/>
  <c r="V1397" i="2"/>
  <c r="W1397" i="2"/>
  <c r="X1397" i="2"/>
  <c r="Y1397" i="2"/>
  <c r="A1398" i="2"/>
  <c r="B1398" i="2"/>
  <c r="C1398" i="2"/>
  <c r="D1398" i="2"/>
  <c r="E1398" i="2"/>
  <c r="F1398" i="2"/>
  <c r="G1398" i="2"/>
  <c r="H1398" i="2"/>
  <c r="I1398" i="2"/>
  <c r="J1398" i="2"/>
  <c r="K1398" i="2"/>
  <c r="L1398" i="2"/>
  <c r="M1398" i="2"/>
  <c r="N1398" i="2"/>
  <c r="O1398" i="2"/>
  <c r="P1398" i="2"/>
  <c r="Q1398" i="2"/>
  <c r="R1398" i="2"/>
  <c r="S1398" i="2"/>
  <c r="T1398" i="2"/>
  <c r="U1398" i="2"/>
  <c r="V1398" i="2"/>
  <c r="W1398" i="2"/>
  <c r="X1398" i="2"/>
  <c r="Y1398" i="2"/>
  <c r="A1399" i="2"/>
  <c r="B1399" i="2"/>
  <c r="C1399" i="2"/>
  <c r="D1399" i="2"/>
  <c r="E1399" i="2"/>
  <c r="F1399" i="2"/>
  <c r="G1399" i="2"/>
  <c r="H1399" i="2"/>
  <c r="I1399" i="2"/>
  <c r="J1399" i="2"/>
  <c r="K1399" i="2"/>
  <c r="L1399" i="2"/>
  <c r="M1399" i="2"/>
  <c r="N1399" i="2"/>
  <c r="O1399" i="2"/>
  <c r="P1399" i="2"/>
  <c r="Q1399" i="2"/>
  <c r="R1399" i="2"/>
  <c r="S1399" i="2"/>
  <c r="T1399" i="2"/>
  <c r="U1399" i="2"/>
  <c r="V1399" i="2"/>
  <c r="W1399" i="2"/>
  <c r="X1399" i="2"/>
  <c r="Y1399" i="2"/>
  <c r="B1400" i="2"/>
  <c r="C1400" i="2"/>
  <c r="D1400" i="2"/>
  <c r="E1400" i="2"/>
  <c r="F1400" i="2"/>
  <c r="G1400" i="2"/>
  <c r="H1400" i="2"/>
  <c r="I1400" i="2"/>
  <c r="J1400" i="2"/>
  <c r="K1400" i="2"/>
  <c r="L1400" i="2"/>
  <c r="M1400" i="2"/>
  <c r="N1400" i="2"/>
  <c r="O1400" i="2"/>
  <c r="P1400" i="2"/>
  <c r="Q1400" i="2"/>
  <c r="R1400" i="2"/>
  <c r="S1400" i="2"/>
  <c r="T1400" i="2"/>
  <c r="U1400" i="2"/>
  <c r="V1400" i="2"/>
  <c r="W1400" i="2"/>
  <c r="X1400" i="2"/>
  <c r="Y1400" i="2"/>
  <c r="A1401" i="2"/>
  <c r="B1401" i="2"/>
  <c r="C1401" i="2"/>
  <c r="D1401" i="2"/>
  <c r="E1401" i="2"/>
  <c r="F1401" i="2"/>
  <c r="G1401" i="2"/>
  <c r="H1401" i="2"/>
  <c r="I1401" i="2"/>
  <c r="J1401" i="2"/>
  <c r="K1401" i="2"/>
  <c r="L1401" i="2"/>
  <c r="M1401" i="2"/>
  <c r="N1401" i="2"/>
  <c r="O1401" i="2"/>
  <c r="P1401" i="2"/>
  <c r="Q1401" i="2"/>
  <c r="R1401" i="2"/>
  <c r="S1401" i="2"/>
  <c r="T1401" i="2"/>
  <c r="U1401" i="2"/>
  <c r="V1401" i="2"/>
  <c r="W1401" i="2"/>
  <c r="X1401" i="2"/>
  <c r="Y1401" i="2"/>
  <c r="A1402" i="2"/>
  <c r="B1402" i="2"/>
  <c r="C1402" i="2"/>
  <c r="D1402" i="2"/>
  <c r="E1402" i="2"/>
  <c r="F1402" i="2"/>
  <c r="G1402" i="2"/>
  <c r="H1402" i="2"/>
  <c r="I1402" i="2"/>
  <c r="J1402" i="2"/>
  <c r="K1402" i="2"/>
  <c r="L1402" i="2"/>
  <c r="M1402" i="2"/>
  <c r="N1402" i="2"/>
  <c r="O1402" i="2"/>
  <c r="P1402" i="2"/>
  <c r="Q1402" i="2"/>
  <c r="R1402" i="2"/>
  <c r="S1402" i="2"/>
  <c r="T1402" i="2"/>
  <c r="U1402" i="2"/>
  <c r="V1402" i="2"/>
  <c r="W1402" i="2"/>
  <c r="X1402" i="2"/>
  <c r="Y1402" i="2"/>
  <c r="A1403" i="2"/>
  <c r="B1403" i="2"/>
  <c r="C1403" i="2"/>
  <c r="D1403" i="2"/>
  <c r="E1403" i="2"/>
  <c r="F1403" i="2"/>
  <c r="G1403" i="2"/>
  <c r="H1403" i="2"/>
  <c r="I1403" i="2"/>
  <c r="J1403" i="2"/>
  <c r="K1403" i="2"/>
  <c r="L1403" i="2"/>
  <c r="M1403" i="2"/>
  <c r="N1403" i="2"/>
  <c r="O1403" i="2"/>
  <c r="P1403" i="2"/>
  <c r="Q1403" i="2"/>
  <c r="R1403" i="2"/>
  <c r="S1403" i="2"/>
  <c r="T1403" i="2"/>
  <c r="U1403" i="2"/>
  <c r="V1403" i="2"/>
  <c r="W1403" i="2"/>
  <c r="X1403" i="2"/>
  <c r="Y1403" i="2"/>
  <c r="B1404" i="2"/>
  <c r="C1404" i="2"/>
  <c r="D1404" i="2"/>
  <c r="E1404" i="2"/>
  <c r="F1404" i="2"/>
  <c r="G1404" i="2"/>
  <c r="H1404" i="2"/>
  <c r="I1404" i="2"/>
  <c r="J1404" i="2"/>
  <c r="K1404" i="2"/>
  <c r="L1404" i="2"/>
  <c r="M1404" i="2"/>
  <c r="N1404" i="2"/>
  <c r="O1404" i="2"/>
  <c r="P1404" i="2"/>
  <c r="Q1404" i="2"/>
  <c r="R1404" i="2"/>
  <c r="S1404" i="2"/>
  <c r="T1404" i="2"/>
  <c r="U1404" i="2"/>
  <c r="V1404" i="2"/>
  <c r="W1404" i="2"/>
  <c r="X1404" i="2"/>
  <c r="Y1404" i="2"/>
  <c r="A1405" i="2"/>
  <c r="B1405" i="2"/>
  <c r="C1405" i="2"/>
  <c r="D1405" i="2"/>
  <c r="E1405" i="2"/>
  <c r="F1405" i="2"/>
  <c r="G1405" i="2"/>
  <c r="H1405" i="2"/>
  <c r="I1405" i="2"/>
  <c r="J1405" i="2"/>
  <c r="K1405" i="2"/>
  <c r="L1405" i="2"/>
  <c r="M1405" i="2"/>
  <c r="N1405" i="2"/>
  <c r="O1405" i="2"/>
  <c r="P1405" i="2"/>
  <c r="Q1405" i="2"/>
  <c r="R1405" i="2"/>
  <c r="S1405" i="2"/>
  <c r="T1405" i="2"/>
  <c r="U1405" i="2"/>
  <c r="V1405" i="2"/>
  <c r="W1405" i="2"/>
  <c r="X1405" i="2"/>
  <c r="Y1405" i="2"/>
  <c r="A1406" i="2"/>
  <c r="B1406" i="2"/>
  <c r="C1406" i="2"/>
  <c r="D1406" i="2"/>
  <c r="E1406" i="2"/>
  <c r="F1406" i="2"/>
  <c r="G1406" i="2"/>
  <c r="H1406" i="2"/>
  <c r="I1406" i="2"/>
  <c r="J1406" i="2"/>
  <c r="K1406" i="2"/>
  <c r="L1406" i="2"/>
  <c r="M1406" i="2"/>
  <c r="N1406" i="2"/>
  <c r="O1406" i="2"/>
  <c r="P1406" i="2"/>
  <c r="Q1406" i="2"/>
  <c r="R1406" i="2"/>
  <c r="S1406" i="2"/>
  <c r="T1406" i="2"/>
  <c r="U1406" i="2"/>
  <c r="V1406" i="2"/>
  <c r="W1406" i="2"/>
  <c r="X1406" i="2"/>
  <c r="Y1406" i="2"/>
  <c r="A1407" i="2"/>
  <c r="B1407" i="2"/>
  <c r="C1407" i="2"/>
  <c r="D1407" i="2"/>
  <c r="E1407" i="2"/>
  <c r="F1407" i="2"/>
  <c r="G1407" i="2"/>
  <c r="H1407" i="2"/>
  <c r="I1407" i="2"/>
  <c r="J1407" i="2"/>
  <c r="K1407" i="2"/>
  <c r="L1407" i="2"/>
  <c r="M1407" i="2"/>
  <c r="N1407" i="2"/>
  <c r="O1407" i="2"/>
  <c r="P1407" i="2"/>
  <c r="Q1407" i="2"/>
  <c r="R1407" i="2"/>
  <c r="S1407" i="2"/>
  <c r="T1407" i="2"/>
  <c r="U1407" i="2"/>
  <c r="V1407" i="2"/>
  <c r="W1407" i="2"/>
  <c r="X1407" i="2"/>
  <c r="Y1407" i="2"/>
  <c r="A1408" i="2"/>
  <c r="B1408" i="2"/>
  <c r="C1408" i="2"/>
  <c r="D1408" i="2"/>
  <c r="E1408" i="2"/>
  <c r="F1408" i="2"/>
  <c r="G1408" i="2"/>
  <c r="H1408" i="2"/>
  <c r="I1408" i="2"/>
  <c r="J1408" i="2"/>
  <c r="K1408" i="2"/>
  <c r="L1408" i="2"/>
  <c r="M1408" i="2"/>
  <c r="N1408" i="2"/>
  <c r="O1408" i="2"/>
  <c r="P1408" i="2"/>
  <c r="Q1408" i="2"/>
  <c r="R1408" i="2"/>
  <c r="S1408" i="2"/>
  <c r="T1408" i="2"/>
  <c r="U1408" i="2"/>
  <c r="V1408" i="2"/>
  <c r="W1408" i="2"/>
  <c r="X1408" i="2"/>
  <c r="Y1408" i="2"/>
  <c r="A1409" i="2"/>
  <c r="B1409" i="2"/>
  <c r="C1409" i="2"/>
  <c r="D1409" i="2"/>
  <c r="E1409" i="2"/>
  <c r="F1409" i="2"/>
  <c r="G1409" i="2"/>
  <c r="H1409" i="2"/>
  <c r="I1409" i="2"/>
  <c r="J1409" i="2"/>
  <c r="K1409" i="2"/>
  <c r="L1409" i="2"/>
  <c r="M1409" i="2"/>
  <c r="N1409" i="2"/>
  <c r="O1409" i="2"/>
  <c r="P1409" i="2"/>
  <c r="Q1409" i="2"/>
  <c r="R1409" i="2"/>
  <c r="S1409" i="2"/>
  <c r="T1409" i="2"/>
  <c r="U1409" i="2"/>
  <c r="V1409" i="2"/>
  <c r="W1409" i="2"/>
  <c r="X1409" i="2"/>
  <c r="Y1409" i="2"/>
  <c r="A1410" i="2"/>
  <c r="B1410" i="2"/>
  <c r="C1410" i="2"/>
  <c r="D1410" i="2"/>
  <c r="E1410" i="2"/>
  <c r="F1410" i="2"/>
  <c r="G1410" i="2"/>
  <c r="H1410" i="2"/>
  <c r="I1410" i="2"/>
  <c r="J1410" i="2"/>
  <c r="K1410" i="2"/>
  <c r="L1410" i="2"/>
  <c r="M1410" i="2"/>
  <c r="N1410" i="2"/>
  <c r="O1410" i="2"/>
  <c r="P1410" i="2"/>
  <c r="Q1410" i="2"/>
  <c r="R1410" i="2"/>
  <c r="S1410" i="2"/>
  <c r="T1410" i="2"/>
  <c r="U1410" i="2"/>
  <c r="V1410" i="2"/>
  <c r="W1410" i="2"/>
  <c r="X1410" i="2"/>
  <c r="Y1410" i="2"/>
  <c r="A1411" i="2"/>
  <c r="B1411" i="2"/>
  <c r="C1411" i="2"/>
  <c r="D1411" i="2"/>
  <c r="E1411" i="2"/>
  <c r="F1411" i="2"/>
  <c r="G1411" i="2"/>
  <c r="H1411" i="2"/>
  <c r="I1411" i="2"/>
  <c r="J1411" i="2"/>
  <c r="K1411" i="2"/>
  <c r="L1411" i="2"/>
  <c r="M1411" i="2"/>
  <c r="N1411" i="2"/>
  <c r="O1411" i="2"/>
  <c r="P1411" i="2"/>
  <c r="Q1411" i="2"/>
  <c r="R1411" i="2"/>
  <c r="S1411" i="2"/>
  <c r="T1411" i="2"/>
  <c r="U1411" i="2"/>
  <c r="V1411" i="2"/>
  <c r="W1411" i="2"/>
  <c r="X1411" i="2"/>
  <c r="Y1411" i="2"/>
  <c r="A1412" i="2"/>
  <c r="B1412" i="2"/>
  <c r="C1412" i="2"/>
  <c r="D1412" i="2"/>
  <c r="E1412" i="2"/>
  <c r="F1412" i="2"/>
  <c r="G1412" i="2"/>
  <c r="H1412" i="2"/>
  <c r="I1412" i="2"/>
  <c r="J1412" i="2"/>
  <c r="K1412" i="2"/>
  <c r="L1412" i="2"/>
  <c r="M1412" i="2"/>
  <c r="N1412" i="2"/>
  <c r="O1412" i="2"/>
  <c r="P1412" i="2"/>
  <c r="Q1412" i="2"/>
  <c r="R1412" i="2"/>
  <c r="S1412" i="2"/>
  <c r="T1412" i="2"/>
  <c r="U1412" i="2"/>
  <c r="V1412" i="2"/>
  <c r="W1412" i="2"/>
  <c r="X1412" i="2"/>
  <c r="Y1412" i="2"/>
  <c r="A1413" i="2"/>
  <c r="B1413" i="2"/>
  <c r="C1413" i="2"/>
  <c r="D1413" i="2"/>
  <c r="E1413" i="2"/>
  <c r="F1413" i="2"/>
  <c r="G1413" i="2"/>
  <c r="H1413" i="2"/>
  <c r="I1413" i="2"/>
  <c r="J1413" i="2"/>
  <c r="K1413" i="2"/>
  <c r="L1413" i="2"/>
  <c r="M1413" i="2"/>
  <c r="N1413" i="2"/>
  <c r="O1413" i="2"/>
  <c r="P1413" i="2"/>
  <c r="Q1413" i="2"/>
  <c r="R1413" i="2"/>
  <c r="S1413" i="2"/>
  <c r="T1413" i="2"/>
  <c r="U1413" i="2"/>
  <c r="V1413" i="2"/>
  <c r="W1413" i="2"/>
  <c r="X1413" i="2"/>
  <c r="Y1413" i="2"/>
  <c r="A1414" i="2"/>
  <c r="B1414" i="2"/>
  <c r="C1414" i="2"/>
  <c r="D1414" i="2"/>
  <c r="E1414" i="2"/>
  <c r="F1414" i="2"/>
  <c r="G1414" i="2"/>
  <c r="H1414" i="2"/>
  <c r="I1414" i="2"/>
  <c r="J1414" i="2"/>
  <c r="K1414" i="2"/>
  <c r="L1414" i="2"/>
  <c r="M1414" i="2"/>
  <c r="N1414" i="2"/>
  <c r="O1414" i="2"/>
  <c r="P1414" i="2"/>
  <c r="Q1414" i="2"/>
  <c r="R1414" i="2"/>
  <c r="S1414" i="2"/>
  <c r="T1414" i="2"/>
  <c r="U1414" i="2"/>
  <c r="V1414" i="2"/>
  <c r="W1414" i="2"/>
  <c r="X1414" i="2"/>
  <c r="Y1414" i="2"/>
  <c r="A1415" i="2"/>
  <c r="B1415" i="2"/>
  <c r="C1415" i="2"/>
  <c r="D1415" i="2"/>
  <c r="E1415" i="2"/>
  <c r="F1415" i="2"/>
  <c r="G1415" i="2"/>
  <c r="H1415" i="2"/>
  <c r="I1415" i="2"/>
  <c r="J1415" i="2"/>
  <c r="K1415" i="2"/>
  <c r="L1415" i="2"/>
  <c r="M1415" i="2"/>
  <c r="N1415" i="2"/>
  <c r="O1415" i="2"/>
  <c r="P1415" i="2"/>
  <c r="Q1415" i="2"/>
  <c r="R1415" i="2"/>
  <c r="S1415" i="2"/>
  <c r="T1415" i="2"/>
  <c r="U1415" i="2"/>
  <c r="V1415" i="2"/>
  <c r="W1415" i="2"/>
  <c r="X1415" i="2"/>
  <c r="Y1415" i="2"/>
  <c r="B1416" i="2"/>
  <c r="C1416" i="2"/>
  <c r="D1416" i="2"/>
  <c r="E1416" i="2"/>
  <c r="F1416" i="2"/>
  <c r="G1416" i="2"/>
  <c r="H1416" i="2"/>
  <c r="I1416" i="2"/>
  <c r="J1416" i="2"/>
  <c r="K1416" i="2"/>
  <c r="L1416" i="2"/>
  <c r="M1416" i="2"/>
  <c r="N1416" i="2"/>
  <c r="O1416" i="2"/>
  <c r="P1416" i="2"/>
  <c r="Q1416" i="2"/>
  <c r="R1416" i="2"/>
  <c r="S1416" i="2"/>
  <c r="T1416" i="2"/>
  <c r="U1416" i="2"/>
  <c r="V1416" i="2"/>
  <c r="W1416" i="2"/>
  <c r="X1416" i="2"/>
  <c r="Y1416" i="2"/>
  <c r="A1417" i="2"/>
  <c r="B1417" i="2"/>
  <c r="C1417" i="2"/>
  <c r="D1417" i="2"/>
  <c r="E1417" i="2"/>
  <c r="F1417" i="2"/>
  <c r="G1417" i="2"/>
  <c r="H1417" i="2"/>
  <c r="I1417" i="2"/>
  <c r="J1417" i="2"/>
  <c r="K1417" i="2"/>
  <c r="L1417" i="2"/>
  <c r="M1417" i="2"/>
  <c r="N1417" i="2"/>
  <c r="O1417" i="2"/>
  <c r="P1417" i="2"/>
  <c r="Q1417" i="2"/>
  <c r="R1417" i="2"/>
  <c r="S1417" i="2"/>
  <c r="T1417" i="2"/>
  <c r="U1417" i="2"/>
  <c r="V1417" i="2"/>
  <c r="W1417" i="2"/>
  <c r="X1417" i="2"/>
  <c r="Y1417" i="2"/>
  <c r="A1418" i="2"/>
  <c r="B1418" i="2"/>
  <c r="C1418" i="2"/>
  <c r="D1418" i="2"/>
  <c r="E1418" i="2"/>
  <c r="F1418" i="2"/>
  <c r="G1418" i="2"/>
  <c r="H1418" i="2"/>
  <c r="I1418" i="2"/>
  <c r="J1418" i="2"/>
  <c r="K1418" i="2"/>
  <c r="L1418" i="2"/>
  <c r="M1418" i="2"/>
  <c r="N1418" i="2"/>
  <c r="O1418" i="2"/>
  <c r="P1418" i="2"/>
  <c r="Q1418" i="2"/>
  <c r="R1418" i="2"/>
  <c r="S1418" i="2"/>
  <c r="T1418" i="2"/>
  <c r="U1418" i="2"/>
  <c r="V1418" i="2"/>
  <c r="W1418" i="2"/>
  <c r="X1418" i="2"/>
  <c r="Y1418" i="2"/>
  <c r="A1419" i="2"/>
  <c r="B1419" i="2"/>
  <c r="C1419" i="2"/>
  <c r="D1419" i="2"/>
  <c r="E1419" i="2"/>
  <c r="F1419" i="2"/>
  <c r="G1419" i="2"/>
  <c r="H1419" i="2"/>
  <c r="I1419" i="2"/>
  <c r="J1419" i="2"/>
  <c r="K1419" i="2"/>
  <c r="L1419" i="2"/>
  <c r="M1419" i="2"/>
  <c r="N1419" i="2"/>
  <c r="O1419" i="2"/>
  <c r="P1419" i="2"/>
  <c r="Q1419" i="2"/>
  <c r="R1419" i="2"/>
  <c r="S1419" i="2"/>
  <c r="T1419" i="2"/>
  <c r="U1419" i="2"/>
  <c r="V1419" i="2"/>
  <c r="W1419" i="2"/>
  <c r="X1419" i="2"/>
  <c r="Y1419" i="2"/>
  <c r="B1420" i="2"/>
  <c r="C1420" i="2"/>
  <c r="D1420" i="2"/>
  <c r="E1420" i="2"/>
  <c r="F1420" i="2"/>
  <c r="G1420" i="2"/>
  <c r="H1420" i="2"/>
  <c r="I1420" i="2"/>
  <c r="J1420" i="2"/>
  <c r="K1420" i="2"/>
  <c r="L1420" i="2"/>
  <c r="M1420" i="2"/>
  <c r="N1420" i="2"/>
  <c r="O1420" i="2"/>
  <c r="P1420" i="2"/>
  <c r="Q1420" i="2"/>
  <c r="R1420" i="2"/>
  <c r="S1420" i="2"/>
  <c r="T1420" i="2"/>
  <c r="U1420" i="2"/>
  <c r="V1420" i="2"/>
  <c r="W1420" i="2"/>
  <c r="X1420" i="2"/>
  <c r="Y1420" i="2"/>
  <c r="A1421" i="2"/>
  <c r="B1421" i="2"/>
  <c r="C1421" i="2"/>
  <c r="D1421" i="2"/>
  <c r="E1421" i="2"/>
  <c r="F1421" i="2"/>
  <c r="G1421" i="2"/>
  <c r="H1421" i="2"/>
  <c r="I1421" i="2"/>
  <c r="J1421" i="2"/>
  <c r="K1421" i="2"/>
  <c r="L1421" i="2"/>
  <c r="M1421" i="2"/>
  <c r="N1421" i="2"/>
  <c r="O1421" i="2"/>
  <c r="P1421" i="2"/>
  <c r="Q1421" i="2"/>
  <c r="R1421" i="2"/>
  <c r="S1421" i="2"/>
  <c r="T1421" i="2"/>
  <c r="U1421" i="2"/>
  <c r="V1421" i="2"/>
  <c r="W1421" i="2"/>
  <c r="X1421" i="2"/>
  <c r="Y1421" i="2"/>
  <c r="A1422" i="2"/>
  <c r="B1422" i="2"/>
  <c r="C1422" i="2"/>
  <c r="D1422" i="2"/>
  <c r="E1422" i="2"/>
  <c r="F1422" i="2"/>
  <c r="G1422" i="2"/>
  <c r="H1422" i="2"/>
  <c r="I1422" i="2"/>
  <c r="J1422" i="2"/>
  <c r="K1422" i="2"/>
  <c r="L1422" i="2"/>
  <c r="M1422" i="2"/>
  <c r="N1422" i="2"/>
  <c r="O1422" i="2"/>
  <c r="P1422" i="2"/>
  <c r="Q1422" i="2"/>
  <c r="R1422" i="2"/>
  <c r="S1422" i="2"/>
  <c r="T1422" i="2"/>
  <c r="U1422" i="2"/>
  <c r="V1422" i="2"/>
  <c r="W1422" i="2"/>
  <c r="X1422" i="2"/>
  <c r="Y1422" i="2"/>
  <c r="A1423" i="2"/>
  <c r="B1423" i="2"/>
  <c r="C1423" i="2"/>
  <c r="D1423" i="2"/>
  <c r="E1423" i="2"/>
  <c r="F1423" i="2"/>
  <c r="G1423" i="2"/>
  <c r="H1423" i="2"/>
  <c r="I1423" i="2"/>
  <c r="J1423" i="2"/>
  <c r="K1423" i="2"/>
  <c r="L1423" i="2"/>
  <c r="M1423" i="2"/>
  <c r="N1423" i="2"/>
  <c r="O1423" i="2"/>
  <c r="P1423" i="2"/>
  <c r="Q1423" i="2"/>
  <c r="R1423" i="2"/>
  <c r="S1423" i="2"/>
  <c r="T1423" i="2"/>
  <c r="U1423" i="2"/>
  <c r="V1423" i="2"/>
  <c r="W1423" i="2"/>
  <c r="X1423" i="2"/>
  <c r="Y1423" i="2"/>
  <c r="A1424" i="2"/>
  <c r="B1424" i="2"/>
  <c r="C1424" i="2"/>
  <c r="D1424" i="2"/>
  <c r="E1424" i="2"/>
  <c r="F1424" i="2"/>
  <c r="G1424" i="2"/>
  <c r="H1424" i="2"/>
  <c r="I1424" i="2"/>
  <c r="J1424" i="2"/>
  <c r="K1424" i="2"/>
  <c r="L1424" i="2"/>
  <c r="M1424" i="2"/>
  <c r="N1424" i="2"/>
  <c r="O1424" i="2"/>
  <c r="P1424" i="2"/>
  <c r="Q1424" i="2"/>
  <c r="R1424" i="2"/>
  <c r="S1424" i="2"/>
  <c r="T1424" i="2"/>
  <c r="U1424" i="2"/>
  <c r="V1424" i="2"/>
  <c r="W1424" i="2"/>
  <c r="X1424" i="2"/>
  <c r="Y1424" i="2"/>
  <c r="A1425" i="2"/>
  <c r="B1425" i="2"/>
  <c r="C1425" i="2"/>
  <c r="D1425" i="2"/>
  <c r="E1425" i="2"/>
  <c r="F1425" i="2"/>
  <c r="G1425" i="2"/>
  <c r="H1425" i="2"/>
  <c r="I1425" i="2"/>
  <c r="J1425" i="2"/>
  <c r="K1425" i="2"/>
  <c r="L1425" i="2"/>
  <c r="M1425" i="2"/>
  <c r="N1425" i="2"/>
  <c r="O1425" i="2"/>
  <c r="P1425" i="2"/>
  <c r="Q1425" i="2"/>
  <c r="R1425" i="2"/>
  <c r="S1425" i="2"/>
  <c r="T1425" i="2"/>
  <c r="U1425" i="2"/>
  <c r="V1425" i="2"/>
  <c r="W1425" i="2"/>
  <c r="X1425" i="2"/>
  <c r="Y1425" i="2"/>
  <c r="A1426" i="2"/>
  <c r="B1426" i="2"/>
  <c r="C1426" i="2"/>
  <c r="D1426" i="2"/>
  <c r="E1426" i="2"/>
  <c r="F1426" i="2"/>
  <c r="G1426" i="2"/>
  <c r="H1426" i="2"/>
  <c r="I1426" i="2"/>
  <c r="J1426" i="2"/>
  <c r="K1426" i="2"/>
  <c r="L1426" i="2"/>
  <c r="M1426" i="2"/>
  <c r="N1426" i="2"/>
  <c r="O1426" i="2"/>
  <c r="P1426" i="2"/>
  <c r="Q1426" i="2"/>
  <c r="R1426" i="2"/>
  <c r="S1426" i="2"/>
  <c r="T1426" i="2"/>
  <c r="U1426" i="2"/>
  <c r="V1426" i="2"/>
  <c r="W1426" i="2"/>
  <c r="X1426" i="2"/>
  <c r="Y1426" i="2"/>
  <c r="A1427" i="2"/>
  <c r="B1427" i="2"/>
  <c r="C1427" i="2"/>
  <c r="D1427" i="2"/>
  <c r="E1427" i="2"/>
  <c r="F1427" i="2"/>
  <c r="G1427" i="2"/>
  <c r="H1427" i="2"/>
  <c r="I1427" i="2"/>
  <c r="J1427" i="2"/>
  <c r="K1427" i="2"/>
  <c r="L1427" i="2"/>
  <c r="M1427" i="2"/>
  <c r="N1427" i="2"/>
  <c r="O1427" i="2"/>
  <c r="P1427" i="2"/>
  <c r="Q1427" i="2"/>
  <c r="R1427" i="2"/>
  <c r="S1427" i="2"/>
  <c r="T1427" i="2"/>
  <c r="U1427" i="2"/>
  <c r="V1427" i="2"/>
  <c r="W1427" i="2"/>
  <c r="X1427" i="2"/>
  <c r="Y1427" i="2"/>
  <c r="A1428" i="2"/>
  <c r="B1428" i="2"/>
  <c r="C1428" i="2"/>
  <c r="D1428" i="2"/>
  <c r="E1428" i="2"/>
  <c r="F1428" i="2"/>
  <c r="G1428" i="2"/>
  <c r="H1428" i="2"/>
  <c r="I1428" i="2"/>
  <c r="J1428" i="2"/>
  <c r="K1428" i="2"/>
  <c r="L1428" i="2"/>
  <c r="M1428" i="2"/>
  <c r="N1428" i="2"/>
  <c r="O1428" i="2"/>
  <c r="P1428" i="2"/>
  <c r="Q1428" i="2"/>
  <c r="R1428" i="2"/>
  <c r="S1428" i="2"/>
  <c r="T1428" i="2"/>
  <c r="U1428" i="2"/>
  <c r="V1428" i="2"/>
  <c r="W1428" i="2"/>
  <c r="X1428" i="2"/>
  <c r="Y1428" i="2"/>
  <c r="A1429" i="2"/>
  <c r="B1429" i="2"/>
  <c r="C1429" i="2"/>
  <c r="D1429" i="2"/>
  <c r="E1429" i="2"/>
  <c r="F1429" i="2"/>
  <c r="G1429" i="2"/>
  <c r="H1429" i="2"/>
  <c r="I1429" i="2"/>
  <c r="J1429" i="2"/>
  <c r="K1429" i="2"/>
  <c r="L1429" i="2"/>
  <c r="M1429" i="2"/>
  <c r="N1429" i="2"/>
  <c r="O1429" i="2"/>
  <c r="P1429" i="2"/>
  <c r="Q1429" i="2"/>
  <c r="R1429" i="2"/>
  <c r="S1429" i="2"/>
  <c r="T1429" i="2"/>
  <c r="U1429" i="2"/>
  <c r="V1429" i="2"/>
  <c r="W1429" i="2"/>
  <c r="X1429" i="2"/>
  <c r="Y1429" i="2"/>
  <c r="A1430" i="2"/>
  <c r="B1430" i="2"/>
  <c r="C1430" i="2"/>
  <c r="D1430" i="2"/>
  <c r="E1430" i="2"/>
  <c r="F1430" i="2"/>
  <c r="G1430" i="2"/>
  <c r="H1430" i="2"/>
  <c r="I1430" i="2"/>
  <c r="J1430" i="2"/>
  <c r="K1430" i="2"/>
  <c r="L1430" i="2"/>
  <c r="M1430" i="2"/>
  <c r="N1430" i="2"/>
  <c r="O1430" i="2"/>
  <c r="P1430" i="2"/>
  <c r="Q1430" i="2"/>
  <c r="R1430" i="2"/>
  <c r="S1430" i="2"/>
  <c r="T1430" i="2"/>
  <c r="U1430" i="2"/>
  <c r="V1430" i="2"/>
  <c r="W1430" i="2"/>
  <c r="X1430" i="2"/>
  <c r="Y1430" i="2"/>
  <c r="A1431" i="2"/>
  <c r="B1431" i="2"/>
  <c r="C1431" i="2"/>
  <c r="D1431" i="2"/>
  <c r="E1431" i="2"/>
  <c r="F1431" i="2"/>
  <c r="G1431" i="2"/>
  <c r="H1431" i="2"/>
  <c r="I1431" i="2"/>
  <c r="J1431" i="2"/>
  <c r="K1431" i="2"/>
  <c r="L1431" i="2"/>
  <c r="M1431" i="2"/>
  <c r="N1431" i="2"/>
  <c r="O1431" i="2"/>
  <c r="P1431" i="2"/>
  <c r="Q1431" i="2"/>
  <c r="R1431" i="2"/>
  <c r="S1431" i="2"/>
  <c r="T1431" i="2"/>
  <c r="U1431" i="2"/>
  <c r="V1431" i="2"/>
  <c r="W1431" i="2"/>
  <c r="X1431" i="2"/>
  <c r="Y1431" i="2"/>
  <c r="B1432" i="2"/>
  <c r="C1432" i="2"/>
  <c r="D1432" i="2"/>
  <c r="E1432" i="2"/>
  <c r="F1432" i="2"/>
  <c r="G1432" i="2"/>
  <c r="H1432" i="2"/>
  <c r="I1432" i="2"/>
  <c r="J1432" i="2"/>
  <c r="K1432" i="2"/>
  <c r="L1432" i="2"/>
  <c r="M1432" i="2"/>
  <c r="N1432" i="2"/>
  <c r="O1432" i="2"/>
  <c r="P1432" i="2"/>
  <c r="Q1432" i="2"/>
  <c r="R1432" i="2"/>
  <c r="S1432" i="2"/>
  <c r="T1432" i="2"/>
  <c r="U1432" i="2"/>
  <c r="V1432" i="2"/>
  <c r="W1432" i="2"/>
  <c r="X1432" i="2"/>
  <c r="Y1432" i="2"/>
  <c r="A1433" i="2"/>
  <c r="B1433" i="2"/>
  <c r="C1433" i="2"/>
  <c r="D1433" i="2"/>
  <c r="E1433" i="2"/>
  <c r="F1433" i="2"/>
  <c r="G1433" i="2"/>
  <c r="H1433" i="2"/>
  <c r="I1433" i="2"/>
  <c r="J1433" i="2"/>
  <c r="K1433" i="2"/>
  <c r="L1433" i="2"/>
  <c r="M1433" i="2"/>
  <c r="N1433" i="2"/>
  <c r="O1433" i="2"/>
  <c r="P1433" i="2"/>
  <c r="Q1433" i="2"/>
  <c r="R1433" i="2"/>
  <c r="S1433" i="2"/>
  <c r="T1433" i="2"/>
  <c r="U1433" i="2"/>
  <c r="V1433" i="2"/>
  <c r="W1433" i="2"/>
  <c r="X1433" i="2"/>
  <c r="Y1433" i="2"/>
  <c r="A1434" i="2"/>
  <c r="B1434" i="2"/>
  <c r="C1434" i="2"/>
  <c r="D1434" i="2"/>
  <c r="E1434" i="2"/>
  <c r="F1434" i="2"/>
  <c r="G1434" i="2"/>
  <c r="H1434" i="2"/>
  <c r="I1434" i="2"/>
  <c r="J1434" i="2"/>
  <c r="K1434" i="2"/>
  <c r="L1434" i="2"/>
  <c r="M1434" i="2"/>
  <c r="N1434" i="2"/>
  <c r="O1434" i="2"/>
  <c r="P1434" i="2"/>
  <c r="Q1434" i="2"/>
  <c r="R1434" i="2"/>
  <c r="S1434" i="2"/>
  <c r="T1434" i="2"/>
  <c r="U1434" i="2"/>
  <c r="V1434" i="2"/>
  <c r="W1434" i="2"/>
  <c r="X1434" i="2"/>
  <c r="Y1434" i="2"/>
  <c r="A1435" i="2"/>
  <c r="B1435" i="2"/>
  <c r="C1435" i="2"/>
  <c r="D1435" i="2"/>
  <c r="E1435" i="2"/>
  <c r="F1435" i="2"/>
  <c r="G1435" i="2"/>
  <c r="H1435" i="2"/>
  <c r="I1435" i="2"/>
  <c r="J1435" i="2"/>
  <c r="K1435" i="2"/>
  <c r="L1435" i="2"/>
  <c r="M1435" i="2"/>
  <c r="N1435" i="2"/>
  <c r="O1435" i="2"/>
  <c r="P1435" i="2"/>
  <c r="Q1435" i="2"/>
  <c r="R1435" i="2"/>
  <c r="S1435" i="2"/>
  <c r="T1435" i="2"/>
  <c r="U1435" i="2"/>
  <c r="V1435" i="2"/>
  <c r="W1435" i="2"/>
  <c r="X1435" i="2"/>
  <c r="Y1435" i="2"/>
  <c r="B1436" i="2"/>
  <c r="C1436" i="2"/>
  <c r="D1436" i="2"/>
  <c r="E1436" i="2"/>
  <c r="F1436" i="2"/>
  <c r="G1436" i="2"/>
  <c r="H1436" i="2"/>
  <c r="I1436" i="2"/>
  <c r="J1436" i="2"/>
  <c r="K1436" i="2"/>
  <c r="L1436" i="2"/>
  <c r="M1436" i="2"/>
  <c r="N1436" i="2"/>
  <c r="O1436" i="2"/>
  <c r="P1436" i="2"/>
  <c r="Q1436" i="2"/>
  <c r="R1436" i="2"/>
  <c r="S1436" i="2"/>
  <c r="T1436" i="2"/>
  <c r="U1436" i="2"/>
  <c r="V1436" i="2"/>
  <c r="W1436" i="2"/>
  <c r="X1436" i="2"/>
  <c r="Y1436" i="2"/>
  <c r="A1437" i="2"/>
  <c r="B1437" i="2"/>
  <c r="C1437" i="2"/>
  <c r="D1437" i="2"/>
  <c r="E1437" i="2"/>
  <c r="F1437" i="2"/>
  <c r="G1437" i="2"/>
  <c r="H1437" i="2"/>
  <c r="I1437" i="2"/>
  <c r="J1437" i="2"/>
  <c r="K1437" i="2"/>
  <c r="L1437" i="2"/>
  <c r="M1437" i="2"/>
  <c r="N1437" i="2"/>
  <c r="O1437" i="2"/>
  <c r="P1437" i="2"/>
  <c r="Q1437" i="2"/>
  <c r="R1437" i="2"/>
  <c r="S1437" i="2"/>
  <c r="T1437" i="2"/>
  <c r="U1437" i="2"/>
  <c r="V1437" i="2"/>
  <c r="W1437" i="2"/>
  <c r="X1437" i="2"/>
  <c r="Y1437" i="2"/>
  <c r="A1438" i="2"/>
  <c r="B1438" i="2"/>
  <c r="C1438" i="2"/>
  <c r="D1438" i="2"/>
  <c r="E1438" i="2"/>
  <c r="F1438" i="2"/>
  <c r="G1438" i="2"/>
  <c r="H1438" i="2"/>
  <c r="I1438" i="2"/>
  <c r="J1438" i="2"/>
  <c r="K1438" i="2"/>
  <c r="L1438" i="2"/>
  <c r="M1438" i="2"/>
  <c r="N1438" i="2"/>
  <c r="O1438" i="2"/>
  <c r="P1438" i="2"/>
  <c r="Q1438" i="2"/>
  <c r="R1438" i="2"/>
  <c r="S1438" i="2"/>
  <c r="T1438" i="2"/>
  <c r="U1438" i="2"/>
  <c r="V1438" i="2"/>
  <c r="W1438" i="2"/>
  <c r="X1438" i="2"/>
  <c r="Y1438" i="2"/>
  <c r="A1439" i="2"/>
  <c r="B1439" i="2"/>
  <c r="C1439" i="2"/>
  <c r="D1439" i="2"/>
  <c r="E1439" i="2"/>
  <c r="F1439" i="2"/>
  <c r="G1439" i="2"/>
  <c r="H1439" i="2"/>
  <c r="I1439" i="2"/>
  <c r="J1439" i="2"/>
  <c r="K1439" i="2"/>
  <c r="L1439" i="2"/>
  <c r="M1439" i="2"/>
  <c r="N1439" i="2"/>
  <c r="O1439" i="2"/>
  <c r="P1439" i="2"/>
  <c r="Q1439" i="2"/>
  <c r="R1439" i="2"/>
  <c r="S1439" i="2"/>
  <c r="T1439" i="2"/>
  <c r="U1439" i="2"/>
  <c r="V1439" i="2"/>
  <c r="W1439" i="2"/>
  <c r="X1439" i="2"/>
  <c r="Y1439" i="2"/>
  <c r="A1440" i="2"/>
  <c r="B1440" i="2"/>
  <c r="C1440" i="2"/>
  <c r="D1440" i="2"/>
  <c r="E1440" i="2"/>
  <c r="F1440" i="2"/>
  <c r="G1440" i="2"/>
  <c r="H1440" i="2"/>
  <c r="I1440" i="2"/>
  <c r="J1440" i="2"/>
  <c r="K1440" i="2"/>
  <c r="L1440" i="2"/>
  <c r="M1440" i="2"/>
  <c r="N1440" i="2"/>
  <c r="O1440" i="2"/>
  <c r="P1440" i="2"/>
  <c r="Q1440" i="2"/>
  <c r="R1440" i="2"/>
  <c r="S1440" i="2"/>
  <c r="T1440" i="2"/>
  <c r="U1440" i="2"/>
  <c r="V1440" i="2"/>
  <c r="W1440" i="2"/>
  <c r="X1440" i="2"/>
  <c r="Y1440" i="2"/>
  <c r="A1441" i="2"/>
  <c r="B1441" i="2"/>
  <c r="C1441" i="2"/>
  <c r="D1441" i="2"/>
  <c r="E1441" i="2"/>
  <c r="F1441" i="2"/>
  <c r="G1441" i="2"/>
  <c r="H1441" i="2"/>
  <c r="I1441" i="2"/>
  <c r="J1441" i="2"/>
  <c r="K1441" i="2"/>
  <c r="L1441" i="2"/>
  <c r="M1441" i="2"/>
  <c r="N1441" i="2"/>
  <c r="O1441" i="2"/>
  <c r="P1441" i="2"/>
  <c r="Q1441" i="2"/>
  <c r="R1441" i="2"/>
  <c r="S1441" i="2"/>
  <c r="T1441" i="2"/>
  <c r="U1441" i="2"/>
  <c r="V1441" i="2"/>
  <c r="W1441" i="2"/>
  <c r="X1441" i="2"/>
  <c r="Y1441" i="2"/>
  <c r="A1442" i="2"/>
  <c r="B1442" i="2"/>
  <c r="C1442" i="2"/>
  <c r="D1442" i="2"/>
  <c r="E1442" i="2"/>
  <c r="F1442" i="2"/>
  <c r="G1442" i="2"/>
  <c r="H1442" i="2"/>
  <c r="I1442" i="2"/>
  <c r="J1442" i="2"/>
  <c r="K1442" i="2"/>
  <c r="L1442" i="2"/>
  <c r="M1442" i="2"/>
  <c r="N1442" i="2"/>
  <c r="O1442" i="2"/>
  <c r="P1442" i="2"/>
  <c r="Q1442" i="2"/>
  <c r="R1442" i="2"/>
  <c r="S1442" i="2"/>
  <c r="T1442" i="2"/>
  <c r="U1442" i="2"/>
  <c r="V1442" i="2"/>
  <c r="W1442" i="2"/>
  <c r="X1442" i="2"/>
  <c r="Y1442" i="2"/>
  <c r="A1443" i="2"/>
  <c r="B1443" i="2"/>
  <c r="C1443" i="2"/>
  <c r="D1443" i="2"/>
  <c r="E1443" i="2"/>
  <c r="F1443" i="2"/>
  <c r="G1443" i="2"/>
  <c r="H1443" i="2"/>
  <c r="I1443" i="2"/>
  <c r="J1443" i="2"/>
  <c r="K1443" i="2"/>
  <c r="L1443" i="2"/>
  <c r="M1443" i="2"/>
  <c r="N1443" i="2"/>
  <c r="O1443" i="2"/>
  <c r="P1443" i="2"/>
  <c r="Q1443" i="2"/>
  <c r="R1443" i="2"/>
  <c r="S1443" i="2"/>
  <c r="T1443" i="2"/>
  <c r="U1443" i="2"/>
  <c r="V1443" i="2"/>
  <c r="W1443" i="2"/>
  <c r="X1443" i="2"/>
  <c r="Y1443" i="2"/>
  <c r="A1444" i="2"/>
  <c r="B1444" i="2"/>
  <c r="C1444" i="2"/>
  <c r="D1444" i="2"/>
  <c r="E1444" i="2"/>
  <c r="F1444" i="2"/>
  <c r="G1444" i="2"/>
  <c r="H1444" i="2"/>
  <c r="I1444" i="2"/>
  <c r="J1444" i="2"/>
  <c r="K1444" i="2"/>
  <c r="L1444" i="2"/>
  <c r="M1444" i="2"/>
  <c r="N1444" i="2"/>
  <c r="O1444" i="2"/>
  <c r="P1444" i="2"/>
  <c r="Q1444" i="2"/>
  <c r="R1444" i="2"/>
  <c r="S1444" i="2"/>
  <c r="T1444" i="2"/>
  <c r="U1444" i="2"/>
  <c r="V1444" i="2"/>
  <c r="W1444" i="2"/>
  <c r="X1444" i="2"/>
  <c r="Y1444" i="2"/>
  <c r="A1445" i="2"/>
  <c r="B1445" i="2"/>
  <c r="C1445" i="2"/>
  <c r="D1445" i="2"/>
  <c r="E1445" i="2"/>
  <c r="F1445" i="2"/>
  <c r="G1445" i="2"/>
  <c r="H1445" i="2"/>
  <c r="I1445" i="2"/>
  <c r="J1445" i="2"/>
  <c r="K1445" i="2"/>
  <c r="L1445" i="2"/>
  <c r="M1445" i="2"/>
  <c r="N1445" i="2"/>
  <c r="O1445" i="2"/>
  <c r="P1445" i="2"/>
  <c r="Q1445" i="2"/>
  <c r="R1445" i="2"/>
  <c r="S1445" i="2"/>
  <c r="T1445" i="2"/>
  <c r="U1445" i="2"/>
  <c r="V1445" i="2"/>
  <c r="W1445" i="2"/>
  <c r="X1445" i="2"/>
  <c r="Y1445" i="2"/>
  <c r="A1446" i="2"/>
  <c r="B1446" i="2"/>
  <c r="C1446" i="2"/>
  <c r="D1446" i="2"/>
  <c r="E1446" i="2"/>
  <c r="F1446" i="2"/>
  <c r="G1446" i="2"/>
  <c r="H1446" i="2"/>
  <c r="I1446" i="2"/>
  <c r="J1446" i="2"/>
  <c r="K1446" i="2"/>
  <c r="L1446" i="2"/>
  <c r="M1446" i="2"/>
  <c r="N1446" i="2"/>
  <c r="O1446" i="2"/>
  <c r="P1446" i="2"/>
  <c r="Q1446" i="2"/>
  <c r="R1446" i="2"/>
  <c r="S1446" i="2"/>
  <c r="T1446" i="2"/>
  <c r="U1446" i="2"/>
  <c r="V1446" i="2"/>
  <c r="W1446" i="2"/>
  <c r="X1446" i="2"/>
  <c r="Y1446" i="2"/>
  <c r="A1447" i="2"/>
  <c r="B1447" i="2"/>
  <c r="C1447" i="2"/>
  <c r="D1447" i="2"/>
  <c r="E1447" i="2"/>
  <c r="F1447" i="2"/>
  <c r="G1447" i="2"/>
  <c r="H1447" i="2"/>
  <c r="I1447" i="2"/>
  <c r="J1447" i="2"/>
  <c r="K1447" i="2"/>
  <c r="L1447" i="2"/>
  <c r="M1447" i="2"/>
  <c r="N1447" i="2"/>
  <c r="O1447" i="2"/>
  <c r="P1447" i="2"/>
  <c r="Q1447" i="2"/>
  <c r="R1447" i="2"/>
  <c r="S1447" i="2"/>
  <c r="T1447" i="2"/>
  <c r="U1447" i="2"/>
  <c r="V1447" i="2"/>
  <c r="W1447" i="2"/>
  <c r="X1447" i="2"/>
  <c r="Y1447" i="2"/>
  <c r="B1448" i="2"/>
  <c r="C1448" i="2"/>
  <c r="D1448" i="2"/>
  <c r="E1448" i="2"/>
  <c r="F1448" i="2"/>
  <c r="G1448" i="2"/>
  <c r="H1448" i="2"/>
  <c r="I1448" i="2"/>
  <c r="J1448" i="2"/>
  <c r="K1448" i="2"/>
  <c r="L1448" i="2"/>
  <c r="M1448" i="2"/>
  <c r="N1448" i="2"/>
  <c r="O1448" i="2"/>
  <c r="P1448" i="2"/>
  <c r="Q1448" i="2"/>
  <c r="R1448" i="2"/>
  <c r="S1448" i="2"/>
  <c r="T1448" i="2"/>
  <c r="U1448" i="2"/>
  <c r="V1448" i="2"/>
  <c r="W1448" i="2"/>
  <c r="X1448" i="2"/>
  <c r="Y1448" i="2"/>
  <c r="A1449" i="2"/>
  <c r="B1449" i="2"/>
  <c r="C1449" i="2"/>
  <c r="D1449" i="2"/>
  <c r="E1449" i="2"/>
  <c r="F1449" i="2"/>
  <c r="G1449" i="2"/>
  <c r="H1449" i="2"/>
  <c r="I1449" i="2"/>
  <c r="J1449" i="2"/>
  <c r="K1449" i="2"/>
  <c r="L1449" i="2"/>
  <c r="M1449" i="2"/>
  <c r="N1449" i="2"/>
  <c r="O1449" i="2"/>
  <c r="P1449" i="2"/>
  <c r="Q1449" i="2"/>
  <c r="R1449" i="2"/>
  <c r="S1449" i="2"/>
  <c r="T1449" i="2"/>
  <c r="U1449" i="2"/>
  <c r="V1449" i="2"/>
  <c r="W1449" i="2"/>
  <c r="X1449" i="2"/>
  <c r="Y1449" i="2"/>
  <c r="A1450" i="2"/>
  <c r="B1450" i="2"/>
  <c r="C1450" i="2"/>
  <c r="D1450" i="2"/>
  <c r="E1450" i="2"/>
  <c r="F1450" i="2"/>
  <c r="G1450" i="2"/>
  <c r="H1450" i="2"/>
  <c r="I1450" i="2"/>
  <c r="J1450" i="2"/>
  <c r="K1450" i="2"/>
  <c r="L1450" i="2"/>
  <c r="M1450" i="2"/>
  <c r="N1450" i="2"/>
  <c r="O1450" i="2"/>
  <c r="P1450" i="2"/>
  <c r="Q1450" i="2"/>
  <c r="R1450" i="2"/>
  <c r="S1450" i="2"/>
  <c r="T1450" i="2"/>
  <c r="U1450" i="2"/>
  <c r="V1450" i="2"/>
  <c r="W1450" i="2"/>
  <c r="X1450" i="2"/>
  <c r="Y1450" i="2"/>
  <c r="A1451" i="2"/>
  <c r="B1451" i="2"/>
  <c r="C1451" i="2"/>
  <c r="D1451" i="2"/>
  <c r="E1451" i="2"/>
  <c r="F1451" i="2"/>
  <c r="G1451" i="2"/>
  <c r="H1451" i="2"/>
  <c r="I1451" i="2"/>
  <c r="J1451" i="2"/>
  <c r="K1451" i="2"/>
  <c r="L1451" i="2"/>
  <c r="M1451" i="2"/>
  <c r="N1451" i="2"/>
  <c r="O1451" i="2"/>
  <c r="P1451" i="2"/>
  <c r="Q1451" i="2"/>
  <c r="R1451" i="2"/>
  <c r="S1451" i="2"/>
  <c r="T1451" i="2"/>
  <c r="U1451" i="2"/>
  <c r="V1451" i="2"/>
  <c r="W1451" i="2"/>
  <c r="X1451" i="2"/>
  <c r="Y1451" i="2"/>
  <c r="B1452" i="2"/>
  <c r="C1452" i="2"/>
  <c r="D1452" i="2"/>
  <c r="E1452" i="2"/>
  <c r="F1452" i="2"/>
  <c r="G1452" i="2"/>
  <c r="H1452" i="2"/>
  <c r="I1452" i="2"/>
  <c r="J1452" i="2"/>
  <c r="K1452" i="2"/>
  <c r="L1452" i="2"/>
  <c r="M1452" i="2"/>
  <c r="N1452" i="2"/>
  <c r="O1452" i="2"/>
  <c r="P1452" i="2"/>
  <c r="Q1452" i="2"/>
  <c r="R1452" i="2"/>
  <c r="S1452" i="2"/>
  <c r="T1452" i="2"/>
  <c r="U1452" i="2"/>
  <c r="V1452" i="2"/>
  <c r="W1452" i="2"/>
  <c r="X1452" i="2"/>
  <c r="Y1452" i="2"/>
  <c r="A1453" i="2"/>
  <c r="B1453" i="2"/>
  <c r="C1453" i="2"/>
  <c r="D1453" i="2"/>
  <c r="E1453" i="2"/>
  <c r="F1453" i="2"/>
  <c r="G1453" i="2"/>
  <c r="H1453" i="2"/>
  <c r="I1453" i="2"/>
  <c r="J1453" i="2"/>
  <c r="K1453" i="2"/>
  <c r="L1453" i="2"/>
  <c r="M1453" i="2"/>
  <c r="N1453" i="2"/>
  <c r="O1453" i="2"/>
  <c r="P1453" i="2"/>
  <c r="Q1453" i="2"/>
  <c r="R1453" i="2"/>
  <c r="S1453" i="2"/>
  <c r="T1453" i="2"/>
  <c r="U1453" i="2"/>
  <c r="V1453" i="2"/>
  <c r="W1453" i="2"/>
  <c r="X1453" i="2"/>
  <c r="Y1453" i="2"/>
  <c r="A1454" i="2"/>
  <c r="B1454" i="2"/>
  <c r="C1454" i="2"/>
  <c r="D1454" i="2"/>
  <c r="E1454" i="2"/>
  <c r="F1454" i="2"/>
  <c r="G1454" i="2"/>
  <c r="H1454" i="2"/>
  <c r="I1454" i="2"/>
  <c r="J1454" i="2"/>
  <c r="K1454" i="2"/>
  <c r="L1454" i="2"/>
  <c r="M1454" i="2"/>
  <c r="N1454" i="2"/>
  <c r="O1454" i="2"/>
  <c r="P1454" i="2"/>
  <c r="Q1454" i="2"/>
  <c r="R1454" i="2"/>
  <c r="S1454" i="2"/>
  <c r="T1454" i="2"/>
  <c r="U1454" i="2"/>
  <c r="V1454" i="2"/>
  <c r="W1454" i="2"/>
  <c r="X1454" i="2"/>
  <c r="Y1454" i="2"/>
  <c r="A1455" i="2"/>
  <c r="B1455" i="2"/>
  <c r="C1455" i="2"/>
  <c r="D1455" i="2"/>
  <c r="E1455" i="2"/>
  <c r="F1455" i="2"/>
  <c r="G1455" i="2"/>
  <c r="H1455" i="2"/>
  <c r="I1455" i="2"/>
  <c r="J1455" i="2"/>
  <c r="K1455" i="2"/>
  <c r="L1455" i="2"/>
  <c r="M1455" i="2"/>
  <c r="N1455" i="2"/>
  <c r="O1455" i="2"/>
  <c r="P1455" i="2"/>
  <c r="Q1455" i="2"/>
  <c r="R1455" i="2"/>
  <c r="S1455" i="2"/>
  <c r="T1455" i="2"/>
  <c r="U1455" i="2"/>
  <c r="V1455" i="2"/>
  <c r="W1455" i="2"/>
  <c r="X1455" i="2"/>
  <c r="Y1455" i="2"/>
  <c r="A1456" i="2"/>
  <c r="B1456" i="2"/>
  <c r="C1456" i="2"/>
  <c r="D1456" i="2"/>
  <c r="E1456" i="2"/>
  <c r="F1456" i="2"/>
  <c r="G1456" i="2"/>
  <c r="H1456" i="2"/>
  <c r="I1456" i="2"/>
  <c r="J1456" i="2"/>
  <c r="K1456" i="2"/>
  <c r="L1456" i="2"/>
  <c r="M1456" i="2"/>
  <c r="N1456" i="2"/>
  <c r="O1456" i="2"/>
  <c r="P1456" i="2"/>
  <c r="Q1456" i="2"/>
  <c r="R1456" i="2"/>
  <c r="S1456" i="2"/>
  <c r="T1456" i="2"/>
  <c r="U1456" i="2"/>
  <c r="V1456" i="2"/>
  <c r="W1456" i="2"/>
  <c r="X1456" i="2"/>
  <c r="Y1456" i="2"/>
  <c r="A1457" i="2"/>
  <c r="B1457" i="2"/>
  <c r="C1457" i="2"/>
  <c r="D1457" i="2"/>
  <c r="E1457" i="2"/>
  <c r="F1457" i="2"/>
  <c r="G1457" i="2"/>
  <c r="H1457" i="2"/>
  <c r="I1457" i="2"/>
  <c r="J1457" i="2"/>
  <c r="K1457" i="2"/>
  <c r="L1457" i="2"/>
  <c r="M1457" i="2"/>
  <c r="N1457" i="2"/>
  <c r="O1457" i="2"/>
  <c r="P1457" i="2"/>
  <c r="Q1457" i="2"/>
  <c r="R1457" i="2"/>
  <c r="S1457" i="2"/>
  <c r="T1457" i="2"/>
  <c r="U1457" i="2"/>
  <c r="V1457" i="2"/>
  <c r="W1457" i="2"/>
  <c r="X1457" i="2"/>
  <c r="Y1457" i="2"/>
  <c r="A1458" i="2"/>
  <c r="B1458" i="2"/>
  <c r="C1458" i="2"/>
  <c r="D1458" i="2"/>
  <c r="E1458" i="2"/>
  <c r="F1458" i="2"/>
  <c r="G1458" i="2"/>
  <c r="H1458" i="2"/>
  <c r="I1458" i="2"/>
  <c r="J1458" i="2"/>
  <c r="K1458" i="2"/>
  <c r="L1458" i="2"/>
  <c r="M1458" i="2"/>
  <c r="N1458" i="2"/>
  <c r="O1458" i="2"/>
  <c r="P1458" i="2"/>
  <c r="Q1458" i="2"/>
  <c r="R1458" i="2"/>
  <c r="S1458" i="2"/>
  <c r="T1458" i="2"/>
  <c r="U1458" i="2"/>
  <c r="V1458" i="2"/>
  <c r="W1458" i="2"/>
  <c r="X1458" i="2"/>
  <c r="Y1458" i="2"/>
  <c r="A1459" i="2"/>
  <c r="B1459" i="2"/>
  <c r="C1459" i="2"/>
  <c r="D1459" i="2"/>
  <c r="E1459" i="2"/>
  <c r="F1459" i="2"/>
  <c r="G1459" i="2"/>
  <c r="H1459" i="2"/>
  <c r="I1459" i="2"/>
  <c r="J1459" i="2"/>
  <c r="K1459" i="2"/>
  <c r="L1459" i="2"/>
  <c r="M1459" i="2"/>
  <c r="N1459" i="2"/>
  <c r="O1459" i="2"/>
  <c r="P1459" i="2"/>
  <c r="Q1459" i="2"/>
  <c r="R1459" i="2"/>
  <c r="S1459" i="2"/>
  <c r="T1459" i="2"/>
  <c r="U1459" i="2"/>
  <c r="V1459" i="2"/>
  <c r="W1459" i="2"/>
  <c r="X1459" i="2"/>
  <c r="Y1459" i="2"/>
  <c r="A1460" i="2"/>
  <c r="B1460" i="2"/>
  <c r="C1460" i="2"/>
  <c r="D1460" i="2"/>
  <c r="E1460" i="2"/>
  <c r="F1460" i="2"/>
  <c r="G1460" i="2"/>
  <c r="H1460" i="2"/>
  <c r="I1460" i="2"/>
  <c r="J1460" i="2"/>
  <c r="K1460" i="2"/>
  <c r="L1460" i="2"/>
  <c r="M1460" i="2"/>
  <c r="N1460" i="2"/>
  <c r="O1460" i="2"/>
  <c r="P1460" i="2"/>
  <c r="Q1460" i="2"/>
  <c r="R1460" i="2"/>
  <c r="S1460" i="2"/>
  <c r="T1460" i="2"/>
  <c r="U1460" i="2"/>
  <c r="V1460" i="2"/>
  <c r="W1460" i="2"/>
  <c r="X1460" i="2"/>
  <c r="Y1460" i="2"/>
  <c r="A1461" i="2"/>
  <c r="B1461" i="2"/>
  <c r="C1461" i="2"/>
  <c r="D1461" i="2"/>
  <c r="E1461" i="2"/>
  <c r="F1461" i="2"/>
  <c r="G1461" i="2"/>
  <c r="H1461" i="2"/>
  <c r="I1461" i="2"/>
  <c r="J1461" i="2"/>
  <c r="K1461" i="2"/>
  <c r="L1461" i="2"/>
  <c r="M1461" i="2"/>
  <c r="N1461" i="2"/>
  <c r="O1461" i="2"/>
  <c r="P1461" i="2"/>
  <c r="Q1461" i="2"/>
  <c r="R1461" i="2"/>
  <c r="S1461" i="2"/>
  <c r="T1461" i="2"/>
  <c r="U1461" i="2"/>
  <c r="V1461" i="2"/>
  <c r="W1461" i="2"/>
  <c r="X1461" i="2"/>
  <c r="Y1461" i="2"/>
  <c r="A1462" i="2"/>
  <c r="B1462" i="2"/>
  <c r="C1462" i="2"/>
  <c r="D1462" i="2"/>
  <c r="E1462" i="2"/>
  <c r="F1462" i="2"/>
  <c r="G1462" i="2"/>
  <c r="H1462" i="2"/>
  <c r="I1462" i="2"/>
  <c r="J1462" i="2"/>
  <c r="K1462" i="2"/>
  <c r="L1462" i="2"/>
  <c r="M1462" i="2"/>
  <c r="N1462" i="2"/>
  <c r="O1462" i="2"/>
  <c r="P1462" i="2"/>
  <c r="Q1462" i="2"/>
  <c r="R1462" i="2"/>
  <c r="S1462" i="2"/>
  <c r="T1462" i="2"/>
  <c r="U1462" i="2"/>
  <c r="V1462" i="2"/>
  <c r="W1462" i="2"/>
  <c r="X1462" i="2"/>
  <c r="Y1462" i="2"/>
  <c r="A1463" i="2"/>
  <c r="B1463" i="2"/>
  <c r="C1463" i="2"/>
  <c r="D1463" i="2"/>
  <c r="E1463" i="2"/>
  <c r="F1463" i="2"/>
  <c r="G1463" i="2"/>
  <c r="H1463" i="2"/>
  <c r="I1463" i="2"/>
  <c r="J1463" i="2"/>
  <c r="K1463" i="2"/>
  <c r="L1463" i="2"/>
  <c r="M1463" i="2"/>
  <c r="N1463" i="2"/>
  <c r="O1463" i="2"/>
  <c r="P1463" i="2"/>
  <c r="Q1463" i="2"/>
  <c r="R1463" i="2"/>
  <c r="S1463" i="2"/>
  <c r="T1463" i="2"/>
  <c r="U1463" i="2"/>
  <c r="V1463" i="2"/>
  <c r="W1463" i="2"/>
  <c r="X1463" i="2"/>
  <c r="Y1463" i="2"/>
  <c r="B1464" i="2"/>
  <c r="C1464" i="2"/>
  <c r="D1464" i="2"/>
  <c r="E1464" i="2"/>
  <c r="F1464" i="2"/>
  <c r="G1464" i="2"/>
  <c r="H1464" i="2"/>
  <c r="I1464" i="2"/>
  <c r="J1464" i="2"/>
  <c r="K1464" i="2"/>
  <c r="L1464" i="2"/>
  <c r="M1464" i="2"/>
  <c r="N1464" i="2"/>
  <c r="O1464" i="2"/>
  <c r="P1464" i="2"/>
  <c r="Q1464" i="2"/>
  <c r="R1464" i="2"/>
  <c r="S1464" i="2"/>
  <c r="T1464" i="2"/>
  <c r="U1464" i="2"/>
  <c r="V1464" i="2"/>
  <c r="W1464" i="2"/>
  <c r="X1464" i="2"/>
  <c r="Y1464" i="2"/>
  <c r="A1465" i="2"/>
  <c r="B1465" i="2"/>
  <c r="C1465" i="2"/>
  <c r="D1465" i="2"/>
  <c r="E1465" i="2"/>
  <c r="F1465" i="2"/>
  <c r="G1465" i="2"/>
  <c r="H1465" i="2"/>
  <c r="I1465" i="2"/>
  <c r="J1465" i="2"/>
  <c r="K1465" i="2"/>
  <c r="L1465" i="2"/>
  <c r="M1465" i="2"/>
  <c r="N1465" i="2"/>
  <c r="O1465" i="2"/>
  <c r="P1465" i="2"/>
  <c r="Q1465" i="2"/>
  <c r="R1465" i="2"/>
  <c r="S1465" i="2"/>
  <c r="T1465" i="2"/>
  <c r="U1465" i="2"/>
  <c r="V1465" i="2"/>
  <c r="W1465" i="2"/>
  <c r="X1465" i="2"/>
  <c r="Y1465" i="2"/>
  <c r="A1466" i="2"/>
  <c r="B1466" i="2"/>
  <c r="C1466" i="2"/>
  <c r="D1466" i="2"/>
  <c r="E1466" i="2"/>
  <c r="F1466" i="2"/>
  <c r="G1466" i="2"/>
  <c r="H1466" i="2"/>
  <c r="I1466" i="2"/>
  <c r="J1466" i="2"/>
  <c r="K1466" i="2"/>
  <c r="L1466" i="2"/>
  <c r="M1466" i="2"/>
  <c r="N1466" i="2"/>
  <c r="O1466" i="2"/>
  <c r="P1466" i="2"/>
  <c r="Q1466" i="2"/>
  <c r="R1466" i="2"/>
  <c r="S1466" i="2"/>
  <c r="T1466" i="2"/>
  <c r="U1466" i="2"/>
  <c r="V1466" i="2"/>
  <c r="W1466" i="2"/>
  <c r="X1466" i="2"/>
  <c r="Y1466" i="2"/>
  <c r="A1467" i="2"/>
  <c r="B1467" i="2"/>
  <c r="C1467" i="2"/>
  <c r="D1467" i="2"/>
  <c r="E1467" i="2"/>
  <c r="F1467" i="2"/>
  <c r="G1467" i="2"/>
  <c r="H1467" i="2"/>
  <c r="I1467" i="2"/>
  <c r="J1467" i="2"/>
  <c r="K1467" i="2"/>
  <c r="L1467" i="2"/>
  <c r="M1467" i="2"/>
  <c r="N1467" i="2"/>
  <c r="O1467" i="2"/>
  <c r="P1467" i="2"/>
  <c r="Q1467" i="2"/>
  <c r="R1467" i="2"/>
  <c r="S1467" i="2"/>
  <c r="T1467" i="2"/>
  <c r="U1467" i="2"/>
  <c r="V1467" i="2"/>
  <c r="W1467" i="2"/>
  <c r="X1467" i="2"/>
  <c r="Y1467" i="2"/>
  <c r="B1468" i="2"/>
  <c r="C1468" i="2"/>
  <c r="D1468" i="2"/>
  <c r="E1468" i="2"/>
  <c r="F1468" i="2"/>
  <c r="G1468" i="2"/>
  <c r="H1468" i="2"/>
  <c r="I1468" i="2"/>
  <c r="J1468" i="2"/>
  <c r="K1468" i="2"/>
  <c r="L1468" i="2"/>
  <c r="M1468" i="2"/>
  <c r="N1468" i="2"/>
  <c r="O1468" i="2"/>
  <c r="P1468" i="2"/>
  <c r="Q1468" i="2"/>
  <c r="R1468" i="2"/>
  <c r="S1468" i="2"/>
  <c r="T1468" i="2"/>
  <c r="U1468" i="2"/>
  <c r="V1468" i="2"/>
  <c r="W1468" i="2"/>
  <c r="X1468" i="2"/>
  <c r="Y1468" i="2"/>
  <c r="A1469" i="2"/>
  <c r="B1469" i="2"/>
  <c r="C1469" i="2"/>
  <c r="D1469" i="2"/>
  <c r="E1469" i="2"/>
  <c r="F1469" i="2"/>
  <c r="G1469" i="2"/>
  <c r="H1469" i="2"/>
  <c r="I1469" i="2"/>
  <c r="J1469" i="2"/>
  <c r="K1469" i="2"/>
  <c r="L1469" i="2"/>
  <c r="M1469" i="2"/>
  <c r="N1469" i="2"/>
  <c r="O1469" i="2"/>
  <c r="P1469" i="2"/>
  <c r="Q1469" i="2"/>
  <c r="R1469" i="2"/>
  <c r="S1469" i="2"/>
  <c r="T1469" i="2"/>
  <c r="U1469" i="2"/>
  <c r="V1469" i="2"/>
  <c r="W1469" i="2"/>
  <c r="X1469" i="2"/>
  <c r="Y1469" i="2"/>
  <c r="A1470" i="2"/>
  <c r="B1470" i="2"/>
  <c r="C1470" i="2"/>
  <c r="D1470" i="2"/>
  <c r="E1470" i="2"/>
  <c r="F1470" i="2"/>
  <c r="G1470" i="2"/>
  <c r="H1470" i="2"/>
  <c r="I1470" i="2"/>
  <c r="J1470" i="2"/>
  <c r="K1470" i="2"/>
  <c r="L1470" i="2"/>
  <c r="M1470" i="2"/>
  <c r="N1470" i="2"/>
  <c r="O1470" i="2"/>
  <c r="P1470" i="2"/>
  <c r="Q1470" i="2"/>
  <c r="R1470" i="2"/>
  <c r="S1470" i="2"/>
  <c r="T1470" i="2"/>
  <c r="U1470" i="2"/>
  <c r="V1470" i="2"/>
  <c r="W1470" i="2"/>
  <c r="X1470" i="2"/>
  <c r="Y1470" i="2"/>
  <c r="A1471" i="2"/>
  <c r="B1471" i="2"/>
  <c r="C1471" i="2"/>
  <c r="D1471" i="2"/>
  <c r="E1471" i="2"/>
  <c r="F1471" i="2"/>
  <c r="G1471" i="2"/>
  <c r="H1471" i="2"/>
  <c r="I1471" i="2"/>
  <c r="J1471" i="2"/>
  <c r="K1471" i="2"/>
  <c r="L1471" i="2"/>
  <c r="M1471" i="2"/>
  <c r="N1471" i="2"/>
  <c r="O1471" i="2"/>
  <c r="P1471" i="2"/>
  <c r="Q1471" i="2"/>
  <c r="R1471" i="2"/>
  <c r="S1471" i="2"/>
  <c r="T1471" i="2"/>
  <c r="U1471" i="2"/>
  <c r="V1471" i="2"/>
  <c r="W1471" i="2"/>
  <c r="X1471" i="2"/>
  <c r="Y1471" i="2"/>
  <c r="A1472" i="2"/>
  <c r="B1472" i="2"/>
  <c r="C1472" i="2"/>
  <c r="D1472" i="2"/>
  <c r="E1472" i="2"/>
  <c r="F1472" i="2"/>
  <c r="G1472" i="2"/>
  <c r="H1472" i="2"/>
  <c r="I1472" i="2"/>
  <c r="J1472" i="2"/>
  <c r="K1472" i="2"/>
  <c r="L1472" i="2"/>
  <c r="M1472" i="2"/>
  <c r="N1472" i="2"/>
  <c r="O1472" i="2"/>
  <c r="P1472" i="2"/>
  <c r="Q1472" i="2"/>
  <c r="R1472" i="2"/>
  <c r="S1472" i="2"/>
  <c r="T1472" i="2"/>
  <c r="U1472" i="2"/>
  <c r="V1472" i="2"/>
  <c r="W1472" i="2"/>
  <c r="X1472" i="2"/>
  <c r="Y1472" i="2"/>
  <c r="A1473" i="2"/>
  <c r="B1473" i="2"/>
  <c r="C1473" i="2"/>
  <c r="D1473" i="2"/>
  <c r="E1473" i="2"/>
  <c r="F1473" i="2"/>
  <c r="G1473" i="2"/>
  <c r="H1473" i="2"/>
  <c r="I1473" i="2"/>
  <c r="J1473" i="2"/>
  <c r="K1473" i="2"/>
  <c r="L1473" i="2"/>
  <c r="M1473" i="2"/>
  <c r="N1473" i="2"/>
  <c r="O1473" i="2"/>
  <c r="P1473" i="2"/>
  <c r="Q1473" i="2"/>
  <c r="R1473" i="2"/>
  <c r="S1473" i="2"/>
  <c r="T1473" i="2"/>
  <c r="U1473" i="2"/>
  <c r="V1473" i="2"/>
  <c r="W1473" i="2"/>
  <c r="X1473" i="2"/>
  <c r="Y1473" i="2"/>
  <c r="A1474" i="2"/>
  <c r="B1474" i="2"/>
  <c r="C1474" i="2"/>
  <c r="D1474" i="2"/>
  <c r="E1474" i="2"/>
  <c r="F1474" i="2"/>
  <c r="G1474" i="2"/>
  <c r="H1474" i="2"/>
  <c r="I1474" i="2"/>
  <c r="J1474" i="2"/>
  <c r="K1474" i="2"/>
  <c r="L1474" i="2"/>
  <c r="M1474" i="2"/>
  <c r="N1474" i="2"/>
  <c r="O1474" i="2"/>
  <c r="P1474" i="2"/>
  <c r="Q1474" i="2"/>
  <c r="R1474" i="2"/>
  <c r="S1474" i="2"/>
  <c r="T1474" i="2"/>
  <c r="U1474" i="2"/>
  <c r="V1474" i="2"/>
  <c r="W1474" i="2"/>
  <c r="X1474" i="2"/>
  <c r="Y1474" i="2"/>
  <c r="A1475" i="2"/>
  <c r="B1475" i="2"/>
  <c r="C1475" i="2"/>
  <c r="D1475" i="2"/>
  <c r="E1475" i="2"/>
  <c r="F1475" i="2"/>
  <c r="G1475" i="2"/>
  <c r="H1475" i="2"/>
  <c r="I1475" i="2"/>
  <c r="J1475" i="2"/>
  <c r="K1475" i="2"/>
  <c r="L1475" i="2"/>
  <c r="M1475" i="2"/>
  <c r="N1475" i="2"/>
  <c r="O1475" i="2"/>
  <c r="P1475" i="2"/>
  <c r="Q1475" i="2"/>
  <c r="R1475" i="2"/>
  <c r="S1475" i="2"/>
  <c r="T1475" i="2"/>
  <c r="U1475" i="2"/>
  <c r="V1475" i="2"/>
  <c r="W1475" i="2"/>
  <c r="X1475" i="2"/>
  <c r="Y1475" i="2"/>
  <c r="A1476" i="2"/>
  <c r="B1476" i="2"/>
  <c r="C1476" i="2"/>
  <c r="D1476" i="2"/>
  <c r="E1476" i="2"/>
  <c r="F1476" i="2"/>
  <c r="G1476" i="2"/>
  <c r="H1476" i="2"/>
  <c r="I1476" i="2"/>
  <c r="J1476" i="2"/>
  <c r="K1476" i="2"/>
  <c r="L1476" i="2"/>
  <c r="M1476" i="2"/>
  <c r="N1476" i="2"/>
  <c r="O1476" i="2"/>
  <c r="P1476" i="2"/>
  <c r="Q1476" i="2"/>
  <c r="R1476" i="2"/>
  <c r="S1476" i="2"/>
  <c r="T1476" i="2"/>
  <c r="U1476" i="2"/>
  <c r="V1476" i="2"/>
  <c r="W1476" i="2"/>
  <c r="X1476" i="2"/>
  <c r="Y1476" i="2"/>
  <c r="A1477" i="2"/>
  <c r="B1477" i="2"/>
  <c r="C1477" i="2"/>
  <c r="D1477" i="2"/>
  <c r="E1477" i="2"/>
  <c r="F1477" i="2"/>
  <c r="G1477" i="2"/>
  <c r="H1477" i="2"/>
  <c r="I1477" i="2"/>
  <c r="J1477" i="2"/>
  <c r="K1477" i="2"/>
  <c r="L1477" i="2"/>
  <c r="M1477" i="2"/>
  <c r="N1477" i="2"/>
  <c r="O1477" i="2"/>
  <c r="P1477" i="2"/>
  <c r="Q1477" i="2"/>
  <c r="R1477" i="2"/>
  <c r="S1477" i="2"/>
  <c r="T1477" i="2"/>
  <c r="U1477" i="2"/>
  <c r="V1477" i="2"/>
  <c r="W1477" i="2"/>
  <c r="X1477" i="2"/>
  <c r="Y1477" i="2"/>
  <c r="A1478" i="2"/>
  <c r="B1478" i="2"/>
  <c r="C1478" i="2"/>
  <c r="D1478" i="2"/>
  <c r="E1478" i="2"/>
  <c r="F1478" i="2"/>
  <c r="G1478" i="2"/>
  <c r="H1478" i="2"/>
  <c r="I1478" i="2"/>
  <c r="J1478" i="2"/>
  <c r="K1478" i="2"/>
  <c r="L1478" i="2"/>
  <c r="M1478" i="2"/>
  <c r="N1478" i="2"/>
  <c r="O1478" i="2"/>
  <c r="P1478" i="2"/>
  <c r="Q1478" i="2"/>
  <c r="R1478" i="2"/>
  <c r="S1478" i="2"/>
  <c r="T1478" i="2"/>
  <c r="U1478" i="2"/>
  <c r="V1478" i="2"/>
  <c r="W1478" i="2"/>
  <c r="X1478" i="2"/>
  <c r="Y1478" i="2"/>
  <c r="A1479" i="2"/>
  <c r="B1479" i="2"/>
  <c r="C1479" i="2"/>
  <c r="D1479" i="2"/>
  <c r="E1479" i="2"/>
  <c r="F1479" i="2"/>
  <c r="G1479" i="2"/>
  <c r="H1479" i="2"/>
  <c r="I1479" i="2"/>
  <c r="J1479" i="2"/>
  <c r="K1479" i="2"/>
  <c r="L1479" i="2"/>
  <c r="M1479" i="2"/>
  <c r="N1479" i="2"/>
  <c r="O1479" i="2"/>
  <c r="P1479" i="2"/>
  <c r="Q1479" i="2"/>
  <c r="R1479" i="2"/>
  <c r="S1479" i="2"/>
  <c r="T1479" i="2"/>
  <c r="U1479" i="2"/>
  <c r="V1479" i="2"/>
  <c r="W1479" i="2"/>
  <c r="X1479" i="2"/>
  <c r="Y1479" i="2"/>
  <c r="B1480" i="2"/>
  <c r="C1480" i="2"/>
  <c r="D1480" i="2"/>
  <c r="E1480" i="2"/>
  <c r="F1480" i="2"/>
  <c r="G1480" i="2"/>
  <c r="H1480" i="2"/>
  <c r="I1480" i="2"/>
  <c r="J1480" i="2"/>
  <c r="K1480" i="2"/>
  <c r="L1480" i="2"/>
  <c r="M1480" i="2"/>
  <c r="N1480" i="2"/>
  <c r="O1480" i="2"/>
  <c r="P1480" i="2"/>
  <c r="Q1480" i="2"/>
  <c r="R1480" i="2"/>
  <c r="S1480" i="2"/>
  <c r="T1480" i="2"/>
  <c r="U1480" i="2"/>
  <c r="V1480" i="2"/>
  <c r="W1480" i="2"/>
  <c r="X1480" i="2"/>
  <c r="Y1480" i="2"/>
  <c r="A1481" i="2"/>
  <c r="B1481" i="2"/>
  <c r="C1481" i="2"/>
  <c r="D1481" i="2"/>
  <c r="E1481" i="2"/>
  <c r="F1481" i="2"/>
  <c r="G1481" i="2"/>
  <c r="H1481" i="2"/>
  <c r="I1481" i="2"/>
  <c r="J1481" i="2"/>
  <c r="K1481" i="2"/>
  <c r="L1481" i="2"/>
  <c r="M1481" i="2"/>
  <c r="N1481" i="2"/>
  <c r="O1481" i="2"/>
  <c r="P1481" i="2"/>
  <c r="Q1481" i="2"/>
  <c r="R1481" i="2"/>
  <c r="S1481" i="2"/>
  <c r="T1481" i="2"/>
  <c r="U1481" i="2"/>
  <c r="V1481" i="2"/>
  <c r="W1481" i="2"/>
  <c r="X1481" i="2"/>
  <c r="Y1481" i="2"/>
  <c r="A1482" i="2"/>
  <c r="B1482" i="2"/>
  <c r="C1482" i="2"/>
  <c r="D1482" i="2"/>
  <c r="E1482" i="2"/>
  <c r="F1482" i="2"/>
  <c r="G1482" i="2"/>
  <c r="H1482" i="2"/>
  <c r="I1482" i="2"/>
  <c r="J1482" i="2"/>
  <c r="K1482" i="2"/>
  <c r="L1482" i="2"/>
  <c r="M1482" i="2"/>
  <c r="N1482" i="2"/>
  <c r="O1482" i="2"/>
  <c r="P1482" i="2"/>
  <c r="Q1482" i="2"/>
  <c r="R1482" i="2"/>
  <c r="S1482" i="2"/>
  <c r="T1482" i="2"/>
  <c r="U1482" i="2"/>
  <c r="V1482" i="2"/>
  <c r="W1482" i="2"/>
  <c r="X1482" i="2"/>
  <c r="Y1482" i="2"/>
  <c r="A1483" i="2"/>
  <c r="B1483" i="2"/>
  <c r="C1483" i="2"/>
  <c r="D1483" i="2"/>
  <c r="E1483" i="2"/>
  <c r="F1483" i="2"/>
  <c r="G1483" i="2"/>
  <c r="H1483" i="2"/>
  <c r="I1483" i="2"/>
  <c r="J1483" i="2"/>
  <c r="K1483" i="2"/>
  <c r="L1483" i="2"/>
  <c r="M1483" i="2"/>
  <c r="N1483" i="2"/>
  <c r="O1483" i="2"/>
  <c r="P1483" i="2"/>
  <c r="Q1483" i="2"/>
  <c r="R1483" i="2"/>
  <c r="S1483" i="2"/>
  <c r="T1483" i="2"/>
  <c r="U1483" i="2"/>
  <c r="V1483" i="2"/>
  <c r="W1483" i="2"/>
  <c r="X1483" i="2"/>
  <c r="Y1483" i="2"/>
  <c r="B1484" i="2"/>
  <c r="C1484" i="2"/>
  <c r="D1484" i="2"/>
  <c r="E1484" i="2"/>
  <c r="F1484" i="2"/>
  <c r="G1484" i="2"/>
  <c r="H1484" i="2"/>
  <c r="I1484" i="2"/>
  <c r="J1484" i="2"/>
  <c r="K1484" i="2"/>
  <c r="L1484" i="2"/>
  <c r="M1484" i="2"/>
  <c r="N1484" i="2"/>
  <c r="O1484" i="2"/>
  <c r="P1484" i="2"/>
  <c r="Q1484" i="2"/>
  <c r="R1484" i="2"/>
  <c r="S1484" i="2"/>
  <c r="T1484" i="2"/>
  <c r="U1484" i="2"/>
  <c r="V1484" i="2"/>
  <c r="W1484" i="2"/>
  <c r="X1484" i="2"/>
  <c r="Y1484" i="2"/>
  <c r="A1485" i="2"/>
  <c r="B1485" i="2"/>
  <c r="C1485" i="2"/>
  <c r="D1485" i="2"/>
  <c r="E1485" i="2"/>
  <c r="F1485" i="2"/>
  <c r="G1485" i="2"/>
  <c r="H1485" i="2"/>
  <c r="I1485" i="2"/>
  <c r="J1485" i="2"/>
  <c r="K1485" i="2"/>
  <c r="L1485" i="2"/>
  <c r="M1485" i="2"/>
  <c r="N1485" i="2"/>
  <c r="O1485" i="2"/>
  <c r="P1485" i="2"/>
  <c r="Q1485" i="2"/>
  <c r="R1485" i="2"/>
  <c r="S1485" i="2"/>
  <c r="T1485" i="2"/>
  <c r="U1485" i="2"/>
  <c r="V1485" i="2"/>
  <c r="W1485" i="2"/>
  <c r="X1485" i="2"/>
  <c r="Y1485" i="2"/>
  <c r="A1486" i="2"/>
  <c r="B1486" i="2"/>
  <c r="C1486" i="2"/>
  <c r="D1486" i="2"/>
  <c r="E1486" i="2"/>
  <c r="F1486" i="2"/>
  <c r="G1486" i="2"/>
  <c r="H1486" i="2"/>
  <c r="I1486" i="2"/>
  <c r="J1486" i="2"/>
  <c r="K1486" i="2"/>
  <c r="L1486" i="2"/>
  <c r="M1486" i="2"/>
  <c r="N1486" i="2"/>
  <c r="O1486" i="2"/>
  <c r="P1486" i="2"/>
  <c r="Q1486" i="2"/>
  <c r="R1486" i="2"/>
  <c r="S1486" i="2"/>
  <c r="T1486" i="2"/>
  <c r="U1486" i="2"/>
  <c r="V1486" i="2"/>
  <c r="W1486" i="2"/>
  <c r="X1486" i="2"/>
  <c r="Y1486" i="2"/>
  <c r="A1487" i="2"/>
  <c r="B1487" i="2"/>
  <c r="C1487" i="2"/>
  <c r="D1487" i="2"/>
  <c r="E1487" i="2"/>
  <c r="F1487" i="2"/>
  <c r="G1487" i="2"/>
  <c r="H1487" i="2"/>
  <c r="I1487" i="2"/>
  <c r="J1487" i="2"/>
  <c r="K1487" i="2"/>
  <c r="L1487" i="2"/>
  <c r="M1487" i="2"/>
  <c r="N1487" i="2"/>
  <c r="O1487" i="2"/>
  <c r="P1487" i="2"/>
  <c r="Q1487" i="2"/>
  <c r="R1487" i="2"/>
  <c r="S1487" i="2"/>
  <c r="T1487" i="2"/>
  <c r="U1487" i="2"/>
  <c r="V1487" i="2"/>
  <c r="W1487" i="2"/>
  <c r="X1487" i="2"/>
  <c r="Y1487" i="2"/>
  <c r="A1488" i="2"/>
  <c r="B1488" i="2"/>
  <c r="C1488" i="2"/>
  <c r="D1488" i="2"/>
  <c r="E1488" i="2"/>
  <c r="F1488" i="2"/>
  <c r="G1488" i="2"/>
  <c r="H1488" i="2"/>
  <c r="I1488" i="2"/>
  <c r="J1488" i="2"/>
  <c r="K1488" i="2"/>
  <c r="L1488" i="2"/>
  <c r="M1488" i="2"/>
  <c r="N1488" i="2"/>
  <c r="O1488" i="2"/>
  <c r="P1488" i="2"/>
  <c r="Q1488" i="2"/>
  <c r="R1488" i="2"/>
  <c r="S1488" i="2"/>
  <c r="T1488" i="2"/>
  <c r="U1488" i="2"/>
  <c r="V1488" i="2"/>
  <c r="W1488" i="2"/>
  <c r="X1488" i="2"/>
  <c r="Y1488" i="2"/>
  <c r="A1489" i="2"/>
  <c r="B1489" i="2"/>
  <c r="C1489" i="2"/>
  <c r="D1489" i="2"/>
  <c r="E1489" i="2"/>
  <c r="F1489" i="2"/>
  <c r="G1489" i="2"/>
  <c r="H1489" i="2"/>
  <c r="I1489" i="2"/>
  <c r="J1489" i="2"/>
  <c r="K1489" i="2"/>
  <c r="L1489" i="2"/>
  <c r="M1489" i="2"/>
  <c r="N1489" i="2"/>
  <c r="O1489" i="2"/>
  <c r="P1489" i="2"/>
  <c r="Q1489" i="2"/>
  <c r="R1489" i="2"/>
  <c r="S1489" i="2"/>
  <c r="T1489" i="2"/>
  <c r="U1489" i="2"/>
  <c r="V1489" i="2"/>
  <c r="W1489" i="2"/>
  <c r="X1489" i="2"/>
  <c r="Y1489" i="2"/>
  <c r="A1490" i="2"/>
  <c r="B1490" i="2"/>
  <c r="C1490" i="2"/>
  <c r="D1490" i="2"/>
  <c r="E1490" i="2"/>
  <c r="F1490" i="2"/>
  <c r="G1490" i="2"/>
  <c r="H1490" i="2"/>
  <c r="I1490" i="2"/>
  <c r="J1490" i="2"/>
  <c r="K1490" i="2"/>
  <c r="L1490" i="2"/>
  <c r="M1490" i="2"/>
  <c r="N1490" i="2"/>
  <c r="O1490" i="2"/>
  <c r="P1490" i="2"/>
  <c r="Q1490" i="2"/>
  <c r="R1490" i="2"/>
  <c r="S1490" i="2"/>
  <c r="T1490" i="2"/>
  <c r="U1490" i="2"/>
  <c r="V1490" i="2"/>
  <c r="W1490" i="2"/>
  <c r="X1490" i="2"/>
  <c r="Y1490" i="2"/>
  <c r="A1491" i="2"/>
  <c r="B1491" i="2"/>
  <c r="C1491" i="2"/>
  <c r="D1491" i="2"/>
  <c r="E1491" i="2"/>
  <c r="F1491" i="2"/>
  <c r="G1491" i="2"/>
  <c r="H1491" i="2"/>
  <c r="I1491" i="2"/>
  <c r="J1491" i="2"/>
  <c r="K1491" i="2"/>
  <c r="L1491" i="2"/>
  <c r="M1491" i="2"/>
  <c r="N1491" i="2"/>
  <c r="O1491" i="2"/>
  <c r="P1491" i="2"/>
  <c r="Q1491" i="2"/>
  <c r="R1491" i="2"/>
  <c r="S1491" i="2"/>
  <c r="T1491" i="2"/>
  <c r="U1491" i="2"/>
  <c r="V1491" i="2"/>
  <c r="W1491" i="2"/>
  <c r="X1491" i="2"/>
  <c r="Y1491" i="2"/>
  <c r="A1492" i="2"/>
  <c r="B1492" i="2"/>
  <c r="C1492" i="2"/>
  <c r="D1492" i="2"/>
  <c r="E1492" i="2"/>
  <c r="F1492" i="2"/>
  <c r="G1492" i="2"/>
  <c r="H1492" i="2"/>
  <c r="I1492" i="2"/>
  <c r="J1492" i="2"/>
  <c r="K1492" i="2"/>
  <c r="L1492" i="2"/>
  <c r="M1492" i="2"/>
  <c r="N1492" i="2"/>
  <c r="O1492" i="2"/>
  <c r="P1492" i="2"/>
  <c r="Q1492" i="2"/>
  <c r="R1492" i="2"/>
  <c r="S1492" i="2"/>
  <c r="T1492" i="2"/>
  <c r="U1492" i="2"/>
  <c r="V1492" i="2"/>
  <c r="W1492" i="2"/>
  <c r="X1492" i="2"/>
  <c r="Y1492" i="2"/>
  <c r="A1493" i="2"/>
  <c r="B1493" i="2"/>
  <c r="C1493" i="2"/>
  <c r="D1493" i="2"/>
  <c r="E1493" i="2"/>
  <c r="F1493" i="2"/>
  <c r="G1493" i="2"/>
  <c r="H1493" i="2"/>
  <c r="I1493" i="2"/>
  <c r="J1493" i="2"/>
  <c r="K1493" i="2"/>
  <c r="L1493" i="2"/>
  <c r="M1493" i="2"/>
  <c r="N1493" i="2"/>
  <c r="O1493" i="2"/>
  <c r="P1493" i="2"/>
  <c r="Q1493" i="2"/>
  <c r="R1493" i="2"/>
  <c r="S1493" i="2"/>
  <c r="T1493" i="2"/>
  <c r="U1493" i="2"/>
  <c r="V1493" i="2"/>
  <c r="W1493" i="2"/>
  <c r="X1493" i="2"/>
  <c r="Y1493" i="2"/>
  <c r="A1494" i="2"/>
  <c r="B1494" i="2"/>
  <c r="C1494" i="2"/>
  <c r="D1494" i="2"/>
  <c r="E1494" i="2"/>
  <c r="F1494" i="2"/>
  <c r="G1494" i="2"/>
  <c r="H1494" i="2"/>
  <c r="I1494" i="2"/>
  <c r="J1494" i="2"/>
  <c r="K1494" i="2"/>
  <c r="L1494" i="2"/>
  <c r="M1494" i="2"/>
  <c r="N1494" i="2"/>
  <c r="O1494" i="2"/>
  <c r="P1494" i="2"/>
  <c r="Q1494" i="2"/>
  <c r="R1494" i="2"/>
  <c r="S1494" i="2"/>
  <c r="T1494" i="2"/>
  <c r="U1494" i="2"/>
  <c r="V1494" i="2"/>
  <c r="W1494" i="2"/>
  <c r="X1494" i="2"/>
  <c r="Y1494" i="2"/>
  <c r="A1495" i="2"/>
  <c r="B1495" i="2"/>
  <c r="C1495" i="2"/>
  <c r="D1495" i="2"/>
  <c r="E1495" i="2"/>
  <c r="F1495" i="2"/>
  <c r="G1495" i="2"/>
  <c r="H1495" i="2"/>
  <c r="I1495" i="2"/>
  <c r="J1495" i="2"/>
  <c r="K1495" i="2"/>
  <c r="L1495" i="2"/>
  <c r="M1495" i="2"/>
  <c r="N1495" i="2"/>
  <c r="O1495" i="2"/>
  <c r="P1495" i="2"/>
  <c r="Q1495" i="2"/>
  <c r="R1495" i="2"/>
  <c r="S1495" i="2"/>
  <c r="T1495" i="2"/>
  <c r="U1495" i="2"/>
  <c r="V1495" i="2"/>
  <c r="W1495" i="2"/>
  <c r="X1495" i="2"/>
  <c r="Y1495" i="2"/>
  <c r="B1496" i="2"/>
  <c r="C1496" i="2"/>
  <c r="D1496" i="2"/>
  <c r="E1496" i="2"/>
  <c r="F1496" i="2"/>
  <c r="G1496" i="2"/>
  <c r="H1496" i="2"/>
  <c r="I1496" i="2"/>
  <c r="J1496" i="2"/>
  <c r="K1496" i="2"/>
  <c r="L1496" i="2"/>
  <c r="M1496" i="2"/>
  <c r="N1496" i="2"/>
  <c r="O1496" i="2"/>
  <c r="P1496" i="2"/>
  <c r="Q1496" i="2"/>
  <c r="R1496" i="2"/>
  <c r="S1496" i="2"/>
  <c r="T1496" i="2"/>
  <c r="U1496" i="2"/>
  <c r="V1496" i="2"/>
  <c r="W1496" i="2"/>
  <c r="X1496" i="2"/>
  <c r="Y1496" i="2"/>
  <c r="A1497" i="2"/>
  <c r="B1497" i="2"/>
  <c r="C1497" i="2"/>
  <c r="D1497" i="2"/>
  <c r="E1497" i="2"/>
  <c r="F1497" i="2"/>
  <c r="G1497" i="2"/>
  <c r="H1497" i="2"/>
  <c r="I1497" i="2"/>
  <c r="J1497" i="2"/>
  <c r="K1497" i="2"/>
  <c r="L1497" i="2"/>
  <c r="M1497" i="2"/>
  <c r="N1497" i="2"/>
  <c r="O1497" i="2"/>
  <c r="P1497" i="2"/>
  <c r="Q1497" i="2"/>
  <c r="R1497" i="2"/>
  <c r="S1497" i="2"/>
  <c r="T1497" i="2"/>
  <c r="U1497" i="2"/>
  <c r="V1497" i="2"/>
  <c r="W1497" i="2"/>
  <c r="X1497" i="2"/>
  <c r="Y1497" i="2"/>
  <c r="A1498" i="2"/>
  <c r="B1498" i="2"/>
  <c r="C1498" i="2"/>
  <c r="D1498" i="2"/>
  <c r="E1498" i="2"/>
  <c r="F1498" i="2"/>
  <c r="G1498" i="2"/>
  <c r="H1498" i="2"/>
  <c r="I1498" i="2"/>
  <c r="J1498" i="2"/>
  <c r="K1498" i="2"/>
  <c r="L1498" i="2"/>
  <c r="M1498" i="2"/>
  <c r="N1498" i="2"/>
  <c r="O1498" i="2"/>
  <c r="P1498" i="2"/>
  <c r="Q1498" i="2"/>
  <c r="R1498" i="2"/>
  <c r="S1498" i="2"/>
  <c r="T1498" i="2"/>
  <c r="U1498" i="2"/>
  <c r="V1498" i="2"/>
  <c r="W1498" i="2"/>
  <c r="X1498" i="2"/>
  <c r="Y1498" i="2"/>
  <c r="A1499" i="2"/>
  <c r="B1499" i="2"/>
  <c r="C1499" i="2"/>
  <c r="D1499" i="2"/>
  <c r="E1499" i="2"/>
  <c r="F1499" i="2"/>
  <c r="G1499" i="2"/>
  <c r="H1499" i="2"/>
  <c r="I1499" i="2"/>
  <c r="J1499" i="2"/>
  <c r="K1499" i="2"/>
  <c r="L1499" i="2"/>
  <c r="M1499" i="2"/>
  <c r="N1499" i="2"/>
  <c r="O1499" i="2"/>
  <c r="P1499" i="2"/>
  <c r="Q1499" i="2"/>
  <c r="R1499" i="2"/>
  <c r="S1499" i="2"/>
  <c r="T1499" i="2"/>
  <c r="U1499" i="2"/>
  <c r="V1499" i="2"/>
  <c r="W1499" i="2"/>
  <c r="X1499" i="2"/>
  <c r="Y1499" i="2"/>
  <c r="B1500" i="2"/>
  <c r="C1500" i="2"/>
  <c r="D1500" i="2"/>
  <c r="E1500" i="2"/>
  <c r="F1500" i="2"/>
  <c r="G1500" i="2"/>
  <c r="H1500" i="2"/>
  <c r="I1500" i="2"/>
  <c r="J1500" i="2"/>
  <c r="K1500" i="2"/>
  <c r="L1500" i="2"/>
  <c r="M1500" i="2"/>
  <c r="N1500" i="2"/>
  <c r="O1500" i="2"/>
  <c r="P1500" i="2"/>
  <c r="Q1500" i="2"/>
  <c r="R1500" i="2"/>
  <c r="S1500" i="2"/>
  <c r="T1500" i="2"/>
  <c r="U1500" i="2"/>
  <c r="V1500" i="2"/>
  <c r="W1500" i="2"/>
  <c r="X1500" i="2"/>
  <c r="Y1500" i="2"/>
  <c r="A1501" i="2"/>
  <c r="B1501" i="2"/>
  <c r="C1501" i="2"/>
  <c r="D1501" i="2"/>
  <c r="E1501" i="2"/>
  <c r="F1501" i="2"/>
  <c r="G1501" i="2"/>
  <c r="H1501" i="2"/>
  <c r="I1501" i="2"/>
  <c r="J1501" i="2"/>
  <c r="K1501" i="2"/>
  <c r="L1501" i="2"/>
  <c r="M1501" i="2"/>
  <c r="N1501" i="2"/>
  <c r="O1501" i="2"/>
  <c r="P1501" i="2"/>
  <c r="Q1501" i="2"/>
  <c r="R1501" i="2"/>
  <c r="S1501" i="2"/>
  <c r="T1501" i="2"/>
  <c r="U1501" i="2"/>
  <c r="V1501" i="2"/>
  <c r="W1501" i="2"/>
  <c r="X1501" i="2"/>
  <c r="Y1501" i="2"/>
  <c r="A1502" i="2"/>
  <c r="B1502" i="2"/>
  <c r="C1502" i="2"/>
  <c r="D1502" i="2"/>
  <c r="E1502" i="2"/>
  <c r="F1502" i="2"/>
  <c r="G1502" i="2"/>
  <c r="H1502" i="2"/>
  <c r="I1502" i="2"/>
  <c r="J1502" i="2"/>
  <c r="K1502" i="2"/>
  <c r="L1502" i="2"/>
  <c r="M1502" i="2"/>
  <c r="N1502" i="2"/>
  <c r="O1502" i="2"/>
  <c r="P1502" i="2"/>
  <c r="Q1502" i="2"/>
  <c r="R1502" i="2"/>
  <c r="S1502" i="2"/>
  <c r="T1502" i="2"/>
  <c r="U1502" i="2"/>
  <c r="V1502" i="2"/>
  <c r="W1502" i="2"/>
  <c r="X1502" i="2"/>
  <c r="Y1502" i="2"/>
  <c r="A1503" i="2"/>
  <c r="B1503" i="2"/>
  <c r="C1503" i="2"/>
  <c r="D1503" i="2"/>
  <c r="E1503" i="2"/>
  <c r="F1503" i="2"/>
  <c r="G1503" i="2"/>
  <c r="H1503" i="2"/>
  <c r="I1503" i="2"/>
  <c r="J1503" i="2"/>
  <c r="K1503" i="2"/>
  <c r="L1503" i="2"/>
  <c r="M1503" i="2"/>
  <c r="N1503" i="2"/>
  <c r="O1503" i="2"/>
  <c r="P1503" i="2"/>
  <c r="Q1503" i="2"/>
  <c r="R1503" i="2"/>
  <c r="S1503" i="2"/>
  <c r="T1503" i="2"/>
  <c r="U1503" i="2"/>
  <c r="V1503" i="2"/>
  <c r="W1503" i="2"/>
  <c r="X1503" i="2"/>
  <c r="Y1503" i="2"/>
  <c r="A1504" i="2"/>
  <c r="B1504" i="2"/>
  <c r="C1504" i="2"/>
  <c r="D1504" i="2"/>
  <c r="E1504" i="2"/>
  <c r="F1504" i="2"/>
  <c r="G1504" i="2"/>
  <c r="H1504" i="2"/>
  <c r="I1504" i="2"/>
  <c r="J1504" i="2"/>
  <c r="K1504" i="2"/>
  <c r="L1504" i="2"/>
  <c r="M1504" i="2"/>
  <c r="N1504" i="2"/>
  <c r="O1504" i="2"/>
  <c r="P1504" i="2"/>
  <c r="Q1504" i="2"/>
  <c r="R1504" i="2"/>
  <c r="S1504" i="2"/>
  <c r="T1504" i="2"/>
  <c r="U1504" i="2"/>
  <c r="V1504" i="2"/>
  <c r="W1504" i="2"/>
  <c r="X1504" i="2"/>
  <c r="Y1504" i="2"/>
  <c r="A1505" i="2"/>
  <c r="B1505" i="2"/>
  <c r="C1505" i="2"/>
  <c r="D1505" i="2"/>
  <c r="E1505" i="2"/>
  <c r="F1505" i="2"/>
  <c r="G1505" i="2"/>
  <c r="H1505" i="2"/>
  <c r="I1505" i="2"/>
  <c r="J1505" i="2"/>
  <c r="K1505" i="2"/>
  <c r="L1505" i="2"/>
  <c r="M1505" i="2"/>
  <c r="N1505" i="2"/>
  <c r="O1505" i="2"/>
  <c r="P1505" i="2"/>
  <c r="Q1505" i="2"/>
  <c r="R1505" i="2"/>
  <c r="S1505" i="2"/>
  <c r="T1505" i="2"/>
  <c r="U1505" i="2"/>
  <c r="V1505" i="2"/>
  <c r="W1505" i="2"/>
  <c r="X1505" i="2"/>
  <c r="Y1505" i="2"/>
  <c r="A1506" i="2"/>
  <c r="B1506" i="2"/>
  <c r="C1506" i="2"/>
  <c r="D1506" i="2"/>
  <c r="E1506" i="2"/>
  <c r="F1506" i="2"/>
  <c r="G1506" i="2"/>
  <c r="H1506" i="2"/>
  <c r="I1506" i="2"/>
  <c r="J1506" i="2"/>
  <c r="K1506" i="2"/>
  <c r="L1506" i="2"/>
  <c r="M1506" i="2"/>
  <c r="N1506" i="2"/>
  <c r="O1506" i="2"/>
  <c r="P1506" i="2"/>
  <c r="Q1506" i="2"/>
  <c r="R1506" i="2"/>
  <c r="S1506" i="2"/>
  <c r="T1506" i="2"/>
  <c r="U1506" i="2"/>
  <c r="V1506" i="2"/>
  <c r="W1506" i="2"/>
  <c r="X1506" i="2"/>
  <c r="Y1506" i="2"/>
  <c r="A1507" i="2"/>
  <c r="B1507" i="2"/>
  <c r="C1507" i="2"/>
  <c r="D1507" i="2"/>
  <c r="E1507" i="2"/>
  <c r="F1507" i="2"/>
  <c r="G1507" i="2"/>
  <c r="H1507" i="2"/>
  <c r="I1507" i="2"/>
  <c r="J1507" i="2"/>
  <c r="K1507" i="2"/>
  <c r="L1507" i="2"/>
  <c r="M1507" i="2"/>
  <c r="N1507" i="2"/>
  <c r="O1507" i="2"/>
  <c r="P1507" i="2"/>
  <c r="Q1507" i="2"/>
  <c r="R1507" i="2"/>
  <c r="S1507" i="2"/>
  <c r="T1507" i="2"/>
  <c r="U1507" i="2"/>
  <c r="V1507" i="2"/>
  <c r="W1507" i="2"/>
  <c r="X1507" i="2"/>
  <c r="Y1507" i="2"/>
  <c r="A1508" i="2"/>
  <c r="B1508" i="2"/>
  <c r="C1508" i="2"/>
  <c r="D1508" i="2"/>
  <c r="E1508" i="2"/>
  <c r="F1508" i="2"/>
  <c r="G1508" i="2"/>
  <c r="H1508" i="2"/>
  <c r="I1508" i="2"/>
  <c r="J1508" i="2"/>
  <c r="K1508" i="2"/>
  <c r="L1508" i="2"/>
  <c r="M1508" i="2"/>
  <c r="N1508" i="2"/>
  <c r="O1508" i="2"/>
  <c r="P1508" i="2"/>
  <c r="Q1508" i="2"/>
  <c r="R1508" i="2"/>
  <c r="S1508" i="2"/>
  <c r="T1508" i="2"/>
  <c r="U1508" i="2"/>
  <c r="V1508" i="2"/>
  <c r="W1508" i="2"/>
  <c r="X1508" i="2"/>
  <c r="Y1508" i="2"/>
  <c r="A1509" i="2"/>
  <c r="B1509" i="2"/>
  <c r="C1509" i="2"/>
  <c r="D1509" i="2"/>
  <c r="E1509" i="2"/>
  <c r="F1509" i="2"/>
  <c r="G1509" i="2"/>
  <c r="H1509" i="2"/>
  <c r="I1509" i="2"/>
  <c r="J1509" i="2"/>
  <c r="K1509" i="2"/>
  <c r="L1509" i="2"/>
  <c r="M1509" i="2"/>
  <c r="N1509" i="2"/>
  <c r="O1509" i="2"/>
  <c r="P1509" i="2"/>
  <c r="Q1509" i="2"/>
  <c r="R1509" i="2"/>
  <c r="S1509" i="2"/>
  <c r="T1509" i="2"/>
  <c r="U1509" i="2"/>
  <c r="V1509" i="2"/>
  <c r="W1509" i="2"/>
  <c r="X1509" i="2"/>
  <c r="Y1509" i="2"/>
  <c r="A1510" i="2"/>
  <c r="B1510" i="2"/>
  <c r="C1510" i="2"/>
  <c r="D1510" i="2"/>
  <c r="E1510" i="2"/>
  <c r="F1510" i="2"/>
  <c r="G1510" i="2"/>
  <c r="H1510" i="2"/>
  <c r="I1510" i="2"/>
  <c r="J1510" i="2"/>
  <c r="K1510" i="2"/>
  <c r="L1510" i="2"/>
  <c r="M1510" i="2"/>
  <c r="N1510" i="2"/>
  <c r="O1510" i="2"/>
  <c r="P1510" i="2"/>
  <c r="Q1510" i="2"/>
  <c r="R1510" i="2"/>
  <c r="S1510" i="2"/>
  <c r="T1510" i="2"/>
  <c r="U1510" i="2"/>
  <c r="V1510" i="2"/>
  <c r="W1510" i="2"/>
  <c r="X1510" i="2"/>
  <c r="Y1510" i="2"/>
  <c r="A1511" i="2"/>
  <c r="B1511" i="2"/>
  <c r="C1511" i="2"/>
  <c r="D1511" i="2"/>
  <c r="E1511" i="2"/>
  <c r="F1511" i="2"/>
  <c r="G1511" i="2"/>
  <c r="H1511" i="2"/>
  <c r="I1511" i="2"/>
  <c r="J1511" i="2"/>
  <c r="K1511" i="2"/>
  <c r="L1511" i="2"/>
  <c r="M1511" i="2"/>
  <c r="N1511" i="2"/>
  <c r="O1511" i="2"/>
  <c r="P1511" i="2"/>
  <c r="Q1511" i="2"/>
  <c r="R1511" i="2"/>
  <c r="S1511" i="2"/>
  <c r="T1511" i="2"/>
  <c r="U1511" i="2"/>
  <c r="V1511" i="2"/>
  <c r="W1511" i="2"/>
  <c r="X1511" i="2"/>
  <c r="Y1511" i="2"/>
  <c r="B1512" i="2"/>
  <c r="C1512" i="2"/>
  <c r="D1512" i="2"/>
  <c r="E1512" i="2"/>
  <c r="F1512" i="2"/>
  <c r="G1512" i="2"/>
  <c r="H1512" i="2"/>
  <c r="I1512" i="2"/>
  <c r="J1512" i="2"/>
  <c r="K1512" i="2"/>
  <c r="L1512" i="2"/>
  <c r="M1512" i="2"/>
  <c r="N1512" i="2"/>
  <c r="O1512" i="2"/>
  <c r="P1512" i="2"/>
  <c r="Q1512" i="2"/>
  <c r="R1512" i="2"/>
  <c r="S1512" i="2"/>
  <c r="T1512" i="2"/>
  <c r="U1512" i="2"/>
  <c r="V1512" i="2"/>
  <c r="W1512" i="2"/>
  <c r="X1512" i="2"/>
  <c r="Y1512" i="2"/>
  <c r="A1513" i="2"/>
  <c r="B1513" i="2"/>
  <c r="C1513" i="2"/>
  <c r="D1513" i="2"/>
  <c r="E1513" i="2"/>
  <c r="F1513" i="2"/>
  <c r="G1513" i="2"/>
  <c r="H1513" i="2"/>
  <c r="I1513" i="2"/>
  <c r="J1513" i="2"/>
  <c r="K1513" i="2"/>
  <c r="L1513" i="2"/>
  <c r="M1513" i="2"/>
  <c r="N1513" i="2"/>
  <c r="O1513" i="2"/>
  <c r="P1513" i="2"/>
  <c r="Q1513" i="2"/>
  <c r="R1513" i="2"/>
  <c r="S1513" i="2"/>
  <c r="T1513" i="2"/>
  <c r="U1513" i="2"/>
  <c r="V1513" i="2"/>
  <c r="W1513" i="2"/>
  <c r="X1513" i="2"/>
  <c r="Y1513" i="2"/>
  <c r="A1514" i="2"/>
  <c r="B1514" i="2"/>
  <c r="C1514" i="2"/>
  <c r="D1514" i="2"/>
  <c r="E1514" i="2"/>
  <c r="F1514" i="2"/>
  <c r="G1514" i="2"/>
  <c r="H1514" i="2"/>
  <c r="I1514" i="2"/>
  <c r="J1514" i="2"/>
  <c r="K1514" i="2"/>
  <c r="L1514" i="2"/>
  <c r="M1514" i="2"/>
  <c r="N1514" i="2"/>
  <c r="O1514" i="2"/>
  <c r="P1514" i="2"/>
  <c r="Q1514" i="2"/>
  <c r="R1514" i="2"/>
  <c r="S1514" i="2"/>
  <c r="T1514" i="2"/>
  <c r="U1514" i="2"/>
  <c r="V1514" i="2"/>
  <c r="W1514" i="2"/>
  <c r="X1514" i="2"/>
  <c r="Y1514" i="2"/>
  <c r="A1515" i="2"/>
  <c r="B1515" i="2"/>
  <c r="C1515" i="2"/>
  <c r="D1515" i="2"/>
  <c r="E1515" i="2"/>
  <c r="F1515" i="2"/>
  <c r="G1515" i="2"/>
  <c r="H1515" i="2"/>
  <c r="I1515" i="2"/>
  <c r="J1515" i="2"/>
  <c r="K1515" i="2"/>
  <c r="L1515" i="2"/>
  <c r="M1515" i="2"/>
  <c r="N1515" i="2"/>
  <c r="O1515" i="2"/>
  <c r="P1515" i="2"/>
  <c r="Q1515" i="2"/>
  <c r="R1515" i="2"/>
  <c r="S1515" i="2"/>
  <c r="T1515" i="2"/>
  <c r="U1515" i="2"/>
  <c r="V1515" i="2"/>
  <c r="W1515" i="2"/>
  <c r="X1515" i="2"/>
  <c r="Y1515" i="2"/>
  <c r="B1516" i="2"/>
  <c r="C1516" i="2"/>
  <c r="D1516" i="2"/>
  <c r="E1516" i="2"/>
  <c r="F1516" i="2"/>
  <c r="G1516" i="2"/>
  <c r="H1516" i="2"/>
  <c r="I1516" i="2"/>
  <c r="J1516" i="2"/>
  <c r="K1516" i="2"/>
  <c r="L1516" i="2"/>
  <c r="M1516" i="2"/>
  <c r="N1516" i="2"/>
  <c r="O1516" i="2"/>
  <c r="P1516" i="2"/>
  <c r="Q1516" i="2"/>
  <c r="R1516" i="2"/>
  <c r="S1516" i="2"/>
  <c r="T1516" i="2"/>
  <c r="U1516" i="2"/>
  <c r="V1516" i="2"/>
  <c r="W1516" i="2"/>
  <c r="X1516" i="2"/>
  <c r="Y1516" i="2"/>
  <c r="A1517" i="2"/>
  <c r="B1517" i="2"/>
  <c r="C1517" i="2"/>
  <c r="D1517" i="2"/>
  <c r="E1517" i="2"/>
  <c r="F1517" i="2"/>
  <c r="G1517" i="2"/>
  <c r="H1517" i="2"/>
  <c r="I1517" i="2"/>
  <c r="J1517" i="2"/>
  <c r="K1517" i="2"/>
  <c r="L1517" i="2"/>
  <c r="M1517" i="2"/>
  <c r="N1517" i="2"/>
  <c r="O1517" i="2"/>
  <c r="P1517" i="2"/>
  <c r="Q1517" i="2"/>
  <c r="R1517" i="2"/>
  <c r="S1517" i="2"/>
  <c r="T1517" i="2"/>
  <c r="U1517" i="2"/>
  <c r="V1517" i="2"/>
  <c r="W1517" i="2"/>
  <c r="X1517" i="2"/>
  <c r="Y1517" i="2"/>
  <c r="A1518" i="2"/>
  <c r="B1518" i="2"/>
  <c r="C1518" i="2"/>
  <c r="D1518" i="2"/>
  <c r="E1518" i="2"/>
  <c r="F1518" i="2"/>
  <c r="G1518" i="2"/>
  <c r="H1518" i="2"/>
  <c r="I1518" i="2"/>
  <c r="J1518" i="2"/>
  <c r="K1518" i="2"/>
  <c r="L1518" i="2"/>
  <c r="M1518" i="2"/>
  <c r="N1518" i="2"/>
  <c r="O1518" i="2"/>
  <c r="P1518" i="2"/>
  <c r="Q1518" i="2"/>
  <c r="R1518" i="2"/>
  <c r="S1518" i="2"/>
  <c r="T1518" i="2"/>
  <c r="U1518" i="2"/>
  <c r="V1518" i="2"/>
  <c r="W1518" i="2"/>
  <c r="X1518" i="2"/>
  <c r="Y1518" i="2"/>
  <c r="A1519" i="2"/>
  <c r="B1519" i="2"/>
  <c r="C1519" i="2"/>
  <c r="D1519" i="2"/>
  <c r="E1519" i="2"/>
  <c r="F1519" i="2"/>
  <c r="G1519" i="2"/>
  <c r="H1519" i="2"/>
  <c r="I1519" i="2"/>
  <c r="J1519" i="2"/>
  <c r="K1519" i="2"/>
  <c r="L1519" i="2"/>
  <c r="M1519" i="2"/>
  <c r="N1519" i="2"/>
  <c r="O1519" i="2"/>
  <c r="P1519" i="2"/>
  <c r="Q1519" i="2"/>
  <c r="R1519" i="2"/>
  <c r="S1519" i="2"/>
  <c r="T1519" i="2"/>
  <c r="U1519" i="2"/>
  <c r="V1519" i="2"/>
  <c r="W1519" i="2"/>
  <c r="X1519" i="2"/>
  <c r="Y1519" i="2"/>
  <c r="A1520" i="2"/>
  <c r="B1520" i="2"/>
  <c r="C1520" i="2"/>
  <c r="D1520" i="2"/>
  <c r="E1520" i="2"/>
  <c r="F1520" i="2"/>
  <c r="G1520" i="2"/>
  <c r="H1520" i="2"/>
  <c r="I1520" i="2"/>
  <c r="J1520" i="2"/>
  <c r="K1520" i="2"/>
  <c r="L1520" i="2"/>
  <c r="M1520" i="2"/>
  <c r="N1520" i="2"/>
  <c r="O1520" i="2"/>
  <c r="P1520" i="2"/>
  <c r="Q1520" i="2"/>
  <c r="R1520" i="2"/>
  <c r="S1520" i="2"/>
  <c r="T1520" i="2"/>
  <c r="U1520" i="2"/>
  <c r="V1520" i="2"/>
  <c r="W1520" i="2"/>
  <c r="X1520" i="2"/>
  <c r="Y1520" i="2"/>
  <c r="A1521" i="2"/>
  <c r="B1521" i="2"/>
  <c r="C1521" i="2"/>
  <c r="D1521" i="2"/>
  <c r="E1521" i="2"/>
  <c r="F1521" i="2"/>
  <c r="G1521" i="2"/>
  <c r="H1521" i="2"/>
  <c r="I1521" i="2"/>
  <c r="J1521" i="2"/>
  <c r="K1521" i="2"/>
  <c r="L1521" i="2"/>
  <c r="M1521" i="2"/>
  <c r="N1521" i="2"/>
  <c r="O1521" i="2"/>
  <c r="P1521" i="2"/>
  <c r="Q1521" i="2"/>
  <c r="R1521" i="2"/>
  <c r="S1521" i="2"/>
  <c r="T1521" i="2"/>
  <c r="U1521" i="2"/>
  <c r="V1521" i="2"/>
  <c r="W1521" i="2"/>
  <c r="X1521" i="2"/>
  <c r="Y1521" i="2"/>
  <c r="A1522" i="2"/>
  <c r="B1522" i="2"/>
  <c r="C1522" i="2"/>
  <c r="D1522" i="2"/>
  <c r="E1522" i="2"/>
  <c r="F1522" i="2"/>
  <c r="G1522" i="2"/>
  <c r="H1522" i="2"/>
  <c r="I1522" i="2"/>
  <c r="J1522" i="2"/>
  <c r="K1522" i="2"/>
  <c r="L1522" i="2"/>
  <c r="M1522" i="2"/>
  <c r="N1522" i="2"/>
  <c r="O1522" i="2"/>
  <c r="P1522" i="2"/>
  <c r="Q1522" i="2"/>
  <c r="R1522" i="2"/>
  <c r="S1522" i="2"/>
  <c r="T1522" i="2"/>
  <c r="U1522" i="2"/>
  <c r="V1522" i="2"/>
  <c r="W1522" i="2"/>
  <c r="X1522" i="2"/>
  <c r="Y1522" i="2"/>
  <c r="A1523" i="2"/>
  <c r="B1523" i="2"/>
  <c r="C1523" i="2"/>
  <c r="D1523" i="2"/>
  <c r="E1523" i="2"/>
  <c r="F1523" i="2"/>
  <c r="G1523" i="2"/>
  <c r="H1523" i="2"/>
  <c r="I1523" i="2"/>
  <c r="J1523" i="2"/>
  <c r="K1523" i="2"/>
  <c r="L1523" i="2"/>
  <c r="M1523" i="2"/>
  <c r="N1523" i="2"/>
  <c r="O1523" i="2"/>
  <c r="P1523" i="2"/>
  <c r="Q1523" i="2"/>
  <c r="R1523" i="2"/>
  <c r="S1523" i="2"/>
  <c r="T1523" i="2"/>
  <c r="U1523" i="2"/>
  <c r="V1523" i="2"/>
  <c r="W1523" i="2"/>
  <c r="X1523" i="2"/>
  <c r="Y1523" i="2"/>
  <c r="A1524" i="2"/>
  <c r="B1524" i="2"/>
  <c r="C1524" i="2"/>
  <c r="D1524" i="2"/>
  <c r="E1524" i="2"/>
  <c r="F1524" i="2"/>
  <c r="G1524" i="2"/>
  <c r="H1524" i="2"/>
  <c r="I1524" i="2"/>
  <c r="J1524" i="2"/>
  <c r="K1524" i="2"/>
  <c r="L1524" i="2"/>
  <c r="M1524" i="2"/>
  <c r="N1524" i="2"/>
  <c r="O1524" i="2"/>
  <c r="P1524" i="2"/>
  <c r="Q1524" i="2"/>
  <c r="R1524" i="2"/>
  <c r="S1524" i="2"/>
  <c r="T1524" i="2"/>
  <c r="U1524" i="2"/>
  <c r="V1524" i="2"/>
  <c r="W1524" i="2"/>
  <c r="X1524" i="2"/>
  <c r="Y1524" i="2"/>
  <c r="A1525" i="2"/>
  <c r="B1525" i="2"/>
  <c r="C1525" i="2"/>
  <c r="D1525" i="2"/>
  <c r="E1525" i="2"/>
  <c r="F1525" i="2"/>
  <c r="G1525" i="2"/>
  <c r="H1525" i="2"/>
  <c r="I1525" i="2"/>
  <c r="J1525" i="2"/>
  <c r="K1525" i="2"/>
  <c r="L1525" i="2"/>
  <c r="M1525" i="2"/>
  <c r="N1525" i="2"/>
  <c r="O1525" i="2"/>
  <c r="P1525" i="2"/>
  <c r="Q1525" i="2"/>
  <c r="R1525" i="2"/>
  <c r="S1525" i="2"/>
  <c r="T1525" i="2"/>
  <c r="U1525" i="2"/>
  <c r="V1525" i="2"/>
  <c r="W1525" i="2"/>
  <c r="X1525" i="2"/>
  <c r="Y1525" i="2"/>
  <c r="A1526" i="2"/>
  <c r="B1526" i="2"/>
  <c r="C1526" i="2"/>
  <c r="D1526" i="2"/>
  <c r="E1526" i="2"/>
  <c r="F1526" i="2"/>
  <c r="G1526" i="2"/>
  <c r="H1526" i="2"/>
  <c r="I1526" i="2"/>
  <c r="J1526" i="2"/>
  <c r="K1526" i="2"/>
  <c r="L1526" i="2"/>
  <c r="M1526" i="2"/>
  <c r="N1526" i="2"/>
  <c r="O1526" i="2"/>
  <c r="P1526" i="2"/>
  <c r="Q1526" i="2"/>
  <c r="R1526" i="2"/>
  <c r="S1526" i="2"/>
  <c r="T1526" i="2"/>
  <c r="U1526" i="2"/>
  <c r="V1526" i="2"/>
  <c r="W1526" i="2"/>
  <c r="X1526" i="2"/>
  <c r="Y1526" i="2"/>
  <c r="A1527" i="2"/>
  <c r="B1527" i="2"/>
  <c r="C1527" i="2"/>
  <c r="D1527" i="2"/>
  <c r="E1527" i="2"/>
  <c r="F1527" i="2"/>
  <c r="G1527" i="2"/>
  <c r="H1527" i="2"/>
  <c r="I1527" i="2"/>
  <c r="J1527" i="2"/>
  <c r="K1527" i="2"/>
  <c r="L1527" i="2"/>
  <c r="M1527" i="2"/>
  <c r="N1527" i="2"/>
  <c r="O1527" i="2"/>
  <c r="P1527" i="2"/>
  <c r="Q1527" i="2"/>
  <c r="R1527" i="2"/>
  <c r="S1527" i="2"/>
  <c r="T1527" i="2"/>
  <c r="U1527" i="2"/>
  <c r="V1527" i="2"/>
  <c r="W1527" i="2"/>
  <c r="X1527" i="2"/>
  <c r="Y1527" i="2"/>
  <c r="B1528" i="2"/>
  <c r="C1528" i="2"/>
  <c r="D1528" i="2"/>
  <c r="E1528" i="2"/>
  <c r="F1528" i="2"/>
  <c r="G1528" i="2"/>
  <c r="H1528" i="2"/>
  <c r="I1528" i="2"/>
  <c r="J1528" i="2"/>
  <c r="K1528" i="2"/>
  <c r="L1528" i="2"/>
  <c r="M1528" i="2"/>
  <c r="N1528" i="2"/>
  <c r="O1528" i="2"/>
  <c r="P1528" i="2"/>
  <c r="Q1528" i="2"/>
  <c r="R1528" i="2"/>
  <c r="S1528" i="2"/>
  <c r="T1528" i="2"/>
  <c r="U1528" i="2"/>
  <c r="V1528" i="2"/>
  <c r="W1528" i="2"/>
  <c r="X1528" i="2"/>
  <c r="Y1528" i="2"/>
  <c r="A1529" i="2"/>
  <c r="B1529" i="2"/>
  <c r="C1529" i="2"/>
  <c r="D1529" i="2"/>
  <c r="E1529" i="2"/>
  <c r="F1529" i="2"/>
  <c r="G1529" i="2"/>
  <c r="H1529" i="2"/>
  <c r="I1529" i="2"/>
  <c r="J1529" i="2"/>
  <c r="K1529" i="2"/>
  <c r="L1529" i="2"/>
  <c r="M1529" i="2"/>
  <c r="N1529" i="2"/>
  <c r="O1529" i="2"/>
  <c r="P1529" i="2"/>
  <c r="Q1529" i="2"/>
  <c r="R1529" i="2"/>
  <c r="S1529" i="2"/>
  <c r="T1529" i="2"/>
  <c r="U1529" i="2"/>
  <c r="V1529" i="2"/>
  <c r="W1529" i="2"/>
  <c r="X1529" i="2"/>
  <c r="Y1529" i="2"/>
  <c r="A1530" i="2"/>
  <c r="B1530" i="2"/>
  <c r="C1530" i="2"/>
  <c r="D1530" i="2"/>
  <c r="E1530" i="2"/>
  <c r="F1530" i="2"/>
  <c r="G1530" i="2"/>
  <c r="H1530" i="2"/>
  <c r="I1530" i="2"/>
  <c r="J1530" i="2"/>
  <c r="K1530" i="2"/>
  <c r="L1530" i="2"/>
  <c r="M1530" i="2"/>
  <c r="N1530" i="2"/>
  <c r="O1530" i="2"/>
  <c r="P1530" i="2"/>
  <c r="Q1530" i="2"/>
  <c r="R1530" i="2"/>
  <c r="S1530" i="2"/>
  <c r="T1530" i="2"/>
  <c r="U1530" i="2"/>
  <c r="V1530" i="2"/>
  <c r="W1530" i="2"/>
  <c r="X1530" i="2"/>
  <c r="Y1530" i="2"/>
  <c r="A1531" i="2"/>
  <c r="B1531" i="2"/>
  <c r="C1531" i="2"/>
  <c r="D1531" i="2"/>
  <c r="E1531" i="2"/>
  <c r="F1531" i="2"/>
  <c r="G1531" i="2"/>
  <c r="H1531" i="2"/>
  <c r="I1531" i="2"/>
  <c r="J1531" i="2"/>
  <c r="K1531" i="2"/>
  <c r="L1531" i="2"/>
  <c r="M1531" i="2"/>
  <c r="N1531" i="2"/>
  <c r="O1531" i="2"/>
  <c r="P1531" i="2"/>
  <c r="Q1531" i="2"/>
  <c r="R1531" i="2"/>
  <c r="S1531" i="2"/>
  <c r="T1531" i="2"/>
  <c r="U1531" i="2"/>
  <c r="V1531" i="2"/>
  <c r="W1531" i="2"/>
  <c r="X1531" i="2"/>
  <c r="Y1531" i="2"/>
  <c r="B1532" i="2"/>
  <c r="C1532" i="2"/>
  <c r="D1532" i="2"/>
  <c r="E1532" i="2"/>
  <c r="F1532" i="2"/>
  <c r="G1532" i="2"/>
  <c r="H1532" i="2"/>
  <c r="I1532" i="2"/>
  <c r="J1532" i="2"/>
  <c r="K1532" i="2"/>
  <c r="L1532" i="2"/>
  <c r="M1532" i="2"/>
  <c r="N1532" i="2"/>
  <c r="O1532" i="2"/>
  <c r="P1532" i="2"/>
  <c r="Q1532" i="2"/>
  <c r="R1532" i="2"/>
  <c r="S1532" i="2"/>
  <c r="T1532" i="2"/>
  <c r="U1532" i="2"/>
  <c r="V1532" i="2"/>
  <c r="W1532" i="2"/>
  <c r="X1532" i="2"/>
  <c r="Y1532" i="2"/>
  <c r="A1533" i="2"/>
  <c r="B1533" i="2"/>
  <c r="C1533" i="2"/>
  <c r="D1533" i="2"/>
  <c r="E1533" i="2"/>
  <c r="F1533" i="2"/>
  <c r="G1533" i="2"/>
  <c r="H1533" i="2"/>
  <c r="I1533" i="2"/>
  <c r="J1533" i="2"/>
  <c r="K1533" i="2"/>
  <c r="L1533" i="2"/>
  <c r="M1533" i="2"/>
  <c r="N1533" i="2"/>
  <c r="O1533" i="2"/>
  <c r="P1533" i="2"/>
  <c r="Q1533" i="2"/>
  <c r="R1533" i="2"/>
  <c r="S1533" i="2"/>
  <c r="T1533" i="2"/>
  <c r="U1533" i="2"/>
  <c r="V1533" i="2"/>
  <c r="W1533" i="2"/>
  <c r="X1533" i="2"/>
  <c r="Y1533" i="2"/>
  <c r="A1534" i="2"/>
  <c r="B1534" i="2"/>
  <c r="C1534" i="2"/>
  <c r="D1534" i="2"/>
  <c r="E1534" i="2"/>
  <c r="F1534" i="2"/>
  <c r="G1534" i="2"/>
  <c r="H1534" i="2"/>
  <c r="I1534" i="2"/>
  <c r="J1534" i="2"/>
  <c r="K1534" i="2"/>
  <c r="L1534" i="2"/>
  <c r="M1534" i="2"/>
  <c r="N1534" i="2"/>
  <c r="O1534" i="2"/>
  <c r="P1534" i="2"/>
  <c r="Q1534" i="2"/>
  <c r="R1534" i="2"/>
  <c r="S1534" i="2"/>
  <c r="T1534" i="2"/>
  <c r="U1534" i="2"/>
  <c r="V1534" i="2"/>
  <c r="W1534" i="2"/>
  <c r="X1534" i="2"/>
  <c r="Y1534" i="2"/>
  <c r="A1535" i="2"/>
  <c r="B1535" i="2"/>
  <c r="C1535" i="2"/>
  <c r="D1535" i="2"/>
  <c r="E1535" i="2"/>
  <c r="F1535" i="2"/>
  <c r="G1535" i="2"/>
  <c r="H1535" i="2"/>
  <c r="I1535" i="2"/>
  <c r="J1535" i="2"/>
  <c r="K1535" i="2"/>
  <c r="L1535" i="2"/>
  <c r="M1535" i="2"/>
  <c r="N1535" i="2"/>
  <c r="O1535" i="2"/>
  <c r="P1535" i="2"/>
  <c r="Q1535" i="2"/>
  <c r="R1535" i="2"/>
  <c r="S1535" i="2"/>
  <c r="T1535" i="2"/>
  <c r="U1535" i="2"/>
  <c r="V1535" i="2"/>
  <c r="W1535" i="2"/>
  <c r="X1535" i="2"/>
  <c r="Y1535" i="2"/>
  <c r="A1536" i="2"/>
  <c r="B1536" i="2"/>
  <c r="C1536" i="2"/>
  <c r="D1536" i="2"/>
  <c r="E1536" i="2"/>
  <c r="F1536" i="2"/>
  <c r="G1536" i="2"/>
  <c r="H1536" i="2"/>
  <c r="I1536" i="2"/>
  <c r="J1536" i="2"/>
  <c r="K1536" i="2"/>
  <c r="L1536" i="2"/>
  <c r="M1536" i="2"/>
  <c r="N1536" i="2"/>
  <c r="O1536" i="2"/>
  <c r="P1536" i="2"/>
  <c r="Q1536" i="2"/>
  <c r="R1536" i="2"/>
  <c r="S1536" i="2"/>
  <c r="T1536" i="2"/>
  <c r="U1536" i="2"/>
  <c r="V1536" i="2"/>
  <c r="W1536" i="2"/>
  <c r="X1536" i="2"/>
  <c r="Y1536" i="2"/>
  <c r="A1537" i="2"/>
  <c r="B1537" i="2"/>
  <c r="C1537" i="2"/>
  <c r="D1537" i="2"/>
  <c r="E1537" i="2"/>
  <c r="F1537" i="2"/>
  <c r="G1537" i="2"/>
  <c r="H1537" i="2"/>
  <c r="I1537" i="2"/>
  <c r="J1537" i="2"/>
  <c r="K1537" i="2"/>
  <c r="L1537" i="2"/>
  <c r="M1537" i="2"/>
  <c r="N1537" i="2"/>
  <c r="O1537" i="2"/>
  <c r="P1537" i="2"/>
  <c r="Q1537" i="2"/>
  <c r="R1537" i="2"/>
  <c r="S1537" i="2"/>
  <c r="T1537" i="2"/>
  <c r="U1537" i="2"/>
  <c r="V1537" i="2"/>
  <c r="W1537" i="2"/>
  <c r="X1537" i="2"/>
  <c r="Y1537" i="2"/>
  <c r="A1538" i="2"/>
  <c r="B1538" i="2"/>
  <c r="C1538" i="2"/>
  <c r="D1538" i="2"/>
  <c r="E1538" i="2"/>
  <c r="F1538" i="2"/>
  <c r="G1538" i="2"/>
  <c r="H1538" i="2"/>
  <c r="I1538" i="2"/>
  <c r="J1538" i="2"/>
  <c r="K1538" i="2"/>
  <c r="L1538" i="2"/>
  <c r="M1538" i="2"/>
  <c r="N1538" i="2"/>
  <c r="O1538" i="2"/>
  <c r="P1538" i="2"/>
  <c r="Q1538" i="2"/>
  <c r="R1538" i="2"/>
  <c r="S1538" i="2"/>
  <c r="T1538" i="2"/>
  <c r="U1538" i="2"/>
  <c r="V1538" i="2"/>
  <c r="W1538" i="2"/>
  <c r="X1538" i="2"/>
  <c r="Y1538" i="2"/>
  <c r="A1539" i="2"/>
  <c r="B1539" i="2"/>
  <c r="C1539" i="2"/>
  <c r="D1539" i="2"/>
  <c r="E1539" i="2"/>
  <c r="F1539" i="2"/>
  <c r="G1539" i="2"/>
  <c r="H1539" i="2"/>
  <c r="I1539" i="2"/>
  <c r="J1539" i="2"/>
  <c r="K1539" i="2"/>
  <c r="L1539" i="2"/>
  <c r="M1539" i="2"/>
  <c r="N1539" i="2"/>
  <c r="O1539" i="2"/>
  <c r="P1539" i="2"/>
  <c r="Q1539" i="2"/>
  <c r="R1539" i="2"/>
  <c r="S1539" i="2"/>
  <c r="T1539" i="2"/>
  <c r="U1539" i="2"/>
  <c r="V1539" i="2"/>
  <c r="W1539" i="2"/>
  <c r="X1539" i="2"/>
  <c r="Y1539" i="2"/>
  <c r="A1540" i="2"/>
  <c r="B1540" i="2"/>
  <c r="C1540" i="2"/>
  <c r="D1540" i="2"/>
  <c r="E1540" i="2"/>
  <c r="F1540" i="2"/>
  <c r="G1540" i="2"/>
  <c r="H1540" i="2"/>
  <c r="I1540" i="2"/>
  <c r="J1540" i="2"/>
  <c r="K1540" i="2"/>
  <c r="L1540" i="2"/>
  <c r="M1540" i="2"/>
  <c r="N1540" i="2"/>
  <c r="O1540" i="2"/>
  <c r="P1540" i="2"/>
  <c r="Q1540" i="2"/>
  <c r="R1540" i="2"/>
  <c r="S1540" i="2"/>
  <c r="T1540" i="2"/>
  <c r="U1540" i="2"/>
  <c r="V1540" i="2"/>
  <c r="W1540" i="2"/>
  <c r="X1540" i="2"/>
  <c r="Y1540" i="2"/>
  <c r="A1541" i="2"/>
  <c r="B1541" i="2"/>
  <c r="C1541" i="2"/>
  <c r="D1541" i="2"/>
  <c r="E1541" i="2"/>
  <c r="F1541" i="2"/>
  <c r="G1541" i="2"/>
  <c r="H1541" i="2"/>
  <c r="I1541" i="2"/>
  <c r="J1541" i="2"/>
  <c r="K1541" i="2"/>
  <c r="L1541" i="2"/>
  <c r="M1541" i="2"/>
  <c r="N1541" i="2"/>
  <c r="O1541" i="2"/>
  <c r="P1541" i="2"/>
  <c r="Q1541" i="2"/>
  <c r="R1541" i="2"/>
  <c r="S1541" i="2"/>
  <c r="T1541" i="2"/>
  <c r="U1541" i="2"/>
  <c r="V1541" i="2"/>
  <c r="W1541" i="2"/>
  <c r="X1541" i="2"/>
  <c r="Y1541" i="2"/>
  <c r="A1542" i="2"/>
  <c r="B1542" i="2"/>
  <c r="C1542" i="2"/>
  <c r="D1542" i="2"/>
  <c r="E1542" i="2"/>
  <c r="F1542" i="2"/>
  <c r="G1542" i="2"/>
  <c r="H1542" i="2"/>
  <c r="I1542" i="2"/>
  <c r="J1542" i="2"/>
  <c r="K1542" i="2"/>
  <c r="L1542" i="2"/>
  <c r="M1542" i="2"/>
  <c r="N1542" i="2"/>
  <c r="O1542" i="2"/>
  <c r="P1542" i="2"/>
  <c r="Q1542" i="2"/>
  <c r="R1542" i="2"/>
  <c r="S1542" i="2"/>
  <c r="T1542" i="2"/>
  <c r="U1542" i="2"/>
  <c r="V1542" i="2"/>
  <c r="W1542" i="2"/>
  <c r="X1542" i="2"/>
  <c r="Y1542" i="2"/>
  <c r="A1543" i="2"/>
  <c r="B1543" i="2"/>
  <c r="C1543" i="2"/>
  <c r="D1543" i="2"/>
  <c r="E1543" i="2"/>
  <c r="F1543" i="2"/>
  <c r="G1543" i="2"/>
  <c r="H1543" i="2"/>
  <c r="I1543" i="2"/>
  <c r="J1543" i="2"/>
  <c r="K1543" i="2"/>
  <c r="L1543" i="2"/>
  <c r="M1543" i="2"/>
  <c r="N1543" i="2"/>
  <c r="O1543" i="2"/>
  <c r="P1543" i="2"/>
  <c r="Q1543" i="2"/>
  <c r="R1543" i="2"/>
  <c r="S1543" i="2"/>
  <c r="T1543" i="2"/>
  <c r="U1543" i="2"/>
  <c r="V1543" i="2"/>
  <c r="W1543" i="2"/>
  <c r="X1543" i="2"/>
  <c r="Y1543" i="2"/>
  <c r="B1544" i="2"/>
  <c r="C1544" i="2"/>
  <c r="D1544" i="2"/>
  <c r="E1544" i="2"/>
  <c r="F1544" i="2"/>
  <c r="G1544" i="2"/>
  <c r="H1544" i="2"/>
  <c r="I1544" i="2"/>
  <c r="J1544" i="2"/>
  <c r="K1544" i="2"/>
  <c r="L1544" i="2"/>
  <c r="M1544" i="2"/>
  <c r="N1544" i="2"/>
  <c r="O1544" i="2"/>
  <c r="P1544" i="2"/>
  <c r="Q1544" i="2"/>
  <c r="R1544" i="2"/>
  <c r="S1544" i="2"/>
  <c r="T1544" i="2"/>
  <c r="U1544" i="2"/>
  <c r="V1544" i="2"/>
  <c r="W1544" i="2"/>
  <c r="X1544" i="2"/>
  <c r="Y1544" i="2"/>
  <c r="A1545" i="2"/>
  <c r="B1545" i="2"/>
  <c r="C1545" i="2"/>
  <c r="D1545" i="2"/>
  <c r="E1545" i="2"/>
  <c r="F1545" i="2"/>
  <c r="G1545" i="2"/>
  <c r="H1545" i="2"/>
  <c r="I1545" i="2"/>
  <c r="J1545" i="2"/>
  <c r="K1545" i="2"/>
  <c r="L1545" i="2"/>
  <c r="M1545" i="2"/>
  <c r="N1545" i="2"/>
  <c r="O1545" i="2"/>
  <c r="P1545" i="2"/>
  <c r="Q1545" i="2"/>
  <c r="R1545" i="2"/>
  <c r="S1545" i="2"/>
  <c r="T1545" i="2"/>
  <c r="U1545" i="2"/>
  <c r="V1545" i="2"/>
  <c r="W1545" i="2"/>
  <c r="X1545" i="2"/>
  <c r="Y1545" i="2"/>
  <c r="A1546" i="2"/>
  <c r="B1546" i="2"/>
  <c r="C1546" i="2"/>
  <c r="D1546" i="2"/>
  <c r="E1546" i="2"/>
  <c r="F1546" i="2"/>
  <c r="G1546" i="2"/>
  <c r="H1546" i="2"/>
  <c r="I1546" i="2"/>
  <c r="J1546" i="2"/>
  <c r="K1546" i="2"/>
  <c r="L1546" i="2"/>
  <c r="M1546" i="2"/>
  <c r="N1546" i="2"/>
  <c r="O1546" i="2"/>
  <c r="P1546" i="2"/>
  <c r="Q1546" i="2"/>
  <c r="R1546" i="2"/>
  <c r="S1546" i="2"/>
  <c r="T1546" i="2"/>
  <c r="U1546" i="2"/>
  <c r="V1546" i="2"/>
  <c r="W1546" i="2"/>
  <c r="X1546" i="2"/>
  <c r="Y1546" i="2"/>
  <c r="A1547" i="2"/>
  <c r="B1547" i="2"/>
  <c r="C1547" i="2"/>
  <c r="D1547" i="2"/>
  <c r="E1547" i="2"/>
  <c r="F1547" i="2"/>
  <c r="G1547" i="2"/>
  <c r="H1547" i="2"/>
  <c r="I1547" i="2"/>
  <c r="J1547" i="2"/>
  <c r="K1547" i="2"/>
  <c r="L1547" i="2"/>
  <c r="M1547" i="2"/>
  <c r="N1547" i="2"/>
  <c r="O1547" i="2"/>
  <c r="P1547" i="2"/>
  <c r="Q1547" i="2"/>
  <c r="R1547" i="2"/>
  <c r="S1547" i="2"/>
  <c r="T1547" i="2"/>
  <c r="U1547" i="2"/>
  <c r="V1547" i="2"/>
  <c r="W1547" i="2"/>
  <c r="X1547" i="2"/>
  <c r="Y1547" i="2"/>
  <c r="B1548" i="2"/>
  <c r="C1548" i="2"/>
  <c r="D1548" i="2"/>
  <c r="E1548" i="2"/>
  <c r="F1548" i="2"/>
  <c r="G1548" i="2"/>
  <c r="H1548" i="2"/>
  <c r="I1548" i="2"/>
  <c r="J1548" i="2"/>
  <c r="K1548" i="2"/>
  <c r="L1548" i="2"/>
  <c r="M1548" i="2"/>
  <c r="N1548" i="2"/>
  <c r="O1548" i="2"/>
  <c r="P1548" i="2"/>
  <c r="Q1548" i="2"/>
  <c r="R1548" i="2"/>
  <c r="S1548" i="2"/>
  <c r="T1548" i="2"/>
  <c r="U1548" i="2"/>
  <c r="V1548" i="2"/>
  <c r="W1548" i="2"/>
  <c r="X1548" i="2"/>
  <c r="Y1548" i="2"/>
  <c r="A1549" i="2"/>
  <c r="B1549" i="2"/>
  <c r="C1549" i="2"/>
  <c r="D1549" i="2"/>
  <c r="E1549" i="2"/>
  <c r="F1549" i="2"/>
  <c r="G1549" i="2"/>
  <c r="H1549" i="2"/>
  <c r="I1549" i="2"/>
  <c r="J1549" i="2"/>
  <c r="K1549" i="2"/>
  <c r="L1549" i="2"/>
  <c r="M1549" i="2"/>
  <c r="N1549" i="2"/>
  <c r="O1549" i="2"/>
  <c r="P1549" i="2"/>
  <c r="Q1549" i="2"/>
  <c r="R1549" i="2"/>
  <c r="S1549" i="2"/>
  <c r="T1549" i="2"/>
  <c r="U1549" i="2"/>
  <c r="V1549" i="2"/>
  <c r="W1549" i="2"/>
  <c r="X1549" i="2"/>
  <c r="Y1549" i="2"/>
  <c r="A1550" i="2"/>
  <c r="B1550" i="2"/>
  <c r="C1550" i="2"/>
  <c r="D1550" i="2"/>
  <c r="E1550" i="2"/>
  <c r="F1550" i="2"/>
  <c r="G1550" i="2"/>
  <c r="H1550" i="2"/>
  <c r="I1550" i="2"/>
  <c r="J1550" i="2"/>
  <c r="K1550" i="2"/>
  <c r="L1550" i="2"/>
  <c r="M1550" i="2"/>
  <c r="N1550" i="2"/>
  <c r="O1550" i="2"/>
  <c r="P1550" i="2"/>
  <c r="Q1550" i="2"/>
  <c r="R1550" i="2"/>
  <c r="S1550" i="2"/>
  <c r="T1550" i="2"/>
  <c r="U1550" i="2"/>
  <c r="V1550" i="2"/>
  <c r="W1550" i="2"/>
  <c r="X1550" i="2"/>
  <c r="Y1550" i="2"/>
  <c r="A1551" i="2"/>
  <c r="B1551" i="2"/>
  <c r="C1551" i="2"/>
  <c r="D1551" i="2"/>
  <c r="E1551" i="2"/>
  <c r="F1551" i="2"/>
  <c r="G1551" i="2"/>
  <c r="H1551" i="2"/>
  <c r="I1551" i="2"/>
  <c r="J1551" i="2"/>
  <c r="K1551" i="2"/>
  <c r="L1551" i="2"/>
  <c r="M1551" i="2"/>
  <c r="N1551" i="2"/>
  <c r="O1551" i="2"/>
  <c r="P1551" i="2"/>
  <c r="Q1551" i="2"/>
  <c r="R1551" i="2"/>
  <c r="S1551" i="2"/>
  <c r="T1551" i="2"/>
  <c r="U1551" i="2"/>
  <c r="V1551" i="2"/>
  <c r="W1551" i="2"/>
  <c r="X1551" i="2"/>
  <c r="Y1551" i="2"/>
  <c r="A1552" i="2"/>
  <c r="B1552" i="2"/>
  <c r="C1552" i="2"/>
  <c r="D1552" i="2"/>
  <c r="E1552" i="2"/>
  <c r="F1552" i="2"/>
  <c r="G1552" i="2"/>
  <c r="H1552" i="2"/>
  <c r="I1552" i="2"/>
  <c r="J1552" i="2"/>
  <c r="K1552" i="2"/>
  <c r="L1552" i="2"/>
  <c r="M1552" i="2"/>
  <c r="N1552" i="2"/>
  <c r="O1552" i="2"/>
  <c r="P1552" i="2"/>
  <c r="Q1552" i="2"/>
  <c r="R1552" i="2"/>
  <c r="S1552" i="2"/>
  <c r="T1552" i="2"/>
  <c r="U1552" i="2"/>
  <c r="V1552" i="2"/>
  <c r="W1552" i="2"/>
  <c r="X1552" i="2"/>
  <c r="Y1552" i="2"/>
  <c r="A1553" i="2"/>
  <c r="B1553" i="2"/>
  <c r="C1553" i="2"/>
  <c r="D1553" i="2"/>
  <c r="E1553" i="2"/>
  <c r="F1553" i="2"/>
  <c r="G1553" i="2"/>
  <c r="H1553" i="2"/>
  <c r="I1553" i="2"/>
  <c r="J1553" i="2"/>
  <c r="K1553" i="2"/>
  <c r="L1553" i="2"/>
  <c r="M1553" i="2"/>
  <c r="N1553" i="2"/>
  <c r="O1553" i="2"/>
  <c r="P1553" i="2"/>
  <c r="Q1553" i="2"/>
  <c r="R1553" i="2"/>
  <c r="S1553" i="2"/>
  <c r="T1553" i="2"/>
  <c r="U1553" i="2"/>
  <c r="V1553" i="2"/>
  <c r="W1553" i="2"/>
  <c r="X1553" i="2"/>
  <c r="Y1553" i="2"/>
  <c r="A1554" i="2"/>
  <c r="B1554" i="2"/>
  <c r="C1554" i="2"/>
  <c r="D1554" i="2"/>
  <c r="E1554" i="2"/>
  <c r="F1554" i="2"/>
  <c r="G1554" i="2"/>
  <c r="H1554" i="2"/>
  <c r="I1554" i="2"/>
  <c r="J1554" i="2"/>
  <c r="K1554" i="2"/>
  <c r="L1554" i="2"/>
  <c r="M1554" i="2"/>
  <c r="N1554" i="2"/>
  <c r="O1554" i="2"/>
  <c r="P1554" i="2"/>
  <c r="Q1554" i="2"/>
  <c r="R1554" i="2"/>
  <c r="S1554" i="2"/>
  <c r="T1554" i="2"/>
  <c r="U1554" i="2"/>
  <c r="V1554" i="2"/>
  <c r="W1554" i="2"/>
  <c r="X1554" i="2"/>
  <c r="Y1554" i="2"/>
  <c r="A1555" i="2"/>
  <c r="B1555" i="2"/>
  <c r="C1555" i="2"/>
  <c r="D1555" i="2"/>
  <c r="E1555" i="2"/>
  <c r="F1555" i="2"/>
  <c r="G1555" i="2"/>
  <c r="H1555" i="2"/>
  <c r="I1555" i="2"/>
  <c r="J1555" i="2"/>
  <c r="K1555" i="2"/>
  <c r="L1555" i="2"/>
  <c r="M1555" i="2"/>
  <c r="N1555" i="2"/>
  <c r="O1555" i="2"/>
  <c r="P1555" i="2"/>
  <c r="Q1555" i="2"/>
  <c r="R1555" i="2"/>
  <c r="S1555" i="2"/>
  <c r="T1555" i="2"/>
  <c r="U1555" i="2"/>
  <c r="V1555" i="2"/>
  <c r="W1555" i="2"/>
  <c r="X1555" i="2"/>
  <c r="Y1555" i="2"/>
  <c r="A1556" i="2"/>
  <c r="B1556" i="2"/>
  <c r="C1556" i="2"/>
  <c r="D1556" i="2"/>
  <c r="E1556" i="2"/>
  <c r="F1556" i="2"/>
  <c r="G1556" i="2"/>
  <c r="H1556" i="2"/>
  <c r="I1556" i="2"/>
  <c r="J1556" i="2"/>
  <c r="K1556" i="2"/>
  <c r="L1556" i="2"/>
  <c r="M1556" i="2"/>
  <c r="N1556" i="2"/>
  <c r="O1556" i="2"/>
  <c r="P1556" i="2"/>
  <c r="Q1556" i="2"/>
  <c r="R1556" i="2"/>
  <c r="S1556" i="2"/>
  <c r="T1556" i="2"/>
  <c r="U1556" i="2"/>
  <c r="V1556" i="2"/>
  <c r="W1556" i="2"/>
  <c r="X1556" i="2"/>
  <c r="Y1556" i="2"/>
  <c r="A1557" i="2"/>
  <c r="B1557" i="2"/>
  <c r="C1557" i="2"/>
  <c r="D1557" i="2"/>
  <c r="E1557" i="2"/>
  <c r="F1557" i="2"/>
  <c r="G1557" i="2"/>
  <c r="H1557" i="2"/>
  <c r="I1557" i="2"/>
  <c r="J1557" i="2"/>
  <c r="K1557" i="2"/>
  <c r="L1557" i="2"/>
  <c r="M1557" i="2"/>
  <c r="N1557" i="2"/>
  <c r="O1557" i="2"/>
  <c r="P1557" i="2"/>
  <c r="Q1557" i="2"/>
  <c r="R1557" i="2"/>
  <c r="S1557" i="2"/>
  <c r="T1557" i="2"/>
  <c r="U1557" i="2"/>
  <c r="V1557" i="2"/>
  <c r="W1557" i="2"/>
  <c r="X1557" i="2"/>
  <c r="Y1557" i="2"/>
  <c r="A1558" i="2"/>
  <c r="B1558" i="2"/>
  <c r="C1558" i="2"/>
  <c r="D1558" i="2"/>
  <c r="E1558" i="2"/>
  <c r="F1558" i="2"/>
  <c r="G1558" i="2"/>
  <c r="H1558" i="2"/>
  <c r="I1558" i="2"/>
  <c r="J1558" i="2"/>
  <c r="K1558" i="2"/>
  <c r="L1558" i="2"/>
  <c r="M1558" i="2"/>
  <c r="N1558" i="2"/>
  <c r="O1558" i="2"/>
  <c r="P1558" i="2"/>
  <c r="Q1558" i="2"/>
  <c r="R1558" i="2"/>
  <c r="S1558" i="2"/>
  <c r="T1558" i="2"/>
  <c r="U1558" i="2"/>
  <c r="V1558" i="2"/>
  <c r="W1558" i="2"/>
  <c r="X1558" i="2"/>
  <c r="Y1558" i="2"/>
  <c r="A1559" i="2"/>
  <c r="B1559" i="2"/>
  <c r="C1559" i="2"/>
  <c r="D1559" i="2"/>
  <c r="E1559" i="2"/>
  <c r="F1559" i="2"/>
  <c r="G1559" i="2"/>
  <c r="H1559" i="2"/>
  <c r="I1559" i="2"/>
  <c r="J1559" i="2"/>
  <c r="K1559" i="2"/>
  <c r="L1559" i="2"/>
  <c r="M1559" i="2"/>
  <c r="N1559" i="2"/>
  <c r="O1559" i="2"/>
  <c r="P1559" i="2"/>
  <c r="Q1559" i="2"/>
  <c r="R1559" i="2"/>
  <c r="S1559" i="2"/>
  <c r="T1559" i="2"/>
  <c r="U1559" i="2"/>
  <c r="V1559" i="2"/>
  <c r="W1559" i="2"/>
  <c r="X1559" i="2"/>
  <c r="Y1559" i="2"/>
  <c r="B1560" i="2"/>
  <c r="C1560" i="2"/>
  <c r="D1560" i="2"/>
  <c r="E1560" i="2"/>
  <c r="F1560" i="2"/>
  <c r="G1560" i="2"/>
  <c r="H1560" i="2"/>
  <c r="I1560" i="2"/>
  <c r="J1560" i="2"/>
  <c r="K1560" i="2"/>
  <c r="L1560" i="2"/>
  <c r="M1560" i="2"/>
  <c r="N1560" i="2"/>
  <c r="O1560" i="2"/>
  <c r="P1560" i="2"/>
  <c r="Q1560" i="2"/>
  <c r="R1560" i="2"/>
  <c r="S1560" i="2"/>
  <c r="T1560" i="2"/>
  <c r="U1560" i="2"/>
  <c r="V1560" i="2"/>
  <c r="W1560" i="2"/>
  <c r="X1560" i="2"/>
  <c r="Y1560" i="2"/>
  <c r="A1561" i="2"/>
  <c r="B1561" i="2"/>
  <c r="C1561" i="2"/>
  <c r="D1561" i="2"/>
  <c r="E1561" i="2"/>
  <c r="F1561" i="2"/>
  <c r="G1561" i="2"/>
  <c r="H1561" i="2"/>
  <c r="I1561" i="2"/>
  <c r="J1561" i="2"/>
  <c r="K1561" i="2"/>
  <c r="L1561" i="2"/>
  <c r="M1561" i="2"/>
  <c r="N1561" i="2"/>
  <c r="O1561" i="2"/>
  <c r="P1561" i="2"/>
  <c r="Q1561" i="2"/>
  <c r="R1561" i="2"/>
  <c r="S1561" i="2"/>
  <c r="T1561" i="2"/>
  <c r="U1561" i="2"/>
  <c r="V1561" i="2"/>
  <c r="W1561" i="2"/>
  <c r="X1561" i="2"/>
  <c r="Y1561" i="2"/>
  <c r="A1562" i="2"/>
  <c r="B1562" i="2"/>
  <c r="C1562" i="2"/>
  <c r="D1562" i="2"/>
  <c r="E1562" i="2"/>
  <c r="F1562" i="2"/>
  <c r="G1562" i="2"/>
  <c r="H1562" i="2"/>
  <c r="I1562" i="2"/>
  <c r="J1562" i="2"/>
  <c r="K1562" i="2"/>
  <c r="L1562" i="2"/>
  <c r="M1562" i="2"/>
  <c r="N1562" i="2"/>
  <c r="O1562" i="2"/>
  <c r="P1562" i="2"/>
  <c r="Q1562" i="2"/>
  <c r="R1562" i="2"/>
  <c r="S1562" i="2"/>
  <c r="T1562" i="2"/>
  <c r="U1562" i="2"/>
  <c r="V1562" i="2"/>
  <c r="W1562" i="2"/>
  <c r="X1562" i="2"/>
  <c r="Y1562" i="2"/>
  <c r="A1563" i="2"/>
  <c r="B1563" i="2"/>
  <c r="C1563" i="2"/>
  <c r="D1563" i="2"/>
  <c r="E1563" i="2"/>
  <c r="F1563" i="2"/>
  <c r="G1563" i="2"/>
  <c r="H1563" i="2"/>
  <c r="I1563" i="2"/>
  <c r="J1563" i="2"/>
  <c r="K1563" i="2"/>
  <c r="L1563" i="2"/>
  <c r="M1563" i="2"/>
  <c r="N1563" i="2"/>
  <c r="O1563" i="2"/>
  <c r="P1563" i="2"/>
  <c r="Q1563" i="2"/>
  <c r="R1563" i="2"/>
  <c r="S1563" i="2"/>
  <c r="T1563" i="2"/>
  <c r="U1563" i="2"/>
  <c r="V1563" i="2"/>
  <c r="W1563" i="2"/>
  <c r="X1563" i="2"/>
  <c r="Y1563" i="2"/>
  <c r="B1564" i="2"/>
  <c r="C1564" i="2"/>
  <c r="D1564" i="2"/>
  <c r="E1564" i="2"/>
  <c r="F1564" i="2"/>
  <c r="G1564" i="2"/>
  <c r="H1564" i="2"/>
  <c r="I1564" i="2"/>
  <c r="J1564" i="2"/>
  <c r="K1564" i="2"/>
  <c r="L1564" i="2"/>
  <c r="M1564" i="2"/>
  <c r="N1564" i="2"/>
  <c r="O1564" i="2"/>
  <c r="P1564" i="2"/>
  <c r="Q1564" i="2"/>
  <c r="R1564" i="2"/>
  <c r="S1564" i="2"/>
  <c r="T1564" i="2"/>
  <c r="U1564" i="2"/>
  <c r="V1564" i="2"/>
  <c r="W1564" i="2"/>
  <c r="X1564" i="2"/>
  <c r="Y1564" i="2"/>
  <c r="A1565" i="2"/>
  <c r="B1565" i="2"/>
  <c r="C1565" i="2"/>
  <c r="D1565" i="2"/>
  <c r="E1565" i="2"/>
  <c r="F1565" i="2"/>
  <c r="G1565" i="2"/>
  <c r="H1565" i="2"/>
  <c r="I1565" i="2"/>
  <c r="J1565" i="2"/>
  <c r="K1565" i="2"/>
  <c r="L1565" i="2"/>
  <c r="M1565" i="2"/>
  <c r="N1565" i="2"/>
  <c r="O1565" i="2"/>
  <c r="P1565" i="2"/>
  <c r="Q1565" i="2"/>
  <c r="R1565" i="2"/>
  <c r="S1565" i="2"/>
  <c r="T1565" i="2"/>
  <c r="U1565" i="2"/>
  <c r="V1565" i="2"/>
  <c r="W1565" i="2"/>
  <c r="X1565" i="2"/>
  <c r="Y1565" i="2"/>
  <c r="A1566" i="2"/>
  <c r="B1566" i="2"/>
  <c r="C1566" i="2"/>
  <c r="D1566" i="2"/>
  <c r="E1566" i="2"/>
  <c r="F1566" i="2"/>
  <c r="G1566" i="2"/>
  <c r="H1566" i="2"/>
  <c r="I1566" i="2"/>
  <c r="J1566" i="2"/>
  <c r="K1566" i="2"/>
  <c r="L1566" i="2"/>
  <c r="M1566" i="2"/>
  <c r="N1566" i="2"/>
  <c r="O1566" i="2"/>
  <c r="P1566" i="2"/>
  <c r="Q1566" i="2"/>
  <c r="R1566" i="2"/>
  <c r="S1566" i="2"/>
  <c r="T1566" i="2"/>
  <c r="U1566" i="2"/>
  <c r="V1566" i="2"/>
  <c r="W1566" i="2"/>
  <c r="X1566" i="2"/>
  <c r="Y1566" i="2"/>
  <c r="A1567" i="2"/>
  <c r="B1567" i="2"/>
  <c r="C1567" i="2"/>
  <c r="D1567" i="2"/>
  <c r="E1567" i="2"/>
  <c r="F1567" i="2"/>
  <c r="G1567" i="2"/>
  <c r="H1567" i="2"/>
  <c r="I1567" i="2"/>
  <c r="J1567" i="2"/>
  <c r="K1567" i="2"/>
  <c r="L1567" i="2"/>
  <c r="M1567" i="2"/>
  <c r="N1567" i="2"/>
  <c r="O1567" i="2"/>
  <c r="P1567" i="2"/>
  <c r="Q1567" i="2"/>
  <c r="R1567" i="2"/>
  <c r="S1567" i="2"/>
  <c r="T1567" i="2"/>
  <c r="U1567" i="2"/>
  <c r="V1567" i="2"/>
  <c r="W1567" i="2"/>
  <c r="X1567" i="2"/>
  <c r="Y1567" i="2"/>
  <c r="A1568" i="2"/>
  <c r="B1568" i="2"/>
  <c r="C1568" i="2"/>
  <c r="D1568" i="2"/>
  <c r="E1568" i="2"/>
  <c r="F1568" i="2"/>
  <c r="G1568" i="2"/>
  <c r="H1568" i="2"/>
  <c r="I1568" i="2"/>
  <c r="J1568" i="2"/>
  <c r="K1568" i="2"/>
  <c r="L1568" i="2"/>
  <c r="M1568" i="2"/>
  <c r="N1568" i="2"/>
  <c r="O1568" i="2"/>
  <c r="P1568" i="2"/>
  <c r="Q1568" i="2"/>
  <c r="R1568" i="2"/>
  <c r="S1568" i="2"/>
  <c r="T1568" i="2"/>
  <c r="U1568" i="2"/>
  <c r="V1568" i="2"/>
  <c r="W1568" i="2"/>
  <c r="X1568" i="2"/>
  <c r="Y1568" i="2"/>
  <c r="A1569" i="2"/>
  <c r="B1569" i="2"/>
  <c r="C1569" i="2"/>
  <c r="D1569" i="2"/>
  <c r="E1569" i="2"/>
  <c r="F1569" i="2"/>
  <c r="G1569" i="2"/>
  <c r="H1569" i="2"/>
  <c r="I1569" i="2"/>
  <c r="J1569" i="2"/>
  <c r="K1569" i="2"/>
  <c r="L1569" i="2"/>
  <c r="M1569" i="2"/>
  <c r="N1569" i="2"/>
  <c r="O1569" i="2"/>
  <c r="P1569" i="2"/>
  <c r="Q1569" i="2"/>
  <c r="R1569" i="2"/>
  <c r="S1569" i="2"/>
  <c r="T1569" i="2"/>
  <c r="U1569" i="2"/>
  <c r="V1569" i="2"/>
  <c r="W1569" i="2"/>
  <c r="X1569" i="2"/>
  <c r="Y1569" i="2"/>
  <c r="A1570" i="2"/>
  <c r="B1570" i="2"/>
  <c r="C1570" i="2"/>
  <c r="D1570" i="2"/>
  <c r="E1570" i="2"/>
  <c r="F1570" i="2"/>
  <c r="G1570" i="2"/>
  <c r="H1570" i="2"/>
  <c r="I1570" i="2"/>
  <c r="J1570" i="2"/>
  <c r="K1570" i="2"/>
  <c r="L1570" i="2"/>
  <c r="M1570" i="2"/>
  <c r="N1570" i="2"/>
  <c r="O1570" i="2"/>
  <c r="P1570" i="2"/>
  <c r="Q1570" i="2"/>
  <c r="R1570" i="2"/>
  <c r="S1570" i="2"/>
  <c r="T1570" i="2"/>
  <c r="U1570" i="2"/>
  <c r="V1570" i="2"/>
  <c r="W1570" i="2"/>
  <c r="X1570" i="2"/>
  <c r="Y1570" i="2"/>
  <c r="A1571" i="2"/>
  <c r="B1571" i="2"/>
  <c r="C1571" i="2"/>
  <c r="D1571" i="2"/>
  <c r="E1571" i="2"/>
  <c r="F1571" i="2"/>
  <c r="G1571" i="2"/>
  <c r="H1571" i="2"/>
  <c r="I1571" i="2"/>
  <c r="J1571" i="2"/>
  <c r="K1571" i="2"/>
  <c r="L1571" i="2"/>
  <c r="M1571" i="2"/>
  <c r="N1571" i="2"/>
  <c r="O1571" i="2"/>
  <c r="P1571" i="2"/>
  <c r="Q1571" i="2"/>
  <c r="R1571" i="2"/>
  <c r="S1571" i="2"/>
  <c r="T1571" i="2"/>
  <c r="U1571" i="2"/>
  <c r="V1571" i="2"/>
  <c r="W1571" i="2"/>
  <c r="X1571" i="2"/>
  <c r="Y1571" i="2"/>
  <c r="A1572" i="2"/>
  <c r="B1572" i="2"/>
  <c r="C1572" i="2"/>
  <c r="D1572" i="2"/>
  <c r="E1572" i="2"/>
  <c r="F1572" i="2"/>
  <c r="G1572" i="2"/>
  <c r="H1572" i="2"/>
  <c r="I1572" i="2"/>
  <c r="J1572" i="2"/>
  <c r="K1572" i="2"/>
  <c r="L1572" i="2"/>
  <c r="M1572" i="2"/>
  <c r="N1572" i="2"/>
  <c r="O1572" i="2"/>
  <c r="P1572" i="2"/>
  <c r="Q1572" i="2"/>
  <c r="R1572" i="2"/>
  <c r="S1572" i="2"/>
  <c r="T1572" i="2"/>
  <c r="U1572" i="2"/>
  <c r="V1572" i="2"/>
  <c r="W1572" i="2"/>
  <c r="X1572" i="2"/>
  <c r="Y1572" i="2"/>
  <c r="A1573" i="2"/>
  <c r="B1573" i="2"/>
  <c r="C1573" i="2"/>
  <c r="D1573" i="2"/>
  <c r="E1573" i="2"/>
  <c r="F1573" i="2"/>
  <c r="G1573" i="2"/>
  <c r="H1573" i="2"/>
  <c r="I1573" i="2"/>
  <c r="J1573" i="2"/>
  <c r="K1573" i="2"/>
  <c r="L1573" i="2"/>
  <c r="M1573" i="2"/>
  <c r="N1573" i="2"/>
  <c r="O1573" i="2"/>
  <c r="P1573" i="2"/>
  <c r="Q1573" i="2"/>
  <c r="R1573" i="2"/>
  <c r="S1573" i="2"/>
  <c r="T1573" i="2"/>
  <c r="U1573" i="2"/>
  <c r="V1573" i="2"/>
  <c r="W1573" i="2"/>
  <c r="X1573" i="2"/>
  <c r="Y1573" i="2"/>
  <c r="A1574" i="2"/>
  <c r="B1574" i="2"/>
  <c r="C1574" i="2"/>
  <c r="D1574" i="2"/>
  <c r="E1574" i="2"/>
  <c r="F1574" i="2"/>
  <c r="G1574" i="2"/>
  <c r="H1574" i="2"/>
  <c r="I1574" i="2"/>
  <c r="J1574" i="2"/>
  <c r="K1574" i="2"/>
  <c r="L1574" i="2"/>
  <c r="M1574" i="2"/>
  <c r="N1574" i="2"/>
  <c r="O1574" i="2"/>
  <c r="P1574" i="2"/>
  <c r="Q1574" i="2"/>
  <c r="R1574" i="2"/>
  <c r="S1574" i="2"/>
  <c r="T1574" i="2"/>
  <c r="U1574" i="2"/>
  <c r="V1574" i="2"/>
  <c r="W1574" i="2"/>
  <c r="X1574" i="2"/>
  <c r="Y1574" i="2"/>
  <c r="A1575" i="2"/>
  <c r="B1575" i="2"/>
  <c r="C1575" i="2"/>
  <c r="D1575" i="2"/>
  <c r="E1575" i="2"/>
  <c r="F1575" i="2"/>
  <c r="G1575" i="2"/>
  <c r="H1575" i="2"/>
  <c r="I1575" i="2"/>
  <c r="J1575" i="2"/>
  <c r="K1575" i="2"/>
  <c r="L1575" i="2"/>
  <c r="M1575" i="2"/>
  <c r="N1575" i="2"/>
  <c r="O1575" i="2"/>
  <c r="P1575" i="2"/>
  <c r="Q1575" i="2"/>
  <c r="R1575" i="2"/>
  <c r="S1575" i="2"/>
  <c r="T1575" i="2"/>
  <c r="U1575" i="2"/>
  <c r="V1575" i="2"/>
  <c r="W1575" i="2"/>
  <c r="X1575" i="2"/>
  <c r="Y1575" i="2"/>
  <c r="B1576" i="2"/>
  <c r="C1576" i="2"/>
  <c r="D1576" i="2"/>
  <c r="E1576" i="2"/>
  <c r="F1576" i="2"/>
  <c r="G1576" i="2"/>
  <c r="H1576" i="2"/>
  <c r="I1576" i="2"/>
  <c r="J1576" i="2"/>
  <c r="K1576" i="2"/>
  <c r="L1576" i="2"/>
  <c r="M1576" i="2"/>
  <c r="N1576" i="2"/>
  <c r="O1576" i="2"/>
  <c r="P1576" i="2"/>
  <c r="Q1576" i="2"/>
  <c r="R1576" i="2"/>
  <c r="S1576" i="2"/>
  <c r="T1576" i="2"/>
  <c r="U1576" i="2"/>
  <c r="V1576" i="2"/>
  <c r="W1576" i="2"/>
  <c r="X1576" i="2"/>
  <c r="Y1576" i="2"/>
  <c r="A1577" i="2"/>
  <c r="B1577" i="2"/>
  <c r="C1577" i="2"/>
  <c r="D1577" i="2"/>
  <c r="E1577" i="2"/>
  <c r="F1577" i="2"/>
  <c r="G1577" i="2"/>
  <c r="H1577" i="2"/>
  <c r="I1577" i="2"/>
  <c r="J1577" i="2"/>
  <c r="K1577" i="2"/>
  <c r="L1577" i="2"/>
  <c r="M1577" i="2"/>
  <c r="N1577" i="2"/>
  <c r="O1577" i="2"/>
  <c r="P1577" i="2"/>
  <c r="Q1577" i="2"/>
  <c r="R1577" i="2"/>
  <c r="S1577" i="2"/>
  <c r="T1577" i="2"/>
  <c r="U1577" i="2"/>
  <c r="V1577" i="2"/>
  <c r="W1577" i="2"/>
  <c r="X1577" i="2"/>
  <c r="Y1577" i="2"/>
  <c r="A1578" i="2"/>
  <c r="B1578" i="2"/>
  <c r="C1578" i="2"/>
  <c r="D1578" i="2"/>
  <c r="E1578" i="2"/>
  <c r="F1578" i="2"/>
  <c r="G1578" i="2"/>
  <c r="H1578" i="2"/>
  <c r="I1578" i="2"/>
  <c r="J1578" i="2"/>
  <c r="K1578" i="2"/>
  <c r="L1578" i="2"/>
  <c r="M1578" i="2"/>
  <c r="N1578" i="2"/>
  <c r="O1578" i="2"/>
  <c r="P1578" i="2"/>
  <c r="Q1578" i="2"/>
  <c r="R1578" i="2"/>
  <c r="S1578" i="2"/>
  <c r="T1578" i="2"/>
  <c r="U1578" i="2"/>
  <c r="V1578" i="2"/>
  <c r="W1578" i="2"/>
  <c r="X1578" i="2"/>
  <c r="Y1578" i="2"/>
  <c r="A1579" i="2"/>
  <c r="B1579" i="2"/>
  <c r="C1579" i="2"/>
  <c r="D1579" i="2"/>
  <c r="E1579" i="2"/>
  <c r="F1579" i="2"/>
  <c r="G1579" i="2"/>
  <c r="H1579" i="2"/>
  <c r="I1579" i="2"/>
  <c r="J1579" i="2"/>
  <c r="K1579" i="2"/>
  <c r="L1579" i="2"/>
  <c r="M1579" i="2"/>
  <c r="N1579" i="2"/>
  <c r="O1579" i="2"/>
  <c r="P1579" i="2"/>
  <c r="Q1579" i="2"/>
  <c r="R1579" i="2"/>
  <c r="S1579" i="2"/>
  <c r="T1579" i="2"/>
  <c r="U1579" i="2"/>
  <c r="V1579" i="2"/>
  <c r="W1579" i="2"/>
  <c r="X1579" i="2"/>
  <c r="Y1579" i="2"/>
  <c r="A1580" i="2"/>
  <c r="B1580" i="2"/>
  <c r="C1580" i="2"/>
  <c r="D1580" i="2"/>
  <c r="E1580" i="2"/>
  <c r="F1580" i="2"/>
  <c r="G1580" i="2"/>
  <c r="H1580" i="2"/>
  <c r="I1580" i="2"/>
  <c r="J1580" i="2"/>
  <c r="K1580" i="2"/>
  <c r="L1580" i="2"/>
  <c r="M1580" i="2"/>
  <c r="N1580" i="2"/>
  <c r="O1580" i="2"/>
  <c r="P1580" i="2"/>
  <c r="Q1580" i="2"/>
  <c r="R1580" i="2"/>
  <c r="S1580" i="2"/>
  <c r="T1580" i="2"/>
  <c r="U1580" i="2"/>
  <c r="V1580" i="2"/>
  <c r="W1580" i="2"/>
  <c r="X1580" i="2"/>
  <c r="Y1580" i="2"/>
  <c r="A1581" i="2"/>
  <c r="B1581" i="2"/>
  <c r="C1581" i="2"/>
  <c r="D1581" i="2"/>
  <c r="E1581" i="2"/>
  <c r="F1581" i="2"/>
  <c r="G1581" i="2"/>
  <c r="H1581" i="2"/>
  <c r="I1581" i="2"/>
  <c r="J1581" i="2"/>
  <c r="K1581" i="2"/>
  <c r="L1581" i="2"/>
  <c r="M1581" i="2"/>
  <c r="N1581" i="2"/>
  <c r="O1581" i="2"/>
  <c r="P1581" i="2"/>
  <c r="Q1581" i="2"/>
  <c r="R1581" i="2"/>
  <c r="S1581" i="2"/>
  <c r="T1581" i="2"/>
  <c r="U1581" i="2"/>
  <c r="V1581" i="2"/>
  <c r="W1581" i="2"/>
  <c r="X1581" i="2"/>
  <c r="Y1581" i="2"/>
  <c r="A1582" i="2"/>
  <c r="B1582" i="2"/>
  <c r="C1582" i="2"/>
  <c r="D1582" i="2"/>
  <c r="E1582" i="2"/>
  <c r="F1582" i="2"/>
  <c r="G1582" i="2"/>
  <c r="H1582" i="2"/>
  <c r="I1582" i="2"/>
  <c r="J1582" i="2"/>
  <c r="K1582" i="2"/>
  <c r="L1582" i="2"/>
  <c r="M1582" i="2"/>
  <c r="N1582" i="2"/>
  <c r="O1582" i="2"/>
  <c r="P1582" i="2"/>
  <c r="Q1582" i="2"/>
  <c r="R1582" i="2"/>
  <c r="S1582" i="2"/>
  <c r="T1582" i="2"/>
  <c r="U1582" i="2"/>
  <c r="V1582" i="2"/>
  <c r="W1582" i="2"/>
  <c r="X1582" i="2"/>
  <c r="Y1582" i="2"/>
  <c r="A1583" i="2"/>
  <c r="B1583" i="2"/>
  <c r="C1583" i="2"/>
  <c r="D1583" i="2"/>
  <c r="E1583" i="2"/>
  <c r="F1583" i="2"/>
  <c r="G1583" i="2"/>
  <c r="H1583" i="2"/>
  <c r="I1583" i="2"/>
  <c r="J1583" i="2"/>
  <c r="K1583" i="2"/>
  <c r="L1583" i="2"/>
  <c r="M1583" i="2"/>
  <c r="N1583" i="2"/>
  <c r="O1583" i="2"/>
  <c r="P1583" i="2"/>
  <c r="Q1583" i="2"/>
  <c r="R1583" i="2"/>
  <c r="S1583" i="2"/>
  <c r="T1583" i="2"/>
  <c r="U1583" i="2"/>
  <c r="V1583" i="2"/>
  <c r="W1583" i="2"/>
  <c r="X1583" i="2"/>
  <c r="Y1583" i="2"/>
  <c r="A1584" i="2"/>
  <c r="B1584" i="2"/>
  <c r="C1584" i="2"/>
  <c r="D1584" i="2"/>
  <c r="E1584" i="2"/>
  <c r="F1584" i="2"/>
  <c r="G1584" i="2"/>
  <c r="H1584" i="2"/>
  <c r="I1584" i="2"/>
  <c r="J1584" i="2"/>
  <c r="K1584" i="2"/>
  <c r="L1584" i="2"/>
  <c r="M1584" i="2"/>
  <c r="N1584" i="2"/>
  <c r="O1584" i="2"/>
  <c r="P1584" i="2"/>
  <c r="Q1584" i="2"/>
  <c r="R1584" i="2"/>
  <c r="S1584" i="2"/>
  <c r="T1584" i="2"/>
  <c r="U1584" i="2"/>
  <c r="V1584" i="2"/>
  <c r="W1584" i="2"/>
  <c r="X1584" i="2"/>
  <c r="Y1584" i="2"/>
  <c r="A1585" i="2"/>
  <c r="B1585" i="2"/>
  <c r="C1585" i="2"/>
  <c r="D1585" i="2"/>
  <c r="E1585" i="2"/>
  <c r="F1585" i="2"/>
  <c r="G1585" i="2"/>
  <c r="H1585" i="2"/>
  <c r="I1585" i="2"/>
  <c r="J1585" i="2"/>
  <c r="K1585" i="2"/>
  <c r="L1585" i="2"/>
  <c r="M1585" i="2"/>
  <c r="N1585" i="2"/>
  <c r="O1585" i="2"/>
  <c r="P1585" i="2"/>
  <c r="Q1585" i="2"/>
  <c r="R1585" i="2"/>
  <c r="S1585" i="2"/>
  <c r="T1585" i="2"/>
  <c r="U1585" i="2"/>
  <c r="V1585" i="2"/>
  <c r="W1585" i="2"/>
  <c r="X1585" i="2"/>
  <c r="Y1585" i="2"/>
  <c r="A1586" i="2"/>
  <c r="B1586" i="2"/>
  <c r="C1586" i="2"/>
  <c r="D1586" i="2"/>
  <c r="E1586" i="2"/>
  <c r="F1586" i="2"/>
  <c r="G1586" i="2"/>
  <c r="H1586" i="2"/>
  <c r="I1586" i="2"/>
  <c r="J1586" i="2"/>
  <c r="K1586" i="2"/>
  <c r="L1586" i="2"/>
  <c r="M1586" i="2"/>
  <c r="N1586" i="2"/>
  <c r="O1586" i="2"/>
  <c r="P1586" i="2"/>
  <c r="Q1586" i="2"/>
  <c r="R1586" i="2"/>
  <c r="S1586" i="2"/>
  <c r="T1586" i="2"/>
  <c r="U1586" i="2"/>
  <c r="V1586" i="2"/>
  <c r="W1586" i="2"/>
  <c r="X1586" i="2"/>
  <c r="Y1586" i="2"/>
  <c r="A1587" i="2"/>
  <c r="B1587" i="2"/>
  <c r="C1587" i="2"/>
  <c r="D1587" i="2"/>
  <c r="E1587" i="2"/>
  <c r="F1587" i="2"/>
  <c r="G1587" i="2"/>
  <c r="H1587" i="2"/>
  <c r="I1587" i="2"/>
  <c r="J1587" i="2"/>
  <c r="K1587" i="2"/>
  <c r="L1587" i="2"/>
  <c r="M1587" i="2"/>
  <c r="N1587" i="2"/>
  <c r="O1587" i="2"/>
  <c r="P1587" i="2"/>
  <c r="Q1587" i="2"/>
  <c r="R1587" i="2"/>
  <c r="S1587" i="2"/>
  <c r="T1587" i="2"/>
  <c r="U1587" i="2"/>
  <c r="V1587" i="2"/>
  <c r="W1587" i="2"/>
  <c r="X1587" i="2"/>
  <c r="Y1587" i="2"/>
  <c r="A1588" i="2"/>
  <c r="B1588" i="2"/>
  <c r="C1588" i="2"/>
  <c r="D1588" i="2"/>
  <c r="E1588" i="2"/>
  <c r="F1588" i="2"/>
  <c r="G1588" i="2"/>
  <c r="H1588" i="2"/>
  <c r="I1588" i="2"/>
  <c r="J1588" i="2"/>
  <c r="K1588" i="2"/>
  <c r="L1588" i="2"/>
  <c r="M1588" i="2"/>
  <c r="N1588" i="2"/>
  <c r="O1588" i="2"/>
  <c r="P1588" i="2"/>
  <c r="Q1588" i="2"/>
  <c r="R1588" i="2"/>
  <c r="S1588" i="2"/>
  <c r="T1588" i="2"/>
  <c r="U1588" i="2"/>
  <c r="V1588" i="2"/>
  <c r="W1588" i="2"/>
  <c r="X1588" i="2"/>
  <c r="Y1588" i="2"/>
  <c r="A1589" i="2"/>
  <c r="B1589" i="2"/>
  <c r="C1589" i="2"/>
  <c r="D1589" i="2"/>
  <c r="E1589" i="2"/>
  <c r="F1589" i="2"/>
  <c r="G1589" i="2"/>
  <c r="H1589" i="2"/>
  <c r="I1589" i="2"/>
  <c r="J1589" i="2"/>
  <c r="K1589" i="2"/>
  <c r="L1589" i="2"/>
  <c r="M1589" i="2"/>
  <c r="N1589" i="2"/>
  <c r="O1589" i="2"/>
  <c r="P1589" i="2"/>
  <c r="Q1589" i="2"/>
  <c r="R1589" i="2"/>
  <c r="S1589" i="2"/>
  <c r="T1589" i="2"/>
  <c r="U1589" i="2"/>
  <c r="V1589" i="2"/>
  <c r="W1589" i="2"/>
  <c r="X1589" i="2"/>
  <c r="Y1589" i="2"/>
  <c r="A1590" i="2"/>
  <c r="B1590" i="2"/>
  <c r="C1590" i="2"/>
  <c r="D1590" i="2"/>
  <c r="E1590" i="2"/>
  <c r="F1590" i="2"/>
  <c r="G1590" i="2"/>
  <c r="H1590" i="2"/>
  <c r="I1590" i="2"/>
  <c r="J1590" i="2"/>
  <c r="K1590" i="2"/>
  <c r="L1590" i="2"/>
  <c r="M1590" i="2"/>
  <c r="N1590" i="2"/>
  <c r="O1590" i="2"/>
  <c r="P1590" i="2"/>
  <c r="Q1590" i="2"/>
  <c r="R1590" i="2"/>
  <c r="S1590" i="2"/>
  <c r="T1590" i="2"/>
  <c r="U1590" i="2"/>
  <c r="V1590" i="2"/>
  <c r="W1590" i="2"/>
  <c r="X1590" i="2"/>
  <c r="Y1590" i="2"/>
  <c r="A1591" i="2"/>
  <c r="B1591" i="2"/>
  <c r="C1591" i="2"/>
  <c r="D1591" i="2"/>
  <c r="E1591" i="2"/>
  <c r="F1591" i="2"/>
  <c r="G1591" i="2"/>
  <c r="H1591" i="2"/>
  <c r="I1591" i="2"/>
  <c r="J1591" i="2"/>
  <c r="K1591" i="2"/>
  <c r="L1591" i="2"/>
  <c r="M1591" i="2"/>
  <c r="N1591" i="2"/>
  <c r="O1591" i="2"/>
  <c r="P1591" i="2"/>
  <c r="Q1591" i="2"/>
  <c r="R1591" i="2"/>
  <c r="S1591" i="2"/>
  <c r="T1591" i="2"/>
  <c r="U1591" i="2"/>
  <c r="V1591" i="2"/>
  <c r="W1591" i="2"/>
  <c r="X1591" i="2"/>
  <c r="Y1591" i="2"/>
  <c r="B1592" i="2"/>
  <c r="C1592" i="2"/>
  <c r="D1592" i="2"/>
  <c r="E1592" i="2"/>
  <c r="F1592" i="2"/>
  <c r="G1592" i="2"/>
  <c r="H1592" i="2"/>
  <c r="I1592" i="2"/>
  <c r="J1592" i="2"/>
  <c r="K1592" i="2"/>
  <c r="L1592" i="2"/>
  <c r="M1592" i="2"/>
  <c r="N1592" i="2"/>
  <c r="O1592" i="2"/>
  <c r="P1592" i="2"/>
  <c r="Q1592" i="2"/>
  <c r="R1592" i="2"/>
  <c r="S1592" i="2"/>
  <c r="T1592" i="2"/>
  <c r="U1592" i="2"/>
  <c r="V1592" i="2"/>
  <c r="W1592" i="2"/>
  <c r="X1592" i="2"/>
  <c r="Y1592" i="2"/>
  <c r="A1593" i="2"/>
  <c r="B1593" i="2"/>
  <c r="C1593" i="2"/>
  <c r="D1593" i="2"/>
  <c r="E1593" i="2"/>
  <c r="F1593" i="2"/>
  <c r="G1593" i="2"/>
  <c r="H1593" i="2"/>
  <c r="I1593" i="2"/>
  <c r="J1593" i="2"/>
  <c r="K1593" i="2"/>
  <c r="L1593" i="2"/>
  <c r="M1593" i="2"/>
  <c r="N1593" i="2"/>
  <c r="O1593" i="2"/>
  <c r="P1593" i="2"/>
  <c r="Q1593" i="2"/>
  <c r="R1593" i="2"/>
  <c r="S1593" i="2"/>
  <c r="T1593" i="2"/>
  <c r="U1593" i="2"/>
  <c r="V1593" i="2"/>
  <c r="W1593" i="2"/>
  <c r="X1593" i="2"/>
  <c r="Y1593" i="2"/>
  <c r="A1594" i="2"/>
  <c r="B1594" i="2"/>
  <c r="C1594" i="2"/>
  <c r="D1594" i="2"/>
  <c r="E1594" i="2"/>
  <c r="F1594" i="2"/>
  <c r="G1594" i="2"/>
  <c r="H1594" i="2"/>
  <c r="I1594" i="2"/>
  <c r="J1594" i="2"/>
  <c r="K1594" i="2"/>
  <c r="L1594" i="2"/>
  <c r="M1594" i="2"/>
  <c r="N1594" i="2"/>
  <c r="O1594" i="2"/>
  <c r="P1594" i="2"/>
  <c r="Q1594" i="2"/>
  <c r="R1594" i="2"/>
  <c r="S1594" i="2"/>
  <c r="T1594" i="2"/>
  <c r="U1594" i="2"/>
  <c r="V1594" i="2"/>
  <c r="W1594" i="2"/>
  <c r="X1594" i="2"/>
  <c r="Y1594" i="2"/>
  <c r="A1595" i="2"/>
  <c r="B1595" i="2"/>
  <c r="C1595" i="2"/>
  <c r="D1595" i="2"/>
  <c r="E1595" i="2"/>
  <c r="F1595" i="2"/>
  <c r="G1595" i="2"/>
  <c r="H1595" i="2"/>
  <c r="I1595" i="2"/>
  <c r="J1595" i="2"/>
  <c r="K1595" i="2"/>
  <c r="L1595" i="2"/>
  <c r="M1595" i="2"/>
  <c r="N1595" i="2"/>
  <c r="O1595" i="2"/>
  <c r="P1595" i="2"/>
  <c r="Q1595" i="2"/>
  <c r="R1595" i="2"/>
  <c r="S1595" i="2"/>
  <c r="T1595" i="2"/>
  <c r="U1595" i="2"/>
  <c r="V1595" i="2"/>
  <c r="W1595" i="2"/>
  <c r="X1595" i="2"/>
  <c r="Y1595" i="2"/>
  <c r="A1596" i="2"/>
  <c r="B1596" i="2"/>
  <c r="C1596" i="2"/>
  <c r="D1596" i="2"/>
  <c r="E1596" i="2"/>
  <c r="F1596" i="2"/>
  <c r="G1596" i="2"/>
  <c r="H1596" i="2"/>
  <c r="I1596" i="2"/>
  <c r="J1596" i="2"/>
  <c r="K1596" i="2"/>
  <c r="L1596" i="2"/>
  <c r="M1596" i="2"/>
  <c r="N1596" i="2"/>
  <c r="O1596" i="2"/>
  <c r="P1596" i="2"/>
  <c r="Q1596" i="2"/>
  <c r="R1596" i="2"/>
  <c r="S1596" i="2"/>
  <c r="T1596" i="2"/>
  <c r="U1596" i="2"/>
  <c r="V1596" i="2"/>
  <c r="W1596" i="2"/>
  <c r="X1596" i="2"/>
  <c r="Y1596" i="2"/>
  <c r="A1597" i="2"/>
  <c r="B1597" i="2"/>
  <c r="C1597" i="2"/>
  <c r="D1597" i="2"/>
  <c r="E1597" i="2"/>
  <c r="F1597" i="2"/>
  <c r="G1597" i="2"/>
  <c r="H1597" i="2"/>
  <c r="I1597" i="2"/>
  <c r="J1597" i="2"/>
  <c r="K1597" i="2"/>
  <c r="L1597" i="2"/>
  <c r="M1597" i="2"/>
  <c r="N1597" i="2"/>
  <c r="O1597" i="2"/>
  <c r="P1597" i="2"/>
  <c r="Q1597" i="2"/>
  <c r="R1597" i="2"/>
  <c r="S1597" i="2"/>
  <c r="T1597" i="2"/>
  <c r="U1597" i="2"/>
  <c r="V1597" i="2"/>
  <c r="W1597" i="2"/>
  <c r="X1597" i="2"/>
  <c r="Y1597" i="2"/>
  <c r="A1598" i="2"/>
  <c r="B1598" i="2"/>
  <c r="C1598" i="2"/>
  <c r="D1598" i="2"/>
  <c r="E1598" i="2"/>
  <c r="F1598" i="2"/>
  <c r="G1598" i="2"/>
  <c r="H1598" i="2"/>
  <c r="I1598" i="2"/>
  <c r="J1598" i="2"/>
  <c r="K1598" i="2"/>
  <c r="L1598" i="2"/>
  <c r="M1598" i="2"/>
  <c r="N1598" i="2"/>
  <c r="O1598" i="2"/>
  <c r="P1598" i="2"/>
  <c r="Q1598" i="2"/>
  <c r="R1598" i="2"/>
  <c r="S1598" i="2"/>
  <c r="T1598" i="2"/>
  <c r="U1598" i="2"/>
  <c r="V1598" i="2"/>
  <c r="W1598" i="2"/>
  <c r="X1598" i="2"/>
  <c r="Y1598" i="2"/>
  <c r="A1599" i="2"/>
  <c r="B1599" i="2"/>
  <c r="C1599" i="2"/>
  <c r="D1599" i="2"/>
  <c r="E1599" i="2"/>
  <c r="F1599" i="2"/>
  <c r="G1599" i="2"/>
  <c r="H1599" i="2"/>
  <c r="I1599" i="2"/>
  <c r="J1599" i="2"/>
  <c r="K1599" i="2"/>
  <c r="L1599" i="2"/>
  <c r="M1599" i="2"/>
  <c r="N1599" i="2"/>
  <c r="O1599" i="2"/>
  <c r="P1599" i="2"/>
  <c r="Q1599" i="2"/>
  <c r="R1599" i="2"/>
  <c r="S1599" i="2"/>
  <c r="T1599" i="2"/>
  <c r="U1599" i="2"/>
  <c r="V1599" i="2"/>
  <c r="W1599" i="2"/>
  <c r="X1599" i="2"/>
  <c r="Y1599" i="2"/>
  <c r="A1600" i="2"/>
  <c r="B1600" i="2"/>
  <c r="C1600" i="2"/>
  <c r="D1600" i="2"/>
  <c r="E1600" i="2"/>
  <c r="F1600" i="2"/>
  <c r="G1600" i="2"/>
  <c r="H1600" i="2"/>
  <c r="I1600" i="2"/>
  <c r="J1600" i="2"/>
  <c r="K1600" i="2"/>
  <c r="L1600" i="2"/>
  <c r="M1600" i="2"/>
  <c r="N1600" i="2"/>
  <c r="O1600" i="2"/>
  <c r="P1600" i="2"/>
  <c r="Q1600" i="2"/>
  <c r="R1600" i="2"/>
  <c r="S1600" i="2"/>
  <c r="T1600" i="2"/>
  <c r="U1600" i="2"/>
  <c r="V1600" i="2"/>
  <c r="W1600" i="2"/>
  <c r="X1600" i="2"/>
  <c r="Y1600" i="2"/>
  <c r="A1601" i="2"/>
  <c r="B1601" i="2"/>
  <c r="C1601" i="2"/>
  <c r="D1601" i="2"/>
  <c r="E1601" i="2"/>
  <c r="F1601" i="2"/>
  <c r="G1601" i="2"/>
  <c r="H1601" i="2"/>
  <c r="I1601" i="2"/>
  <c r="J1601" i="2"/>
  <c r="K1601" i="2"/>
  <c r="L1601" i="2"/>
  <c r="M1601" i="2"/>
  <c r="N1601" i="2"/>
  <c r="O1601" i="2"/>
  <c r="P1601" i="2"/>
  <c r="Q1601" i="2"/>
  <c r="R1601" i="2"/>
  <c r="S1601" i="2"/>
  <c r="T1601" i="2"/>
  <c r="U1601" i="2"/>
  <c r="V1601" i="2"/>
  <c r="W1601" i="2"/>
  <c r="X1601" i="2"/>
  <c r="Y1601" i="2"/>
  <c r="A1602" i="2"/>
  <c r="B1602" i="2"/>
  <c r="C1602" i="2"/>
  <c r="D1602" i="2"/>
  <c r="E1602" i="2"/>
  <c r="F1602" i="2"/>
  <c r="G1602" i="2"/>
  <c r="H1602" i="2"/>
  <c r="I1602" i="2"/>
  <c r="J1602" i="2"/>
  <c r="K1602" i="2"/>
  <c r="L1602" i="2"/>
  <c r="M1602" i="2"/>
  <c r="N1602" i="2"/>
  <c r="O1602" i="2"/>
  <c r="P1602" i="2"/>
  <c r="Q1602" i="2"/>
  <c r="R1602" i="2"/>
  <c r="S1602" i="2"/>
  <c r="T1602" i="2"/>
  <c r="U1602" i="2"/>
  <c r="V1602" i="2"/>
  <c r="W1602" i="2"/>
  <c r="X1602" i="2"/>
  <c r="Y1602" i="2"/>
  <c r="A1603" i="2"/>
  <c r="B1603" i="2"/>
  <c r="C1603" i="2"/>
  <c r="D1603" i="2"/>
  <c r="E1603" i="2"/>
  <c r="F1603" i="2"/>
  <c r="G1603" i="2"/>
  <c r="H1603" i="2"/>
  <c r="I1603" i="2"/>
  <c r="J1603" i="2"/>
  <c r="K1603" i="2"/>
  <c r="L1603" i="2"/>
  <c r="M1603" i="2"/>
  <c r="N1603" i="2"/>
  <c r="O1603" i="2"/>
  <c r="P1603" i="2"/>
  <c r="Q1603" i="2"/>
  <c r="R1603" i="2"/>
  <c r="S1603" i="2"/>
  <c r="T1603" i="2"/>
  <c r="U1603" i="2"/>
  <c r="V1603" i="2"/>
  <c r="W1603" i="2"/>
  <c r="X1603" i="2"/>
  <c r="Y1603" i="2"/>
  <c r="A1604" i="2"/>
  <c r="B1604" i="2"/>
  <c r="C1604" i="2"/>
  <c r="D1604" i="2"/>
  <c r="E1604" i="2"/>
  <c r="F1604" i="2"/>
  <c r="G1604" i="2"/>
  <c r="H1604" i="2"/>
  <c r="I1604" i="2"/>
  <c r="J1604" i="2"/>
  <c r="K1604" i="2"/>
  <c r="L1604" i="2"/>
  <c r="M1604" i="2"/>
  <c r="N1604" i="2"/>
  <c r="O1604" i="2"/>
  <c r="P1604" i="2"/>
  <c r="Q1604" i="2"/>
  <c r="R1604" i="2"/>
  <c r="S1604" i="2"/>
  <c r="T1604" i="2"/>
  <c r="U1604" i="2"/>
  <c r="V1604" i="2"/>
  <c r="W1604" i="2"/>
  <c r="X1604" i="2"/>
  <c r="Y1604" i="2"/>
  <c r="A1605" i="2"/>
  <c r="B1605" i="2"/>
  <c r="C1605" i="2"/>
  <c r="D1605" i="2"/>
  <c r="E1605" i="2"/>
  <c r="F1605" i="2"/>
  <c r="G1605" i="2"/>
  <c r="H1605" i="2"/>
  <c r="I1605" i="2"/>
  <c r="J1605" i="2"/>
  <c r="K1605" i="2"/>
  <c r="L1605" i="2"/>
  <c r="M1605" i="2"/>
  <c r="N1605" i="2"/>
  <c r="O1605" i="2"/>
  <c r="P1605" i="2"/>
  <c r="Q1605" i="2"/>
  <c r="R1605" i="2"/>
  <c r="S1605" i="2"/>
  <c r="T1605" i="2"/>
  <c r="U1605" i="2"/>
  <c r="V1605" i="2"/>
  <c r="W1605" i="2"/>
  <c r="X1605" i="2"/>
  <c r="Y1605" i="2"/>
  <c r="A1606" i="2"/>
  <c r="B1606" i="2"/>
  <c r="C1606" i="2"/>
  <c r="D1606" i="2"/>
  <c r="E1606" i="2"/>
  <c r="F1606" i="2"/>
  <c r="G1606" i="2"/>
  <c r="H1606" i="2"/>
  <c r="I1606" i="2"/>
  <c r="J1606" i="2"/>
  <c r="K1606" i="2"/>
  <c r="L1606" i="2"/>
  <c r="M1606" i="2"/>
  <c r="N1606" i="2"/>
  <c r="O1606" i="2"/>
  <c r="P1606" i="2"/>
  <c r="Q1606" i="2"/>
  <c r="R1606" i="2"/>
  <c r="S1606" i="2"/>
  <c r="T1606" i="2"/>
  <c r="U1606" i="2"/>
  <c r="V1606" i="2"/>
  <c r="W1606" i="2"/>
  <c r="X1606" i="2"/>
  <c r="Y1606" i="2"/>
  <c r="A1607" i="2"/>
  <c r="B1607" i="2"/>
  <c r="C1607" i="2"/>
  <c r="D1607" i="2"/>
  <c r="E1607" i="2"/>
  <c r="F1607" i="2"/>
  <c r="G1607" i="2"/>
  <c r="H1607" i="2"/>
  <c r="I1607" i="2"/>
  <c r="J1607" i="2"/>
  <c r="K1607" i="2"/>
  <c r="L1607" i="2"/>
  <c r="M1607" i="2"/>
  <c r="N1607" i="2"/>
  <c r="O1607" i="2"/>
  <c r="P1607" i="2"/>
  <c r="Q1607" i="2"/>
  <c r="R1607" i="2"/>
  <c r="S1607" i="2"/>
  <c r="T1607" i="2"/>
  <c r="U1607" i="2"/>
  <c r="V1607" i="2"/>
  <c r="W1607" i="2"/>
  <c r="X1607" i="2"/>
  <c r="Y1607" i="2"/>
  <c r="B1608" i="2"/>
  <c r="C1608" i="2"/>
  <c r="D1608" i="2"/>
  <c r="E1608" i="2"/>
  <c r="F1608" i="2"/>
  <c r="G1608" i="2"/>
  <c r="H1608" i="2"/>
  <c r="I1608" i="2"/>
  <c r="J1608" i="2"/>
  <c r="K1608" i="2"/>
  <c r="L1608" i="2"/>
  <c r="M1608" i="2"/>
  <c r="N1608" i="2"/>
  <c r="O1608" i="2"/>
  <c r="P1608" i="2"/>
  <c r="Q1608" i="2"/>
  <c r="R1608" i="2"/>
  <c r="S1608" i="2"/>
  <c r="T1608" i="2"/>
  <c r="U1608" i="2"/>
  <c r="V1608" i="2"/>
  <c r="W1608" i="2"/>
  <c r="X1608" i="2"/>
  <c r="Y1608" i="2"/>
  <c r="A1609" i="2"/>
  <c r="B1609" i="2"/>
  <c r="C1609" i="2"/>
  <c r="D1609" i="2"/>
  <c r="E1609" i="2"/>
  <c r="F1609" i="2"/>
  <c r="G1609" i="2"/>
  <c r="H1609" i="2"/>
  <c r="I1609" i="2"/>
  <c r="J1609" i="2"/>
  <c r="K1609" i="2"/>
  <c r="L1609" i="2"/>
  <c r="M1609" i="2"/>
  <c r="N1609" i="2"/>
  <c r="O1609" i="2"/>
  <c r="P1609" i="2"/>
  <c r="Q1609" i="2"/>
  <c r="R1609" i="2"/>
  <c r="S1609" i="2"/>
  <c r="T1609" i="2"/>
  <c r="U1609" i="2"/>
  <c r="V1609" i="2"/>
  <c r="W1609" i="2"/>
  <c r="X1609" i="2"/>
  <c r="Y1609" i="2"/>
  <c r="A1610" i="2"/>
  <c r="B1610" i="2"/>
  <c r="C1610" i="2"/>
  <c r="D1610" i="2"/>
  <c r="E1610" i="2"/>
  <c r="F1610" i="2"/>
  <c r="G1610" i="2"/>
  <c r="H1610" i="2"/>
  <c r="I1610" i="2"/>
  <c r="J1610" i="2"/>
  <c r="K1610" i="2"/>
  <c r="L1610" i="2"/>
  <c r="M1610" i="2"/>
  <c r="N1610" i="2"/>
  <c r="O1610" i="2"/>
  <c r="P1610" i="2"/>
  <c r="Q1610" i="2"/>
  <c r="R1610" i="2"/>
  <c r="S1610" i="2"/>
  <c r="T1610" i="2"/>
  <c r="U1610" i="2"/>
  <c r="V1610" i="2"/>
  <c r="W1610" i="2"/>
  <c r="X1610" i="2"/>
  <c r="Y1610" i="2"/>
  <c r="A1611" i="2"/>
  <c r="B1611" i="2"/>
  <c r="C1611" i="2"/>
  <c r="D1611" i="2"/>
  <c r="E1611" i="2"/>
  <c r="F1611" i="2"/>
  <c r="G1611" i="2"/>
  <c r="H1611" i="2"/>
  <c r="I1611" i="2"/>
  <c r="J1611" i="2"/>
  <c r="K1611" i="2"/>
  <c r="L1611" i="2"/>
  <c r="M1611" i="2"/>
  <c r="N1611" i="2"/>
  <c r="O1611" i="2"/>
  <c r="P1611" i="2"/>
  <c r="Q1611" i="2"/>
  <c r="R1611" i="2"/>
  <c r="S1611" i="2"/>
  <c r="T1611" i="2"/>
  <c r="U1611" i="2"/>
  <c r="V1611" i="2"/>
  <c r="W1611" i="2"/>
  <c r="X1611" i="2"/>
  <c r="Y1611" i="2"/>
  <c r="A1612" i="2"/>
  <c r="B1612" i="2"/>
  <c r="C1612" i="2"/>
  <c r="D1612" i="2"/>
  <c r="E1612" i="2"/>
  <c r="F1612" i="2"/>
  <c r="G1612" i="2"/>
  <c r="H1612" i="2"/>
  <c r="I1612" i="2"/>
  <c r="J1612" i="2"/>
  <c r="K1612" i="2"/>
  <c r="L1612" i="2"/>
  <c r="M1612" i="2"/>
  <c r="N1612" i="2"/>
  <c r="O1612" i="2"/>
  <c r="P1612" i="2"/>
  <c r="Q1612" i="2"/>
  <c r="R1612" i="2"/>
  <c r="S1612" i="2"/>
  <c r="T1612" i="2"/>
  <c r="U1612" i="2"/>
  <c r="V1612" i="2"/>
  <c r="W1612" i="2"/>
  <c r="X1612" i="2"/>
  <c r="Y1612" i="2"/>
  <c r="A1613" i="2"/>
  <c r="B1613" i="2"/>
  <c r="C1613" i="2"/>
  <c r="D1613" i="2"/>
  <c r="E1613" i="2"/>
  <c r="F1613" i="2"/>
  <c r="G1613" i="2"/>
  <c r="H1613" i="2"/>
  <c r="I1613" i="2"/>
  <c r="J1613" i="2"/>
  <c r="K1613" i="2"/>
  <c r="L1613" i="2"/>
  <c r="M1613" i="2"/>
  <c r="N1613" i="2"/>
  <c r="O1613" i="2"/>
  <c r="P1613" i="2"/>
  <c r="Q1613" i="2"/>
  <c r="R1613" i="2"/>
  <c r="S1613" i="2"/>
  <c r="T1613" i="2"/>
  <c r="U1613" i="2"/>
  <c r="V1613" i="2"/>
  <c r="W1613" i="2"/>
  <c r="X1613" i="2"/>
  <c r="Y1613" i="2"/>
  <c r="A1614" i="2"/>
  <c r="B1614" i="2"/>
  <c r="C1614" i="2"/>
  <c r="D1614" i="2"/>
  <c r="E1614" i="2"/>
  <c r="F1614" i="2"/>
  <c r="G1614" i="2"/>
  <c r="H1614" i="2"/>
  <c r="I1614" i="2"/>
  <c r="J1614" i="2"/>
  <c r="K1614" i="2"/>
  <c r="L1614" i="2"/>
  <c r="M1614" i="2"/>
  <c r="N1614" i="2"/>
  <c r="O1614" i="2"/>
  <c r="P1614" i="2"/>
  <c r="Q1614" i="2"/>
  <c r="R1614" i="2"/>
  <c r="S1614" i="2"/>
  <c r="T1614" i="2"/>
  <c r="U1614" i="2"/>
  <c r="V1614" i="2"/>
  <c r="W1614" i="2"/>
  <c r="X1614" i="2"/>
  <c r="Y1614" i="2"/>
  <c r="A1615" i="2"/>
  <c r="B1615" i="2"/>
  <c r="C1615" i="2"/>
  <c r="D1615" i="2"/>
  <c r="E1615" i="2"/>
  <c r="F1615" i="2"/>
  <c r="G1615" i="2"/>
  <c r="H1615" i="2"/>
  <c r="I1615" i="2"/>
  <c r="J1615" i="2"/>
  <c r="K1615" i="2"/>
  <c r="L1615" i="2"/>
  <c r="M1615" i="2"/>
  <c r="N1615" i="2"/>
  <c r="O1615" i="2"/>
  <c r="P1615" i="2"/>
  <c r="Q1615" i="2"/>
  <c r="R1615" i="2"/>
  <c r="S1615" i="2"/>
  <c r="T1615" i="2"/>
  <c r="U1615" i="2"/>
  <c r="V1615" i="2"/>
  <c r="W1615" i="2"/>
  <c r="X1615" i="2"/>
  <c r="Y1615" i="2"/>
  <c r="A1616" i="2"/>
  <c r="B1616" i="2"/>
  <c r="C1616" i="2"/>
  <c r="D1616" i="2"/>
  <c r="E1616" i="2"/>
  <c r="F1616" i="2"/>
  <c r="G1616" i="2"/>
  <c r="H1616" i="2"/>
  <c r="I1616" i="2"/>
  <c r="J1616" i="2"/>
  <c r="K1616" i="2"/>
  <c r="L1616" i="2"/>
  <c r="M1616" i="2"/>
  <c r="N1616" i="2"/>
  <c r="O1616" i="2"/>
  <c r="P1616" i="2"/>
  <c r="Q1616" i="2"/>
  <c r="R1616" i="2"/>
  <c r="S1616" i="2"/>
  <c r="T1616" i="2"/>
  <c r="U1616" i="2"/>
  <c r="V1616" i="2"/>
  <c r="W1616" i="2"/>
  <c r="X1616" i="2"/>
  <c r="Y1616" i="2"/>
  <c r="A1617" i="2"/>
  <c r="B1617" i="2"/>
  <c r="C1617" i="2"/>
  <c r="D1617" i="2"/>
  <c r="E1617" i="2"/>
  <c r="F1617" i="2"/>
  <c r="G1617" i="2"/>
  <c r="H1617" i="2"/>
  <c r="I1617" i="2"/>
  <c r="J1617" i="2"/>
  <c r="K1617" i="2"/>
  <c r="L1617" i="2"/>
  <c r="M1617" i="2"/>
  <c r="N1617" i="2"/>
  <c r="O1617" i="2"/>
  <c r="P1617" i="2"/>
  <c r="Q1617" i="2"/>
  <c r="R1617" i="2"/>
  <c r="S1617" i="2"/>
  <c r="T1617" i="2"/>
  <c r="U1617" i="2"/>
  <c r="V1617" i="2"/>
  <c r="W1617" i="2"/>
  <c r="X1617" i="2"/>
  <c r="Y1617" i="2"/>
  <c r="A1618" i="2"/>
  <c r="B1618" i="2"/>
  <c r="C1618" i="2"/>
  <c r="D1618" i="2"/>
  <c r="E1618" i="2"/>
  <c r="F1618" i="2"/>
  <c r="G1618" i="2"/>
  <c r="H1618" i="2"/>
  <c r="I1618" i="2"/>
  <c r="J1618" i="2"/>
  <c r="K1618" i="2"/>
  <c r="L1618" i="2"/>
  <c r="M1618" i="2"/>
  <c r="N1618" i="2"/>
  <c r="O1618" i="2"/>
  <c r="P1618" i="2"/>
  <c r="Q1618" i="2"/>
  <c r="R1618" i="2"/>
  <c r="S1618" i="2"/>
  <c r="T1618" i="2"/>
  <c r="U1618" i="2"/>
  <c r="V1618" i="2"/>
  <c r="W1618" i="2"/>
  <c r="X1618" i="2"/>
  <c r="Y1618" i="2"/>
  <c r="A1619" i="2"/>
  <c r="B1619" i="2"/>
  <c r="C1619" i="2"/>
  <c r="D1619" i="2"/>
  <c r="E1619" i="2"/>
  <c r="F1619" i="2"/>
  <c r="G1619" i="2"/>
  <c r="H1619" i="2"/>
  <c r="I1619" i="2"/>
  <c r="J1619" i="2"/>
  <c r="K1619" i="2"/>
  <c r="L1619" i="2"/>
  <c r="M1619" i="2"/>
  <c r="N1619" i="2"/>
  <c r="O1619" i="2"/>
  <c r="P1619" i="2"/>
  <c r="Q1619" i="2"/>
  <c r="R1619" i="2"/>
  <c r="S1619" i="2"/>
  <c r="T1619" i="2"/>
  <c r="U1619" i="2"/>
  <c r="V1619" i="2"/>
  <c r="W1619" i="2"/>
  <c r="X1619" i="2"/>
  <c r="Y1619" i="2"/>
  <c r="A1620" i="2"/>
  <c r="B1620" i="2"/>
  <c r="C1620" i="2"/>
  <c r="D1620" i="2"/>
  <c r="E1620" i="2"/>
  <c r="F1620" i="2"/>
  <c r="G1620" i="2"/>
  <c r="H1620" i="2"/>
  <c r="I1620" i="2"/>
  <c r="J1620" i="2"/>
  <c r="K1620" i="2"/>
  <c r="L1620" i="2"/>
  <c r="M1620" i="2"/>
  <c r="N1620" i="2"/>
  <c r="O1620" i="2"/>
  <c r="P1620" i="2"/>
  <c r="Q1620" i="2"/>
  <c r="R1620" i="2"/>
  <c r="S1620" i="2"/>
  <c r="T1620" i="2"/>
  <c r="U1620" i="2"/>
  <c r="V1620" i="2"/>
  <c r="W1620" i="2"/>
  <c r="X1620" i="2"/>
  <c r="Y1620" i="2"/>
  <c r="A1621" i="2"/>
  <c r="B1621" i="2"/>
  <c r="C1621" i="2"/>
  <c r="D1621" i="2"/>
  <c r="E1621" i="2"/>
  <c r="F1621" i="2"/>
  <c r="G1621" i="2"/>
  <c r="H1621" i="2"/>
  <c r="I1621" i="2"/>
  <c r="J1621" i="2"/>
  <c r="K1621" i="2"/>
  <c r="L1621" i="2"/>
  <c r="M1621" i="2"/>
  <c r="N1621" i="2"/>
  <c r="O1621" i="2"/>
  <c r="P1621" i="2"/>
  <c r="Q1621" i="2"/>
  <c r="R1621" i="2"/>
  <c r="S1621" i="2"/>
  <c r="T1621" i="2"/>
  <c r="U1621" i="2"/>
  <c r="V1621" i="2"/>
  <c r="W1621" i="2"/>
  <c r="X1621" i="2"/>
  <c r="Y1621" i="2"/>
  <c r="A1622" i="2"/>
  <c r="B1622" i="2"/>
  <c r="C1622" i="2"/>
  <c r="D1622" i="2"/>
  <c r="E1622" i="2"/>
  <c r="F1622" i="2"/>
  <c r="G1622" i="2"/>
  <c r="H1622" i="2"/>
  <c r="I1622" i="2"/>
  <c r="J1622" i="2"/>
  <c r="K1622" i="2"/>
  <c r="L1622" i="2"/>
  <c r="M1622" i="2"/>
  <c r="N1622" i="2"/>
  <c r="O1622" i="2"/>
  <c r="P1622" i="2"/>
  <c r="Q1622" i="2"/>
  <c r="R1622" i="2"/>
  <c r="S1622" i="2"/>
  <c r="T1622" i="2"/>
  <c r="U1622" i="2"/>
  <c r="V1622" i="2"/>
  <c r="W1622" i="2"/>
  <c r="X1622" i="2"/>
  <c r="Y1622" i="2"/>
  <c r="A1623" i="2"/>
  <c r="B1623" i="2"/>
  <c r="C1623" i="2"/>
  <c r="D1623" i="2"/>
  <c r="E1623" i="2"/>
  <c r="F1623" i="2"/>
  <c r="G1623" i="2"/>
  <c r="H1623" i="2"/>
  <c r="I1623" i="2"/>
  <c r="J1623" i="2"/>
  <c r="K1623" i="2"/>
  <c r="L1623" i="2"/>
  <c r="M1623" i="2"/>
  <c r="N1623" i="2"/>
  <c r="O1623" i="2"/>
  <c r="P1623" i="2"/>
  <c r="Q1623" i="2"/>
  <c r="R1623" i="2"/>
  <c r="S1623" i="2"/>
  <c r="T1623" i="2"/>
  <c r="U1623" i="2"/>
  <c r="V1623" i="2"/>
  <c r="W1623" i="2"/>
  <c r="X1623" i="2"/>
  <c r="Y1623" i="2"/>
  <c r="B1624" i="2"/>
  <c r="C1624" i="2"/>
  <c r="D1624" i="2"/>
  <c r="E1624" i="2"/>
  <c r="F1624" i="2"/>
  <c r="G1624" i="2"/>
  <c r="H1624" i="2"/>
  <c r="I1624" i="2"/>
  <c r="J1624" i="2"/>
  <c r="K1624" i="2"/>
  <c r="L1624" i="2"/>
  <c r="M1624" i="2"/>
  <c r="N1624" i="2"/>
  <c r="O1624" i="2"/>
  <c r="P1624" i="2"/>
  <c r="Q1624" i="2"/>
  <c r="R1624" i="2"/>
  <c r="S1624" i="2"/>
  <c r="T1624" i="2"/>
  <c r="U1624" i="2"/>
  <c r="V1624" i="2"/>
  <c r="W1624" i="2"/>
  <c r="X1624" i="2"/>
  <c r="Y1624" i="2"/>
  <c r="A1625" i="2"/>
  <c r="B1625" i="2"/>
  <c r="C1625" i="2"/>
  <c r="D1625" i="2"/>
  <c r="E1625" i="2"/>
  <c r="F1625" i="2"/>
  <c r="G1625" i="2"/>
  <c r="H1625" i="2"/>
  <c r="I1625" i="2"/>
  <c r="J1625" i="2"/>
  <c r="K1625" i="2"/>
  <c r="L1625" i="2"/>
  <c r="M1625" i="2"/>
  <c r="N1625" i="2"/>
  <c r="O1625" i="2"/>
  <c r="P1625" i="2"/>
  <c r="Q1625" i="2"/>
  <c r="R1625" i="2"/>
  <c r="S1625" i="2"/>
  <c r="T1625" i="2"/>
  <c r="U1625" i="2"/>
  <c r="V1625" i="2"/>
  <c r="W1625" i="2"/>
  <c r="X1625" i="2"/>
  <c r="Y1625" i="2"/>
  <c r="A1626" i="2"/>
  <c r="B1626" i="2"/>
  <c r="C1626" i="2"/>
  <c r="D1626" i="2"/>
  <c r="E1626" i="2"/>
  <c r="F1626" i="2"/>
  <c r="G1626" i="2"/>
  <c r="H1626" i="2"/>
  <c r="I1626" i="2"/>
  <c r="J1626" i="2"/>
  <c r="K1626" i="2"/>
  <c r="L1626" i="2"/>
  <c r="M1626" i="2"/>
  <c r="N1626" i="2"/>
  <c r="O1626" i="2"/>
  <c r="P1626" i="2"/>
  <c r="Q1626" i="2"/>
  <c r="R1626" i="2"/>
  <c r="S1626" i="2"/>
  <c r="T1626" i="2"/>
  <c r="U1626" i="2"/>
  <c r="V1626" i="2"/>
  <c r="W1626" i="2"/>
  <c r="X1626" i="2"/>
  <c r="Y1626" i="2"/>
  <c r="A1627" i="2"/>
  <c r="B1627" i="2"/>
  <c r="C1627" i="2"/>
  <c r="D1627" i="2"/>
  <c r="E1627" i="2"/>
  <c r="F1627" i="2"/>
  <c r="G1627" i="2"/>
  <c r="H1627" i="2"/>
  <c r="I1627" i="2"/>
  <c r="J1627" i="2"/>
  <c r="K1627" i="2"/>
  <c r="L1627" i="2"/>
  <c r="M1627" i="2"/>
  <c r="N1627" i="2"/>
  <c r="O1627" i="2"/>
  <c r="P1627" i="2"/>
  <c r="Q1627" i="2"/>
  <c r="R1627" i="2"/>
  <c r="S1627" i="2"/>
  <c r="T1627" i="2"/>
  <c r="U1627" i="2"/>
  <c r="V1627" i="2"/>
  <c r="W1627" i="2"/>
  <c r="X1627" i="2"/>
  <c r="Y1627" i="2"/>
  <c r="A1628" i="2"/>
  <c r="B1628" i="2"/>
  <c r="C1628" i="2"/>
  <c r="D1628" i="2"/>
  <c r="E1628" i="2"/>
  <c r="F1628" i="2"/>
  <c r="G1628" i="2"/>
  <c r="H1628" i="2"/>
  <c r="I1628" i="2"/>
  <c r="J1628" i="2"/>
  <c r="K1628" i="2"/>
  <c r="L1628" i="2"/>
  <c r="M1628" i="2"/>
  <c r="N1628" i="2"/>
  <c r="O1628" i="2"/>
  <c r="P1628" i="2"/>
  <c r="Q1628" i="2"/>
  <c r="R1628" i="2"/>
  <c r="S1628" i="2"/>
  <c r="T1628" i="2"/>
  <c r="U1628" i="2"/>
  <c r="V1628" i="2"/>
  <c r="W1628" i="2"/>
  <c r="X1628" i="2"/>
  <c r="Y1628" i="2"/>
  <c r="A1629" i="2"/>
  <c r="B1629" i="2"/>
  <c r="C1629" i="2"/>
  <c r="D1629" i="2"/>
  <c r="E1629" i="2"/>
  <c r="F1629" i="2"/>
  <c r="G1629" i="2"/>
  <c r="H1629" i="2"/>
  <c r="I1629" i="2"/>
  <c r="J1629" i="2"/>
  <c r="K1629" i="2"/>
  <c r="L1629" i="2"/>
  <c r="M1629" i="2"/>
  <c r="N1629" i="2"/>
  <c r="O1629" i="2"/>
  <c r="P1629" i="2"/>
  <c r="Q1629" i="2"/>
  <c r="R1629" i="2"/>
  <c r="S1629" i="2"/>
  <c r="T1629" i="2"/>
  <c r="U1629" i="2"/>
  <c r="V1629" i="2"/>
  <c r="W1629" i="2"/>
  <c r="X1629" i="2"/>
  <c r="Y1629" i="2"/>
  <c r="A1630" i="2"/>
  <c r="B1630" i="2"/>
  <c r="C1630" i="2"/>
  <c r="D1630" i="2"/>
  <c r="E1630" i="2"/>
  <c r="F1630" i="2"/>
  <c r="G1630" i="2"/>
  <c r="H1630" i="2"/>
  <c r="I1630" i="2"/>
  <c r="J1630" i="2"/>
  <c r="K1630" i="2"/>
  <c r="L1630" i="2"/>
  <c r="M1630" i="2"/>
  <c r="N1630" i="2"/>
  <c r="O1630" i="2"/>
  <c r="P1630" i="2"/>
  <c r="Q1630" i="2"/>
  <c r="R1630" i="2"/>
  <c r="S1630" i="2"/>
  <c r="T1630" i="2"/>
  <c r="U1630" i="2"/>
  <c r="V1630" i="2"/>
  <c r="W1630" i="2"/>
  <c r="X1630" i="2"/>
  <c r="Y1630" i="2"/>
  <c r="A1631" i="2"/>
  <c r="B1631" i="2"/>
  <c r="C1631" i="2"/>
  <c r="D1631" i="2"/>
  <c r="E1631" i="2"/>
  <c r="F1631" i="2"/>
  <c r="G1631" i="2"/>
  <c r="H1631" i="2"/>
  <c r="I1631" i="2"/>
  <c r="J1631" i="2"/>
  <c r="K1631" i="2"/>
  <c r="L1631" i="2"/>
  <c r="M1631" i="2"/>
  <c r="N1631" i="2"/>
  <c r="O1631" i="2"/>
  <c r="P1631" i="2"/>
  <c r="Q1631" i="2"/>
  <c r="R1631" i="2"/>
  <c r="S1631" i="2"/>
  <c r="T1631" i="2"/>
  <c r="U1631" i="2"/>
  <c r="V1631" i="2"/>
  <c r="W1631" i="2"/>
  <c r="X1631" i="2"/>
  <c r="Y1631" i="2"/>
  <c r="A1632" i="2"/>
  <c r="B1632" i="2"/>
  <c r="C1632" i="2"/>
  <c r="D1632" i="2"/>
  <c r="E1632" i="2"/>
  <c r="F1632" i="2"/>
  <c r="G1632" i="2"/>
  <c r="H1632" i="2"/>
  <c r="I1632" i="2"/>
  <c r="J1632" i="2"/>
  <c r="K1632" i="2"/>
  <c r="L1632" i="2"/>
  <c r="M1632" i="2"/>
  <c r="N1632" i="2"/>
  <c r="O1632" i="2"/>
  <c r="P1632" i="2"/>
  <c r="Q1632" i="2"/>
  <c r="R1632" i="2"/>
  <c r="S1632" i="2"/>
  <c r="T1632" i="2"/>
  <c r="U1632" i="2"/>
  <c r="V1632" i="2"/>
  <c r="W1632" i="2"/>
  <c r="X1632" i="2"/>
  <c r="Y1632" i="2"/>
  <c r="A1633" i="2"/>
  <c r="B1633" i="2"/>
  <c r="C1633" i="2"/>
  <c r="D1633" i="2"/>
  <c r="E1633" i="2"/>
  <c r="F1633" i="2"/>
  <c r="G1633" i="2"/>
  <c r="H1633" i="2"/>
  <c r="I1633" i="2"/>
  <c r="J1633" i="2"/>
  <c r="K1633" i="2"/>
  <c r="L1633" i="2"/>
  <c r="M1633" i="2"/>
  <c r="N1633" i="2"/>
  <c r="O1633" i="2"/>
  <c r="P1633" i="2"/>
  <c r="Q1633" i="2"/>
  <c r="R1633" i="2"/>
  <c r="S1633" i="2"/>
  <c r="T1633" i="2"/>
  <c r="U1633" i="2"/>
  <c r="V1633" i="2"/>
  <c r="W1633" i="2"/>
  <c r="X1633" i="2"/>
  <c r="Y1633" i="2"/>
  <c r="A1634" i="2"/>
  <c r="B1634" i="2"/>
  <c r="C1634" i="2"/>
  <c r="D1634" i="2"/>
  <c r="E1634" i="2"/>
  <c r="F1634" i="2"/>
  <c r="G1634" i="2"/>
  <c r="H1634" i="2"/>
  <c r="I1634" i="2"/>
  <c r="J1634" i="2"/>
  <c r="K1634" i="2"/>
  <c r="L1634" i="2"/>
  <c r="M1634" i="2"/>
  <c r="N1634" i="2"/>
  <c r="O1634" i="2"/>
  <c r="P1634" i="2"/>
  <c r="Q1634" i="2"/>
  <c r="R1634" i="2"/>
  <c r="S1634" i="2"/>
  <c r="T1634" i="2"/>
  <c r="U1634" i="2"/>
  <c r="V1634" i="2"/>
  <c r="W1634" i="2"/>
  <c r="X1634" i="2"/>
  <c r="Y1634" i="2"/>
  <c r="A1635" i="2"/>
  <c r="B1635" i="2"/>
  <c r="C1635" i="2"/>
  <c r="D1635" i="2"/>
  <c r="E1635" i="2"/>
  <c r="F1635" i="2"/>
  <c r="G1635" i="2"/>
  <c r="H1635" i="2"/>
  <c r="I1635" i="2"/>
  <c r="J1635" i="2"/>
  <c r="K1635" i="2"/>
  <c r="L1635" i="2"/>
  <c r="M1635" i="2"/>
  <c r="N1635" i="2"/>
  <c r="O1635" i="2"/>
  <c r="P1635" i="2"/>
  <c r="Q1635" i="2"/>
  <c r="R1635" i="2"/>
  <c r="S1635" i="2"/>
  <c r="T1635" i="2"/>
  <c r="U1635" i="2"/>
  <c r="V1635" i="2"/>
  <c r="W1635" i="2"/>
  <c r="X1635" i="2"/>
  <c r="Y1635" i="2"/>
  <c r="A1636" i="2"/>
  <c r="B1636" i="2"/>
  <c r="C1636" i="2"/>
  <c r="D1636" i="2"/>
  <c r="E1636" i="2"/>
  <c r="F1636" i="2"/>
  <c r="G1636" i="2"/>
  <c r="H1636" i="2"/>
  <c r="I1636" i="2"/>
  <c r="J1636" i="2"/>
  <c r="K1636" i="2"/>
  <c r="L1636" i="2"/>
  <c r="M1636" i="2"/>
  <c r="N1636" i="2"/>
  <c r="O1636" i="2"/>
  <c r="P1636" i="2"/>
  <c r="Q1636" i="2"/>
  <c r="R1636" i="2"/>
  <c r="S1636" i="2"/>
  <c r="T1636" i="2"/>
  <c r="U1636" i="2"/>
  <c r="V1636" i="2"/>
  <c r="W1636" i="2"/>
  <c r="X1636" i="2"/>
  <c r="Y1636" i="2"/>
  <c r="A1637" i="2"/>
  <c r="B1637" i="2"/>
  <c r="C1637" i="2"/>
  <c r="D1637" i="2"/>
  <c r="E1637" i="2"/>
  <c r="F1637" i="2"/>
  <c r="G1637" i="2"/>
  <c r="H1637" i="2"/>
  <c r="I1637" i="2"/>
  <c r="J1637" i="2"/>
  <c r="K1637" i="2"/>
  <c r="L1637" i="2"/>
  <c r="M1637" i="2"/>
  <c r="N1637" i="2"/>
  <c r="O1637" i="2"/>
  <c r="P1637" i="2"/>
  <c r="Q1637" i="2"/>
  <c r="R1637" i="2"/>
  <c r="S1637" i="2"/>
  <c r="T1637" i="2"/>
  <c r="U1637" i="2"/>
  <c r="V1637" i="2"/>
  <c r="W1637" i="2"/>
  <c r="X1637" i="2"/>
  <c r="Y1637" i="2"/>
  <c r="A1638" i="2"/>
  <c r="B1638" i="2"/>
  <c r="C1638" i="2"/>
  <c r="D1638" i="2"/>
  <c r="E1638" i="2"/>
  <c r="F1638" i="2"/>
  <c r="G1638" i="2"/>
  <c r="H1638" i="2"/>
  <c r="I1638" i="2"/>
  <c r="J1638" i="2"/>
  <c r="K1638" i="2"/>
  <c r="L1638" i="2"/>
  <c r="M1638" i="2"/>
  <c r="N1638" i="2"/>
  <c r="O1638" i="2"/>
  <c r="P1638" i="2"/>
  <c r="Q1638" i="2"/>
  <c r="R1638" i="2"/>
  <c r="S1638" i="2"/>
  <c r="T1638" i="2"/>
  <c r="U1638" i="2"/>
  <c r="V1638" i="2"/>
  <c r="W1638" i="2"/>
  <c r="X1638" i="2"/>
  <c r="Y1638" i="2"/>
  <c r="A1639" i="2"/>
  <c r="B1639" i="2"/>
  <c r="C1639" i="2"/>
  <c r="D1639" i="2"/>
  <c r="E1639" i="2"/>
  <c r="F1639" i="2"/>
  <c r="G1639" i="2"/>
  <c r="H1639" i="2"/>
  <c r="I1639" i="2"/>
  <c r="J1639" i="2"/>
  <c r="K1639" i="2"/>
  <c r="L1639" i="2"/>
  <c r="M1639" i="2"/>
  <c r="N1639" i="2"/>
  <c r="O1639" i="2"/>
  <c r="P1639" i="2"/>
  <c r="Q1639" i="2"/>
  <c r="R1639" i="2"/>
  <c r="S1639" i="2"/>
  <c r="T1639" i="2"/>
  <c r="U1639" i="2"/>
  <c r="V1639" i="2"/>
  <c r="W1639" i="2"/>
  <c r="X1639" i="2"/>
  <c r="Y1639" i="2"/>
  <c r="B1640" i="2"/>
  <c r="C1640" i="2"/>
  <c r="D1640" i="2"/>
  <c r="E1640" i="2"/>
  <c r="F1640" i="2"/>
  <c r="G1640" i="2"/>
  <c r="H1640" i="2"/>
  <c r="I1640" i="2"/>
  <c r="J1640" i="2"/>
  <c r="K1640" i="2"/>
  <c r="L1640" i="2"/>
  <c r="M1640" i="2"/>
  <c r="N1640" i="2"/>
  <c r="O1640" i="2"/>
  <c r="P1640" i="2"/>
  <c r="Q1640" i="2"/>
  <c r="R1640" i="2"/>
  <c r="S1640" i="2"/>
  <c r="T1640" i="2"/>
  <c r="U1640" i="2"/>
  <c r="V1640" i="2"/>
  <c r="W1640" i="2"/>
  <c r="X1640" i="2"/>
  <c r="Y1640" i="2"/>
  <c r="A1641" i="2"/>
  <c r="B1641" i="2"/>
  <c r="C1641" i="2"/>
  <c r="D1641" i="2"/>
  <c r="E1641" i="2"/>
  <c r="F1641" i="2"/>
  <c r="G1641" i="2"/>
  <c r="H1641" i="2"/>
  <c r="I1641" i="2"/>
  <c r="J1641" i="2"/>
  <c r="K1641" i="2"/>
  <c r="L1641" i="2"/>
  <c r="M1641" i="2"/>
  <c r="N1641" i="2"/>
  <c r="O1641" i="2"/>
  <c r="P1641" i="2"/>
  <c r="Q1641" i="2"/>
  <c r="R1641" i="2"/>
  <c r="S1641" i="2"/>
  <c r="T1641" i="2"/>
  <c r="U1641" i="2"/>
  <c r="V1641" i="2"/>
  <c r="W1641" i="2"/>
  <c r="X1641" i="2"/>
  <c r="Y1641" i="2"/>
  <c r="A1642" i="2"/>
  <c r="B1642" i="2"/>
  <c r="C1642" i="2"/>
  <c r="D1642" i="2"/>
  <c r="E1642" i="2"/>
  <c r="F1642" i="2"/>
  <c r="G1642" i="2"/>
  <c r="H1642" i="2"/>
  <c r="I1642" i="2"/>
  <c r="J1642" i="2"/>
  <c r="K1642" i="2"/>
  <c r="L1642" i="2"/>
  <c r="M1642" i="2"/>
  <c r="N1642" i="2"/>
  <c r="O1642" i="2"/>
  <c r="P1642" i="2"/>
  <c r="Q1642" i="2"/>
  <c r="R1642" i="2"/>
  <c r="S1642" i="2"/>
  <c r="T1642" i="2"/>
  <c r="U1642" i="2"/>
  <c r="V1642" i="2"/>
  <c r="W1642" i="2"/>
  <c r="X1642" i="2"/>
  <c r="Y1642" i="2"/>
  <c r="A1643" i="2"/>
  <c r="B1643" i="2"/>
  <c r="C1643" i="2"/>
  <c r="D1643" i="2"/>
  <c r="E1643" i="2"/>
  <c r="F1643" i="2"/>
  <c r="G1643" i="2"/>
  <c r="H1643" i="2"/>
  <c r="I1643" i="2"/>
  <c r="J1643" i="2"/>
  <c r="K1643" i="2"/>
  <c r="L1643" i="2"/>
  <c r="M1643" i="2"/>
  <c r="N1643" i="2"/>
  <c r="O1643" i="2"/>
  <c r="P1643" i="2"/>
  <c r="Q1643" i="2"/>
  <c r="R1643" i="2"/>
  <c r="S1643" i="2"/>
  <c r="T1643" i="2"/>
  <c r="U1643" i="2"/>
  <c r="V1643" i="2"/>
  <c r="W1643" i="2"/>
  <c r="X1643" i="2"/>
  <c r="Y1643" i="2"/>
  <c r="A1644" i="2"/>
  <c r="B1644" i="2"/>
  <c r="C1644" i="2"/>
  <c r="D1644" i="2"/>
  <c r="E1644" i="2"/>
  <c r="F1644" i="2"/>
  <c r="G1644" i="2"/>
  <c r="H1644" i="2"/>
  <c r="I1644" i="2"/>
  <c r="J1644" i="2"/>
  <c r="K1644" i="2"/>
  <c r="L1644" i="2"/>
  <c r="M1644" i="2"/>
  <c r="N1644" i="2"/>
  <c r="O1644" i="2"/>
  <c r="P1644" i="2"/>
  <c r="Q1644" i="2"/>
  <c r="R1644" i="2"/>
  <c r="S1644" i="2"/>
  <c r="T1644" i="2"/>
  <c r="U1644" i="2"/>
  <c r="V1644" i="2"/>
  <c r="W1644" i="2"/>
  <c r="X1644" i="2"/>
  <c r="Y1644" i="2"/>
  <c r="A1645" i="2"/>
  <c r="B1645" i="2"/>
  <c r="C1645" i="2"/>
  <c r="D1645" i="2"/>
  <c r="E1645" i="2"/>
  <c r="F1645" i="2"/>
  <c r="G1645" i="2"/>
  <c r="H1645" i="2"/>
  <c r="I1645" i="2"/>
  <c r="J1645" i="2"/>
  <c r="K1645" i="2"/>
  <c r="L1645" i="2"/>
  <c r="M1645" i="2"/>
  <c r="N1645" i="2"/>
  <c r="O1645" i="2"/>
  <c r="P1645" i="2"/>
  <c r="Q1645" i="2"/>
  <c r="R1645" i="2"/>
  <c r="S1645" i="2"/>
  <c r="T1645" i="2"/>
  <c r="U1645" i="2"/>
  <c r="V1645" i="2"/>
  <c r="W1645" i="2"/>
  <c r="X1645" i="2"/>
  <c r="Y1645" i="2"/>
  <c r="A1646" i="2"/>
  <c r="B1646" i="2"/>
  <c r="C1646" i="2"/>
  <c r="D1646" i="2"/>
  <c r="E1646" i="2"/>
  <c r="F1646" i="2"/>
  <c r="G1646" i="2"/>
  <c r="H1646" i="2"/>
  <c r="I1646" i="2"/>
  <c r="J1646" i="2"/>
  <c r="K1646" i="2"/>
  <c r="L1646" i="2"/>
  <c r="M1646" i="2"/>
  <c r="N1646" i="2"/>
  <c r="O1646" i="2"/>
  <c r="P1646" i="2"/>
  <c r="Q1646" i="2"/>
  <c r="R1646" i="2"/>
  <c r="S1646" i="2"/>
  <c r="T1646" i="2"/>
  <c r="U1646" i="2"/>
  <c r="V1646" i="2"/>
  <c r="W1646" i="2"/>
  <c r="X1646" i="2"/>
  <c r="Y1646" i="2"/>
  <c r="A1647" i="2"/>
  <c r="B1647" i="2"/>
  <c r="C1647" i="2"/>
  <c r="D1647" i="2"/>
  <c r="E1647" i="2"/>
  <c r="F1647" i="2"/>
  <c r="G1647" i="2"/>
  <c r="H1647" i="2"/>
  <c r="I1647" i="2"/>
  <c r="J1647" i="2"/>
  <c r="K1647" i="2"/>
  <c r="L1647" i="2"/>
  <c r="M1647" i="2"/>
  <c r="N1647" i="2"/>
  <c r="O1647" i="2"/>
  <c r="P1647" i="2"/>
  <c r="Q1647" i="2"/>
  <c r="R1647" i="2"/>
  <c r="S1647" i="2"/>
  <c r="T1647" i="2"/>
  <c r="U1647" i="2"/>
  <c r="V1647" i="2"/>
  <c r="W1647" i="2"/>
  <c r="X1647" i="2"/>
  <c r="Y1647" i="2"/>
  <c r="A1648" i="2"/>
  <c r="B1648" i="2"/>
  <c r="C1648" i="2"/>
  <c r="D1648" i="2"/>
  <c r="E1648" i="2"/>
  <c r="F1648" i="2"/>
  <c r="G1648" i="2"/>
  <c r="H1648" i="2"/>
  <c r="I1648" i="2"/>
  <c r="J1648" i="2"/>
  <c r="K1648" i="2"/>
  <c r="L1648" i="2"/>
  <c r="M1648" i="2"/>
  <c r="N1648" i="2"/>
  <c r="O1648" i="2"/>
  <c r="P1648" i="2"/>
  <c r="Q1648" i="2"/>
  <c r="R1648" i="2"/>
  <c r="S1648" i="2"/>
  <c r="T1648" i="2"/>
  <c r="U1648" i="2"/>
  <c r="V1648" i="2"/>
  <c r="W1648" i="2"/>
  <c r="X1648" i="2"/>
  <c r="Y1648" i="2"/>
  <c r="A1649" i="2"/>
  <c r="B1649" i="2"/>
  <c r="C1649" i="2"/>
  <c r="D1649" i="2"/>
  <c r="E1649" i="2"/>
  <c r="F1649" i="2"/>
  <c r="G1649" i="2"/>
  <c r="H1649" i="2"/>
  <c r="I1649" i="2"/>
  <c r="J1649" i="2"/>
  <c r="K1649" i="2"/>
  <c r="L1649" i="2"/>
  <c r="M1649" i="2"/>
  <c r="N1649" i="2"/>
  <c r="O1649" i="2"/>
  <c r="P1649" i="2"/>
  <c r="Q1649" i="2"/>
  <c r="R1649" i="2"/>
  <c r="S1649" i="2"/>
  <c r="T1649" i="2"/>
  <c r="U1649" i="2"/>
  <c r="V1649" i="2"/>
  <c r="W1649" i="2"/>
  <c r="X1649" i="2"/>
  <c r="Y1649" i="2"/>
  <c r="A1650" i="2"/>
  <c r="B1650" i="2"/>
  <c r="C1650" i="2"/>
  <c r="D1650" i="2"/>
  <c r="E1650" i="2"/>
  <c r="F1650" i="2"/>
  <c r="G1650" i="2"/>
  <c r="H1650" i="2"/>
  <c r="I1650" i="2"/>
  <c r="J1650" i="2"/>
  <c r="K1650" i="2"/>
  <c r="L1650" i="2"/>
  <c r="M1650" i="2"/>
  <c r="N1650" i="2"/>
  <c r="O1650" i="2"/>
  <c r="P1650" i="2"/>
  <c r="Q1650" i="2"/>
  <c r="R1650" i="2"/>
  <c r="S1650" i="2"/>
  <c r="T1650" i="2"/>
  <c r="U1650" i="2"/>
  <c r="V1650" i="2"/>
  <c r="W1650" i="2"/>
  <c r="X1650" i="2"/>
  <c r="Y1650" i="2"/>
  <c r="A1651" i="2"/>
  <c r="B1651" i="2"/>
  <c r="C1651" i="2"/>
  <c r="D1651" i="2"/>
  <c r="E1651" i="2"/>
  <c r="F1651" i="2"/>
  <c r="G1651" i="2"/>
  <c r="H1651" i="2"/>
  <c r="I1651" i="2"/>
  <c r="J1651" i="2"/>
  <c r="K1651" i="2"/>
  <c r="L1651" i="2"/>
  <c r="M1651" i="2"/>
  <c r="N1651" i="2"/>
  <c r="O1651" i="2"/>
  <c r="P1651" i="2"/>
  <c r="Q1651" i="2"/>
  <c r="R1651" i="2"/>
  <c r="S1651" i="2"/>
  <c r="T1651" i="2"/>
  <c r="U1651" i="2"/>
  <c r="V1651" i="2"/>
  <c r="W1651" i="2"/>
  <c r="X1651" i="2"/>
  <c r="Y1651" i="2"/>
  <c r="A1652" i="2"/>
  <c r="B1652" i="2"/>
  <c r="C1652" i="2"/>
  <c r="D1652" i="2"/>
  <c r="E1652" i="2"/>
  <c r="F1652" i="2"/>
  <c r="G1652" i="2"/>
  <c r="H1652" i="2"/>
  <c r="I1652" i="2"/>
  <c r="J1652" i="2"/>
  <c r="K1652" i="2"/>
  <c r="L1652" i="2"/>
  <c r="M1652" i="2"/>
  <c r="N1652" i="2"/>
  <c r="O1652" i="2"/>
  <c r="P1652" i="2"/>
  <c r="Q1652" i="2"/>
  <c r="R1652" i="2"/>
  <c r="S1652" i="2"/>
  <c r="T1652" i="2"/>
  <c r="U1652" i="2"/>
  <c r="V1652" i="2"/>
  <c r="W1652" i="2"/>
  <c r="X1652" i="2"/>
  <c r="Y1652" i="2"/>
  <c r="A1653" i="2"/>
  <c r="B1653" i="2"/>
  <c r="C1653" i="2"/>
  <c r="D1653" i="2"/>
  <c r="E1653" i="2"/>
  <c r="F1653" i="2"/>
  <c r="G1653" i="2"/>
  <c r="H1653" i="2"/>
  <c r="I1653" i="2"/>
  <c r="J1653" i="2"/>
  <c r="K1653" i="2"/>
  <c r="L1653" i="2"/>
  <c r="M1653" i="2"/>
  <c r="N1653" i="2"/>
  <c r="O1653" i="2"/>
  <c r="P1653" i="2"/>
  <c r="Q1653" i="2"/>
  <c r="R1653" i="2"/>
  <c r="S1653" i="2"/>
  <c r="T1653" i="2"/>
  <c r="U1653" i="2"/>
  <c r="V1653" i="2"/>
  <c r="W1653" i="2"/>
  <c r="X1653" i="2"/>
  <c r="Y1653" i="2"/>
  <c r="A1654" i="2"/>
  <c r="B1654" i="2"/>
  <c r="C1654" i="2"/>
  <c r="D1654" i="2"/>
  <c r="E1654" i="2"/>
  <c r="F1654" i="2"/>
  <c r="G1654" i="2"/>
  <c r="H1654" i="2"/>
  <c r="I1654" i="2"/>
  <c r="J1654" i="2"/>
  <c r="K1654" i="2"/>
  <c r="L1654" i="2"/>
  <c r="M1654" i="2"/>
  <c r="N1654" i="2"/>
  <c r="O1654" i="2"/>
  <c r="P1654" i="2"/>
  <c r="Q1654" i="2"/>
  <c r="R1654" i="2"/>
  <c r="S1654" i="2"/>
  <c r="T1654" i="2"/>
  <c r="U1654" i="2"/>
  <c r="V1654" i="2"/>
  <c r="W1654" i="2"/>
  <c r="X1654" i="2"/>
  <c r="Y1654" i="2"/>
  <c r="A1655" i="2"/>
  <c r="B1655" i="2"/>
  <c r="C1655" i="2"/>
  <c r="D1655" i="2"/>
  <c r="E1655" i="2"/>
  <c r="F1655" i="2"/>
  <c r="G1655" i="2"/>
  <c r="H1655" i="2"/>
  <c r="I1655" i="2"/>
  <c r="J1655" i="2"/>
  <c r="K1655" i="2"/>
  <c r="L1655" i="2"/>
  <c r="M1655" i="2"/>
  <c r="N1655" i="2"/>
  <c r="O1655" i="2"/>
  <c r="P1655" i="2"/>
  <c r="Q1655" i="2"/>
  <c r="R1655" i="2"/>
  <c r="S1655" i="2"/>
  <c r="T1655" i="2"/>
  <c r="U1655" i="2"/>
  <c r="V1655" i="2"/>
  <c r="W1655" i="2"/>
  <c r="X1655" i="2"/>
  <c r="Y1655" i="2"/>
  <c r="B1656" i="2"/>
  <c r="C1656" i="2"/>
  <c r="D1656" i="2"/>
  <c r="E1656" i="2"/>
  <c r="F1656" i="2"/>
  <c r="G1656" i="2"/>
  <c r="H1656" i="2"/>
  <c r="I1656" i="2"/>
  <c r="J1656" i="2"/>
  <c r="K1656" i="2"/>
  <c r="L1656" i="2"/>
  <c r="M1656" i="2"/>
  <c r="N1656" i="2"/>
  <c r="O1656" i="2"/>
  <c r="P1656" i="2"/>
  <c r="Q1656" i="2"/>
  <c r="R1656" i="2"/>
  <c r="S1656" i="2"/>
  <c r="T1656" i="2"/>
  <c r="U1656" i="2"/>
  <c r="V1656" i="2"/>
  <c r="W1656" i="2"/>
  <c r="X1656" i="2"/>
  <c r="Y1656" i="2"/>
  <c r="A1657" i="2"/>
  <c r="B1657" i="2"/>
  <c r="C1657" i="2"/>
  <c r="D1657" i="2"/>
  <c r="E1657" i="2"/>
  <c r="F1657" i="2"/>
  <c r="G1657" i="2"/>
  <c r="H1657" i="2"/>
  <c r="I1657" i="2"/>
  <c r="J1657" i="2"/>
  <c r="K1657" i="2"/>
  <c r="L1657" i="2"/>
  <c r="M1657" i="2"/>
  <c r="N1657" i="2"/>
  <c r="O1657" i="2"/>
  <c r="P1657" i="2"/>
  <c r="Q1657" i="2"/>
  <c r="R1657" i="2"/>
  <c r="S1657" i="2"/>
  <c r="T1657" i="2"/>
  <c r="U1657" i="2"/>
  <c r="V1657" i="2"/>
  <c r="W1657" i="2"/>
  <c r="X1657" i="2"/>
  <c r="Y1657" i="2"/>
  <c r="A1658" i="2"/>
  <c r="B1658" i="2"/>
  <c r="C1658" i="2"/>
  <c r="D1658" i="2"/>
  <c r="E1658" i="2"/>
  <c r="F1658" i="2"/>
  <c r="G1658" i="2"/>
  <c r="H1658" i="2"/>
  <c r="I1658" i="2"/>
  <c r="J1658" i="2"/>
  <c r="K1658" i="2"/>
  <c r="L1658" i="2"/>
  <c r="M1658" i="2"/>
  <c r="N1658" i="2"/>
  <c r="O1658" i="2"/>
  <c r="P1658" i="2"/>
  <c r="Q1658" i="2"/>
  <c r="R1658" i="2"/>
  <c r="S1658" i="2"/>
  <c r="T1658" i="2"/>
  <c r="U1658" i="2"/>
  <c r="V1658" i="2"/>
  <c r="W1658" i="2"/>
  <c r="X1658" i="2"/>
  <c r="Y1658" i="2"/>
  <c r="A1659" i="2"/>
  <c r="B1659" i="2"/>
  <c r="C1659" i="2"/>
  <c r="D1659" i="2"/>
  <c r="E1659" i="2"/>
  <c r="F1659" i="2"/>
  <c r="G1659" i="2"/>
  <c r="H1659" i="2"/>
  <c r="I1659" i="2"/>
  <c r="J1659" i="2"/>
  <c r="K1659" i="2"/>
  <c r="L1659" i="2"/>
  <c r="M1659" i="2"/>
  <c r="N1659" i="2"/>
  <c r="O1659" i="2"/>
  <c r="P1659" i="2"/>
  <c r="Q1659" i="2"/>
  <c r="R1659" i="2"/>
  <c r="S1659" i="2"/>
  <c r="T1659" i="2"/>
  <c r="U1659" i="2"/>
  <c r="V1659" i="2"/>
  <c r="W1659" i="2"/>
  <c r="X1659" i="2"/>
  <c r="Y1659" i="2"/>
  <c r="A1660" i="2"/>
  <c r="B1660" i="2"/>
  <c r="C1660" i="2"/>
  <c r="D1660" i="2"/>
  <c r="E1660" i="2"/>
  <c r="F1660" i="2"/>
  <c r="G1660" i="2"/>
  <c r="H1660" i="2"/>
  <c r="I1660" i="2"/>
  <c r="J1660" i="2"/>
  <c r="K1660" i="2"/>
  <c r="L1660" i="2"/>
  <c r="M1660" i="2"/>
  <c r="N1660" i="2"/>
  <c r="O1660" i="2"/>
  <c r="P1660" i="2"/>
  <c r="Q1660" i="2"/>
  <c r="R1660" i="2"/>
  <c r="S1660" i="2"/>
  <c r="T1660" i="2"/>
  <c r="U1660" i="2"/>
  <c r="V1660" i="2"/>
  <c r="W1660" i="2"/>
  <c r="X1660" i="2"/>
  <c r="Y1660" i="2"/>
  <c r="A1661" i="2"/>
  <c r="B1661" i="2"/>
  <c r="C1661" i="2"/>
  <c r="D1661" i="2"/>
  <c r="E1661" i="2"/>
  <c r="F1661" i="2"/>
  <c r="G1661" i="2"/>
  <c r="H1661" i="2"/>
  <c r="I1661" i="2"/>
  <c r="J1661" i="2"/>
  <c r="K1661" i="2"/>
  <c r="L1661" i="2"/>
  <c r="M1661" i="2"/>
  <c r="N1661" i="2"/>
  <c r="O1661" i="2"/>
  <c r="P1661" i="2"/>
  <c r="Q1661" i="2"/>
  <c r="R1661" i="2"/>
  <c r="S1661" i="2"/>
  <c r="T1661" i="2"/>
  <c r="U1661" i="2"/>
  <c r="V1661" i="2"/>
  <c r="W1661" i="2"/>
  <c r="X1661" i="2"/>
  <c r="Y1661" i="2"/>
  <c r="A1662" i="2"/>
  <c r="B1662" i="2"/>
  <c r="C1662" i="2"/>
  <c r="D1662" i="2"/>
  <c r="E1662" i="2"/>
  <c r="F1662" i="2"/>
  <c r="G1662" i="2"/>
  <c r="H1662" i="2"/>
  <c r="I1662" i="2"/>
  <c r="J1662" i="2"/>
  <c r="K1662" i="2"/>
  <c r="L1662" i="2"/>
  <c r="M1662" i="2"/>
  <c r="N1662" i="2"/>
  <c r="O1662" i="2"/>
  <c r="P1662" i="2"/>
  <c r="Q1662" i="2"/>
  <c r="R1662" i="2"/>
  <c r="S1662" i="2"/>
  <c r="T1662" i="2"/>
  <c r="U1662" i="2"/>
  <c r="V1662" i="2"/>
  <c r="W1662" i="2"/>
  <c r="X1662" i="2"/>
  <c r="Y1662" i="2"/>
  <c r="A1663" i="2"/>
  <c r="B1663" i="2"/>
  <c r="C1663" i="2"/>
  <c r="D1663" i="2"/>
  <c r="E1663" i="2"/>
  <c r="F1663" i="2"/>
  <c r="G1663" i="2"/>
  <c r="H1663" i="2"/>
  <c r="I1663" i="2"/>
  <c r="J1663" i="2"/>
  <c r="K1663" i="2"/>
  <c r="L1663" i="2"/>
  <c r="M1663" i="2"/>
  <c r="N1663" i="2"/>
  <c r="O1663" i="2"/>
  <c r="P1663" i="2"/>
  <c r="Q1663" i="2"/>
  <c r="R1663" i="2"/>
  <c r="S1663" i="2"/>
  <c r="T1663" i="2"/>
  <c r="U1663" i="2"/>
  <c r="V1663" i="2"/>
  <c r="W1663" i="2"/>
  <c r="X1663" i="2"/>
  <c r="Y1663" i="2"/>
  <c r="A1664" i="2"/>
  <c r="B1664" i="2"/>
  <c r="C1664" i="2"/>
  <c r="D1664" i="2"/>
  <c r="E1664" i="2"/>
  <c r="F1664" i="2"/>
  <c r="G1664" i="2"/>
  <c r="H1664" i="2"/>
  <c r="I1664" i="2"/>
  <c r="J1664" i="2"/>
  <c r="K1664" i="2"/>
  <c r="L1664" i="2"/>
  <c r="M1664" i="2"/>
  <c r="N1664" i="2"/>
  <c r="O1664" i="2"/>
  <c r="P1664" i="2"/>
  <c r="Q1664" i="2"/>
  <c r="R1664" i="2"/>
  <c r="S1664" i="2"/>
  <c r="T1664" i="2"/>
  <c r="U1664" i="2"/>
  <c r="V1664" i="2"/>
  <c r="W1664" i="2"/>
  <c r="X1664" i="2"/>
  <c r="Y1664" i="2"/>
  <c r="A1665" i="2"/>
  <c r="B1665" i="2"/>
  <c r="C1665" i="2"/>
  <c r="D1665" i="2"/>
  <c r="E1665" i="2"/>
  <c r="F1665" i="2"/>
  <c r="G1665" i="2"/>
  <c r="H1665" i="2"/>
  <c r="I1665" i="2"/>
  <c r="J1665" i="2"/>
  <c r="K1665" i="2"/>
  <c r="L1665" i="2"/>
  <c r="M1665" i="2"/>
  <c r="N1665" i="2"/>
  <c r="O1665" i="2"/>
  <c r="P1665" i="2"/>
  <c r="Q1665" i="2"/>
  <c r="R1665" i="2"/>
  <c r="S1665" i="2"/>
  <c r="T1665" i="2"/>
  <c r="U1665" i="2"/>
  <c r="V1665" i="2"/>
  <c r="W1665" i="2"/>
  <c r="X1665" i="2"/>
  <c r="Y1665" i="2"/>
  <c r="A1666" i="2"/>
  <c r="B1666" i="2"/>
  <c r="C1666" i="2"/>
  <c r="D1666" i="2"/>
  <c r="E1666" i="2"/>
  <c r="F1666" i="2"/>
  <c r="G1666" i="2"/>
  <c r="H1666" i="2"/>
  <c r="I1666" i="2"/>
  <c r="J1666" i="2"/>
  <c r="K1666" i="2"/>
  <c r="L1666" i="2"/>
  <c r="M1666" i="2"/>
  <c r="N1666" i="2"/>
  <c r="O1666" i="2"/>
  <c r="P1666" i="2"/>
  <c r="Q1666" i="2"/>
  <c r="R1666" i="2"/>
  <c r="S1666" i="2"/>
  <c r="T1666" i="2"/>
  <c r="U1666" i="2"/>
  <c r="V1666" i="2"/>
  <c r="W1666" i="2"/>
  <c r="X1666" i="2"/>
  <c r="Y1666" i="2"/>
  <c r="A1667" i="2"/>
  <c r="B1667" i="2"/>
  <c r="C1667" i="2"/>
  <c r="D1667" i="2"/>
  <c r="E1667" i="2"/>
  <c r="F1667" i="2"/>
  <c r="G1667" i="2"/>
  <c r="H1667" i="2"/>
  <c r="I1667" i="2"/>
  <c r="J1667" i="2"/>
  <c r="K1667" i="2"/>
  <c r="L1667" i="2"/>
  <c r="M1667" i="2"/>
  <c r="N1667" i="2"/>
  <c r="O1667" i="2"/>
  <c r="P1667" i="2"/>
  <c r="Q1667" i="2"/>
  <c r="R1667" i="2"/>
  <c r="S1667" i="2"/>
  <c r="T1667" i="2"/>
  <c r="U1667" i="2"/>
  <c r="V1667" i="2"/>
  <c r="W1667" i="2"/>
  <c r="X1667" i="2"/>
  <c r="Y1667" i="2"/>
  <c r="A1668" i="2"/>
  <c r="B1668" i="2"/>
  <c r="C1668" i="2"/>
  <c r="D1668" i="2"/>
  <c r="E1668" i="2"/>
  <c r="F1668" i="2"/>
  <c r="G1668" i="2"/>
  <c r="H1668" i="2"/>
  <c r="I1668" i="2"/>
  <c r="J1668" i="2"/>
  <c r="K1668" i="2"/>
  <c r="L1668" i="2"/>
  <c r="M1668" i="2"/>
  <c r="N1668" i="2"/>
  <c r="O1668" i="2"/>
  <c r="P1668" i="2"/>
  <c r="Q1668" i="2"/>
  <c r="R1668" i="2"/>
  <c r="S1668" i="2"/>
  <c r="T1668" i="2"/>
  <c r="U1668" i="2"/>
  <c r="V1668" i="2"/>
  <c r="W1668" i="2"/>
  <c r="X1668" i="2"/>
  <c r="Y1668" i="2"/>
  <c r="A1669" i="2"/>
  <c r="B1669" i="2"/>
  <c r="C1669" i="2"/>
  <c r="D1669" i="2"/>
  <c r="E1669" i="2"/>
  <c r="F1669" i="2"/>
  <c r="G1669" i="2"/>
  <c r="H1669" i="2"/>
  <c r="I1669" i="2"/>
  <c r="J1669" i="2"/>
  <c r="K1669" i="2"/>
  <c r="L1669" i="2"/>
  <c r="M1669" i="2"/>
  <c r="N1669" i="2"/>
  <c r="O1669" i="2"/>
  <c r="P1669" i="2"/>
  <c r="Q1669" i="2"/>
  <c r="R1669" i="2"/>
  <c r="S1669" i="2"/>
  <c r="T1669" i="2"/>
  <c r="U1669" i="2"/>
  <c r="V1669" i="2"/>
  <c r="W1669" i="2"/>
  <c r="X1669" i="2"/>
  <c r="Y1669" i="2"/>
  <c r="A1670" i="2"/>
  <c r="B1670" i="2"/>
  <c r="C1670" i="2"/>
  <c r="D1670" i="2"/>
  <c r="E1670" i="2"/>
  <c r="F1670" i="2"/>
  <c r="G1670" i="2"/>
  <c r="H1670" i="2"/>
  <c r="I1670" i="2"/>
  <c r="J1670" i="2"/>
  <c r="K1670" i="2"/>
  <c r="L1670" i="2"/>
  <c r="M1670" i="2"/>
  <c r="N1670" i="2"/>
  <c r="O1670" i="2"/>
  <c r="P1670" i="2"/>
  <c r="Q1670" i="2"/>
  <c r="R1670" i="2"/>
  <c r="S1670" i="2"/>
  <c r="T1670" i="2"/>
  <c r="U1670" i="2"/>
  <c r="V1670" i="2"/>
  <c r="W1670" i="2"/>
  <c r="X1670" i="2"/>
  <c r="Y1670" i="2"/>
  <c r="A1671" i="2"/>
  <c r="B1671" i="2"/>
  <c r="C1671" i="2"/>
  <c r="D1671" i="2"/>
  <c r="E1671" i="2"/>
  <c r="F1671" i="2"/>
  <c r="G1671" i="2"/>
  <c r="H1671" i="2"/>
  <c r="I1671" i="2"/>
  <c r="J1671" i="2"/>
  <c r="K1671" i="2"/>
  <c r="L1671" i="2"/>
  <c r="M1671" i="2"/>
  <c r="N1671" i="2"/>
  <c r="O1671" i="2"/>
  <c r="P1671" i="2"/>
  <c r="Q1671" i="2"/>
  <c r="R1671" i="2"/>
  <c r="S1671" i="2"/>
  <c r="T1671" i="2"/>
  <c r="U1671" i="2"/>
  <c r="V1671" i="2"/>
  <c r="W1671" i="2"/>
  <c r="X1671" i="2"/>
  <c r="Y1671" i="2"/>
  <c r="B1672" i="2"/>
  <c r="C1672" i="2"/>
  <c r="D1672" i="2"/>
  <c r="E1672" i="2"/>
  <c r="F1672" i="2"/>
  <c r="G1672" i="2"/>
  <c r="H1672" i="2"/>
  <c r="I1672" i="2"/>
  <c r="J1672" i="2"/>
  <c r="K1672" i="2"/>
  <c r="L1672" i="2"/>
  <c r="M1672" i="2"/>
  <c r="N1672" i="2"/>
  <c r="O1672" i="2"/>
  <c r="P1672" i="2"/>
  <c r="Q1672" i="2"/>
  <c r="R1672" i="2"/>
  <c r="S1672" i="2"/>
  <c r="T1672" i="2"/>
  <c r="U1672" i="2"/>
  <c r="V1672" i="2"/>
  <c r="W1672" i="2"/>
  <c r="X1672" i="2"/>
  <c r="Y1672" i="2"/>
  <c r="A1673" i="2"/>
  <c r="B1673" i="2"/>
  <c r="C1673" i="2"/>
  <c r="D1673" i="2"/>
  <c r="E1673" i="2"/>
  <c r="F1673" i="2"/>
  <c r="G1673" i="2"/>
  <c r="H1673" i="2"/>
  <c r="I1673" i="2"/>
  <c r="J1673" i="2"/>
  <c r="K1673" i="2"/>
  <c r="L1673" i="2"/>
  <c r="M1673" i="2"/>
  <c r="N1673" i="2"/>
  <c r="O1673" i="2"/>
  <c r="P1673" i="2"/>
  <c r="Q1673" i="2"/>
  <c r="R1673" i="2"/>
  <c r="S1673" i="2"/>
  <c r="T1673" i="2"/>
  <c r="U1673" i="2"/>
  <c r="V1673" i="2"/>
  <c r="W1673" i="2"/>
  <c r="X1673" i="2"/>
  <c r="Y1673" i="2"/>
  <c r="A1674" i="2"/>
  <c r="B1674" i="2"/>
  <c r="C1674" i="2"/>
  <c r="D1674" i="2"/>
  <c r="E1674" i="2"/>
  <c r="F1674" i="2"/>
  <c r="G1674" i="2"/>
  <c r="H1674" i="2"/>
  <c r="I1674" i="2"/>
  <c r="J1674" i="2"/>
  <c r="K1674" i="2"/>
  <c r="L1674" i="2"/>
  <c r="M1674" i="2"/>
  <c r="N1674" i="2"/>
  <c r="O1674" i="2"/>
  <c r="P1674" i="2"/>
  <c r="Q1674" i="2"/>
  <c r="R1674" i="2"/>
  <c r="S1674" i="2"/>
  <c r="T1674" i="2"/>
  <c r="U1674" i="2"/>
  <c r="V1674" i="2"/>
  <c r="W1674" i="2"/>
  <c r="X1674" i="2"/>
  <c r="Y1674" i="2"/>
  <c r="A1675" i="2"/>
  <c r="B1675" i="2"/>
  <c r="C1675" i="2"/>
  <c r="D1675" i="2"/>
  <c r="E1675" i="2"/>
  <c r="F1675" i="2"/>
  <c r="G1675" i="2"/>
  <c r="H1675" i="2"/>
  <c r="I1675" i="2"/>
  <c r="J1675" i="2"/>
  <c r="K1675" i="2"/>
  <c r="L1675" i="2"/>
  <c r="M1675" i="2"/>
  <c r="N1675" i="2"/>
  <c r="O1675" i="2"/>
  <c r="P1675" i="2"/>
  <c r="Q1675" i="2"/>
  <c r="R1675" i="2"/>
  <c r="S1675" i="2"/>
  <c r="T1675" i="2"/>
  <c r="U1675" i="2"/>
  <c r="V1675" i="2"/>
  <c r="W1675" i="2"/>
  <c r="X1675" i="2"/>
  <c r="Y1675" i="2"/>
  <c r="A1676" i="2"/>
  <c r="B1676" i="2"/>
  <c r="C1676" i="2"/>
  <c r="D1676" i="2"/>
  <c r="E1676" i="2"/>
  <c r="F1676" i="2"/>
  <c r="G1676" i="2"/>
  <c r="H1676" i="2"/>
  <c r="I1676" i="2"/>
  <c r="J1676" i="2"/>
  <c r="K1676" i="2"/>
  <c r="L1676" i="2"/>
  <c r="M1676" i="2"/>
  <c r="N1676" i="2"/>
  <c r="O1676" i="2"/>
  <c r="P1676" i="2"/>
  <c r="Q1676" i="2"/>
  <c r="R1676" i="2"/>
  <c r="S1676" i="2"/>
  <c r="T1676" i="2"/>
  <c r="U1676" i="2"/>
  <c r="V1676" i="2"/>
  <c r="W1676" i="2"/>
  <c r="X1676" i="2"/>
  <c r="Y1676" i="2"/>
  <c r="A1677" i="2"/>
  <c r="B1677" i="2"/>
  <c r="C1677" i="2"/>
  <c r="D1677" i="2"/>
  <c r="E1677" i="2"/>
  <c r="F1677" i="2"/>
  <c r="G1677" i="2"/>
  <c r="H1677" i="2"/>
  <c r="I1677" i="2"/>
  <c r="J1677" i="2"/>
  <c r="K1677" i="2"/>
  <c r="L1677" i="2"/>
  <c r="M1677" i="2"/>
  <c r="N1677" i="2"/>
  <c r="O1677" i="2"/>
  <c r="P1677" i="2"/>
  <c r="Q1677" i="2"/>
  <c r="R1677" i="2"/>
  <c r="S1677" i="2"/>
  <c r="T1677" i="2"/>
  <c r="U1677" i="2"/>
  <c r="V1677" i="2"/>
  <c r="W1677" i="2"/>
  <c r="X1677" i="2"/>
  <c r="Y1677" i="2"/>
  <c r="A1678" i="2"/>
  <c r="B1678" i="2"/>
  <c r="C1678" i="2"/>
  <c r="D1678" i="2"/>
  <c r="E1678" i="2"/>
  <c r="F1678" i="2"/>
  <c r="G1678" i="2"/>
  <c r="H1678" i="2"/>
  <c r="I1678" i="2"/>
  <c r="J1678" i="2"/>
  <c r="K1678" i="2"/>
  <c r="L1678" i="2"/>
  <c r="M1678" i="2"/>
  <c r="N1678" i="2"/>
  <c r="O1678" i="2"/>
  <c r="P1678" i="2"/>
  <c r="Q1678" i="2"/>
  <c r="R1678" i="2"/>
  <c r="S1678" i="2"/>
  <c r="T1678" i="2"/>
  <c r="U1678" i="2"/>
  <c r="V1678" i="2"/>
  <c r="W1678" i="2"/>
  <c r="X1678" i="2"/>
  <c r="Y1678" i="2"/>
  <c r="A1679" i="2"/>
  <c r="B1679" i="2"/>
  <c r="C1679" i="2"/>
  <c r="D1679" i="2"/>
  <c r="E1679" i="2"/>
  <c r="F1679" i="2"/>
  <c r="G1679" i="2"/>
  <c r="H1679" i="2"/>
  <c r="I1679" i="2"/>
  <c r="J1679" i="2"/>
  <c r="K1679" i="2"/>
  <c r="L1679" i="2"/>
  <c r="M1679" i="2"/>
  <c r="N1679" i="2"/>
  <c r="O1679" i="2"/>
  <c r="P1679" i="2"/>
  <c r="Q1679" i="2"/>
  <c r="R1679" i="2"/>
  <c r="S1679" i="2"/>
  <c r="T1679" i="2"/>
  <c r="U1679" i="2"/>
  <c r="V1679" i="2"/>
  <c r="W1679" i="2"/>
  <c r="X1679" i="2"/>
  <c r="Y1679" i="2"/>
  <c r="A1680" i="2"/>
  <c r="B1680" i="2"/>
  <c r="C1680" i="2"/>
  <c r="D1680" i="2"/>
  <c r="E1680" i="2"/>
  <c r="F1680" i="2"/>
  <c r="G1680" i="2"/>
  <c r="H1680" i="2"/>
  <c r="I1680" i="2"/>
  <c r="J1680" i="2"/>
  <c r="K1680" i="2"/>
  <c r="L1680" i="2"/>
  <c r="M1680" i="2"/>
  <c r="N1680" i="2"/>
  <c r="O1680" i="2"/>
  <c r="P1680" i="2"/>
  <c r="Q1680" i="2"/>
  <c r="R1680" i="2"/>
  <c r="S1680" i="2"/>
  <c r="T1680" i="2"/>
  <c r="U1680" i="2"/>
  <c r="V1680" i="2"/>
  <c r="W1680" i="2"/>
  <c r="X1680" i="2"/>
  <c r="Y1680" i="2"/>
  <c r="A1681" i="2"/>
  <c r="B1681" i="2"/>
  <c r="C1681" i="2"/>
  <c r="D1681" i="2"/>
  <c r="E1681" i="2"/>
  <c r="F1681" i="2"/>
  <c r="G1681" i="2"/>
  <c r="H1681" i="2"/>
  <c r="I1681" i="2"/>
  <c r="J1681" i="2"/>
  <c r="K1681" i="2"/>
  <c r="L1681" i="2"/>
  <c r="M1681" i="2"/>
  <c r="N1681" i="2"/>
  <c r="O1681" i="2"/>
  <c r="P1681" i="2"/>
  <c r="Q1681" i="2"/>
  <c r="R1681" i="2"/>
  <c r="S1681" i="2"/>
  <c r="T1681" i="2"/>
  <c r="U1681" i="2"/>
  <c r="V1681" i="2"/>
  <c r="W1681" i="2"/>
  <c r="X1681" i="2"/>
  <c r="Y1681" i="2"/>
  <c r="A1682" i="2"/>
  <c r="B1682" i="2"/>
  <c r="C1682" i="2"/>
  <c r="D1682" i="2"/>
  <c r="E1682" i="2"/>
  <c r="F1682" i="2"/>
  <c r="G1682" i="2"/>
  <c r="H1682" i="2"/>
  <c r="I1682" i="2"/>
  <c r="J1682" i="2"/>
  <c r="K1682" i="2"/>
  <c r="L1682" i="2"/>
  <c r="M1682" i="2"/>
  <c r="N1682" i="2"/>
  <c r="O1682" i="2"/>
  <c r="P1682" i="2"/>
  <c r="Q1682" i="2"/>
  <c r="R1682" i="2"/>
  <c r="S1682" i="2"/>
  <c r="T1682" i="2"/>
  <c r="U1682" i="2"/>
  <c r="V1682" i="2"/>
  <c r="W1682" i="2"/>
  <c r="X1682" i="2"/>
  <c r="Y1682" i="2"/>
  <c r="A1683" i="2"/>
  <c r="B1683" i="2"/>
  <c r="C1683" i="2"/>
  <c r="D1683" i="2"/>
  <c r="E1683" i="2"/>
  <c r="F1683" i="2"/>
  <c r="G1683" i="2"/>
  <c r="H1683" i="2"/>
  <c r="I1683" i="2"/>
  <c r="J1683" i="2"/>
  <c r="K1683" i="2"/>
  <c r="L1683" i="2"/>
  <c r="M1683" i="2"/>
  <c r="N1683" i="2"/>
  <c r="O1683" i="2"/>
  <c r="P1683" i="2"/>
  <c r="Q1683" i="2"/>
  <c r="R1683" i="2"/>
  <c r="S1683" i="2"/>
  <c r="T1683" i="2"/>
  <c r="U1683" i="2"/>
  <c r="V1683" i="2"/>
  <c r="W1683" i="2"/>
  <c r="X1683" i="2"/>
  <c r="Y1683" i="2"/>
  <c r="A1684" i="2"/>
  <c r="B1684" i="2"/>
  <c r="C1684" i="2"/>
  <c r="D1684" i="2"/>
  <c r="E1684" i="2"/>
  <c r="F1684" i="2"/>
  <c r="G1684" i="2"/>
  <c r="H1684" i="2"/>
  <c r="I1684" i="2"/>
  <c r="J1684" i="2"/>
  <c r="K1684" i="2"/>
  <c r="L1684" i="2"/>
  <c r="M1684" i="2"/>
  <c r="N1684" i="2"/>
  <c r="O1684" i="2"/>
  <c r="P1684" i="2"/>
  <c r="Q1684" i="2"/>
  <c r="R1684" i="2"/>
  <c r="S1684" i="2"/>
  <c r="T1684" i="2"/>
  <c r="U1684" i="2"/>
  <c r="V1684" i="2"/>
  <c r="W1684" i="2"/>
  <c r="X1684" i="2"/>
  <c r="Y1684" i="2"/>
  <c r="A1685" i="2"/>
  <c r="B1685" i="2"/>
  <c r="C1685" i="2"/>
  <c r="D1685" i="2"/>
  <c r="E1685" i="2"/>
  <c r="F1685" i="2"/>
  <c r="G1685" i="2"/>
  <c r="H1685" i="2"/>
  <c r="I1685" i="2"/>
  <c r="J1685" i="2"/>
  <c r="K1685" i="2"/>
  <c r="L1685" i="2"/>
  <c r="M1685" i="2"/>
  <c r="N1685" i="2"/>
  <c r="O1685" i="2"/>
  <c r="P1685" i="2"/>
  <c r="Q1685" i="2"/>
  <c r="R1685" i="2"/>
  <c r="S1685" i="2"/>
  <c r="T1685" i="2"/>
  <c r="U1685" i="2"/>
  <c r="V1685" i="2"/>
  <c r="W1685" i="2"/>
  <c r="X1685" i="2"/>
  <c r="Y1685" i="2"/>
  <c r="A1686" i="2"/>
  <c r="B1686" i="2"/>
  <c r="C1686" i="2"/>
  <c r="D1686" i="2"/>
  <c r="E1686" i="2"/>
  <c r="F1686" i="2"/>
  <c r="G1686" i="2"/>
  <c r="H1686" i="2"/>
  <c r="I1686" i="2"/>
  <c r="J1686" i="2"/>
  <c r="K1686" i="2"/>
  <c r="L1686" i="2"/>
  <c r="M1686" i="2"/>
  <c r="N1686" i="2"/>
  <c r="O1686" i="2"/>
  <c r="P1686" i="2"/>
  <c r="Q1686" i="2"/>
  <c r="R1686" i="2"/>
  <c r="S1686" i="2"/>
  <c r="T1686" i="2"/>
  <c r="U1686" i="2"/>
  <c r="V1686" i="2"/>
  <c r="W1686" i="2"/>
  <c r="X1686" i="2"/>
  <c r="Y1686" i="2"/>
  <c r="A1687" i="2"/>
  <c r="B1687" i="2"/>
  <c r="C1687" i="2"/>
  <c r="D1687" i="2"/>
  <c r="E1687" i="2"/>
  <c r="F1687" i="2"/>
  <c r="G1687" i="2"/>
  <c r="H1687" i="2"/>
  <c r="I1687" i="2"/>
  <c r="J1687" i="2"/>
  <c r="K1687" i="2"/>
  <c r="L1687" i="2"/>
  <c r="M1687" i="2"/>
  <c r="N1687" i="2"/>
  <c r="O1687" i="2"/>
  <c r="P1687" i="2"/>
  <c r="Q1687" i="2"/>
  <c r="R1687" i="2"/>
  <c r="S1687" i="2"/>
  <c r="T1687" i="2"/>
  <c r="U1687" i="2"/>
  <c r="V1687" i="2"/>
  <c r="W1687" i="2"/>
  <c r="X1687" i="2"/>
  <c r="Y1687" i="2"/>
  <c r="B1688" i="2"/>
  <c r="C1688" i="2"/>
  <c r="D1688" i="2"/>
  <c r="E1688" i="2"/>
  <c r="F1688" i="2"/>
  <c r="G1688" i="2"/>
  <c r="H1688" i="2"/>
  <c r="I1688" i="2"/>
  <c r="J1688" i="2"/>
  <c r="K1688" i="2"/>
  <c r="L1688" i="2"/>
  <c r="M1688" i="2"/>
  <c r="N1688" i="2"/>
  <c r="O1688" i="2"/>
  <c r="P1688" i="2"/>
  <c r="Q1688" i="2"/>
  <c r="R1688" i="2"/>
  <c r="S1688" i="2"/>
  <c r="T1688" i="2"/>
  <c r="U1688" i="2"/>
  <c r="V1688" i="2"/>
  <c r="W1688" i="2"/>
  <c r="X1688" i="2"/>
  <c r="Y1688" i="2"/>
  <c r="A1689" i="2"/>
  <c r="B1689" i="2"/>
  <c r="C1689" i="2"/>
  <c r="D1689" i="2"/>
  <c r="E1689" i="2"/>
  <c r="F1689" i="2"/>
  <c r="G1689" i="2"/>
  <c r="H1689" i="2"/>
  <c r="I1689" i="2"/>
  <c r="J1689" i="2"/>
  <c r="K1689" i="2"/>
  <c r="L1689" i="2"/>
  <c r="M1689" i="2"/>
  <c r="N1689" i="2"/>
  <c r="O1689" i="2"/>
  <c r="P1689" i="2"/>
  <c r="Q1689" i="2"/>
  <c r="R1689" i="2"/>
  <c r="S1689" i="2"/>
  <c r="T1689" i="2"/>
  <c r="U1689" i="2"/>
  <c r="V1689" i="2"/>
  <c r="W1689" i="2"/>
  <c r="X1689" i="2"/>
  <c r="Y1689" i="2"/>
  <c r="A1690" i="2"/>
  <c r="B1690" i="2"/>
  <c r="C1690" i="2"/>
  <c r="D1690" i="2"/>
  <c r="E1690" i="2"/>
  <c r="F1690" i="2"/>
  <c r="G1690" i="2"/>
  <c r="H1690" i="2"/>
  <c r="I1690" i="2"/>
  <c r="J1690" i="2"/>
  <c r="K1690" i="2"/>
  <c r="L1690" i="2"/>
  <c r="M1690" i="2"/>
  <c r="N1690" i="2"/>
  <c r="O1690" i="2"/>
  <c r="P1690" i="2"/>
  <c r="Q1690" i="2"/>
  <c r="R1690" i="2"/>
  <c r="S1690" i="2"/>
  <c r="T1690" i="2"/>
  <c r="U1690" i="2"/>
  <c r="V1690" i="2"/>
  <c r="W1690" i="2"/>
  <c r="X1690" i="2"/>
  <c r="Y1690" i="2"/>
  <c r="A1691" i="2"/>
  <c r="B1691" i="2"/>
  <c r="C1691" i="2"/>
  <c r="D1691" i="2"/>
  <c r="E1691" i="2"/>
  <c r="F1691" i="2"/>
  <c r="G1691" i="2"/>
  <c r="H1691" i="2"/>
  <c r="I1691" i="2"/>
  <c r="J1691" i="2"/>
  <c r="K1691" i="2"/>
  <c r="L1691" i="2"/>
  <c r="M1691" i="2"/>
  <c r="N1691" i="2"/>
  <c r="O1691" i="2"/>
  <c r="P1691" i="2"/>
  <c r="Q1691" i="2"/>
  <c r="R1691" i="2"/>
  <c r="S1691" i="2"/>
  <c r="T1691" i="2"/>
  <c r="U1691" i="2"/>
  <c r="V1691" i="2"/>
  <c r="W1691" i="2"/>
  <c r="X1691" i="2"/>
  <c r="Y1691" i="2"/>
  <c r="A1692" i="2"/>
  <c r="B1692" i="2"/>
  <c r="C1692" i="2"/>
  <c r="D1692" i="2"/>
  <c r="E1692" i="2"/>
  <c r="F1692" i="2"/>
  <c r="G1692" i="2"/>
  <c r="H1692" i="2"/>
  <c r="I1692" i="2"/>
  <c r="J1692" i="2"/>
  <c r="K1692" i="2"/>
  <c r="L1692" i="2"/>
  <c r="M1692" i="2"/>
  <c r="N1692" i="2"/>
  <c r="O1692" i="2"/>
  <c r="P1692" i="2"/>
  <c r="Q1692" i="2"/>
  <c r="R1692" i="2"/>
  <c r="S1692" i="2"/>
  <c r="T1692" i="2"/>
  <c r="U1692" i="2"/>
  <c r="V1692" i="2"/>
  <c r="W1692" i="2"/>
  <c r="X1692" i="2"/>
  <c r="Y1692" i="2"/>
  <c r="A1693" i="2"/>
  <c r="B1693" i="2"/>
  <c r="C1693" i="2"/>
  <c r="D1693" i="2"/>
  <c r="E1693" i="2"/>
  <c r="F1693" i="2"/>
  <c r="G1693" i="2"/>
  <c r="H1693" i="2"/>
  <c r="I1693" i="2"/>
  <c r="J1693" i="2"/>
  <c r="K1693" i="2"/>
  <c r="L1693" i="2"/>
  <c r="M1693" i="2"/>
  <c r="N1693" i="2"/>
  <c r="O1693" i="2"/>
  <c r="P1693" i="2"/>
  <c r="Q1693" i="2"/>
  <c r="R1693" i="2"/>
  <c r="S1693" i="2"/>
  <c r="T1693" i="2"/>
  <c r="U1693" i="2"/>
  <c r="V1693" i="2"/>
  <c r="W1693" i="2"/>
  <c r="X1693" i="2"/>
  <c r="Y1693" i="2"/>
  <c r="A1694" i="2"/>
  <c r="B1694" i="2"/>
  <c r="C1694" i="2"/>
  <c r="D1694" i="2"/>
  <c r="E1694" i="2"/>
  <c r="F1694" i="2"/>
  <c r="G1694" i="2"/>
  <c r="H1694" i="2"/>
  <c r="I1694" i="2"/>
  <c r="J1694" i="2"/>
  <c r="K1694" i="2"/>
  <c r="L1694" i="2"/>
  <c r="M1694" i="2"/>
  <c r="N1694" i="2"/>
  <c r="O1694" i="2"/>
  <c r="P1694" i="2"/>
  <c r="Q1694" i="2"/>
  <c r="R1694" i="2"/>
  <c r="S1694" i="2"/>
  <c r="T1694" i="2"/>
  <c r="U1694" i="2"/>
  <c r="V1694" i="2"/>
  <c r="W1694" i="2"/>
  <c r="X1694" i="2"/>
  <c r="Y1694" i="2"/>
  <c r="A1695" i="2"/>
  <c r="B1695" i="2"/>
  <c r="C1695" i="2"/>
  <c r="D1695" i="2"/>
  <c r="E1695" i="2"/>
  <c r="F1695" i="2"/>
  <c r="G1695" i="2"/>
  <c r="H1695" i="2"/>
  <c r="I1695" i="2"/>
  <c r="J1695" i="2"/>
  <c r="K1695" i="2"/>
  <c r="L1695" i="2"/>
  <c r="M1695" i="2"/>
  <c r="N1695" i="2"/>
  <c r="O1695" i="2"/>
  <c r="P1695" i="2"/>
  <c r="Q1695" i="2"/>
  <c r="R1695" i="2"/>
  <c r="S1695" i="2"/>
  <c r="T1695" i="2"/>
  <c r="U1695" i="2"/>
  <c r="V1695" i="2"/>
  <c r="W1695" i="2"/>
  <c r="X1695" i="2"/>
  <c r="Y1695" i="2"/>
  <c r="A1696" i="2"/>
  <c r="B1696" i="2"/>
  <c r="C1696" i="2"/>
  <c r="D1696" i="2"/>
  <c r="E1696" i="2"/>
  <c r="F1696" i="2"/>
  <c r="G1696" i="2"/>
  <c r="H1696" i="2"/>
  <c r="I1696" i="2"/>
  <c r="J1696" i="2"/>
  <c r="K1696" i="2"/>
  <c r="L1696" i="2"/>
  <c r="M1696" i="2"/>
  <c r="N1696" i="2"/>
  <c r="O1696" i="2"/>
  <c r="P1696" i="2"/>
  <c r="Q1696" i="2"/>
  <c r="R1696" i="2"/>
  <c r="S1696" i="2"/>
  <c r="T1696" i="2"/>
  <c r="U1696" i="2"/>
  <c r="V1696" i="2"/>
  <c r="W1696" i="2"/>
  <c r="X1696" i="2"/>
  <c r="Y1696" i="2"/>
  <c r="A1697" i="2"/>
  <c r="B1697" i="2"/>
  <c r="C1697" i="2"/>
  <c r="D1697" i="2"/>
  <c r="E1697" i="2"/>
  <c r="F1697" i="2"/>
  <c r="G1697" i="2"/>
  <c r="H1697" i="2"/>
  <c r="I1697" i="2"/>
  <c r="J1697" i="2"/>
  <c r="K1697" i="2"/>
  <c r="L1697" i="2"/>
  <c r="M1697" i="2"/>
  <c r="N1697" i="2"/>
  <c r="O1697" i="2"/>
  <c r="P1697" i="2"/>
  <c r="Q1697" i="2"/>
  <c r="R1697" i="2"/>
  <c r="S1697" i="2"/>
  <c r="T1697" i="2"/>
  <c r="U1697" i="2"/>
  <c r="V1697" i="2"/>
  <c r="W1697" i="2"/>
  <c r="X1697" i="2"/>
  <c r="Y1697" i="2"/>
  <c r="A1698" i="2"/>
  <c r="B1698" i="2"/>
  <c r="C1698" i="2"/>
  <c r="D1698" i="2"/>
  <c r="E1698" i="2"/>
  <c r="F1698" i="2"/>
  <c r="G1698" i="2"/>
  <c r="H1698" i="2"/>
  <c r="I1698" i="2"/>
  <c r="J1698" i="2"/>
  <c r="K1698" i="2"/>
  <c r="L1698" i="2"/>
  <c r="M1698" i="2"/>
  <c r="N1698" i="2"/>
  <c r="O1698" i="2"/>
  <c r="P1698" i="2"/>
  <c r="Q1698" i="2"/>
  <c r="R1698" i="2"/>
  <c r="S1698" i="2"/>
  <c r="T1698" i="2"/>
  <c r="U1698" i="2"/>
  <c r="V1698" i="2"/>
  <c r="W1698" i="2"/>
  <c r="X1698" i="2"/>
  <c r="Y1698" i="2"/>
  <c r="A1699" i="2"/>
  <c r="B1699" i="2"/>
  <c r="C1699" i="2"/>
  <c r="D1699" i="2"/>
  <c r="E1699" i="2"/>
  <c r="F1699" i="2"/>
  <c r="G1699" i="2"/>
  <c r="H1699" i="2"/>
  <c r="I1699" i="2"/>
  <c r="J1699" i="2"/>
  <c r="K1699" i="2"/>
  <c r="L1699" i="2"/>
  <c r="M1699" i="2"/>
  <c r="N1699" i="2"/>
  <c r="O1699" i="2"/>
  <c r="P1699" i="2"/>
  <c r="Q1699" i="2"/>
  <c r="R1699" i="2"/>
  <c r="S1699" i="2"/>
  <c r="T1699" i="2"/>
  <c r="U1699" i="2"/>
  <c r="V1699" i="2"/>
  <c r="W1699" i="2"/>
  <c r="X1699" i="2"/>
  <c r="Y1699" i="2"/>
  <c r="A1700" i="2"/>
  <c r="B1700" i="2"/>
  <c r="C1700" i="2"/>
  <c r="D1700" i="2"/>
  <c r="E1700" i="2"/>
  <c r="F1700" i="2"/>
  <c r="G1700" i="2"/>
  <c r="H1700" i="2"/>
  <c r="I1700" i="2"/>
  <c r="J1700" i="2"/>
  <c r="K1700" i="2"/>
  <c r="L1700" i="2"/>
  <c r="M1700" i="2"/>
  <c r="N1700" i="2"/>
  <c r="O1700" i="2"/>
  <c r="P1700" i="2"/>
  <c r="Q1700" i="2"/>
  <c r="R1700" i="2"/>
  <c r="S1700" i="2"/>
  <c r="T1700" i="2"/>
  <c r="U1700" i="2"/>
  <c r="V1700" i="2"/>
  <c r="W1700" i="2"/>
  <c r="X1700" i="2"/>
  <c r="Y1700" i="2"/>
  <c r="A1701" i="2"/>
  <c r="B1701" i="2"/>
  <c r="C1701" i="2"/>
  <c r="D1701" i="2"/>
  <c r="E1701" i="2"/>
  <c r="F1701" i="2"/>
  <c r="G1701" i="2"/>
  <c r="H1701" i="2"/>
  <c r="I1701" i="2"/>
  <c r="J1701" i="2"/>
  <c r="K1701" i="2"/>
  <c r="L1701" i="2"/>
  <c r="M1701" i="2"/>
  <c r="N1701" i="2"/>
  <c r="O1701" i="2"/>
  <c r="P1701" i="2"/>
  <c r="Q1701" i="2"/>
  <c r="R1701" i="2"/>
  <c r="S1701" i="2"/>
  <c r="T1701" i="2"/>
  <c r="U1701" i="2"/>
  <c r="V1701" i="2"/>
  <c r="W1701" i="2"/>
  <c r="X1701" i="2"/>
  <c r="Y1701" i="2"/>
  <c r="A1702" i="2"/>
  <c r="B1702" i="2"/>
  <c r="C1702" i="2"/>
  <c r="D1702" i="2"/>
  <c r="E1702" i="2"/>
  <c r="F1702" i="2"/>
  <c r="G1702" i="2"/>
  <c r="H1702" i="2"/>
  <c r="I1702" i="2"/>
  <c r="J1702" i="2"/>
  <c r="K1702" i="2"/>
  <c r="L1702" i="2"/>
  <c r="M1702" i="2"/>
  <c r="N1702" i="2"/>
  <c r="O1702" i="2"/>
  <c r="P1702" i="2"/>
  <c r="Q1702" i="2"/>
  <c r="R1702" i="2"/>
  <c r="S1702" i="2"/>
  <c r="T1702" i="2"/>
  <c r="U1702" i="2"/>
  <c r="V1702" i="2"/>
  <c r="W1702" i="2"/>
  <c r="X1702" i="2"/>
  <c r="Y1702" i="2"/>
  <c r="A1703" i="2"/>
  <c r="B1703" i="2"/>
  <c r="C1703" i="2"/>
  <c r="D1703" i="2"/>
  <c r="E1703" i="2"/>
  <c r="F1703" i="2"/>
  <c r="G1703" i="2"/>
  <c r="H1703" i="2"/>
  <c r="I1703" i="2"/>
  <c r="J1703" i="2"/>
  <c r="K1703" i="2"/>
  <c r="L1703" i="2"/>
  <c r="M1703" i="2"/>
  <c r="N1703" i="2"/>
  <c r="O1703" i="2"/>
  <c r="P1703" i="2"/>
  <c r="Q1703" i="2"/>
  <c r="R1703" i="2"/>
  <c r="S1703" i="2"/>
  <c r="T1703" i="2"/>
  <c r="U1703" i="2"/>
  <c r="V1703" i="2"/>
  <c r="W1703" i="2"/>
  <c r="X1703" i="2"/>
  <c r="Y1703" i="2"/>
  <c r="B1704" i="2"/>
  <c r="C1704" i="2"/>
  <c r="D1704" i="2"/>
  <c r="E1704" i="2"/>
  <c r="F1704" i="2"/>
  <c r="G1704" i="2"/>
  <c r="H1704" i="2"/>
  <c r="I1704" i="2"/>
  <c r="J1704" i="2"/>
  <c r="K1704" i="2"/>
  <c r="L1704" i="2"/>
  <c r="M1704" i="2"/>
  <c r="N1704" i="2"/>
  <c r="O1704" i="2"/>
  <c r="P1704" i="2"/>
  <c r="Q1704" i="2"/>
  <c r="R1704" i="2"/>
  <c r="S1704" i="2"/>
  <c r="T1704" i="2"/>
  <c r="U1704" i="2"/>
  <c r="V1704" i="2"/>
  <c r="W1704" i="2"/>
  <c r="X1704" i="2"/>
  <c r="Y1704" i="2"/>
  <c r="A1705" i="2"/>
  <c r="B1705" i="2"/>
  <c r="C1705" i="2"/>
  <c r="D1705" i="2"/>
  <c r="E1705" i="2"/>
  <c r="F1705" i="2"/>
  <c r="G1705" i="2"/>
  <c r="H1705" i="2"/>
  <c r="I1705" i="2"/>
  <c r="J1705" i="2"/>
  <c r="K1705" i="2"/>
  <c r="L1705" i="2"/>
  <c r="M1705" i="2"/>
  <c r="N1705" i="2"/>
  <c r="O1705" i="2"/>
  <c r="P1705" i="2"/>
  <c r="Q1705" i="2"/>
  <c r="R1705" i="2"/>
  <c r="S1705" i="2"/>
  <c r="T1705" i="2"/>
  <c r="U1705" i="2"/>
  <c r="V1705" i="2"/>
  <c r="W1705" i="2"/>
  <c r="X1705" i="2"/>
  <c r="Y1705" i="2"/>
  <c r="A1706" i="2"/>
  <c r="B1706" i="2"/>
  <c r="C1706" i="2"/>
  <c r="D1706" i="2"/>
  <c r="E1706" i="2"/>
  <c r="F1706" i="2"/>
  <c r="G1706" i="2"/>
  <c r="H1706" i="2"/>
  <c r="I1706" i="2"/>
  <c r="J1706" i="2"/>
  <c r="K1706" i="2"/>
  <c r="L1706" i="2"/>
  <c r="M1706" i="2"/>
  <c r="N1706" i="2"/>
  <c r="O1706" i="2"/>
  <c r="P1706" i="2"/>
  <c r="Q1706" i="2"/>
  <c r="R1706" i="2"/>
  <c r="S1706" i="2"/>
  <c r="T1706" i="2"/>
  <c r="U1706" i="2"/>
  <c r="V1706" i="2"/>
  <c r="W1706" i="2"/>
  <c r="X1706" i="2"/>
  <c r="Y1706" i="2"/>
  <c r="A1707" i="2"/>
  <c r="B1707" i="2"/>
  <c r="C1707" i="2"/>
  <c r="D1707" i="2"/>
  <c r="E1707" i="2"/>
  <c r="F1707" i="2"/>
  <c r="G1707" i="2"/>
  <c r="H1707" i="2"/>
  <c r="I1707" i="2"/>
  <c r="J1707" i="2"/>
  <c r="K1707" i="2"/>
  <c r="L1707" i="2"/>
  <c r="M1707" i="2"/>
  <c r="N1707" i="2"/>
  <c r="O1707" i="2"/>
  <c r="P1707" i="2"/>
  <c r="Q1707" i="2"/>
  <c r="R1707" i="2"/>
  <c r="S1707" i="2"/>
  <c r="T1707" i="2"/>
  <c r="U1707" i="2"/>
  <c r="V1707" i="2"/>
  <c r="W1707" i="2"/>
  <c r="X1707" i="2"/>
  <c r="Y1707" i="2"/>
  <c r="A1708" i="2"/>
  <c r="B1708" i="2"/>
  <c r="C1708" i="2"/>
  <c r="D1708" i="2"/>
  <c r="E1708" i="2"/>
  <c r="F1708" i="2"/>
  <c r="G1708" i="2"/>
  <c r="H1708" i="2"/>
  <c r="I1708" i="2"/>
  <c r="J1708" i="2"/>
  <c r="K1708" i="2"/>
  <c r="L1708" i="2"/>
  <c r="M1708" i="2"/>
  <c r="N1708" i="2"/>
  <c r="O1708" i="2"/>
  <c r="P1708" i="2"/>
  <c r="Q1708" i="2"/>
  <c r="R1708" i="2"/>
  <c r="S1708" i="2"/>
  <c r="T1708" i="2"/>
  <c r="U1708" i="2"/>
  <c r="V1708" i="2"/>
  <c r="W1708" i="2"/>
  <c r="X1708" i="2"/>
  <c r="Y1708" i="2"/>
  <c r="A1709" i="2"/>
  <c r="B1709" i="2"/>
  <c r="C1709" i="2"/>
  <c r="D1709" i="2"/>
  <c r="E1709" i="2"/>
  <c r="F1709" i="2"/>
  <c r="G1709" i="2"/>
  <c r="H1709" i="2"/>
  <c r="I1709" i="2"/>
  <c r="J1709" i="2"/>
  <c r="K1709" i="2"/>
  <c r="L1709" i="2"/>
  <c r="M1709" i="2"/>
  <c r="N1709" i="2"/>
  <c r="O1709" i="2"/>
  <c r="P1709" i="2"/>
  <c r="Q1709" i="2"/>
  <c r="R1709" i="2"/>
  <c r="S1709" i="2"/>
  <c r="T1709" i="2"/>
  <c r="U1709" i="2"/>
  <c r="V1709" i="2"/>
  <c r="W1709" i="2"/>
  <c r="X1709" i="2"/>
  <c r="Y1709" i="2"/>
  <c r="A1710" i="2"/>
  <c r="B1710" i="2"/>
  <c r="C1710" i="2"/>
  <c r="D1710" i="2"/>
  <c r="E1710" i="2"/>
  <c r="F1710" i="2"/>
  <c r="G1710" i="2"/>
  <c r="H1710" i="2"/>
  <c r="I1710" i="2"/>
  <c r="J1710" i="2"/>
  <c r="K1710" i="2"/>
  <c r="L1710" i="2"/>
  <c r="M1710" i="2"/>
  <c r="N1710" i="2"/>
  <c r="O1710" i="2"/>
  <c r="P1710" i="2"/>
  <c r="Q1710" i="2"/>
  <c r="R1710" i="2"/>
  <c r="S1710" i="2"/>
  <c r="T1710" i="2"/>
  <c r="U1710" i="2"/>
  <c r="V1710" i="2"/>
  <c r="W1710" i="2"/>
  <c r="X1710" i="2"/>
  <c r="Y1710" i="2"/>
  <c r="A1711" i="2"/>
  <c r="B1711" i="2"/>
  <c r="C1711" i="2"/>
  <c r="D1711" i="2"/>
  <c r="E1711" i="2"/>
  <c r="F1711" i="2"/>
  <c r="G1711" i="2"/>
  <c r="H1711" i="2"/>
  <c r="I1711" i="2"/>
  <c r="J1711" i="2"/>
  <c r="K1711" i="2"/>
  <c r="L1711" i="2"/>
  <c r="M1711" i="2"/>
  <c r="N1711" i="2"/>
  <c r="O1711" i="2"/>
  <c r="P1711" i="2"/>
  <c r="Q1711" i="2"/>
  <c r="R1711" i="2"/>
  <c r="S1711" i="2"/>
  <c r="T1711" i="2"/>
  <c r="U1711" i="2"/>
  <c r="V1711" i="2"/>
  <c r="W1711" i="2"/>
  <c r="X1711" i="2"/>
  <c r="Y1711" i="2"/>
  <c r="A1712" i="2"/>
  <c r="B1712" i="2"/>
  <c r="C1712" i="2"/>
  <c r="D1712" i="2"/>
  <c r="E1712" i="2"/>
  <c r="F1712" i="2"/>
  <c r="G1712" i="2"/>
  <c r="H1712" i="2"/>
  <c r="I1712" i="2"/>
  <c r="J1712" i="2"/>
  <c r="K1712" i="2"/>
  <c r="L1712" i="2"/>
  <c r="M1712" i="2"/>
  <c r="N1712" i="2"/>
  <c r="O1712" i="2"/>
  <c r="P1712" i="2"/>
  <c r="Q1712" i="2"/>
  <c r="R1712" i="2"/>
  <c r="S1712" i="2"/>
  <c r="T1712" i="2"/>
  <c r="U1712" i="2"/>
  <c r="V1712" i="2"/>
  <c r="W1712" i="2"/>
  <c r="X1712" i="2"/>
  <c r="Y1712" i="2"/>
  <c r="A1713" i="2"/>
  <c r="B1713" i="2"/>
  <c r="C1713" i="2"/>
  <c r="D1713" i="2"/>
  <c r="E1713" i="2"/>
  <c r="F1713" i="2"/>
  <c r="G1713" i="2"/>
  <c r="H1713" i="2"/>
  <c r="I1713" i="2"/>
  <c r="J1713" i="2"/>
  <c r="K1713" i="2"/>
  <c r="L1713" i="2"/>
  <c r="M1713" i="2"/>
  <c r="N1713" i="2"/>
  <c r="O1713" i="2"/>
  <c r="P1713" i="2"/>
  <c r="Q1713" i="2"/>
  <c r="R1713" i="2"/>
  <c r="S1713" i="2"/>
  <c r="T1713" i="2"/>
  <c r="U1713" i="2"/>
  <c r="V1713" i="2"/>
  <c r="W1713" i="2"/>
  <c r="X1713" i="2"/>
  <c r="Y1713" i="2"/>
  <c r="A1714" i="2"/>
  <c r="B1714" i="2"/>
  <c r="C1714" i="2"/>
  <c r="D1714" i="2"/>
  <c r="E1714" i="2"/>
  <c r="F1714" i="2"/>
  <c r="G1714" i="2"/>
  <c r="H1714" i="2"/>
  <c r="I1714" i="2"/>
  <c r="J1714" i="2"/>
  <c r="K1714" i="2"/>
  <c r="L1714" i="2"/>
  <c r="M1714" i="2"/>
  <c r="N1714" i="2"/>
  <c r="O1714" i="2"/>
  <c r="P1714" i="2"/>
  <c r="Q1714" i="2"/>
  <c r="R1714" i="2"/>
  <c r="S1714" i="2"/>
  <c r="T1714" i="2"/>
  <c r="U1714" i="2"/>
  <c r="V1714" i="2"/>
  <c r="W1714" i="2"/>
  <c r="X1714" i="2"/>
  <c r="Y1714" i="2"/>
  <c r="A1715" i="2"/>
  <c r="B1715" i="2"/>
  <c r="C1715" i="2"/>
  <c r="D1715" i="2"/>
  <c r="E1715" i="2"/>
  <c r="F1715" i="2"/>
  <c r="G1715" i="2"/>
  <c r="H1715" i="2"/>
  <c r="I1715" i="2"/>
  <c r="J1715" i="2"/>
  <c r="K1715" i="2"/>
  <c r="L1715" i="2"/>
  <c r="M1715" i="2"/>
  <c r="N1715" i="2"/>
  <c r="O1715" i="2"/>
  <c r="P1715" i="2"/>
  <c r="Q1715" i="2"/>
  <c r="R1715" i="2"/>
  <c r="S1715" i="2"/>
  <c r="T1715" i="2"/>
  <c r="U1715" i="2"/>
  <c r="V1715" i="2"/>
  <c r="W1715" i="2"/>
  <c r="X1715" i="2"/>
  <c r="Y1715" i="2"/>
  <c r="A1716" i="2"/>
  <c r="B1716" i="2"/>
  <c r="C1716" i="2"/>
  <c r="D1716" i="2"/>
  <c r="E1716" i="2"/>
  <c r="F1716" i="2"/>
  <c r="G1716" i="2"/>
  <c r="H1716" i="2"/>
  <c r="I1716" i="2"/>
  <c r="J1716" i="2"/>
  <c r="K1716" i="2"/>
  <c r="L1716" i="2"/>
  <c r="M1716" i="2"/>
  <c r="N1716" i="2"/>
  <c r="O1716" i="2"/>
  <c r="P1716" i="2"/>
  <c r="Q1716" i="2"/>
  <c r="R1716" i="2"/>
  <c r="S1716" i="2"/>
  <c r="T1716" i="2"/>
  <c r="U1716" i="2"/>
  <c r="V1716" i="2"/>
  <c r="W1716" i="2"/>
  <c r="X1716" i="2"/>
  <c r="Y1716" i="2"/>
  <c r="A1717" i="2"/>
  <c r="B1717" i="2"/>
  <c r="C1717" i="2"/>
  <c r="D1717" i="2"/>
  <c r="E1717" i="2"/>
  <c r="F1717" i="2"/>
  <c r="G1717" i="2"/>
  <c r="H1717" i="2"/>
  <c r="I1717" i="2"/>
  <c r="J1717" i="2"/>
  <c r="K1717" i="2"/>
  <c r="L1717" i="2"/>
  <c r="M1717" i="2"/>
  <c r="N1717" i="2"/>
  <c r="O1717" i="2"/>
  <c r="P1717" i="2"/>
  <c r="Q1717" i="2"/>
  <c r="R1717" i="2"/>
  <c r="S1717" i="2"/>
  <c r="T1717" i="2"/>
  <c r="U1717" i="2"/>
  <c r="V1717" i="2"/>
  <c r="W1717" i="2"/>
  <c r="X1717" i="2"/>
  <c r="Y1717" i="2"/>
  <c r="A1718" i="2"/>
  <c r="B1718" i="2"/>
  <c r="C1718" i="2"/>
  <c r="D1718" i="2"/>
  <c r="E1718" i="2"/>
  <c r="F1718" i="2"/>
  <c r="G1718" i="2"/>
  <c r="H1718" i="2"/>
  <c r="I1718" i="2"/>
  <c r="J1718" i="2"/>
  <c r="K1718" i="2"/>
  <c r="L1718" i="2"/>
  <c r="M1718" i="2"/>
  <c r="N1718" i="2"/>
  <c r="O1718" i="2"/>
  <c r="P1718" i="2"/>
  <c r="Q1718" i="2"/>
  <c r="R1718" i="2"/>
  <c r="S1718" i="2"/>
  <c r="T1718" i="2"/>
  <c r="U1718" i="2"/>
  <c r="V1718" i="2"/>
  <c r="W1718" i="2"/>
  <c r="X1718" i="2"/>
  <c r="Y1718" i="2"/>
  <c r="A1719" i="2"/>
  <c r="B1719" i="2"/>
  <c r="C1719" i="2"/>
  <c r="D1719" i="2"/>
  <c r="E1719" i="2"/>
  <c r="F1719" i="2"/>
  <c r="G1719" i="2"/>
  <c r="H1719" i="2"/>
  <c r="I1719" i="2"/>
  <c r="J1719" i="2"/>
  <c r="K1719" i="2"/>
  <c r="L1719" i="2"/>
  <c r="M1719" i="2"/>
  <c r="N1719" i="2"/>
  <c r="O1719" i="2"/>
  <c r="P1719" i="2"/>
  <c r="Q1719" i="2"/>
  <c r="R1719" i="2"/>
  <c r="S1719" i="2"/>
  <c r="T1719" i="2"/>
  <c r="U1719" i="2"/>
  <c r="V1719" i="2"/>
  <c r="W1719" i="2"/>
  <c r="X1719" i="2"/>
  <c r="Y1719" i="2"/>
  <c r="B1720" i="2"/>
  <c r="C1720" i="2"/>
  <c r="D1720" i="2"/>
  <c r="E1720" i="2"/>
  <c r="F1720" i="2"/>
  <c r="G1720" i="2"/>
  <c r="H1720" i="2"/>
  <c r="I1720" i="2"/>
  <c r="J1720" i="2"/>
  <c r="K1720" i="2"/>
  <c r="L1720" i="2"/>
  <c r="M1720" i="2"/>
  <c r="N1720" i="2"/>
  <c r="O1720" i="2"/>
  <c r="P1720" i="2"/>
  <c r="Q1720" i="2"/>
  <c r="R1720" i="2"/>
  <c r="S1720" i="2"/>
  <c r="T1720" i="2"/>
  <c r="U1720" i="2"/>
  <c r="V1720" i="2"/>
  <c r="W1720" i="2"/>
  <c r="X1720" i="2"/>
  <c r="Y1720" i="2"/>
  <c r="A1721" i="2"/>
  <c r="B1721" i="2"/>
  <c r="C1721" i="2"/>
  <c r="D1721" i="2"/>
  <c r="E1721" i="2"/>
  <c r="F1721" i="2"/>
  <c r="G1721" i="2"/>
  <c r="H1721" i="2"/>
  <c r="I1721" i="2"/>
  <c r="J1721" i="2"/>
  <c r="K1721" i="2"/>
  <c r="L1721" i="2"/>
  <c r="M1721" i="2"/>
  <c r="N1721" i="2"/>
  <c r="O1721" i="2"/>
  <c r="P1721" i="2"/>
  <c r="Q1721" i="2"/>
  <c r="R1721" i="2"/>
  <c r="S1721" i="2"/>
  <c r="T1721" i="2"/>
  <c r="U1721" i="2"/>
  <c r="V1721" i="2"/>
  <c r="W1721" i="2"/>
  <c r="X1721" i="2"/>
  <c r="Y1721" i="2"/>
  <c r="A1722" i="2"/>
  <c r="B1722" i="2"/>
  <c r="C1722" i="2"/>
  <c r="D1722" i="2"/>
  <c r="E1722" i="2"/>
  <c r="F1722" i="2"/>
  <c r="G1722" i="2"/>
  <c r="H1722" i="2"/>
  <c r="I1722" i="2"/>
  <c r="J1722" i="2"/>
  <c r="K1722" i="2"/>
  <c r="L1722" i="2"/>
  <c r="M1722" i="2"/>
  <c r="N1722" i="2"/>
  <c r="O1722" i="2"/>
  <c r="P1722" i="2"/>
  <c r="Q1722" i="2"/>
  <c r="R1722" i="2"/>
  <c r="S1722" i="2"/>
  <c r="T1722" i="2"/>
  <c r="U1722" i="2"/>
  <c r="V1722" i="2"/>
  <c r="W1722" i="2"/>
  <c r="X1722" i="2"/>
  <c r="Y1722" i="2"/>
  <c r="A1723" i="2"/>
  <c r="B1723" i="2"/>
  <c r="C1723" i="2"/>
  <c r="D1723" i="2"/>
  <c r="E1723" i="2"/>
  <c r="F1723" i="2"/>
  <c r="G1723" i="2"/>
  <c r="H1723" i="2"/>
  <c r="I1723" i="2"/>
  <c r="J1723" i="2"/>
  <c r="K1723" i="2"/>
  <c r="L1723" i="2"/>
  <c r="M1723" i="2"/>
  <c r="N1723" i="2"/>
  <c r="O1723" i="2"/>
  <c r="P1723" i="2"/>
  <c r="Q1723" i="2"/>
  <c r="R1723" i="2"/>
  <c r="S1723" i="2"/>
  <c r="T1723" i="2"/>
  <c r="U1723" i="2"/>
  <c r="V1723" i="2"/>
  <c r="W1723" i="2"/>
  <c r="X1723" i="2"/>
  <c r="Y1723" i="2"/>
  <c r="A1724" i="2"/>
  <c r="B1724" i="2"/>
  <c r="C1724" i="2"/>
  <c r="D1724" i="2"/>
  <c r="E1724" i="2"/>
  <c r="F1724" i="2"/>
  <c r="G1724" i="2"/>
  <c r="H1724" i="2"/>
  <c r="I1724" i="2"/>
  <c r="J1724" i="2"/>
  <c r="K1724" i="2"/>
  <c r="L1724" i="2"/>
  <c r="M1724" i="2"/>
  <c r="N1724" i="2"/>
  <c r="O1724" i="2"/>
  <c r="P1724" i="2"/>
  <c r="Q1724" i="2"/>
  <c r="R1724" i="2"/>
  <c r="S1724" i="2"/>
  <c r="T1724" i="2"/>
  <c r="U1724" i="2"/>
  <c r="V1724" i="2"/>
  <c r="W1724" i="2"/>
  <c r="X1724" i="2"/>
  <c r="Y1724" i="2"/>
  <c r="A1725" i="2"/>
  <c r="B1725" i="2"/>
  <c r="C1725" i="2"/>
  <c r="D1725" i="2"/>
  <c r="E1725" i="2"/>
  <c r="F1725" i="2"/>
  <c r="G1725" i="2"/>
  <c r="H1725" i="2"/>
  <c r="I1725" i="2"/>
  <c r="J1725" i="2"/>
  <c r="K1725" i="2"/>
  <c r="L1725" i="2"/>
  <c r="M1725" i="2"/>
  <c r="N1725" i="2"/>
  <c r="O1725" i="2"/>
  <c r="P1725" i="2"/>
  <c r="Q1725" i="2"/>
  <c r="R1725" i="2"/>
  <c r="S1725" i="2"/>
  <c r="T1725" i="2"/>
  <c r="U1725" i="2"/>
  <c r="V1725" i="2"/>
  <c r="W1725" i="2"/>
  <c r="X1725" i="2"/>
  <c r="Y1725" i="2"/>
  <c r="A1726" i="2"/>
  <c r="B1726" i="2"/>
  <c r="C1726" i="2"/>
  <c r="D1726" i="2"/>
  <c r="E1726" i="2"/>
  <c r="F1726" i="2"/>
  <c r="G1726" i="2"/>
  <c r="H1726" i="2"/>
  <c r="I1726" i="2"/>
  <c r="J1726" i="2"/>
  <c r="K1726" i="2"/>
  <c r="L1726" i="2"/>
  <c r="M1726" i="2"/>
  <c r="N1726" i="2"/>
  <c r="O1726" i="2"/>
  <c r="P1726" i="2"/>
  <c r="Q1726" i="2"/>
  <c r="R1726" i="2"/>
  <c r="S1726" i="2"/>
  <c r="T1726" i="2"/>
  <c r="U1726" i="2"/>
  <c r="V1726" i="2"/>
  <c r="W1726" i="2"/>
  <c r="X1726" i="2"/>
  <c r="Y1726" i="2"/>
  <c r="A1727" i="2"/>
  <c r="B1727" i="2"/>
  <c r="C1727" i="2"/>
  <c r="D1727" i="2"/>
  <c r="E1727" i="2"/>
  <c r="F1727" i="2"/>
  <c r="G1727" i="2"/>
  <c r="H1727" i="2"/>
  <c r="I1727" i="2"/>
  <c r="J1727" i="2"/>
  <c r="K1727" i="2"/>
  <c r="L1727" i="2"/>
  <c r="M1727" i="2"/>
  <c r="N1727" i="2"/>
  <c r="O1727" i="2"/>
  <c r="P1727" i="2"/>
  <c r="Q1727" i="2"/>
  <c r="R1727" i="2"/>
  <c r="S1727" i="2"/>
  <c r="T1727" i="2"/>
  <c r="U1727" i="2"/>
  <c r="V1727" i="2"/>
  <c r="W1727" i="2"/>
  <c r="X1727" i="2"/>
  <c r="Y1727" i="2"/>
  <c r="A1728" i="2"/>
  <c r="B1728" i="2"/>
  <c r="C1728" i="2"/>
  <c r="D1728" i="2"/>
  <c r="E1728" i="2"/>
  <c r="F1728" i="2"/>
  <c r="G1728" i="2"/>
  <c r="H1728" i="2"/>
  <c r="I1728" i="2"/>
  <c r="J1728" i="2"/>
  <c r="K1728" i="2"/>
  <c r="L1728" i="2"/>
  <c r="M1728" i="2"/>
  <c r="N1728" i="2"/>
  <c r="O1728" i="2"/>
  <c r="P1728" i="2"/>
  <c r="Q1728" i="2"/>
  <c r="R1728" i="2"/>
  <c r="S1728" i="2"/>
  <c r="T1728" i="2"/>
  <c r="U1728" i="2"/>
  <c r="V1728" i="2"/>
  <c r="W1728" i="2"/>
  <c r="X1728" i="2"/>
  <c r="Y1728" i="2"/>
  <c r="A1729" i="2"/>
  <c r="B1729" i="2"/>
  <c r="C1729" i="2"/>
  <c r="D1729" i="2"/>
  <c r="E1729" i="2"/>
  <c r="F1729" i="2"/>
  <c r="G1729" i="2"/>
  <c r="H1729" i="2"/>
  <c r="I1729" i="2"/>
  <c r="J1729" i="2"/>
  <c r="K1729" i="2"/>
  <c r="L1729" i="2"/>
  <c r="M1729" i="2"/>
  <c r="N1729" i="2"/>
  <c r="O1729" i="2"/>
  <c r="P1729" i="2"/>
  <c r="Q1729" i="2"/>
  <c r="R1729" i="2"/>
  <c r="S1729" i="2"/>
  <c r="T1729" i="2"/>
  <c r="U1729" i="2"/>
  <c r="V1729" i="2"/>
  <c r="W1729" i="2"/>
  <c r="X1729" i="2"/>
  <c r="Y1729" i="2"/>
  <c r="A1730" i="2"/>
  <c r="B1730" i="2"/>
  <c r="C1730" i="2"/>
  <c r="D1730" i="2"/>
  <c r="E1730" i="2"/>
  <c r="F1730" i="2"/>
  <c r="G1730" i="2"/>
  <c r="H1730" i="2"/>
  <c r="I1730" i="2"/>
  <c r="J1730" i="2"/>
  <c r="K1730" i="2"/>
  <c r="L1730" i="2"/>
  <c r="M1730" i="2"/>
  <c r="N1730" i="2"/>
  <c r="O1730" i="2"/>
  <c r="P1730" i="2"/>
  <c r="Q1730" i="2"/>
  <c r="R1730" i="2"/>
  <c r="S1730" i="2"/>
  <c r="T1730" i="2"/>
  <c r="U1730" i="2"/>
  <c r="V1730" i="2"/>
  <c r="W1730" i="2"/>
  <c r="X1730" i="2"/>
  <c r="Y1730" i="2"/>
  <c r="A1731" i="2"/>
  <c r="B1731" i="2"/>
  <c r="C1731" i="2"/>
  <c r="D1731" i="2"/>
  <c r="E1731" i="2"/>
  <c r="F1731" i="2"/>
  <c r="G1731" i="2"/>
  <c r="H1731" i="2"/>
  <c r="I1731" i="2"/>
  <c r="J1731" i="2"/>
  <c r="K1731" i="2"/>
  <c r="L1731" i="2"/>
  <c r="M1731" i="2"/>
  <c r="N1731" i="2"/>
  <c r="O1731" i="2"/>
  <c r="P1731" i="2"/>
  <c r="Q1731" i="2"/>
  <c r="R1731" i="2"/>
  <c r="S1731" i="2"/>
  <c r="T1731" i="2"/>
  <c r="U1731" i="2"/>
  <c r="V1731" i="2"/>
  <c r="W1731" i="2"/>
  <c r="X1731" i="2"/>
  <c r="Y1731" i="2"/>
  <c r="A1732" i="2"/>
  <c r="B1732" i="2"/>
  <c r="C1732" i="2"/>
  <c r="D1732" i="2"/>
  <c r="E1732" i="2"/>
  <c r="F1732" i="2"/>
  <c r="G1732" i="2"/>
  <c r="H1732" i="2"/>
  <c r="I1732" i="2"/>
  <c r="J1732" i="2"/>
  <c r="K1732" i="2"/>
  <c r="L1732" i="2"/>
  <c r="M1732" i="2"/>
  <c r="N1732" i="2"/>
  <c r="O1732" i="2"/>
  <c r="P1732" i="2"/>
  <c r="Q1732" i="2"/>
  <c r="R1732" i="2"/>
  <c r="S1732" i="2"/>
  <c r="T1732" i="2"/>
  <c r="U1732" i="2"/>
  <c r="V1732" i="2"/>
  <c r="W1732" i="2"/>
  <c r="X1732" i="2"/>
  <c r="Y1732" i="2"/>
  <c r="A1733" i="2"/>
  <c r="B1733" i="2"/>
  <c r="C1733" i="2"/>
  <c r="D1733" i="2"/>
  <c r="E1733" i="2"/>
  <c r="F1733" i="2"/>
  <c r="G1733" i="2"/>
  <c r="H1733" i="2"/>
  <c r="I1733" i="2"/>
  <c r="J1733" i="2"/>
  <c r="K1733" i="2"/>
  <c r="L1733" i="2"/>
  <c r="M1733" i="2"/>
  <c r="N1733" i="2"/>
  <c r="O1733" i="2"/>
  <c r="P1733" i="2"/>
  <c r="Q1733" i="2"/>
  <c r="R1733" i="2"/>
  <c r="S1733" i="2"/>
  <c r="T1733" i="2"/>
  <c r="U1733" i="2"/>
  <c r="V1733" i="2"/>
  <c r="W1733" i="2"/>
  <c r="X1733" i="2"/>
  <c r="Y1733" i="2"/>
  <c r="A1734" i="2"/>
  <c r="B1734" i="2"/>
  <c r="C1734" i="2"/>
  <c r="D1734" i="2"/>
  <c r="E1734" i="2"/>
  <c r="F1734" i="2"/>
  <c r="G1734" i="2"/>
  <c r="H1734" i="2"/>
  <c r="I1734" i="2"/>
  <c r="J1734" i="2"/>
  <c r="K1734" i="2"/>
  <c r="L1734" i="2"/>
  <c r="M1734" i="2"/>
  <c r="N1734" i="2"/>
  <c r="O1734" i="2"/>
  <c r="P1734" i="2"/>
  <c r="Q1734" i="2"/>
  <c r="R1734" i="2"/>
  <c r="S1734" i="2"/>
  <c r="T1734" i="2"/>
  <c r="U1734" i="2"/>
  <c r="V1734" i="2"/>
  <c r="W1734" i="2"/>
  <c r="X1734" i="2"/>
  <c r="Y1734" i="2"/>
  <c r="A1735" i="2"/>
  <c r="B1735" i="2"/>
  <c r="C1735" i="2"/>
  <c r="D1735" i="2"/>
  <c r="E1735" i="2"/>
  <c r="F1735" i="2"/>
  <c r="G1735" i="2"/>
  <c r="H1735" i="2"/>
  <c r="I1735" i="2"/>
  <c r="J1735" i="2"/>
  <c r="K1735" i="2"/>
  <c r="L1735" i="2"/>
  <c r="M1735" i="2"/>
  <c r="N1735" i="2"/>
  <c r="O1735" i="2"/>
  <c r="P1735" i="2"/>
  <c r="Q1735" i="2"/>
  <c r="R1735" i="2"/>
  <c r="S1735" i="2"/>
  <c r="T1735" i="2"/>
  <c r="U1735" i="2"/>
  <c r="V1735" i="2"/>
  <c r="W1735" i="2"/>
  <c r="X1735" i="2"/>
  <c r="Y1735" i="2"/>
  <c r="B1736" i="2"/>
  <c r="C1736" i="2"/>
  <c r="D1736" i="2"/>
  <c r="E1736" i="2"/>
  <c r="F1736" i="2"/>
  <c r="G1736" i="2"/>
  <c r="H1736" i="2"/>
  <c r="I1736" i="2"/>
  <c r="J1736" i="2"/>
  <c r="K1736" i="2"/>
  <c r="L1736" i="2"/>
  <c r="M1736" i="2"/>
  <c r="N1736" i="2"/>
  <c r="O1736" i="2"/>
  <c r="P1736" i="2"/>
  <c r="Q1736" i="2"/>
  <c r="R1736" i="2"/>
  <c r="S1736" i="2"/>
  <c r="T1736" i="2"/>
  <c r="U1736" i="2"/>
  <c r="V1736" i="2"/>
  <c r="W1736" i="2"/>
  <c r="X1736" i="2"/>
  <c r="Y1736" i="2"/>
  <c r="A1737" i="2"/>
  <c r="B1737" i="2"/>
  <c r="C1737" i="2"/>
  <c r="D1737" i="2"/>
  <c r="E1737" i="2"/>
  <c r="F1737" i="2"/>
  <c r="G1737" i="2"/>
  <c r="H1737" i="2"/>
  <c r="I1737" i="2"/>
  <c r="J1737" i="2"/>
  <c r="K1737" i="2"/>
  <c r="L1737" i="2"/>
  <c r="M1737" i="2"/>
  <c r="N1737" i="2"/>
  <c r="O1737" i="2"/>
  <c r="P1737" i="2"/>
  <c r="Q1737" i="2"/>
  <c r="R1737" i="2"/>
  <c r="S1737" i="2"/>
  <c r="T1737" i="2"/>
  <c r="U1737" i="2"/>
  <c r="V1737" i="2"/>
  <c r="W1737" i="2"/>
  <c r="X1737" i="2"/>
  <c r="Y1737" i="2"/>
  <c r="A1738" i="2"/>
  <c r="B1738" i="2"/>
  <c r="C1738" i="2"/>
  <c r="D1738" i="2"/>
  <c r="E1738" i="2"/>
  <c r="F1738" i="2"/>
  <c r="G1738" i="2"/>
  <c r="H1738" i="2"/>
  <c r="I1738" i="2"/>
  <c r="J1738" i="2"/>
  <c r="K1738" i="2"/>
  <c r="L1738" i="2"/>
  <c r="M1738" i="2"/>
  <c r="N1738" i="2"/>
  <c r="O1738" i="2"/>
  <c r="P1738" i="2"/>
  <c r="Q1738" i="2"/>
  <c r="R1738" i="2"/>
  <c r="S1738" i="2"/>
  <c r="T1738" i="2"/>
  <c r="U1738" i="2"/>
  <c r="V1738" i="2"/>
  <c r="W1738" i="2"/>
  <c r="X1738" i="2"/>
  <c r="Y1738" i="2"/>
  <c r="A1739" i="2"/>
  <c r="B1739" i="2"/>
  <c r="C1739" i="2"/>
  <c r="D1739" i="2"/>
  <c r="E1739" i="2"/>
  <c r="F1739" i="2"/>
  <c r="G1739" i="2"/>
  <c r="H1739" i="2"/>
  <c r="I1739" i="2"/>
  <c r="J1739" i="2"/>
  <c r="K1739" i="2"/>
  <c r="L1739" i="2"/>
  <c r="M1739" i="2"/>
  <c r="N1739" i="2"/>
  <c r="O1739" i="2"/>
  <c r="P1739" i="2"/>
  <c r="Q1739" i="2"/>
  <c r="R1739" i="2"/>
  <c r="S1739" i="2"/>
  <c r="T1739" i="2"/>
  <c r="U1739" i="2"/>
  <c r="V1739" i="2"/>
  <c r="W1739" i="2"/>
  <c r="X1739" i="2"/>
  <c r="Y1739" i="2"/>
  <c r="A1740" i="2"/>
  <c r="B1740" i="2"/>
  <c r="C1740" i="2"/>
  <c r="D1740" i="2"/>
  <c r="E1740" i="2"/>
  <c r="F1740" i="2"/>
  <c r="G1740" i="2"/>
  <c r="H1740" i="2"/>
  <c r="I1740" i="2"/>
  <c r="J1740" i="2"/>
  <c r="K1740" i="2"/>
  <c r="L1740" i="2"/>
  <c r="M1740" i="2"/>
  <c r="N1740" i="2"/>
  <c r="O1740" i="2"/>
  <c r="P1740" i="2"/>
  <c r="Q1740" i="2"/>
  <c r="R1740" i="2"/>
  <c r="S1740" i="2"/>
  <c r="T1740" i="2"/>
  <c r="U1740" i="2"/>
  <c r="V1740" i="2"/>
  <c r="W1740" i="2"/>
  <c r="X1740" i="2"/>
  <c r="Y1740" i="2"/>
  <c r="A1741" i="2"/>
  <c r="B1741" i="2"/>
  <c r="C1741" i="2"/>
  <c r="D1741" i="2"/>
  <c r="E1741" i="2"/>
  <c r="F1741" i="2"/>
  <c r="G1741" i="2"/>
  <c r="H1741" i="2"/>
  <c r="I1741" i="2"/>
  <c r="J1741" i="2"/>
  <c r="K1741" i="2"/>
  <c r="L1741" i="2"/>
  <c r="M1741" i="2"/>
  <c r="N1741" i="2"/>
  <c r="O1741" i="2"/>
  <c r="P1741" i="2"/>
  <c r="Q1741" i="2"/>
  <c r="R1741" i="2"/>
  <c r="S1741" i="2"/>
  <c r="T1741" i="2"/>
  <c r="U1741" i="2"/>
  <c r="V1741" i="2"/>
  <c r="W1741" i="2"/>
  <c r="X1741" i="2"/>
  <c r="Y1741" i="2"/>
  <c r="A1742" i="2"/>
  <c r="B1742" i="2"/>
  <c r="C1742" i="2"/>
  <c r="D1742" i="2"/>
  <c r="E1742" i="2"/>
  <c r="F1742" i="2"/>
  <c r="G1742" i="2"/>
  <c r="H1742" i="2"/>
  <c r="I1742" i="2"/>
  <c r="J1742" i="2"/>
  <c r="K1742" i="2"/>
  <c r="L1742" i="2"/>
  <c r="M1742" i="2"/>
  <c r="N1742" i="2"/>
  <c r="O1742" i="2"/>
  <c r="P1742" i="2"/>
  <c r="Q1742" i="2"/>
  <c r="R1742" i="2"/>
  <c r="S1742" i="2"/>
  <c r="T1742" i="2"/>
  <c r="U1742" i="2"/>
  <c r="V1742" i="2"/>
  <c r="W1742" i="2"/>
  <c r="X1742" i="2"/>
  <c r="Y1742" i="2"/>
  <c r="A1743" i="2"/>
  <c r="B1743" i="2"/>
  <c r="C1743" i="2"/>
  <c r="D1743" i="2"/>
  <c r="E1743" i="2"/>
  <c r="F1743" i="2"/>
  <c r="G1743" i="2"/>
  <c r="H1743" i="2"/>
  <c r="I1743" i="2"/>
  <c r="J1743" i="2"/>
  <c r="K1743" i="2"/>
  <c r="L1743" i="2"/>
  <c r="M1743" i="2"/>
  <c r="N1743" i="2"/>
  <c r="O1743" i="2"/>
  <c r="P1743" i="2"/>
  <c r="Q1743" i="2"/>
  <c r="R1743" i="2"/>
  <c r="S1743" i="2"/>
  <c r="T1743" i="2"/>
  <c r="U1743" i="2"/>
  <c r="V1743" i="2"/>
  <c r="W1743" i="2"/>
  <c r="X1743" i="2"/>
  <c r="Y1743" i="2"/>
  <c r="A1744" i="2"/>
  <c r="B1744" i="2"/>
  <c r="C1744" i="2"/>
  <c r="D1744" i="2"/>
  <c r="E1744" i="2"/>
  <c r="F1744" i="2"/>
  <c r="G1744" i="2"/>
  <c r="H1744" i="2"/>
  <c r="I1744" i="2"/>
  <c r="J1744" i="2"/>
  <c r="K1744" i="2"/>
  <c r="L1744" i="2"/>
  <c r="M1744" i="2"/>
  <c r="N1744" i="2"/>
  <c r="O1744" i="2"/>
  <c r="P1744" i="2"/>
  <c r="Q1744" i="2"/>
  <c r="R1744" i="2"/>
  <c r="S1744" i="2"/>
  <c r="T1744" i="2"/>
  <c r="U1744" i="2"/>
  <c r="V1744" i="2"/>
  <c r="W1744" i="2"/>
  <c r="X1744" i="2"/>
  <c r="Y1744" i="2"/>
  <c r="A1745" i="2"/>
  <c r="B1745" i="2"/>
  <c r="C1745" i="2"/>
  <c r="D1745" i="2"/>
  <c r="E1745" i="2"/>
  <c r="F1745" i="2"/>
  <c r="G1745" i="2"/>
  <c r="H1745" i="2"/>
  <c r="I1745" i="2"/>
  <c r="J1745" i="2"/>
  <c r="K1745" i="2"/>
  <c r="L1745" i="2"/>
  <c r="M1745" i="2"/>
  <c r="N1745" i="2"/>
  <c r="O1745" i="2"/>
  <c r="P1745" i="2"/>
  <c r="Q1745" i="2"/>
  <c r="R1745" i="2"/>
  <c r="S1745" i="2"/>
  <c r="T1745" i="2"/>
  <c r="U1745" i="2"/>
  <c r="V1745" i="2"/>
  <c r="W1745" i="2"/>
  <c r="X1745" i="2"/>
  <c r="Y1745" i="2"/>
  <c r="A1746" i="2"/>
  <c r="B1746" i="2"/>
  <c r="C1746" i="2"/>
  <c r="D1746" i="2"/>
  <c r="E1746" i="2"/>
  <c r="F1746" i="2"/>
  <c r="G1746" i="2"/>
  <c r="H1746" i="2"/>
  <c r="I1746" i="2"/>
  <c r="J1746" i="2"/>
  <c r="K1746" i="2"/>
  <c r="L1746" i="2"/>
  <c r="M1746" i="2"/>
  <c r="N1746" i="2"/>
  <c r="O1746" i="2"/>
  <c r="P1746" i="2"/>
  <c r="Q1746" i="2"/>
  <c r="R1746" i="2"/>
  <c r="S1746" i="2"/>
  <c r="T1746" i="2"/>
  <c r="U1746" i="2"/>
  <c r="V1746" i="2"/>
  <c r="W1746" i="2"/>
  <c r="X1746" i="2"/>
  <c r="Y1746" i="2"/>
  <c r="A1747" i="2"/>
  <c r="B1747" i="2"/>
  <c r="C1747" i="2"/>
  <c r="D1747" i="2"/>
  <c r="E1747" i="2"/>
  <c r="F1747" i="2"/>
  <c r="G1747" i="2"/>
  <c r="H1747" i="2"/>
  <c r="I1747" i="2"/>
  <c r="J1747" i="2"/>
  <c r="K1747" i="2"/>
  <c r="L1747" i="2"/>
  <c r="M1747" i="2"/>
  <c r="N1747" i="2"/>
  <c r="O1747" i="2"/>
  <c r="P1747" i="2"/>
  <c r="Q1747" i="2"/>
  <c r="R1747" i="2"/>
  <c r="S1747" i="2"/>
  <c r="T1747" i="2"/>
  <c r="U1747" i="2"/>
  <c r="V1747" i="2"/>
  <c r="W1747" i="2"/>
  <c r="X1747" i="2"/>
  <c r="Y1747" i="2"/>
  <c r="A1748" i="2"/>
  <c r="B1748" i="2"/>
  <c r="C1748" i="2"/>
  <c r="D1748" i="2"/>
  <c r="E1748" i="2"/>
  <c r="F1748" i="2"/>
  <c r="G1748" i="2"/>
  <c r="H1748" i="2"/>
  <c r="I1748" i="2"/>
  <c r="J1748" i="2"/>
  <c r="K1748" i="2"/>
  <c r="L1748" i="2"/>
  <c r="M1748" i="2"/>
  <c r="N1748" i="2"/>
  <c r="O1748" i="2"/>
  <c r="P1748" i="2"/>
  <c r="Q1748" i="2"/>
  <c r="R1748" i="2"/>
  <c r="S1748" i="2"/>
  <c r="T1748" i="2"/>
  <c r="U1748" i="2"/>
  <c r="V1748" i="2"/>
  <c r="W1748" i="2"/>
  <c r="X1748" i="2"/>
  <c r="Y1748" i="2"/>
  <c r="A1749" i="2"/>
  <c r="B1749" i="2"/>
  <c r="C1749" i="2"/>
  <c r="D1749" i="2"/>
  <c r="E1749" i="2"/>
  <c r="F1749" i="2"/>
  <c r="G1749" i="2"/>
  <c r="H1749" i="2"/>
  <c r="I1749" i="2"/>
  <c r="J1749" i="2"/>
  <c r="K1749" i="2"/>
  <c r="L1749" i="2"/>
  <c r="M1749" i="2"/>
  <c r="N1749" i="2"/>
  <c r="O1749" i="2"/>
  <c r="P1749" i="2"/>
  <c r="Q1749" i="2"/>
  <c r="R1749" i="2"/>
  <c r="S1749" i="2"/>
  <c r="T1749" i="2"/>
  <c r="U1749" i="2"/>
  <c r="V1749" i="2"/>
  <c r="W1749" i="2"/>
  <c r="X1749" i="2"/>
  <c r="Y1749" i="2"/>
  <c r="A1750" i="2"/>
  <c r="B1750" i="2"/>
  <c r="C1750" i="2"/>
  <c r="D1750" i="2"/>
  <c r="E1750" i="2"/>
  <c r="F1750" i="2"/>
  <c r="G1750" i="2"/>
  <c r="H1750" i="2"/>
  <c r="I1750" i="2"/>
  <c r="J1750" i="2"/>
  <c r="K1750" i="2"/>
  <c r="L1750" i="2"/>
  <c r="M1750" i="2"/>
  <c r="N1750" i="2"/>
  <c r="O1750" i="2"/>
  <c r="P1750" i="2"/>
  <c r="Q1750" i="2"/>
  <c r="R1750" i="2"/>
  <c r="S1750" i="2"/>
  <c r="T1750" i="2"/>
  <c r="U1750" i="2"/>
  <c r="V1750" i="2"/>
  <c r="W1750" i="2"/>
  <c r="X1750" i="2"/>
  <c r="Y1750" i="2"/>
  <c r="A1751" i="2"/>
  <c r="B1751" i="2"/>
  <c r="C1751" i="2"/>
  <c r="D1751" i="2"/>
  <c r="E1751" i="2"/>
  <c r="F1751" i="2"/>
  <c r="G1751" i="2"/>
  <c r="H1751" i="2"/>
  <c r="I1751" i="2"/>
  <c r="J1751" i="2"/>
  <c r="K1751" i="2"/>
  <c r="L1751" i="2"/>
  <c r="M1751" i="2"/>
  <c r="N1751" i="2"/>
  <c r="O1751" i="2"/>
  <c r="P1751" i="2"/>
  <c r="Q1751" i="2"/>
  <c r="R1751" i="2"/>
  <c r="S1751" i="2"/>
  <c r="T1751" i="2"/>
  <c r="U1751" i="2"/>
  <c r="V1751" i="2"/>
  <c r="W1751" i="2"/>
  <c r="X1751" i="2"/>
  <c r="Y1751" i="2"/>
  <c r="B1752" i="2"/>
  <c r="C1752" i="2"/>
  <c r="D1752" i="2"/>
  <c r="E1752" i="2"/>
  <c r="F1752" i="2"/>
  <c r="G1752" i="2"/>
  <c r="H1752" i="2"/>
  <c r="I1752" i="2"/>
  <c r="J1752" i="2"/>
  <c r="K1752" i="2"/>
  <c r="L1752" i="2"/>
  <c r="M1752" i="2"/>
  <c r="N1752" i="2"/>
  <c r="O1752" i="2"/>
  <c r="P1752" i="2"/>
  <c r="Q1752" i="2"/>
  <c r="R1752" i="2"/>
  <c r="S1752" i="2"/>
  <c r="T1752" i="2"/>
  <c r="U1752" i="2"/>
  <c r="V1752" i="2"/>
  <c r="W1752" i="2"/>
  <c r="X1752" i="2"/>
  <c r="Y1752" i="2"/>
  <c r="A1753" i="2"/>
  <c r="B1753" i="2"/>
  <c r="C1753" i="2"/>
  <c r="D1753" i="2"/>
  <c r="E1753" i="2"/>
  <c r="F1753" i="2"/>
  <c r="G1753" i="2"/>
  <c r="H1753" i="2"/>
  <c r="I1753" i="2"/>
  <c r="J1753" i="2"/>
  <c r="K1753" i="2"/>
  <c r="L1753" i="2"/>
  <c r="M1753" i="2"/>
  <c r="N1753" i="2"/>
  <c r="O1753" i="2"/>
  <c r="P1753" i="2"/>
  <c r="Q1753" i="2"/>
  <c r="R1753" i="2"/>
  <c r="S1753" i="2"/>
  <c r="T1753" i="2"/>
  <c r="U1753" i="2"/>
  <c r="V1753" i="2"/>
  <c r="W1753" i="2"/>
  <c r="X1753" i="2"/>
  <c r="Y1753" i="2"/>
  <c r="A1754" i="2"/>
  <c r="B1754" i="2"/>
  <c r="C1754" i="2"/>
  <c r="D1754" i="2"/>
  <c r="E1754" i="2"/>
  <c r="F1754" i="2"/>
  <c r="G1754" i="2"/>
  <c r="H1754" i="2"/>
  <c r="I1754" i="2"/>
  <c r="J1754" i="2"/>
  <c r="K1754" i="2"/>
  <c r="L1754" i="2"/>
  <c r="M1754" i="2"/>
  <c r="N1754" i="2"/>
  <c r="O1754" i="2"/>
  <c r="P1754" i="2"/>
  <c r="Q1754" i="2"/>
  <c r="R1754" i="2"/>
  <c r="S1754" i="2"/>
  <c r="T1754" i="2"/>
  <c r="U1754" i="2"/>
  <c r="V1754" i="2"/>
  <c r="W1754" i="2"/>
  <c r="X1754" i="2"/>
  <c r="Y1754" i="2"/>
  <c r="A1755" i="2"/>
  <c r="B1755" i="2"/>
  <c r="C1755" i="2"/>
  <c r="D1755" i="2"/>
  <c r="E1755" i="2"/>
  <c r="F1755" i="2"/>
  <c r="G1755" i="2"/>
  <c r="H1755" i="2"/>
  <c r="I1755" i="2"/>
  <c r="J1755" i="2"/>
  <c r="K1755" i="2"/>
  <c r="L1755" i="2"/>
  <c r="M1755" i="2"/>
  <c r="N1755" i="2"/>
  <c r="O1755" i="2"/>
  <c r="P1755" i="2"/>
  <c r="Q1755" i="2"/>
  <c r="R1755" i="2"/>
  <c r="S1755" i="2"/>
  <c r="T1755" i="2"/>
  <c r="U1755" i="2"/>
  <c r="V1755" i="2"/>
  <c r="W1755" i="2"/>
  <c r="X1755" i="2"/>
  <c r="Y1755" i="2"/>
  <c r="A1756" i="2"/>
  <c r="B1756" i="2"/>
  <c r="C1756" i="2"/>
  <c r="D1756" i="2"/>
  <c r="E1756" i="2"/>
  <c r="F1756" i="2"/>
  <c r="G1756" i="2"/>
  <c r="H1756" i="2"/>
  <c r="I1756" i="2"/>
  <c r="J1756" i="2"/>
  <c r="K1756" i="2"/>
  <c r="L1756" i="2"/>
  <c r="M1756" i="2"/>
  <c r="N1756" i="2"/>
  <c r="O1756" i="2"/>
  <c r="P1756" i="2"/>
  <c r="Q1756" i="2"/>
  <c r="R1756" i="2"/>
  <c r="S1756" i="2"/>
  <c r="T1756" i="2"/>
  <c r="U1756" i="2"/>
  <c r="V1756" i="2"/>
  <c r="W1756" i="2"/>
  <c r="X1756" i="2"/>
  <c r="Y1756" i="2"/>
  <c r="A1757" i="2"/>
  <c r="B1757" i="2"/>
  <c r="C1757" i="2"/>
  <c r="D1757" i="2"/>
  <c r="E1757" i="2"/>
  <c r="F1757" i="2"/>
  <c r="G1757" i="2"/>
  <c r="H1757" i="2"/>
  <c r="I1757" i="2"/>
  <c r="J1757" i="2"/>
  <c r="K1757" i="2"/>
  <c r="L1757" i="2"/>
  <c r="M1757" i="2"/>
  <c r="N1757" i="2"/>
  <c r="O1757" i="2"/>
  <c r="P1757" i="2"/>
  <c r="Q1757" i="2"/>
  <c r="R1757" i="2"/>
  <c r="S1757" i="2"/>
  <c r="T1757" i="2"/>
  <c r="U1757" i="2"/>
  <c r="V1757" i="2"/>
  <c r="W1757" i="2"/>
  <c r="X1757" i="2"/>
  <c r="Y1757" i="2"/>
  <c r="A1758" i="2"/>
  <c r="B1758" i="2"/>
  <c r="C1758" i="2"/>
  <c r="D1758" i="2"/>
  <c r="E1758" i="2"/>
  <c r="F1758" i="2"/>
  <c r="G1758" i="2"/>
  <c r="H1758" i="2"/>
  <c r="I1758" i="2"/>
  <c r="J1758" i="2"/>
  <c r="K1758" i="2"/>
  <c r="L1758" i="2"/>
  <c r="M1758" i="2"/>
  <c r="N1758" i="2"/>
  <c r="O1758" i="2"/>
  <c r="P1758" i="2"/>
  <c r="Q1758" i="2"/>
  <c r="R1758" i="2"/>
  <c r="S1758" i="2"/>
  <c r="T1758" i="2"/>
  <c r="U1758" i="2"/>
  <c r="V1758" i="2"/>
  <c r="W1758" i="2"/>
  <c r="X1758" i="2"/>
  <c r="Y1758" i="2"/>
  <c r="A1759" i="2"/>
  <c r="B1759" i="2"/>
  <c r="C1759" i="2"/>
  <c r="D1759" i="2"/>
  <c r="E1759" i="2"/>
  <c r="F1759" i="2"/>
  <c r="G1759" i="2"/>
  <c r="H1759" i="2"/>
  <c r="I1759" i="2"/>
  <c r="J1759" i="2"/>
  <c r="K1759" i="2"/>
  <c r="L1759" i="2"/>
  <c r="M1759" i="2"/>
  <c r="N1759" i="2"/>
  <c r="O1759" i="2"/>
  <c r="P1759" i="2"/>
  <c r="Q1759" i="2"/>
  <c r="R1759" i="2"/>
  <c r="S1759" i="2"/>
  <c r="T1759" i="2"/>
  <c r="U1759" i="2"/>
  <c r="V1759" i="2"/>
  <c r="W1759" i="2"/>
  <c r="X1759" i="2"/>
  <c r="Y1759" i="2"/>
  <c r="A1760" i="2"/>
  <c r="B1760" i="2"/>
  <c r="C1760" i="2"/>
  <c r="D1760" i="2"/>
  <c r="E1760" i="2"/>
  <c r="F1760" i="2"/>
  <c r="G1760" i="2"/>
  <c r="H1760" i="2"/>
  <c r="I1760" i="2"/>
  <c r="J1760" i="2"/>
  <c r="K1760" i="2"/>
  <c r="L1760" i="2"/>
  <c r="M1760" i="2"/>
  <c r="N1760" i="2"/>
  <c r="O1760" i="2"/>
  <c r="P1760" i="2"/>
  <c r="Q1760" i="2"/>
  <c r="R1760" i="2"/>
  <c r="S1760" i="2"/>
  <c r="T1760" i="2"/>
  <c r="U1760" i="2"/>
  <c r="V1760" i="2"/>
  <c r="W1760" i="2"/>
  <c r="X1760" i="2"/>
  <c r="Y1760" i="2"/>
  <c r="A1761" i="2"/>
  <c r="B1761" i="2"/>
  <c r="C1761" i="2"/>
  <c r="D1761" i="2"/>
  <c r="E1761" i="2"/>
  <c r="F1761" i="2"/>
  <c r="G1761" i="2"/>
  <c r="H1761" i="2"/>
  <c r="I1761" i="2"/>
  <c r="J1761" i="2"/>
  <c r="K1761" i="2"/>
  <c r="L1761" i="2"/>
  <c r="M1761" i="2"/>
  <c r="N1761" i="2"/>
  <c r="O1761" i="2"/>
  <c r="P1761" i="2"/>
  <c r="Q1761" i="2"/>
  <c r="R1761" i="2"/>
  <c r="S1761" i="2"/>
  <c r="T1761" i="2"/>
  <c r="U1761" i="2"/>
  <c r="V1761" i="2"/>
  <c r="W1761" i="2"/>
  <c r="X1761" i="2"/>
  <c r="Y1761" i="2"/>
  <c r="A1762" i="2"/>
  <c r="B1762" i="2"/>
  <c r="C1762" i="2"/>
  <c r="D1762" i="2"/>
  <c r="E1762" i="2"/>
  <c r="F1762" i="2"/>
  <c r="G1762" i="2"/>
  <c r="H1762" i="2"/>
  <c r="I1762" i="2"/>
  <c r="J1762" i="2"/>
  <c r="K1762" i="2"/>
  <c r="L1762" i="2"/>
  <c r="M1762" i="2"/>
  <c r="N1762" i="2"/>
  <c r="O1762" i="2"/>
  <c r="P1762" i="2"/>
  <c r="Q1762" i="2"/>
  <c r="R1762" i="2"/>
  <c r="S1762" i="2"/>
  <c r="T1762" i="2"/>
  <c r="U1762" i="2"/>
  <c r="V1762" i="2"/>
  <c r="W1762" i="2"/>
  <c r="X1762" i="2"/>
  <c r="Y1762" i="2"/>
  <c r="A1763" i="2"/>
  <c r="B1763" i="2"/>
  <c r="C1763" i="2"/>
  <c r="D1763" i="2"/>
  <c r="E1763" i="2"/>
  <c r="F1763" i="2"/>
  <c r="G1763" i="2"/>
  <c r="H1763" i="2"/>
  <c r="I1763" i="2"/>
  <c r="J1763" i="2"/>
  <c r="K1763" i="2"/>
  <c r="L1763" i="2"/>
  <c r="M1763" i="2"/>
  <c r="N1763" i="2"/>
  <c r="O1763" i="2"/>
  <c r="P1763" i="2"/>
  <c r="Q1763" i="2"/>
  <c r="R1763" i="2"/>
  <c r="S1763" i="2"/>
  <c r="T1763" i="2"/>
  <c r="U1763" i="2"/>
  <c r="V1763" i="2"/>
  <c r="W1763" i="2"/>
  <c r="X1763" i="2"/>
  <c r="Y1763" i="2"/>
  <c r="A1764" i="2"/>
  <c r="B1764" i="2"/>
  <c r="C1764" i="2"/>
  <c r="D1764" i="2"/>
  <c r="E1764" i="2"/>
  <c r="F1764" i="2"/>
  <c r="G1764" i="2"/>
  <c r="H1764" i="2"/>
  <c r="I1764" i="2"/>
  <c r="J1764" i="2"/>
  <c r="K1764" i="2"/>
  <c r="L1764" i="2"/>
  <c r="M1764" i="2"/>
  <c r="N1764" i="2"/>
  <c r="O1764" i="2"/>
  <c r="P1764" i="2"/>
  <c r="Q1764" i="2"/>
  <c r="R1764" i="2"/>
  <c r="S1764" i="2"/>
  <c r="T1764" i="2"/>
  <c r="U1764" i="2"/>
  <c r="V1764" i="2"/>
  <c r="W1764" i="2"/>
  <c r="X1764" i="2"/>
  <c r="Y1764" i="2"/>
  <c r="A1765" i="2"/>
  <c r="B1765" i="2"/>
  <c r="C1765" i="2"/>
  <c r="D1765" i="2"/>
  <c r="E1765" i="2"/>
  <c r="F1765" i="2"/>
  <c r="G1765" i="2"/>
  <c r="H1765" i="2"/>
  <c r="I1765" i="2"/>
  <c r="J1765" i="2"/>
  <c r="K1765" i="2"/>
  <c r="L1765" i="2"/>
  <c r="M1765" i="2"/>
  <c r="N1765" i="2"/>
  <c r="O1765" i="2"/>
  <c r="P1765" i="2"/>
  <c r="Q1765" i="2"/>
  <c r="R1765" i="2"/>
  <c r="S1765" i="2"/>
  <c r="T1765" i="2"/>
  <c r="U1765" i="2"/>
  <c r="V1765" i="2"/>
  <c r="W1765" i="2"/>
  <c r="X1765" i="2"/>
  <c r="Y1765" i="2"/>
  <c r="A1766" i="2"/>
  <c r="B1766" i="2"/>
  <c r="C1766" i="2"/>
  <c r="D1766" i="2"/>
  <c r="E1766" i="2"/>
  <c r="F1766" i="2"/>
  <c r="G1766" i="2"/>
  <c r="H1766" i="2"/>
  <c r="I1766" i="2"/>
  <c r="J1766" i="2"/>
  <c r="K1766" i="2"/>
  <c r="L1766" i="2"/>
  <c r="M1766" i="2"/>
  <c r="N1766" i="2"/>
  <c r="O1766" i="2"/>
  <c r="P1766" i="2"/>
  <c r="Q1766" i="2"/>
  <c r="R1766" i="2"/>
  <c r="S1766" i="2"/>
  <c r="T1766" i="2"/>
  <c r="U1766" i="2"/>
  <c r="V1766" i="2"/>
  <c r="W1766" i="2"/>
  <c r="X1766" i="2"/>
  <c r="Y1766" i="2"/>
  <c r="A1767" i="2"/>
  <c r="B1767" i="2"/>
  <c r="C1767" i="2"/>
  <c r="D1767" i="2"/>
  <c r="E1767" i="2"/>
  <c r="F1767" i="2"/>
  <c r="G1767" i="2"/>
  <c r="H1767" i="2"/>
  <c r="I1767" i="2"/>
  <c r="J1767" i="2"/>
  <c r="K1767" i="2"/>
  <c r="L1767" i="2"/>
  <c r="M1767" i="2"/>
  <c r="N1767" i="2"/>
  <c r="O1767" i="2"/>
  <c r="P1767" i="2"/>
  <c r="Q1767" i="2"/>
  <c r="R1767" i="2"/>
  <c r="S1767" i="2"/>
  <c r="T1767" i="2"/>
  <c r="U1767" i="2"/>
  <c r="V1767" i="2"/>
  <c r="W1767" i="2"/>
  <c r="X1767" i="2"/>
  <c r="Y1767" i="2"/>
  <c r="B1768" i="2"/>
  <c r="C1768" i="2"/>
  <c r="D1768" i="2"/>
  <c r="E1768" i="2"/>
  <c r="F1768" i="2"/>
  <c r="G1768" i="2"/>
  <c r="H1768" i="2"/>
  <c r="I1768" i="2"/>
  <c r="J1768" i="2"/>
  <c r="K1768" i="2"/>
  <c r="L1768" i="2"/>
  <c r="M1768" i="2"/>
  <c r="N1768" i="2"/>
  <c r="O1768" i="2"/>
  <c r="P1768" i="2"/>
  <c r="Q1768" i="2"/>
  <c r="R1768" i="2"/>
  <c r="S1768" i="2"/>
  <c r="T1768" i="2"/>
  <c r="U1768" i="2"/>
  <c r="V1768" i="2"/>
  <c r="W1768" i="2"/>
  <c r="X1768" i="2"/>
  <c r="Y1768" i="2"/>
  <c r="A1769" i="2"/>
  <c r="B1769" i="2"/>
  <c r="C1769" i="2"/>
  <c r="D1769" i="2"/>
  <c r="E1769" i="2"/>
  <c r="F1769" i="2"/>
  <c r="G1769" i="2"/>
  <c r="H1769" i="2"/>
  <c r="I1769" i="2"/>
  <c r="J1769" i="2"/>
  <c r="K1769" i="2"/>
  <c r="L1769" i="2"/>
  <c r="M1769" i="2"/>
  <c r="N1769" i="2"/>
  <c r="O1769" i="2"/>
  <c r="P1769" i="2"/>
  <c r="Q1769" i="2"/>
  <c r="R1769" i="2"/>
  <c r="S1769" i="2"/>
  <c r="T1769" i="2"/>
  <c r="U1769" i="2"/>
  <c r="V1769" i="2"/>
  <c r="W1769" i="2"/>
  <c r="X1769" i="2"/>
  <c r="Y1769" i="2"/>
  <c r="A1770" i="2"/>
  <c r="B1770" i="2"/>
  <c r="C1770" i="2"/>
  <c r="D1770" i="2"/>
  <c r="E1770" i="2"/>
  <c r="F1770" i="2"/>
  <c r="G1770" i="2"/>
  <c r="H1770" i="2"/>
  <c r="I1770" i="2"/>
  <c r="J1770" i="2"/>
  <c r="K1770" i="2"/>
  <c r="L1770" i="2"/>
  <c r="M1770" i="2"/>
  <c r="N1770" i="2"/>
  <c r="O1770" i="2"/>
  <c r="P1770" i="2"/>
  <c r="Q1770" i="2"/>
  <c r="R1770" i="2"/>
  <c r="S1770" i="2"/>
  <c r="T1770" i="2"/>
  <c r="U1770" i="2"/>
  <c r="V1770" i="2"/>
  <c r="W1770" i="2"/>
  <c r="X1770" i="2"/>
  <c r="Y1770" i="2"/>
  <c r="A1771" i="2"/>
  <c r="B1771" i="2"/>
  <c r="C1771" i="2"/>
  <c r="D1771" i="2"/>
  <c r="E1771" i="2"/>
  <c r="F1771" i="2"/>
  <c r="G1771" i="2"/>
  <c r="H1771" i="2"/>
  <c r="I1771" i="2"/>
  <c r="J1771" i="2"/>
  <c r="K1771" i="2"/>
  <c r="L1771" i="2"/>
  <c r="M1771" i="2"/>
  <c r="N1771" i="2"/>
  <c r="O1771" i="2"/>
  <c r="P1771" i="2"/>
  <c r="Q1771" i="2"/>
  <c r="R1771" i="2"/>
  <c r="S1771" i="2"/>
  <c r="T1771" i="2"/>
  <c r="U1771" i="2"/>
  <c r="V1771" i="2"/>
  <c r="W1771" i="2"/>
  <c r="X1771" i="2"/>
  <c r="Y1771" i="2"/>
  <c r="A1772" i="2"/>
  <c r="B1772" i="2"/>
  <c r="C1772" i="2"/>
  <c r="D1772" i="2"/>
  <c r="E1772" i="2"/>
  <c r="F1772" i="2"/>
  <c r="G1772" i="2"/>
  <c r="H1772" i="2"/>
  <c r="I1772" i="2"/>
  <c r="J1772" i="2"/>
  <c r="K1772" i="2"/>
  <c r="L1772" i="2"/>
  <c r="M1772" i="2"/>
  <c r="N1772" i="2"/>
  <c r="O1772" i="2"/>
  <c r="P1772" i="2"/>
  <c r="Q1772" i="2"/>
  <c r="R1772" i="2"/>
  <c r="S1772" i="2"/>
  <c r="T1772" i="2"/>
  <c r="U1772" i="2"/>
  <c r="V1772" i="2"/>
  <c r="W1772" i="2"/>
  <c r="X1772" i="2"/>
  <c r="Y1772" i="2"/>
  <c r="A1773" i="2"/>
  <c r="B1773" i="2"/>
  <c r="C1773" i="2"/>
  <c r="D1773" i="2"/>
  <c r="E1773" i="2"/>
  <c r="F1773" i="2"/>
  <c r="G1773" i="2"/>
  <c r="H1773" i="2"/>
  <c r="I1773" i="2"/>
  <c r="J1773" i="2"/>
  <c r="K1773" i="2"/>
  <c r="L1773" i="2"/>
  <c r="M1773" i="2"/>
  <c r="N1773" i="2"/>
  <c r="O1773" i="2"/>
  <c r="P1773" i="2"/>
  <c r="Q1773" i="2"/>
  <c r="R1773" i="2"/>
  <c r="S1773" i="2"/>
  <c r="T1773" i="2"/>
  <c r="U1773" i="2"/>
  <c r="V1773" i="2"/>
  <c r="W1773" i="2"/>
  <c r="X1773" i="2"/>
  <c r="Y1773" i="2"/>
  <c r="A1774" i="2"/>
  <c r="B1774" i="2"/>
  <c r="C1774" i="2"/>
  <c r="D1774" i="2"/>
  <c r="E1774" i="2"/>
  <c r="F1774" i="2"/>
  <c r="G1774" i="2"/>
  <c r="H1774" i="2"/>
  <c r="I1774" i="2"/>
  <c r="J1774" i="2"/>
  <c r="K1774" i="2"/>
  <c r="L1774" i="2"/>
  <c r="M1774" i="2"/>
  <c r="N1774" i="2"/>
  <c r="O1774" i="2"/>
  <c r="P1774" i="2"/>
  <c r="Q1774" i="2"/>
  <c r="R1774" i="2"/>
  <c r="S1774" i="2"/>
  <c r="T1774" i="2"/>
  <c r="U1774" i="2"/>
  <c r="V1774" i="2"/>
  <c r="W1774" i="2"/>
  <c r="X1774" i="2"/>
  <c r="Y1774" i="2"/>
  <c r="A1775" i="2"/>
  <c r="B1775" i="2"/>
  <c r="C1775" i="2"/>
  <c r="D1775" i="2"/>
  <c r="E1775" i="2"/>
  <c r="F1775" i="2"/>
  <c r="G1775" i="2"/>
  <c r="H1775" i="2"/>
  <c r="I1775" i="2"/>
  <c r="J1775" i="2"/>
  <c r="K1775" i="2"/>
  <c r="L1775" i="2"/>
  <c r="M1775" i="2"/>
  <c r="N1775" i="2"/>
  <c r="O1775" i="2"/>
  <c r="P1775" i="2"/>
  <c r="Q1775" i="2"/>
  <c r="R1775" i="2"/>
  <c r="S1775" i="2"/>
  <c r="T1775" i="2"/>
  <c r="U1775" i="2"/>
  <c r="V1775" i="2"/>
  <c r="W1775" i="2"/>
  <c r="X1775" i="2"/>
  <c r="Y1775" i="2"/>
  <c r="A1776" i="2"/>
  <c r="B1776" i="2"/>
  <c r="C1776" i="2"/>
  <c r="D1776" i="2"/>
  <c r="E1776" i="2"/>
  <c r="F1776" i="2"/>
  <c r="G1776" i="2"/>
  <c r="H1776" i="2"/>
  <c r="I1776" i="2"/>
  <c r="J1776" i="2"/>
  <c r="K1776" i="2"/>
  <c r="L1776" i="2"/>
  <c r="M1776" i="2"/>
  <c r="N1776" i="2"/>
  <c r="O1776" i="2"/>
  <c r="P1776" i="2"/>
  <c r="Q1776" i="2"/>
  <c r="R1776" i="2"/>
  <c r="S1776" i="2"/>
  <c r="T1776" i="2"/>
  <c r="U1776" i="2"/>
  <c r="V1776" i="2"/>
  <c r="W1776" i="2"/>
  <c r="X1776" i="2"/>
  <c r="Y1776" i="2"/>
  <c r="A1777" i="2"/>
  <c r="B1777" i="2"/>
  <c r="C1777" i="2"/>
  <c r="D1777" i="2"/>
  <c r="E1777" i="2"/>
  <c r="F1777" i="2"/>
  <c r="G1777" i="2"/>
  <c r="H1777" i="2"/>
  <c r="I1777" i="2"/>
  <c r="J1777" i="2"/>
  <c r="K1777" i="2"/>
  <c r="L1777" i="2"/>
  <c r="M1777" i="2"/>
  <c r="N1777" i="2"/>
  <c r="O1777" i="2"/>
  <c r="P1777" i="2"/>
  <c r="Q1777" i="2"/>
  <c r="R1777" i="2"/>
  <c r="S1777" i="2"/>
  <c r="T1777" i="2"/>
  <c r="U1777" i="2"/>
  <c r="V1777" i="2"/>
  <c r="W1777" i="2"/>
  <c r="X1777" i="2"/>
  <c r="Y1777" i="2"/>
  <c r="A1778" i="2"/>
  <c r="B1778" i="2"/>
  <c r="C1778" i="2"/>
  <c r="D1778" i="2"/>
  <c r="E1778" i="2"/>
  <c r="F1778" i="2"/>
  <c r="G1778" i="2"/>
  <c r="H1778" i="2"/>
  <c r="I1778" i="2"/>
  <c r="J1778" i="2"/>
  <c r="K1778" i="2"/>
  <c r="L1778" i="2"/>
  <c r="M1778" i="2"/>
  <c r="N1778" i="2"/>
  <c r="O1778" i="2"/>
  <c r="P1778" i="2"/>
  <c r="Q1778" i="2"/>
  <c r="R1778" i="2"/>
  <c r="S1778" i="2"/>
  <c r="T1778" i="2"/>
  <c r="U1778" i="2"/>
  <c r="V1778" i="2"/>
  <c r="W1778" i="2"/>
  <c r="X1778" i="2"/>
  <c r="Y1778" i="2"/>
  <c r="A1779" i="2"/>
  <c r="B1779" i="2"/>
  <c r="C1779" i="2"/>
  <c r="D1779" i="2"/>
  <c r="E1779" i="2"/>
  <c r="F1779" i="2"/>
  <c r="G1779" i="2"/>
  <c r="H1779" i="2"/>
  <c r="I1779" i="2"/>
  <c r="J1779" i="2"/>
  <c r="K1779" i="2"/>
  <c r="L1779" i="2"/>
  <c r="M1779" i="2"/>
  <c r="N1779" i="2"/>
  <c r="O1779" i="2"/>
  <c r="P1779" i="2"/>
  <c r="Q1779" i="2"/>
  <c r="R1779" i="2"/>
  <c r="S1779" i="2"/>
  <c r="T1779" i="2"/>
  <c r="U1779" i="2"/>
  <c r="V1779" i="2"/>
  <c r="W1779" i="2"/>
  <c r="X1779" i="2"/>
  <c r="Y1779" i="2"/>
  <c r="A1780" i="2"/>
  <c r="B1780" i="2"/>
  <c r="C1780" i="2"/>
  <c r="D1780" i="2"/>
  <c r="E1780" i="2"/>
  <c r="F1780" i="2"/>
  <c r="G1780" i="2"/>
  <c r="H1780" i="2"/>
  <c r="I1780" i="2"/>
  <c r="J1780" i="2"/>
  <c r="K1780" i="2"/>
  <c r="L1780" i="2"/>
  <c r="M1780" i="2"/>
  <c r="N1780" i="2"/>
  <c r="O1780" i="2"/>
  <c r="P1780" i="2"/>
  <c r="Q1780" i="2"/>
  <c r="R1780" i="2"/>
  <c r="S1780" i="2"/>
  <c r="T1780" i="2"/>
  <c r="U1780" i="2"/>
  <c r="V1780" i="2"/>
  <c r="W1780" i="2"/>
  <c r="X1780" i="2"/>
  <c r="Y1780" i="2"/>
  <c r="A1781" i="2"/>
  <c r="B1781" i="2"/>
  <c r="C1781" i="2"/>
  <c r="D1781" i="2"/>
  <c r="E1781" i="2"/>
  <c r="F1781" i="2"/>
  <c r="G1781" i="2"/>
  <c r="H1781" i="2"/>
  <c r="I1781" i="2"/>
  <c r="J1781" i="2"/>
  <c r="K1781" i="2"/>
  <c r="L1781" i="2"/>
  <c r="M1781" i="2"/>
  <c r="N1781" i="2"/>
  <c r="O1781" i="2"/>
  <c r="P1781" i="2"/>
  <c r="Q1781" i="2"/>
  <c r="R1781" i="2"/>
  <c r="S1781" i="2"/>
  <c r="T1781" i="2"/>
  <c r="U1781" i="2"/>
  <c r="V1781" i="2"/>
  <c r="W1781" i="2"/>
  <c r="X1781" i="2"/>
  <c r="Y1781" i="2"/>
  <c r="A1782" i="2"/>
  <c r="B1782" i="2"/>
  <c r="C1782" i="2"/>
  <c r="D1782" i="2"/>
  <c r="E1782" i="2"/>
  <c r="F1782" i="2"/>
  <c r="G1782" i="2"/>
  <c r="H1782" i="2"/>
  <c r="I1782" i="2"/>
  <c r="J1782" i="2"/>
  <c r="K1782" i="2"/>
  <c r="L1782" i="2"/>
  <c r="M1782" i="2"/>
  <c r="N1782" i="2"/>
  <c r="O1782" i="2"/>
  <c r="P1782" i="2"/>
  <c r="Q1782" i="2"/>
  <c r="R1782" i="2"/>
  <c r="S1782" i="2"/>
  <c r="T1782" i="2"/>
  <c r="U1782" i="2"/>
  <c r="V1782" i="2"/>
  <c r="W1782" i="2"/>
  <c r="X1782" i="2"/>
  <c r="Y1782" i="2"/>
  <c r="A1783" i="2"/>
  <c r="B1783" i="2"/>
  <c r="C1783" i="2"/>
  <c r="D1783" i="2"/>
  <c r="E1783" i="2"/>
  <c r="F1783" i="2"/>
  <c r="G1783" i="2"/>
  <c r="H1783" i="2"/>
  <c r="I1783" i="2"/>
  <c r="J1783" i="2"/>
  <c r="K1783" i="2"/>
  <c r="L1783" i="2"/>
  <c r="M1783" i="2"/>
  <c r="N1783" i="2"/>
  <c r="O1783" i="2"/>
  <c r="P1783" i="2"/>
  <c r="Q1783" i="2"/>
  <c r="R1783" i="2"/>
  <c r="S1783" i="2"/>
  <c r="T1783" i="2"/>
  <c r="U1783" i="2"/>
  <c r="V1783" i="2"/>
  <c r="W1783" i="2"/>
  <c r="X1783" i="2"/>
  <c r="Y1783" i="2"/>
  <c r="B1784" i="2"/>
  <c r="C1784" i="2"/>
  <c r="D1784" i="2"/>
  <c r="E1784" i="2"/>
  <c r="F1784" i="2"/>
  <c r="G1784" i="2"/>
  <c r="H1784" i="2"/>
  <c r="I1784" i="2"/>
  <c r="J1784" i="2"/>
  <c r="K1784" i="2"/>
  <c r="L1784" i="2"/>
  <c r="M1784" i="2"/>
  <c r="N1784" i="2"/>
  <c r="O1784" i="2"/>
  <c r="P1784" i="2"/>
  <c r="Q1784" i="2"/>
  <c r="R1784" i="2"/>
  <c r="S1784" i="2"/>
  <c r="T1784" i="2"/>
  <c r="U1784" i="2"/>
  <c r="V1784" i="2"/>
  <c r="W1784" i="2"/>
  <c r="X1784" i="2"/>
  <c r="Y1784" i="2"/>
  <c r="A1785" i="2"/>
  <c r="B1785" i="2"/>
  <c r="C1785" i="2"/>
  <c r="D1785" i="2"/>
  <c r="E1785" i="2"/>
  <c r="F1785" i="2"/>
  <c r="G1785" i="2"/>
  <c r="H1785" i="2"/>
  <c r="I1785" i="2"/>
  <c r="J1785" i="2"/>
  <c r="K1785" i="2"/>
  <c r="L1785" i="2"/>
  <c r="M1785" i="2"/>
  <c r="N1785" i="2"/>
  <c r="O1785" i="2"/>
  <c r="P1785" i="2"/>
  <c r="Q1785" i="2"/>
  <c r="R1785" i="2"/>
  <c r="S1785" i="2"/>
  <c r="T1785" i="2"/>
  <c r="U1785" i="2"/>
  <c r="V1785" i="2"/>
  <c r="W1785" i="2"/>
  <c r="X1785" i="2"/>
  <c r="Y1785" i="2"/>
  <c r="A1786" i="2"/>
  <c r="B1786" i="2"/>
  <c r="C1786" i="2"/>
  <c r="D1786" i="2"/>
  <c r="E1786" i="2"/>
  <c r="F1786" i="2"/>
  <c r="G1786" i="2"/>
  <c r="H1786" i="2"/>
  <c r="I1786" i="2"/>
  <c r="J1786" i="2"/>
  <c r="K1786" i="2"/>
  <c r="L1786" i="2"/>
  <c r="M1786" i="2"/>
  <c r="N1786" i="2"/>
  <c r="O1786" i="2"/>
  <c r="P1786" i="2"/>
  <c r="Q1786" i="2"/>
  <c r="R1786" i="2"/>
  <c r="S1786" i="2"/>
  <c r="T1786" i="2"/>
  <c r="U1786" i="2"/>
  <c r="V1786" i="2"/>
  <c r="W1786" i="2"/>
  <c r="X1786" i="2"/>
  <c r="Y1786" i="2"/>
  <c r="A1787" i="2"/>
  <c r="B1787" i="2"/>
  <c r="C1787" i="2"/>
  <c r="D1787" i="2"/>
  <c r="E1787" i="2"/>
  <c r="F1787" i="2"/>
  <c r="G1787" i="2"/>
  <c r="H1787" i="2"/>
  <c r="I1787" i="2"/>
  <c r="J1787" i="2"/>
  <c r="K1787" i="2"/>
  <c r="L1787" i="2"/>
  <c r="M1787" i="2"/>
  <c r="N1787" i="2"/>
  <c r="O1787" i="2"/>
  <c r="P1787" i="2"/>
  <c r="Q1787" i="2"/>
  <c r="R1787" i="2"/>
  <c r="S1787" i="2"/>
  <c r="T1787" i="2"/>
  <c r="U1787" i="2"/>
  <c r="V1787" i="2"/>
  <c r="W1787" i="2"/>
  <c r="X1787" i="2"/>
  <c r="Y1787" i="2"/>
  <c r="A1788" i="2"/>
  <c r="B1788" i="2"/>
  <c r="C1788" i="2"/>
  <c r="D1788" i="2"/>
  <c r="E1788" i="2"/>
  <c r="F1788" i="2"/>
  <c r="G1788" i="2"/>
  <c r="H1788" i="2"/>
  <c r="I1788" i="2"/>
  <c r="J1788" i="2"/>
  <c r="K1788" i="2"/>
  <c r="L1788" i="2"/>
  <c r="M1788" i="2"/>
  <c r="N1788" i="2"/>
  <c r="O1788" i="2"/>
  <c r="P1788" i="2"/>
  <c r="Q1788" i="2"/>
  <c r="R1788" i="2"/>
  <c r="S1788" i="2"/>
  <c r="T1788" i="2"/>
  <c r="U1788" i="2"/>
  <c r="V1788" i="2"/>
  <c r="W1788" i="2"/>
  <c r="X1788" i="2"/>
  <c r="Y1788" i="2"/>
  <c r="A1789" i="2"/>
  <c r="B1789" i="2"/>
  <c r="C1789" i="2"/>
  <c r="D1789" i="2"/>
  <c r="E1789" i="2"/>
  <c r="F1789" i="2"/>
  <c r="G1789" i="2"/>
  <c r="H1789" i="2"/>
  <c r="I1789" i="2"/>
  <c r="J1789" i="2"/>
  <c r="K1789" i="2"/>
  <c r="L1789" i="2"/>
  <c r="M1789" i="2"/>
  <c r="N1789" i="2"/>
  <c r="O1789" i="2"/>
  <c r="P1789" i="2"/>
  <c r="Q1789" i="2"/>
  <c r="R1789" i="2"/>
  <c r="S1789" i="2"/>
  <c r="T1789" i="2"/>
  <c r="U1789" i="2"/>
  <c r="V1789" i="2"/>
  <c r="W1789" i="2"/>
  <c r="X1789" i="2"/>
  <c r="Y1789" i="2"/>
  <c r="A1790" i="2"/>
  <c r="B1790" i="2"/>
  <c r="C1790" i="2"/>
  <c r="D1790" i="2"/>
  <c r="E1790" i="2"/>
  <c r="F1790" i="2"/>
  <c r="G1790" i="2"/>
  <c r="H1790" i="2"/>
  <c r="I1790" i="2"/>
  <c r="J1790" i="2"/>
  <c r="K1790" i="2"/>
  <c r="L1790" i="2"/>
  <c r="M1790" i="2"/>
  <c r="N1790" i="2"/>
  <c r="O1790" i="2"/>
  <c r="P1790" i="2"/>
  <c r="Q1790" i="2"/>
  <c r="R1790" i="2"/>
  <c r="S1790" i="2"/>
  <c r="T1790" i="2"/>
  <c r="U1790" i="2"/>
  <c r="V1790" i="2"/>
  <c r="W1790" i="2"/>
  <c r="X1790" i="2"/>
  <c r="Y1790" i="2"/>
  <c r="A1791" i="2"/>
  <c r="B1791" i="2"/>
  <c r="C1791" i="2"/>
  <c r="D1791" i="2"/>
  <c r="E1791" i="2"/>
  <c r="F1791" i="2"/>
  <c r="G1791" i="2"/>
  <c r="H1791" i="2"/>
  <c r="I1791" i="2"/>
  <c r="J1791" i="2"/>
  <c r="K1791" i="2"/>
  <c r="L1791" i="2"/>
  <c r="M1791" i="2"/>
  <c r="N1791" i="2"/>
  <c r="O1791" i="2"/>
  <c r="P1791" i="2"/>
  <c r="Q1791" i="2"/>
  <c r="R1791" i="2"/>
  <c r="S1791" i="2"/>
  <c r="T1791" i="2"/>
  <c r="U1791" i="2"/>
  <c r="V1791" i="2"/>
  <c r="W1791" i="2"/>
  <c r="X1791" i="2"/>
  <c r="Y1791" i="2"/>
  <c r="A1792" i="2"/>
  <c r="B1792" i="2"/>
  <c r="C1792" i="2"/>
  <c r="D1792" i="2"/>
  <c r="E1792" i="2"/>
  <c r="F1792" i="2"/>
  <c r="G1792" i="2"/>
  <c r="H1792" i="2"/>
  <c r="I1792" i="2"/>
  <c r="J1792" i="2"/>
  <c r="K1792" i="2"/>
  <c r="L1792" i="2"/>
  <c r="M1792" i="2"/>
  <c r="N1792" i="2"/>
  <c r="O1792" i="2"/>
  <c r="P1792" i="2"/>
  <c r="Q1792" i="2"/>
  <c r="R1792" i="2"/>
  <c r="S1792" i="2"/>
  <c r="T1792" i="2"/>
  <c r="U1792" i="2"/>
  <c r="V1792" i="2"/>
  <c r="W1792" i="2"/>
  <c r="X1792" i="2"/>
  <c r="Y1792" i="2"/>
  <c r="A1793" i="2"/>
  <c r="B1793" i="2"/>
  <c r="C1793" i="2"/>
  <c r="D1793" i="2"/>
  <c r="E1793" i="2"/>
  <c r="F1793" i="2"/>
  <c r="G1793" i="2"/>
  <c r="H1793" i="2"/>
  <c r="I1793" i="2"/>
  <c r="J1793" i="2"/>
  <c r="K1793" i="2"/>
  <c r="L1793" i="2"/>
  <c r="M1793" i="2"/>
  <c r="N1793" i="2"/>
  <c r="O1793" i="2"/>
  <c r="P1793" i="2"/>
  <c r="Q1793" i="2"/>
  <c r="R1793" i="2"/>
  <c r="S1793" i="2"/>
  <c r="T1793" i="2"/>
  <c r="U1793" i="2"/>
  <c r="V1793" i="2"/>
  <c r="W1793" i="2"/>
  <c r="X1793" i="2"/>
  <c r="Y1793" i="2"/>
  <c r="A1794" i="2"/>
  <c r="B1794" i="2"/>
  <c r="C1794" i="2"/>
  <c r="D1794" i="2"/>
  <c r="E1794" i="2"/>
  <c r="F1794" i="2"/>
  <c r="G1794" i="2"/>
  <c r="H1794" i="2"/>
  <c r="I1794" i="2"/>
  <c r="J1794" i="2"/>
  <c r="K1794" i="2"/>
  <c r="L1794" i="2"/>
  <c r="M1794" i="2"/>
  <c r="N1794" i="2"/>
  <c r="O1794" i="2"/>
  <c r="P1794" i="2"/>
  <c r="Q1794" i="2"/>
  <c r="R1794" i="2"/>
  <c r="S1794" i="2"/>
  <c r="T1794" i="2"/>
  <c r="U1794" i="2"/>
  <c r="V1794" i="2"/>
  <c r="W1794" i="2"/>
  <c r="X1794" i="2"/>
  <c r="Y1794" i="2"/>
  <c r="A1795" i="2"/>
  <c r="B1795" i="2"/>
  <c r="C1795" i="2"/>
  <c r="D1795" i="2"/>
  <c r="E1795" i="2"/>
  <c r="F1795" i="2"/>
  <c r="G1795" i="2"/>
  <c r="H1795" i="2"/>
  <c r="I1795" i="2"/>
  <c r="J1795" i="2"/>
  <c r="K1795" i="2"/>
  <c r="L1795" i="2"/>
  <c r="M1795" i="2"/>
  <c r="N1795" i="2"/>
  <c r="O1795" i="2"/>
  <c r="P1795" i="2"/>
  <c r="Q1795" i="2"/>
  <c r="R1795" i="2"/>
  <c r="S1795" i="2"/>
  <c r="T1795" i="2"/>
  <c r="U1795" i="2"/>
  <c r="V1795" i="2"/>
  <c r="W1795" i="2"/>
  <c r="X1795" i="2"/>
  <c r="Y1795" i="2"/>
  <c r="A1796" i="2"/>
  <c r="B1796" i="2"/>
  <c r="C1796" i="2"/>
  <c r="D1796" i="2"/>
  <c r="E1796" i="2"/>
  <c r="F1796" i="2"/>
  <c r="G1796" i="2"/>
  <c r="H1796" i="2"/>
  <c r="I1796" i="2"/>
  <c r="J1796" i="2"/>
  <c r="K1796" i="2"/>
  <c r="L1796" i="2"/>
  <c r="M1796" i="2"/>
  <c r="N1796" i="2"/>
  <c r="O1796" i="2"/>
  <c r="P1796" i="2"/>
  <c r="Q1796" i="2"/>
  <c r="R1796" i="2"/>
  <c r="S1796" i="2"/>
  <c r="T1796" i="2"/>
  <c r="U1796" i="2"/>
  <c r="V1796" i="2"/>
  <c r="W1796" i="2"/>
  <c r="X1796" i="2"/>
  <c r="Y1796" i="2"/>
  <c r="A1797" i="2"/>
  <c r="B1797" i="2"/>
  <c r="C1797" i="2"/>
  <c r="D1797" i="2"/>
  <c r="E1797" i="2"/>
  <c r="F1797" i="2"/>
  <c r="G1797" i="2"/>
  <c r="H1797" i="2"/>
  <c r="I1797" i="2"/>
  <c r="J1797" i="2"/>
  <c r="K1797" i="2"/>
  <c r="L1797" i="2"/>
  <c r="M1797" i="2"/>
  <c r="N1797" i="2"/>
  <c r="O1797" i="2"/>
  <c r="P1797" i="2"/>
  <c r="Q1797" i="2"/>
  <c r="R1797" i="2"/>
  <c r="S1797" i="2"/>
  <c r="T1797" i="2"/>
  <c r="U1797" i="2"/>
  <c r="V1797" i="2"/>
  <c r="W1797" i="2"/>
  <c r="X1797" i="2"/>
  <c r="Y1797" i="2"/>
  <c r="A1798" i="2"/>
  <c r="B1798" i="2"/>
  <c r="C1798" i="2"/>
  <c r="D1798" i="2"/>
  <c r="E1798" i="2"/>
  <c r="F1798" i="2"/>
  <c r="G1798" i="2"/>
  <c r="H1798" i="2"/>
  <c r="I1798" i="2"/>
  <c r="J1798" i="2"/>
  <c r="K1798" i="2"/>
  <c r="L1798" i="2"/>
  <c r="M1798" i="2"/>
  <c r="N1798" i="2"/>
  <c r="O1798" i="2"/>
  <c r="P1798" i="2"/>
  <c r="Q1798" i="2"/>
  <c r="R1798" i="2"/>
  <c r="S1798" i="2"/>
  <c r="T1798" i="2"/>
  <c r="U1798" i="2"/>
  <c r="V1798" i="2"/>
  <c r="W1798" i="2"/>
  <c r="X1798" i="2"/>
  <c r="Y1798" i="2"/>
  <c r="A1799" i="2"/>
  <c r="B1799" i="2"/>
  <c r="C1799" i="2"/>
  <c r="D1799" i="2"/>
  <c r="E1799" i="2"/>
  <c r="F1799" i="2"/>
  <c r="G1799" i="2"/>
  <c r="H1799" i="2"/>
  <c r="I1799" i="2"/>
  <c r="J1799" i="2"/>
  <c r="K1799" i="2"/>
  <c r="L1799" i="2"/>
  <c r="M1799" i="2"/>
  <c r="N1799" i="2"/>
  <c r="O1799" i="2"/>
  <c r="P1799" i="2"/>
  <c r="Q1799" i="2"/>
  <c r="R1799" i="2"/>
  <c r="S1799" i="2"/>
  <c r="T1799" i="2"/>
  <c r="U1799" i="2"/>
  <c r="V1799" i="2"/>
  <c r="W1799" i="2"/>
  <c r="X1799" i="2"/>
  <c r="Y1799" i="2"/>
  <c r="B1800" i="2"/>
  <c r="C1800" i="2"/>
  <c r="D1800" i="2"/>
  <c r="E1800" i="2"/>
  <c r="F1800" i="2"/>
  <c r="G1800" i="2"/>
  <c r="H1800" i="2"/>
  <c r="I1800" i="2"/>
  <c r="J1800" i="2"/>
  <c r="K1800" i="2"/>
  <c r="L1800" i="2"/>
  <c r="M1800" i="2"/>
  <c r="N1800" i="2"/>
  <c r="O1800" i="2"/>
  <c r="P1800" i="2"/>
  <c r="Q1800" i="2"/>
  <c r="R1800" i="2"/>
  <c r="S1800" i="2"/>
  <c r="T1800" i="2"/>
  <c r="U1800" i="2"/>
  <c r="V1800" i="2"/>
  <c r="W1800" i="2"/>
  <c r="X1800" i="2"/>
  <c r="Y1800" i="2"/>
  <c r="A1801" i="2"/>
  <c r="B1801" i="2"/>
  <c r="C1801" i="2"/>
  <c r="D1801" i="2"/>
  <c r="E1801" i="2"/>
  <c r="F1801" i="2"/>
  <c r="G1801" i="2"/>
  <c r="H1801" i="2"/>
  <c r="I1801" i="2"/>
  <c r="J1801" i="2"/>
  <c r="K1801" i="2"/>
  <c r="L1801" i="2"/>
  <c r="M1801" i="2"/>
  <c r="N1801" i="2"/>
  <c r="O1801" i="2"/>
  <c r="P1801" i="2"/>
  <c r="Q1801" i="2"/>
  <c r="R1801" i="2"/>
  <c r="S1801" i="2"/>
  <c r="T1801" i="2"/>
  <c r="U1801" i="2"/>
  <c r="V1801" i="2"/>
  <c r="W1801" i="2"/>
  <c r="X1801" i="2"/>
  <c r="Y1801" i="2"/>
  <c r="A1802" i="2"/>
  <c r="B1802" i="2"/>
  <c r="C1802" i="2"/>
  <c r="D1802" i="2"/>
  <c r="E1802" i="2"/>
  <c r="F1802" i="2"/>
  <c r="G1802" i="2"/>
  <c r="H1802" i="2"/>
  <c r="I1802" i="2"/>
  <c r="J1802" i="2"/>
  <c r="K1802" i="2"/>
  <c r="L1802" i="2"/>
  <c r="M1802" i="2"/>
  <c r="N1802" i="2"/>
  <c r="O1802" i="2"/>
  <c r="P1802" i="2"/>
  <c r="Q1802" i="2"/>
  <c r="R1802" i="2"/>
  <c r="S1802" i="2"/>
  <c r="T1802" i="2"/>
  <c r="U1802" i="2"/>
  <c r="V1802" i="2"/>
  <c r="W1802" i="2"/>
  <c r="X1802" i="2"/>
  <c r="Y1802" i="2"/>
  <c r="A1803" i="2"/>
  <c r="B1803" i="2"/>
  <c r="C1803" i="2"/>
  <c r="D1803" i="2"/>
  <c r="E1803" i="2"/>
  <c r="F1803" i="2"/>
  <c r="G1803" i="2"/>
  <c r="H1803" i="2"/>
  <c r="I1803" i="2"/>
  <c r="J1803" i="2"/>
  <c r="K1803" i="2"/>
  <c r="L1803" i="2"/>
  <c r="M1803" i="2"/>
  <c r="N1803" i="2"/>
  <c r="O1803" i="2"/>
  <c r="P1803" i="2"/>
  <c r="Q1803" i="2"/>
  <c r="R1803" i="2"/>
  <c r="S1803" i="2"/>
  <c r="T1803" i="2"/>
  <c r="U1803" i="2"/>
  <c r="V1803" i="2"/>
  <c r="W1803" i="2"/>
  <c r="X1803" i="2"/>
  <c r="Y1803" i="2"/>
  <c r="A1804" i="2"/>
  <c r="B1804" i="2"/>
  <c r="C1804" i="2"/>
  <c r="D1804" i="2"/>
  <c r="E1804" i="2"/>
  <c r="F1804" i="2"/>
  <c r="G1804" i="2"/>
  <c r="H1804" i="2"/>
  <c r="I1804" i="2"/>
  <c r="J1804" i="2"/>
  <c r="K1804" i="2"/>
  <c r="L1804" i="2"/>
  <c r="M1804" i="2"/>
  <c r="N1804" i="2"/>
  <c r="O1804" i="2"/>
  <c r="P1804" i="2"/>
  <c r="Q1804" i="2"/>
  <c r="R1804" i="2"/>
  <c r="S1804" i="2"/>
  <c r="T1804" i="2"/>
  <c r="U1804" i="2"/>
  <c r="V1804" i="2"/>
  <c r="W1804" i="2"/>
  <c r="X1804" i="2"/>
  <c r="Y1804" i="2"/>
  <c r="A1805" i="2"/>
  <c r="B1805" i="2"/>
  <c r="C1805" i="2"/>
  <c r="D1805" i="2"/>
  <c r="E1805" i="2"/>
  <c r="F1805" i="2"/>
  <c r="G1805" i="2"/>
  <c r="H1805" i="2"/>
  <c r="I1805" i="2"/>
  <c r="J1805" i="2"/>
  <c r="K1805" i="2"/>
  <c r="L1805" i="2"/>
  <c r="M1805" i="2"/>
  <c r="N1805" i="2"/>
  <c r="O1805" i="2"/>
  <c r="P1805" i="2"/>
  <c r="Q1805" i="2"/>
  <c r="R1805" i="2"/>
  <c r="S1805" i="2"/>
  <c r="T1805" i="2"/>
  <c r="U1805" i="2"/>
  <c r="V1805" i="2"/>
  <c r="W1805" i="2"/>
  <c r="X1805" i="2"/>
  <c r="Y1805" i="2"/>
  <c r="A1806" i="2"/>
  <c r="B1806" i="2"/>
  <c r="C1806" i="2"/>
  <c r="D1806" i="2"/>
  <c r="E1806" i="2"/>
  <c r="F1806" i="2"/>
  <c r="G1806" i="2"/>
  <c r="H1806" i="2"/>
  <c r="I1806" i="2"/>
  <c r="J1806" i="2"/>
  <c r="K1806" i="2"/>
  <c r="L1806" i="2"/>
  <c r="M1806" i="2"/>
  <c r="N1806" i="2"/>
  <c r="O1806" i="2"/>
  <c r="P1806" i="2"/>
  <c r="Q1806" i="2"/>
  <c r="R1806" i="2"/>
  <c r="S1806" i="2"/>
  <c r="T1806" i="2"/>
  <c r="U1806" i="2"/>
  <c r="V1806" i="2"/>
  <c r="W1806" i="2"/>
  <c r="X1806" i="2"/>
  <c r="Y1806" i="2"/>
  <c r="A1807" i="2"/>
  <c r="B1807" i="2"/>
  <c r="C1807" i="2"/>
  <c r="D1807" i="2"/>
  <c r="E1807" i="2"/>
  <c r="F1807" i="2"/>
  <c r="G1807" i="2"/>
  <c r="H1807" i="2"/>
  <c r="I1807" i="2"/>
  <c r="J1807" i="2"/>
  <c r="K1807" i="2"/>
  <c r="L1807" i="2"/>
  <c r="M1807" i="2"/>
  <c r="N1807" i="2"/>
  <c r="O1807" i="2"/>
  <c r="P1807" i="2"/>
  <c r="Q1807" i="2"/>
  <c r="R1807" i="2"/>
  <c r="S1807" i="2"/>
  <c r="T1807" i="2"/>
  <c r="U1807" i="2"/>
  <c r="V1807" i="2"/>
  <c r="W1807" i="2"/>
  <c r="X1807" i="2"/>
  <c r="Y1807" i="2"/>
  <c r="A1808" i="2"/>
  <c r="B1808" i="2"/>
  <c r="C1808" i="2"/>
  <c r="D1808" i="2"/>
  <c r="E1808" i="2"/>
  <c r="F1808" i="2"/>
  <c r="G1808" i="2"/>
  <c r="H1808" i="2"/>
  <c r="I1808" i="2"/>
  <c r="J1808" i="2"/>
  <c r="K1808" i="2"/>
  <c r="L1808" i="2"/>
  <c r="M1808" i="2"/>
  <c r="N1808" i="2"/>
  <c r="O1808" i="2"/>
  <c r="P1808" i="2"/>
  <c r="Q1808" i="2"/>
  <c r="R1808" i="2"/>
  <c r="S1808" i="2"/>
  <c r="T1808" i="2"/>
  <c r="U1808" i="2"/>
  <c r="V1808" i="2"/>
  <c r="W1808" i="2"/>
  <c r="X1808" i="2"/>
  <c r="Y1808" i="2"/>
  <c r="A1809" i="2"/>
  <c r="B1809" i="2"/>
  <c r="C1809" i="2"/>
  <c r="D1809" i="2"/>
  <c r="E1809" i="2"/>
  <c r="F1809" i="2"/>
  <c r="G1809" i="2"/>
  <c r="H1809" i="2"/>
  <c r="I1809" i="2"/>
  <c r="J1809" i="2"/>
  <c r="K1809" i="2"/>
  <c r="L1809" i="2"/>
  <c r="M1809" i="2"/>
  <c r="N1809" i="2"/>
  <c r="O1809" i="2"/>
  <c r="P1809" i="2"/>
  <c r="Q1809" i="2"/>
  <c r="R1809" i="2"/>
  <c r="S1809" i="2"/>
  <c r="T1809" i="2"/>
  <c r="U1809" i="2"/>
  <c r="V1809" i="2"/>
  <c r="W1809" i="2"/>
  <c r="X1809" i="2"/>
  <c r="Y1809" i="2"/>
  <c r="A1810" i="2"/>
  <c r="B1810" i="2"/>
  <c r="C1810" i="2"/>
  <c r="D1810" i="2"/>
  <c r="E1810" i="2"/>
  <c r="F1810" i="2"/>
  <c r="G1810" i="2"/>
  <c r="H1810" i="2"/>
  <c r="I1810" i="2"/>
  <c r="J1810" i="2"/>
  <c r="K1810" i="2"/>
  <c r="L1810" i="2"/>
  <c r="M1810" i="2"/>
  <c r="N1810" i="2"/>
  <c r="O1810" i="2"/>
  <c r="P1810" i="2"/>
  <c r="Q1810" i="2"/>
  <c r="R1810" i="2"/>
  <c r="S1810" i="2"/>
  <c r="T1810" i="2"/>
  <c r="U1810" i="2"/>
  <c r="V1810" i="2"/>
  <c r="W1810" i="2"/>
  <c r="X1810" i="2"/>
  <c r="Y1810" i="2"/>
  <c r="A1811" i="2"/>
  <c r="B1811" i="2"/>
  <c r="C1811" i="2"/>
  <c r="D1811" i="2"/>
  <c r="E1811" i="2"/>
  <c r="F1811" i="2"/>
  <c r="G1811" i="2"/>
  <c r="H1811" i="2"/>
  <c r="I1811" i="2"/>
  <c r="J1811" i="2"/>
  <c r="K1811" i="2"/>
  <c r="L1811" i="2"/>
  <c r="M1811" i="2"/>
  <c r="N1811" i="2"/>
  <c r="O1811" i="2"/>
  <c r="P1811" i="2"/>
  <c r="Q1811" i="2"/>
  <c r="R1811" i="2"/>
  <c r="S1811" i="2"/>
  <c r="T1811" i="2"/>
  <c r="U1811" i="2"/>
  <c r="V1811" i="2"/>
  <c r="W1811" i="2"/>
  <c r="X1811" i="2"/>
  <c r="Y1811" i="2"/>
  <c r="A1812" i="2"/>
  <c r="B1812" i="2"/>
  <c r="C1812" i="2"/>
  <c r="D1812" i="2"/>
  <c r="E1812" i="2"/>
  <c r="F1812" i="2"/>
  <c r="G1812" i="2"/>
  <c r="H1812" i="2"/>
  <c r="I1812" i="2"/>
  <c r="J1812" i="2"/>
  <c r="K1812" i="2"/>
  <c r="L1812" i="2"/>
  <c r="M1812" i="2"/>
  <c r="N1812" i="2"/>
  <c r="O1812" i="2"/>
  <c r="P1812" i="2"/>
  <c r="Q1812" i="2"/>
  <c r="R1812" i="2"/>
  <c r="S1812" i="2"/>
  <c r="T1812" i="2"/>
  <c r="U1812" i="2"/>
  <c r="V1812" i="2"/>
  <c r="W1812" i="2"/>
  <c r="X1812" i="2"/>
  <c r="Y1812" i="2"/>
  <c r="A1813" i="2"/>
  <c r="B1813" i="2"/>
  <c r="C1813" i="2"/>
  <c r="D1813" i="2"/>
  <c r="E1813" i="2"/>
  <c r="F1813" i="2"/>
  <c r="G1813" i="2"/>
  <c r="H1813" i="2"/>
  <c r="I1813" i="2"/>
  <c r="J1813" i="2"/>
  <c r="K1813" i="2"/>
  <c r="L1813" i="2"/>
  <c r="M1813" i="2"/>
  <c r="N1813" i="2"/>
  <c r="O1813" i="2"/>
  <c r="P1813" i="2"/>
  <c r="Q1813" i="2"/>
  <c r="R1813" i="2"/>
  <c r="S1813" i="2"/>
  <c r="T1813" i="2"/>
  <c r="U1813" i="2"/>
  <c r="V1813" i="2"/>
  <c r="W1813" i="2"/>
  <c r="X1813" i="2"/>
  <c r="Y1813" i="2"/>
  <c r="A1814" i="2"/>
  <c r="B1814" i="2"/>
  <c r="C1814" i="2"/>
  <c r="D1814" i="2"/>
  <c r="E1814" i="2"/>
  <c r="F1814" i="2"/>
  <c r="G1814" i="2"/>
  <c r="H1814" i="2"/>
  <c r="I1814" i="2"/>
  <c r="J1814" i="2"/>
  <c r="K1814" i="2"/>
  <c r="L1814" i="2"/>
  <c r="M1814" i="2"/>
  <c r="N1814" i="2"/>
  <c r="O1814" i="2"/>
  <c r="P1814" i="2"/>
  <c r="Q1814" i="2"/>
  <c r="R1814" i="2"/>
  <c r="S1814" i="2"/>
  <c r="T1814" i="2"/>
  <c r="U1814" i="2"/>
  <c r="V1814" i="2"/>
  <c r="W1814" i="2"/>
  <c r="X1814" i="2"/>
  <c r="Y1814" i="2"/>
  <c r="A1815" i="2"/>
  <c r="B1815" i="2"/>
  <c r="C1815" i="2"/>
  <c r="D1815" i="2"/>
  <c r="E1815" i="2"/>
  <c r="F1815" i="2"/>
  <c r="G1815" i="2"/>
  <c r="H1815" i="2"/>
  <c r="I1815" i="2"/>
  <c r="J1815" i="2"/>
  <c r="K1815" i="2"/>
  <c r="L1815" i="2"/>
  <c r="M1815" i="2"/>
  <c r="N1815" i="2"/>
  <c r="O1815" i="2"/>
  <c r="P1815" i="2"/>
  <c r="Q1815" i="2"/>
  <c r="R1815" i="2"/>
  <c r="S1815" i="2"/>
  <c r="T1815" i="2"/>
  <c r="U1815" i="2"/>
  <c r="V1815" i="2"/>
  <c r="W1815" i="2"/>
  <c r="X1815" i="2"/>
  <c r="Y1815" i="2"/>
  <c r="B1816" i="2"/>
  <c r="C1816" i="2"/>
  <c r="D1816" i="2"/>
  <c r="E1816" i="2"/>
  <c r="F1816" i="2"/>
  <c r="G1816" i="2"/>
  <c r="H1816" i="2"/>
  <c r="I1816" i="2"/>
  <c r="J1816" i="2"/>
  <c r="K1816" i="2"/>
  <c r="L1816" i="2"/>
  <c r="M1816" i="2"/>
  <c r="N1816" i="2"/>
  <c r="O1816" i="2"/>
  <c r="P1816" i="2"/>
  <c r="Q1816" i="2"/>
  <c r="R1816" i="2"/>
  <c r="S1816" i="2"/>
  <c r="T1816" i="2"/>
  <c r="U1816" i="2"/>
  <c r="V1816" i="2"/>
  <c r="W1816" i="2"/>
  <c r="X1816" i="2"/>
  <c r="Y1816" i="2"/>
  <c r="A1817" i="2"/>
  <c r="B1817" i="2"/>
  <c r="C1817" i="2"/>
  <c r="D1817" i="2"/>
  <c r="E1817" i="2"/>
  <c r="F1817" i="2"/>
  <c r="G1817" i="2"/>
  <c r="H1817" i="2"/>
  <c r="I1817" i="2"/>
  <c r="J1817" i="2"/>
  <c r="K1817" i="2"/>
  <c r="L1817" i="2"/>
  <c r="M1817" i="2"/>
  <c r="N1817" i="2"/>
  <c r="O1817" i="2"/>
  <c r="P1817" i="2"/>
  <c r="Q1817" i="2"/>
  <c r="R1817" i="2"/>
  <c r="S1817" i="2"/>
  <c r="T1817" i="2"/>
  <c r="U1817" i="2"/>
  <c r="V1817" i="2"/>
  <c r="W1817" i="2"/>
  <c r="X1817" i="2"/>
  <c r="Y1817" i="2"/>
  <c r="A1818" i="2"/>
  <c r="B1818" i="2"/>
  <c r="C1818" i="2"/>
  <c r="D1818" i="2"/>
  <c r="E1818" i="2"/>
  <c r="F1818" i="2"/>
  <c r="G1818" i="2"/>
  <c r="H1818" i="2"/>
  <c r="I1818" i="2"/>
  <c r="J1818" i="2"/>
  <c r="K1818" i="2"/>
  <c r="L1818" i="2"/>
  <c r="M1818" i="2"/>
  <c r="N1818" i="2"/>
  <c r="O1818" i="2"/>
  <c r="P1818" i="2"/>
  <c r="Q1818" i="2"/>
  <c r="R1818" i="2"/>
  <c r="S1818" i="2"/>
  <c r="T1818" i="2"/>
  <c r="U1818" i="2"/>
  <c r="V1818" i="2"/>
  <c r="W1818" i="2"/>
  <c r="X1818" i="2"/>
  <c r="Y1818" i="2"/>
  <c r="A1819" i="2"/>
  <c r="B1819" i="2"/>
  <c r="C1819" i="2"/>
  <c r="D1819" i="2"/>
  <c r="E1819" i="2"/>
  <c r="F1819" i="2"/>
  <c r="G1819" i="2"/>
  <c r="H1819" i="2"/>
  <c r="I1819" i="2"/>
  <c r="J1819" i="2"/>
  <c r="K1819" i="2"/>
  <c r="L1819" i="2"/>
  <c r="M1819" i="2"/>
  <c r="N1819" i="2"/>
  <c r="O1819" i="2"/>
  <c r="P1819" i="2"/>
  <c r="Q1819" i="2"/>
  <c r="R1819" i="2"/>
  <c r="S1819" i="2"/>
  <c r="T1819" i="2"/>
  <c r="U1819" i="2"/>
  <c r="V1819" i="2"/>
  <c r="W1819" i="2"/>
  <c r="X1819" i="2"/>
  <c r="Y1819" i="2"/>
  <c r="A1820" i="2"/>
  <c r="B1820" i="2"/>
  <c r="C1820" i="2"/>
  <c r="D1820" i="2"/>
  <c r="E1820" i="2"/>
  <c r="F1820" i="2"/>
  <c r="G1820" i="2"/>
  <c r="H1820" i="2"/>
  <c r="I1820" i="2"/>
  <c r="J1820" i="2"/>
  <c r="K1820" i="2"/>
  <c r="L1820" i="2"/>
  <c r="M1820" i="2"/>
  <c r="N1820" i="2"/>
  <c r="O1820" i="2"/>
  <c r="P1820" i="2"/>
  <c r="Q1820" i="2"/>
  <c r="R1820" i="2"/>
  <c r="S1820" i="2"/>
  <c r="T1820" i="2"/>
  <c r="U1820" i="2"/>
  <c r="V1820" i="2"/>
  <c r="W1820" i="2"/>
  <c r="X1820" i="2"/>
  <c r="Y1820" i="2"/>
  <c r="A1821" i="2"/>
  <c r="B1821" i="2"/>
  <c r="C1821" i="2"/>
  <c r="D1821" i="2"/>
  <c r="E1821" i="2"/>
  <c r="F1821" i="2"/>
  <c r="G1821" i="2"/>
  <c r="H1821" i="2"/>
  <c r="I1821" i="2"/>
  <c r="J1821" i="2"/>
  <c r="K1821" i="2"/>
  <c r="L1821" i="2"/>
  <c r="M1821" i="2"/>
  <c r="N1821" i="2"/>
  <c r="O1821" i="2"/>
  <c r="P1821" i="2"/>
  <c r="Q1821" i="2"/>
  <c r="R1821" i="2"/>
  <c r="S1821" i="2"/>
  <c r="T1821" i="2"/>
  <c r="U1821" i="2"/>
  <c r="V1821" i="2"/>
  <c r="W1821" i="2"/>
  <c r="X1821" i="2"/>
  <c r="Y1821" i="2"/>
  <c r="A1822" i="2"/>
  <c r="B1822" i="2"/>
  <c r="C1822" i="2"/>
  <c r="D1822" i="2"/>
  <c r="E1822" i="2"/>
  <c r="F1822" i="2"/>
  <c r="G1822" i="2"/>
  <c r="H1822" i="2"/>
  <c r="I1822" i="2"/>
  <c r="J1822" i="2"/>
  <c r="K1822" i="2"/>
  <c r="L1822" i="2"/>
  <c r="M1822" i="2"/>
  <c r="N1822" i="2"/>
  <c r="O1822" i="2"/>
  <c r="P1822" i="2"/>
  <c r="Q1822" i="2"/>
  <c r="R1822" i="2"/>
  <c r="S1822" i="2"/>
  <c r="T1822" i="2"/>
  <c r="U1822" i="2"/>
  <c r="V1822" i="2"/>
  <c r="W1822" i="2"/>
  <c r="X1822" i="2"/>
  <c r="Y1822" i="2"/>
  <c r="A1823" i="2"/>
  <c r="B1823" i="2"/>
  <c r="C1823" i="2"/>
  <c r="D1823" i="2"/>
  <c r="E1823" i="2"/>
  <c r="F1823" i="2"/>
  <c r="G1823" i="2"/>
  <c r="H1823" i="2"/>
  <c r="I1823" i="2"/>
  <c r="J1823" i="2"/>
  <c r="K1823" i="2"/>
  <c r="L1823" i="2"/>
  <c r="M1823" i="2"/>
  <c r="N1823" i="2"/>
  <c r="O1823" i="2"/>
  <c r="P1823" i="2"/>
  <c r="Q1823" i="2"/>
  <c r="R1823" i="2"/>
  <c r="S1823" i="2"/>
  <c r="T1823" i="2"/>
  <c r="U1823" i="2"/>
  <c r="V1823" i="2"/>
  <c r="W1823" i="2"/>
  <c r="X1823" i="2"/>
  <c r="Y1823" i="2"/>
  <c r="A1824" i="2"/>
  <c r="B1824" i="2"/>
  <c r="C1824" i="2"/>
  <c r="D1824" i="2"/>
  <c r="E1824" i="2"/>
  <c r="F1824" i="2"/>
  <c r="G1824" i="2"/>
  <c r="H1824" i="2"/>
  <c r="I1824" i="2"/>
  <c r="J1824" i="2"/>
  <c r="K1824" i="2"/>
  <c r="L1824" i="2"/>
  <c r="M1824" i="2"/>
  <c r="N1824" i="2"/>
  <c r="O1824" i="2"/>
  <c r="P1824" i="2"/>
  <c r="Q1824" i="2"/>
  <c r="R1824" i="2"/>
  <c r="S1824" i="2"/>
  <c r="T1824" i="2"/>
  <c r="U1824" i="2"/>
  <c r="V1824" i="2"/>
  <c r="W1824" i="2"/>
  <c r="X1824" i="2"/>
  <c r="Y1824" i="2"/>
  <c r="A1825" i="2"/>
  <c r="B1825" i="2"/>
  <c r="C1825" i="2"/>
  <c r="D1825" i="2"/>
  <c r="E1825" i="2"/>
  <c r="F1825" i="2"/>
  <c r="G1825" i="2"/>
  <c r="H1825" i="2"/>
  <c r="I1825" i="2"/>
  <c r="J1825" i="2"/>
  <c r="K1825" i="2"/>
  <c r="L1825" i="2"/>
  <c r="M1825" i="2"/>
  <c r="N1825" i="2"/>
  <c r="O1825" i="2"/>
  <c r="P1825" i="2"/>
  <c r="Q1825" i="2"/>
  <c r="R1825" i="2"/>
  <c r="S1825" i="2"/>
  <c r="T1825" i="2"/>
  <c r="U1825" i="2"/>
  <c r="V1825" i="2"/>
  <c r="W1825" i="2"/>
  <c r="X1825" i="2"/>
  <c r="Y1825" i="2"/>
  <c r="A1826" i="2"/>
  <c r="B1826" i="2"/>
  <c r="C1826" i="2"/>
  <c r="D1826" i="2"/>
  <c r="E1826" i="2"/>
  <c r="F1826" i="2"/>
  <c r="G1826" i="2"/>
  <c r="H1826" i="2"/>
  <c r="I1826" i="2"/>
  <c r="J1826" i="2"/>
  <c r="K1826" i="2"/>
  <c r="L1826" i="2"/>
  <c r="M1826" i="2"/>
  <c r="N1826" i="2"/>
  <c r="O1826" i="2"/>
  <c r="P1826" i="2"/>
  <c r="Q1826" i="2"/>
  <c r="R1826" i="2"/>
  <c r="S1826" i="2"/>
  <c r="T1826" i="2"/>
  <c r="U1826" i="2"/>
  <c r="V1826" i="2"/>
  <c r="W1826" i="2"/>
  <c r="X1826" i="2"/>
  <c r="Y1826" i="2"/>
  <c r="A1827" i="2"/>
  <c r="B1827" i="2"/>
  <c r="C1827" i="2"/>
  <c r="D1827" i="2"/>
  <c r="E1827" i="2"/>
  <c r="F1827" i="2"/>
  <c r="G1827" i="2"/>
  <c r="H1827" i="2"/>
  <c r="I1827" i="2"/>
  <c r="J1827" i="2"/>
  <c r="K1827" i="2"/>
  <c r="L1827" i="2"/>
  <c r="M1827" i="2"/>
  <c r="N1827" i="2"/>
  <c r="O1827" i="2"/>
  <c r="P1827" i="2"/>
  <c r="Q1827" i="2"/>
  <c r="R1827" i="2"/>
  <c r="S1827" i="2"/>
  <c r="T1827" i="2"/>
  <c r="U1827" i="2"/>
  <c r="V1827" i="2"/>
  <c r="W1827" i="2"/>
  <c r="X1827" i="2"/>
  <c r="Y1827" i="2"/>
  <c r="A1828" i="2"/>
  <c r="B1828" i="2"/>
  <c r="C1828" i="2"/>
  <c r="D1828" i="2"/>
  <c r="E1828" i="2"/>
  <c r="F1828" i="2"/>
  <c r="G1828" i="2"/>
  <c r="H1828" i="2"/>
  <c r="I1828" i="2"/>
  <c r="J1828" i="2"/>
  <c r="K1828" i="2"/>
  <c r="L1828" i="2"/>
  <c r="M1828" i="2"/>
  <c r="N1828" i="2"/>
  <c r="O1828" i="2"/>
  <c r="P1828" i="2"/>
  <c r="Q1828" i="2"/>
  <c r="R1828" i="2"/>
  <c r="S1828" i="2"/>
  <c r="T1828" i="2"/>
  <c r="U1828" i="2"/>
  <c r="V1828" i="2"/>
  <c r="W1828" i="2"/>
  <c r="X1828" i="2"/>
  <c r="Y1828" i="2"/>
  <c r="A1829" i="2"/>
  <c r="B1829" i="2"/>
  <c r="C1829" i="2"/>
  <c r="D1829" i="2"/>
  <c r="E1829" i="2"/>
  <c r="F1829" i="2"/>
  <c r="G1829" i="2"/>
  <c r="H1829" i="2"/>
  <c r="I1829" i="2"/>
  <c r="J1829" i="2"/>
  <c r="K1829" i="2"/>
  <c r="L1829" i="2"/>
  <c r="M1829" i="2"/>
  <c r="N1829" i="2"/>
  <c r="O1829" i="2"/>
  <c r="P1829" i="2"/>
  <c r="Q1829" i="2"/>
  <c r="R1829" i="2"/>
  <c r="S1829" i="2"/>
  <c r="T1829" i="2"/>
  <c r="U1829" i="2"/>
  <c r="V1829" i="2"/>
  <c r="W1829" i="2"/>
  <c r="X1829" i="2"/>
  <c r="Y1829" i="2"/>
  <c r="A1830" i="2"/>
  <c r="B1830" i="2"/>
  <c r="C1830" i="2"/>
  <c r="D1830" i="2"/>
  <c r="E1830" i="2"/>
  <c r="F1830" i="2"/>
  <c r="G1830" i="2"/>
  <c r="H1830" i="2"/>
  <c r="I1830" i="2"/>
  <c r="J1830" i="2"/>
  <c r="K1830" i="2"/>
  <c r="L1830" i="2"/>
  <c r="M1830" i="2"/>
  <c r="N1830" i="2"/>
  <c r="O1830" i="2"/>
  <c r="P1830" i="2"/>
  <c r="Q1830" i="2"/>
  <c r="R1830" i="2"/>
  <c r="S1830" i="2"/>
  <c r="T1830" i="2"/>
  <c r="U1830" i="2"/>
  <c r="V1830" i="2"/>
  <c r="W1830" i="2"/>
  <c r="X1830" i="2"/>
  <c r="Y1830" i="2"/>
  <c r="A1831" i="2"/>
  <c r="B1831" i="2"/>
  <c r="C1831" i="2"/>
  <c r="D1831" i="2"/>
  <c r="E1831" i="2"/>
  <c r="F1831" i="2"/>
  <c r="G1831" i="2"/>
  <c r="H1831" i="2"/>
  <c r="I1831" i="2"/>
  <c r="J1831" i="2"/>
  <c r="K1831" i="2"/>
  <c r="L1831" i="2"/>
  <c r="M1831" i="2"/>
  <c r="N1831" i="2"/>
  <c r="O1831" i="2"/>
  <c r="P1831" i="2"/>
  <c r="Q1831" i="2"/>
  <c r="R1831" i="2"/>
  <c r="S1831" i="2"/>
  <c r="T1831" i="2"/>
  <c r="U1831" i="2"/>
  <c r="V1831" i="2"/>
  <c r="W1831" i="2"/>
  <c r="X1831" i="2"/>
  <c r="Y1831" i="2"/>
  <c r="B1832" i="2"/>
  <c r="C1832" i="2"/>
  <c r="D1832" i="2"/>
  <c r="E1832" i="2"/>
  <c r="F1832" i="2"/>
  <c r="G1832" i="2"/>
  <c r="H1832" i="2"/>
  <c r="I1832" i="2"/>
  <c r="J1832" i="2"/>
  <c r="K1832" i="2"/>
  <c r="L1832" i="2"/>
  <c r="M1832" i="2"/>
  <c r="N1832" i="2"/>
  <c r="O1832" i="2"/>
  <c r="P1832" i="2"/>
  <c r="Q1832" i="2"/>
  <c r="R1832" i="2"/>
  <c r="S1832" i="2"/>
  <c r="T1832" i="2"/>
  <c r="U1832" i="2"/>
  <c r="V1832" i="2"/>
  <c r="W1832" i="2"/>
  <c r="X1832" i="2"/>
  <c r="Y1832" i="2"/>
  <c r="A1833" i="2"/>
  <c r="B1833" i="2"/>
  <c r="C1833" i="2"/>
  <c r="D1833" i="2"/>
  <c r="E1833" i="2"/>
  <c r="F1833" i="2"/>
  <c r="G1833" i="2"/>
  <c r="H1833" i="2"/>
  <c r="I1833" i="2"/>
  <c r="J1833" i="2"/>
  <c r="K1833" i="2"/>
  <c r="L1833" i="2"/>
  <c r="M1833" i="2"/>
  <c r="N1833" i="2"/>
  <c r="O1833" i="2"/>
  <c r="P1833" i="2"/>
  <c r="Q1833" i="2"/>
  <c r="R1833" i="2"/>
  <c r="S1833" i="2"/>
  <c r="T1833" i="2"/>
  <c r="U1833" i="2"/>
  <c r="V1833" i="2"/>
  <c r="W1833" i="2"/>
  <c r="X1833" i="2"/>
  <c r="Y1833" i="2"/>
  <c r="A1834" i="2"/>
  <c r="B1834" i="2"/>
  <c r="C1834" i="2"/>
  <c r="D1834" i="2"/>
  <c r="E1834" i="2"/>
  <c r="F1834" i="2"/>
  <c r="G1834" i="2"/>
  <c r="H1834" i="2"/>
  <c r="I1834" i="2"/>
  <c r="J1834" i="2"/>
  <c r="K1834" i="2"/>
  <c r="L1834" i="2"/>
  <c r="M1834" i="2"/>
  <c r="N1834" i="2"/>
  <c r="O1834" i="2"/>
  <c r="P1834" i="2"/>
  <c r="Q1834" i="2"/>
  <c r="R1834" i="2"/>
  <c r="S1834" i="2"/>
  <c r="T1834" i="2"/>
  <c r="U1834" i="2"/>
  <c r="V1834" i="2"/>
  <c r="W1834" i="2"/>
  <c r="X1834" i="2"/>
  <c r="Y1834" i="2"/>
  <c r="A1835" i="2"/>
  <c r="B1835" i="2"/>
  <c r="C1835" i="2"/>
  <c r="D1835" i="2"/>
  <c r="E1835" i="2"/>
  <c r="F1835" i="2"/>
  <c r="G1835" i="2"/>
  <c r="H1835" i="2"/>
  <c r="I1835" i="2"/>
  <c r="J1835" i="2"/>
  <c r="K1835" i="2"/>
  <c r="L1835" i="2"/>
  <c r="M1835" i="2"/>
  <c r="N1835" i="2"/>
  <c r="O1835" i="2"/>
  <c r="P1835" i="2"/>
  <c r="Q1835" i="2"/>
  <c r="R1835" i="2"/>
  <c r="S1835" i="2"/>
  <c r="T1835" i="2"/>
  <c r="U1835" i="2"/>
  <c r="V1835" i="2"/>
  <c r="W1835" i="2"/>
  <c r="X1835" i="2"/>
  <c r="Y1835" i="2"/>
  <c r="A1836" i="2"/>
  <c r="B1836" i="2"/>
  <c r="C1836" i="2"/>
  <c r="D1836" i="2"/>
  <c r="E1836" i="2"/>
  <c r="F1836" i="2"/>
  <c r="G1836" i="2"/>
  <c r="H1836" i="2"/>
  <c r="I1836" i="2"/>
  <c r="J1836" i="2"/>
  <c r="K1836" i="2"/>
  <c r="L1836" i="2"/>
  <c r="M1836" i="2"/>
  <c r="N1836" i="2"/>
  <c r="O1836" i="2"/>
  <c r="P1836" i="2"/>
  <c r="Q1836" i="2"/>
  <c r="R1836" i="2"/>
  <c r="S1836" i="2"/>
  <c r="T1836" i="2"/>
  <c r="U1836" i="2"/>
  <c r="V1836" i="2"/>
  <c r="W1836" i="2"/>
  <c r="X1836" i="2"/>
  <c r="Y1836" i="2"/>
  <c r="A1837" i="2"/>
  <c r="B1837" i="2"/>
  <c r="C1837" i="2"/>
  <c r="D1837" i="2"/>
  <c r="E1837" i="2"/>
  <c r="F1837" i="2"/>
  <c r="G1837" i="2"/>
  <c r="H1837" i="2"/>
  <c r="I1837" i="2"/>
  <c r="J1837" i="2"/>
  <c r="K1837" i="2"/>
  <c r="L1837" i="2"/>
  <c r="M1837" i="2"/>
  <c r="N1837" i="2"/>
  <c r="O1837" i="2"/>
  <c r="P1837" i="2"/>
  <c r="Q1837" i="2"/>
  <c r="R1837" i="2"/>
  <c r="S1837" i="2"/>
  <c r="T1837" i="2"/>
  <c r="U1837" i="2"/>
  <c r="V1837" i="2"/>
  <c r="W1837" i="2"/>
  <c r="X1837" i="2"/>
  <c r="Y1837" i="2"/>
  <c r="A1838" i="2"/>
  <c r="B1838" i="2"/>
  <c r="C1838" i="2"/>
  <c r="D1838" i="2"/>
  <c r="E1838" i="2"/>
  <c r="F1838" i="2"/>
  <c r="G1838" i="2"/>
  <c r="H1838" i="2"/>
  <c r="I1838" i="2"/>
  <c r="J1838" i="2"/>
  <c r="K1838" i="2"/>
  <c r="L1838" i="2"/>
  <c r="M1838" i="2"/>
  <c r="N1838" i="2"/>
  <c r="O1838" i="2"/>
  <c r="P1838" i="2"/>
  <c r="Q1838" i="2"/>
  <c r="R1838" i="2"/>
  <c r="S1838" i="2"/>
  <c r="T1838" i="2"/>
  <c r="U1838" i="2"/>
  <c r="V1838" i="2"/>
  <c r="W1838" i="2"/>
  <c r="X1838" i="2"/>
  <c r="Y1838" i="2"/>
  <c r="A1839" i="2"/>
  <c r="B1839" i="2"/>
  <c r="C1839" i="2"/>
  <c r="D1839" i="2"/>
  <c r="E1839" i="2"/>
  <c r="F1839" i="2"/>
  <c r="G1839" i="2"/>
  <c r="H1839" i="2"/>
  <c r="I1839" i="2"/>
  <c r="J1839" i="2"/>
  <c r="K1839" i="2"/>
  <c r="L1839" i="2"/>
  <c r="M1839" i="2"/>
  <c r="N1839" i="2"/>
  <c r="O1839" i="2"/>
  <c r="P1839" i="2"/>
  <c r="Q1839" i="2"/>
  <c r="R1839" i="2"/>
  <c r="S1839" i="2"/>
  <c r="T1839" i="2"/>
  <c r="U1839" i="2"/>
  <c r="V1839" i="2"/>
  <c r="W1839" i="2"/>
  <c r="X1839" i="2"/>
  <c r="Y1839" i="2"/>
  <c r="A1840" i="2"/>
  <c r="B1840" i="2"/>
  <c r="C1840" i="2"/>
  <c r="D1840" i="2"/>
  <c r="E1840" i="2"/>
  <c r="F1840" i="2"/>
  <c r="G1840" i="2"/>
  <c r="H1840" i="2"/>
  <c r="I1840" i="2"/>
  <c r="J1840" i="2"/>
  <c r="K1840" i="2"/>
  <c r="L1840" i="2"/>
  <c r="M1840" i="2"/>
  <c r="N1840" i="2"/>
  <c r="O1840" i="2"/>
  <c r="P1840" i="2"/>
  <c r="Q1840" i="2"/>
  <c r="R1840" i="2"/>
  <c r="S1840" i="2"/>
  <c r="T1840" i="2"/>
  <c r="U1840" i="2"/>
  <c r="V1840" i="2"/>
  <c r="W1840" i="2"/>
  <c r="X1840" i="2"/>
  <c r="Y1840" i="2"/>
  <c r="A1841" i="2"/>
  <c r="B1841" i="2"/>
  <c r="C1841" i="2"/>
  <c r="D1841" i="2"/>
  <c r="E1841" i="2"/>
  <c r="F1841" i="2"/>
  <c r="G1841" i="2"/>
  <c r="H1841" i="2"/>
  <c r="I1841" i="2"/>
  <c r="J1841" i="2"/>
  <c r="K1841" i="2"/>
  <c r="L1841" i="2"/>
  <c r="M1841" i="2"/>
  <c r="N1841" i="2"/>
  <c r="O1841" i="2"/>
  <c r="P1841" i="2"/>
  <c r="Q1841" i="2"/>
  <c r="R1841" i="2"/>
  <c r="S1841" i="2"/>
  <c r="T1841" i="2"/>
  <c r="U1841" i="2"/>
  <c r="V1841" i="2"/>
  <c r="W1841" i="2"/>
  <c r="X1841" i="2"/>
  <c r="Y1841" i="2"/>
  <c r="A1842" i="2"/>
  <c r="B1842" i="2"/>
  <c r="C1842" i="2"/>
  <c r="D1842" i="2"/>
  <c r="E1842" i="2"/>
  <c r="F1842" i="2"/>
  <c r="G1842" i="2"/>
  <c r="H1842" i="2"/>
  <c r="I1842" i="2"/>
  <c r="J1842" i="2"/>
  <c r="K1842" i="2"/>
  <c r="L1842" i="2"/>
  <c r="M1842" i="2"/>
  <c r="N1842" i="2"/>
  <c r="O1842" i="2"/>
  <c r="P1842" i="2"/>
  <c r="Q1842" i="2"/>
  <c r="R1842" i="2"/>
  <c r="S1842" i="2"/>
  <c r="T1842" i="2"/>
  <c r="U1842" i="2"/>
  <c r="V1842" i="2"/>
  <c r="W1842" i="2"/>
  <c r="X1842" i="2"/>
  <c r="Y1842" i="2"/>
  <c r="A1843" i="2"/>
  <c r="B1843" i="2"/>
  <c r="C1843" i="2"/>
  <c r="D1843" i="2"/>
  <c r="E1843" i="2"/>
  <c r="F1843" i="2"/>
  <c r="G1843" i="2"/>
  <c r="H1843" i="2"/>
  <c r="I1843" i="2"/>
  <c r="J1843" i="2"/>
  <c r="K1843" i="2"/>
  <c r="L1843" i="2"/>
  <c r="M1843" i="2"/>
  <c r="N1843" i="2"/>
  <c r="O1843" i="2"/>
  <c r="P1843" i="2"/>
  <c r="Q1843" i="2"/>
  <c r="R1843" i="2"/>
  <c r="S1843" i="2"/>
  <c r="T1843" i="2"/>
  <c r="U1843" i="2"/>
  <c r="V1843" i="2"/>
  <c r="W1843" i="2"/>
  <c r="X1843" i="2"/>
  <c r="Y1843" i="2"/>
  <c r="A1844" i="2"/>
  <c r="B1844" i="2"/>
  <c r="C1844" i="2"/>
  <c r="D1844" i="2"/>
  <c r="E1844" i="2"/>
  <c r="F1844" i="2"/>
  <c r="G1844" i="2"/>
  <c r="H1844" i="2"/>
  <c r="I1844" i="2"/>
  <c r="J1844" i="2"/>
  <c r="K1844" i="2"/>
  <c r="L1844" i="2"/>
  <c r="M1844" i="2"/>
  <c r="N1844" i="2"/>
  <c r="O1844" i="2"/>
  <c r="P1844" i="2"/>
  <c r="Q1844" i="2"/>
  <c r="R1844" i="2"/>
  <c r="S1844" i="2"/>
  <c r="T1844" i="2"/>
  <c r="U1844" i="2"/>
  <c r="V1844" i="2"/>
  <c r="W1844" i="2"/>
  <c r="X1844" i="2"/>
  <c r="Y1844" i="2"/>
  <c r="A1845" i="2"/>
  <c r="B1845" i="2"/>
  <c r="C1845" i="2"/>
  <c r="D1845" i="2"/>
  <c r="E1845" i="2"/>
  <c r="F1845" i="2"/>
  <c r="G1845" i="2"/>
  <c r="H1845" i="2"/>
  <c r="I1845" i="2"/>
  <c r="J1845" i="2"/>
  <c r="K1845" i="2"/>
  <c r="L1845" i="2"/>
  <c r="M1845" i="2"/>
  <c r="N1845" i="2"/>
  <c r="O1845" i="2"/>
  <c r="P1845" i="2"/>
  <c r="Q1845" i="2"/>
  <c r="R1845" i="2"/>
  <c r="S1845" i="2"/>
  <c r="T1845" i="2"/>
  <c r="U1845" i="2"/>
  <c r="V1845" i="2"/>
  <c r="W1845" i="2"/>
  <c r="X1845" i="2"/>
  <c r="Y1845" i="2"/>
  <c r="A1846" i="2"/>
  <c r="B1846" i="2"/>
  <c r="C1846" i="2"/>
  <c r="D1846" i="2"/>
  <c r="E1846" i="2"/>
  <c r="F1846" i="2"/>
  <c r="G1846" i="2"/>
  <c r="H1846" i="2"/>
  <c r="I1846" i="2"/>
  <c r="J1846" i="2"/>
  <c r="K1846" i="2"/>
  <c r="L1846" i="2"/>
  <c r="M1846" i="2"/>
  <c r="N1846" i="2"/>
  <c r="O1846" i="2"/>
  <c r="P1846" i="2"/>
  <c r="Q1846" i="2"/>
  <c r="R1846" i="2"/>
  <c r="S1846" i="2"/>
  <c r="T1846" i="2"/>
  <c r="U1846" i="2"/>
  <c r="V1846" i="2"/>
  <c r="W1846" i="2"/>
  <c r="X1846" i="2"/>
  <c r="Y1846" i="2"/>
  <c r="A1847" i="2"/>
  <c r="B1847" i="2"/>
  <c r="C1847" i="2"/>
  <c r="D1847" i="2"/>
  <c r="E1847" i="2"/>
  <c r="F1847" i="2"/>
  <c r="G1847" i="2"/>
  <c r="H1847" i="2"/>
  <c r="I1847" i="2"/>
  <c r="J1847" i="2"/>
  <c r="K1847" i="2"/>
  <c r="L1847" i="2"/>
  <c r="M1847" i="2"/>
  <c r="N1847" i="2"/>
  <c r="O1847" i="2"/>
  <c r="P1847" i="2"/>
  <c r="Q1847" i="2"/>
  <c r="R1847" i="2"/>
  <c r="S1847" i="2"/>
  <c r="T1847" i="2"/>
  <c r="U1847" i="2"/>
  <c r="V1847" i="2"/>
  <c r="W1847" i="2"/>
  <c r="X1847" i="2"/>
  <c r="Y1847" i="2"/>
  <c r="B1848" i="2"/>
  <c r="C1848" i="2"/>
  <c r="D1848" i="2"/>
  <c r="E1848" i="2"/>
  <c r="F1848" i="2"/>
  <c r="G1848" i="2"/>
  <c r="H1848" i="2"/>
  <c r="I1848" i="2"/>
  <c r="J1848" i="2"/>
  <c r="K1848" i="2"/>
  <c r="L1848" i="2"/>
  <c r="M1848" i="2"/>
  <c r="N1848" i="2"/>
  <c r="O1848" i="2"/>
  <c r="P1848" i="2"/>
  <c r="Q1848" i="2"/>
  <c r="R1848" i="2"/>
  <c r="S1848" i="2"/>
  <c r="T1848" i="2"/>
  <c r="U1848" i="2"/>
  <c r="V1848" i="2"/>
  <c r="W1848" i="2"/>
  <c r="X1848" i="2"/>
  <c r="Y1848" i="2"/>
  <c r="A1849" i="2"/>
  <c r="B1849" i="2"/>
  <c r="C1849" i="2"/>
  <c r="D1849" i="2"/>
  <c r="E1849" i="2"/>
  <c r="F1849" i="2"/>
  <c r="G1849" i="2"/>
  <c r="H1849" i="2"/>
  <c r="I1849" i="2"/>
  <c r="J1849" i="2"/>
  <c r="K1849" i="2"/>
  <c r="L1849" i="2"/>
  <c r="M1849" i="2"/>
  <c r="N1849" i="2"/>
  <c r="O1849" i="2"/>
  <c r="P1849" i="2"/>
  <c r="Q1849" i="2"/>
  <c r="R1849" i="2"/>
  <c r="S1849" i="2"/>
  <c r="T1849" i="2"/>
  <c r="U1849" i="2"/>
  <c r="V1849" i="2"/>
  <c r="W1849" i="2"/>
  <c r="X1849" i="2"/>
  <c r="Y1849" i="2"/>
  <c r="A1850" i="2"/>
  <c r="B1850" i="2"/>
  <c r="C1850" i="2"/>
  <c r="D1850" i="2"/>
  <c r="E1850" i="2"/>
  <c r="F1850" i="2"/>
  <c r="G1850" i="2"/>
  <c r="H1850" i="2"/>
  <c r="I1850" i="2"/>
  <c r="J1850" i="2"/>
  <c r="K1850" i="2"/>
  <c r="L1850" i="2"/>
  <c r="M1850" i="2"/>
  <c r="N1850" i="2"/>
  <c r="O1850" i="2"/>
  <c r="P1850" i="2"/>
  <c r="Q1850" i="2"/>
  <c r="R1850" i="2"/>
  <c r="S1850" i="2"/>
  <c r="T1850" i="2"/>
  <c r="U1850" i="2"/>
  <c r="V1850" i="2"/>
  <c r="W1850" i="2"/>
  <c r="X1850" i="2"/>
  <c r="Y1850" i="2"/>
  <c r="A1851" i="2"/>
  <c r="B1851" i="2"/>
  <c r="C1851" i="2"/>
  <c r="D1851" i="2"/>
  <c r="E1851" i="2"/>
  <c r="F1851" i="2"/>
  <c r="G1851" i="2"/>
  <c r="H1851" i="2"/>
  <c r="I1851" i="2"/>
  <c r="J1851" i="2"/>
  <c r="K1851" i="2"/>
  <c r="L1851" i="2"/>
  <c r="M1851" i="2"/>
  <c r="N1851" i="2"/>
  <c r="O1851" i="2"/>
  <c r="P1851" i="2"/>
  <c r="Q1851" i="2"/>
  <c r="R1851" i="2"/>
  <c r="S1851" i="2"/>
  <c r="T1851" i="2"/>
  <c r="U1851" i="2"/>
  <c r="V1851" i="2"/>
  <c r="W1851" i="2"/>
  <c r="X1851" i="2"/>
  <c r="Y1851" i="2"/>
  <c r="A1852" i="2"/>
  <c r="B1852" i="2"/>
  <c r="C1852" i="2"/>
  <c r="D1852" i="2"/>
  <c r="E1852" i="2"/>
  <c r="F1852" i="2"/>
  <c r="G1852" i="2"/>
  <c r="H1852" i="2"/>
  <c r="I1852" i="2"/>
  <c r="J1852" i="2"/>
  <c r="K1852" i="2"/>
  <c r="L1852" i="2"/>
  <c r="M1852" i="2"/>
  <c r="N1852" i="2"/>
  <c r="O1852" i="2"/>
  <c r="P1852" i="2"/>
  <c r="Q1852" i="2"/>
  <c r="R1852" i="2"/>
  <c r="S1852" i="2"/>
  <c r="T1852" i="2"/>
  <c r="U1852" i="2"/>
  <c r="V1852" i="2"/>
  <c r="W1852" i="2"/>
  <c r="X1852" i="2"/>
  <c r="Y1852" i="2"/>
  <c r="A1853" i="2"/>
  <c r="B1853" i="2"/>
  <c r="C1853" i="2"/>
  <c r="D1853" i="2"/>
  <c r="E1853" i="2"/>
  <c r="F1853" i="2"/>
  <c r="G1853" i="2"/>
  <c r="H1853" i="2"/>
  <c r="I1853" i="2"/>
  <c r="J1853" i="2"/>
  <c r="K1853" i="2"/>
  <c r="L1853" i="2"/>
  <c r="M1853" i="2"/>
  <c r="N1853" i="2"/>
  <c r="O1853" i="2"/>
  <c r="P1853" i="2"/>
  <c r="Q1853" i="2"/>
  <c r="R1853" i="2"/>
  <c r="S1853" i="2"/>
  <c r="T1853" i="2"/>
  <c r="U1853" i="2"/>
  <c r="V1853" i="2"/>
  <c r="W1853" i="2"/>
  <c r="X1853" i="2"/>
  <c r="Y1853" i="2"/>
  <c r="A1854" i="2"/>
  <c r="B1854" i="2"/>
  <c r="C1854" i="2"/>
  <c r="D1854" i="2"/>
  <c r="E1854" i="2"/>
  <c r="F1854" i="2"/>
  <c r="G1854" i="2"/>
  <c r="H1854" i="2"/>
  <c r="I1854" i="2"/>
  <c r="J1854" i="2"/>
  <c r="K1854" i="2"/>
  <c r="L1854" i="2"/>
  <c r="M1854" i="2"/>
  <c r="N1854" i="2"/>
  <c r="O1854" i="2"/>
  <c r="P1854" i="2"/>
  <c r="Q1854" i="2"/>
  <c r="R1854" i="2"/>
  <c r="S1854" i="2"/>
  <c r="T1854" i="2"/>
  <c r="U1854" i="2"/>
  <c r="V1854" i="2"/>
  <c r="W1854" i="2"/>
  <c r="X1854" i="2"/>
  <c r="Y1854" i="2"/>
  <c r="A1855" i="2"/>
  <c r="B1855" i="2"/>
  <c r="C1855" i="2"/>
  <c r="D1855" i="2"/>
  <c r="E1855" i="2"/>
  <c r="F1855" i="2"/>
  <c r="G1855" i="2"/>
  <c r="H1855" i="2"/>
  <c r="I1855" i="2"/>
  <c r="J1855" i="2"/>
  <c r="K1855" i="2"/>
  <c r="L1855" i="2"/>
  <c r="M1855" i="2"/>
  <c r="N1855" i="2"/>
  <c r="O1855" i="2"/>
  <c r="P1855" i="2"/>
  <c r="Q1855" i="2"/>
  <c r="R1855" i="2"/>
  <c r="S1855" i="2"/>
  <c r="T1855" i="2"/>
  <c r="U1855" i="2"/>
  <c r="V1855" i="2"/>
  <c r="W1855" i="2"/>
  <c r="X1855" i="2"/>
  <c r="Y1855" i="2"/>
  <c r="A1856" i="2"/>
  <c r="B1856" i="2"/>
  <c r="C1856" i="2"/>
  <c r="D1856" i="2"/>
  <c r="E1856" i="2"/>
  <c r="F1856" i="2"/>
  <c r="G1856" i="2"/>
  <c r="H1856" i="2"/>
  <c r="I1856" i="2"/>
  <c r="J1856" i="2"/>
  <c r="K1856" i="2"/>
  <c r="L1856" i="2"/>
  <c r="M1856" i="2"/>
  <c r="N1856" i="2"/>
  <c r="O1856" i="2"/>
  <c r="P1856" i="2"/>
  <c r="Q1856" i="2"/>
  <c r="R1856" i="2"/>
  <c r="S1856" i="2"/>
  <c r="T1856" i="2"/>
  <c r="U1856" i="2"/>
  <c r="V1856" i="2"/>
  <c r="W1856" i="2"/>
  <c r="X1856" i="2"/>
  <c r="Y1856" i="2"/>
  <c r="A1857" i="2"/>
  <c r="B1857" i="2"/>
  <c r="C1857" i="2"/>
  <c r="D1857" i="2"/>
  <c r="E1857" i="2"/>
  <c r="F1857" i="2"/>
  <c r="G1857" i="2"/>
  <c r="H1857" i="2"/>
  <c r="I1857" i="2"/>
  <c r="J1857" i="2"/>
  <c r="K1857" i="2"/>
  <c r="L1857" i="2"/>
  <c r="M1857" i="2"/>
  <c r="N1857" i="2"/>
  <c r="O1857" i="2"/>
  <c r="P1857" i="2"/>
  <c r="Q1857" i="2"/>
  <c r="R1857" i="2"/>
  <c r="S1857" i="2"/>
  <c r="T1857" i="2"/>
  <c r="U1857" i="2"/>
  <c r="V1857" i="2"/>
  <c r="W1857" i="2"/>
  <c r="X1857" i="2"/>
  <c r="Y1857" i="2"/>
  <c r="A1858" i="2"/>
  <c r="B1858" i="2"/>
  <c r="C1858" i="2"/>
  <c r="D1858" i="2"/>
  <c r="E1858" i="2"/>
  <c r="F1858" i="2"/>
  <c r="G1858" i="2"/>
  <c r="H1858" i="2"/>
  <c r="I1858" i="2"/>
  <c r="J1858" i="2"/>
  <c r="K1858" i="2"/>
  <c r="L1858" i="2"/>
  <c r="M1858" i="2"/>
  <c r="N1858" i="2"/>
  <c r="O1858" i="2"/>
  <c r="P1858" i="2"/>
  <c r="Q1858" i="2"/>
  <c r="R1858" i="2"/>
  <c r="S1858" i="2"/>
  <c r="T1858" i="2"/>
  <c r="U1858" i="2"/>
  <c r="V1858" i="2"/>
  <c r="W1858" i="2"/>
  <c r="X1858" i="2"/>
  <c r="Y1858" i="2"/>
  <c r="A1859" i="2"/>
  <c r="B1859" i="2"/>
  <c r="C1859" i="2"/>
  <c r="D1859" i="2"/>
  <c r="E1859" i="2"/>
  <c r="F1859" i="2"/>
  <c r="G1859" i="2"/>
  <c r="H1859" i="2"/>
  <c r="I1859" i="2"/>
  <c r="J1859" i="2"/>
  <c r="K1859" i="2"/>
  <c r="L1859" i="2"/>
  <c r="M1859" i="2"/>
  <c r="N1859" i="2"/>
  <c r="O1859" i="2"/>
  <c r="P1859" i="2"/>
  <c r="Q1859" i="2"/>
  <c r="R1859" i="2"/>
  <c r="S1859" i="2"/>
  <c r="T1859" i="2"/>
  <c r="U1859" i="2"/>
  <c r="V1859" i="2"/>
  <c r="W1859" i="2"/>
  <c r="X1859" i="2"/>
  <c r="Y1859" i="2"/>
  <c r="A1860" i="2"/>
  <c r="B1860" i="2"/>
  <c r="C1860" i="2"/>
  <c r="D1860" i="2"/>
  <c r="E1860" i="2"/>
  <c r="F1860" i="2"/>
  <c r="G1860" i="2"/>
  <c r="H1860" i="2"/>
  <c r="I1860" i="2"/>
  <c r="J1860" i="2"/>
  <c r="K1860" i="2"/>
  <c r="L1860" i="2"/>
  <c r="M1860" i="2"/>
  <c r="N1860" i="2"/>
  <c r="O1860" i="2"/>
  <c r="P1860" i="2"/>
  <c r="Q1860" i="2"/>
  <c r="R1860" i="2"/>
  <c r="S1860" i="2"/>
  <c r="T1860" i="2"/>
  <c r="U1860" i="2"/>
  <c r="V1860" i="2"/>
  <c r="W1860" i="2"/>
  <c r="X1860" i="2"/>
  <c r="Y1860" i="2"/>
  <c r="A1861" i="2"/>
  <c r="B1861" i="2"/>
  <c r="C1861" i="2"/>
  <c r="D1861" i="2"/>
  <c r="E1861" i="2"/>
  <c r="F1861" i="2"/>
  <c r="G1861" i="2"/>
  <c r="H1861" i="2"/>
  <c r="I1861" i="2"/>
  <c r="J1861" i="2"/>
  <c r="K1861" i="2"/>
  <c r="L1861" i="2"/>
  <c r="M1861" i="2"/>
  <c r="N1861" i="2"/>
  <c r="O1861" i="2"/>
  <c r="P1861" i="2"/>
  <c r="Q1861" i="2"/>
  <c r="R1861" i="2"/>
  <c r="S1861" i="2"/>
  <c r="T1861" i="2"/>
  <c r="U1861" i="2"/>
  <c r="V1861" i="2"/>
  <c r="W1861" i="2"/>
  <c r="X1861" i="2"/>
  <c r="Y1861" i="2"/>
  <c r="A1862" i="2"/>
  <c r="B1862" i="2"/>
  <c r="C1862" i="2"/>
  <c r="D1862" i="2"/>
  <c r="E1862" i="2"/>
  <c r="F1862" i="2"/>
  <c r="G1862" i="2"/>
  <c r="H1862" i="2"/>
  <c r="I1862" i="2"/>
  <c r="J1862" i="2"/>
  <c r="K1862" i="2"/>
  <c r="L1862" i="2"/>
  <c r="M1862" i="2"/>
  <c r="N1862" i="2"/>
  <c r="O1862" i="2"/>
  <c r="P1862" i="2"/>
  <c r="Q1862" i="2"/>
  <c r="R1862" i="2"/>
  <c r="S1862" i="2"/>
  <c r="T1862" i="2"/>
  <c r="U1862" i="2"/>
  <c r="V1862" i="2"/>
  <c r="W1862" i="2"/>
  <c r="X1862" i="2"/>
  <c r="Y1862" i="2"/>
  <c r="A1863" i="2"/>
  <c r="B1863" i="2"/>
  <c r="C1863" i="2"/>
  <c r="D1863" i="2"/>
  <c r="E1863" i="2"/>
  <c r="F1863" i="2"/>
  <c r="G1863" i="2"/>
  <c r="H1863" i="2"/>
  <c r="I1863" i="2"/>
  <c r="J1863" i="2"/>
  <c r="K1863" i="2"/>
  <c r="L1863" i="2"/>
  <c r="M1863" i="2"/>
  <c r="N1863" i="2"/>
  <c r="O1863" i="2"/>
  <c r="P1863" i="2"/>
  <c r="Q1863" i="2"/>
  <c r="R1863" i="2"/>
  <c r="S1863" i="2"/>
  <c r="T1863" i="2"/>
  <c r="U1863" i="2"/>
  <c r="V1863" i="2"/>
  <c r="W1863" i="2"/>
  <c r="X1863" i="2"/>
  <c r="Y1863" i="2"/>
  <c r="B1864" i="2"/>
  <c r="C1864" i="2"/>
  <c r="D1864" i="2"/>
  <c r="E1864" i="2"/>
  <c r="F1864" i="2"/>
  <c r="G1864" i="2"/>
  <c r="H1864" i="2"/>
  <c r="I1864" i="2"/>
  <c r="J1864" i="2"/>
  <c r="K1864" i="2"/>
  <c r="L1864" i="2"/>
  <c r="M1864" i="2"/>
  <c r="N1864" i="2"/>
  <c r="O1864" i="2"/>
  <c r="P1864" i="2"/>
  <c r="Q1864" i="2"/>
  <c r="R1864" i="2"/>
  <c r="S1864" i="2"/>
  <c r="T1864" i="2"/>
  <c r="U1864" i="2"/>
  <c r="V1864" i="2"/>
  <c r="W1864" i="2"/>
  <c r="X1864" i="2"/>
  <c r="Y1864" i="2"/>
  <c r="A1865" i="2"/>
  <c r="B1865" i="2"/>
  <c r="C1865" i="2"/>
  <c r="D1865" i="2"/>
  <c r="E1865" i="2"/>
  <c r="F1865" i="2"/>
  <c r="G1865" i="2"/>
  <c r="H1865" i="2"/>
  <c r="I1865" i="2"/>
  <c r="J1865" i="2"/>
  <c r="K1865" i="2"/>
  <c r="L1865" i="2"/>
  <c r="M1865" i="2"/>
  <c r="N1865" i="2"/>
  <c r="O1865" i="2"/>
  <c r="P1865" i="2"/>
  <c r="Q1865" i="2"/>
  <c r="R1865" i="2"/>
  <c r="S1865" i="2"/>
  <c r="T1865" i="2"/>
  <c r="U1865" i="2"/>
  <c r="V1865" i="2"/>
  <c r="W1865" i="2"/>
  <c r="X1865" i="2"/>
  <c r="Y1865" i="2"/>
  <c r="A1866" i="2"/>
  <c r="B1866" i="2"/>
  <c r="C1866" i="2"/>
  <c r="D1866" i="2"/>
  <c r="E1866" i="2"/>
  <c r="F1866" i="2"/>
  <c r="G1866" i="2"/>
  <c r="H1866" i="2"/>
  <c r="I1866" i="2"/>
  <c r="J1866" i="2"/>
  <c r="K1866" i="2"/>
  <c r="L1866" i="2"/>
  <c r="M1866" i="2"/>
  <c r="N1866" i="2"/>
  <c r="O1866" i="2"/>
  <c r="P1866" i="2"/>
  <c r="Q1866" i="2"/>
  <c r="R1866" i="2"/>
  <c r="S1866" i="2"/>
  <c r="T1866" i="2"/>
  <c r="U1866" i="2"/>
  <c r="V1866" i="2"/>
  <c r="W1866" i="2"/>
  <c r="X1866" i="2"/>
  <c r="Y1866" i="2"/>
  <c r="A1867" i="2"/>
  <c r="B1867" i="2"/>
  <c r="C1867" i="2"/>
  <c r="D1867" i="2"/>
  <c r="E1867" i="2"/>
  <c r="F1867" i="2"/>
  <c r="G1867" i="2"/>
  <c r="H1867" i="2"/>
  <c r="I1867" i="2"/>
  <c r="J1867" i="2"/>
  <c r="K1867" i="2"/>
  <c r="L1867" i="2"/>
  <c r="M1867" i="2"/>
  <c r="N1867" i="2"/>
  <c r="O1867" i="2"/>
  <c r="P1867" i="2"/>
  <c r="Q1867" i="2"/>
  <c r="R1867" i="2"/>
  <c r="S1867" i="2"/>
  <c r="T1867" i="2"/>
  <c r="U1867" i="2"/>
  <c r="V1867" i="2"/>
  <c r="W1867" i="2"/>
  <c r="X1867" i="2"/>
  <c r="Y1867" i="2"/>
  <c r="A1868" i="2"/>
  <c r="B1868" i="2"/>
  <c r="C1868" i="2"/>
  <c r="D1868" i="2"/>
  <c r="E1868" i="2"/>
  <c r="F1868" i="2"/>
  <c r="G1868" i="2"/>
  <c r="H1868" i="2"/>
  <c r="I1868" i="2"/>
  <c r="J1868" i="2"/>
  <c r="K1868" i="2"/>
  <c r="L1868" i="2"/>
  <c r="M1868" i="2"/>
  <c r="N1868" i="2"/>
  <c r="O1868" i="2"/>
  <c r="P1868" i="2"/>
  <c r="Q1868" i="2"/>
  <c r="R1868" i="2"/>
  <c r="S1868" i="2"/>
  <c r="T1868" i="2"/>
  <c r="U1868" i="2"/>
  <c r="V1868" i="2"/>
  <c r="W1868" i="2"/>
  <c r="X1868" i="2"/>
  <c r="Y1868" i="2"/>
  <c r="A1869" i="2"/>
  <c r="B1869" i="2"/>
  <c r="C1869" i="2"/>
  <c r="D1869" i="2"/>
  <c r="E1869" i="2"/>
  <c r="F1869" i="2"/>
  <c r="G1869" i="2"/>
  <c r="H1869" i="2"/>
  <c r="I1869" i="2"/>
  <c r="J1869" i="2"/>
  <c r="K1869" i="2"/>
  <c r="L1869" i="2"/>
  <c r="M1869" i="2"/>
  <c r="N1869" i="2"/>
  <c r="O1869" i="2"/>
  <c r="P1869" i="2"/>
  <c r="Q1869" i="2"/>
  <c r="R1869" i="2"/>
  <c r="S1869" i="2"/>
  <c r="T1869" i="2"/>
  <c r="U1869" i="2"/>
  <c r="V1869" i="2"/>
  <c r="W1869" i="2"/>
  <c r="X1869" i="2"/>
  <c r="Y1869" i="2"/>
  <c r="A1870" i="2"/>
  <c r="B1870" i="2"/>
  <c r="C1870" i="2"/>
  <c r="D1870" i="2"/>
  <c r="E1870" i="2"/>
  <c r="F1870" i="2"/>
  <c r="G1870" i="2"/>
  <c r="H1870" i="2"/>
  <c r="I1870" i="2"/>
  <c r="J1870" i="2"/>
  <c r="K1870" i="2"/>
  <c r="L1870" i="2"/>
  <c r="M1870" i="2"/>
  <c r="N1870" i="2"/>
  <c r="O1870" i="2"/>
  <c r="P1870" i="2"/>
  <c r="Q1870" i="2"/>
  <c r="R1870" i="2"/>
  <c r="S1870" i="2"/>
  <c r="T1870" i="2"/>
  <c r="U1870" i="2"/>
  <c r="V1870" i="2"/>
  <c r="W1870" i="2"/>
  <c r="X1870" i="2"/>
  <c r="Y1870" i="2"/>
  <c r="A1871" i="2"/>
  <c r="B1871" i="2"/>
  <c r="C1871" i="2"/>
  <c r="D1871" i="2"/>
  <c r="E1871" i="2"/>
  <c r="F1871" i="2"/>
  <c r="G1871" i="2"/>
  <c r="H1871" i="2"/>
  <c r="I1871" i="2"/>
  <c r="J1871" i="2"/>
  <c r="K1871" i="2"/>
  <c r="L1871" i="2"/>
  <c r="M1871" i="2"/>
  <c r="N1871" i="2"/>
  <c r="O1871" i="2"/>
  <c r="P1871" i="2"/>
  <c r="Q1871" i="2"/>
  <c r="R1871" i="2"/>
  <c r="S1871" i="2"/>
  <c r="T1871" i="2"/>
  <c r="U1871" i="2"/>
  <c r="V1871" i="2"/>
  <c r="W1871" i="2"/>
  <c r="X1871" i="2"/>
  <c r="Y1871" i="2"/>
  <c r="A1872" i="2"/>
  <c r="B1872" i="2"/>
  <c r="C1872" i="2"/>
  <c r="D1872" i="2"/>
  <c r="E1872" i="2"/>
  <c r="F1872" i="2"/>
  <c r="G1872" i="2"/>
  <c r="H1872" i="2"/>
  <c r="I1872" i="2"/>
  <c r="J1872" i="2"/>
  <c r="K1872" i="2"/>
  <c r="L1872" i="2"/>
  <c r="M1872" i="2"/>
  <c r="N1872" i="2"/>
  <c r="O1872" i="2"/>
  <c r="P1872" i="2"/>
  <c r="Q1872" i="2"/>
  <c r="R1872" i="2"/>
  <c r="S1872" i="2"/>
  <c r="T1872" i="2"/>
  <c r="U1872" i="2"/>
  <c r="V1872" i="2"/>
  <c r="W1872" i="2"/>
  <c r="X1872" i="2"/>
  <c r="Y1872" i="2"/>
  <c r="A1873" i="2"/>
  <c r="B1873" i="2"/>
  <c r="C1873" i="2"/>
  <c r="D1873" i="2"/>
  <c r="E1873" i="2"/>
  <c r="F1873" i="2"/>
  <c r="G1873" i="2"/>
  <c r="H1873" i="2"/>
  <c r="I1873" i="2"/>
  <c r="J1873" i="2"/>
  <c r="K1873" i="2"/>
  <c r="L1873" i="2"/>
  <c r="M1873" i="2"/>
  <c r="N1873" i="2"/>
  <c r="O1873" i="2"/>
  <c r="P1873" i="2"/>
  <c r="Q1873" i="2"/>
  <c r="R1873" i="2"/>
  <c r="S1873" i="2"/>
  <c r="T1873" i="2"/>
  <c r="U1873" i="2"/>
  <c r="V1873" i="2"/>
  <c r="W1873" i="2"/>
  <c r="X1873" i="2"/>
  <c r="Y1873" i="2"/>
  <c r="A1874" i="2"/>
  <c r="B1874" i="2"/>
  <c r="C1874" i="2"/>
  <c r="D1874" i="2"/>
  <c r="E1874" i="2"/>
  <c r="F1874" i="2"/>
  <c r="G1874" i="2"/>
  <c r="H1874" i="2"/>
  <c r="I1874" i="2"/>
  <c r="J1874" i="2"/>
  <c r="K1874" i="2"/>
  <c r="L1874" i="2"/>
  <c r="M1874" i="2"/>
  <c r="N1874" i="2"/>
  <c r="O1874" i="2"/>
  <c r="P1874" i="2"/>
  <c r="Q1874" i="2"/>
  <c r="R1874" i="2"/>
  <c r="S1874" i="2"/>
  <c r="T1874" i="2"/>
  <c r="U1874" i="2"/>
  <c r="V1874" i="2"/>
  <c r="W1874" i="2"/>
  <c r="X1874" i="2"/>
  <c r="Y1874" i="2"/>
  <c r="A1875" i="2"/>
  <c r="B1875" i="2"/>
  <c r="C1875" i="2"/>
  <c r="D1875" i="2"/>
  <c r="E1875" i="2"/>
  <c r="F1875" i="2"/>
  <c r="G1875" i="2"/>
  <c r="H1875" i="2"/>
  <c r="I1875" i="2"/>
  <c r="J1875" i="2"/>
  <c r="K1875" i="2"/>
  <c r="L1875" i="2"/>
  <c r="M1875" i="2"/>
  <c r="N1875" i="2"/>
  <c r="O1875" i="2"/>
  <c r="P1875" i="2"/>
  <c r="Q1875" i="2"/>
  <c r="R1875" i="2"/>
  <c r="S1875" i="2"/>
  <c r="T1875" i="2"/>
  <c r="U1875" i="2"/>
  <c r="V1875" i="2"/>
  <c r="W1875" i="2"/>
  <c r="X1875" i="2"/>
  <c r="Y1875" i="2"/>
  <c r="A1876" i="2"/>
  <c r="B1876" i="2"/>
  <c r="C1876" i="2"/>
  <c r="D1876" i="2"/>
  <c r="E1876" i="2"/>
  <c r="F1876" i="2"/>
  <c r="G1876" i="2"/>
  <c r="H1876" i="2"/>
  <c r="I1876" i="2"/>
  <c r="J1876" i="2"/>
  <c r="K1876" i="2"/>
  <c r="L1876" i="2"/>
  <c r="M1876" i="2"/>
  <c r="N1876" i="2"/>
  <c r="O1876" i="2"/>
  <c r="P1876" i="2"/>
  <c r="Q1876" i="2"/>
  <c r="R1876" i="2"/>
  <c r="S1876" i="2"/>
  <c r="T1876" i="2"/>
  <c r="U1876" i="2"/>
  <c r="V1876" i="2"/>
  <c r="W1876" i="2"/>
  <c r="X1876" i="2"/>
  <c r="Y1876" i="2"/>
  <c r="A1877" i="2"/>
  <c r="B1877" i="2"/>
  <c r="C1877" i="2"/>
  <c r="D1877" i="2"/>
  <c r="E1877" i="2"/>
  <c r="F1877" i="2"/>
  <c r="G1877" i="2"/>
  <c r="H1877" i="2"/>
  <c r="I1877" i="2"/>
  <c r="J1877" i="2"/>
  <c r="K1877" i="2"/>
  <c r="L1877" i="2"/>
  <c r="M1877" i="2"/>
  <c r="N1877" i="2"/>
  <c r="O1877" i="2"/>
  <c r="P1877" i="2"/>
  <c r="Q1877" i="2"/>
  <c r="R1877" i="2"/>
  <c r="S1877" i="2"/>
  <c r="T1877" i="2"/>
  <c r="U1877" i="2"/>
  <c r="V1877" i="2"/>
  <c r="W1877" i="2"/>
  <c r="X1877" i="2"/>
  <c r="Y1877" i="2"/>
  <c r="A1878" i="2"/>
  <c r="B1878" i="2"/>
  <c r="C1878" i="2"/>
  <c r="D1878" i="2"/>
  <c r="E1878" i="2"/>
  <c r="F1878" i="2"/>
  <c r="G1878" i="2"/>
  <c r="H1878" i="2"/>
  <c r="I1878" i="2"/>
  <c r="J1878" i="2"/>
  <c r="K1878" i="2"/>
  <c r="L1878" i="2"/>
  <c r="M1878" i="2"/>
  <c r="N1878" i="2"/>
  <c r="O1878" i="2"/>
  <c r="P1878" i="2"/>
  <c r="Q1878" i="2"/>
  <c r="R1878" i="2"/>
  <c r="S1878" i="2"/>
  <c r="T1878" i="2"/>
  <c r="U1878" i="2"/>
  <c r="V1878" i="2"/>
  <c r="W1878" i="2"/>
  <c r="X1878" i="2"/>
  <c r="Y1878" i="2"/>
  <c r="A1879" i="2"/>
  <c r="B1879" i="2"/>
  <c r="C1879" i="2"/>
  <c r="D1879" i="2"/>
  <c r="E1879" i="2"/>
  <c r="F1879" i="2"/>
  <c r="G1879" i="2"/>
  <c r="H1879" i="2"/>
  <c r="I1879" i="2"/>
  <c r="J1879" i="2"/>
  <c r="K1879" i="2"/>
  <c r="L1879" i="2"/>
  <c r="M1879" i="2"/>
  <c r="N1879" i="2"/>
  <c r="O1879" i="2"/>
  <c r="P1879" i="2"/>
  <c r="Q1879" i="2"/>
  <c r="R1879" i="2"/>
  <c r="S1879" i="2"/>
  <c r="T1879" i="2"/>
  <c r="U1879" i="2"/>
  <c r="V1879" i="2"/>
  <c r="W1879" i="2"/>
  <c r="X1879" i="2"/>
  <c r="Y1879" i="2"/>
  <c r="B1880" i="2"/>
  <c r="C1880" i="2"/>
  <c r="D1880" i="2"/>
  <c r="E1880" i="2"/>
  <c r="F1880" i="2"/>
  <c r="G1880" i="2"/>
  <c r="H1880" i="2"/>
  <c r="I1880" i="2"/>
  <c r="J1880" i="2"/>
  <c r="K1880" i="2"/>
  <c r="L1880" i="2"/>
  <c r="M1880" i="2"/>
  <c r="N1880" i="2"/>
  <c r="O1880" i="2"/>
  <c r="P1880" i="2"/>
  <c r="Q1880" i="2"/>
  <c r="R1880" i="2"/>
  <c r="S1880" i="2"/>
  <c r="T1880" i="2"/>
  <c r="U1880" i="2"/>
  <c r="V1880" i="2"/>
  <c r="W1880" i="2"/>
  <c r="X1880" i="2"/>
  <c r="Y1880" i="2"/>
  <c r="A1881" i="2"/>
  <c r="B1881" i="2"/>
  <c r="C1881" i="2"/>
  <c r="D1881" i="2"/>
  <c r="E1881" i="2"/>
  <c r="F1881" i="2"/>
  <c r="G1881" i="2"/>
  <c r="H1881" i="2"/>
  <c r="I1881" i="2"/>
  <c r="J1881" i="2"/>
  <c r="K1881" i="2"/>
  <c r="L1881" i="2"/>
  <c r="M1881" i="2"/>
  <c r="N1881" i="2"/>
  <c r="O1881" i="2"/>
  <c r="P1881" i="2"/>
  <c r="Q1881" i="2"/>
  <c r="R1881" i="2"/>
  <c r="S1881" i="2"/>
  <c r="T1881" i="2"/>
  <c r="U1881" i="2"/>
  <c r="V1881" i="2"/>
  <c r="W1881" i="2"/>
  <c r="X1881" i="2"/>
  <c r="Y1881" i="2"/>
  <c r="A1882" i="2"/>
  <c r="B1882" i="2"/>
  <c r="C1882" i="2"/>
  <c r="D1882" i="2"/>
  <c r="E1882" i="2"/>
  <c r="F1882" i="2"/>
  <c r="G1882" i="2"/>
  <c r="H1882" i="2"/>
  <c r="I1882" i="2"/>
  <c r="J1882" i="2"/>
  <c r="K1882" i="2"/>
  <c r="L1882" i="2"/>
  <c r="M1882" i="2"/>
  <c r="N1882" i="2"/>
  <c r="O1882" i="2"/>
  <c r="P1882" i="2"/>
  <c r="Q1882" i="2"/>
  <c r="R1882" i="2"/>
  <c r="S1882" i="2"/>
  <c r="T1882" i="2"/>
  <c r="U1882" i="2"/>
  <c r="V1882" i="2"/>
  <c r="W1882" i="2"/>
  <c r="X1882" i="2"/>
  <c r="Y1882" i="2"/>
  <c r="A1883" i="2"/>
  <c r="B1883" i="2"/>
  <c r="C1883" i="2"/>
  <c r="D1883" i="2"/>
  <c r="E1883" i="2"/>
  <c r="F1883" i="2"/>
  <c r="G1883" i="2"/>
  <c r="H1883" i="2"/>
  <c r="I1883" i="2"/>
  <c r="J1883" i="2"/>
  <c r="K1883" i="2"/>
  <c r="L1883" i="2"/>
  <c r="M1883" i="2"/>
  <c r="N1883" i="2"/>
  <c r="O1883" i="2"/>
  <c r="P1883" i="2"/>
  <c r="Q1883" i="2"/>
  <c r="R1883" i="2"/>
  <c r="S1883" i="2"/>
  <c r="T1883" i="2"/>
  <c r="U1883" i="2"/>
  <c r="V1883" i="2"/>
  <c r="W1883" i="2"/>
  <c r="X1883" i="2"/>
  <c r="Y1883" i="2"/>
  <c r="A1884" i="2"/>
  <c r="B1884" i="2"/>
  <c r="C1884" i="2"/>
  <c r="D1884" i="2"/>
  <c r="E1884" i="2"/>
  <c r="F1884" i="2"/>
  <c r="G1884" i="2"/>
  <c r="H1884" i="2"/>
  <c r="I1884" i="2"/>
  <c r="J1884" i="2"/>
  <c r="K1884" i="2"/>
  <c r="L1884" i="2"/>
  <c r="M1884" i="2"/>
  <c r="N1884" i="2"/>
  <c r="O1884" i="2"/>
  <c r="P1884" i="2"/>
  <c r="Q1884" i="2"/>
  <c r="R1884" i="2"/>
  <c r="S1884" i="2"/>
  <c r="T1884" i="2"/>
  <c r="U1884" i="2"/>
  <c r="V1884" i="2"/>
  <c r="W1884" i="2"/>
  <c r="X1884" i="2"/>
  <c r="Y1884" i="2"/>
  <c r="A1885" i="2"/>
  <c r="B1885" i="2"/>
  <c r="C1885" i="2"/>
  <c r="D1885" i="2"/>
  <c r="E1885" i="2"/>
  <c r="F1885" i="2"/>
  <c r="G1885" i="2"/>
  <c r="H1885" i="2"/>
  <c r="I1885" i="2"/>
  <c r="J1885" i="2"/>
  <c r="K1885" i="2"/>
  <c r="L1885" i="2"/>
  <c r="M1885" i="2"/>
  <c r="N1885" i="2"/>
  <c r="O1885" i="2"/>
  <c r="P1885" i="2"/>
  <c r="Q1885" i="2"/>
  <c r="R1885" i="2"/>
  <c r="S1885" i="2"/>
  <c r="T1885" i="2"/>
  <c r="U1885" i="2"/>
  <c r="V1885" i="2"/>
  <c r="W1885" i="2"/>
  <c r="X1885" i="2"/>
  <c r="Y1885" i="2"/>
  <c r="A1886" i="2"/>
  <c r="B1886" i="2"/>
  <c r="C1886" i="2"/>
  <c r="D1886" i="2"/>
  <c r="E1886" i="2"/>
  <c r="F1886" i="2"/>
  <c r="G1886" i="2"/>
  <c r="H1886" i="2"/>
  <c r="I1886" i="2"/>
  <c r="J1886" i="2"/>
  <c r="K1886" i="2"/>
  <c r="L1886" i="2"/>
  <c r="M1886" i="2"/>
  <c r="N1886" i="2"/>
  <c r="O1886" i="2"/>
  <c r="P1886" i="2"/>
  <c r="Q1886" i="2"/>
  <c r="R1886" i="2"/>
  <c r="S1886" i="2"/>
  <c r="T1886" i="2"/>
  <c r="U1886" i="2"/>
  <c r="V1886" i="2"/>
  <c r="W1886" i="2"/>
  <c r="X1886" i="2"/>
  <c r="Y1886" i="2"/>
  <c r="A1887" i="2"/>
  <c r="B1887" i="2"/>
  <c r="C1887" i="2"/>
  <c r="D1887" i="2"/>
  <c r="E1887" i="2"/>
  <c r="F1887" i="2"/>
  <c r="G1887" i="2"/>
  <c r="H1887" i="2"/>
  <c r="I1887" i="2"/>
  <c r="J1887" i="2"/>
  <c r="K1887" i="2"/>
  <c r="L1887" i="2"/>
  <c r="M1887" i="2"/>
  <c r="N1887" i="2"/>
  <c r="O1887" i="2"/>
  <c r="P1887" i="2"/>
  <c r="Q1887" i="2"/>
  <c r="R1887" i="2"/>
  <c r="S1887" i="2"/>
  <c r="T1887" i="2"/>
  <c r="U1887" i="2"/>
  <c r="V1887" i="2"/>
  <c r="W1887" i="2"/>
  <c r="X1887" i="2"/>
  <c r="Y1887" i="2"/>
  <c r="A1888" i="2"/>
  <c r="B1888" i="2"/>
  <c r="C1888" i="2"/>
  <c r="D1888" i="2"/>
  <c r="E1888" i="2"/>
  <c r="F1888" i="2"/>
  <c r="G1888" i="2"/>
  <c r="H1888" i="2"/>
  <c r="I1888" i="2"/>
  <c r="J1888" i="2"/>
  <c r="K1888" i="2"/>
  <c r="L1888" i="2"/>
  <c r="M1888" i="2"/>
  <c r="N1888" i="2"/>
  <c r="O1888" i="2"/>
  <c r="P1888" i="2"/>
  <c r="Q1888" i="2"/>
  <c r="R1888" i="2"/>
  <c r="S1888" i="2"/>
  <c r="T1888" i="2"/>
  <c r="U1888" i="2"/>
  <c r="V1888" i="2"/>
  <c r="W1888" i="2"/>
  <c r="X1888" i="2"/>
  <c r="Y1888" i="2"/>
  <c r="A1889" i="2"/>
  <c r="B1889" i="2"/>
  <c r="C1889" i="2"/>
  <c r="D1889" i="2"/>
  <c r="E1889" i="2"/>
  <c r="F1889" i="2"/>
  <c r="G1889" i="2"/>
  <c r="H1889" i="2"/>
  <c r="I1889" i="2"/>
  <c r="J1889" i="2"/>
  <c r="K1889" i="2"/>
  <c r="L1889" i="2"/>
  <c r="M1889" i="2"/>
  <c r="N1889" i="2"/>
  <c r="O1889" i="2"/>
  <c r="P1889" i="2"/>
  <c r="Q1889" i="2"/>
  <c r="R1889" i="2"/>
  <c r="S1889" i="2"/>
  <c r="T1889" i="2"/>
  <c r="U1889" i="2"/>
  <c r="V1889" i="2"/>
  <c r="W1889" i="2"/>
  <c r="X1889" i="2"/>
  <c r="Y1889" i="2"/>
  <c r="A1890" i="2"/>
  <c r="B1890" i="2"/>
  <c r="C1890" i="2"/>
  <c r="D1890" i="2"/>
  <c r="E1890" i="2"/>
  <c r="F1890" i="2"/>
  <c r="G1890" i="2"/>
  <c r="H1890" i="2"/>
  <c r="I1890" i="2"/>
  <c r="J1890" i="2"/>
  <c r="K1890" i="2"/>
  <c r="L1890" i="2"/>
  <c r="M1890" i="2"/>
  <c r="N1890" i="2"/>
  <c r="O1890" i="2"/>
  <c r="P1890" i="2"/>
  <c r="Q1890" i="2"/>
  <c r="R1890" i="2"/>
  <c r="S1890" i="2"/>
  <c r="T1890" i="2"/>
  <c r="U1890" i="2"/>
  <c r="V1890" i="2"/>
  <c r="W1890" i="2"/>
  <c r="X1890" i="2"/>
  <c r="Y1890" i="2"/>
  <c r="A1891" i="2"/>
  <c r="B1891" i="2"/>
  <c r="C1891" i="2"/>
  <c r="D1891" i="2"/>
  <c r="E1891" i="2"/>
  <c r="F1891" i="2"/>
  <c r="G1891" i="2"/>
  <c r="H1891" i="2"/>
  <c r="I1891" i="2"/>
  <c r="J1891" i="2"/>
  <c r="K1891" i="2"/>
  <c r="L1891" i="2"/>
  <c r="M1891" i="2"/>
  <c r="N1891" i="2"/>
  <c r="O1891" i="2"/>
  <c r="P1891" i="2"/>
  <c r="Q1891" i="2"/>
  <c r="R1891" i="2"/>
  <c r="S1891" i="2"/>
  <c r="T1891" i="2"/>
  <c r="U1891" i="2"/>
  <c r="V1891" i="2"/>
  <c r="W1891" i="2"/>
  <c r="X1891" i="2"/>
  <c r="Y1891" i="2"/>
  <c r="A1892" i="2"/>
  <c r="B1892" i="2"/>
  <c r="C1892" i="2"/>
  <c r="D1892" i="2"/>
  <c r="E1892" i="2"/>
  <c r="F1892" i="2"/>
  <c r="G1892" i="2"/>
  <c r="H1892" i="2"/>
  <c r="I1892" i="2"/>
  <c r="J1892" i="2"/>
  <c r="K1892" i="2"/>
  <c r="L1892" i="2"/>
  <c r="M1892" i="2"/>
  <c r="N1892" i="2"/>
  <c r="O1892" i="2"/>
  <c r="P1892" i="2"/>
  <c r="Q1892" i="2"/>
  <c r="R1892" i="2"/>
  <c r="S1892" i="2"/>
  <c r="T1892" i="2"/>
  <c r="U1892" i="2"/>
  <c r="V1892" i="2"/>
  <c r="W1892" i="2"/>
  <c r="X1892" i="2"/>
  <c r="Y1892" i="2"/>
  <c r="A1893" i="2"/>
  <c r="B1893" i="2"/>
  <c r="C1893" i="2"/>
  <c r="D1893" i="2"/>
  <c r="E1893" i="2"/>
  <c r="F1893" i="2"/>
  <c r="G1893" i="2"/>
  <c r="H1893" i="2"/>
  <c r="I1893" i="2"/>
  <c r="J1893" i="2"/>
  <c r="K1893" i="2"/>
  <c r="L1893" i="2"/>
  <c r="M1893" i="2"/>
  <c r="N1893" i="2"/>
  <c r="O1893" i="2"/>
  <c r="P1893" i="2"/>
  <c r="Q1893" i="2"/>
  <c r="R1893" i="2"/>
  <c r="S1893" i="2"/>
  <c r="T1893" i="2"/>
  <c r="U1893" i="2"/>
  <c r="V1893" i="2"/>
  <c r="W1893" i="2"/>
  <c r="X1893" i="2"/>
  <c r="Y1893" i="2"/>
  <c r="A1894" i="2"/>
  <c r="B1894" i="2"/>
  <c r="C1894" i="2"/>
  <c r="D1894" i="2"/>
  <c r="E1894" i="2"/>
  <c r="F1894" i="2"/>
  <c r="G1894" i="2"/>
  <c r="H1894" i="2"/>
  <c r="I1894" i="2"/>
  <c r="J1894" i="2"/>
  <c r="K1894" i="2"/>
  <c r="L1894" i="2"/>
  <c r="M1894" i="2"/>
  <c r="N1894" i="2"/>
  <c r="O1894" i="2"/>
  <c r="P1894" i="2"/>
  <c r="Q1894" i="2"/>
  <c r="R1894" i="2"/>
  <c r="S1894" i="2"/>
  <c r="T1894" i="2"/>
  <c r="U1894" i="2"/>
  <c r="V1894" i="2"/>
  <c r="W1894" i="2"/>
  <c r="X1894" i="2"/>
  <c r="Y1894" i="2"/>
  <c r="A1895" i="2"/>
  <c r="B1895" i="2"/>
  <c r="C1895" i="2"/>
  <c r="D1895" i="2"/>
  <c r="E1895" i="2"/>
  <c r="F1895" i="2"/>
  <c r="G1895" i="2"/>
  <c r="H1895" i="2"/>
  <c r="I1895" i="2"/>
  <c r="J1895" i="2"/>
  <c r="K1895" i="2"/>
  <c r="L1895" i="2"/>
  <c r="M1895" i="2"/>
  <c r="N1895" i="2"/>
  <c r="O1895" i="2"/>
  <c r="P1895" i="2"/>
  <c r="Q1895" i="2"/>
  <c r="R1895" i="2"/>
  <c r="S1895" i="2"/>
  <c r="T1895" i="2"/>
  <c r="U1895" i="2"/>
  <c r="V1895" i="2"/>
  <c r="W1895" i="2"/>
  <c r="X1895" i="2"/>
  <c r="Y1895" i="2"/>
  <c r="B1896" i="2"/>
  <c r="C1896" i="2"/>
  <c r="D1896" i="2"/>
  <c r="E1896" i="2"/>
  <c r="F1896" i="2"/>
  <c r="G1896" i="2"/>
  <c r="H1896" i="2"/>
  <c r="I1896" i="2"/>
  <c r="J1896" i="2"/>
  <c r="K1896" i="2"/>
  <c r="L1896" i="2"/>
  <c r="M1896" i="2"/>
  <c r="N1896" i="2"/>
  <c r="O1896" i="2"/>
  <c r="P1896" i="2"/>
  <c r="Q1896" i="2"/>
  <c r="R1896" i="2"/>
  <c r="S1896" i="2"/>
  <c r="T1896" i="2"/>
  <c r="U1896" i="2"/>
  <c r="V1896" i="2"/>
  <c r="W1896" i="2"/>
  <c r="X1896" i="2"/>
  <c r="Y1896" i="2"/>
  <c r="A1897" i="2"/>
  <c r="B1897" i="2"/>
  <c r="C1897" i="2"/>
  <c r="D1897" i="2"/>
  <c r="E1897" i="2"/>
  <c r="F1897" i="2"/>
  <c r="G1897" i="2"/>
  <c r="H1897" i="2"/>
  <c r="I1897" i="2"/>
  <c r="J1897" i="2"/>
  <c r="K1897" i="2"/>
  <c r="L1897" i="2"/>
  <c r="M1897" i="2"/>
  <c r="N1897" i="2"/>
  <c r="O1897" i="2"/>
  <c r="P1897" i="2"/>
  <c r="Q1897" i="2"/>
  <c r="R1897" i="2"/>
  <c r="S1897" i="2"/>
  <c r="T1897" i="2"/>
  <c r="U1897" i="2"/>
  <c r="V1897" i="2"/>
  <c r="W1897" i="2"/>
  <c r="X1897" i="2"/>
  <c r="Y1897" i="2"/>
  <c r="A1898" i="2"/>
  <c r="B1898" i="2"/>
  <c r="C1898" i="2"/>
  <c r="D1898" i="2"/>
  <c r="E1898" i="2"/>
  <c r="F1898" i="2"/>
  <c r="G1898" i="2"/>
  <c r="H1898" i="2"/>
  <c r="I1898" i="2"/>
  <c r="J1898" i="2"/>
  <c r="K1898" i="2"/>
  <c r="L1898" i="2"/>
  <c r="M1898" i="2"/>
  <c r="N1898" i="2"/>
  <c r="O1898" i="2"/>
  <c r="P1898" i="2"/>
  <c r="Q1898" i="2"/>
  <c r="R1898" i="2"/>
  <c r="S1898" i="2"/>
  <c r="T1898" i="2"/>
  <c r="U1898" i="2"/>
  <c r="V1898" i="2"/>
  <c r="W1898" i="2"/>
  <c r="X1898" i="2"/>
  <c r="Y1898" i="2"/>
  <c r="A1899" i="2"/>
  <c r="B1899" i="2"/>
  <c r="C1899" i="2"/>
  <c r="D1899" i="2"/>
  <c r="E1899" i="2"/>
  <c r="F1899" i="2"/>
  <c r="G1899" i="2"/>
  <c r="H1899" i="2"/>
  <c r="I1899" i="2"/>
  <c r="J1899" i="2"/>
  <c r="K1899" i="2"/>
  <c r="L1899" i="2"/>
  <c r="M1899" i="2"/>
  <c r="N1899" i="2"/>
  <c r="O1899" i="2"/>
  <c r="P1899" i="2"/>
  <c r="Q1899" i="2"/>
  <c r="R1899" i="2"/>
  <c r="S1899" i="2"/>
  <c r="T1899" i="2"/>
  <c r="U1899" i="2"/>
  <c r="V1899" i="2"/>
  <c r="W1899" i="2"/>
  <c r="X1899" i="2"/>
  <c r="Y1899" i="2"/>
  <c r="A1900" i="2"/>
  <c r="B1900" i="2"/>
  <c r="C1900" i="2"/>
  <c r="D1900" i="2"/>
  <c r="E1900" i="2"/>
  <c r="F1900" i="2"/>
  <c r="G1900" i="2"/>
  <c r="H1900" i="2"/>
  <c r="I1900" i="2"/>
  <c r="J1900" i="2"/>
  <c r="K1900" i="2"/>
  <c r="L1900" i="2"/>
  <c r="M1900" i="2"/>
  <c r="N1900" i="2"/>
  <c r="O1900" i="2"/>
  <c r="P1900" i="2"/>
  <c r="Q1900" i="2"/>
  <c r="R1900" i="2"/>
  <c r="S1900" i="2"/>
  <c r="T1900" i="2"/>
  <c r="U1900" i="2"/>
  <c r="V1900" i="2"/>
  <c r="W1900" i="2"/>
  <c r="X1900" i="2"/>
  <c r="Y1900" i="2"/>
  <c r="A1901" i="2"/>
  <c r="B1901" i="2"/>
  <c r="C1901" i="2"/>
  <c r="D1901" i="2"/>
  <c r="E1901" i="2"/>
  <c r="F1901" i="2"/>
  <c r="G1901" i="2"/>
  <c r="H1901" i="2"/>
  <c r="I1901" i="2"/>
  <c r="J1901" i="2"/>
  <c r="K1901" i="2"/>
  <c r="L1901" i="2"/>
  <c r="M1901" i="2"/>
  <c r="N1901" i="2"/>
  <c r="O1901" i="2"/>
  <c r="P1901" i="2"/>
  <c r="Q1901" i="2"/>
  <c r="R1901" i="2"/>
  <c r="S1901" i="2"/>
  <c r="T1901" i="2"/>
  <c r="U1901" i="2"/>
  <c r="V1901" i="2"/>
  <c r="W1901" i="2"/>
  <c r="X1901" i="2"/>
  <c r="Y1901" i="2"/>
  <c r="A1902" i="2"/>
  <c r="B1902" i="2"/>
  <c r="C1902" i="2"/>
  <c r="D1902" i="2"/>
  <c r="E1902" i="2"/>
  <c r="F1902" i="2"/>
  <c r="G1902" i="2"/>
  <c r="H1902" i="2"/>
  <c r="I1902" i="2"/>
  <c r="J1902" i="2"/>
  <c r="K1902" i="2"/>
  <c r="L1902" i="2"/>
  <c r="M1902" i="2"/>
  <c r="N1902" i="2"/>
  <c r="O1902" i="2"/>
  <c r="P1902" i="2"/>
  <c r="Q1902" i="2"/>
  <c r="R1902" i="2"/>
  <c r="S1902" i="2"/>
  <c r="T1902" i="2"/>
  <c r="U1902" i="2"/>
  <c r="V1902" i="2"/>
  <c r="W1902" i="2"/>
  <c r="X1902" i="2"/>
  <c r="Y1902" i="2"/>
  <c r="A1903" i="2"/>
  <c r="B1903" i="2"/>
  <c r="C1903" i="2"/>
  <c r="D1903" i="2"/>
  <c r="E1903" i="2"/>
  <c r="F1903" i="2"/>
  <c r="G1903" i="2"/>
  <c r="H1903" i="2"/>
  <c r="I1903" i="2"/>
  <c r="J1903" i="2"/>
  <c r="K1903" i="2"/>
  <c r="L1903" i="2"/>
  <c r="M1903" i="2"/>
  <c r="N1903" i="2"/>
  <c r="O1903" i="2"/>
  <c r="P1903" i="2"/>
  <c r="Q1903" i="2"/>
  <c r="R1903" i="2"/>
  <c r="S1903" i="2"/>
  <c r="T1903" i="2"/>
  <c r="U1903" i="2"/>
  <c r="V1903" i="2"/>
  <c r="W1903" i="2"/>
  <c r="X1903" i="2"/>
  <c r="Y1903" i="2"/>
  <c r="A1904" i="2"/>
  <c r="B1904" i="2"/>
  <c r="C1904" i="2"/>
  <c r="D1904" i="2"/>
  <c r="E1904" i="2"/>
  <c r="F1904" i="2"/>
  <c r="G1904" i="2"/>
  <c r="H1904" i="2"/>
  <c r="I1904" i="2"/>
  <c r="J1904" i="2"/>
  <c r="K1904" i="2"/>
  <c r="L1904" i="2"/>
  <c r="M1904" i="2"/>
  <c r="N1904" i="2"/>
  <c r="O1904" i="2"/>
  <c r="P1904" i="2"/>
  <c r="Q1904" i="2"/>
  <c r="R1904" i="2"/>
  <c r="S1904" i="2"/>
  <c r="T1904" i="2"/>
  <c r="U1904" i="2"/>
  <c r="V1904" i="2"/>
  <c r="W1904" i="2"/>
  <c r="X1904" i="2"/>
  <c r="Y1904" i="2"/>
  <c r="A1905" i="2"/>
  <c r="B1905" i="2"/>
  <c r="C1905" i="2"/>
  <c r="D1905" i="2"/>
  <c r="E1905" i="2"/>
  <c r="F1905" i="2"/>
  <c r="G1905" i="2"/>
  <c r="H1905" i="2"/>
  <c r="I1905" i="2"/>
  <c r="J1905" i="2"/>
  <c r="K1905" i="2"/>
  <c r="L1905" i="2"/>
  <c r="M1905" i="2"/>
  <c r="N1905" i="2"/>
  <c r="O1905" i="2"/>
  <c r="P1905" i="2"/>
  <c r="Q1905" i="2"/>
  <c r="R1905" i="2"/>
  <c r="S1905" i="2"/>
  <c r="T1905" i="2"/>
  <c r="U1905" i="2"/>
  <c r="V1905" i="2"/>
  <c r="W1905" i="2"/>
  <c r="X1905" i="2"/>
  <c r="Y1905" i="2"/>
  <c r="A1906" i="2"/>
  <c r="B1906" i="2"/>
  <c r="C1906" i="2"/>
  <c r="D1906" i="2"/>
  <c r="E1906" i="2"/>
  <c r="F1906" i="2"/>
  <c r="G1906" i="2"/>
  <c r="H1906" i="2"/>
  <c r="I1906" i="2"/>
  <c r="J1906" i="2"/>
  <c r="K1906" i="2"/>
  <c r="L1906" i="2"/>
  <c r="M1906" i="2"/>
  <c r="N1906" i="2"/>
  <c r="O1906" i="2"/>
  <c r="P1906" i="2"/>
  <c r="Q1906" i="2"/>
  <c r="R1906" i="2"/>
  <c r="S1906" i="2"/>
  <c r="T1906" i="2"/>
  <c r="U1906" i="2"/>
  <c r="V1906" i="2"/>
  <c r="W1906" i="2"/>
  <c r="X1906" i="2"/>
  <c r="Y1906" i="2"/>
  <c r="A1907" i="2"/>
  <c r="B1907" i="2"/>
  <c r="C1907" i="2"/>
  <c r="D1907" i="2"/>
  <c r="E1907" i="2"/>
  <c r="F1907" i="2"/>
  <c r="G1907" i="2"/>
  <c r="H1907" i="2"/>
  <c r="I1907" i="2"/>
  <c r="J1907" i="2"/>
  <c r="K1907" i="2"/>
  <c r="L1907" i="2"/>
  <c r="M1907" i="2"/>
  <c r="N1907" i="2"/>
  <c r="O1907" i="2"/>
  <c r="P1907" i="2"/>
  <c r="Q1907" i="2"/>
  <c r="R1907" i="2"/>
  <c r="S1907" i="2"/>
  <c r="T1907" i="2"/>
  <c r="U1907" i="2"/>
  <c r="V1907" i="2"/>
  <c r="W1907" i="2"/>
  <c r="X1907" i="2"/>
  <c r="Y1907" i="2"/>
  <c r="A1908" i="2"/>
  <c r="B1908" i="2"/>
  <c r="C1908" i="2"/>
  <c r="D1908" i="2"/>
  <c r="E1908" i="2"/>
  <c r="F1908" i="2"/>
  <c r="G1908" i="2"/>
  <c r="H1908" i="2"/>
  <c r="I1908" i="2"/>
  <c r="J1908" i="2"/>
  <c r="K1908" i="2"/>
  <c r="L1908" i="2"/>
  <c r="M1908" i="2"/>
  <c r="N1908" i="2"/>
  <c r="O1908" i="2"/>
  <c r="P1908" i="2"/>
  <c r="Q1908" i="2"/>
  <c r="R1908" i="2"/>
  <c r="S1908" i="2"/>
  <c r="T1908" i="2"/>
  <c r="U1908" i="2"/>
  <c r="V1908" i="2"/>
  <c r="W1908" i="2"/>
  <c r="X1908" i="2"/>
  <c r="Y1908" i="2"/>
  <c r="A1909" i="2"/>
  <c r="B1909" i="2"/>
  <c r="C1909" i="2"/>
  <c r="D1909" i="2"/>
  <c r="E1909" i="2"/>
  <c r="F1909" i="2"/>
  <c r="G1909" i="2"/>
  <c r="H1909" i="2"/>
  <c r="I1909" i="2"/>
  <c r="J1909" i="2"/>
  <c r="K1909" i="2"/>
  <c r="L1909" i="2"/>
  <c r="M1909" i="2"/>
  <c r="N1909" i="2"/>
  <c r="O1909" i="2"/>
  <c r="P1909" i="2"/>
  <c r="Q1909" i="2"/>
  <c r="R1909" i="2"/>
  <c r="S1909" i="2"/>
  <c r="T1909" i="2"/>
  <c r="U1909" i="2"/>
  <c r="V1909" i="2"/>
  <c r="W1909" i="2"/>
  <c r="X1909" i="2"/>
  <c r="Y1909" i="2"/>
  <c r="A1910" i="2"/>
  <c r="B1910" i="2"/>
  <c r="C1910" i="2"/>
  <c r="D1910" i="2"/>
  <c r="E1910" i="2"/>
  <c r="F1910" i="2"/>
  <c r="G1910" i="2"/>
  <c r="H1910" i="2"/>
  <c r="I1910" i="2"/>
  <c r="J1910" i="2"/>
  <c r="K1910" i="2"/>
  <c r="L1910" i="2"/>
  <c r="M1910" i="2"/>
  <c r="N1910" i="2"/>
  <c r="O1910" i="2"/>
  <c r="P1910" i="2"/>
  <c r="Q1910" i="2"/>
  <c r="R1910" i="2"/>
  <c r="S1910" i="2"/>
  <c r="T1910" i="2"/>
  <c r="U1910" i="2"/>
  <c r="V1910" i="2"/>
  <c r="W1910" i="2"/>
  <c r="X1910" i="2"/>
  <c r="Y1910" i="2"/>
  <c r="A1911" i="2"/>
  <c r="B1911" i="2"/>
  <c r="C1911" i="2"/>
  <c r="D1911" i="2"/>
  <c r="E1911" i="2"/>
  <c r="F1911" i="2"/>
  <c r="G1911" i="2"/>
  <c r="H1911" i="2"/>
  <c r="I1911" i="2"/>
  <c r="J1911" i="2"/>
  <c r="K1911" i="2"/>
  <c r="L1911" i="2"/>
  <c r="M1911" i="2"/>
  <c r="N1911" i="2"/>
  <c r="O1911" i="2"/>
  <c r="P1911" i="2"/>
  <c r="Q1911" i="2"/>
  <c r="R1911" i="2"/>
  <c r="S1911" i="2"/>
  <c r="T1911" i="2"/>
  <c r="U1911" i="2"/>
  <c r="V1911" i="2"/>
  <c r="W1911" i="2"/>
  <c r="X1911" i="2"/>
  <c r="Y1911" i="2"/>
  <c r="B1912" i="2"/>
  <c r="C1912" i="2"/>
  <c r="D1912" i="2"/>
  <c r="E1912" i="2"/>
  <c r="F1912" i="2"/>
  <c r="G1912" i="2"/>
  <c r="H1912" i="2"/>
  <c r="I1912" i="2"/>
  <c r="J1912" i="2"/>
  <c r="K1912" i="2"/>
  <c r="L1912" i="2"/>
  <c r="M1912" i="2"/>
  <c r="N1912" i="2"/>
  <c r="O1912" i="2"/>
  <c r="P1912" i="2"/>
  <c r="Q1912" i="2"/>
  <c r="R1912" i="2"/>
  <c r="S1912" i="2"/>
  <c r="T1912" i="2"/>
  <c r="U1912" i="2"/>
  <c r="V1912" i="2"/>
  <c r="W1912" i="2"/>
  <c r="X1912" i="2"/>
  <c r="Y1912" i="2"/>
  <c r="A1913" i="2"/>
  <c r="B1913" i="2"/>
  <c r="C1913" i="2"/>
  <c r="D1913" i="2"/>
  <c r="E1913" i="2"/>
  <c r="F1913" i="2"/>
  <c r="G1913" i="2"/>
  <c r="H1913" i="2"/>
  <c r="I1913" i="2"/>
  <c r="J1913" i="2"/>
  <c r="K1913" i="2"/>
  <c r="L1913" i="2"/>
  <c r="M1913" i="2"/>
  <c r="N1913" i="2"/>
  <c r="O1913" i="2"/>
  <c r="P1913" i="2"/>
  <c r="Q1913" i="2"/>
  <c r="R1913" i="2"/>
  <c r="S1913" i="2"/>
  <c r="T1913" i="2"/>
  <c r="U1913" i="2"/>
  <c r="V1913" i="2"/>
  <c r="W1913" i="2"/>
  <c r="X1913" i="2"/>
  <c r="Y1913" i="2"/>
  <c r="A1914" i="2"/>
  <c r="B1914" i="2"/>
  <c r="C1914" i="2"/>
  <c r="D1914" i="2"/>
  <c r="E1914" i="2"/>
  <c r="F1914" i="2"/>
  <c r="G1914" i="2"/>
  <c r="H1914" i="2"/>
  <c r="I1914" i="2"/>
  <c r="J1914" i="2"/>
  <c r="K1914" i="2"/>
  <c r="L1914" i="2"/>
  <c r="M1914" i="2"/>
  <c r="N1914" i="2"/>
  <c r="O1914" i="2"/>
  <c r="P1914" i="2"/>
  <c r="Q1914" i="2"/>
  <c r="R1914" i="2"/>
  <c r="S1914" i="2"/>
  <c r="T1914" i="2"/>
  <c r="U1914" i="2"/>
  <c r="V1914" i="2"/>
  <c r="W1914" i="2"/>
  <c r="X1914" i="2"/>
  <c r="Y1914" i="2"/>
  <c r="A1915" i="2"/>
  <c r="B1915" i="2"/>
  <c r="C1915" i="2"/>
  <c r="D1915" i="2"/>
  <c r="E1915" i="2"/>
  <c r="F1915" i="2"/>
  <c r="G1915" i="2"/>
  <c r="H1915" i="2"/>
  <c r="I1915" i="2"/>
  <c r="J1915" i="2"/>
  <c r="K1915" i="2"/>
  <c r="L1915" i="2"/>
  <c r="M1915" i="2"/>
  <c r="N1915" i="2"/>
  <c r="O1915" i="2"/>
  <c r="P1915" i="2"/>
  <c r="Q1915" i="2"/>
  <c r="R1915" i="2"/>
  <c r="S1915" i="2"/>
  <c r="T1915" i="2"/>
  <c r="U1915" i="2"/>
  <c r="V1915" i="2"/>
  <c r="W1915" i="2"/>
  <c r="X1915" i="2"/>
  <c r="Y1915" i="2"/>
  <c r="A1916" i="2"/>
  <c r="B1916" i="2"/>
  <c r="C1916" i="2"/>
  <c r="D1916" i="2"/>
  <c r="E1916" i="2"/>
  <c r="F1916" i="2"/>
  <c r="G1916" i="2"/>
  <c r="H1916" i="2"/>
  <c r="I1916" i="2"/>
  <c r="J1916" i="2"/>
  <c r="K1916" i="2"/>
  <c r="L1916" i="2"/>
  <c r="M1916" i="2"/>
  <c r="N1916" i="2"/>
  <c r="O1916" i="2"/>
  <c r="P1916" i="2"/>
  <c r="Q1916" i="2"/>
  <c r="R1916" i="2"/>
  <c r="S1916" i="2"/>
  <c r="T1916" i="2"/>
  <c r="U1916" i="2"/>
  <c r="V1916" i="2"/>
  <c r="W1916" i="2"/>
  <c r="X1916" i="2"/>
  <c r="Y1916" i="2"/>
  <c r="A1917" i="2"/>
  <c r="B1917" i="2"/>
  <c r="C1917" i="2"/>
  <c r="D1917" i="2"/>
  <c r="E1917" i="2"/>
  <c r="F1917" i="2"/>
  <c r="G1917" i="2"/>
  <c r="H1917" i="2"/>
  <c r="I1917" i="2"/>
  <c r="J1917" i="2"/>
  <c r="K1917" i="2"/>
  <c r="L1917" i="2"/>
  <c r="M1917" i="2"/>
  <c r="N1917" i="2"/>
  <c r="O1917" i="2"/>
  <c r="P1917" i="2"/>
  <c r="Q1917" i="2"/>
  <c r="R1917" i="2"/>
  <c r="S1917" i="2"/>
  <c r="T1917" i="2"/>
  <c r="U1917" i="2"/>
  <c r="V1917" i="2"/>
  <c r="W1917" i="2"/>
  <c r="X1917" i="2"/>
  <c r="Y1917" i="2"/>
  <c r="A1918" i="2"/>
  <c r="B1918" i="2"/>
  <c r="C1918" i="2"/>
  <c r="D1918" i="2"/>
  <c r="E1918" i="2"/>
  <c r="F1918" i="2"/>
  <c r="G1918" i="2"/>
  <c r="H1918" i="2"/>
  <c r="I1918" i="2"/>
  <c r="J1918" i="2"/>
  <c r="K1918" i="2"/>
  <c r="L1918" i="2"/>
  <c r="M1918" i="2"/>
  <c r="N1918" i="2"/>
  <c r="O1918" i="2"/>
  <c r="P1918" i="2"/>
  <c r="Q1918" i="2"/>
  <c r="R1918" i="2"/>
  <c r="S1918" i="2"/>
  <c r="T1918" i="2"/>
  <c r="U1918" i="2"/>
  <c r="V1918" i="2"/>
  <c r="W1918" i="2"/>
  <c r="X1918" i="2"/>
  <c r="Y1918" i="2"/>
  <c r="A1919" i="2"/>
  <c r="B1919" i="2"/>
  <c r="C1919" i="2"/>
  <c r="D1919" i="2"/>
  <c r="E1919" i="2"/>
  <c r="F1919" i="2"/>
  <c r="G1919" i="2"/>
  <c r="H1919" i="2"/>
  <c r="I1919" i="2"/>
  <c r="J1919" i="2"/>
  <c r="K1919" i="2"/>
  <c r="L1919" i="2"/>
  <c r="M1919" i="2"/>
  <c r="N1919" i="2"/>
  <c r="O1919" i="2"/>
  <c r="P1919" i="2"/>
  <c r="Q1919" i="2"/>
  <c r="R1919" i="2"/>
  <c r="S1919" i="2"/>
  <c r="T1919" i="2"/>
  <c r="U1919" i="2"/>
  <c r="V1919" i="2"/>
  <c r="W1919" i="2"/>
  <c r="X1919" i="2"/>
  <c r="Y1919" i="2"/>
  <c r="A1920" i="2"/>
  <c r="B1920" i="2"/>
  <c r="C1920" i="2"/>
  <c r="D1920" i="2"/>
  <c r="E1920" i="2"/>
  <c r="F1920" i="2"/>
  <c r="G1920" i="2"/>
  <c r="H1920" i="2"/>
  <c r="I1920" i="2"/>
  <c r="J1920" i="2"/>
  <c r="K1920" i="2"/>
  <c r="L1920" i="2"/>
  <c r="M1920" i="2"/>
  <c r="N1920" i="2"/>
  <c r="O1920" i="2"/>
  <c r="P1920" i="2"/>
  <c r="Q1920" i="2"/>
  <c r="R1920" i="2"/>
  <c r="S1920" i="2"/>
  <c r="T1920" i="2"/>
  <c r="U1920" i="2"/>
  <c r="V1920" i="2"/>
  <c r="W1920" i="2"/>
  <c r="X1920" i="2"/>
  <c r="Y1920" i="2"/>
  <c r="A1921" i="2"/>
  <c r="B1921" i="2"/>
  <c r="C1921" i="2"/>
  <c r="D1921" i="2"/>
  <c r="E1921" i="2"/>
  <c r="F1921" i="2"/>
  <c r="G1921" i="2"/>
  <c r="H1921" i="2"/>
  <c r="I1921" i="2"/>
  <c r="J1921" i="2"/>
  <c r="K1921" i="2"/>
  <c r="L1921" i="2"/>
  <c r="M1921" i="2"/>
  <c r="N1921" i="2"/>
  <c r="O1921" i="2"/>
  <c r="P1921" i="2"/>
  <c r="Q1921" i="2"/>
  <c r="R1921" i="2"/>
  <c r="S1921" i="2"/>
  <c r="T1921" i="2"/>
  <c r="U1921" i="2"/>
  <c r="V1921" i="2"/>
  <c r="W1921" i="2"/>
  <c r="X1921" i="2"/>
  <c r="Y1921" i="2"/>
  <c r="A1922" i="2"/>
  <c r="B1922" i="2"/>
  <c r="C1922" i="2"/>
  <c r="D1922" i="2"/>
  <c r="E1922" i="2"/>
  <c r="F1922" i="2"/>
  <c r="G1922" i="2"/>
  <c r="H1922" i="2"/>
  <c r="I1922" i="2"/>
  <c r="J1922" i="2"/>
  <c r="K1922" i="2"/>
  <c r="L1922" i="2"/>
  <c r="M1922" i="2"/>
  <c r="N1922" i="2"/>
  <c r="O1922" i="2"/>
  <c r="P1922" i="2"/>
  <c r="Q1922" i="2"/>
  <c r="R1922" i="2"/>
  <c r="S1922" i="2"/>
  <c r="T1922" i="2"/>
  <c r="U1922" i="2"/>
  <c r="V1922" i="2"/>
  <c r="W1922" i="2"/>
  <c r="X1922" i="2"/>
  <c r="Y1922" i="2"/>
  <c r="A1923" i="2"/>
  <c r="B1923" i="2"/>
  <c r="C1923" i="2"/>
  <c r="D1923" i="2"/>
  <c r="E1923" i="2"/>
  <c r="F1923" i="2"/>
  <c r="G1923" i="2"/>
  <c r="H1923" i="2"/>
  <c r="I1923" i="2"/>
  <c r="J1923" i="2"/>
  <c r="K1923" i="2"/>
  <c r="L1923" i="2"/>
  <c r="M1923" i="2"/>
  <c r="N1923" i="2"/>
  <c r="O1923" i="2"/>
  <c r="P1923" i="2"/>
  <c r="Q1923" i="2"/>
  <c r="R1923" i="2"/>
  <c r="S1923" i="2"/>
  <c r="T1923" i="2"/>
  <c r="U1923" i="2"/>
  <c r="V1923" i="2"/>
  <c r="W1923" i="2"/>
  <c r="X1923" i="2"/>
  <c r="Y1923" i="2"/>
  <c r="A1924" i="2"/>
  <c r="B1924" i="2"/>
  <c r="C1924" i="2"/>
  <c r="D1924" i="2"/>
  <c r="E1924" i="2"/>
  <c r="F1924" i="2"/>
  <c r="G1924" i="2"/>
  <c r="H1924" i="2"/>
  <c r="I1924" i="2"/>
  <c r="J1924" i="2"/>
  <c r="K1924" i="2"/>
  <c r="L1924" i="2"/>
  <c r="M1924" i="2"/>
  <c r="N1924" i="2"/>
  <c r="O1924" i="2"/>
  <c r="P1924" i="2"/>
  <c r="Q1924" i="2"/>
  <c r="R1924" i="2"/>
  <c r="S1924" i="2"/>
  <c r="T1924" i="2"/>
  <c r="U1924" i="2"/>
  <c r="V1924" i="2"/>
  <c r="W1924" i="2"/>
  <c r="X1924" i="2"/>
  <c r="Y1924" i="2"/>
  <c r="A1925" i="2"/>
  <c r="B1925" i="2"/>
  <c r="C1925" i="2"/>
  <c r="D1925" i="2"/>
  <c r="E1925" i="2"/>
  <c r="F1925" i="2"/>
  <c r="G1925" i="2"/>
  <c r="H1925" i="2"/>
  <c r="I1925" i="2"/>
  <c r="J1925" i="2"/>
  <c r="K1925" i="2"/>
  <c r="L1925" i="2"/>
  <c r="M1925" i="2"/>
  <c r="N1925" i="2"/>
  <c r="O1925" i="2"/>
  <c r="P1925" i="2"/>
  <c r="Q1925" i="2"/>
  <c r="R1925" i="2"/>
  <c r="S1925" i="2"/>
  <c r="T1925" i="2"/>
  <c r="U1925" i="2"/>
  <c r="V1925" i="2"/>
  <c r="W1925" i="2"/>
  <c r="X1925" i="2"/>
  <c r="Y1925" i="2"/>
  <c r="A1926" i="2"/>
  <c r="B1926" i="2"/>
  <c r="C1926" i="2"/>
  <c r="D1926" i="2"/>
  <c r="E1926" i="2"/>
  <c r="F1926" i="2"/>
  <c r="G1926" i="2"/>
  <c r="H1926" i="2"/>
  <c r="I1926" i="2"/>
  <c r="J1926" i="2"/>
  <c r="K1926" i="2"/>
  <c r="L1926" i="2"/>
  <c r="M1926" i="2"/>
  <c r="N1926" i="2"/>
  <c r="O1926" i="2"/>
  <c r="P1926" i="2"/>
  <c r="Q1926" i="2"/>
  <c r="R1926" i="2"/>
  <c r="S1926" i="2"/>
  <c r="T1926" i="2"/>
  <c r="U1926" i="2"/>
  <c r="V1926" i="2"/>
  <c r="W1926" i="2"/>
  <c r="X1926" i="2"/>
  <c r="Y1926" i="2"/>
  <c r="A1927" i="2"/>
  <c r="B1927" i="2"/>
  <c r="C1927" i="2"/>
  <c r="D1927" i="2"/>
  <c r="E1927" i="2"/>
  <c r="F1927" i="2"/>
  <c r="G1927" i="2"/>
  <c r="H1927" i="2"/>
  <c r="I1927" i="2"/>
  <c r="J1927" i="2"/>
  <c r="K1927" i="2"/>
  <c r="L1927" i="2"/>
  <c r="M1927" i="2"/>
  <c r="N1927" i="2"/>
  <c r="O1927" i="2"/>
  <c r="P1927" i="2"/>
  <c r="Q1927" i="2"/>
  <c r="R1927" i="2"/>
  <c r="S1927" i="2"/>
  <c r="T1927" i="2"/>
  <c r="U1927" i="2"/>
  <c r="V1927" i="2"/>
  <c r="W1927" i="2"/>
  <c r="X1927" i="2"/>
  <c r="Y1927" i="2"/>
  <c r="B1928" i="2"/>
  <c r="C1928" i="2"/>
  <c r="D1928" i="2"/>
  <c r="E1928" i="2"/>
  <c r="F1928" i="2"/>
  <c r="G1928" i="2"/>
  <c r="H1928" i="2"/>
  <c r="I1928" i="2"/>
  <c r="J1928" i="2"/>
  <c r="K1928" i="2"/>
  <c r="L1928" i="2"/>
  <c r="M1928" i="2"/>
  <c r="N1928" i="2"/>
  <c r="O1928" i="2"/>
  <c r="P1928" i="2"/>
  <c r="Q1928" i="2"/>
  <c r="R1928" i="2"/>
  <c r="S1928" i="2"/>
  <c r="T1928" i="2"/>
  <c r="U1928" i="2"/>
  <c r="V1928" i="2"/>
  <c r="W1928" i="2"/>
  <c r="X1928" i="2"/>
  <c r="Y1928" i="2"/>
  <c r="A1929" i="2"/>
  <c r="B1929" i="2"/>
  <c r="C1929" i="2"/>
  <c r="D1929" i="2"/>
  <c r="E1929" i="2"/>
  <c r="F1929" i="2"/>
  <c r="G1929" i="2"/>
  <c r="H1929" i="2"/>
  <c r="I1929" i="2"/>
  <c r="J1929" i="2"/>
  <c r="K1929" i="2"/>
  <c r="L1929" i="2"/>
  <c r="M1929" i="2"/>
  <c r="N1929" i="2"/>
  <c r="O1929" i="2"/>
  <c r="P1929" i="2"/>
  <c r="Q1929" i="2"/>
  <c r="R1929" i="2"/>
  <c r="S1929" i="2"/>
  <c r="T1929" i="2"/>
  <c r="U1929" i="2"/>
  <c r="V1929" i="2"/>
  <c r="W1929" i="2"/>
  <c r="X1929" i="2"/>
  <c r="Y1929" i="2"/>
  <c r="A1930" i="2"/>
  <c r="B1930" i="2"/>
  <c r="C1930" i="2"/>
  <c r="D1930" i="2"/>
  <c r="E1930" i="2"/>
  <c r="F1930" i="2"/>
  <c r="G1930" i="2"/>
  <c r="H1930" i="2"/>
  <c r="I1930" i="2"/>
  <c r="J1930" i="2"/>
  <c r="K1930" i="2"/>
  <c r="L1930" i="2"/>
  <c r="M1930" i="2"/>
  <c r="N1930" i="2"/>
  <c r="O1930" i="2"/>
  <c r="P1930" i="2"/>
  <c r="Q1930" i="2"/>
  <c r="R1930" i="2"/>
  <c r="S1930" i="2"/>
  <c r="T1930" i="2"/>
  <c r="U1930" i="2"/>
  <c r="V1930" i="2"/>
  <c r="W1930" i="2"/>
  <c r="X1930" i="2"/>
  <c r="Y1930" i="2"/>
  <c r="A1931" i="2"/>
  <c r="B1931" i="2"/>
  <c r="C1931" i="2"/>
  <c r="D1931" i="2"/>
  <c r="E1931" i="2"/>
  <c r="F1931" i="2"/>
  <c r="G1931" i="2"/>
  <c r="H1931" i="2"/>
  <c r="I1931" i="2"/>
  <c r="J1931" i="2"/>
  <c r="K1931" i="2"/>
  <c r="L1931" i="2"/>
  <c r="M1931" i="2"/>
  <c r="N1931" i="2"/>
  <c r="O1931" i="2"/>
  <c r="P1931" i="2"/>
  <c r="Q1931" i="2"/>
  <c r="R1931" i="2"/>
  <c r="S1931" i="2"/>
  <c r="T1931" i="2"/>
  <c r="U1931" i="2"/>
  <c r="V1931" i="2"/>
  <c r="W1931" i="2"/>
  <c r="X1931" i="2"/>
  <c r="Y1931" i="2"/>
  <c r="A1932" i="2"/>
  <c r="B1932" i="2"/>
  <c r="C1932" i="2"/>
  <c r="D1932" i="2"/>
  <c r="E1932" i="2"/>
  <c r="F1932" i="2"/>
  <c r="G1932" i="2"/>
  <c r="H1932" i="2"/>
  <c r="I1932" i="2"/>
  <c r="J1932" i="2"/>
  <c r="K1932" i="2"/>
  <c r="L1932" i="2"/>
  <c r="M1932" i="2"/>
  <c r="N1932" i="2"/>
  <c r="O1932" i="2"/>
  <c r="P1932" i="2"/>
  <c r="Q1932" i="2"/>
  <c r="R1932" i="2"/>
  <c r="S1932" i="2"/>
  <c r="T1932" i="2"/>
  <c r="U1932" i="2"/>
  <c r="V1932" i="2"/>
  <c r="W1932" i="2"/>
  <c r="X1932" i="2"/>
  <c r="Y1932" i="2"/>
  <c r="A1933" i="2"/>
  <c r="B1933" i="2"/>
  <c r="C1933" i="2"/>
  <c r="D1933" i="2"/>
  <c r="E1933" i="2"/>
  <c r="F1933" i="2"/>
  <c r="G1933" i="2"/>
  <c r="H1933" i="2"/>
  <c r="I1933" i="2"/>
  <c r="J1933" i="2"/>
  <c r="K1933" i="2"/>
  <c r="L1933" i="2"/>
  <c r="M1933" i="2"/>
  <c r="N1933" i="2"/>
  <c r="O1933" i="2"/>
  <c r="P1933" i="2"/>
  <c r="Q1933" i="2"/>
  <c r="R1933" i="2"/>
  <c r="S1933" i="2"/>
  <c r="T1933" i="2"/>
  <c r="U1933" i="2"/>
  <c r="V1933" i="2"/>
  <c r="W1933" i="2"/>
  <c r="X1933" i="2"/>
  <c r="Y1933" i="2"/>
  <c r="A1934" i="2"/>
  <c r="B1934" i="2"/>
  <c r="C1934" i="2"/>
  <c r="D1934" i="2"/>
  <c r="E1934" i="2"/>
  <c r="F1934" i="2"/>
  <c r="G1934" i="2"/>
  <c r="H1934" i="2"/>
  <c r="I1934" i="2"/>
  <c r="J1934" i="2"/>
  <c r="K1934" i="2"/>
  <c r="L1934" i="2"/>
  <c r="M1934" i="2"/>
  <c r="N1934" i="2"/>
  <c r="O1934" i="2"/>
  <c r="P1934" i="2"/>
  <c r="Q1934" i="2"/>
  <c r="R1934" i="2"/>
  <c r="S1934" i="2"/>
  <c r="T1934" i="2"/>
  <c r="U1934" i="2"/>
  <c r="V1934" i="2"/>
  <c r="W1934" i="2"/>
  <c r="X1934" i="2"/>
  <c r="Y1934" i="2"/>
  <c r="A1935" i="2"/>
  <c r="B1935" i="2"/>
  <c r="C1935" i="2"/>
  <c r="D1935" i="2"/>
  <c r="E1935" i="2"/>
  <c r="F1935" i="2"/>
  <c r="G1935" i="2"/>
  <c r="H1935" i="2"/>
  <c r="I1935" i="2"/>
  <c r="J1935" i="2"/>
  <c r="K1935" i="2"/>
  <c r="L1935" i="2"/>
  <c r="M1935" i="2"/>
  <c r="N1935" i="2"/>
  <c r="O1935" i="2"/>
  <c r="P1935" i="2"/>
  <c r="Q1935" i="2"/>
  <c r="R1935" i="2"/>
  <c r="S1935" i="2"/>
  <c r="T1935" i="2"/>
  <c r="U1935" i="2"/>
  <c r="V1935" i="2"/>
  <c r="W1935" i="2"/>
  <c r="X1935" i="2"/>
  <c r="Y1935" i="2"/>
  <c r="A1936" i="2"/>
  <c r="B1936" i="2"/>
  <c r="C1936" i="2"/>
  <c r="D1936" i="2"/>
  <c r="E1936" i="2"/>
  <c r="F1936" i="2"/>
  <c r="G1936" i="2"/>
  <c r="H1936" i="2"/>
  <c r="I1936" i="2"/>
  <c r="J1936" i="2"/>
  <c r="K1936" i="2"/>
  <c r="L1936" i="2"/>
  <c r="M1936" i="2"/>
  <c r="N1936" i="2"/>
  <c r="O1936" i="2"/>
  <c r="P1936" i="2"/>
  <c r="Q1936" i="2"/>
  <c r="R1936" i="2"/>
  <c r="S1936" i="2"/>
  <c r="T1936" i="2"/>
  <c r="U1936" i="2"/>
  <c r="V1936" i="2"/>
  <c r="W1936" i="2"/>
  <c r="X1936" i="2"/>
  <c r="Y1936" i="2"/>
  <c r="A1937" i="2"/>
  <c r="B1937" i="2"/>
  <c r="C1937" i="2"/>
  <c r="D1937" i="2"/>
  <c r="E1937" i="2"/>
  <c r="F1937" i="2"/>
  <c r="G1937" i="2"/>
  <c r="H1937" i="2"/>
  <c r="I1937" i="2"/>
  <c r="J1937" i="2"/>
  <c r="K1937" i="2"/>
  <c r="L1937" i="2"/>
  <c r="M1937" i="2"/>
  <c r="N1937" i="2"/>
  <c r="O1937" i="2"/>
  <c r="P1937" i="2"/>
  <c r="Q1937" i="2"/>
  <c r="R1937" i="2"/>
  <c r="S1937" i="2"/>
  <c r="T1937" i="2"/>
  <c r="U1937" i="2"/>
  <c r="V1937" i="2"/>
  <c r="W1937" i="2"/>
  <c r="X1937" i="2"/>
  <c r="Y1937" i="2"/>
  <c r="A1938" i="2"/>
  <c r="B1938" i="2"/>
  <c r="C1938" i="2"/>
  <c r="D1938" i="2"/>
  <c r="E1938" i="2"/>
  <c r="F1938" i="2"/>
  <c r="G1938" i="2"/>
  <c r="H1938" i="2"/>
  <c r="I1938" i="2"/>
  <c r="J1938" i="2"/>
  <c r="K1938" i="2"/>
  <c r="L1938" i="2"/>
  <c r="M1938" i="2"/>
  <c r="N1938" i="2"/>
  <c r="O1938" i="2"/>
  <c r="P1938" i="2"/>
  <c r="Q1938" i="2"/>
  <c r="R1938" i="2"/>
  <c r="S1938" i="2"/>
  <c r="T1938" i="2"/>
  <c r="U1938" i="2"/>
  <c r="V1938" i="2"/>
  <c r="W1938" i="2"/>
  <c r="X1938" i="2"/>
  <c r="Y1938" i="2"/>
  <c r="A1939" i="2"/>
  <c r="B1939" i="2"/>
  <c r="C1939" i="2"/>
  <c r="D1939" i="2"/>
  <c r="E1939" i="2"/>
  <c r="F1939" i="2"/>
  <c r="G1939" i="2"/>
  <c r="H1939" i="2"/>
  <c r="I1939" i="2"/>
  <c r="J1939" i="2"/>
  <c r="K1939" i="2"/>
  <c r="L1939" i="2"/>
  <c r="M1939" i="2"/>
  <c r="N1939" i="2"/>
  <c r="O1939" i="2"/>
  <c r="P1939" i="2"/>
  <c r="Q1939" i="2"/>
  <c r="R1939" i="2"/>
  <c r="S1939" i="2"/>
  <c r="T1939" i="2"/>
  <c r="U1939" i="2"/>
  <c r="V1939" i="2"/>
  <c r="W1939" i="2"/>
  <c r="X1939" i="2"/>
  <c r="Y1939" i="2"/>
  <c r="A1940" i="2"/>
  <c r="B1940" i="2"/>
  <c r="C1940" i="2"/>
  <c r="D1940" i="2"/>
  <c r="E1940" i="2"/>
  <c r="F1940" i="2"/>
  <c r="G1940" i="2"/>
  <c r="H1940" i="2"/>
  <c r="I1940" i="2"/>
  <c r="J1940" i="2"/>
  <c r="K1940" i="2"/>
  <c r="L1940" i="2"/>
  <c r="M1940" i="2"/>
  <c r="N1940" i="2"/>
  <c r="O1940" i="2"/>
  <c r="P1940" i="2"/>
  <c r="Q1940" i="2"/>
  <c r="R1940" i="2"/>
  <c r="S1940" i="2"/>
  <c r="T1940" i="2"/>
  <c r="U1940" i="2"/>
  <c r="V1940" i="2"/>
  <c r="W1940" i="2"/>
  <c r="X1940" i="2"/>
  <c r="Y1940" i="2"/>
  <c r="A1941" i="2"/>
  <c r="B1941" i="2"/>
  <c r="C1941" i="2"/>
  <c r="D1941" i="2"/>
  <c r="E1941" i="2"/>
  <c r="F1941" i="2"/>
  <c r="G1941" i="2"/>
  <c r="H1941" i="2"/>
  <c r="I1941" i="2"/>
  <c r="J1941" i="2"/>
  <c r="K1941" i="2"/>
  <c r="L1941" i="2"/>
  <c r="M1941" i="2"/>
  <c r="N1941" i="2"/>
  <c r="O1941" i="2"/>
  <c r="P1941" i="2"/>
  <c r="Q1941" i="2"/>
  <c r="R1941" i="2"/>
  <c r="S1941" i="2"/>
  <c r="T1941" i="2"/>
  <c r="U1941" i="2"/>
  <c r="V1941" i="2"/>
  <c r="W1941" i="2"/>
  <c r="X1941" i="2"/>
  <c r="Y1941" i="2"/>
  <c r="A1942" i="2"/>
  <c r="B1942" i="2"/>
  <c r="C1942" i="2"/>
  <c r="D1942" i="2"/>
  <c r="E1942" i="2"/>
  <c r="F1942" i="2"/>
  <c r="G1942" i="2"/>
  <c r="H1942" i="2"/>
  <c r="I1942" i="2"/>
  <c r="J1942" i="2"/>
  <c r="K1942" i="2"/>
  <c r="L1942" i="2"/>
  <c r="M1942" i="2"/>
  <c r="N1942" i="2"/>
  <c r="O1942" i="2"/>
  <c r="P1942" i="2"/>
  <c r="Q1942" i="2"/>
  <c r="R1942" i="2"/>
  <c r="S1942" i="2"/>
  <c r="T1942" i="2"/>
  <c r="U1942" i="2"/>
  <c r="V1942" i="2"/>
  <c r="W1942" i="2"/>
  <c r="X1942" i="2"/>
  <c r="Y1942" i="2"/>
  <c r="A1943" i="2"/>
  <c r="B1943" i="2"/>
  <c r="C1943" i="2"/>
  <c r="D1943" i="2"/>
  <c r="E1943" i="2"/>
  <c r="F1943" i="2"/>
  <c r="G1943" i="2"/>
  <c r="H1943" i="2"/>
  <c r="I1943" i="2"/>
  <c r="J1943" i="2"/>
  <c r="K1943" i="2"/>
  <c r="L1943" i="2"/>
  <c r="M1943" i="2"/>
  <c r="N1943" i="2"/>
  <c r="O1943" i="2"/>
  <c r="P1943" i="2"/>
  <c r="Q1943" i="2"/>
  <c r="R1943" i="2"/>
  <c r="S1943" i="2"/>
  <c r="T1943" i="2"/>
  <c r="U1943" i="2"/>
  <c r="V1943" i="2"/>
  <c r="W1943" i="2"/>
  <c r="X1943" i="2"/>
  <c r="Y1943" i="2"/>
  <c r="B1944" i="2"/>
  <c r="C1944" i="2"/>
  <c r="D1944" i="2"/>
  <c r="E1944" i="2"/>
  <c r="F1944" i="2"/>
  <c r="G1944" i="2"/>
  <c r="H1944" i="2"/>
  <c r="I1944" i="2"/>
  <c r="J1944" i="2"/>
  <c r="K1944" i="2"/>
  <c r="L1944" i="2"/>
  <c r="M1944" i="2"/>
  <c r="N1944" i="2"/>
  <c r="O1944" i="2"/>
  <c r="P1944" i="2"/>
  <c r="Q1944" i="2"/>
  <c r="R1944" i="2"/>
  <c r="S1944" i="2"/>
  <c r="T1944" i="2"/>
  <c r="U1944" i="2"/>
  <c r="V1944" i="2"/>
  <c r="W1944" i="2"/>
  <c r="X1944" i="2"/>
  <c r="Y1944" i="2"/>
  <c r="A1945" i="2"/>
  <c r="B1945" i="2"/>
  <c r="C1945" i="2"/>
  <c r="D1945" i="2"/>
  <c r="E1945" i="2"/>
  <c r="F1945" i="2"/>
  <c r="G1945" i="2"/>
  <c r="H1945" i="2"/>
  <c r="I1945" i="2"/>
  <c r="J1945" i="2"/>
  <c r="K1945" i="2"/>
  <c r="L1945" i="2"/>
  <c r="M1945" i="2"/>
  <c r="N1945" i="2"/>
  <c r="O1945" i="2"/>
  <c r="P1945" i="2"/>
  <c r="Q1945" i="2"/>
  <c r="R1945" i="2"/>
  <c r="S1945" i="2"/>
  <c r="T1945" i="2"/>
  <c r="U1945" i="2"/>
  <c r="V1945" i="2"/>
  <c r="W1945" i="2"/>
  <c r="X1945" i="2"/>
  <c r="Y1945" i="2"/>
  <c r="A1946" i="2"/>
  <c r="B1946" i="2"/>
  <c r="C1946" i="2"/>
  <c r="D1946" i="2"/>
  <c r="E1946" i="2"/>
  <c r="F1946" i="2"/>
  <c r="G1946" i="2"/>
  <c r="H1946" i="2"/>
  <c r="I1946" i="2"/>
  <c r="J1946" i="2"/>
  <c r="K1946" i="2"/>
  <c r="L1946" i="2"/>
  <c r="M1946" i="2"/>
  <c r="N1946" i="2"/>
  <c r="O1946" i="2"/>
  <c r="P1946" i="2"/>
  <c r="Q1946" i="2"/>
  <c r="R1946" i="2"/>
  <c r="S1946" i="2"/>
  <c r="T1946" i="2"/>
  <c r="U1946" i="2"/>
  <c r="V1946" i="2"/>
  <c r="W1946" i="2"/>
  <c r="X1946" i="2"/>
  <c r="Y1946" i="2"/>
  <c r="A1947" i="2"/>
  <c r="B1947" i="2"/>
  <c r="C1947" i="2"/>
  <c r="D1947" i="2"/>
  <c r="E1947" i="2"/>
  <c r="F1947" i="2"/>
  <c r="G1947" i="2"/>
  <c r="H1947" i="2"/>
  <c r="I1947" i="2"/>
  <c r="J1947" i="2"/>
  <c r="K1947" i="2"/>
  <c r="L1947" i="2"/>
  <c r="M1947" i="2"/>
  <c r="N1947" i="2"/>
  <c r="O1947" i="2"/>
  <c r="P1947" i="2"/>
  <c r="Q1947" i="2"/>
  <c r="R1947" i="2"/>
  <c r="S1947" i="2"/>
  <c r="T1947" i="2"/>
  <c r="U1947" i="2"/>
  <c r="V1947" i="2"/>
  <c r="W1947" i="2"/>
  <c r="X1947" i="2"/>
  <c r="Y1947" i="2"/>
  <c r="A1948" i="2"/>
  <c r="B1948" i="2"/>
  <c r="C1948" i="2"/>
  <c r="D1948" i="2"/>
  <c r="E1948" i="2"/>
  <c r="F1948" i="2"/>
  <c r="G1948" i="2"/>
  <c r="H1948" i="2"/>
  <c r="I1948" i="2"/>
  <c r="J1948" i="2"/>
  <c r="K1948" i="2"/>
  <c r="L1948" i="2"/>
  <c r="M1948" i="2"/>
  <c r="N1948" i="2"/>
  <c r="O1948" i="2"/>
  <c r="P1948" i="2"/>
  <c r="Q1948" i="2"/>
  <c r="R1948" i="2"/>
  <c r="S1948" i="2"/>
  <c r="T1948" i="2"/>
  <c r="U1948" i="2"/>
  <c r="V1948" i="2"/>
  <c r="W1948" i="2"/>
  <c r="X1948" i="2"/>
  <c r="Y1948" i="2"/>
  <c r="A1949" i="2"/>
  <c r="B1949" i="2"/>
  <c r="C1949" i="2"/>
  <c r="D1949" i="2"/>
  <c r="E1949" i="2"/>
  <c r="F1949" i="2"/>
  <c r="G1949" i="2"/>
  <c r="H1949" i="2"/>
  <c r="I1949" i="2"/>
  <c r="J1949" i="2"/>
  <c r="K1949" i="2"/>
  <c r="L1949" i="2"/>
  <c r="M1949" i="2"/>
  <c r="N1949" i="2"/>
  <c r="O1949" i="2"/>
  <c r="P1949" i="2"/>
  <c r="Q1949" i="2"/>
  <c r="R1949" i="2"/>
  <c r="S1949" i="2"/>
  <c r="T1949" i="2"/>
  <c r="U1949" i="2"/>
  <c r="V1949" i="2"/>
  <c r="W1949" i="2"/>
  <c r="X1949" i="2"/>
  <c r="Y1949" i="2"/>
  <c r="A1950" i="2"/>
  <c r="B1950" i="2"/>
  <c r="C1950" i="2"/>
  <c r="D1950" i="2"/>
  <c r="E1950" i="2"/>
  <c r="F1950" i="2"/>
  <c r="G1950" i="2"/>
  <c r="H1950" i="2"/>
  <c r="I1950" i="2"/>
  <c r="J1950" i="2"/>
  <c r="K1950" i="2"/>
  <c r="L1950" i="2"/>
  <c r="M1950" i="2"/>
  <c r="N1950" i="2"/>
  <c r="O1950" i="2"/>
  <c r="P1950" i="2"/>
  <c r="Q1950" i="2"/>
  <c r="R1950" i="2"/>
  <c r="S1950" i="2"/>
  <c r="T1950" i="2"/>
  <c r="U1950" i="2"/>
  <c r="V1950" i="2"/>
  <c r="W1950" i="2"/>
  <c r="X1950" i="2"/>
  <c r="Y1950" i="2"/>
  <c r="A1951" i="2"/>
  <c r="B1951" i="2"/>
  <c r="C1951" i="2"/>
  <c r="D1951" i="2"/>
  <c r="E1951" i="2"/>
  <c r="F1951" i="2"/>
  <c r="G1951" i="2"/>
  <c r="H1951" i="2"/>
  <c r="I1951" i="2"/>
  <c r="J1951" i="2"/>
  <c r="K1951" i="2"/>
  <c r="L1951" i="2"/>
  <c r="M1951" i="2"/>
  <c r="N1951" i="2"/>
  <c r="O1951" i="2"/>
  <c r="P1951" i="2"/>
  <c r="Q1951" i="2"/>
  <c r="R1951" i="2"/>
  <c r="S1951" i="2"/>
  <c r="T1951" i="2"/>
  <c r="U1951" i="2"/>
  <c r="V1951" i="2"/>
  <c r="W1951" i="2"/>
  <c r="X1951" i="2"/>
  <c r="Y1951" i="2"/>
  <c r="A1952" i="2"/>
  <c r="B1952" i="2"/>
  <c r="C1952" i="2"/>
  <c r="D1952" i="2"/>
  <c r="E1952" i="2"/>
  <c r="F1952" i="2"/>
  <c r="G1952" i="2"/>
  <c r="H1952" i="2"/>
  <c r="I1952" i="2"/>
  <c r="J1952" i="2"/>
  <c r="K1952" i="2"/>
  <c r="L1952" i="2"/>
  <c r="M1952" i="2"/>
  <c r="N1952" i="2"/>
  <c r="O1952" i="2"/>
  <c r="P1952" i="2"/>
  <c r="Q1952" i="2"/>
  <c r="R1952" i="2"/>
  <c r="S1952" i="2"/>
  <c r="T1952" i="2"/>
  <c r="U1952" i="2"/>
  <c r="V1952" i="2"/>
  <c r="W1952" i="2"/>
  <c r="X1952" i="2"/>
  <c r="Y1952" i="2"/>
  <c r="A1953" i="2"/>
  <c r="B1953" i="2"/>
  <c r="C1953" i="2"/>
  <c r="D1953" i="2"/>
  <c r="E1953" i="2"/>
  <c r="F1953" i="2"/>
  <c r="G1953" i="2"/>
  <c r="H1953" i="2"/>
  <c r="I1953" i="2"/>
  <c r="J1953" i="2"/>
  <c r="K1953" i="2"/>
  <c r="L1953" i="2"/>
  <c r="M1953" i="2"/>
  <c r="N1953" i="2"/>
  <c r="O1953" i="2"/>
  <c r="P1953" i="2"/>
  <c r="Q1953" i="2"/>
  <c r="R1953" i="2"/>
  <c r="S1953" i="2"/>
  <c r="T1953" i="2"/>
  <c r="U1953" i="2"/>
  <c r="V1953" i="2"/>
  <c r="W1953" i="2"/>
  <c r="X1953" i="2"/>
  <c r="Y1953" i="2"/>
  <c r="A1954" i="2"/>
  <c r="B1954" i="2"/>
  <c r="C1954" i="2"/>
  <c r="D1954" i="2"/>
  <c r="E1954" i="2"/>
  <c r="F1954" i="2"/>
  <c r="G1954" i="2"/>
  <c r="H1954" i="2"/>
  <c r="I1954" i="2"/>
  <c r="J1954" i="2"/>
  <c r="K1954" i="2"/>
  <c r="L1954" i="2"/>
  <c r="M1954" i="2"/>
  <c r="N1954" i="2"/>
  <c r="O1954" i="2"/>
  <c r="P1954" i="2"/>
  <c r="Q1954" i="2"/>
  <c r="R1954" i="2"/>
  <c r="S1954" i="2"/>
  <c r="T1954" i="2"/>
  <c r="U1954" i="2"/>
  <c r="V1954" i="2"/>
  <c r="W1954" i="2"/>
  <c r="X1954" i="2"/>
  <c r="Y1954" i="2"/>
  <c r="A1955" i="2"/>
  <c r="B1955" i="2"/>
  <c r="C1955" i="2"/>
  <c r="D1955" i="2"/>
  <c r="E1955" i="2"/>
  <c r="F1955" i="2"/>
  <c r="G1955" i="2"/>
  <c r="H1955" i="2"/>
  <c r="I1955" i="2"/>
  <c r="J1955" i="2"/>
  <c r="K1955" i="2"/>
  <c r="L1955" i="2"/>
  <c r="M1955" i="2"/>
  <c r="N1955" i="2"/>
  <c r="O1955" i="2"/>
  <c r="P1955" i="2"/>
  <c r="Q1955" i="2"/>
  <c r="R1955" i="2"/>
  <c r="S1955" i="2"/>
  <c r="T1955" i="2"/>
  <c r="U1955" i="2"/>
  <c r="V1955" i="2"/>
  <c r="W1955" i="2"/>
  <c r="X1955" i="2"/>
  <c r="Y1955" i="2"/>
  <c r="A1956" i="2"/>
  <c r="B1956" i="2"/>
  <c r="C1956" i="2"/>
  <c r="D1956" i="2"/>
  <c r="E1956" i="2"/>
  <c r="F1956" i="2"/>
  <c r="G1956" i="2"/>
  <c r="H1956" i="2"/>
  <c r="I1956" i="2"/>
  <c r="J1956" i="2"/>
  <c r="K1956" i="2"/>
  <c r="L1956" i="2"/>
  <c r="M1956" i="2"/>
  <c r="N1956" i="2"/>
  <c r="O1956" i="2"/>
  <c r="P1956" i="2"/>
  <c r="Q1956" i="2"/>
  <c r="R1956" i="2"/>
  <c r="S1956" i="2"/>
  <c r="T1956" i="2"/>
  <c r="U1956" i="2"/>
  <c r="V1956" i="2"/>
  <c r="W1956" i="2"/>
  <c r="X1956" i="2"/>
  <c r="Y1956" i="2"/>
  <c r="A1957" i="2"/>
  <c r="B1957" i="2"/>
  <c r="C1957" i="2"/>
  <c r="D1957" i="2"/>
  <c r="E1957" i="2"/>
  <c r="F1957" i="2"/>
  <c r="G1957" i="2"/>
  <c r="H1957" i="2"/>
  <c r="I1957" i="2"/>
  <c r="J1957" i="2"/>
  <c r="K1957" i="2"/>
  <c r="L1957" i="2"/>
  <c r="M1957" i="2"/>
  <c r="N1957" i="2"/>
  <c r="O1957" i="2"/>
  <c r="P1957" i="2"/>
  <c r="Q1957" i="2"/>
  <c r="R1957" i="2"/>
  <c r="S1957" i="2"/>
  <c r="T1957" i="2"/>
  <c r="U1957" i="2"/>
  <c r="V1957" i="2"/>
  <c r="W1957" i="2"/>
  <c r="X1957" i="2"/>
  <c r="Y1957" i="2"/>
  <c r="A1958" i="2"/>
  <c r="B1958" i="2"/>
  <c r="C1958" i="2"/>
  <c r="D1958" i="2"/>
  <c r="E1958" i="2"/>
  <c r="F1958" i="2"/>
  <c r="G1958" i="2"/>
  <c r="H1958" i="2"/>
  <c r="I1958" i="2"/>
  <c r="J1958" i="2"/>
  <c r="K1958" i="2"/>
  <c r="L1958" i="2"/>
  <c r="M1958" i="2"/>
  <c r="N1958" i="2"/>
  <c r="O1958" i="2"/>
  <c r="P1958" i="2"/>
  <c r="Q1958" i="2"/>
  <c r="R1958" i="2"/>
  <c r="S1958" i="2"/>
  <c r="T1958" i="2"/>
  <c r="U1958" i="2"/>
  <c r="V1958" i="2"/>
  <c r="W1958" i="2"/>
  <c r="X1958" i="2"/>
  <c r="Y1958" i="2"/>
  <c r="A1959" i="2"/>
  <c r="B1959" i="2"/>
  <c r="C1959" i="2"/>
  <c r="D1959" i="2"/>
  <c r="E1959" i="2"/>
  <c r="F1959" i="2"/>
  <c r="G1959" i="2"/>
  <c r="H1959" i="2"/>
  <c r="I1959" i="2"/>
  <c r="J1959" i="2"/>
  <c r="K1959" i="2"/>
  <c r="L1959" i="2"/>
  <c r="M1959" i="2"/>
  <c r="N1959" i="2"/>
  <c r="O1959" i="2"/>
  <c r="P1959" i="2"/>
  <c r="Q1959" i="2"/>
  <c r="R1959" i="2"/>
  <c r="S1959" i="2"/>
  <c r="T1959" i="2"/>
  <c r="U1959" i="2"/>
  <c r="V1959" i="2"/>
  <c r="W1959" i="2"/>
  <c r="X1959" i="2"/>
  <c r="Y1959" i="2"/>
  <c r="B1960" i="2"/>
  <c r="C1960" i="2"/>
  <c r="D1960" i="2"/>
  <c r="E1960" i="2"/>
  <c r="F1960" i="2"/>
  <c r="G1960" i="2"/>
  <c r="H1960" i="2"/>
  <c r="I1960" i="2"/>
  <c r="J1960" i="2"/>
  <c r="K1960" i="2"/>
  <c r="L1960" i="2"/>
  <c r="M1960" i="2"/>
  <c r="N1960" i="2"/>
  <c r="O1960" i="2"/>
  <c r="P1960" i="2"/>
  <c r="Q1960" i="2"/>
  <c r="R1960" i="2"/>
  <c r="S1960" i="2"/>
  <c r="T1960" i="2"/>
  <c r="U1960" i="2"/>
  <c r="V1960" i="2"/>
  <c r="W1960" i="2"/>
  <c r="X1960" i="2"/>
  <c r="Y1960" i="2"/>
  <c r="A1961" i="2"/>
  <c r="B1961" i="2"/>
  <c r="C1961" i="2"/>
  <c r="D1961" i="2"/>
  <c r="E1961" i="2"/>
  <c r="F1961" i="2"/>
  <c r="G1961" i="2"/>
  <c r="H1961" i="2"/>
  <c r="I1961" i="2"/>
  <c r="J1961" i="2"/>
  <c r="K1961" i="2"/>
  <c r="L1961" i="2"/>
  <c r="M1961" i="2"/>
  <c r="N1961" i="2"/>
  <c r="O1961" i="2"/>
  <c r="P1961" i="2"/>
  <c r="Q1961" i="2"/>
  <c r="R1961" i="2"/>
  <c r="S1961" i="2"/>
  <c r="T1961" i="2"/>
  <c r="U1961" i="2"/>
  <c r="V1961" i="2"/>
  <c r="W1961" i="2"/>
  <c r="X1961" i="2"/>
  <c r="Y1961" i="2"/>
  <c r="A1962" i="2"/>
  <c r="B1962" i="2"/>
  <c r="C1962" i="2"/>
  <c r="D1962" i="2"/>
  <c r="E1962" i="2"/>
  <c r="F1962" i="2"/>
  <c r="G1962" i="2"/>
  <c r="H1962" i="2"/>
  <c r="I1962" i="2"/>
  <c r="J1962" i="2"/>
  <c r="K1962" i="2"/>
  <c r="L1962" i="2"/>
  <c r="M1962" i="2"/>
  <c r="N1962" i="2"/>
  <c r="O1962" i="2"/>
  <c r="P1962" i="2"/>
  <c r="Q1962" i="2"/>
  <c r="R1962" i="2"/>
  <c r="S1962" i="2"/>
  <c r="T1962" i="2"/>
  <c r="U1962" i="2"/>
  <c r="V1962" i="2"/>
  <c r="W1962" i="2"/>
  <c r="X1962" i="2"/>
  <c r="Y1962" i="2"/>
  <c r="A1963" i="2"/>
  <c r="B1963" i="2"/>
  <c r="C1963" i="2"/>
  <c r="D1963" i="2"/>
  <c r="E1963" i="2"/>
  <c r="F1963" i="2"/>
  <c r="G1963" i="2"/>
  <c r="H1963" i="2"/>
  <c r="I1963" i="2"/>
  <c r="J1963" i="2"/>
  <c r="K1963" i="2"/>
  <c r="L1963" i="2"/>
  <c r="M1963" i="2"/>
  <c r="N1963" i="2"/>
  <c r="O1963" i="2"/>
  <c r="P1963" i="2"/>
  <c r="Q1963" i="2"/>
  <c r="R1963" i="2"/>
  <c r="S1963" i="2"/>
  <c r="T1963" i="2"/>
  <c r="U1963" i="2"/>
  <c r="V1963" i="2"/>
  <c r="W1963" i="2"/>
  <c r="X1963" i="2"/>
  <c r="Y1963" i="2"/>
  <c r="A1964" i="2"/>
  <c r="B1964" i="2"/>
  <c r="C1964" i="2"/>
  <c r="D1964" i="2"/>
  <c r="E1964" i="2"/>
  <c r="F1964" i="2"/>
  <c r="G1964" i="2"/>
  <c r="H1964" i="2"/>
  <c r="I1964" i="2"/>
  <c r="J1964" i="2"/>
  <c r="K1964" i="2"/>
  <c r="L1964" i="2"/>
  <c r="M1964" i="2"/>
  <c r="N1964" i="2"/>
  <c r="O1964" i="2"/>
  <c r="P1964" i="2"/>
  <c r="Q1964" i="2"/>
  <c r="R1964" i="2"/>
  <c r="S1964" i="2"/>
  <c r="T1964" i="2"/>
  <c r="U1964" i="2"/>
  <c r="V1964" i="2"/>
  <c r="W1964" i="2"/>
  <c r="X1964" i="2"/>
  <c r="Y1964" i="2"/>
  <c r="A1965" i="2"/>
  <c r="B1965" i="2"/>
  <c r="C1965" i="2"/>
  <c r="D1965" i="2"/>
  <c r="E1965" i="2"/>
  <c r="F1965" i="2"/>
  <c r="G1965" i="2"/>
  <c r="H1965" i="2"/>
  <c r="I1965" i="2"/>
  <c r="J1965" i="2"/>
  <c r="K1965" i="2"/>
  <c r="L1965" i="2"/>
  <c r="M1965" i="2"/>
  <c r="N1965" i="2"/>
  <c r="O1965" i="2"/>
  <c r="P1965" i="2"/>
  <c r="Q1965" i="2"/>
  <c r="R1965" i="2"/>
  <c r="S1965" i="2"/>
  <c r="T1965" i="2"/>
  <c r="U1965" i="2"/>
  <c r="V1965" i="2"/>
  <c r="W1965" i="2"/>
  <c r="X1965" i="2"/>
  <c r="Y1965" i="2"/>
  <c r="A1966" i="2"/>
  <c r="B1966" i="2"/>
  <c r="C1966" i="2"/>
  <c r="D1966" i="2"/>
  <c r="E1966" i="2"/>
  <c r="F1966" i="2"/>
  <c r="G1966" i="2"/>
  <c r="H1966" i="2"/>
  <c r="I1966" i="2"/>
  <c r="J1966" i="2"/>
  <c r="K1966" i="2"/>
  <c r="L1966" i="2"/>
  <c r="M1966" i="2"/>
  <c r="N1966" i="2"/>
  <c r="O1966" i="2"/>
  <c r="P1966" i="2"/>
  <c r="Q1966" i="2"/>
  <c r="R1966" i="2"/>
  <c r="S1966" i="2"/>
  <c r="T1966" i="2"/>
  <c r="U1966" i="2"/>
  <c r="V1966" i="2"/>
  <c r="W1966" i="2"/>
  <c r="X1966" i="2"/>
  <c r="Y1966" i="2"/>
  <c r="A1967" i="2"/>
  <c r="B1967" i="2"/>
  <c r="C1967" i="2"/>
  <c r="D1967" i="2"/>
  <c r="E1967" i="2"/>
  <c r="F1967" i="2"/>
  <c r="G1967" i="2"/>
  <c r="H1967" i="2"/>
  <c r="I1967" i="2"/>
  <c r="J1967" i="2"/>
  <c r="K1967" i="2"/>
  <c r="L1967" i="2"/>
  <c r="M1967" i="2"/>
  <c r="N1967" i="2"/>
  <c r="O1967" i="2"/>
  <c r="P1967" i="2"/>
  <c r="Q1967" i="2"/>
  <c r="R1967" i="2"/>
  <c r="S1967" i="2"/>
  <c r="T1967" i="2"/>
  <c r="U1967" i="2"/>
  <c r="V1967" i="2"/>
  <c r="W1967" i="2"/>
  <c r="X1967" i="2"/>
  <c r="Y1967" i="2"/>
  <c r="A1968" i="2"/>
  <c r="B1968" i="2"/>
  <c r="C1968" i="2"/>
  <c r="D1968" i="2"/>
  <c r="E1968" i="2"/>
  <c r="F1968" i="2"/>
  <c r="G1968" i="2"/>
  <c r="H1968" i="2"/>
  <c r="I1968" i="2"/>
  <c r="J1968" i="2"/>
  <c r="K1968" i="2"/>
  <c r="L1968" i="2"/>
  <c r="M1968" i="2"/>
  <c r="N1968" i="2"/>
  <c r="O1968" i="2"/>
  <c r="P1968" i="2"/>
  <c r="Q1968" i="2"/>
  <c r="R1968" i="2"/>
  <c r="S1968" i="2"/>
  <c r="T1968" i="2"/>
  <c r="U1968" i="2"/>
  <c r="V1968" i="2"/>
  <c r="W1968" i="2"/>
  <c r="X1968" i="2"/>
  <c r="Y1968" i="2"/>
  <c r="A1969" i="2"/>
  <c r="B1969" i="2"/>
  <c r="C1969" i="2"/>
  <c r="D1969" i="2"/>
  <c r="E1969" i="2"/>
  <c r="F1969" i="2"/>
  <c r="G1969" i="2"/>
  <c r="H1969" i="2"/>
  <c r="I1969" i="2"/>
  <c r="J1969" i="2"/>
  <c r="K1969" i="2"/>
  <c r="L1969" i="2"/>
  <c r="M1969" i="2"/>
  <c r="N1969" i="2"/>
  <c r="O1969" i="2"/>
  <c r="P1969" i="2"/>
  <c r="Q1969" i="2"/>
  <c r="R1969" i="2"/>
  <c r="S1969" i="2"/>
  <c r="T1969" i="2"/>
  <c r="U1969" i="2"/>
  <c r="V1969" i="2"/>
  <c r="W1969" i="2"/>
  <c r="X1969" i="2"/>
  <c r="Y1969" i="2"/>
  <c r="A1970" i="2"/>
  <c r="B1970" i="2"/>
  <c r="C1970" i="2"/>
  <c r="D1970" i="2"/>
  <c r="E1970" i="2"/>
  <c r="F1970" i="2"/>
  <c r="G1970" i="2"/>
  <c r="H1970" i="2"/>
  <c r="I1970" i="2"/>
  <c r="J1970" i="2"/>
  <c r="K1970" i="2"/>
  <c r="L1970" i="2"/>
  <c r="M1970" i="2"/>
  <c r="N1970" i="2"/>
  <c r="O1970" i="2"/>
  <c r="P1970" i="2"/>
  <c r="Q1970" i="2"/>
  <c r="R1970" i="2"/>
  <c r="S1970" i="2"/>
  <c r="T1970" i="2"/>
  <c r="U1970" i="2"/>
  <c r="V1970" i="2"/>
  <c r="W1970" i="2"/>
  <c r="X1970" i="2"/>
  <c r="Y1970" i="2"/>
  <c r="A1971" i="2"/>
  <c r="B1971" i="2"/>
  <c r="C1971" i="2"/>
  <c r="D1971" i="2"/>
  <c r="E1971" i="2"/>
  <c r="F1971" i="2"/>
  <c r="G1971" i="2"/>
  <c r="H1971" i="2"/>
  <c r="I1971" i="2"/>
  <c r="J1971" i="2"/>
  <c r="K1971" i="2"/>
  <c r="L1971" i="2"/>
  <c r="M1971" i="2"/>
  <c r="N1971" i="2"/>
  <c r="O1971" i="2"/>
  <c r="P1971" i="2"/>
  <c r="Q1971" i="2"/>
  <c r="R1971" i="2"/>
  <c r="S1971" i="2"/>
  <c r="T1971" i="2"/>
  <c r="U1971" i="2"/>
  <c r="V1971" i="2"/>
  <c r="W1971" i="2"/>
  <c r="X1971" i="2"/>
  <c r="Y1971" i="2"/>
  <c r="A1972" i="2"/>
  <c r="B1972" i="2"/>
  <c r="C1972" i="2"/>
  <c r="D1972" i="2"/>
  <c r="E1972" i="2"/>
  <c r="F1972" i="2"/>
  <c r="G1972" i="2"/>
  <c r="H1972" i="2"/>
  <c r="I1972" i="2"/>
  <c r="J1972" i="2"/>
  <c r="K1972" i="2"/>
  <c r="L1972" i="2"/>
  <c r="M1972" i="2"/>
  <c r="N1972" i="2"/>
  <c r="O1972" i="2"/>
  <c r="P1972" i="2"/>
  <c r="Q1972" i="2"/>
  <c r="R1972" i="2"/>
  <c r="S1972" i="2"/>
  <c r="T1972" i="2"/>
  <c r="U1972" i="2"/>
  <c r="V1972" i="2"/>
  <c r="W1972" i="2"/>
  <c r="X1972" i="2"/>
  <c r="Y1972" i="2"/>
  <c r="A1973" i="2"/>
  <c r="B1973" i="2"/>
  <c r="C1973" i="2"/>
  <c r="D1973" i="2"/>
  <c r="E1973" i="2"/>
  <c r="F1973" i="2"/>
  <c r="G1973" i="2"/>
  <c r="H1973" i="2"/>
  <c r="I1973" i="2"/>
  <c r="J1973" i="2"/>
  <c r="K1973" i="2"/>
  <c r="L1973" i="2"/>
  <c r="M1973" i="2"/>
  <c r="N1973" i="2"/>
  <c r="O1973" i="2"/>
  <c r="P1973" i="2"/>
  <c r="Q1973" i="2"/>
  <c r="R1973" i="2"/>
  <c r="S1973" i="2"/>
  <c r="T1973" i="2"/>
  <c r="U1973" i="2"/>
  <c r="V1973" i="2"/>
  <c r="W1973" i="2"/>
  <c r="X1973" i="2"/>
  <c r="Y1973" i="2"/>
  <c r="A1974" i="2"/>
  <c r="B1974" i="2"/>
  <c r="C1974" i="2"/>
  <c r="D1974" i="2"/>
  <c r="E1974" i="2"/>
  <c r="F1974" i="2"/>
  <c r="G1974" i="2"/>
  <c r="H1974" i="2"/>
  <c r="I1974" i="2"/>
  <c r="J1974" i="2"/>
  <c r="K1974" i="2"/>
  <c r="L1974" i="2"/>
  <c r="M1974" i="2"/>
  <c r="N1974" i="2"/>
  <c r="O1974" i="2"/>
  <c r="P1974" i="2"/>
  <c r="Q1974" i="2"/>
  <c r="R1974" i="2"/>
  <c r="S1974" i="2"/>
  <c r="T1974" i="2"/>
  <c r="U1974" i="2"/>
  <c r="V1974" i="2"/>
  <c r="W1974" i="2"/>
  <c r="X1974" i="2"/>
  <c r="Y1974" i="2"/>
  <c r="A1975" i="2"/>
  <c r="B1975" i="2"/>
  <c r="C1975" i="2"/>
  <c r="D1975" i="2"/>
  <c r="E1975" i="2"/>
  <c r="F1975" i="2"/>
  <c r="G1975" i="2"/>
  <c r="H1975" i="2"/>
  <c r="I1975" i="2"/>
  <c r="J1975" i="2"/>
  <c r="K1975" i="2"/>
  <c r="L1975" i="2"/>
  <c r="M1975" i="2"/>
  <c r="N1975" i="2"/>
  <c r="O1975" i="2"/>
  <c r="P1975" i="2"/>
  <c r="Q1975" i="2"/>
  <c r="R1975" i="2"/>
  <c r="S1975" i="2"/>
  <c r="T1975" i="2"/>
  <c r="U1975" i="2"/>
  <c r="V1975" i="2"/>
  <c r="W1975" i="2"/>
  <c r="X1975" i="2"/>
  <c r="Y1975" i="2"/>
  <c r="B1976" i="2"/>
  <c r="C1976" i="2"/>
  <c r="D1976" i="2"/>
  <c r="E1976" i="2"/>
  <c r="F1976" i="2"/>
  <c r="G1976" i="2"/>
  <c r="H1976" i="2"/>
  <c r="I1976" i="2"/>
  <c r="J1976" i="2"/>
  <c r="K1976" i="2"/>
  <c r="L1976" i="2"/>
  <c r="M1976" i="2"/>
  <c r="N1976" i="2"/>
  <c r="O1976" i="2"/>
  <c r="P1976" i="2"/>
  <c r="Q1976" i="2"/>
  <c r="R1976" i="2"/>
  <c r="S1976" i="2"/>
  <c r="T1976" i="2"/>
  <c r="U1976" i="2"/>
  <c r="V1976" i="2"/>
  <c r="W1976" i="2"/>
  <c r="X1976" i="2"/>
  <c r="Y1976" i="2"/>
  <c r="A1977" i="2"/>
  <c r="B1977" i="2"/>
  <c r="C1977" i="2"/>
  <c r="D1977" i="2"/>
  <c r="E1977" i="2"/>
  <c r="F1977" i="2"/>
  <c r="G1977" i="2"/>
  <c r="H1977" i="2"/>
  <c r="I1977" i="2"/>
  <c r="J1977" i="2"/>
  <c r="K1977" i="2"/>
  <c r="L1977" i="2"/>
  <c r="M1977" i="2"/>
  <c r="N1977" i="2"/>
  <c r="O1977" i="2"/>
  <c r="P1977" i="2"/>
  <c r="Q1977" i="2"/>
  <c r="R1977" i="2"/>
  <c r="S1977" i="2"/>
  <c r="T1977" i="2"/>
  <c r="U1977" i="2"/>
  <c r="V1977" i="2"/>
  <c r="W1977" i="2"/>
  <c r="X1977" i="2"/>
  <c r="Y1977" i="2"/>
  <c r="A1978" i="2"/>
  <c r="B1978" i="2"/>
  <c r="C1978" i="2"/>
  <c r="D1978" i="2"/>
  <c r="E1978" i="2"/>
  <c r="F1978" i="2"/>
  <c r="G1978" i="2"/>
  <c r="H1978" i="2"/>
  <c r="I1978" i="2"/>
  <c r="J1978" i="2"/>
  <c r="K1978" i="2"/>
  <c r="L1978" i="2"/>
  <c r="M1978" i="2"/>
  <c r="N1978" i="2"/>
  <c r="O1978" i="2"/>
  <c r="P1978" i="2"/>
  <c r="Q1978" i="2"/>
  <c r="R1978" i="2"/>
  <c r="S1978" i="2"/>
  <c r="T1978" i="2"/>
  <c r="U1978" i="2"/>
  <c r="V1978" i="2"/>
  <c r="W1978" i="2"/>
  <c r="X1978" i="2"/>
  <c r="Y1978" i="2"/>
  <c r="A1979" i="2"/>
  <c r="B1979" i="2"/>
  <c r="C1979" i="2"/>
  <c r="D1979" i="2"/>
  <c r="E1979" i="2"/>
  <c r="F1979" i="2"/>
  <c r="G1979" i="2"/>
  <c r="H1979" i="2"/>
  <c r="I1979" i="2"/>
  <c r="J1979" i="2"/>
  <c r="K1979" i="2"/>
  <c r="L1979" i="2"/>
  <c r="M1979" i="2"/>
  <c r="N1979" i="2"/>
  <c r="O1979" i="2"/>
  <c r="P1979" i="2"/>
  <c r="Q1979" i="2"/>
  <c r="R1979" i="2"/>
  <c r="S1979" i="2"/>
  <c r="T1979" i="2"/>
  <c r="U1979" i="2"/>
  <c r="V1979" i="2"/>
  <c r="W1979" i="2"/>
  <c r="X1979" i="2"/>
  <c r="Y1979" i="2"/>
  <c r="A1980" i="2"/>
  <c r="B1980" i="2"/>
  <c r="C1980" i="2"/>
  <c r="D1980" i="2"/>
  <c r="E1980" i="2"/>
  <c r="F1980" i="2"/>
  <c r="G1980" i="2"/>
  <c r="H1980" i="2"/>
  <c r="I1980" i="2"/>
  <c r="J1980" i="2"/>
  <c r="K1980" i="2"/>
  <c r="L1980" i="2"/>
  <c r="M1980" i="2"/>
  <c r="N1980" i="2"/>
  <c r="O1980" i="2"/>
  <c r="P1980" i="2"/>
  <c r="Q1980" i="2"/>
  <c r="R1980" i="2"/>
  <c r="S1980" i="2"/>
  <c r="T1980" i="2"/>
  <c r="U1980" i="2"/>
  <c r="V1980" i="2"/>
  <c r="W1980" i="2"/>
  <c r="X1980" i="2"/>
  <c r="Y1980" i="2"/>
  <c r="A1981" i="2"/>
  <c r="B1981" i="2"/>
  <c r="C1981" i="2"/>
  <c r="D1981" i="2"/>
  <c r="E1981" i="2"/>
  <c r="F1981" i="2"/>
  <c r="G1981" i="2"/>
  <c r="H1981" i="2"/>
  <c r="I1981" i="2"/>
  <c r="J1981" i="2"/>
  <c r="K1981" i="2"/>
  <c r="L1981" i="2"/>
  <c r="M1981" i="2"/>
  <c r="N1981" i="2"/>
  <c r="O1981" i="2"/>
  <c r="P1981" i="2"/>
  <c r="Q1981" i="2"/>
  <c r="R1981" i="2"/>
  <c r="S1981" i="2"/>
  <c r="T1981" i="2"/>
  <c r="U1981" i="2"/>
  <c r="V1981" i="2"/>
  <c r="W1981" i="2"/>
  <c r="X1981" i="2"/>
  <c r="Y1981" i="2"/>
  <c r="A1982" i="2"/>
  <c r="B1982" i="2"/>
  <c r="C1982" i="2"/>
  <c r="D1982" i="2"/>
  <c r="E1982" i="2"/>
  <c r="F1982" i="2"/>
  <c r="G1982" i="2"/>
  <c r="H1982" i="2"/>
  <c r="I1982" i="2"/>
  <c r="J1982" i="2"/>
  <c r="K1982" i="2"/>
  <c r="L1982" i="2"/>
  <c r="M1982" i="2"/>
  <c r="N1982" i="2"/>
  <c r="O1982" i="2"/>
  <c r="P1982" i="2"/>
  <c r="Q1982" i="2"/>
  <c r="R1982" i="2"/>
  <c r="S1982" i="2"/>
  <c r="T1982" i="2"/>
  <c r="U1982" i="2"/>
  <c r="V1982" i="2"/>
  <c r="W1982" i="2"/>
  <c r="X1982" i="2"/>
  <c r="Y1982" i="2"/>
  <c r="A1983" i="2"/>
  <c r="B1983" i="2"/>
  <c r="C1983" i="2"/>
  <c r="D1983" i="2"/>
  <c r="E1983" i="2"/>
  <c r="F1983" i="2"/>
  <c r="G1983" i="2"/>
  <c r="H1983" i="2"/>
  <c r="I1983" i="2"/>
  <c r="J1983" i="2"/>
  <c r="K1983" i="2"/>
  <c r="L1983" i="2"/>
  <c r="M1983" i="2"/>
  <c r="N1983" i="2"/>
  <c r="O1983" i="2"/>
  <c r="P1983" i="2"/>
  <c r="Q1983" i="2"/>
  <c r="R1983" i="2"/>
  <c r="S1983" i="2"/>
  <c r="T1983" i="2"/>
  <c r="U1983" i="2"/>
  <c r="V1983" i="2"/>
  <c r="W1983" i="2"/>
  <c r="X1983" i="2"/>
  <c r="Y1983" i="2"/>
  <c r="A1984" i="2"/>
  <c r="B1984" i="2"/>
  <c r="C1984" i="2"/>
  <c r="D1984" i="2"/>
  <c r="E1984" i="2"/>
  <c r="F1984" i="2"/>
  <c r="G1984" i="2"/>
  <c r="H1984" i="2"/>
  <c r="I1984" i="2"/>
  <c r="J1984" i="2"/>
  <c r="K1984" i="2"/>
  <c r="L1984" i="2"/>
  <c r="M1984" i="2"/>
  <c r="N1984" i="2"/>
  <c r="O1984" i="2"/>
  <c r="P1984" i="2"/>
  <c r="Q1984" i="2"/>
  <c r="R1984" i="2"/>
  <c r="S1984" i="2"/>
  <c r="T1984" i="2"/>
  <c r="U1984" i="2"/>
  <c r="V1984" i="2"/>
  <c r="W1984" i="2"/>
  <c r="X1984" i="2"/>
  <c r="Y1984" i="2"/>
  <c r="A1985" i="2"/>
  <c r="B1985" i="2"/>
  <c r="C1985" i="2"/>
  <c r="D1985" i="2"/>
  <c r="E1985" i="2"/>
  <c r="F1985" i="2"/>
  <c r="G1985" i="2"/>
  <c r="H1985" i="2"/>
  <c r="I1985" i="2"/>
  <c r="J1985" i="2"/>
  <c r="K1985" i="2"/>
  <c r="L1985" i="2"/>
  <c r="M1985" i="2"/>
  <c r="N1985" i="2"/>
  <c r="O1985" i="2"/>
  <c r="P1985" i="2"/>
  <c r="Q1985" i="2"/>
  <c r="R1985" i="2"/>
  <c r="S1985" i="2"/>
  <c r="T1985" i="2"/>
  <c r="U1985" i="2"/>
  <c r="V1985" i="2"/>
  <c r="W1985" i="2"/>
  <c r="X1985" i="2"/>
  <c r="Y1985" i="2"/>
  <c r="A1986" i="2"/>
  <c r="B1986" i="2"/>
  <c r="C1986" i="2"/>
  <c r="D1986" i="2"/>
  <c r="E1986" i="2"/>
  <c r="F1986" i="2"/>
  <c r="G1986" i="2"/>
  <c r="H1986" i="2"/>
  <c r="I1986" i="2"/>
  <c r="J1986" i="2"/>
  <c r="K1986" i="2"/>
  <c r="L1986" i="2"/>
  <c r="M1986" i="2"/>
  <c r="N1986" i="2"/>
  <c r="O1986" i="2"/>
  <c r="P1986" i="2"/>
  <c r="Q1986" i="2"/>
  <c r="R1986" i="2"/>
  <c r="S1986" i="2"/>
  <c r="T1986" i="2"/>
  <c r="U1986" i="2"/>
  <c r="V1986" i="2"/>
  <c r="W1986" i="2"/>
  <c r="X1986" i="2"/>
  <c r="Y1986" i="2"/>
  <c r="A1987" i="2"/>
  <c r="B1987" i="2"/>
  <c r="C1987" i="2"/>
  <c r="D1987" i="2"/>
  <c r="E1987" i="2"/>
  <c r="F1987" i="2"/>
  <c r="G1987" i="2"/>
  <c r="H1987" i="2"/>
  <c r="I1987" i="2"/>
  <c r="J1987" i="2"/>
  <c r="K1987" i="2"/>
  <c r="L1987" i="2"/>
  <c r="M1987" i="2"/>
  <c r="N1987" i="2"/>
  <c r="O1987" i="2"/>
  <c r="P1987" i="2"/>
  <c r="Q1987" i="2"/>
  <c r="R1987" i="2"/>
  <c r="S1987" i="2"/>
  <c r="T1987" i="2"/>
  <c r="U1987" i="2"/>
  <c r="V1987" i="2"/>
  <c r="W1987" i="2"/>
  <c r="X1987" i="2"/>
  <c r="Y1987" i="2"/>
  <c r="A1988" i="2"/>
  <c r="B1988" i="2"/>
  <c r="C1988" i="2"/>
  <c r="D1988" i="2"/>
  <c r="E1988" i="2"/>
  <c r="F1988" i="2"/>
  <c r="G1988" i="2"/>
  <c r="H1988" i="2"/>
  <c r="I1988" i="2"/>
  <c r="J1988" i="2"/>
  <c r="K1988" i="2"/>
  <c r="L1988" i="2"/>
  <c r="M1988" i="2"/>
  <c r="N1988" i="2"/>
  <c r="O1988" i="2"/>
  <c r="P1988" i="2"/>
  <c r="Q1988" i="2"/>
  <c r="R1988" i="2"/>
  <c r="S1988" i="2"/>
  <c r="T1988" i="2"/>
  <c r="U1988" i="2"/>
  <c r="V1988" i="2"/>
  <c r="W1988" i="2"/>
  <c r="X1988" i="2"/>
  <c r="Y1988" i="2"/>
  <c r="A1989" i="2"/>
  <c r="B1989" i="2"/>
  <c r="C1989" i="2"/>
  <c r="D1989" i="2"/>
  <c r="E1989" i="2"/>
  <c r="F1989" i="2"/>
  <c r="G1989" i="2"/>
  <c r="H1989" i="2"/>
  <c r="I1989" i="2"/>
  <c r="J1989" i="2"/>
  <c r="K1989" i="2"/>
  <c r="L1989" i="2"/>
  <c r="M1989" i="2"/>
  <c r="N1989" i="2"/>
  <c r="O1989" i="2"/>
  <c r="P1989" i="2"/>
  <c r="Q1989" i="2"/>
  <c r="R1989" i="2"/>
  <c r="S1989" i="2"/>
  <c r="T1989" i="2"/>
  <c r="U1989" i="2"/>
  <c r="V1989" i="2"/>
  <c r="W1989" i="2"/>
  <c r="X1989" i="2"/>
  <c r="Y1989" i="2"/>
  <c r="A1990" i="2"/>
  <c r="B1990" i="2"/>
  <c r="C1990" i="2"/>
  <c r="D1990" i="2"/>
  <c r="E1990" i="2"/>
  <c r="F1990" i="2"/>
  <c r="G1990" i="2"/>
  <c r="H1990" i="2"/>
  <c r="I1990" i="2"/>
  <c r="J1990" i="2"/>
  <c r="K1990" i="2"/>
  <c r="L1990" i="2"/>
  <c r="M1990" i="2"/>
  <c r="N1990" i="2"/>
  <c r="O1990" i="2"/>
  <c r="P1990" i="2"/>
  <c r="Q1990" i="2"/>
  <c r="R1990" i="2"/>
  <c r="S1990" i="2"/>
  <c r="T1990" i="2"/>
  <c r="U1990" i="2"/>
  <c r="V1990" i="2"/>
  <c r="W1990" i="2"/>
  <c r="X1990" i="2"/>
  <c r="Y1990" i="2"/>
  <c r="A1991" i="2"/>
  <c r="B1991" i="2"/>
  <c r="C1991" i="2"/>
  <c r="D1991" i="2"/>
  <c r="E1991" i="2"/>
  <c r="F1991" i="2"/>
  <c r="G1991" i="2"/>
  <c r="H1991" i="2"/>
  <c r="I1991" i="2"/>
  <c r="J1991" i="2"/>
  <c r="K1991" i="2"/>
  <c r="L1991" i="2"/>
  <c r="M1991" i="2"/>
  <c r="N1991" i="2"/>
  <c r="O1991" i="2"/>
  <c r="P1991" i="2"/>
  <c r="Q1991" i="2"/>
  <c r="R1991" i="2"/>
  <c r="S1991" i="2"/>
  <c r="T1991" i="2"/>
  <c r="U1991" i="2"/>
  <c r="V1991" i="2"/>
  <c r="W1991" i="2"/>
  <c r="X1991" i="2"/>
  <c r="Y1991" i="2"/>
  <c r="B1992" i="2"/>
  <c r="C1992" i="2"/>
  <c r="D1992" i="2"/>
  <c r="E1992" i="2"/>
  <c r="F1992" i="2"/>
  <c r="G1992" i="2"/>
  <c r="H1992" i="2"/>
  <c r="I1992" i="2"/>
  <c r="J1992" i="2"/>
  <c r="K1992" i="2"/>
  <c r="L1992" i="2"/>
  <c r="M1992" i="2"/>
  <c r="N1992" i="2"/>
  <c r="O1992" i="2"/>
  <c r="P1992" i="2"/>
  <c r="Q1992" i="2"/>
  <c r="R1992" i="2"/>
  <c r="S1992" i="2"/>
  <c r="T1992" i="2"/>
  <c r="U1992" i="2"/>
  <c r="V1992" i="2"/>
  <c r="W1992" i="2"/>
  <c r="X1992" i="2"/>
  <c r="Y1992" i="2"/>
  <c r="A1993" i="2"/>
  <c r="B1993" i="2"/>
  <c r="C1993" i="2"/>
  <c r="D1993" i="2"/>
  <c r="E1993" i="2"/>
  <c r="F1993" i="2"/>
  <c r="G1993" i="2"/>
  <c r="H1993" i="2"/>
  <c r="I1993" i="2"/>
  <c r="J1993" i="2"/>
  <c r="K1993" i="2"/>
  <c r="L1993" i="2"/>
  <c r="M1993" i="2"/>
  <c r="N1993" i="2"/>
  <c r="O1993" i="2"/>
  <c r="P1993" i="2"/>
  <c r="Q1993" i="2"/>
  <c r="R1993" i="2"/>
  <c r="S1993" i="2"/>
  <c r="T1993" i="2"/>
  <c r="U1993" i="2"/>
  <c r="V1993" i="2"/>
  <c r="W1993" i="2"/>
  <c r="X1993" i="2"/>
  <c r="Y1993" i="2"/>
  <c r="A1994" i="2"/>
  <c r="B1994" i="2"/>
  <c r="C1994" i="2"/>
  <c r="D1994" i="2"/>
  <c r="E1994" i="2"/>
  <c r="F1994" i="2"/>
  <c r="G1994" i="2"/>
  <c r="H1994" i="2"/>
  <c r="I1994" i="2"/>
  <c r="J1994" i="2"/>
  <c r="K1994" i="2"/>
  <c r="L1994" i="2"/>
  <c r="M1994" i="2"/>
  <c r="N1994" i="2"/>
  <c r="O1994" i="2"/>
  <c r="P1994" i="2"/>
  <c r="Q1994" i="2"/>
  <c r="R1994" i="2"/>
  <c r="S1994" i="2"/>
  <c r="T1994" i="2"/>
  <c r="U1994" i="2"/>
  <c r="V1994" i="2"/>
  <c r="W1994" i="2"/>
  <c r="X1994" i="2"/>
  <c r="Y1994" i="2"/>
  <c r="A1995" i="2"/>
  <c r="B1995" i="2"/>
  <c r="C1995" i="2"/>
  <c r="D1995" i="2"/>
  <c r="E1995" i="2"/>
  <c r="F1995" i="2"/>
  <c r="G1995" i="2"/>
  <c r="H1995" i="2"/>
  <c r="I1995" i="2"/>
  <c r="J1995" i="2"/>
  <c r="K1995" i="2"/>
  <c r="L1995" i="2"/>
  <c r="M1995" i="2"/>
  <c r="N1995" i="2"/>
  <c r="O1995" i="2"/>
  <c r="P1995" i="2"/>
  <c r="Q1995" i="2"/>
  <c r="R1995" i="2"/>
  <c r="S1995" i="2"/>
  <c r="T1995" i="2"/>
  <c r="U1995" i="2"/>
  <c r="V1995" i="2"/>
  <c r="W1995" i="2"/>
  <c r="X1995" i="2"/>
  <c r="Y1995" i="2"/>
  <c r="A1996" i="2"/>
  <c r="B1996" i="2"/>
  <c r="C1996" i="2"/>
  <c r="D1996" i="2"/>
  <c r="E1996" i="2"/>
  <c r="F1996" i="2"/>
  <c r="G1996" i="2"/>
  <c r="H1996" i="2"/>
  <c r="I1996" i="2"/>
  <c r="J1996" i="2"/>
  <c r="K1996" i="2"/>
  <c r="L1996" i="2"/>
  <c r="M1996" i="2"/>
  <c r="N1996" i="2"/>
  <c r="O1996" i="2"/>
  <c r="P1996" i="2"/>
  <c r="Q1996" i="2"/>
  <c r="R1996" i="2"/>
  <c r="S1996" i="2"/>
  <c r="T1996" i="2"/>
  <c r="U1996" i="2"/>
  <c r="V1996" i="2"/>
  <c r="W1996" i="2"/>
  <c r="X1996" i="2"/>
  <c r="Y1996" i="2"/>
  <c r="A1997" i="2"/>
  <c r="B1997" i="2"/>
  <c r="C1997" i="2"/>
  <c r="D1997" i="2"/>
  <c r="E1997" i="2"/>
  <c r="F1997" i="2"/>
  <c r="G1997" i="2"/>
  <c r="H1997" i="2"/>
  <c r="I1997" i="2"/>
  <c r="J1997" i="2"/>
  <c r="K1997" i="2"/>
  <c r="L1997" i="2"/>
  <c r="M1997" i="2"/>
  <c r="N1997" i="2"/>
  <c r="O1997" i="2"/>
  <c r="P1997" i="2"/>
  <c r="Q1997" i="2"/>
  <c r="R1997" i="2"/>
  <c r="S1997" i="2"/>
  <c r="T1997" i="2"/>
  <c r="U1997" i="2"/>
  <c r="V1997" i="2"/>
  <c r="W1997" i="2"/>
  <c r="X1997" i="2"/>
  <c r="Y1997" i="2"/>
  <c r="A1998" i="2"/>
  <c r="B1998" i="2"/>
  <c r="C1998" i="2"/>
  <c r="D1998" i="2"/>
  <c r="E1998" i="2"/>
  <c r="F1998" i="2"/>
  <c r="G1998" i="2"/>
  <c r="H1998" i="2"/>
  <c r="I1998" i="2"/>
  <c r="J1998" i="2"/>
  <c r="K1998" i="2"/>
  <c r="L1998" i="2"/>
  <c r="M1998" i="2"/>
  <c r="N1998" i="2"/>
  <c r="O1998" i="2"/>
  <c r="P1998" i="2"/>
  <c r="Q1998" i="2"/>
  <c r="R1998" i="2"/>
  <c r="S1998" i="2"/>
  <c r="T1998" i="2"/>
  <c r="U1998" i="2"/>
  <c r="V1998" i="2"/>
  <c r="W1998" i="2"/>
  <c r="X1998" i="2"/>
  <c r="Y1998" i="2"/>
  <c r="A1999" i="2"/>
  <c r="B1999" i="2"/>
  <c r="C1999" i="2"/>
  <c r="D1999" i="2"/>
  <c r="E1999" i="2"/>
  <c r="F1999" i="2"/>
  <c r="G1999" i="2"/>
  <c r="H1999" i="2"/>
  <c r="I1999" i="2"/>
  <c r="J1999" i="2"/>
  <c r="K1999" i="2"/>
  <c r="L1999" i="2"/>
  <c r="M1999" i="2"/>
  <c r="N1999" i="2"/>
  <c r="O1999" i="2"/>
  <c r="P1999" i="2"/>
  <c r="Q1999" i="2"/>
  <c r="R1999" i="2"/>
  <c r="S1999" i="2"/>
  <c r="T1999" i="2"/>
  <c r="U1999" i="2"/>
  <c r="V1999" i="2"/>
  <c r="W1999" i="2"/>
  <c r="X1999" i="2"/>
  <c r="Y1999" i="2"/>
  <c r="A2000" i="2"/>
  <c r="B2000" i="2"/>
  <c r="C2000" i="2"/>
  <c r="D2000" i="2"/>
  <c r="E2000" i="2"/>
  <c r="F2000" i="2"/>
  <c r="G2000" i="2"/>
  <c r="H2000" i="2"/>
  <c r="I2000" i="2"/>
  <c r="J2000" i="2"/>
  <c r="K2000" i="2"/>
  <c r="L2000" i="2"/>
  <c r="M2000" i="2"/>
  <c r="N2000" i="2"/>
  <c r="O2000" i="2"/>
  <c r="P2000" i="2"/>
  <c r="Q2000" i="2"/>
  <c r="R2000" i="2"/>
  <c r="S2000" i="2"/>
  <c r="T2000" i="2"/>
  <c r="U2000" i="2"/>
  <c r="V2000" i="2"/>
  <c r="W2000" i="2"/>
  <c r="X2000" i="2"/>
  <c r="Y2000" i="2"/>
  <c r="A2001" i="2"/>
  <c r="B2001" i="2"/>
  <c r="C2001" i="2"/>
  <c r="D2001" i="2"/>
  <c r="E2001" i="2"/>
  <c r="F2001" i="2"/>
  <c r="G2001" i="2"/>
  <c r="H2001" i="2"/>
  <c r="I2001" i="2"/>
  <c r="J2001" i="2"/>
  <c r="K2001" i="2"/>
  <c r="L2001" i="2"/>
  <c r="M2001" i="2"/>
  <c r="N2001" i="2"/>
  <c r="O2001" i="2"/>
  <c r="P2001" i="2"/>
  <c r="Q2001" i="2"/>
  <c r="R2001" i="2"/>
  <c r="S2001" i="2"/>
  <c r="T2001" i="2"/>
  <c r="U2001" i="2"/>
  <c r="V2001" i="2"/>
  <c r="W2001" i="2"/>
  <c r="X2001" i="2"/>
  <c r="Y2001" i="2"/>
  <c r="A2002" i="2"/>
  <c r="B2002" i="2"/>
  <c r="C2002" i="2"/>
  <c r="D2002" i="2"/>
  <c r="E2002" i="2"/>
  <c r="F2002" i="2"/>
  <c r="G2002" i="2"/>
  <c r="H2002" i="2"/>
  <c r="I2002" i="2"/>
  <c r="J2002" i="2"/>
  <c r="K2002" i="2"/>
  <c r="L2002" i="2"/>
  <c r="M2002" i="2"/>
  <c r="N2002" i="2"/>
  <c r="O2002" i="2"/>
  <c r="P2002" i="2"/>
  <c r="Q2002" i="2"/>
  <c r="R2002" i="2"/>
  <c r="S2002" i="2"/>
  <c r="T2002" i="2"/>
  <c r="U2002" i="2"/>
  <c r="V2002" i="2"/>
  <c r="W2002" i="2"/>
  <c r="X2002" i="2"/>
  <c r="Y2002" i="2"/>
  <c r="A2003" i="2"/>
  <c r="B2003" i="2"/>
  <c r="C2003" i="2"/>
  <c r="D2003" i="2"/>
  <c r="E2003" i="2"/>
  <c r="F2003" i="2"/>
  <c r="G2003" i="2"/>
  <c r="H2003" i="2"/>
  <c r="I2003" i="2"/>
  <c r="J2003" i="2"/>
  <c r="K2003" i="2"/>
  <c r="L2003" i="2"/>
  <c r="M2003" i="2"/>
  <c r="N2003" i="2"/>
  <c r="O2003" i="2"/>
  <c r="P2003" i="2"/>
  <c r="Q2003" i="2"/>
  <c r="R2003" i="2"/>
  <c r="S2003" i="2"/>
  <c r="T2003" i="2"/>
  <c r="U2003" i="2"/>
  <c r="V2003" i="2"/>
  <c r="W2003" i="2"/>
  <c r="X2003" i="2"/>
  <c r="Y2003" i="2"/>
  <c r="A2004" i="2"/>
  <c r="B2004" i="2"/>
  <c r="C2004" i="2"/>
  <c r="D2004" i="2"/>
  <c r="E2004" i="2"/>
  <c r="F2004" i="2"/>
  <c r="G2004" i="2"/>
  <c r="H2004" i="2"/>
  <c r="I2004" i="2"/>
  <c r="J2004" i="2"/>
  <c r="K2004" i="2"/>
  <c r="L2004" i="2"/>
  <c r="M2004" i="2"/>
  <c r="N2004" i="2"/>
  <c r="O2004" i="2"/>
  <c r="P2004" i="2"/>
  <c r="Q2004" i="2"/>
  <c r="R2004" i="2"/>
  <c r="S2004" i="2"/>
  <c r="T2004" i="2"/>
  <c r="U2004" i="2"/>
  <c r="V2004" i="2"/>
  <c r="W2004" i="2"/>
  <c r="X2004" i="2"/>
  <c r="Y2004" i="2"/>
  <c r="A2005" i="2"/>
  <c r="B2005" i="2"/>
  <c r="C2005" i="2"/>
  <c r="D2005" i="2"/>
  <c r="E2005" i="2"/>
  <c r="F2005" i="2"/>
  <c r="G2005" i="2"/>
  <c r="H2005" i="2"/>
  <c r="I2005" i="2"/>
  <c r="J2005" i="2"/>
  <c r="K2005" i="2"/>
  <c r="L2005" i="2"/>
  <c r="M2005" i="2"/>
  <c r="N2005" i="2"/>
  <c r="O2005" i="2"/>
  <c r="P2005" i="2"/>
  <c r="Q2005" i="2"/>
  <c r="R2005" i="2"/>
  <c r="S2005" i="2"/>
  <c r="T2005" i="2"/>
  <c r="U2005" i="2"/>
  <c r="V2005" i="2"/>
  <c r="W2005" i="2"/>
  <c r="X2005" i="2"/>
  <c r="Y2005" i="2"/>
  <c r="A2006" i="2"/>
  <c r="B2006" i="2"/>
  <c r="C2006" i="2"/>
  <c r="D2006" i="2"/>
  <c r="E2006" i="2"/>
  <c r="F2006" i="2"/>
  <c r="G2006" i="2"/>
  <c r="H2006" i="2"/>
  <c r="I2006" i="2"/>
  <c r="J2006" i="2"/>
  <c r="K2006" i="2"/>
  <c r="L2006" i="2"/>
  <c r="M2006" i="2"/>
  <c r="N2006" i="2"/>
  <c r="O2006" i="2"/>
  <c r="P2006" i="2"/>
  <c r="Q2006" i="2"/>
  <c r="R2006" i="2"/>
  <c r="S2006" i="2"/>
  <c r="T2006" i="2"/>
  <c r="U2006" i="2"/>
  <c r="V2006" i="2"/>
  <c r="W2006" i="2"/>
  <c r="X2006" i="2"/>
  <c r="Y2006" i="2"/>
  <c r="A2007" i="2"/>
  <c r="B2007" i="2"/>
  <c r="C2007" i="2"/>
  <c r="D2007" i="2"/>
  <c r="E2007" i="2"/>
  <c r="F2007" i="2"/>
  <c r="G2007" i="2"/>
  <c r="H2007" i="2"/>
  <c r="I2007" i="2"/>
  <c r="J2007" i="2"/>
  <c r="K2007" i="2"/>
  <c r="L2007" i="2"/>
  <c r="M2007" i="2"/>
  <c r="N2007" i="2"/>
  <c r="O2007" i="2"/>
  <c r="P2007" i="2"/>
  <c r="Q2007" i="2"/>
  <c r="R2007" i="2"/>
  <c r="S2007" i="2"/>
  <c r="T2007" i="2"/>
  <c r="U2007" i="2"/>
  <c r="V2007" i="2"/>
  <c r="W2007" i="2"/>
  <c r="X2007" i="2"/>
  <c r="Y2007" i="2"/>
  <c r="B2008" i="2"/>
  <c r="C2008" i="2"/>
  <c r="D2008" i="2"/>
  <c r="E2008" i="2"/>
  <c r="F2008" i="2"/>
  <c r="G2008" i="2"/>
  <c r="H2008" i="2"/>
  <c r="I2008" i="2"/>
  <c r="J2008" i="2"/>
  <c r="K2008" i="2"/>
  <c r="L2008" i="2"/>
  <c r="M2008" i="2"/>
  <c r="N2008" i="2"/>
  <c r="O2008" i="2"/>
  <c r="P2008" i="2"/>
  <c r="Q2008" i="2"/>
  <c r="R2008" i="2"/>
  <c r="S2008" i="2"/>
  <c r="T2008" i="2"/>
  <c r="U2008" i="2"/>
  <c r="V2008" i="2"/>
  <c r="W2008" i="2"/>
  <c r="X2008" i="2"/>
  <c r="Y2008" i="2"/>
  <c r="A2009" i="2"/>
  <c r="B2009" i="2"/>
  <c r="C2009" i="2"/>
  <c r="D2009" i="2"/>
  <c r="E2009" i="2"/>
  <c r="F2009" i="2"/>
  <c r="G2009" i="2"/>
  <c r="H2009" i="2"/>
  <c r="I2009" i="2"/>
  <c r="J2009" i="2"/>
  <c r="K2009" i="2"/>
  <c r="L2009" i="2"/>
  <c r="M2009" i="2"/>
  <c r="N2009" i="2"/>
  <c r="O2009" i="2"/>
  <c r="P2009" i="2"/>
  <c r="Q2009" i="2"/>
  <c r="R2009" i="2"/>
  <c r="S2009" i="2"/>
  <c r="T2009" i="2"/>
  <c r="U2009" i="2"/>
  <c r="V2009" i="2"/>
  <c r="W2009" i="2"/>
  <c r="X2009" i="2"/>
  <c r="Y2009" i="2"/>
  <c r="A2010" i="2"/>
  <c r="B2010" i="2"/>
  <c r="C2010" i="2"/>
  <c r="D2010" i="2"/>
  <c r="E2010" i="2"/>
  <c r="F2010" i="2"/>
  <c r="G2010" i="2"/>
  <c r="H2010" i="2"/>
  <c r="I2010" i="2"/>
  <c r="J2010" i="2"/>
  <c r="K2010" i="2"/>
  <c r="L2010" i="2"/>
  <c r="M2010" i="2"/>
  <c r="N2010" i="2"/>
  <c r="O2010" i="2"/>
  <c r="P2010" i="2"/>
  <c r="Q2010" i="2"/>
  <c r="R2010" i="2"/>
  <c r="S2010" i="2"/>
  <c r="T2010" i="2"/>
  <c r="U2010" i="2"/>
  <c r="V2010" i="2"/>
  <c r="W2010" i="2"/>
  <c r="X2010" i="2"/>
  <c r="Y2010" i="2"/>
  <c r="A2011" i="2"/>
  <c r="B2011" i="2"/>
  <c r="C2011" i="2"/>
  <c r="D2011" i="2"/>
  <c r="E2011" i="2"/>
  <c r="F2011" i="2"/>
  <c r="G2011" i="2"/>
  <c r="H2011" i="2"/>
  <c r="I2011" i="2"/>
  <c r="J2011" i="2"/>
  <c r="K2011" i="2"/>
  <c r="L2011" i="2"/>
  <c r="M2011" i="2"/>
  <c r="N2011" i="2"/>
  <c r="O2011" i="2"/>
  <c r="P2011" i="2"/>
  <c r="Q2011" i="2"/>
  <c r="R2011" i="2"/>
  <c r="S2011" i="2"/>
  <c r="T2011" i="2"/>
  <c r="U2011" i="2"/>
  <c r="V2011" i="2"/>
  <c r="W2011" i="2"/>
  <c r="X2011" i="2"/>
  <c r="Y2011" i="2"/>
  <c r="A2012" i="2"/>
  <c r="B2012" i="2"/>
  <c r="C2012" i="2"/>
  <c r="D2012" i="2"/>
  <c r="E2012" i="2"/>
  <c r="F2012" i="2"/>
  <c r="G2012" i="2"/>
  <c r="H2012" i="2"/>
  <c r="I2012" i="2"/>
  <c r="J2012" i="2"/>
  <c r="K2012" i="2"/>
  <c r="L2012" i="2"/>
  <c r="M2012" i="2"/>
  <c r="N2012" i="2"/>
  <c r="O2012" i="2"/>
  <c r="P2012" i="2"/>
  <c r="Q2012" i="2"/>
  <c r="R2012" i="2"/>
  <c r="S2012" i="2"/>
  <c r="T2012" i="2"/>
  <c r="U2012" i="2"/>
  <c r="V2012" i="2"/>
  <c r="W2012" i="2"/>
  <c r="X2012" i="2"/>
  <c r="Y2012" i="2"/>
  <c r="A2013" i="2"/>
  <c r="B2013" i="2"/>
  <c r="C2013" i="2"/>
  <c r="D2013" i="2"/>
  <c r="E2013" i="2"/>
  <c r="F2013" i="2"/>
  <c r="G2013" i="2"/>
  <c r="H2013" i="2"/>
  <c r="I2013" i="2"/>
  <c r="J2013" i="2"/>
  <c r="K2013" i="2"/>
  <c r="L2013" i="2"/>
  <c r="M2013" i="2"/>
  <c r="N2013" i="2"/>
  <c r="O2013" i="2"/>
  <c r="P2013" i="2"/>
  <c r="Q2013" i="2"/>
  <c r="R2013" i="2"/>
  <c r="S2013" i="2"/>
  <c r="T2013" i="2"/>
  <c r="U2013" i="2"/>
  <c r="V2013" i="2"/>
  <c r="W2013" i="2"/>
  <c r="X2013" i="2"/>
  <c r="Y2013" i="2"/>
  <c r="A2014" i="2"/>
  <c r="B2014" i="2"/>
  <c r="C2014" i="2"/>
  <c r="D2014" i="2"/>
  <c r="E2014" i="2"/>
  <c r="F2014" i="2"/>
  <c r="G2014" i="2"/>
  <c r="H2014" i="2"/>
  <c r="I2014" i="2"/>
  <c r="J2014" i="2"/>
  <c r="K2014" i="2"/>
  <c r="L2014" i="2"/>
  <c r="M2014" i="2"/>
  <c r="N2014" i="2"/>
  <c r="O2014" i="2"/>
  <c r="P2014" i="2"/>
  <c r="Q2014" i="2"/>
  <c r="R2014" i="2"/>
  <c r="S2014" i="2"/>
  <c r="T2014" i="2"/>
  <c r="U2014" i="2"/>
  <c r="V2014" i="2"/>
  <c r="W2014" i="2"/>
  <c r="X2014" i="2"/>
  <c r="Y2014" i="2"/>
  <c r="A2015" i="2"/>
  <c r="B2015" i="2"/>
  <c r="C2015" i="2"/>
  <c r="D2015" i="2"/>
  <c r="E2015" i="2"/>
  <c r="F2015" i="2"/>
  <c r="G2015" i="2"/>
  <c r="H2015" i="2"/>
  <c r="I2015" i="2"/>
  <c r="J2015" i="2"/>
  <c r="K2015" i="2"/>
  <c r="L2015" i="2"/>
  <c r="M2015" i="2"/>
  <c r="N2015" i="2"/>
  <c r="O2015" i="2"/>
  <c r="P2015" i="2"/>
  <c r="Q2015" i="2"/>
  <c r="R2015" i="2"/>
  <c r="S2015" i="2"/>
  <c r="T2015" i="2"/>
  <c r="U2015" i="2"/>
  <c r="V2015" i="2"/>
  <c r="W2015" i="2"/>
  <c r="X2015" i="2"/>
  <c r="Y2015" i="2"/>
  <c r="A2016" i="2"/>
  <c r="B2016" i="2"/>
  <c r="C2016" i="2"/>
  <c r="D2016" i="2"/>
  <c r="E2016" i="2"/>
  <c r="F2016" i="2"/>
  <c r="G2016" i="2"/>
  <c r="H2016" i="2"/>
  <c r="I2016" i="2"/>
  <c r="J2016" i="2"/>
  <c r="K2016" i="2"/>
  <c r="L2016" i="2"/>
  <c r="M2016" i="2"/>
  <c r="N2016" i="2"/>
  <c r="O2016" i="2"/>
  <c r="P2016" i="2"/>
  <c r="Q2016" i="2"/>
  <c r="R2016" i="2"/>
  <c r="S2016" i="2"/>
  <c r="T2016" i="2"/>
  <c r="U2016" i="2"/>
  <c r="V2016" i="2"/>
  <c r="W2016" i="2"/>
  <c r="X2016" i="2"/>
  <c r="Y2016" i="2"/>
  <c r="A2017" i="2"/>
  <c r="B2017" i="2"/>
  <c r="C2017" i="2"/>
  <c r="D2017" i="2"/>
  <c r="E2017" i="2"/>
  <c r="F2017" i="2"/>
  <c r="G2017" i="2"/>
  <c r="H2017" i="2"/>
  <c r="I2017" i="2"/>
  <c r="J2017" i="2"/>
  <c r="K2017" i="2"/>
  <c r="L2017" i="2"/>
  <c r="M2017" i="2"/>
  <c r="N2017" i="2"/>
  <c r="O2017" i="2"/>
  <c r="P2017" i="2"/>
  <c r="Q2017" i="2"/>
  <c r="R2017" i="2"/>
  <c r="S2017" i="2"/>
  <c r="T2017" i="2"/>
  <c r="U2017" i="2"/>
  <c r="V2017" i="2"/>
  <c r="W2017" i="2"/>
  <c r="X2017" i="2"/>
  <c r="Y2017" i="2"/>
  <c r="A2018" i="2"/>
  <c r="B2018" i="2"/>
  <c r="C2018" i="2"/>
  <c r="D2018" i="2"/>
  <c r="E2018" i="2"/>
  <c r="F2018" i="2"/>
  <c r="G2018" i="2"/>
  <c r="H2018" i="2"/>
  <c r="I2018" i="2"/>
  <c r="J2018" i="2"/>
  <c r="K2018" i="2"/>
  <c r="L2018" i="2"/>
  <c r="M2018" i="2"/>
  <c r="N2018" i="2"/>
  <c r="O2018" i="2"/>
  <c r="P2018" i="2"/>
  <c r="Q2018" i="2"/>
  <c r="R2018" i="2"/>
  <c r="S2018" i="2"/>
  <c r="T2018" i="2"/>
  <c r="U2018" i="2"/>
  <c r="V2018" i="2"/>
  <c r="W2018" i="2"/>
  <c r="X2018" i="2"/>
  <c r="Y2018" i="2"/>
  <c r="A2019" i="2"/>
  <c r="B2019" i="2"/>
  <c r="C2019" i="2"/>
  <c r="D2019" i="2"/>
  <c r="E2019" i="2"/>
  <c r="F2019" i="2"/>
  <c r="G2019" i="2"/>
  <c r="H2019" i="2"/>
  <c r="I2019" i="2"/>
  <c r="J2019" i="2"/>
  <c r="K2019" i="2"/>
  <c r="L2019" i="2"/>
  <c r="M2019" i="2"/>
  <c r="N2019" i="2"/>
  <c r="O2019" i="2"/>
  <c r="P2019" i="2"/>
  <c r="Q2019" i="2"/>
  <c r="R2019" i="2"/>
  <c r="S2019" i="2"/>
  <c r="T2019" i="2"/>
  <c r="U2019" i="2"/>
  <c r="V2019" i="2"/>
  <c r="W2019" i="2"/>
  <c r="X2019" i="2"/>
  <c r="Y2019" i="2"/>
  <c r="A2020" i="2"/>
  <c r="B2020" i="2"/>
  <c r="C2020" i="2"/>
  <c r="D2020" i="2"/>
  <c r="E2020" i="2"/>
  <c r="F2020" i="2"/>
  <c r="G2020" i="2"/>
  <c r="H2020" i="2"/>
  <c r="I2020" i="2"/>
  <c r="J2020" i="2"/>
  <c r="K2020" i="2"/>
  <c r="L2020" i="2"/>
  <c r="M2020" i="2"/>
  <c r="N2020" i="2"/>
  <c r="O2020" i="2"/>
  <c r="P2020" i="2"/>
  <c r="Q2020" i="2"/>
  <c r="R2020" i="2"/>
  <c r="S2020" i="2"/>
  <c r="T2020" i="2"/>
  <c r="U2020" i="2"/>
  <c r="V2020" i="2"/>
  <c r="W2020" i="2"/>
  <c r="X2020" i="2"/>
  <c r="Y2020" i="2"/>
  <c r="A2021" i="2"/>
  <c r="B2021" i="2"/>
  <c r="C2021" i="2"/>
  <c r="D2021" i="2"/>
  <c r="E2021" i="2"/>
  <c r="F2021" i="2"/>
  <c r="G2021" i="2"/>
  <c r="H2021" i="2"/>
  <c r="I2021" i="2"/>
  <c r="J2021" i="2"/>
  <c r="K2021" i="2"/>
  <c r="L2021" i="2"/>
  <c r="M2021" i="2"/>
  <c r="N2021" i="2"/>
  <c r="O2021" i="2"/>
  <c r="P2021" i="2"/>
  <c r="Q2021" i="2"/>
  <c r="R2021" i="2"/>
  <c r="S2021" i="2"/>
  <c r="T2021" i="2"/>
  <c r="U2021" i="2"/>
  <c r="V2021" i="2"/>
  <c r="W2021" i="2"/>
  <c r="X2021" i="2"/>
  <c r="Y2021" i="2"/>
  <c r="A2022" i="2"/>
  <c r="B2022" i="2"/>
  <c r="C2022" i="2"/>
  <c r="D2022" i="2"/>
  <c r="E2022" i="2"/>
  <c r="F2022" i="2"/>
  <c r="G2022" i="2"/>
  <c r="H2022" i="2"/>
  <c r="I2022" i="2"/>
  <c r="J2022" i="2"/>
  <c r="K2022" i="2"/>
  <c r="L2022" i="2"/>
  <c r="M2022" i="2"/>
  <c r="N2022" i="2"/>
  <c r="O2022" i="2"/>
  <c r="P2022" i="2"/>
  <c r="Q2022" i="2"/>
  <c r="R2022" i="2"/>
  <c r="S2022" i="2"/>
  <c r="T2022" i="2"/>
  <c r="U2022" i="2"/>
  <c r="V2022" i="2"/>
  <c r="W2022" i="2"/>
  <c r="X2022" i="2"/>
  <c r="Y2022" i="2"/>
  <c r="A2023" i="2"/>
  <c r="B2023" i="2"/>
  <c r="C2023" i="2"/>
  <c r="D2023" i="2"/>
  <c r="E2023" i="2"/>
  <c r="F2023" i="2"/>
  <c r="G2023" i="2"/>
  <c r="H2023" i="2"/>
  <c r="I2023" i="2"/>
  <c r="J2023" i="2"/>
  <c r="K2023" i="2"/>
  <c r="L2023" i="2"/>
  <c r="M2023" i="2"/>
  <c r="N2023" i="2"/>
  <c r="O2023" i="2"/>
  <c r="P2023" i="2"/>
  <c r="Q2023" i="2"/>
  <c r="R2023" i="2"/>
  <c r="S2023" i="2"/>
  <c r="T2023" i="2"/>
  <c r="U2023" i="2"/>
  <c r="V2023" i="2"/>
  <c r="W2023" i="2"/>
  <c r="X2023" i="2"/>
  <c r="Y2023" i="2"/>
  <c r="B2024" i="2"/>
  <c r="C2024" i="2"/>
  <c r="D2024" i="2"/>
  <c r="E2024" i="2"/>
  <c r="F2024" i="2"/>
  <c r="G2024" i="2"/>
  <c r="H2024" i="2"/>
  <c r="I2024" i="2"/>
  <c r="J2024" i="2"/>
  <c r="K2024" i="2"/>
  <c r="L2024" i="2"/>
  <c r="M2024" i="2"/>
  <c r="N2024" i="2"/>
  <c r="O2024" i="2"/>
  <c r="P2024" i="2"/>
  <c r="Q2024" i="2"/>
  <c r="R2024" i="2"/>
  <c r="S2024" i="2"/>
  <c r="T2024" i="2"/>
  <c r="U2024" i="2"/>
  <c r="V2024" i="2"/>
  <c r="W2024" i="2"/>
  <c r="X2024" i="2"/>
  <c r="Y2024" i="2"/>
  <c r="A2025" i="2"/>
  <c r="B2025" i="2"/>
  <c r="C2025" i="2"/>
  <c r="D2025" i="2"/>
  <c r="E2025" i="2"/>
  <c r="F2025" i="2"/>
  <c r="G2025" i="2"/>
  <c r="H2025" i="2"/>
  <c r="I2025" i="2"/>
  <c r="J2025" i="2"/>
  <c r="K2025" i="2"/>
  <c r="L2025" i="2"/>
  <c r="M2025" i="2"/>
  <c r="N2025" i="2"/>
  <c r="O2025" i="2"/>
  <c r="P2025" i="2"/>
  <c r="Q2025" i="2"/>
  <c r="R2025" i="2"/>
  <c r="S2025" i="2"/>
  <c r="T2025" i="2"/>
  <c r="U2025" i="2"/>
  <c r="V2025" i="2"/>
  <c r="W2025" i="2"/>
  <c r="X2025" i="2"/>
  <c r="Y2025" i="2"/>
  <c r="A2026" i="2"/>
  <c r="B2026" i="2"/>
  <c r="C2026" i="2"/>
  <c r="D2026" i="2"/>
  <c r="E2026" i="2"/>
  <c r="F2026" i="2"/>
  <c r="G2026" i="2"/>
  <c r="H2026" i="2"/>
  <c r="I2026" i="2"/>
  <c r="J2026" i="2"/>
  <c r="K2026" i="2"/>
  <c r="L2026" i="2"/>
  <c r="M2026" i="2"/>
  <c r="N2026" i="2"/>
  <c r="O2026" i="2"/>
  <c r="P2026" i="2"/>
  <c r="Q2026" i="2"/>
  <c r="R2026" i="2"/>
  <c r="S2026" i="2"/>
  <c r="T2026" i="2"/>
  <c r="U2026" i="2"/>
  <c r="V2026" i="2"/>
  <c r="W2026" i="2"/>
  <c r="X2026" i="2"/>
  <c r="Y2026" i="2"/>
  <c r="A2027" i="2"/>
  <c r="B2027" i="2"/>
  <c r="C2027" i="2"/>
  <c r="D2027" i="2"/>
  <c r="E2027" i="2"/>
  <c r="F2027" i="2"/>
  <c r="G2027" i="2"/>
  <c r="H2027" i="2"/>
  <c r="I2027" i="2"/>
  <c r="J2027" i="2"/>
  <c r="K2027" i="2"/>
  <c r="L2027" i="2"/>
  <c r="M2027" i="2"/>
  <c r="N2027" i="2"/>
  <c r="O2027" i="2"/>
  <c r="P2027" i="2"/>
  <c r="Q2027" i="2"/>
  <c r="R2027" i="2"/>
  <c r="S2027" i="2"/>
  <c r="T2027" i="2"/>
  <c r="U2027" i="2"/>
  <c r="V2027" i="2"/>
  <c r="W2027" i="2"/>
  <c r="X2027" i="2"/>
  <c r="Y2027" i="2"/>
  <c r="A2028" i="2"/>
  <c r="B2028" i="2"/>
  <c r="C2028" i="2"/>
  <c r="D2028" i="2"/>
  <c r="E2028" i="2"/>
  <c r="F2028" i="2"/>
  <c r="G2028" i="2"/>
  <c r="H2028" i="2"/>
  <c r="I2028" i="2"/>
  <c r="J2028" i="2"/>
  <c r="K2028" i="2"/>
  <c r="L2028" i="2"/>
  <c r="M2028" i="2"/>
  <c r="N2028" i="2"/>
  <c r="O2028" i="2"/>
  <c r="P2028" i="2"/>
  <c r="Q2028" i="2"/>
  <c r="R2028" i="2"/>
  <c r="S2028" i="2"/>
  <c r="T2028" i="2"/>
  <c r="U2028" i="2"/>
  <c r="V2028" i="2"/>
  <c r="W2028" i="2"/>
  <c r="X2028" i="2"/>
  <c r="Y2028" i="2"/>
  <c r="A2029" i="2"/>
  <c r="B2029" i="2"/>
  <c r="C2029" i="2"/>
  <c r="D2029" i="2"/>
  <c r="E2029" i="2"/>
  <c r="F2029" i="2"/>
  <c r="G2029" i="2"/>
  <c r="H2029" i="2"/>
  <c r="I2029" i="2"/>
  <c r="J2029" i="2"/>
  <c r="K2029" i="2"/>
  <c r="L2029" i="2"/>
  <c r="M2029" i="2"/>
  <c r="N2029" i="2"/>
  <c r="O2029" i="2"/>
  <c r="P2029" i="2"/>
  <c r="Q2029" i="2"/>
  <c r="R2029" i="2"/>
  <c r="S2029" i="2"/>
  <c r="T2029" i="2"/>
  <c r="U2029" i="2"/>
  <c r="V2029" i="2"/>
  <c r="W2029" i="2"/>
  <c r="X2029" i="2"/>
  <c r="Y2029" i="2"/>
  <c r="A2030" i="2"/>
  <c r="B2030" i="2"/>
  <c r="C2030" i="2"/>
  <c r="D2030" i="2"/>
  <c r="E2030" i="2"/>
  <c r="F2030" i="2"/>
  <c r="G2030" i="2"/>
  <c r="H2030" i="2"/>
  <c r="I2030" i="2"/>
  <c r="J2030" i="2"/>
  <c r="K2030" i="2"/>
  <c r="L2030" i="2"/>
  <c r="M2030" i="2"/>
  <c r="N2030" i="2"/>
  <c r="O2030" i="2"/>
  <c r="P2030" i="2"/>
  <c r="Q2030" i="2"/>
  <c r="R2030" i="2"/>
  <c r="S2030" i="2"/>
  <c r="T2030" i="2"/>
  <c r="U2030" i="2"/>
  <c r="V2030" i="2"/>
  <c r="W2030" i="2"/>
  <c r="X2030" i="2"/>
  <c r="Y2030" i="2"/>
  <c r="A2031" i="2"/>
  <c r="B2031" i="2"/>
  <c r="C2031" i="2"/>
  <c r="D2031" i="2"/>
  <c r="E2031" i="2"/>
  <c r="F2031" i="2"/>
  <c r="G2031" i="2"/>
  <c r="H2031" i="2"/>
  <c r="I2031" i="2"/>
  <c r="J2031" i="2"/>
  <c r="K2031" i="2"/>
  <c r="L2031" i="2"/>
  <c r="M2031" i="2"/>
  <c r="N2031" i="2"/>
  <c r="O2031" i="2"/>
  <c r="P2031" i="2"/>
  <c r="Q2031" i="2"/>
  <c r="R2031" i="2"/>
  <c r="S2031" i="2"/>
  <c r="T2031" i="2"/>
  <c r="U2031" i="2"/>
  <c r="V2031" i="2"/>
  <c r="W2031" i="2"/>
  <c r="X2031" i="2"/>
  <c r="Y2031" i="2"/>
  <c r="A2032" i="2"/>
  <c r="B2032" i="2"/>
  <c r="C2032" i="2"/>
  <c r="D2032" i="2"/>
  <c r="E2032" i="2"/>
  <c r="F2032" i="2"/>
  <c r="G2032" i="2"/>
  <c r="H2032" i="2"/>
  <c r="I2032" i="2"/>
  <c r="J2032" i="2"/>
  <c r="K2032" i="2"/>
  <c r="L2032" i="2"/>
  <c r="M2032" i="2"/>
  <c r="N2032" i="2"/>
  <c r="O2032" i="2"/>
  <c r="P2032" i="2"/>
  <c r="Q2032" i="2"/>
  <c r="R2032" i="2"/>
  <c r="S2032" i="2"/>
  <c r="T2032" i="2"/>
  <c r="U2032" i="2"/>
  <c r="V2032" i="2"/>
  <c r="W2032" i="2"/>
  <c r="X2032" i="2"/>
  <c r="Y2032" i="2"/>
  <c r="A2033" i="2"/>
  <c r="B2033" i="2"/>
  <c r="C2033" i="2"/>
  <c r="D2033" i="2"/>
  <c r="E2033" i="2"/>
  <c r="F2033" i="2"/>
  <c r="G2033" i="2"/>
  <c r="H2033" i="2"/>
  <c r="I2033" i="2"/>
  <c r="J2033" i="2"/>
  <c r="K2033" i="2"/>
  <c r="L2033" i="2"/>
  <c r="M2033" i="2"/>
  <c r="N2033" i="2"/>
  <c r="O2033" i="2"/>
  <c r="P2033" i="2"/>
  <c r="Q2033" i="2"/>
  <c r="R2033" i="2"/>
  <c r="S2033" i="2"/>
  <c r="T2033" i="2"/>
  <c r="U2033" i="2"/>
  <c r="V2033" i="2"/>
  <c r="W2033" i="2"/>
  <c r="X2033" i="2"/>
  <c r="Y2033" i="2"/>
  <c r="A2034" i="2"/>
  <c r="B2034" i="2"/>
  <c r="C2034" i="2"/>
  <c r="D2034" i="2"/>
  <c r="E2034" i="2"/>
  <c r="F2034" i="2"/>
  <c r="G2034" i="2"/>
  <c r="H2034" i="2"/>
  <c r="I2034" i="2"/>
  <c r="J2034" i="2"/>
  <c r="K2034" i="2"/>
  <c r="L2034" i="2"/>
  <c r="M2034" i="2"/>
  <c r="N2034" i="2"/>
  <c r="O2034" i="2"/>
  <c r="P2034" i="2"/>
  <c r="Q2034" i="2"/>
  <c r="R2034" i="2"/>
  <c r="S2034" i="2"/>
  <c r="T2034" i="2"/>
  <c r="U2034" i="2"/>
  <c r="V2034" i="2"/>
  <c r="W2034" i="2"/>
  <c r="X2034" i="2"/>
  <c r="Y2034" i="2"/>
  <c r="A2035" i="2"/>
  <c r="B2035" i="2"/>
  <c r="C2035" i="2"/>
  <c r="D2035" i="2"/>
  <c r="E2035" i="2"/>
  <c r="F2035" i="2"/>
  <c r="G2035" i="2"/>
  <c r="H2035" i="2"/>
  <c r="I2035" i="2"/>
  <c r="J2035" i="2"/>
  <c r="K2035" i="2"/>
  <c r="L2035" i="2"/>
  <c r="M2035" i="2"/>
  <c r="N2035" i="2"/>
  <c r="O2035" i="2"/>
  <c r="P2035" i="2"/>
  <c r="Q2035" i="2"/>
  <c r="R2035" i="2"/>
  <c r="S2035" i="2"/>
  <c r="T2035" i="2"/>
  <c r="U2035" i="2"/>
  <c r="V2035" i="2"/>
  <c r="W2035" i="2"/>
  <c r="X2035" i="2"/>
  <c r="Y2035" i="2"/>
  <c r="A2036" i="2"/>
  <c r="B2036" i="2"/>
  <c r="C2036" i="2"/>
  <c r="D2036" i="2"/>
  <c r="E2036" i="2"/>
  <c r="F2036" i="2"/>
  <c r="G2036" i="2"/>
  <c r="H2036" i="2"/>
  <c r="I2036" i="2"/>
  <c r="J2036" i="2"/>
  <c r="K2036" i="2"/>
  <c r="L2036" i="2"/>
  <c r="M2036" i="2"/>
  <c r="N2036" i="2"/>
  <c r="O2036" i="2"/>
  <c r="P2036" i="2"/>
  <c r="Q2036" i="2"/>
  <c r="R2036" i="2"/>
  <c r="S2036" i="2"/>
  <c r="T2036" i="2"/>
  <c r="U2036" i="2"/>
  <c r="V2036" i="2"/>
  <c r="W2036" i="2"/>
  <c r="X2036" i="2"/>
  <c r="Y2036" i="2"/>
  <c r="A2037" i="2"/>
  <c r="B2037" i="2"/>
  <c r="C2037" i="2"/>
  <c r="D2037" i="2"/>
  <c r="E2037" i="2"/>
  <c r="F2037" i="2"/>
  <c r="G2037" i="2"/>
  <c r="H2037" i="2"/>
  <c r="I2037" i="2"/>
  <c r="J2037" i="2"/>
  <c r="K2037" i="2"/>
  <c r="L2037" i="2"/>
  <c r="M2037" i="2"/>
  <c r="N2037" i="2"/>
  <c r="O2037" i="2"/>
  <c r="P2037" i="2"/>
  <c r="Q2037" i="2"/>
  <c r="R2037" i="2"/>
  <c r="S2037" i="2"/>
  <c r="T2037" i="2"/>
  <c r="U2037" i="2"/>
  <c r="V2037" i="2"/>
  <c r="W2037" i="2"/>
  <c r="X2037" i="2"/>
  <c r="Y2037" i="2"/>
  <c r="A2038" i="2"/>
  <c r="B2038" i="2"/>
  <c r="C2038" i="2"/>
  <c r="D2038" i="2"/>
  <c r="E2038" i="2"/>
  <c r="F2038" i="2"/>
  <c r="G2038" i="2"/>
  <c r="H2038" i="2"/>
  <c r="I2038" i="2"/>
  <c r="J2038" i="2"/>
  <c r="K2038" i="2"/>
  <c r="L2038" i="2"/>
  <c r="M2038" i="2"/>
  <c r="N2038" i="2"/>
  <c r="O2038" i="2"/>
  <c r="P2038" i="2"/>
  <c r="Q2038" i="2"/>
  <c r="R2038" i="2"/>
  <c r="S2038" i="2"/>
  <c r="T2038" i="2"/>
  <c r="U2038" i="2"/>
  <c r="V2038" i="2"/>
  <c r="W2038" i="2"/>
  <c r="X2038" i="2"/>
  <c r="Y2038" i="2"/>
  <c r="A2039" i="2"/>
  <c r="B2039" i="2"/>
  <c r="C2039" i="2"/>
  <c r="D2039" i="2"/>
  <c r="E2039" i="2"/>
  <c r="F2039" i="2"/>
  <c r="G2039" i="2"/>
  <c r="H2039" i="2"/>
  <c r="I2039" i="2"/>
  <c r="J2039" i="2"/>
  <c r="K2039" i="2"/>
  <c r="L2039" i="2"/>
  <c r="M2039" i="2"/>
  <c r="N2039" i="2"/>
  <c r="O2039" i="2"/>
  <c r="P2039" i="2"/>
  <c r="Q2039" i="2"/>
  <c r="R2039" i="2"/>
  <c r="S2039" i="2"/>
  <c r="T2039" i="2"/>
  <c r="U2039" i="2"/>
  <c r="V2039" i="2"/>
  <c r="W2039" i="2"/>
  <c r="X2039" i="2"/>
  <c r="Y2039" i="2"/>
  <c r="B2040" i="2"/>
  <c r="C2040" i="2"/>
  <c r="D2040" i="2"/>
  <c r="E2040" i="2"/>
  <c r="F2040" i="2"/>
  <c r="G2040" i="2"/>
  <c r="H2040" i="2"/>
  <c r="I2040" i="2"/>
  <c r="J2040" i="2"/>
  <c r="K2040" i="2"/>
  <c r="L2040" i="2"/>
  <c r="M2040" i="2"/>
  <c r="N2040" i="2"/>
  <c r="O2040" i="2"/>
  <c r="P2040" i="2"/>
  <c r="Q2040" i="2"/>
  <c r="R2040" i="2"/>
  <c r="S2040" i="2"/>
  <c r="T2040" i="2"/>
  <c r="U2040" i="2"/>
  <c r="V2040" i="2"/>
  <c r="W2040" i="2"/>
  <c r="X2040" i="2"/>
  <c r="Y2040" i="2"/>
  <c r="A2041" i="2"/>
  <c r="B2041" i="2"/>
  <c r="C2041" i="2"/>
  <c r="D2041" i="2"/>
  <c r="E2041" i="2"/>
  <c r="F2041" i="2"/>
  <c r="G2041" i="2"/>
  <c r="H2041" i="2"/>
  <c r="I2041" i="2"/>
  <c r="J2041" i="2"/>
  <c r="K2041" i="2"/>
  <c r="L2041" i="2"/>
  <c r="M2041" i="2"/>
  <c r="N2041" i="2"/>
  <c r="O2041" i="2"/>
  <c r="P2041" i="2"/>
  <c r="Q2041" i="2"/>
  <c r="R2041" i="2"/>
  <c r="S2041" i="2"/>
  <c r="T2041" i="2"/>
  <c r="U2041" i="2"/>
  <c r="V2041" i="2"/>
  <c r="W2041" i="2"/>
  <c r="X2041" i="2"/>
  <c r="Y2041" i="2"/>
  <c r="A2042" i="2"/>
  <c r="B2042" i="2"/>
  <c r="C2042" i="2"/>
  <c r="D2042" i="2"/>
  <c r="E2042" i="2"/>
  <c r="F2042" i="2"/>
  <c r="G2042" i="2"/>
  <c r="H2042" i="2"/>
  <c r="I2042" i="2"/>
  <c r="J2042" i="2"/>
  <c r="K2042" i="2"/>
  <c r="L2042" i="2"/>
  <c r="M2042" i="2"/>
  <c r="N2042" i="2"/>
  <c r="O2042" i="2"/>
  <c r="P2042" i="2"/>
  <c r="Q2042" i="2"/>
  <c r="R2042" i="2"/>
  <c r="S2042" i="2"/>
  <c r="T2042" i="2"/>
  <c r="U2042" i="2"/>
  <c r="V2042" i="2"/>
  <c r="W2042" i="2"/>
  <c r="X2042" i="2"/>
  <c r="Y2042" i="2"/>
  <c r="A2043" i="2"/>
  <c r="B2043" i="2"/>
  <c r="C2043" i="2"/>
  <c r="D2043" i="2"/>
  <c r="E2043" i="2"/>
  <c r="F2043" i="2"/>
  <c r="G2043" i="2"/>
  <c r="H2043" i="2"/>
  <c r="I2043" i="2"/>
  <c r="J2043" i="2"/>
  <c r="K2043" i="2"/>
  <c r="L2043" i="2"/>
  <c r="M2043" i="2"/>
  <c r="N2043" i="2"/>
  <c r="O2043" i="2"/>
  <c r="P2043" i="2"/>
  <c r="Q2043" i="2"/>
  <c r="R2043" i="2"/>
  <c r="S2043" i="2"/>
  <c r="T2043" i="2"/>
  <c r="U2043" i="2"/>
  <c r="V2043" i="2"/>
  <c r="W2043" i="2"/>
  <c r="X2043" i="2"/>
  <c r="Y2043" i="2"/>
  <c r="A2044" i="2"/>
  <c r="B2044" i="2"/>
  <c r="C2044" i="2"/>
  <c r="D2044" i="2"/>
  <c r="E2044" i="2"/>
  <c r="F2044" i="2"/>
  <c r="G2044" i="2"/>
  <c r="H2044" i="2"/>
  <c r="I2044" i="2"/>
  <c r="J2044" i="2"/>
  <c r="K2044" i="2"/>
  <c r="L2044" i="2"/>
  <c r="M2044" i="2"/>
  <c r="N2044" i="2"/>
  <c r="O2044" i="2"/>
  <c r="P2044" i="2"/>
  <c r="Q2044" i="2"/>
  <c r="R2044" i="2"/>
  <c r="S2044" i="2"/>
  <c r="T2044" i="2"/>
  <c r="U2044" i="2"/>
  <c r="V2044" i="2"/>
  <c r="W2044" i="2"/>
  <c r="X2044" i="2"/>
  <c r="Y2044" i="2"/>
  <c r="A2045" i="2"/>
  <c r="B2045" i="2"/>
  <c r="C2045" i="2"/>
  <c r="D2045" i="2"/>
  <c r="E2045" i="2"/>
  <c r="F2045" i="2"/>
  <c r="G2045" i="2"/>
  <c r="H2045" i="2"/>
  <c r="I2045" i="2"/>
  <c r="J2045" i="2"/>
  <c r="K2045" i="2"/>
  <c r="L2045" i="2"/>
  <c r="M2045" i="2"/>
  <c r="N2045" i="2"/>
  <c r="O2045" i="2"/>
  <c r="P2045" i="2"/>
  <c r="Q2045" i="2"/>
  <c r="R2045" i="2"/>
  <c r="S2045" i="2"/>
  <c r="T2045" i="2"/>
  <c r="U2045" i="2"/>
  <c r="V2045" i="2"/>
  <c r="W2045" i="2"/>
  <c r="X2045" i="2"/>
  <c r="Y2045" i="2"/>
  <c r="A2046" i="2"/>
  <c r="B2046" i="2"/>
  <c r="C2046" i="2"/>
  <c r="D2046" i="2"/>
  <c r="E2046" i="2"/>
  <c r="F2046" i="2"/>
  <c r="G2046" i="2"/>
  <c r="H2046" i="2"/>
  <c r="I2046" i="2"/>
  <c r="J2046" i="2"/>
  <c r="K2046" i="2"/>
  <c r="L2046" i="2"/>
  <c r="M2046" i="2"/>
  <c r="N2046" i="2"/>
  <c r="O2046" i="2"/>
  <c r="P2046" i="2"/>
  <c r="Q2046" i="2"/>
  <c r="R2046" i="2"/>
  <c r="S2046" i="2"/>
  <c r="T2046" i="2"/>
  <c r="U2046" i="2"/>
  <c r="V2046" i="2"/>
  <c r="W2046" i="2"/>
  <c r="X2046" i="2"/>
  <c r="Y2046" i="2"/>
  <c r="A2047" i="2"/>
  <c r="B2047" i="2"/>
  <c r="C2047" i="2"/>
  <c r="D2047" i="2"/>
  <c r="E2047" i="2"/>
  <c r="F2047" i="2"/>
  <c r="G2047" i="2"/>
  <c r="H2047" i="2"/>
  <c r="I2047" i="2"/>
  <c r="J2047" i="2"/>
  <c r="K2047" i="2"/>
  <c r="L2047" i="2"/>
  <c r="M2047" i="2"/>
  <c r="N2047" i="2"/>
  <c r="O2047" i="2"/>
  <c r="P2047" i="2"/>
  <c r="Q2047" i="2"/>
  <c r="R2047" i="2"/>
  <c r="S2047" i="2"/>
  <c r="T2047" i="2"/>
  <c r="U2047" i="2"/>
  <c r="V2047" i="2"/>
  <c r="W2047" i="2"/>
  <c r="X2047" i="2"/>
  <c r="Y2047" i="2"/>
  <c r="A2048" i="2"/>
  <c r="B2048" i="2"/>
  <c r="C2048" i="2"/>
  <c r="D2048" i="2"/>
  <c r="E2048" i="2"/>
  <c r="F2048" i="2"/>
  <c r="G2048" i="2"/>
  <c r="H2048" i="2"/>
  <c r="I2048" i="2"/>
  <c r="J2048" i="2"/>
  <c r="K2048" i="2"/>
  <c r="L2048" i="2"/>
  <c r="M2048" i="2"/>
  <c r="N2048" i="2"/>
  <c r="O2048" i="2"/>
  <c r="P2048" i="2"/>
  <c r="Q2048" i="2"/>
  <c r="R2048" i="2"/>
  <c r="S2048" i="2"/>
  <c r="T2048" i="2"/>
  <c r="U2048" i="2"/>
  <c r="V2048" i="2"/>
  <c r="W2048" i="2"/>
  <c r="X2048" i="2"/>
  <c r="Y2048" i="2"/>
  <c r="A2049" i="2"/>
  <c r="B2049" i="2"/>
  <c r="C2049" i="2"/>
  <c r="D2049" i="2"/>
  <c r="E2049" i="2"/>
  <c r="F2049" i="2"/>
  <c r="G2049" i="2"/>
  <c r="H2049" i="2"/>
  <c r="I2049" i="2"/>
  <c r="J2049" i="2"/>
  <c r="K2049" i="2"/>
  <c r="L2049" i="2"/>
  <c r="M2049" i="2"/>
  <c r="N2049" i="2"/>
  <c r="O2049" i="2"/>
  <c r="P2049" i="2"/>
  <c r="Q2049" i="2"/>
  <c r="R2049" i="2"/>
  <c r="S2049" i="2"/>
  <c r="T2049" i="2"/>
  <c r="U2049" i="2"/>
  <c r="V2049" i="2"/>
  <c r="W2049" i="2"/>
  <c r="X2049" i="2"/>
  <c r="Y2049" i="2"/>
  <c r="A2050" i="2"/>
  <c r="B2050" i="2"/>
  <c r="C2050" i="2"/>
  <c r="D2050" i="2"/>
  <c r="E2050" i="2"/>
  <c r="F2050" i="2"/>
  <c r="G2050" i="2"/>
  <c r="H2050" i="2"/>
  <c r="I2050" i="2"/>
  <c r="J2050" i="2"/>
  <c r="K2050" i="2"/>
  <c r="L2050" i="2"/>
  <c r="M2050" i="2"/>
  <c r="N2050" i="2"/>
  <c r="O2050" i="2"/>
  <c r="P2050" i="2"/>
  <c r="Q2050" i="2"/>
  <c r="R2050" i="2"/>
  <c r="S2050" i="2"/>
  <c r="T2050" i="2"/>
  <c r="U2050" i="2"/>
  <c r="V2050" i="2"/>
  <c r="W2050" i="2"/>
  <c r="X2050" i="2"/>
  <c r="Y2050" i="2"/>
  <c r="A2051" i="2"/>
  <c r="B2051" i="2"/>
  <c r="C2051" i="2"/>
  <c r="D2051" i="2"/>
  <c r="E2051" i="2"/>
  <c r="F2051" i="2"/>
  <c r="G2051" i="2"/>
  <c r="H2051" i="2"/>
  <c r="I2051" i="2"/>
  <c r="J2051" i="2"/>
  <c r="K2051" i="2"/>
  <c r="L2051" i="2"/>
  <c r="M2051" i="2"/>
  <c r="N2051" i="2"/>
  <c r="O2051" i="2"/>
  <c r="P2051" i="2"/>
  <c r="Q2051" i="2"/>
  <c r="R2051" i="2"/>
  <c r="S2051" i="2"/>
  <c r="T2051" i="2"/>
  <c r="U2051" i="2"/>
  <c r="V2051" i="2"/>
  <c r="W2051" i="2"/>
  <c r="X2051" i="2"/>
  <c r="Y2051" i="2"/>
  <c r="A2052" i="2"/>
  <c r="B2052" i="2"/>
  <c r="C2052" i="2"/>
  <c r="D2052" i="2"/>
  <c r="E2052" i="2"/>
  <c r="F2052" i="2"/>
  <c r="G2052" i="2"/>
  <c r="H2052" i="2"/>
  <c r="I2052" i="2"/>
  <c r="J2052" i="2"/>
  <c r="K2052" i="2"/>
  <c r="L2052" i="2"/>
  <c r="M2052" i="2"/>
  <c r="N2052" i="2"/>
  <c r="O2052" i="2"/>
  <c r="P2052" i="2"/>
  <c r="Q2052" i="2"/>
  <c r="R2052" i="2"/>
  <c r="S2052" i="2"/>
  <c r="T2052" i="2"/>
  <c r="U2052" i="2"/>
  <c r="V2052" i="2"/>
  <c r="W2052" i="2"/>
  <c r="X2052" i="2"/>
  <c r="Y2052" i="2"/>
  <c r="A2053" i="2"/>
  <c r="B2053" i="2"/>
  <c r="C2053" i="2"/>
  <c r="D2053" i="2"/>
  <c r="E2053" i="2"/>
  <c r="F2053" i="2"/>
  <c r="G2053" i="2"/>
  <c r="H2053" i="2"/>
  <c r="I2053" i="2"/>
  <c r="J2053" i="2"/>
  <c r="K2053" i="2"/>
  <c r="L2053" i="2"/>
  <c r="M2053" i="2"/>
  <c r="N2053" i="2"/>
  <c r="O2053" i="2"/>
  <c r="P2053" i="2"/>
  <c r="Q2053" i="2"/>
  <c r="R2053" i="2"/>
  <c r="S2053" i="2"/>
  <c r="T2053" i="2"/>
  <c r="U2053" i="2"/>
  <c r="V2053" i="2"/>
  <c r="W2053" i="2"/>
  <c r="X2053" i="2"/>
  <c r="Y2053" i="2"/>
  <c r="A2054" i="2"/>
  <c r="B2054" i="2"/>
  <c r="C2054" i="2"/>
  <c r="D2054" i="2"/>
  <c r="E2054" i="2"/>
  <c r="F2054" i="2"/>
  <c r="G2054" i="2"/>
  <c r="H2054" i="2"/>
  <c r="I2054" i="2"/>
  <c r="J2054" i="2"/>
  <c r="K2054" i="2"/>
  <c r="L2054" i="2"/>
  <c r="M2054" i="2"/>
  <c r="N2054" i="2"/>
  <c r="O2054" i="2"/>
  <c r="P2054" i="2"/>
  <c r="Q2054" i="2"/>
  <c r="R2054" i="2"/>
  <c r="S2054" i="2"/>
  <c r="T2054" i="2"/>
  <c r="U2054" i="2"/>
  <c r="V2054" i="2"/>
  <c r="W2054" i="2"/>
  <c r="X2054" i="2"/>
  <c r="Y2054" i="2"/>
  <c r="A2055" i="2"/>
  <c r="B2055" i="2"/>
  <c r="C2055" i="2"/>
  <c r="D2055" i="2"/>
  <c r="E2055" i="2"/>
  <c r="F2055" i="2"/>
  <c r="G2055" i="2"/>
  <c r="H2055" i="2"/>
  <c r="I2055" i="2"/>
  <c r="J2055" i="2"/>
  <c r="K2055" i="2"/>
  <c r="L2055" i="2"/>
  <c r="M2055" i="2"/>
  <c r="N2055" i="2"/>
  <c r="O2055" i="2"/>
  <c r="P2055" i="2"/>
  <c r="Q2055" i="2"/>
  <c r="R2055" i="2"/>
  <c r="S2055" i="2"/>
  <c r="T2055" i="2"/>
  <c r="U2055" i="2"/>
  <c r="V2055" i="2"/>
  <c r="W2055" i="2"/>
  <c r="X2055" i="2"/>
  <c r="Y2055" i="2"/>
  <c r="B2056" i="2"/>
  <c r="C2056" i="2"/>
  <c r="D2056" i="2"/>
  <c r="E2056" i="2"/>
  <c r="F2056" i="2"/>
  <c r="G2056" i="2"/>
  <c r="H2056" i="2"/>
  <c r="I2056" i="2"/>
  <c r="J2056" i="2"/>
  <c r="K2056" i="2"/>
  <c r="L2056" i="2"/>
  <c r="M2056" i="2"/>
  <c r="N2056" i="2"/>
  <c r="O2056" i="2"/>
  <c r="P2056" i="2"/>
  <c r="Q2056" i="2"/>
  <c r="R2056" i="2"/>
  <c r="S2056" i="2"/>
  <c r="T2056" i="2"/>
  <c r="U2056" i="2"/>
  <c r="V2056" i="2"/>
  <c r="W2056" i="2"/>
  <c r="X2056" i="2"/>
  <c r="Y2056" i="2"/>
  <c r="A2057" i="2"/>
  <c r="B2057" i="2"/>
  <c r="C2057" i="2"/>
  <c r="D2057" i="2"/>
  <c r="E2057" i="2"/>
  <c r="F2057" i="2"/>
  <c r="G2057" i="2"/>
  <c r="H2057" i="2"/>
  <c r="I2057" i="2"/>
  <c r="J2057" i="2"/>
  <c r="K2057" i="2"/>
  <c r="L2057" i="2"/>
  <c r="M2057" i="2"/>
  <c r="N2057" i="2"/>
  <c r="O2057" i="2"/>
  <c r="P2057" i="2"/>
  <c r="Q2057" i="2"/>
  <c r="R2057" i="2"/>
  <c r="S2057" i="2"/>
  <c r="T2057" i="2"/>
  <c r="U2057" i="2"/>
  <c r="V2057" i="2"/>
  <c r="W2057" i="2"/>
  <c r="X2057" i="2"/>
  <c r="Y2057" i="2"/>
  <c r="A2058" i="2"/>
  <c r="B2058" i="2"/>
  <c r="C2058" i="2"/>
  <c r="D2058" i="2"/>
  <c r="E2058" i="2"/>
  <c r="F2058" i="2"/>
  <c r="G2058" i="2"/>
  <c r="H2058" i="2"/>
  <c r="I2058" i="2"/>
  <c r="J2058" i="2"/>
  <c r="K2058" i="2"/>
  <c r="L2058" i="2"/>
  <c r="M2058" i="2"/>
  <c r="N2058" i="2"/>
  <c r="O2058" i="2"/>
  <c r="P2058" i="2"/>
  <c r="Q2058" i="2"/>
  <c r="R2058" i="2"/>
  <c r="S2058" i="2"/>
  <c r="T2058" i="2"/>
  <c r="U2058" i="2"/>
  <c r="V2058" i="2"/>
  <c r="W2058" i="2"/>
  <c r="X2058" i="2"/>
  <c r="Y2058" i="2"/>
  <c r="A2059" i="2"/>
  <c r="B2059" i="2"/>
  <c r="C2059" i="2"/>
  <c r="D2059" i="2"/>
  <c r="E2059" i="2"/>
  <c r="F2059" i="2"/>
  <c r="G2059" i="2"/>
  <c r="H2059" i="2"/>
  <c r="I2059" i="2"/>
  <c r="J2059" i="2"/>
  <c r="K2059" i="2"/>
  <c r="L2059" i="2"/>
  <c r="M2059" i="2"/>
  <c r="N2059" i="2"/>
  <c r="O2059" i="2"/>
  <c r="P2059" i="2"/>
  <c r="Q2059" i="2"/>
  <c r="R2059" i="2"/>
  <c r="S2059" i="2"/>
  <c r="T2059" i="2"/>
  <c r="U2059" i="2"/>
  <c r="V2059" i="2"/>
  <c r="W2059" i="2"/>
  <c r="X2059" i="2"/>
  <c r="Y2059" i="2"/>
  <c r="A2060" i="2"/>
  <c r="B2060" i="2"/>
  <c r="C2060" i="2"/>
  <c r="D2060" i="2"/>
  <c r="E2060" i="2"/>
  <c r="F2060" i="2"/>
  <c r="G2060" i="2"/>
  <c r="H2060" i="2"/>
  <c r="I2060" i="2"/>
  <c r="J2060" i="2"/>
  <c r="K2060" i="2"/>
  <c r="L2060" i="2"/>
  <c r="M2060" i="2"/>
  <c r="N2060" i="2"/>
  <c r="O2060" i="2"/>
  <c r="P2060" i="2"/>
  <c r="Q2060" i="2"/>
  <c r="R2060" i="2"/>
  <c r="S2060" i="2"/>
  <c r="T2060" i="2"/>
  <c r="U2060" i="2"/>
  <c r="V2060" i="2"/>
  <c r="W2060" i="2"/>
  <c r="X2060" i="2"/>
  <c r="Y2060" i="2"/>
  <c r="A2061" i="2"/>
  <c r="B2061" i="2"/>
  <c r="C2061" i="2"/>
  <c r="D2061" i="2"/>
  <c r="E2061" i="2"/>
  <c r="F2061" i="2"/>
  <c r="G2061" i="2"/>
  <c r="H2061" i="2"/>
  <c r="I2061" i="2"/>
  <c r="J2061" i="2"/>
  <c r="K2061" i="2"/>
  <c r="L2061" i="2"/>
  <c r="M2061" i="2"/>
  <c r="N2061" i="2"/>
  <c r="O2061" i="2"/>
  <c r="P2061" i="2"/>
  <c r="Q2061" i="2"/>
  <c r="R2061" i="2"/>
  <c r="S2061" i="2"/>
  <c r="T2061" i="2"/>
  <c r="U2061" i="2"/>
  <c r="V2061" i="2"/>
  <c r="W2061" i="2"/>
  <c r="X2061" i="2"/>
  <c r="Y2061" i="2"/>
  <c r="A2062" i="2"/>
  <c r="B2062" i="2"/>
  <c r="C2062" i="2"/>
  <c r="D2062" i="2"/>
  <c r="E2062" i="2"/>
  <c r="F2062" i="2"/>
  <c r="G2062" i="2"/>
  <c r="H2062" i="2"/>
  <c r="I2062" i="2"/>
  <c r="J2062" i="2"/>
  <c r="K2062" i="2"/>
  <c r="L2062" i="2"/>
  <c r="M2062" i="2"/>
  <c r="N2062" i="2"/>
  <c r="O2062" i="2"/>
  <c r="P2062" i="2"/>
  <c r="Q2062" i="2"/>
  <c r="R2062" i="2"/>
  <c r="S2062" i="2"/>
  <c r="T2062" i="2"/>
  <c r="U2062" i="2"/>
  <c r="V2062" i="2"/>
  <c r="W2062" i="2"/>
  <c r="X2062" i="2"/>
  <c r="Y2062" i="2"/>
  <c r="A2063" i="2"/>
  <c r="B2063" i="2"/>
  <c r="C2063" i="2"/>
  <c r="D2063" i="2"/>
  <c r="E2063" i="2"/>
  <c r="F2063" i="2"/>
  <c r="G2063" i="2"/>
  <c r="H2063" i="2"/>
  <c r="I2063" i="2"/>
  <c r="J2063" i="2"/>
  <c r="K2063" i="2"/>
  <c r="L2063" i="2"/>
  <c r="M2063" i="2"/>
  <c r="N2063" i="2"/>
  <c r="O2063" i="2"/>
  <c r="P2063" i="2"/>
  <c r="Q2063" i="2"/>
  <c r="R2063" i="2"/>
  <c r="S2063" i="2"/>
  <c r="T2063" i="2"/>
  <c r="U2063" i="2"/>
  <c r="V2063" i="2"/>
  <c r="W2063" i="2"/>
  <c r="X2063" i="2"/>
  <c r="Y2063" i="2"/>
  <c r="A2064" i="2"/>
  <c r="B2064" i="2"/>
  <c r="C2064" i="2"/>
  <c r="D2064" i="2"/>
  <c r="E2064" i="2"/>
  <c r="F2064" i="2"/>
  <c r="G2064" i="2"/>
  <c r="H2064" i="2"/>
  <c r="I2064" i="2"/>
  <c r="J2064" i="2"/>
  <c r="K2064" i="2"/>
  <c r="L2064" i="2"/>
  <c r="M2064" i="2"/>
  <c r="N2064" i="2"/>
  <c r="O2064" i="2"/>
  <c r="P2064" i="2"/>
  <c r="Q2064" i="2"/>
  <c r="R2064" i="2"/>
  <c r="S2064" i="2"/>
  <c r="T2064" i="2"/>
  <c r="U2064" i="2"/>
  <c r="V2064" i="2"/>
  <c r="W2064" i="2"/>
  <c r="X2064" i="2"/>
  <c r="Y2064" i="2"/>
  <c r="A2065" i="2"/>
  <c r="B2065" i="2"/>
  <c r="C2065" i="2"/>
  <c r="D2065" i="2"/>
  <c r="E2065" i="2"/>
  <c r="F2065" i="2"/>
  <c r="G2065" i="2"/>
  <c r="H2065" i="2"/>
  <c r="I2065" i="2"/>
  <c r="J2065" i="2"/>
  <c r="K2065" i="2"/>
  <c r="L2065" i="2"/>
  <c r="M2065" i="2"/>
  <c r="N2065" i="2"/>
  <c r="O2065" i="2"/>
  <c r="P2065" i="2"/>
  <c r="Q2065" i="2"/>
  <c r="R2065" i="2"/>
  <c r="S2065" i="2"/>
  <c r="T2065" i="2"/>
  <c r="U2065" i="2"/>
  <c r="V2065" i="2"/>
  <c r="W2065" i="2"/>
  <c r="X2065" i="2"/>
  <c r="Y2065" i="2"/>
  <c r="A2066" i="2"/>
  <c r="B2066" i="2"/>
  <c r="C2066" i="2"/>
  <c r="D2066" i="2"/>
  <c r="E2066" i="2"/>
  <c r="F2066" i="2"/>
  <c r="G2066" i="2"/>
  <c r="H2066" i="2"/>
  <c r="I2066" i="2"/>
  <c r="J2066" i="2"/>
  <c r="K2066" i="2"/>
  <c r="L2066" i="2"/>
  <c r="M2066" i="2"/>
  <c r="N2066" i="2"/>
  <c r="O2066" i="2"/>
  <c r="P2066" i="2"/>
  <c r="Q2066" i="2"/>
  <c r="R2066" i="2"/>
  <c r="S2066" i="2"/>
  <c r="T2066" i="2"/>
  <c r="U2066" i="2"/>
  <c r="V2066" i="2"/>
  <c r="W2066" i="2"/>
  <c r="X2066" i="2"/>
  <c r="Y2066" i="2"/>
  <c r="A2067" i="2"/>
  <c r="B2067" i="2"/>
  <c r="C2067" i="2"/>
  <c r="D2067" i="2"/>
  <c r="E2067" i="2"/>
  <c r="F2067" i="2"/>
  <c r="G2067" i="2"/>
  <c r="H2067" i="2"/>
  <c r="I2067" i="2"/>
  <c r="J2067" i="2"/>
  <c r="K2067" i="2"/>
  <c r="L2067" i="2"/>
  <c r="M2067" i="2"/>
  <c r="N2067" i="2"/>
  <c r="O2067" i="2"/>
  <c r="P2067" i="2"/>
  <c r="Q2067" i="2"/>
  <c r="R2067" i="2"/>
  <c r="S2067" i="2"/>
  <c r="T2067" i="2"/>
  <c r="U2067" i="2"/>
  <c r="V2067" i="2"/>
  <c r="W2067" i="2"/>
  <c r="X2067" i="2"/>
  <c r="Y2067" i="2"/>
  <c r="A2068" i="2"/>
  <c r="B2068" i="2"/>
  <c r="C2068" i="2"/>
  <c r="D2068" i="2"/>
  <c r="E2068" i="2"/>
  <c r="F2068" i="2"/>
  <c r="G2068" i="2"/>
  <c r="H2068" i="2"/>
  <c r="I2068" i="2"/>
  <c r="J2068" i="2"/>
  <c r="K2068" i="2"/>
  <c r="L2068" i="2"/>
  <c r="M2068" i="2"/>
  <c r="N2068" i="2"/>
  <c r="O2068" i="2"/>
  <c r="P2068" i="2"/>
  <c r="Q2068" i="2"/>
  <c r="R2068" i="2"/>
  <c r="S2068" i="2"/>
  <c r="T2068" i="2"/>
  <c r="U2068" i="2"/>
  <c r="V2068" i="2"/>
  <c r="W2068" i="2"/>
  <c r="X2068" i="2"/>
  <c r="Y2068" i="2"/>
  <c r="A2069" i="2"/>
  <c r="B2069" i="2"/>
  <c r="C2069" i="2"/>
  <c r="D2069" i="2"/>
  <c r="E2069" i="2"/>
  <c r="F2069" i="2"/>
  <c r="G2069" i="2"/>
  <c r="H2069" i="2"/>
  <c r="I2069" i="2"/>
  <c r="J2069" i="2"/>
  <c r="K2069" i="2"/>
  <c r="L2069" i="2"/>
  <c r="M2069" i="2"/>
  <c r="N2069" i="2"/>
  <c r="O2069" i="2"/>
  <c r="P2069" i="2"/>
  <c r="Q2069" i="2"/>
  <c r="R2069" i="2"/>
  <c r="S2069" i="2"/>
  <c r="T2069" i="2"/>
  <c r="U2069" i="2"/>
  <c r="V2069" i="2"/>
  <c r="W2069" i="2"/>
  <c r="X2069" i="2"/>
  <c r="Y2069" i="2"/>
  <c r="A2070" i="2"/>
  <c r="B2070" i="2"/>
  <c r="C2070" i="2"/>
  <c r="D2070" i="2"/>
  <c r="E2070" i="2"/>
  <c r="F2070" i="2"/>
  <c r="G2070" i="2"/>
  <c r="H2070" i="2"/>
  <c r="I2070" i="2"/>
  <c r="J2070" i="2"/>
  <c r="K2070" i="2"/>
  <c r="L2070" i="2"/>
  <c r="M2070" i="2"/>
  <c r="N2070" i="2"/>
  <c r="O2070" i="2"/>
  <c r="P2070" i="2"/>
  <c r="Q2070" i="2"/>
  <c r="R2070" i="2"/>
  <c r="S2070" i="2"/>
  <c r="T2070" i="2"/>
  <c r="U2070" i="2"/>
  <c r="V2070" i="2"/>
  <c r="W2070" i="2"/>
  <c r="X2070" i="2"/>
  <c r="Y2070" i="2"/>
  <c r="A2071" i="2"/>
  <c r="B2071" i="2"/>
  <c r="C2071" i="2"/>
  <c r="D2071" i="2"/>
  <c r="E2071" i="2"/>
  <c r="F2071" i="2"/>
  <c r="G2071" i="2"/>
  <c r="H2071" i="2"/>
  <c r="I2071" i="2"/>
  <c r="J2071" i="2"/>
  <c r="K2071" i="2"/>
  <c r="L2071" i="2"/>
  <c r="M2071" i="2"/>
  <c r="N2071" i="2"/>
  <c r="O2071" i="2"/>
  <c r="P2071" i="2"/>
  <c r="Q2071" i="2"/>
  <c r="R2071" i="2"/>
  <c r="S2071" i="2"/>
  <c r="T2071" i="2"/>
  <c r="U2071" i="2"/>
  <c r="V2071" i="2"/>
  <c r="W2071" i="2"/>
  <c r="X2071" i="2"/>
  <c r="Y2071" i="2"/>
  <c r="B2072" i="2"/>
  <c r="C2072" i="2"/>
  <c r="D2072" i="2"/>
  <c r="E2072" i="2"/>
  <c r="F2072" i="2"/>
  <c r="G2072" i="2"/>
  <c r="H2072" i="2"/>
  <c r="I2072" i="2"/>
  <c r="J2072" i="2"/>
  <c r="K2072" i="2"/>
  <c r="L2072" i="2"/>
  <c r="M2072" i="2"/>
  <c r="N2072" i="2"/>
  <c r="O2072" i="2"/>
  <c r="P2072" i="2"/>
  <c r="Q2072" i="2"/>
  <c r="R2072" i="2"/>
  <c r="S2072" i="2"/>
  <c r="T2072" i="2"/>
  <c r="U2072" i="2"/>
  <c r="V2072" i="2"/>
  <c r="W2072" i="2"/>
  <c r="X2072" i="2"/>
  <c r="Y2072" i="2"/>
  <c r="A2073" i="2"/>
  <c r="B2073" i="2"/>
  <c r="C2073" i="2"/>
  <c r="D2073" i="2"/>
  <c r="E2073" i="2"/>
  <c r="F2073" i="2"/>
  <c r="G2073" i="2"/>
  <c r="H2073" i="2"/>
  <c r="I2073" i="2"/>
  <c r="J2073" i="2"/>
  <c r="K2073" i="2"/>
  <c r="L2073" i="2"/>
  <c r="M2073" i="2"/>
  <c r="N2073" i="2"/>
  <c r="O2073" i="2"/>
  <c r="P2073" i="2"/>
  <c r="Q2073" i="2"/>
  <c r="R2073" i="2"/>
  <c r="S2073" i="2"/>
  <c r="T2073" i="2"/>
  <c r="U2073" i="2"/>
  <c r="V2073" i="2"/>
  <c r="W2073" i="2"/>
  <c r="X2073" i="2"/>
  <c r="Y2073" i="2"/>
  <c r="A2074" i="2"/>
  <c r="B2074" i="2"/>
  <c r="C2074" i="2"/>
  <c r="D2074" i="2"/>
  <c r="E2074" i="2"/>
  <c r="F2074" i="2"/>
  <c r="G2074" i="2"/>
  <c r="H2074" i="2"/>
  <c r="I2074" i="2"/>
  <c r="J2074" i="2"/>
  <c r="K2074" i="2"/>
  <c r="L2074" i="2"/>
  <c r="M2074" i="2"/>
  <c r="N2074" i="2"/>
  <c r="O2074" i="2"/>
  <c r="P2074" i="2"/>
  <c r="Q2074" i="2"/>
  <c r="R2074" i="2"/>
  <c r="S2074" i="2"/>
  <c r="T2074" i="2"/>
  <c r="U2074" i="2"/>
  <c r="V2074" i="2"/>
  <c r="W2074" i="2"/>
  <c r="X2074" i="2"/>
  <c r="Y2074" i="2"/>
  <c r="A2075" i="2"/>
  <c r="B2075" i="2"/>
  <c r="C2075" i="2"/>
  <c r="D2075" i="2"/>
  <c r="E2075" i="2"/>
  <c r="F2075" i="2"/>
  <c r="G2075" i="2"/>
  <c r="H2075" i="2"/>
  <c r="I2075" i="2"/>
  <c r="J2075" i="2"/>
  <c r="K2075" i="2"/>
  <c r="L2075" i="2"/>
  <c r="M2075" i="2"/>
  <c r="N2075" i="2"/>
  <c r="O2075" i="2"/>
  <c r="P2075" i="2"/>
  <c r="Q2075" i="2"/>
  <c r="R2075" i="2"/>
  <c r="S2075" i="2"/>
  <c r="T2075" i="2"/>
  <c r="U2075" i="2"/>
  <c r="V2075" i="2"/>
  <c r="W2075" i="2"/>
  <c r="X2075" i="2"/>
  <c r="Y2075" i="2"/>
  <c r="A2076" i="2"/>
  <c r="B2076" i="2"/>
  <c r="C2076" i="2"/>
  <c r="D2076" i="2"/>
  <c r="E2076" i="2"/>
  <c r="F2076" i="2"/>
  <c r="G2076" i="2"/>
  <c r="H2076" i="2"/>
  <c r="I2076" i="2"/>
  <c r="J2076" i="2"/>
  <c r="K2076" i="2"/>
  <c r="L2076" i="2"/>
  <c r="M2076" i="2"/>
  <c r="N2076" i="2"/>
  <c r="O2076" i="2"/>
  <c r="P2076" i="2"/>
  <c r="Q2076" i="2"/>
  <c r="R2076" i="2"/>
  <c r="S2076" i="2"/>
  <c r="T2076" i="2"/>
  <c r="U2076" i="2"/>
  <c r="V2076" i="2"/>
  <c r="W2076" i="2"/>
  <c r="X2076" i="2"/>
  <c r="Y2076" i="2"/>
  <c r="A2077" i="2"/>
  <c r="B2077" i="2"/>
  <c r="C2077" i="2"/>
  <c r="D2077" i="2"/>
  <c r="E2077" i="2"/>
  <c r="F2077" i="2"/>
  <c r="G2077" i="2"/>
  <c r="H2077" i="2"/>
  <c r="I2077" i="2"/>
  <c r="J2077" i="2"/>
  <c r="K2077" i="2"/>
  <c r="L2077" i="2"/>
  <c r="M2077" i="2"/>
  <c r="N2077" i="2"/>
  <c r="O2077" i="2"/>
  <c r="P2077" i="2"/>
  <c r="Q2077" i="2"/>
  <c r="R2077" i="2"/>
  <c r="S2077" i="2"/>
  <c r="T2077" i="2"/>
  <c r="U2077" i="2"/>
  <c r="V2077" i="2"/>
  <c r="W2077" i="2"/>
  <c r="X2077" i="2"/>
  <c r="Y2077" i="2"/>
  <c r="A2078" i="2"/>
  <c r="B2078" i="2"/>
  <c r="C2078" i="2"/>
  <c r="D2078" i="2"/>
  <c r="E2078" i="2"/>
  <c r="F2078" i="2"/>
  <c r="G2078" i="2"/>
  <c r="H2078" i="2"/>
  <c r="I2078" i="2"/>
  <c r="J2078" i="2"/>
  <c r="K2078" i="2"/>
  <c r="L2078" i="2"/>
  <c r="M2078" i="2"/>
  <c r="N2078" i="2"/>
  <c r="O2078" i="2"/>
  <c r="P2078" i="2"/>
  <c r="Q2078" i="2"/>
  <c r="R2078" i="2"/>
  <c r="S2078" i="2"/>
  <c r="T2078" i="2"/>
  <c r="U2078" i="2"/>
  <c r="V2078" i="2"/>
  <c r="W2078" i="2"/>
  <c r="X2078" i="2"/>
  <c r="Y2078" i="2"/>
  <c r="A2079" i="2"/>
  <c r="B2079" i="2"/>
  <c r="C2079" i="2"/>
  <c r="D2079" i="2"/>
  <c r="E2079" i="2"/>
  <c r="F2079" i="2"/>
  <c r="G2079" i="2"/>
  <c r="H2079" i="2"/>
  <c r="I2079" i="2"/>
  <c r="J2079" i="2"/>
  <c r="K2079" i="2"/>
  <c r="L2079" i="2"/>
  <c r="M2079" i="2"/>
  <c r="N2079" i="2"/>
  <c r="O2079" i="2"/>
  <c r="P2079" i="2"/>
  <c r="Q2079" i="2"/>
  <c r="R2079" i="2"/>
  <c r="S2079" i="2"/>
  <c r="T2079" i="2"/>
  <c r="U2079" i="2"/>
  <c r="V2079" i="2"/>
  <c r="W2079" i="2"/>
  <c r="X2079" i="2"/>
  <c r="Y2079" i="2"/>
  <c r="A2080" i="2"/>
  <c r="B2080" i="2"/>
  <c r="C2080" i="2"/>
  <c r="D2080" i="2"/>
  <c r="E2080" i="2"/>
  <c r="F2080" i="2"/>
  <c r="G2080" i="2"/>
  <c r="H2080" i="2"/>
  <c r="I2080" i="2"/>
  <c r="J2080" i="2"/>
  <c r="K2080" i="2"/>
  <c r="L2080" i="2"/>
  <c r="M2080" i="2"/>
  <c r="N2080" i="2"/>
  <c r="O2080" i="2"/>
  <c r="P2080" i="2"/>
  <c r="Q2080" i="2"/>
  <c r="R2080" i="2"/>
  <c r="S2080" i="2"/>
  <c r="T2080" i="2"/>
  <c r="U2080" i="2"/>
  <c r="V2080" i="2"/>
  <c r="W2080" i="2"/>
  <c r="X2080" i="2"/>
  <c r="Y2080" i="2"/>
  <c r="A2081" i="2"/>
  <c r="B2081" i="2"/>
  <c r="C2081" i="2"/>
  <c r="D2081" i="2"/>
  <c r="E2081" i="2"/>
  <c r="F2081" i="2"/>
  <c r="G2081" i="2"/>
  <c r="H2081" i="2"/>
  <c r="I2081" i="2"/>
  <c r="J2081" i="2"/>
  <c r="K2081" i="2"/>
  <c r="L2081" i="2"/>
  <c r="M2081" i="2"/>
  <c r="N2081" i="2"/>
  <c r="O2081" i="2"/>
  <c r="P2081" i="2"/>
  <c r="Q2081" i="2"/>
  <c r="R2081" i="2"/>
  <c r="S2081" i="2"/>
  <c r="T2081" i="2"/>
  <c r="U2081" i="2"/>
  <c r="V2081" i="2"/>
  <c r="W2081" i="2"/>
  <c r="X2081" i="2"/>
  <c r="Y2081" i="2"/>
  <c r="A2082" i="2"/>
  <c r="B2082" i="2"/>
  <c r="C2082" i="2"/>
  <c r="D2082" i="2"/>
  <c r="E2082" i="2"/>
  <c r="F2082" i="2"/>
  <c r="G2082" i="2"/>
  <c r="H2082" i="2"/>
  <c r="I2082" i="2"/>
  <c r="J2082" i="2"/>
  <c r="K2082" i="2"/>
  <c r="L2082" i="2"/>
  <c r="M2082" i="2"/>
  <c r="N2082" i="2"/>
  <c r="O2082" i="2"/>
  <c r="P2082" i="2"/>
  <c r="Q2082" i="2"/>
  <c r="R2082" i="2"/>
  <c r="S2082" i="2"/>
  <c r="T2082" i="2"/>
  <c r="U2082" i="2"/>
  <c r="V2082" i="2"/>
  <c r="W2082" i="2"/>
  <c r="X2082" i="2"/>
  <c r="Y2082" i="2"/>
  <c r="A2083" i="2"/>
  <c r="B2083" i="2"/>
  <c r="C2083" i="2"/>
  <c r="D2083" i="2"/>
  <c r="E2083" i="2"/>
  <c r="F2083" i="2"/>
  <c r="G2083" i="2"/>
  <c r="H2083" i="2"/>
  <c r="I2083" i="2"/>
  <c r="J2083" i="2"/>
  <c r="K2083" i="2"/>
  <c r="L2083" i="2"/>
  <c r="M2083" i="2"/>
  <c r="N2083" i="2"/>
  <c r="O2083" i="2"/>
  <c r="P2083" i="2"/>
  <c r="Q2083" i="2"/>
  <c r="R2083" i="2"/>
  <c r="S2083" i="2"/>
  <c r="T2083" i="2"/>
  <c r="U2083" i="2"/>
  <c r="V2083" i="2"/>
  <c r="W2083" i="2"/>
  <c r="X2083" i="2"/>
  <c r="Y2083" i="2"/>
  <c r="A2084" i="2"/>
  <c r="B2084" i="2"/>
  <c r="C2084" i="2"/>
  <c r="D2084" i="2"/>
  <c r="E2084" i="2"/>
  <c r="F2084" i="2"/>
  <c r="G2084" i="2"/>
  <c r="H2084" i="2"/>
  <c r="I2084" i="2"/>
  <c r="J2084" i="2"/>
  <c r="K2084" i="2"/>
  <c r="L2084" i="2"/>
  <c r="M2084" i="2"/>
  <c r="N2084" i="2"/>
  <c r="O2084" i="2"/>
  <c r="P2084" i="2"/>
  <c r="Q2084" i="2"/>
  <c r="R2084" i="2"/>
  <c r="S2084" i="2"/>
  <c r="T2084" i="2"/>
  <c r="U2084" i="2"/>
  <c r="V2084" i="2"/>
  <c r="W2084" i="2"/>
  <c r="X2084" i="2"/>
  <c r="Y2084" i="2"/>
  <c r="A2085" i="2"/>
  <c r="B2085" i="2"/>
  <c r="C2085" i="2"/>
  <c r="D2085" i="2"/>
  <c r="E2085" i="2"/>
  <c r="F2085" i="2"/>
  <c r="G2085" i="2"/>
  <c r="H2085" i="2"/>
  <c r="I2085" i="2"/>
  <c r="J2085" i="2"/>
  <c r="K2085" i="2"/>
  <c r="L2085" i="2"/>
  <c r="M2085" i="2"/>
  <c r="N2085" i="2"/>
  <c r="O2085" i="2"/>
  <c r="P2085" i="2"/>
  <c r="Q2085" i="2"/>
  <c r="R2085" i="2"/>
  <c r="S2085" i="2"/>
  <c r="T2085" i="2"/>
  <c r="U2085" i="2"/>
  <c r="V2085" i="2"/>
  <c r="W2085" i="2"/>
  <c r="X2085" i="2"/>
  <c r="Y2085" i="2"/>
  <c r="A2086" i="2"/>
  <c r="B2086" i="2"/>
  <c r="C2086" i="2"/>
  <c r="D2086" i="2"/>
  <c r="E2086" i="2"/>
  <c r="F2086" i="2"/>
  <c r="G2086" i="2"/>
  <c r="H2086" i="2"/>
  <c r="I2086" i="2"/>
  <c r="J2086" i="2"/>
  <c r="K2086" i="2"/>
  <c r="L2086" i="2"/>
  <c r="M2086" i="2"/>
  <c r="N2086" i="2"/>
  <c r="O2086" i="2"/>
  <c r="P2086" i="2"/>
  <c r="Q2086" i="2"/>
  <c r="R2086" i="2"/>
  <c r="S2086" i="2"/>
  <c r="T2086" i="2"/>
  <c r="U2086" i="2"/>
  <c r="V2086" i="2"/>
  <c r="W2086" i="2"/>
  <c r="X2086" i="2"/>
  <c r="Y2086" i="2"/>
  <c r="A2087" i="2"/>
  <c r="B2087" i="2"/>
  <c r="C2087" i="2"/>
  <c r="D2087" i="2"/>
  <c r="E2087" i="2"/>
  <c r="F2087" i="2"/>
  <c r="G2087" i="2"/>
  <c r="H2087" i="2"/>
  <c r="I2087" i="2"/>
  <c r="J2087" i="2"/>
  <c r="K2087" i="2"/>
  <c r="L2087" i="2"/>
  <c r="M2087" i="2"/>
  <c r="N2087" i="2"/>
  <c r="O2087" i="2"/>
  <c r="P2087" i="2"/>
  <c r="Q2087" i="2"/>
  <c r="R2087" i="2"/>
  <c r="S2087" i="2"/>
  <c r="T2087" i="2"/>
  <c r="U2087" i="2"/>
  <c r="V2087" i="2"/>
  <c r="W2087" i="2"/>
  <c r="X2087" i="2"/>
  <c r="Y2087" i="2"/>
  <c r="B2088" i="2"/>
  <c r="C2088" i="2"/>
  <c r="D2088" i="2"/>
  <c r="E2088" i="2"/>
  <c r="F2088" i="2"/>
  <c r="G2088" i="2"/>
  <c r="H2088" i="2"/>
  <c r="I2088" i="2"/>
  <c r="J2088" i="2"/>
  <c r="K2088" i="2"/>
  <c r="L2088" i="2"/>
  <c r="M2088" i="2"/>
  <c r="N2088" i="2"/>
  <c r="O2088" i="2"/>
  <c r="P2088" i="2"/>
  <c r="Q2088" i="2"/>
  <c r="R2088" i="2"/>
  <c r="S2088" i="2"/>
  <c r="T2088" i="2"/>
  <c r="U2088" i="2"/>
  <c r="V2088" i="2"/>
  <c r="W2088" i="2"/>
  <c r="X2088" i="2"/>
  <c r="Y2088" i="2"/>
  <c r="A2089" i="2"/>
  <c r="B2089" i="2"/>
  <c r="C2089" i="2"/>
  <c r="D2089" i="2"/>
  <c r="E2089" i="2"/>
  <c r="F2089" i="2"/>
  <c r="G2089" i="2"/>
  <c r="H2089" i="2"/>
  <c r="I2089" i="2"/>
  <c r="J2089" i="2"/>
  <c r="K2089" i="2"/>
  <c r="L2089" i="2"/>
  <c r="M2089" i="2"/>
  <c r="N2089" i="2"/>
  <c r="O2089" i="2"/>
  <c r="P2089" i="2"/>
  <c r="Q2089" i="2"/>
  <c r="R2089" i="2"/>
  <c r="S2089" i="2"/>
  <c r="T2089" i="2"/>
  <c r="U2089" i="2"/>
  <c r="V2089" i="2"/>
  <c r="W2089" i="2"/>
  <c r="X2089" i="2"/>
  <c r="Y2089" i="2"/>
  <c r="A2090" i="2"/>
  <c r="B2090" i="2"/>
  <c r="C2090" i="2"/>
  <c r="D2090" i="2"/>
  <c r="E2090" i="2"/>
  <c r="F2090" i="2"/>
  <c r="G2090" i="2"/>
  <c r="H2090" i="2"/>
  <c r="I2090" i="2"/>
  <c r="J2090" i="2"/>
  <c r="K2090" i="2"/>
  <c r="L2090" i="2"/>
  <c r="M2090" i="2"/>
  <c r="N2090" i="2"/>
  <c r="O2090" i="2"/>
  <c r="P2090" i="2"/>
  <c r="Q2090" i="2"/>
  <c r="R2090" i="2"/>
  <c r="S2090" i="2"/>
  <c r="T2090" i="2"/>
  <c r="U2090" i="2"/>
  <c r="V2090" i="2"/>
  <c r="W2090" i="2"/>
  <c r="X2090" i="2"/>
  <c r="Y2090" i="2"/>
  <c r="A2091" i="2"/>
  <c r="B2091" i="2"/>
  <c r="C2091" i="2"/>
  <c r="D2091" i="2"/>
  <c r="E2091" i="2"/>
  <c r="F2091" i="2"/>
  <c r="G2091" i="2"/>
  <c r="H2091" i="2"/>
  <c r="I2091" i="2"/>
  <c r="J2091" i="2"/>
  <c r="K2091" i="2"/>
  <c r="L2091" i="2"/>
  <c r="M2091" i="2"/>
  <c r="N2091" i="2"/>
  <c r="O2091" i="2"/>
  <c r="P2091" i="2"/>
  <c r="Q2091" i="2"/>
  <c r="R2091" i="2"/>
  <c r="S2091" i="2"/>
  <c r="T2091" i="2"/>
  <c r="U2091" i="2"/>
  <c r="V2091" i="2"/>
  <c r="W2091" i="2"/>
  <c r="X2091" i="2"/>
  <c r="Y2091" i="2"/>
  <c r="A2092" i="2"/>
  <c r="B2092" i="2"/>
  <c r="C2092" i="2"/>
  <c r="D2092" i="2"/>
  <c r="E2092" i="2"/>
  <c r="F2092" i="2"/>
  <c r="G2092" i="2"/>
  <c r="H2092" i="2"/>
  <c r="I2092" i="2"/>
  <c r="J2092" i="2"/>
  <c r="K2092" i="2"/>
  <c r="L2092" i="2"/>
  <c r="M2092" i="2"/>
  <c r="N2092" i="2"/>
  <c r="O2092" i="2"/>
  <c r="P2092" i="2"/>
  <c r="Q2092" i="2"/>
  <c r="R2092" i="2"/>
  <c r="S2092" i="2"/>
  <c r="T2092" i="2"/>
  <c r="U2092" i="2"/>
  <c r="V2092" i="2"/>
  <c r="W2092" i="2"/>
  <c r="X2092" i="2"/>
  <c r="Y2092" i="2"/>
  <c r="A2093" i="2"/>
  <c r="B2093" i="2"/>
  <c r="C2093" i="2"/>
  <c r="D2093" i="2"/>
  <c r="E2093" i="2"/>
  <c r="F2093" i="2"/>
  <c r="G2093" i="2"/>
  <c r="H2093" i="2"/>
  <c r="I2093" i="2"/>
  <c r="J2093" i="2"/>
  <c r="K2093" i="2"/>
  <c r="L2093" i="2"/>
  <c r="M2093" i="2"/>
  <c r="N2093" i="2"/>
  <c r="O2093" i="2"/>
  <c r="P2093" i="2"/>
  <c r="Q2093" i="2"/>
  <c r="R2093" i="2"/>
  <c r="S2093" i="2"/>
  <c r="T2093" i="2"/>
  <c r="U2093" i="2"/>
  <c r="V2093" i="2"/>
  <c r="W2093" i="2"/>
  <c r="X2093" i="2"/>
  <c r="Y2093" i="2"/>
  <c r="A2094" i="2"/>
  <c r="B2094" i="2"/>
  <c r="C2094" i="2"/>
  <c r="D2094" i="2"/>
  <c r="E2094" i="2"/>
  <c r="F2094" i="2"/>
  <c r="G2094" i="2"/>
  <c r="H2094" i="2"/>
  <c r="I2094" i="2"/>
  <c r="J2094" i="2"/>
  <c r="K2094" i="2"/>
  <c r="L2094" i="2"/>
  <c r="M2094" i="2"/>
  <c r="N2094" i="2"/>
  <c r="O2094" i="2"/>
  <c r="P2094" i="2"/>
  <c r="Q2094" i="2"/>
  <c r="R2094" i="2"/>
  <c r="S2094" i="2"/>
  <c r="T2094" i="2"/>
  <c r="U2094" i="2"/>
  <c r="V2094" i="2"/>
  <c r="W2094" i="2"/>
  <c r="X2094" i="2"/>
  <c r="Y2094" i="2"/>
  <c r="A2095" i="2"/>
  <c r="B2095" i="2"/>
  <c r="C2095" i="2"/>
  <c r="D2095" i="2"/>
  <c r="E2095" i="2"/>
  <c r="F2095" i="2"/>
  <c r="G2095" i="2"/>
  <c r="H2095" i="2"/>
  <c r="I2095" i="2"/>
  <c r="J2095" i="2"/>
  <c r="K2095" i="2"/>
  <c r="L2095" i="2"/>
  <c r="M2095" i="2"/>
  <c r="N2095" i="2"/>
  <c r="O2095" i="2"/>
  <c r="P2095" i="2"/>
  <c r="Q2095" i="2"/>
  <c r="R2095" i="2"/>
  <c r="S2095" i="2"/>
  <c r="T2095" i="2"/>
  <c r="U2095" i="2"/>
  <c r="V2095" i="2"/>
  <c r="W2095" i="2"/>
  <c r="X2095" i="2"/>
  <c r="Y2095" i="2"/>
  <c r="A2096" i="2"/>
  <c r="B2096" i="2"/>
  <c r="C2096" i="2"/>
  <c r="D2096" i="2"/>
  <c r="E2096" i="2"/>
  <c r="F2096" i="2"/>
  <c r="G2096" i="2"/>
  <c r="H2096" i="2"/>
  <c r="I2096" i="2"/>
  <c r="J2096" i="2"/>
  <c r="K2096" i="2"/>
  <c r="L2096" i="2"/>
  <c r="M2096" i="2"/>
  <c r="N2096" i="2"/>
  <c r="O2096" i="2"/>
  <c r="P2096" i="2"/>
  <c r="Q2096" i="2"/>
  <c r="R2096" i="2"/>
  <c r="S2096" i="2"/>
  <c r="T2096" i="2"/>
  <c r="U2096" i="2"/>
  <c r="V2096" i="2"/>
  <c r="W2096" i="2"/>
  <c r="X2096" i="2"/>
  <c r="Y2096" i="2"/>
  <c r="A2097" i="2"/>
  <c r="B2097" i="2"/>
  <c r="C2097" i="2"/>
  <c r="D2097" i="2"/>
  <c r="E2097" i="2"/>
  <c r="F2097" i="2"/>
  <c r="G2097" i="2"/>
  <c r="H2097" i="2"/>
  <c r="I2097" i="2"/>
  <c r="J2097" i="2"/>
  <c r="K2097" i="2"/>
  <c r="L2097" i="2"/>
  <c r="M2097" i="2"/>
  <c r="N2097" i="2"/>
  <c r="O2097" i="2"/>
  <c r="P2097" i="2"/>
  <c r="Q2097" i="2"/>
  <c r="R2097" i="2"/>
  <c r="S2097" i="2"/>
  <c r="T2097" i="2"/>
  <c r="U2097" i="2"/>
  <c r="V2097" i="2"/>
  <c r="W2097" i="2"/>
  <c r="X2097" i="2"/>
  <c r="Y2097" i="2"/>
  <c r="A2098" i="2"/>
  <c r="B2098" i="2"/>
  <c r="C2098" i="2"/>
  <c r="D2098" i="2"/>
  <c r="E2098" i="2"/>
  <c r="F2098" i="2"/>
  <c r="G2098" i="2"/>
  <c r="H2098" i="2"/>
  <c r="I2098" i="2"/>
  <c r="J2098" i="2"/>
  <c r="K2098" i="2"/>
  <c r="L2098" i="2"/>
  <c r="M2098" i="2"/>
  <c r="N2098" i="2"/>
  <c r="O2098" i="2"/>
  <c r="P2098" i="2"/>
  <c r="Q2098" i="2"/>
  <c r="R2098" i="2"/>
  <c r="S2098" i="2"/>
  <c r="T2098" i="2"/>
  <c r="U2098" i="2"/>
  <c r="V2098" i="2"/>
  <c r="W2098" i="2"/>
  <c r="X2098" i="2"/>
  <c r="Y2098" i="2"/>
  <c r="A2099" i="2"/>
  <c r="B2099" i="2"/>
  <c r="C2099" i="2"/>
  <c r="D2099" i="2"/>
  <c r="E2099" i="2"/>
  <c r="F2099" i="2"/>
  <c r="G2099" i="2"/>
  <c r="H2099" i="2"/>
  <c r="I2099" i="2"/>
  <c r="J2099" i="2"/>
  <c r="K2099" i="2"/>
  <c r="L2099" i="2"/>
  <c r="M2099" i="2"/>
  <c r="N2099" i="2"/>
  <c r="O2099" i="2"/>
  <c r="P2099" i="2"/>
  <c r="Q2099" i="2"/>
  <c r="R2099" i="2"/>
  <c r="S2099" i="2"/>
  <c r="T2099" i="2"/>
  <c r="U2099" i="2"/>
  <c r="V2099" i="2"/>
  <c r="W2099" i="2"/>
  <c r="X2099" i="2"/>
  <c r="Y2099" i="2"/>
  <c r="A2100" i="2"/>
  <c r="B2100" i="2"/>
  <c r="C2100" i="2"/>
  <c r="D2100" i="2"/>
  <c r="E2100" i="2"/>
  <c r="F2100" i="2"/>
  <c r="G2100" i="2"/>
  <c r="H2100" i="2"/>
  <c r="I2100" i="2"/>
  <c r="J2100" i="2"/>
  <c r="K2100" i="2"/>
  <c r="L2100" i="2"/>
  <c r="M2100" i="2"/>
  <c r="N2100" i="2"/>
  <c r="O2100" i="2"/>
  <c r="P2100" i="2"/>
  <c r="Q2100" i="2"/>
  <c r="R2100" i="2"/>
  <c r="S2100" i="2"/>
  <c r="T2100" i="2"/>
  <c r="U2100" i="2"/>
  <c r="V2100" i="2"/>
  <c r="W2100" i="2"/>
  <c r="X2100" i="2"/>
  <c r="Y2100" i="2"/>
  <c r="A2101" i="2"/>
  <c r="B2101" i="2"/>
  <c r="C2101" i="2"/>
  <c r="D2101" i="2"/>
  <c r="E2101" i="2"/>
  <c r="F2101" i="2"/>
  <c r="G2101" i="2"/>
  <c r="H2101" i="2"/>
  <c r="I2101" i="2"/>
  <c r="J2101" i="2"/>
  <c r="K2101" i="2"/>
  <c r="L2101" i="2"/>
  <c r="M2101" i="2"/>
  <c r="N2101" i="2"/>
  <c r="O2101" i="2"/>
  <c r="P2101" i="2"/>
  <c r="Q2101" i="2"/>
  <c r="R2101" i="2"/>
  <c r="S2101" i="2"/>
  <c r="T2101" i="2"/>
  <c r="U2101" i="2"/>
  <c r="V2101" i="2"/>
  <c r="W2101" i="2"/>
  <c r="X2101" i="2"/>
  <c r="Y2101" i="2"/>
  <c r="A2102" i="2"/>
  <c r="B2102" i="2"/>
  <c r="C2102" i="2"/>
  <c r="D2102" i="2"/>
  <c r="E2102" i="2"/>
  <c r="F2102" i="2"/>
  <c r="G2102" i="2"/>
  <c r="H2102" i="2"/>
  <c r="I2102" i="2"/>
  <c r="J2102" i="2"/>
  <c r="K2102" i="2"/>
  <c r="L2102" i="2"/>
  <c r="M2102" i="2"/>
  <c r="N2102" i="2"/>
  <c r="O2102" i="2"/>
  <c r="P2102" i="2"/>
  <c r="Q2102" i="2"/>
  <c r="R2102" i="2"/>
  <c r="S2102" i="2"/>
  <c r="T2102" i="2"/>
  <c r="U2102" i="2"/>
  <c r="V2102" i="2"/>
  <c r="W2102" i="2"/>
  <c r="X2102" i="2"/>
  <c r="Y2102" i="2"/>
  <c r="A2103" i="2"/>
  <c r="B2103" i="2"/>
  <c r="C2103" i="2"/>
  <c r="D2103" i="2"/>
  <c r="E2103" i="2"/>
  <c r="F2103" i="2"/>
  <c r="G2103" i="2"/>
  <c r="H2103" i="2"/>
  <c r="I2103" i="2"/>
  <c r="J2103" i="2"/>
  <c r="K2103" i="2"/>
  <c r="L2103" i="2"/>
  <c r="M2103" i="2"/>
  <c r="N2103" i="2"/>
  <c r="O2103" i="2"/>
  <c r="P2103" i="2"/>
  <c r="Q2103" i="2"/>
  <c r="R2103" i="2"/>
  <c r="S2103" i="2"/>
  <c r="T2103" i="2"/>
  <c r="U2103" i="2"/>
  <c r="V2103" i="2"/>
  <c r="W2103" i="2"/>
  <c r="X2103" i="2"/>
  <c r="Y2103" i="2"/>
  <c r="B2104" i="2"/>
  <c r="C2104" i="2"/>
  <c r="D2104" i="2"/>
  <c r="E2104" i="2"/>
  <c r="F2104" i="2"/>
  <c r="G2104" i="2"/>
  <c r="H2104" i="2"/>
  <c r="I2104" i="2"/>
  <c r="J2104" i="2"/>
  <c r="K2104" i="2"/>
  <c r="L2104" i="2"/>
  <c r="M2104" i="2"/>
  <c r="N2104" i="2"/>
  <c r="O2104" i="2"/>
  <c r="P2104" i="2"/>
  <c r="Q2104" i="2"/>
  <c r="R2104" i="2"/>
  <c r="S2104" i="2"/>
  <c r="T2104" i="2"/>
  <c r="U2104" i="2"/>
  <c r="V2104" i="2"/>
  <c r="W2104" i="2"/>
  <c r="X2104" i="2"/>
  <c r="Y2104" i="2"/>
  <c r="A2105" i="2"/>
  <c r="B2105" i="2"/>
  <c r="C2105" i="2"/>
  <c r="D2105" i="2"/>
  <c r="E2105" i="2"/>
  <c r="F2105" i="2"/>
  <c r="G2105" i="2"/>
  <c r="H2105" i="2"/>
  <c r="I2105" i="2"/>
  <c r="J2105" i="2"/>
  <c r="K2105" i="2"/>
  <c r="L2105" i="2"/>
  <c r="M2105" i="2"/>
  <c r="N2105" i="2"/>
  <c r="O2105" i="2"/>
  <c r="P2105" i="2"/>
  <c r="Q2105" i="2"/>
  <c r="R2105" i="2"/>
  <c r="S2105" i="2"/>
  <c r="T2105" i="2"/>
  <c r="U2105" i="2"/>
  <c r="V2105" i="2"/>
  <c r="W2105" i="2"/>
  <c r="X2105" i="2"/>
  <c r="Y2105" i="2"/>
  <c r="A2106" i="2"/>
  <c r="B2106" i="2"/>
  <c r="C2106" i="2"/>
  <c r="D2106" i="2"/>
  <c r="E2106" i="2"/>
  <c r="F2106" i="2"/>
  <c r="G2106" i="2"/>
  <c r="H2106" i="2"/>
  <c r="I2106" i="2"/>
  <c r="J2106" i="2"/>
  <c r="K2106" i="2"/>
  <c r="L2106" i="2"/>
  <c r="M2106" i="2"/>
  <c r="N2106" i="2"/>
  <c r="O2106" i="2"/>
  <c r="P2106" i="2"/>
  <c r="Q2106" i="2"/>
  <c r="R2106" i="2"/>
  <c r="S2106" i="2"/>
  <c r="T2106" i="2"/>
  <c r="U2106" i="2"/>
  <c r="V2106" i="2"/>
  <c r="W2106" i="2"/>
  <c r="X2106" i="2"/>
  <c r="Y2106" i="2"/>
  <c r="A2107" i="2"/>
  <c r="B2107" i="2"/>
  <c r="C2107" i="2"/>
  <c r="D2107" i="2"/>
  <c r="E2107" i="2"/>
  <c r="F2107" i="2"/>
  <c r="G2107" i="2"/>
  <c r="H2107" i="2"/>
  <c r="I2107" i="2"/>
  <c r="J2107" i="2"/>
  <c r="K2107" i="2"/>
  <c r="L2107" i="2"/>
  <c r="M2107" i="2"/>
  <c r="N2107" i="2"/>
  <c r="O2107" i="2"/>
  <c r="P2107" i="2"/>
  <c r="Q2107" i="2"/>
  <c r="R2107" i="2"/>
  <c r="S2107" i="2"/>
  <c r="T2107" i="2"/>
  <c r="U2107" i="2"/>
  <c r="V2107" i="2"/>
  <c r="W2107" i="2"/>
  <c r="X2107" i="2"/>
  <c r="Y2107" i="2"/>
  <c r="A2108" i="2"/>
  <c r="B2108" i="2"/>
  <c r="C2108" i="2"/>
  <c r="D2108" i="2"/>
  <c r="E2108" i="2"/>
  <c r="F2108" i="2"/>
  <c r="G2108" i="2"/>
  <c r="H2108" i="2"/>
  <c r="I2108" i="2"/>
  <c r="J2108" i="2"/>
  <c r="K2108" i="2"/>
  <c r="L2108" i="2"/>
  <c r="M2108" i="2"/>
  <c r="N2108" i="2"/>
  <c r="O2108" i="2"/>
  <c r="P2108" i="2"/>
  <c r="Q2108" i="2"/>
  <c r="R2108" i="2"/>
  <c r="S2108" i="2"/>
  <c r="T2108" i="2"/>
  <c r="U2108" i="2"/>
  <c r="V2108" i="2"/>
  <c r="W2108" i="2"/>
  <c r="X2108" i="2"/>
  <c r="Y2108" i="2"/>
  <c r="A2109" i="2"/>
  <c r="B2109" i="2"/>
  <c r="C2109" i="2"/>
  <c r="D2109" i="2"/>
  <c r="E2109" i="2"/>
  <c r="F2109" i="2"/>
  <c r="G2109" i="2"/>
  <c r="H2109" i="2"/>
  <c r="I2109" i="2"/>
  <c r="J2109" i="2"/>
  <c r="K2109" i="2"/>
  <c r="L2109" i="2"/>
  <c r="M2109" i="2"/>
  <c r="N2109" i="2"/>
  <c r="O2109" i="2"/>
  <c r="P2109" i="2"/>
  <c r="Q2109" i="2"/>
  <c r="R2109" i="2"/>
  <c r="S2109" i="2"/>
  <c r="T2109" i="2"/>
  <c r="U2109" i="2"/>
  <c r="V2109" i="2"/>
  <c r="W2109" i="2"/>
  <c r="X2109" i="2"/>
  <c r="Y2109" i="2"/>
  <c r="A2110" i="2"/>
  <c r="B2110" i="2"/>
  <c r="C2110" i="2"/>
  <c r="D2110" i="2"/>
  <c r="E2110" i="2"/>
  <c r="F2110" i="2"/>
  <c r="G2110" i="2"/>
  <c r="H2110" i="2"/>
  <c r="I2110" i="2"/>
  <c r="J2110" i="2"/>
  <c r="K2110" i="2"/>
  <c r="L2110" i="2"/>
  <c r="M2110" i="2"/>
  <c r="N2110" i="2"/>
  <c r="O2110" i="2"/>
  <c r="P2110" i="2"/>
  <c r="Q2110" i="2"/>
  <c r="R2110" i="2"/>
  <c r="S2110" i="2"/>
  <c r="T2110" i="2"/>
  <c r="U2110" i="2"/>
  <c r="V2110" i="2"/>
  <c r="W2110" i="2"/>
  <c r="X2110" i="2"/>
  <c r="Y2110" i="2"/>
  <c r="A2111" i="2"/>
  <c r="B2111" i="2"/>
  <c r="C2111" i="2"/>
  <c r="D2111" i="2"/>
  <c r="E2111" i="2"/>
  <c r="F2111" i="2"/>
  <c r="G2111" i="2"/>
  <c r="H2111" i="2"/>
  <c r="I2111" i="2"/>
  <c r="J2111" i="2"/>
  <c r="K2111" i="2"/>
  <c r="L2111" i="2"/>
  <c r="M2111" i="2"/>
  <c r="N2111" i="2"/>
  <c r="O2111" i="2"/>
  <c r="P2111" i="2"/>
  <c r="Q2111" i="2"/>
  <c r="R2111" i="2"/>
  <c r="S2111" i="2"/>
  <c r="T2111" i="2"/>
  <c r="U2111" i="2"/>
  <c r="V2111" i="2"/>
  <c r="W2111" i="2"/>
  <c r="X2111" i="2"/>
  <c r="Y2111" i="2"/>
  <c r="A2112" i="2"/>
  <c r="B2112" i="2"/>
  <c r="C2112" i="2"/>
  <c r="D2112" i="2"/>
  <c r="E2112" i="2"/>
  <c r="F2112" i="2"/>
  <c r="G2112" i="2"/>
  <c r="H2112" i="2"/>
  <c r="I2112" i="2"/>
  <c r="J2112" i="2"/>
  <c r="K2112" i="2"/>
  <c r="L2112" i="2"/>
  <c r="M2112" i="2"/>
  <c r="N2112" i="2"/>
  <c r="O2112" i="2"/>
  <c r="P2112" i="2"/>
  <c r="Q2112" i="2"/>
  <c r="R2112" i="2"/>
  <c r="S2112" i="2"/>
  <c r="T2112" i="2"/>
  <c r="U2112" i="2"/>
  <c r="V2112" i="2"/>
  <c r="W2112" i="2"/>
  <c r="X2112" i="2"/>
  <c r="Y2112" i="2"/>
  <c r="A2113" i="2"/>
  <c r="B2113" i="2"/>
  <c r="C2113" i="2"/>
  <c r="D2113" i="2"/>
  <c r="E2113" i="2"/>
  <c r="F2113" i="2"/>
  <c r="G2113" i="2"/>
  <c r="H2113" i="2"/>
  <c r="I2113" i="2"/>
  <c r="J2113" i="2"/>
  <c r="K2113" i="2"/>
  <c r="L2113" i="2"/>
  <c r="M2113" i="2"/>
  <c r="N2113" i="2"/>
  <c r="O2113" i="2"/>
  <c r="P2113" i="2"/>
  <c r="Q2113" i="2"/>
  <c r="R2113" i="2"/>
  <c r="S2113" i="2"/>
  <c r="T2113" i="2"/>
  <c r="U2113" i="2"/>
  <c r="V2113" i="2"/>
  <c r="W2113" i="2"/>
  <c r="X2113" i="2"/>
  <c r="Y2113" i="2"/>
  <c r="A2114" i="2"/>
  <c r="B2114" i="2"/>
  <c r="C2114" i="2"/>
  <c r="D2114" i="2"/>
  <c r="E2114" i="2"/>
  <c r="F2114" i="2"/>
  <c r="G2114" i="2"/>
  <c r="H2114" i="2"/>
  <c r="I2114" i="2"/>
  <c r="J2114" i="2"/>
  <c r="K2114" i="2"/>
  <c r="L2114" i="2"/>
  <c r="M2114" i="2"/>
  <c r="N2114" i="2"/>
  <c r="O2114" i="2"/>
  <c r="P2114" i="2"/>
  <c r="Q2114" i="2"/>
  <c r="R2114" i="2"/>
  <c r="S2114" i="2"/>
  <c r="T2114" i="2"/>
  <c r="U2114" i="2"/>
  <c r="V2114" i="2"/>
  <c r="W2114" i="2"/>
  <c r="X2114" i="2"/>
  <c r="Y2114" i="2"/>
  <c r="A2115" i="2"/>
  <c r="B2115" i="2"/>
  <c r="C2115" i="2"/>
  <c r="D2115" i="2"/>
  <c r="E2115" i="2"/>
  <c r="F2115" i="2"/>
  <c r="G2115" i="2"/>
  <c r="H2115" i="2"/>
  <c r="I2115" i="2"/>
  <c r="J2115" i="2"/>
  <c r="K2115" i="2"/>
  <c r="L2115" i="2"/>
  <c r="M2115" i="2"/>
  <c r="N2115" i="2"/>
  <c r="O2115" i="2"/>
  <c r="P2115" i="2"/>
  <c r="Q2115" i="2"/>
  <c r="R2115" i="2"/>
  <c r="S2115" i="2"/>
  <c r="T2115" i="2"/>
  <c r="U2115" i="2"/>
  <c r="V2115" i="2"/>
  <c r="W2115" i="2"/>
  <c r="X2115" i="2"/>
  <c r="Y2115" i="2"/>
  <c r="A2116" i="2"/>
  <c r="B2116" i="2"/>
  <c r="C2116" i="2"/>
  <c r="D2116" i="2"/>
  <c r="E2116" i="2"/>
  <c r="F2116" i="2"/>
  <c r="G2116" i="2"/>
  <c r="H2116" i="2"/>
  <c r="I2116" i="2"/>
  <c r="J2116" i="2"/>
  <c r="K2116" i="2"/>
  <c r="L2116" i="2"/>
  <c r="M2116" i="2"/>
  <c r="N2116" i="2"/>
  <c r="O2116" i="2"/>
  <c r="P2116" i="2"/>
  <c r="Q2116" i="2"/>
  <c r="R2116" i="2"/>
  <c r="S2116" i="2"/>
  <c r="T2116" i="2"/>
  <c r="U2116" i="2"/>
  <c r="V2116" i="2"/>
  <c r="W2116" i="2"/>
  <c r="X2116" i="2"/>
  <c r="Y2116" i="2"/>
  <c r="A2117" i="2"/>
  <c r="B2117" i="2"/>
  <c r="C2117" i="2"/>
  <c r="D2117" i="2"/>
  <c r="E2117" i="2"/>
  <c r="F2117" i="2"/>
  <c r="G2117" i="2"/>
  <c r="H2117" i="2"/>
  <c r="I2117" i="2"/>
  <c r="J2117" i="2"/>
  <c r="K2117" i="2"/>
  <c r="L2117" i="2"/>
  <c r="M2117" i="2"/>
  <c r="N2117" i="2"/>
  <c r="O2117" i="2"/>
  <c r="P2117" i="2"/>
  <c r="Q2117" i="2"/>
  <c r="R2117" i="2"/>
  <c r="S2117" i="2"/>
  <c r="T2117" i="2"/>
  <c r="U2117" i="2"/>
  <c r="V2117" i="2"/>
  <c r="W2117" i="2"/>
  <c r="X2117" i="2"/>
  <c r="Y2117" i="2"/>
  <c r="A2118" i="2"/>
  <c r="B2118" i="2"/>
  <c r="C2118" i="2"/>
  <c r="D2118" i="2"/>
  <c r="E2118" i="2"/>
  <c r="F2118" i="2"/>
  <c r="G2118" i="2"/>
  <c r="H2118" i="2"/>
  <c r="I2118" i="2"/>
  <c r="J2118" i="2"/>
  <c r="K2118" i="2"/>
  <c r="L2118" i="2"/>
  <c r="M2118" i="2"/>
  <c r="N2118" i="2"/>
  <c r="O2118" i="2"/>
  <c r="P2118" i="2"/>
  <c r="Q2118" i="2"/>
  <c r="R2118" i="2"/>
  <c r="S2118" i="2"/>
  <c r="T2118" i="2"/>
  <c r="U2118" i="2"/>
  <c r="V2118" i="2"/>
  <c r="W2118" i="2"/>
  <c r="X2118" i="2"/>
  <c r="Y2118" i="2"/>
  <c r="A2119" i="2"/>
  <c r="B2119" i="2"/>
  <c r="C2119" i="2"/>
  <c r="D2119" i="2"/>
  <c r="E2119" i="2"/>
  <c r="F2119" i="2"/>
  <c r="G2119" i="2"/>
  <c r="H2119" i="2"/>
  <c r="I2119" i="2"/>
  <c r="J2119" i="2"/>
  <c r="K2119" i="2"/>
  <c r="L2119" i="2"/>
  <c r="M2119" i="2"/>
  <c r="N2119" i="2"/>
  <c r="O2119" i="2"/>
  <c r="P2119" i="2"/>
  <c r="Q2119" i="2"/>
  <c r="R2119" i="2"/>
  <c r="S2119" i="2"/>
  <c r="T2119" i="2"/>
  <c r="U2119" i="2"/>
  <c r="V2119" i="2"/>
  <c r="W2119" i="2"/>
  <c r="X2119" i="2"/>
  <c r="Y2119" i="2"/>
  <c r="B2120" i="2"/>
  <c r="C2120" i="2"/>
  <c r="D2120" i="2"/>
  <c r="E2120" i="2"/>
  <c r="F2120" i="2"/>
  <c r="G2120" i="2"/>
  <c r="H2120" i="2"/>
  <c r="I2120" i="2"/>
  <c r="J2120" i="2"/>
  <c r="K2120" i="2"/>
  <c r="L2120" i="2"/>
  <c r="M2120" i="2"/>
  <c r="N2120" i="2"/>
  <c r="O2120" i="2"/>
  <c r="P2120" i="2"/>
  <c r="Q2120" i="2"/>
  <c r="R2120" i="2"/>
  <c r="S2120" i="2"/>
  <c r="T2120" i="2"/>
  <c r="U2120" i="2"/>
  <c r="V2120" i="2"/>
  <c r="W2120" i="2"/>
  <c r="X2120" i="2"/>
  <c r="Y2120" i="2"/>
  <c r="A2121" i="2"/>
  <c r="B2121" i="2"/>
  <c r="C2121" i="2"/>
  <c r="D2121" i="2"/>
  <c r="E2121" i="2"/>
  <c r="F2121" i="2"/>
  <c r="G2121" i="2"/>
  <c r="H2121" i="2"/>
  <c r="I2121" i="2"/>
  <c r="J2121" i="2"/>
  <c r="K2121" i="2"/>
  <c r="L2121" i="2"/>
  <c r="M2121" i="2"/>
  <c r="N2121" i="2"/>
  <c r="O2121" i="2"/>
  <c r="P2121" i="2"/>
  <c r="Q2121" i="2"/>
  <c r="R2121" i="2"/>
  <c r="S2121" i="2"/>
  <c r="T2121" i="2"/>
  <c r="U2121" i="2"/>
  <c r="V2121" i="2"/>
  <c r="W2121" i="2"/>
  <c r="X2121" i="2"/>
  <c r="Y2121" i="2"/>
  <c r="A2122" i="2"/>
  <c r="B2122" i="2"/>
  <c r="C2122" i="2"/>
  <c r="D2122" i="2"/>
  <c r="E2122" i="2"/>
  <c r="F2122" i="2"/>
  <c r="G2122" i="2"/>
  <c r="H2122" i="2"/>
  <c r="I2122" i="2"/>
  <c r="J2122" i="2"/>
  <c r="K2122" i="2"/>
  <c r="L2122" i="2"/>
  <c r="M2122" i="2"/>
  <c r="N2122" i="2"/>
  <c r="O2122" i="2"/>
  <c r="P2122" i="2"/>
  <c r="Q2122" i="2"/>
  <c r="R2122" i="2"/>
  <c r="S2122" i="2"/>
  <c r="T2122" i="2"/>
  <c r="U2122" i="2"/>
  <c r="V2122" i="2"/>
  <c r="W2122" i="2"/>
  <c r="X2122" i="2"/>
  <c r="Y2122" i="2"/>
  <c r="A2123" i="2"/>
  <c r="B2123" i="2"/>
  <c r="C2123" i="2"/>
  <c r="D2123" i="2"/>
  <c r="E2123" i="2"/>
  <c r="F2123" i="2"/>
  <c r="G2123" i="2"/>
  <c r="H2123" i="2"/>
  <c r="I2123" i="2"/>
  <c r="J2123" i="2"/>
  <c r="K2123" i="2"/>
  <c r="L2123" i="2"/>
  <c r="M2123" i="2"/>
  <c r="N2123" i="2"/>
  <c r="O2123" i="2"/>
  <c r="P2123" i="2"/>
  <c r="Q2123" i="2"/>
  <c r="R2123" i="2"/>
  <c r="S2123" i="2"/>
  <c r="T2123" i="2"/>
  <c r="U2123" i="2"/>
  <c r="V2123" i="2"/>
  <c r="W2123" i="2"/>
  <c r="X2123" i="2"/>
  <c r="Y2123" i="2"/>
  <c r="A2124" i="2"/>
  <c r="B2124" i="2"/>
  <c r="C2124" i="2"/>
  <c r="D2124" i="2"/>
  <c r="E2124" i="2"/>
  <c r="F2124" i="2"/>
  <c r="G2124" i="2"/>
  <c r="H2124" i="2"/>
  <c r="I2124" i="2"/>
  <c r="J2124" i="2"/>
  <c r="K2124" i="2"/>
  <c r="L2124" i="2"/>
  <c r="M2124" i="2"/>
  <c r="N2124" i="2"/>
  <c r="O2124" i="2"/>
  <c r="P2124" i="2"/>
  <c r="Q2124" i="2"/>
  <c r="R2124" i="2"/>
  <c r="S2124" i="2"/>
  <c r="T2124" i="2"/>
  <c r="U2124" i="2"/>
  <c r="V2124" i="2"/>
  <c r="W2124" i="2"/>
  <c r="X2124" i="2"/>
  <c r="Y2124" i="2"/>
  <c r="A2125" i="2"/>
  <c r="B2125" i="2"/>
  <c r="C2125" i="2"/>
  <c r="D2125" i="2"/>
  <c r="E2125" i="2"/>
  <c r="F2125" i="2"/>
  <c r="G2125" i="2"/>
  <c r="H2125" i="2"/>
  <c r="I2125" i="2"/>
  <c r="J2125" i="2"/>
  <c r="K2125" i="2"/>
  <c r="L2125" i="2"/>
  <c r="M2125" i="2"/>
  <c r="N2125" i="2"/>
  <c r="O2125" i="2"/>
  <c r="P2125" i="2"/>
  <c r="Q2125" i="2"/>
  <c r="R2125" i="2"/>
  <c r="S2125" i="2"/>
  <c r="T2125" i="2"/>
  <c r="U2125" i="2"/>
  <c r="V2125" i="2"/>
  <c r="W2125" i="2"/>
  <c r="X2125" i="2"/>
  <c r="Y2125" i="2"/>
  <c r="A2126" i="2"/>
  <c r="B2126" i="2"/>
  <c r="C2126" i="2"/>
  <c r="D2126" i="2"/>
  <c r="E2126" i="2"/>
  <c r="F2126" i="2"/>
  <c r="G2126" i="2"/>
  <c r="H2126" i="2"/>
  <c r="I2126" i="2"/>
  <c r="J2126" i="2"/>
  <c r="K2126" i="2"/>
  <c r="L2126" i="2"/>
  <c r="M2126" i="2"/>
  <c r="N2126" i="2"/>
  <c r="O2126" i="2"/>
  <c r="P2126" i="2"/>
  <c r="Q2126" i="2"/>
  <c r="R2126" i="2"/>
  <c r="S2126" i="2"/>
  <c r="T2126" i="2"/>
  <c r="U2126" i="2"/>
  <c r="V2126" i="2"/>
  <c r="W2126" i="2"/>
  <c r="X2126" i="2"/>
  <c r="Y2126" i="2"/>
  <c r="A2127" i="2"/>
  <c r="B2127" i="2"/>
  <c r="C2127" i="2"/>
  <c r="D2127" i="2"/>
  <c r="E2127" i="2"/>
  <c r="F2127" i="2"/>
  <c r="G2127" i="2"/>
  <c r="H2127" i="2"/>
  <c r="I2127" i="2"/>
  <c r="J2127" i="2"/>
  <c r="K2127" i="2"/>
  <c r="L2127" i="2"/>
  <c r="M2127" i="2"/>
  <c r="N2127" i="2"/>
  <c r="O2127" i="2"/>
  <c r="P2127" i="2"/>
  <c r="Q2127" i="2"/>
  <c r="R2127" i="2"/>
  <c r="S2127" i="2"/>
  <c r="T2127" i="2"/>
  <c r="U2127" i="2"/>
  <c r="V2127" i="2"/>
  <c r="W2127" i="2"/>
  <c r="X2127" i="2"/>
  <c r="Y2127" i="2"/>
  <c r="A2128" i="2"/>
  <c r="B2128" i="2"/>
  <c r="C2128" i="2"/>
  <c r="D2128" i="2"/>
  <c r="E2128" i="2"/>
  <c r="F2128" i="2"/>
  <c r="G2128" i="2"/>
  <c r="H2128" i="2"/>
  <c r="I2128" i="2"/>
  <c r="J2128" i="2"/>
  <c r="K2128" i="2"/>
  <c r="L2128" i="2"/>
  <c r="M2128" i="2"/>
  <c r="N2128" i="2"/>
  <c r="O2128" i="2"/>
  <c r="P2128" i="2"/>
  <c r="Q2128" i="2"/>
  <c r="R2128" i="2"/>
  <c r="S2128" i="2"/>
  <c r="T2128" i="2"/>
  <c r="U2128" i="2"/>
  <c r="V2128" i="2"/>
  <c r="W2128" i="2"/>
  <c r="X2128" i="2"/>
  <c r="Y2128" i="2"/>
  <c r="A2129" i="2"/>
  <c r="B2129" i="2"/>
  <c r="C2129" i="2"/>
  <c r="D2129" i="2"/>
  <c r="E2129" i="2"/>
  <c r="F2129" i="2"/>
  <c r="G2129" i="2"/>
  <c r="H2129" i="2"/>
  <c r="I2129" i="2"/>
  <c r="J2129" i="2"/>
  <c r="K2129" i="2"/>
  <c r="L2129" i="2"/>
  <c r="M2129" i="2"/>
  <c r="N2129" i="2"/>
  <c r="O2129" i="2"/>
  <c r="P2129" i="2"/>
  <c r="Q2129" i="2"/>
  <c r="R2129" i="2"/>
  <c r="S2129" i="2"/>
  <c r="T2129" i="2"/>
  <c r="U2129" i="2"/>
  <c r="V2129" i="2"/>
  <c r="W2129" i="2"/>
  <c r="X2129" i="2"/>
  <c r="Y2129" i="2"/>
  <c r="A2130" i="2"/>
  <c r="B2130" i="2"/>
  <c r="C2130" i="2"/>
  <c r="D2130" i="2"/>
  <c r="E2130" i="2"/>
  <c r="F2130" i="2"/>
  <c r="G2130" i="2"/>
  <c r="H2130" i="2"/>
  <c r="I2130" i="2"/>
  <c r="J2130" i="2"/>
  <c r="K2130" i="2"/>
  <c r="L2130" i="2"/>
  <c r="M2130" i="2"/>
  <c r="N2130" i="2"/>
  <c r="O2130" i="2"/>
  <c r="P2130" i="2"/>
  <c r="Q2130" i="2"/>
  <c r="R2130" i="2"/>
  <c r="S2130" i="2"/>
  <c r="T2130" i="2"/>
  <c r="U2130" i="2"/>
  <c r="V2130" i="2"/>
  <c r="W2130" i="2"/>
  <c r="X2130" i="2"/>
  <c r="Y2130" i="2"/>
  <c r="A2131" i="2"/>
  <c r="B2131" i="2"/>
  <c r="C2131" i="2"/>
  <c r="D2131" i="2"/>
  <c r="E2131" i="2"/>
  <c r="F2131" i="2"/>
  <c r="G2131" i="2"/>
  <c r="H2131" i="2"/>
  <c r="I2131" i="2"/>
  <c r="J2131" i="2"/>
  <c r="K2131" i="2"/>
  <c r="L2131" i="2"/>
  <c r="M2131" i="2"/>
  <c r="N2131" i="2"/>
  <c r="O2131" i="2"/>
  <c r="P2131" i="2"/>
  <c r="Q2131" i="2"/>
  <c r="R2131" i="2"/>
  <c r="S2131" i="2"/>
  <c r="T2131" i="2"/>
  <c r="U2131" i="2"/>
  <c r="V2131" i="2"/>
  <c r="W2131" i="2"/>
  <c r="X2131" i="2"/>
  <c r="Y2131" i="2"/>
  <c r="A2132" i="2"/>
  <c r="B2132" i="2"/>
  <c r="C2132" i="2"/>
  <c r="D2132" i="2"/>
  <c r="E2132" i="2"/>
  <c r="F2132" i="2"/>
  <c r="G2132" i="2"/>
  <c r="H2132" i="2"/>
  <c r="I2132" i="2"/>
  <c r="J2132" i="2"/>
  <c r="K2132" i="2"/>
  <c r="L2132" i="2"/>
  <c r="M2132" i="2"/>
  <c r="N2132" i="2"/>
  <c r="O2132" i="2"/>
  <c r="P2132" i="2"/>
  <c r="Q2132" i="2"/>
  <c r="R2132" i="2"/>
  <c r="S2132" i="2"/>
  <c r="T2132" i="2"/>
  <c r="U2132" i="2"/>
  <c r="V2132" i="2"/>
  <c r="W2132" i="2"/>
  <c r="X2132" i="2"/>
  <c r="Y2132" i="2"/>
  <c r="A2133" i="2"/>
  <c r="B2133" i="2"/>
  <c r="C2133" i="2"/>
  <c r="D2133" i="2"/>
  <c r="E2133" i="2"/>
  <c r="F2133" i="2"/>
  <c r="G2133" i="2"/>
  <c r="H2133" i="2"/>
  <c r="I2133" i="2"/>
  <c r="J2133" i="2"/>
  <c r="K2133" i="2"/>
  <c r="L2133" i="2"/>
  <c r="M2133" i="2"/>
  <c r="N2133" i="2"/>
  <c r="O2133" i="2"/>
  <c r="P2133" i="2"/>
  <c r="Q2133" i="2"/>
  <c r="R2133" i="2"/>
  <c r="S2133" i="2"/>
  <c r="T2133" i="2"/>
  <c r="U2133" i="2"/>
  <c r="V2133" i="2"/>
  <c r="W2133" i="2"/>
  <c r="X2133" i="2"/>
  <c r="Y2133" i="2"/>
  <c r="A2134" i="2"/>
  <c r="B2134" i="2"/>
  <c r="C2134" i="2"/>
  <c r="D2134" i="2"/>
  <c r="E2134" i="2"/>
  <c r="F2134" i="2"/>
  <c r="G2134" i="2"/>
  <c r="H2134" i="2"/>
  <c r="I2134" i="2"/>
  <c r="J2134" i="2"/>
  <c r="K2134" i="2"/>
  <c r="L2134" i="2"/>
  <c r="M2134" i="2"/>
  <c r="N2134" i="2"/>
  <c r="O2134" i="2"/>
  <c r="P2134" i="2"/>
  <c r="Q2134" i="2"/>
  <c r="R2134" i="2"/>
  <c r="S2134" i="2"/>
  <c r="T2134" i="2"/>
  <c r="U2134" i="2"/>
  <c r="V2134" i="2"/>
  <c r="W2134" i="2"/>
  <c r="X2134" i="2"/>
  <c r="Y2134" i="2"/>
  <c r="A2135" i="2"/>
  <c r="B2135" i="2"/>
  <c r="C2135" i="2"/>
  <c r="D2135" i="2"/>
  <c r="E2135" i="2"/>
  <c r="F2135" i="2"/>
  <c r="G2135" i="2"/>
  <c r="H2135" i="2"/>
  <c r="I2135" i="2"/>
  <c r="J2135" i="2"/>
  <c r="K2135" i="2"/>
  <c r="L2135" i="2"/>
  <c r="M2135" i="2"/>
  <c r="N2135" i="2"/>
  <c r="O2135" i="2"/>
  <c r="P2135" i="2"/>
  <c r="Q2135" i="2"/>
  <c r="R2135" i="2"/>
  <c r="S2135" i="2"/>
  <c r="T2135" i="2"/>
  <c r="U2135" i="2"/>
  <c r="V2135" i="2"/>
  <c r="W2135" i="2"/>
  <c r="X2135" i="2"/>
  <c r="Y2135" i="2"/>
  <c r="B2136" i="2"/>
  <c r="C2136" i="2"/>
  <c r="D2136" i="2"/>
  <c r="E2136" i="2"/>
  <c r="F2136" i="2"/>
  <c r="G2136" i="2"/>
  <c r="H2136" i="2"/>
  <c r="I2136" i="2"/>
  <c r="J2136" i="2"/>
  <c r="K2136" i="2"/>
  <c r="L2136" i="2"/>
  <c r="M2136" i="2"/>
  <c r="N2136" i="2"/>
  <c r="O2136" i="2"/>
  <c r="P2136" i="2"/>
  <c r="Q2136" i="2"/>
  <c r="R2136" i="2"/>
  <c r="S2136" i="2"/>
  <c r="T2136" i="2"/>
  <c r="U2136" i="2"/>
  <c r="V2136" i="2"/>
  <c r="W2136" i="2"/>
  <c r="X2136" i="2"/>
  <c r="Y2136" i="2"/>
  <c r="A2137" i="2"/>
  <c r="B2137" i="2"/>
  <c r="C2137" i="2"/>
  <c r="D2137" i="2"/>
  <c r="E2137" i="2"/>
  <c r="F2137" i="2"/>
  <c r="G2137" i="2"/>
  <c r="H2137" i="2"/>
  <c r="I2137" i="2"/>
  <c r="J2137" i="2"/>
  <c r="K2137" i="2"/>
  <c r="L2137" i="2"/>
  <c r="M2137" i="2"/>
  <c r="N2137" i="2"/>
  <c r="O2137" i="2"/>
  <c r="P2137" i="2"/>
  <c r="Q2137" i="2"/>
  <c r="R2137" i="2"/>
  <c r="S2137" i="2"/>
  <c r="T2137" i="2"/>
  <c r="U2137" i="2"/>
  <c r="V2137" i="2"/>
  <c r="W2137" i="2"/>
  <c r="X2137" i="2"/>
  <c r="Y2137" i="2"/>
  <c r="A2138" i="2"/>
  <c r="B2138" i="2"/>
  <c r="C2138" i="2"/>
  <c r="D2138" i="2"/>
  <c r="E2138" i="2"/>
  <c r="F2138" i="2"/>
  <c r="G2138" i="2"/>
  <c r="H2138" i="2"/>
  <c r="I2138" i="2"/>
  <c r="J2138" i="2"/>
  <c r="K2138" i="2"/>
  <c r="L2138" i="2"/>
  <c r="M2138" i="2"/>
  <c r="N2138" i="2"/>
  <c r="O2138" i="2"/>
  <c r="P2138" i="2"/>
  <c r="Q2138" i="2"/>
  <c r="R2138" i="2"/>
  <c r="S2138" i="2"/>
  <c r="T2138" i="2"/>
  <c r="U2138" i="2"/>
  <c r="V2138" i="2"/>
  <c r="W2138" i="2"/>
  <c r="X2138" i="2"/>
  <c r="Y2138" i="2"/>
  <c r="A2139" i="2"/>
  <c r="B2139" i="2"/>
  <c r="C2139" i="2"/>
  <c r="D2139" i="2"/>
  <c r="E2139" i="2"/>
  <c r="F2139" i="2"/>
  <c r="G2139" i="2"/>
  <c r="H2139" i="2"/>
  <c r="I2139" i="2"/>
  <c r="J2139" i="2"/>
  <c r="K2139" i="2"/>
  <c r="L2139" i="2"/>
  <c r="M2139" i="2"/>
  <c r="N2139" i="2"/>
  <c r="O2139" i="2"/>
  <c r="P2139" i="2"/>
  <c r="Q2139" i="2"/>
  <c r="R2139" i="2"/>
  <c r="S2139" i="2"/>
  <c r="T2139" i="2"/>
  <c r="U2139" i="2"/>
  <c r="V2139" i="2"/>
  <c r="W2139" i="2"/>
  <c r="X2139" i="2"/>
  <c r="Y2139" i="2"/>
  <c r="A2140" i="2"/>
  <c r="B2140" i="2"/>
  <c r="C2140" i="2"/>
  <c r="D2140" i="2"/>
  <c r="E2140" i="2"/>
  <c r="F2140" i="2"/>
  <c r="G2140" i="2"/>
  <c r="H2140" i="2"/>
  <c r="I2140" i="2"/>
  <c r="J2140" i="2"/>
  <c r="K2140" i="2"/>
  <c r="L2140" i="2"/>
  <c r="M2140" i="2"/>
  <c r="N2140" i="2"/>
  <c r="O2140" i="2"/>
  <c r="P2140" i="2"/>
  <c r="Q2140" i="2"/>
  <c r="R2140" i="2"/>
  <c r="S2140" i="2"/>
  <c r="T2140" i="2"/>
  <c r="U2140" i="2"/>
  <c r="V2140" i="2"/>
  <c r="W2140" i="2"/>
  <c r="X2140" i="2"/>
  <c r="Y2140" i="2"/>
  <c r="A2141" i="2"/>
  <c r="B2141" i="2"/>
  <c r="C2141" i="2"/>
  <c r="D2141" i="2"/>
  <c r="E2141" i="2"/>
  <c r="F2141" i="2"/>
  <c r="G2141" i="2"/>
  <c r="H2141" i="2"/>
  <c r="I2141" i="2"/>
  <c r="J2141" i="2"/>
  <c r="K2141" i="2"/>
  <c r="L2141" i="2"/>
  <c r="M2141" i="2"/>
  <c r="N2141" i="2"/>
  <c r="O2141" i="2"/>
  <c r="P2141" i="2"/>
  <c r="Q2141" i="2"/>
  <c r="R2141" i="2"/>
  <c r="S2141" i="2"/>
  <c r="T2141" i="2"/>
  <c r="U2141" i="2"/>
  <c r="V2141" i="2"/>
  <c r="W2141" i="2"/>
  <c r="X2141" i="2"/>
  <c r="Y2141" i="2"/>
  <c r="A2142" i="2"/>
  <c r="B2142" i="2"/>
  <c r="C2142" i="2"/>
  <c r="D2142" i="2"/>
  <c r="E2142" i="2"/>
  <c r="F2142" i="2"/>
  <c r="G2142" i="2"/>
  <c r="H2142" i="2"/>
  <c r="I2142" i="2"/>
  <c r="J2142" i="2"/>
  <c r="K2142" i="2"/>
  <c r="L2142" i="2"/>
  <c r="M2142" i="2"/>
  <c r="N2142" i="2"/>
  <c r="O2142" i="2"/>
  <c r="P2142" i="2"/>
  <c r="Q2142" i="2"/>
  <c r="R2142" i="2"/>
  <c r="S2142" i="2"/>
  <c r="T2142" i="2"/>
  <c r="U2142" i="2"/>
  <c r="V2142" i="2"/>
  <c r="W2142" i="2"/>
  <c r="X2142" i="2"/>
  <c r="Y2142" i="2"/>
  <c r="A2143" i="2"/>
  <c r="B2143" i="2"/>
  <c r="C2143" i="2"/>
  <c r="D2143" i="2"/>
  <c r="E2143" i="2"/>
  <c r="F2143" i="2"/>
  <c r="G2143" i="2"/>
  <c r="H2143" i="2"/>
  <c r="I2143" i="2"/>
  <c r="J2143" i="2"/>
  <c r="K2143" i="2"/>
  <c r="L2143" i="2"/>
  <c r="M2143" i="2"/>
  <c r="N2143" i="2"/>
  <c r="O2143" i="2"/>
  <c r="P2143" i="2"/>
  <c r="Q2143" i="2"/>
  <c r="R2143" i="2"/>
  <c r="S2143" i="2"/>
  <c r="T2143" i="2"/>
  <c r="U2143" i="2"/>
  <c r="V2143" i="2"/>
  <c r="W2143" i="2"/>
  <c r="X2143" i="2"/>
  <c r="Y2143" i="2"/>
  <c r="A2144" i="2"/>
  <c r="B2144" i="2"/>
  <c r="C2144" i="2"/>
  <c r="D2144" i="2"/>
  <c r="E2144" i="2"/>
  <c r="F2144" i="2"/>
  <c r="G2144" i="2"/>
  <c r="H2144" i="2"/>
  <c r="I2144" i="2"/>
  <c r="J2144" i="2"/>
  <c r="K2144" i="2"/>
  <c r="L2144" i="2"/>
  <c r="M2144" i="2"/>
  <c r="N2144" i="2"/>
  <c r="O2144" i="2"/>
  <c r="P2144" i="2"/>
  <c r="Q2144" i="2"/>
  <c r="R2144" i="2"/>
  <c r="S2144" i="2"/>
  <c r="T2144" i="2"/>
  <c r="U2144" i="2"/>
  <c r="V2144" i="2"/>
  <c r="W2144" i="2"/>
  <c r="X2144" i="2"/>
  <c r="Y2144" i="2"/>
  <c r="A2145" i="2"/>
  <c r="B2145" i="2"/>
  <c r="C2145" i="2"/>
  <c r="D2145" i="2"/>
  <c r="E2145" i="2"/>
  <c r="F2145" i="2"/>
  <c r="G2145" i="2"/>
  <c r="H2145" i="2"/>
  <c r="I2145" i="2"/>
  <c r="J2145" i="2"/>
  <c r="K2145" i="2"/>
  <c r="L2145" i="2"/>
  <c r="M2145" i="2"/>
  <c r="N2145" i="2"/>
  <c r="O2145" i="2"/>
  <c r="P2145" i="2"/>
  <c r="Q2145" i="2"/>
  <c r="R2145" i="2"/>
  <c r="S2145" i="2"/>
  <c r="T2145" i="2"/>
  <c r="U2145" i="2"/>
  <c r="V2145" i="2"/>
  <c r="W2145" i="2"/>
  <c r="X2145" i="2"/>
  <c r="Y2145" i="2"/>
  <c r="A2146" i="2"/>
  <c r="B2146" i="2"/>
  <c r="C2146" i="2"/>
  <c r="D2146" i="2"/>
  <c r="E2146" i="2"/>
  <c r="F2146" i="2"/>
  <c r="G2146" i="2"/>
  <c r="H2146" i="2"/>
  <c r="I2146" i="2"/>
  <c r="J2146" i="2"/>
  <c r="K2146" i="2"/>
  <c r="L2146" i="2"/>
  <c r="M2146" i="2"/>
  <c r="N2146" i="2"/>
  <c r="O2146" i="2"/>
  <c r="P2146" i="2"/>
  <c r="Q2146" i="2"/>
  <c r="R2146" i="2"/>
  <c r="S2146" i="2"/>
  <c r="T2146" i="2"/>
  <c r="U2146" i="2"/>
  <c r="V2146" i="2"/>
  <c r="W2146" i="2"/>
  <c r="X2146" i="2"/>
  <c r="Y2146" i="2"/>
  <c r="A2147" i="2"/>
  <c r="B2147" i="2"/>
  <c r="C2147" i="2"/>
  <c r="D2147" i="2"/>
  <c r="E2147" i="2"/>
  <c r="F2147" i="2"/>
  <c r="G2147" i="2"/>
  <c r="H2147" i="2"/>
  <c r="I2147" i="2"/>
  <c r="J2147" i="2"/>
  <c r="K2147" i="2"/>
  <c r="L2147" i="2"/>
  <c r="M2147" i="2"/>
  <c r="N2147" i="2"/>
  <c r="O2147" i="2"/>
  <c r="P2147" i="2"/>
  <c r="Q2147" i="2"/>
  <c r="R2147" i="2"/>
  <c r="S2147" i="2"/>
  <c r="T2147" i="2"/>
  <c r="U2147" i="2"/>
  <c r="V2147" i="2"/>
  <c r="W2147" i="2"/>
  <c r="X2147" i="2"/>
  <c r="Y2147" i="2"/>
  <c r="A2148" i="2"/>
  <c r="B2148" i="2"/>
  <c r="C2148" i="2"/>
  <c r="D2148" i="2"/>
  <c r="E2148" i="2"/>
  <c r="F2148" i="2"/>
  <c r="G2148" i="2"/>
  <c r="H2148" i="2"/>
  <c r="I2148" i="2"/>
  <c r="J2148" i="2"/>
  <c r="K2148" i="2"/>
  <c r="L2148" i="2"/>
  <c r="M2148" i="2"/>
  <c r="N2148" i="2"/>
  <c r="O2148" i="2"/>
  <c r="P2148" i="2"/>
  <c r="Q2148" i="2"/>
  <c r="R2148" i="2"/>
  <c r="S2148" i="2"/>
  <c r="T2148" i="2"/>
  <c r="U2148" i="2"/>
  <c r="V2148" i="2"/>
  <c r="W2148" i="2"/>
  <c r="X2148" i="2"/>
  <c r="Y2148" i="2"/>
  <c r="A2149" i="2"/>
  <c r="B2149" i="2"/>
  <c r="C2149" i="2"/>
  <c r="D2149" i="2"/>
  <c r="E2149" i="2"/>
  <c r="F2149" i="2"/>
  <c r="G2149" i="2"/>
  <c r="H2149" i="2"/>
  <c r="I2149" i="2"/>
  <c r="J2149" i="2"/>
  <c r="K2149" i="2"/>
  <c r="L2149" i="2"/>
  <c r="M2149" i="2"/>
  <c r="N2149" i="2"/>
  <c r="O2149" i="2"/>
  <c r="P2149" i="2"/>
  <c r="Q2149" i="2"/>
  <c r="R2149" i="2"/>
  <c r="S2149" i="2"/>
  <c r="T2149" i="2"/>
  <c r="U2149" i="2"/>
  <c r="V2149" i="2"/>
  <c r="W2149" i="2"/>
  <c r="X2149" i="2"/>
  <c r="Y2149" i="2"/>
  <c r="A2150" i="2"/>
  <c r="B2150" i="2"/>
  <c r="C2150" i="2"/>
  <c r="D2150" i="2"/>
  <c r="E2150" i="2"/>
  <c r="F2150" i="2"/>
  <c r="G2150" i="2"/>
  <c r="H2150" i="2"/>
  <c r="I2150" i="2"/>
  <c r="J2150" i="2"/>
  <c r="K2150" i="2"/>
  <c r="L2150" i="2"/>
  <c r="M2150" i="2"/>
  <c r="N2150" i="2"/>
  <c r="O2150" i="2"/>
  <c r="P2150" i="2"/>
  <c r="Q2150" i="2"/>
  <c r="R2150" i="2"/>
  <c r="S2150" i="2"/>
  <c r="T2150" i="2"/>
  <c r="U2150" i="2"/>
  <c r="V2150" i="2"/>
  <c r="W2150" i="2"/>
  <c r="X2150" i="2"/>
  <c r="Y2150" i="2"/>
  <c r="A2151" i="2"/>
  <c r="B2151" i="2"/>
  <c r="C2151" i="2"/>
  <c r="D2151" i="2"/>
  <c r="E2151" i="2"/>
  <c r="F2151" i="2"/>
  <c r="G2151" i="2"/>
  <c r="H2151" i="2"/>
  <c r="I2151" i="2"/>
  <c r="J2151" i="2"/>
  <c r="K2151" i="2"/>
  <c r="L2151" i="2"/>
  <c r="M2151" i="2"/>
  <c r="N2151" i="2"/>
  <c r="O2151" i="2"/>
  <c r="P2151" i="2"/>
  <c r="Q2151" i="2"/>
  <c r="R2151" i="2"/>
  <c r="S2151" i="2"/>
  <c r="T2151" i="2"/>
  <c r="U2151" i="2"/>
  <c r="V2151" i="2"/>
  <c r="W2151" i="2"/>
  <c r="X2151" i="2"/>
  <c r="Y2151" i="2"/>
  <c r="B2152" i="2"/>
  <c r="C2152" i="2"/>
  <c r="D2152" i="2"/>
  <c r="E2152" i="2"/>
  <c r="F2152" i="2"/>
  <c r="G2152" i="2"/>
  <c r="H2152" i="2"/>
  <c r="I2152" i="2"/>
  <c r="J2152" i="2"/>
  <c r="K2152" i="2"/>
  <c r="L2152" i="2"/>
  <c r="M2152" i="2"/>
  <c r="N2152" i="2"/>
  <c r="O2152" i="2"/>
  <c r="P2152" i="2"/>
  <c r="Q2152" i="2"/>
  <c r="R2152" i="2"/>
  <c r="S2152" i="2"/>
  <c r="T2152" i="2"/>
  <c r="U2152" i="2"/>
  <c r="V2152" i="2"/>
  <c r="W2152" i="2"/>
  <c r="X2152" i="2"/>
  <c r="Y2152" i="2"/>
  <c r="A2153" i="2"/>
  <c r="B2153" i="2"/>
  <c r="C2153" i="2"/>
  <c r="D2153" i="2"/>
  <c r="E2153" i="2"/>
  <c r="F2153" i="2"/>
  <c r="G2153" i="2"/>
  <c r="H2153" i="2"/>
  <c r="I2153" i="2"/>
  <c r="J2153" i="2"/>
  <c r="K2153" i="2"/>
  <c r="L2153" i="2"/>
  <c r="M2153" i="2"/>
  <c r="N2153" i="2"/>
  <c r="O2153" i="2"/>
  <c r="P2153" i="2"/>
  <c r="Q2153" i="2"/>
  <c r="R2153" i="2"/>
  <c r="S2153" i="2"/>
  <c r="T2153" i="2"/>
  <c r="U2153" i="2"/>
  <c r="V2153" i="2"/>
  <c r="W2153" i="2"/>
  <c r="X2153" i="2"/>
  <c r="Y2153" i="2"/>
  <c r="A2154" i="2"/>
  <c r="B2154" i="2"/>
  <c r="C2154" i="2"/>
  <c r="D2154" i="2"/>
  <c r="E2154" i="2"/>
  <c r="F2154" i="2"/>
  <c r="G2154" i="2"/>
  <c r="H2154" i="2"/>
  <c r="I2154" i="2"/>
  <c r="J2154" i="2"/>
  <c r="K2154" i="2"/>
  <c r="L2154" i="2"/>
  <c r="M2154" i="2"/>
  <c r="N2154" i="2"/>
  <c r="O2154" i="2"/>
  <c r="P2154" i="2"/>
  <c r="Q2154" i="2"/>
  <c r="R2154" i="2"/>
  <c r="S2154" i="2"/>
  <c r="T2154" i="2"/>
  <c r="U2154" i="2"/>
  <c r="V2154" i="2"/>
  <c r="W2154" i="2"/>
  <c r="X2154" i="2"/>
  <c r="Y2154" i="2"/>
  <c r="A2155" i="2"/>
  <c r="B2155" i="2"/>
  <c r="C2155" i="2"/>
  <c r="D2155" i="2"/>
  <c r="E2155" i="2"/>
  <c r="F2155" i="2"/>
  <c r="G2155" i="2"/>
  <c r="H2155" i="2"/>
  <c r="I2155" i="2"/>
  <c r="J2155" i="2"/>
  <c r="K2155" i="2"/>
  <c r="L2155" i="2"/>
  <c r="M2155" i="2"/>
  <c r="N2155" i="2"/>
  <c r="O2155" i="2"/>
  <c r="P2155" i="2"/>
  <c r="Q2155" i="2"/>
  <c r="R2155" i="2"/>
  <c r="S2155" i="2"/>
  <c r="T2155" i="2"/>
  <c r="U2155" i="2"/>
  <c r="V2155" i="2"/>
  <c r="W2155" i="2"/>
  <c r="X2155" i="2"/>
  <c r="Y2155" i="2"/>
  <c r="A2156" i="2"/>
  <c r="B2156" i="2"/>
  <c r="C2156" i="2"/>
  <c r="D2156" i="2"/>
  <c r="E2156" i="2"/>
  <c r="F2156" i="2"/>
  <c r="G2156" i="2"/>
  <c r="H2156" i="2"/>
  <c r="I2156" i="2"/>
  <c r="J2156" i="2"/>
  <c r="K2156" i="2"/>
  <c r="L2156" i="2"/>
  <c r="M2156" i="2"/>
  <c r="N2156" i="2"/>
  <c r="O2156" i="2"/>
  <c r="P2156" i="2"/>
  <c r="Q2156" i="2"/>
  <c r="R2156" i="2"/>
  <c r="S2156" i="2"/>
  <c r="T2156" i="2"/>
  <c r="U2156" i="2"/>
  <c r="V2156" i="2"/>
  <c r="W2156" i="2"/>
  <c r="X2156" i="2"/>
  <c r="Y2156" i="2"/>
  <c r="A2157" i="2"/>
  <c r="B2157" i="2"/>
  <c r="C2157" i="2"/>
  <c r="D2157" i="2"/>
  <c r="E2157" i="2"/>
  <c r="F2157" i="2"/>
  <c r="G2157" i="2"/>
  <c r="H2157" i="2"/>
  <c r="I2157" i="2"/>
  <c r="J2157" i="2"/>
  <c r="K2157" i="2"/>
  <c r="L2157" i="2"/>
  <c r="M2157" i="2"/>
  <c r="N2157" i="2"/>
  <c r="O2157" i="2"/>
  <c r="P2157" i="2"/>
  <c r="Q2157" i="2"/>
  <c r="R2157" i="2"/>
  <c r="S2157" i="2"/>
  <c r="T2157" i="2"/>
  <c r="U2157" i="2"/>
  <c r="V2157" i="2"/>
  <c r="W2157" i="2"/>
  <c r="X2157" i="2"/>
  <c r="Y2157" i="2"/>
  <c r="A2158" i="2"/>
  <c r="B2158" i="2"/>
  <c r="C2158" i="2"/>
  <c r="D2158" i="2"/>
  <c r="E2158" i="2"/>
  <c r="F2158" i="2"/>
  <c r="G2158" i="2"/>
  <c r="H2158" i="2"/>
  <c r="I2158" i="2"/>
  <c r="J2158" i="2"/>
  <c r="K2158" i="2"/>
  <c r="L2158" i="2"/>
  <c r="M2158" i="2"/>
  <c r="N2158" i="2"/>
  <c r="O2158" i="2"/>
  <c r="P2158" i="2"/>
  <c r="Q2158" i="2"/>
  <c r="R2158" i="2"/>
  <c r="S2158" i="2"/>
  <c r="T2158" i="2"/>
  <c r="U2158" i="2"/>
  <c r="V2158" i="2"/>
  <c r="W2158" i="2"/>
  <c r="X2158" i="2"/>
  <c r="Y2158" i="2"/>
  <c r="A2159" i="2"/>
  <c r="B2159" i="2"/>
  <c r="C2159" i="2"/>
  <c r="D2159" i="2"/>
  <c r="E2159" i="2"/>
  <c r="F2159" i="2"/>
  <c r="G2159" i="2"/>
  <c r="H2159" i="2"/>
  <c r="I2159" i="2"/>
  <c r="J2159" i="2"/>
  <c r="K2159" i="2"/>
  <c r="L2159" i="2"/>
  <c r="M2159" i="2"/>
  <c r="N2159" i="2"/>
  <c r="O2159" i="2"/>
  <c r="P2159" i="2"/>
  <c r="Q2159" i="2"/>
  <c r="R2159" i="2"/>
  <c r="S2159" i="2"/>
  <c r="T2159" i="2"/>
  <c r="U2159" i="2"/>
  <c r="V2159" i="2"/>
  <c r="W2159" i="2"/>
  <c r="X2159" i="2"/>
  <c r="Y2159" i="2"/>
  <c r="A2160" i="2"/>
  <c r="B2160" i="2"/>
  <c r="C2160" i="2"/>
  <c r="D2160" i="2"/>
  <c r="E2160" i="2"/>
  <c r="F2160" i="2"/>
  <c r="G2160" i="2"/>
  <c r="H2160" i="2"/>
  <c r="I2160" i="2"/>
  <c r="J2160" i="2"/>
  <c r="K2160" i="2"/>
  <c r="L2160" i="2"/>
  <c r="M2160" i="2"/>
  <c r="N2160" i="2"/>
  <c r="O2160" i="2"/>
  <c r="P2160" i="2"/>
  <c r="Q2160" i="2"/>
  <c r="R2160" i="2"/>
  <c r="S2160" i="2"/>
  <c r="T2160" i="2"/>
  <c r="U2160" i="2"/>
  <c r="V2160" i="2"/>
  <c r="W2160" i="2"/>
  <c r="X2160" i="2"/>
  <c r="Y2160" i="2"/>
  <c r="A2161" i="2"/>
  <c r="B2161" i="2"/>
  <c r="C2161" i="2"/>
  <c r="D2161" i="2"/>
  <c r="E2161" i="2"/>
  <c r="F2161" i="2"/>
  <c r="G2161" i="2"/>
  <c r="H2161" i="2"/>
  <c r="I2161" i="2"/>
  <c r="J2161" i="2"/>
  <c r="K2161" i="2"/>
  <c r="L2161" i="2"/>
  <c r="M2161" i="2"/>
  <c r="N2161" i="2"/>
  <c r="O2161" i="2"/>
  <c r="P2161" i="2"/>
  <c r="Q2161" i="2"/>
  <c r="R2161" i="2"/>
  <c r="S2161" i="2"/>
  <c r="T2161" i="2"/>
  <c r="U2161" i="2"/>
  <c r="V2161" i="2"/>
  <c r="W2161" i="2"/>
  <c r="X2161" i="2"/>
  <c r="Y2161" i="2"/>
  <c r="A2162" i="2"/>
  <c r="B2162" i="2"/>
  <c r="C2162" i="2"/>
  <c r="D2162" i="2"/>
  <c r="E2162" i="2"/>
  <c r="F2162" i="2"/>
  <c r="G2162" i="2"/>
  <c r="H2162" i="2"/>
  <c r="I2162" i="2"/>
  <c r="J2162" i="2"/>
  <c r="K2162" i="2"/>
  <c r="L2162" i="2"/>
  <c r="M2162" i="2"/>
  <c r="N2162" i="2"/>
  <c r="O2162" i="2"/>
  <c r="P2162" i="2"/>
  <c r="Q2162" i="2"/>
  <c r="R2162" i="2"/>
  <c r="S2162" i="2"/>
  <c r="T2162" i="2"/>
  <c r="U2162" i="2"/>
  <c r="V2162" i="2"/>
  <c r="W2162" i="2"/>
  <c r="X2162" i="2"/>
  <c r="Y2162" i="2"/>
  <c r="A2163" i="2"/>
  <c r="B2163" i="2"/>
  <c r="C2163" i="2"/>
  <c r="D2163" i="2"/>
  <c r="E2163" i="2"/>
  <c r="F2163" i="2"/>
  <c r="G2163" i="2"/>
  <c r="H2163" i="2"/>
  <c r="I2163" i="2"/>
  <c r="J2163" i="2"/>
  <c r="K2163" i="2"/>
  <c r="L2163" i="2"/>
  <c r="M2163" i="2"/>
  <c r="N2163" i="2"/>
  <c r="O2163" i="2"/>
  <c r="P2163" i="2"/>
  <c r="Q2163" i="2"/>
  <c r="R2163" i="2"/>
  <c r="S2163" i="2"/>
  <c r="T2163" i="2"/>
  <c r="U2163" i="2"/>
  <c r="V2163" i="2"/>
  <c r="W2163" i="2"/>
  <c r="X2163" i="2"/>
  <c r="Y2163" i="2"/>
  <c r="A2164" i="2"/>
  <c r="B2164" i="2"/>
  <c r="C2164" i="2"/>
  <c r="D2164" i="2"/>
  <c r="E2164" i="2"/>
  <c r="F2164" i="2"/>
  <c r="G2164" i="2"/>
  <c r="H2164" i="2"/>
  <c r="I2164" i="2"/>
  <c r="J2164" i="2"/>
  <c r="K2164" i="2"/>
  <c r="L2164" i="2"/>
  <c r="M2164" i="2"/>
  <c r="N2164" i="2"/>
  <c r="O2164" i="2"/>
  <c r="P2164" i="2"/>
  <c r="Q2164" i="2"/>
  <c r="R2164" i="2"/>
  <c r="S2164" i="2"/>
  <c r="T2164" i="2"/>
  <c r="U2164" i="2"/>
  <c r="V2164" i="2"/>
  <c r="W2164" i="2"/>
  <c r="X2164" i="2"/>
  <c r="Y2164" i="2"/>
  <c r="A2165" i="2"/>
  <c r="B2165" i="2"/>
  <c r="C2165" i="2"/>
  <c r="D2165" i="2"/>
  <c r="E2165" i="2"/>
  <c r="F2165" i="2"/>
  <c r="G2165" i="2"/>
  <c r="H2165" i="2"/>
  <c r="I2165" i="2"/>
  <c r="J2165" i="2"/>
  <c r="K2165" i="2"/>
  <c r="L2165" i="2"/>
  <c r="M2165" i="2"/>
  <c r="N2165" i="2"/>
  <c r="O2165" i="2"/>
  <c r="P2165" i="2"/>
  <c r="Q2165" i="2"/>
  <c r="R2165" i="2"/>
  <c r="S2165" i="2"/>
  <c r="T2165" i="2"/>
  <c r="U2165" i="2"/>
  <c r="V2165" i="2"/>
  <c r="W2165" i="2"/>
  <c r="X2165" i="2"/>
  <c r="Y2165" i="2"/>
  <c r="A2166" i="2"/>
  <c r="B2166" i="2"/>
  <c r="C2166" i="2"/>
  <c r="D2166" i="2"/>
  <c r="E2166" i="2"/>
  <c r="F2166" i="2"/>
  <c r="G2166" i="2"/>
  <c r="H2166" i="2"/>
  <c r="I2166" i="2"/>
  <c r="J2166" i="2"/>
  <c r="K2166" i="2"/>
  <c r="L2166" i="2"/>
  <c r="M2166" i="2"/>
  <c r="N2166" i="2"/>
  <c r="O2166" i="2"/>
  <c r="P2166" i="2"/>
  <c r="Q2166" i="2"/>
  <c r="R2166" i="2"/>
  <c r="S2166" i="2"/>
  <c r="T2166" i="2"/>
  <c r="U2166" i="2"/>
  <c r="V2166" i="2"/>
  <c r="W2166" i="2"/>
  <c r="X2166" i="2"/>
  <c r="Y2166" i="2"/>
  <c r="A2167" i="2"/>
  <c r="B2167" i="2"/>
  <c r="C2167" i="2"/>
  <c r="D2167" i="2"/>
  <c r="E2167" i="2"/>
  <c r="F2167" i="2"/>
  <c r="G2167" i="2"/>
  <c r="H2167" i="2"/>
  <c r="I2167" i="2"/>
  <c r="J2167" i="2"/>
  <c r="K2167" i="2"/>
  <c r="L2167" i="2"/>
  <c r="M2167" i="2"/>
  <c r="N2167" i="2"/>
  <c r="O2167" i="2"/>
  <c r="P2167" i="2"/>
  <c r="Q2167" i="2"/>
  <c r="R2167" i="2"/>
  <c r="S2167" i="2"/>
  <c r="T2167" i="2"/>
  <c r="U2167" i="2"/>
  <c r="V2167" i="2"/>
  <c r="W2167" i="2"/>
  <c r="X2167" i="2"/>
  <c r="Y2167" i="2"/>
  <c r="B2168" i="2"/>
  <c r="C2168" i="2"/>
  <c r="D2168" i="2"/>
  <c r="E2168" i="2"/>
  <c r="F2168" i="2"/>
  <c r="G2168" i="2"/>
  <c r="H2168" i="2"/>
  <c r="I2168" i="2"/>
  <c r="J2168" i="2"/>
  <c r="K2168" i="2"/>
  <c r="L2168" i="2"/>
  <c r="M2168" i="2"/>
  <c r="N2168" i="2"/>
  <c r="O2168" i="2"/>
  <c r="P2168" i="2"/>
  <c r="Q2168" i="2"/>
  <c r="R2168" i="2"/>
  <c r="S2168" i="2"/>
  <c r="T2168" i="2"/>
  <c r="U2168" i="2"/>
  <c r="V2168" i="2"/>
  <c r="W2168" i="2"/>
  <c r="X2168" i="2"/>
  <c r="Y2168" i="2"/>
  <c r="A2169" i="2"/>
  <c r="B2169" i="2"/>
  <c r="C2169" i="2"/>
  <c r="D2169" i="2"/>
  <c r="E2169" i="2"/>
  <c r="F2169" i="2"/>
  <c r="G2169" i="2"/>
  <c r="H2169" i="2"/>
  <c r="I2169" i="2"/>
  <c r="J2169" i="2"/>
  <c r="K2169" i="2"/>
  <c r="L2169" i="2"/>
  <c r="M2169" i="2"/>
  <c r="N2169" i="2"/>
  <c r="O2169" i="2"/>
  <c r="P2169" i="2"/>
  <c r="Q2169" i="2"/>
  <c r="R2169" i="2"/>
  <c r="S2169" i="2"/>
  <c r="T2169" i="2"/>
  <c r="U2169" i="2"/>
  <c r="V2169" i="2"/>
  <c r="W2169" i="2"/>
  <c r="X2169" i="2"/>
  <c r="Y2169" i="2"/>
  <c r="A2170" i="2"/>
  <c r="B2170" i="2"/>
  <c r="C2170" i="2"/>
  <c r="D2170" i="2"/>
  <c r="E2170" i="2"/>
  <c r="F2170" i="2"/>
  <c r="G2170" i="2"/>
  <c r="H2170" i="2"/>
  <c r="I2170" i="2"/>
  <c r="J2170" i="2"/>
  <c r="K2170" i="2"/>
  <c r="L2170" i="2"/>
  <c r="M2170" i="2"/>
  <c r="N2170" i="2"/>
  <c r="O2170" i="2"/>
  <c r="P2170" i="2"/>
  <c r="Q2170" i="2"/>
  <c r="R2170" i="2"/>
  <c r="S2170" i="2"/>
  <c r="T2170" i="2"/>
  <c r="U2170" i="2"/>
  <c r="V2170" i="2"/>
  <c r="W2170" i="2"/>
  <c r="X2170" i="2"/>
  <c r="Y2170" i="2"/>
  <c r="A2171" i="2"/>
  <c r="B2171" i="2"/>
  <c r="C2171" i="2"/>
  <c r="D2171" i="2"/>
  <c r="E2171" i="2"/>
  <c r="F2171" i="2"/>
  <c r="G2171" i="2"/>
  <c r="H2171" i="2"/>
  <c r="I2171" i="2"/>
  <c r="J2171" i="2"/>
  <c r="K2171" i="2"/>
  <c r="L2171" i="2"/>
  <c r="M2171" i="2"/>
  <c r="N2171" i="2"/>
  <c r="O2171" i="2"/>
  <c r="P2171" i="2"/>
  <c r="Q2171" i="2"/>
  <c r="R2171" i="2"/>
  <c r="S2171" i="2"/>
  <c r="T2171" i="2"/>
  <c r="U2171" i="2"/>
  <c r="V2171" i="2"/>
  <c r="W2171" i="2"/>
  <c r="X2171" i="2"/>
  <c r="Y2171" i="2"/>
  <c r="A2172" i="2"/>
  <c r="B2172" i="2"/>
  <c r="C2172" i="2"/>
  <c r="D2172" i="2"/>
  <c r="E2172" i="2"/>
  <c r="F2172" i="2"/>
  <c r="G2172" i="2"/>
  <c r="H2172" i="2"/>
  <c r="I2172" i="2"/>
  <c r="J2172" i="2"/>
  <c r="K2172" i="2"/>
  <c r="L2172" i="2"/>
  <c r="M2172" i="2"/>
  <c r="N2172" i="2"/>
  <c r="O2172" i="2"/>
  <c r="P2172" i="2"/>
  <c r="Q2172" i="2"/>
  <c r="R2172" i="2"/>
  <c r="S2172" i="2"/>
  <c r="T2172" i="2"/>
  <c r="U2172" i="2"/>
  <c r="V2172" i="2"/>
  <c r="W2172" i="2"/>
  <c r="X2172" i="2"/>
  <c r="Y2172" i="2"/>
  <c r="A2173" i="2"/>
  <c r="B2173" i="2"/>
  <c r="C2173" i="2"/>
  <c r="D2173" i="2"/>
  <c r="E2173" i="2"/>
  <c r="F2173" i="2"/>
  <c r="G2173" i="2"/>
  <c r="H2173" i="2"/>
  <c r="I2173" i="2"/>
  <c r="J2173" i="2"/>
  <c r="K2173" i="2"/>
  <c r="L2173" i="2"/>
  <c r="M2173" i="2"/>
  <c r="N2173" i="2"/>
  <c r="O2173" i="2"/>
  <c r="P2173" i="2"/>
  <c r="Q2173" i="2"/>
  <c r="R2173" i="2"/>
  <c r="S2173" i="2"/>
  <c r="T2173" i="2"/>
  <c r="U2173" i="2"/>
  <c r="V2173" i="2"/>
  <c r="W2173" i="2"/>
  <c r="X2173" i="2"/>
  <c r="Y2173" i="2"/>
  <c r="A2174" i="2"/>
  <c r="B2174" i="2"/>
  <c r="C2174" i="2"/>
  <c r="D2174" i="2"/>
  <c r="E2174" i="2"/>
  <c r="F2174" i="2"/>
  <c r="G2174" i="2"/>
  <c r="H2174" i="2"/>
  <c r="I2174" i="2"/>
  <c r="J2174" i="2"/>
  <c r="K2174" i="2"/>
  <c r="L2174" i="2"/>
  <c r="M2174" i="2"/>
  <c r="N2174" i="2"/>
  <c r="O2174" i="2"/>
  <c r="P2174" i="2"/>
  <c r="Q2174" i="2"/>
  <c r="R2174" i="2"/>
  <c r="S2174" i="2"/>
  <c r="T2174" i="2"/>
  <c r="U2174" i="2"/>
  <c r="V2174" i="2"/>
  <c r="W2174" i="2"/>
  <c r="X2174" i="2"/>
  <c r="Y2174" i="2"/>
  <c r="A2175" i="2"/>
  <c r="B2175" i="2"/>
  <c r="C2175" i="2"/>
  <c r="D2175" i="2"/>
  <c r="E2175" i="2"/>
  <c r="F2175" i="2"/>
  <c r="G2175" i="2"/>
  <c r="H2175" i="2"/>
  <c r="I2175" i="2"/>
  <c r="J2175" i="2"/>
  <c r="K2175" i="2"/>
  <c r="L2175" i="2"/>
  <c r="M2175" i="2"/>
  <c r="N2175" i="2"/>
  <c r="O2175" i="2"/>
  <c r="P2175" i="2"/>
  <c r="Q2175" i="2"/>
  <c r="R2175" i="2"/>
  <c r="S2175" i="2"/>
  <c r="T2175" i="2"/>
  <c r="U2175" i="2"/>
  <c r="V2175" i="2"/>
  <c r="W2175" i="2"/>
  <c r="X2175" i="2"/>
  <c r="Y2175" i="2"/>
  <c r="A2176" i="2"/>
  <c r="B2176" i="2"/>
  <c r="C2176" i="2"/>
  <c r="D2176" i="2"/>
  <c r="E2176" i="2"/>
  <c r="F2176" i="2"/>
  <c r="G2176" i="2"/>
  <c r="H2176" i="2"/>
  <c r="I2176" i="2"/>
  <c r="J2176" i="2"/>
  <c r="K2176" i="2"/>
  <c r="L2176" i="2"/>
  <c r="M2176" i="2"/>
  <c r="N2176" i="2"/>
  <c r="O2176" i="2"/>
  <c r="P2176" i="2"/>
  <c r="Q2176" i="2"/>
  <c r="R2176" i="2"/>
  <c r="S2176" i="2"/>
  <c r="T2176" i="2"/>
  <c r="U2176" i="2"/>
  <c r="V2176" i="2"/>
  <c r="W2176" i="2"/>
  <c r="X2176" i="2"/>
  <c r="Y2176" i="2"/>
  <c r="A2177" i="2"/>
  <c r="B2177" i="2"/>
  <c r="C2177" i="2"/>
  <c r="D2177" i="2"/>
  <c r="E2177" i="2"/>
  <c r="F2177" i="2"/>
  <c r="G2177" i="2"/>
  <c r="H2177" i="2"/>
  <c r="I2177" i="2"/>
  <c r="J2177" i="2"/>
  <c r="K2177" i="2"/>
  <c r="L2177" i="2"/>
  <c r="M2177" i="2"/>
  <c r="N2177" i="2"/>
  <c r="O2177" i="2"/>
  <c r="P2177" i="2"/>
  <c r="Q2177" i="2"/>
  <c r="R2177" i="2"/>
  <c r="S2177" i="2"/>
  <c r="T2177" i="2"/>
  <c r="U2177" i="2"/>
  <c r="V2177" i="2"/>
  <c r="W2177" i="2"/>
  <c r="X2177" i="2"/>
  <c r="Y2177" i="2"/>
  <c r="A2178" i="2"/>
  <c r="B2178" i="2"/>
  <c r="C2178" i="2"/>
  <c r="D2178" i="2"/>
  <c r="E2178" i="2"/>
  <c r="F2178" i="2"/>
  <c r="G2178" i="2"/>
  <c r="H2178" i="2"/>
  <c r="I2178" i="2"/>
  <c r="J2178" i="2"/>
  <c r="K2178" i="2"/>
  <c r="L2178" i="2"/>
  <c r="M2178" i="2"/>
  <c r="N2178" i="2"/>
  <c r="O2178" i="2"/>
  <c r="P2178" i="2"/>
  <c r="Q2178" i="2"/>
  <c r="R2178" i="2"/>
  <c r="S2178" i="2"/>
  <c r="T2178" i="2"/>
  <c r="U2178" i="2"/>
  <c r="V2178" i="2"/>
  <c r="W2178" i="2"/>
  <c r="X2178" i="2"/>
  <c r="Y2178" i="2"/>
  <c r="A2179" i="2"/>
  <c r="B2179" i="2"/>
  <c r="C2179" i="2"/>
  <c r="D2179" i="2"/>
  <c r="E2179" i="2"/>
  <c r="F2179" i="2"/>
  <c r="G2179" i="2"/>
  <c r="H2179" i="2"/>
  <c r="I2179" i="2"/>
  <c r="J2179" i="2"/>
  <c r="K2179" i="2"/>
  <c r="L2179" i="2"/>
  <c r="M2179" i="2"/>
  <c r="N2179" i="2"/>
  <c r="O2179" i="2"/>
  <c r="P2179" i="2"/>
  <c r="Q2179" i="2"/>
  <c r="R2179" i="2"/>
  <c r="S2179" i="2"/>
  <c r="T2179" i="2"/>
  <c r="U2179" i="2"/>
  <c r="V2179" i="2"/>
  <c r="W2179" i="2"/>
  <c r="X2179" i="2"/>
  <c r="Y2179" i="2"/>
  <c r="A2180" i="2"/>
  <c r="B2180" i="2"/>
  <c r="C2180" i="2"/>
  <c r="D2180" i="2"/>
  <c r="E2180" i="2"/>
  <c r="F2180" i="2"/>
  <c r="G2180" i="2"/>
  <c r="H2180" i="2"/>
  <c r="I2180" i="2"/>
  <c r="J2180" i="2"/>
  <c r="K2180" i="2"/>
  <c r="L2180" i="2"/>
  <c r="M2180" i="2"/>
  <c r="N2180" i="2"/>
  <c r="O2180" i="2"/>
  <c r="P2180" i="2"/>
  <c r="Q2180" i="2"/>
  <c r="R2180" i="2"/>
  <c r="S2180" i="2"/>
  <c r="T2180" i="2"/>
  <c r="U2180" i="2"/>
  <c r="V2180" i="2"/>
  <c r="W2180" i="2"/>
  <c r="X2180" i="2"/>
  <c r="Y2180" i="2"/>
  <c r="A2181" i="2"/>
  <c r="B2181" i="2"/>
  <c r="C2181" i="2"/>
  <c r="D2181" i="2"/>
  <c r="E2181" i="2"/>
  <c r="F2181" i="2"/>
  <c r="G2181" i="2"/>
  <c r="H2181" i="2"/>
  <c r="I2181" i="2"/>
  <c r="J2181" i="2"/>
  <c r="K2181" i="2"/>
  <c r="L2181" i="2"/>
  <c r="M2181" i="2"/>
  <c r="N2181" i="2"/>
  <c r="O2181" i="2"/>
  <c r="P2181" i="2"/>
  <c r="Q2181" i="2"/>
  <c r="R2181" i="2"/>
  <c r="S2181" i="2"/>
  <c r="T2181" i="2"/>
  <c r="U2181" i="2"/>
  <c r="V2181" i="2"/>
  <c r="W2181" i="2"/>
  <c r="X2181" i="2"/>
  <c r="Y2181" i="2"/>
  <c r="A2182" i="2"/>
  <c r="B2182" i="2"/>
  <c r="C2182" i="2"/>
  <c r="D2182" i="2"/>
  <c r="E2182" i="2"/>
  <c r="F2182" i="2"/>
  <c r="G2182" i="2"/>
  <c r="H2182" i="2"/>
  <c r="I2182" i="2"/>
  <c r="J2182" i="2"/>
  <c r="K2182" i="2"/>
  <c r="L2182" i="2"/>
  <c r="M2182" i="2"/>
  <c r="N2182" i="2"/>
  <c r="O2182" i="2"/>
  <c r="P2182" i="2"/>
  <c r="Q2182" i="2"/>
  <c r="R2182" i="2"/>
  <c r="S2182" i="2"/>
  <c r="T2182" i="2"/>
  <c r="U2182" i="2"/>
  <c r="V2182" i="2"/>
  <c r="W2182" i="2"/>
  <c r="X2182" i="2"/>
  <c r="Y2182" i="2"/>
  <c r="A2183" i="2"/>
  <c r="B2183" i="2"/>
  <c r="C2183" i="2"/>
  <c r="D2183" i="2"/>
  <c r="E2183" i="2"/>
  <c r="F2183" i="2"/>
  <c r="G2183" i="2"/>
  <c r="H2183" i="2"/>
  <c r="I2183" i="2"/>
  <c r="J2183" i="2"/>
  <c r="K2183" i="2"/>
  <c r="L2183" i="2"/>
  <c r="M2183" i="2"/>
  <c r="N2183" i="2"/>
  <c r="O2183" i="2"/>
  <c r="P2183" i="2"/>
  <c r="Q2183" i="2"/>
  <c r="R2183" i="2"/>
  <c r="S2183" i="2"/>
  <c r="T2183" i="2"/>
  <c r="U2183" i="2"/>
  <c r="V2183" i="2"/>
  <c r="W2183" i="2"/>
  <c r="X2183" i="2"/>
  <c r="Y2183" i="2"/>
  <c r="B2184" i="2"/>
  <c r="C2184" i="2"/>
  <c r="D2184" i="2"/>
  <c r="E2184" i="2"/>
  <c r="F2184" i="2"/>
  <c r="G2184" i="2"/>
  <c r="H2184" i="2"/>
  <c r="I2184" i="2"/>
  <c r="J2184" i="2"/>
  <c r="K2184" i="2"/>
  <c r="L2184" i="2"/>
  <c r="M2184" i="2"/>
  <c r="N2184" i="2"/>
  <c r="O2184" i="2"/>
  <c r="P2184" i="2"/>
  <c r="Q2184" i="2"/>
  <c r="R2184" i="2"/>
  <c r="S2184" i="2"/>
  <c r="T2184" i="2"/>
  <c r="U2184" i="2"/>
  <c r="V2184" i="2"/>
  <c r="W2184" i="2"/>
  <c r="X2184" i="2"/>
  <c r="Y2184" i="2"/>
  <c r="A2185" i="2"/>
  <c r="B2185" i="2"/>
  <c r="C2185" i="2"/>
  <c r="D2185" i="2"/>
  <c r="E2185" i="2"/>
  <c r="F2185" i="2"/>
  <c r="G2185" i="2"/>
  <c r="H2185" i="2"/>
  <c r="I2185" i="2"/>
  <c r="J2185" i="2"/>
  <c r="K2185" i="2"/>
  <c r="L2185" i="2"/>
  <c r="M2185" i="2"/>
  <c r="N2185" i="2"/>
  <c r="O2185" i="2"/>
  <c r="P2185" i="2"/>
  <c r="Q2185" i="2"/>
  <c r="R2185" i="2"/>
  <c r="S2185" i="2"/>
  <c r="T2185" i="2"/>
  <c r="U2185" i="2"/>
  <c r="V2185" i="2"/>
  <c r="W2185" i="2"/>
  <c r="X2185" i="2"/>
  <c r="Y2185" i="2"/>
  <c r="A2186" i="2"/>
  <c r="B2186" i="2"/>
  <c r="C2186" i="2"/>
  <c r="D2186" i="2"/>
  <c r="E2186" i="2"/>
  <c r="F2186" i="2"/>
  <c r="G2186" i="2"/>
  <c r="H2186" i="2"/>
  <c r="I2186" i="2"/>
  <c r="J2186" i="2"/>
  <c r="K2186" i="2"/>
  <c r="L2186" i="2"/>
  <c r="M2186" i="2"/>
  <c r="N2186" i="2"/>
  <c r="O2186" i="2"/>
  <c r="P2186" i="2"/>
  <c r="Q2186" i="2"/>
  <c r="R2186" i="2"/>
  <c r="S2186" i="2"/>
  <c r="T2186" i="2"/>
  <c r="U2186" i="2"/>
  <c r="V2186" i="2"/>
  <c r="W2186" i="2"/>
  <c r="X2186" i="2"/>
  <c r="Y2186" i="2"/>
  <c r="A2187" i="2"/>
  <c r="B2187" i="2"/>
  <c r="C2187" i="2"/>
  <c r="D2187" i="2"/>
  <c r="E2187" i="2"/>
  <c r="F2187" i="2"/>
  <c r="G2187" i="2"/>
  <c r="H2187" i="2"/>
  <c r="I2187" i="2"/>
  <c r="J2187" i="2"/>
  <c r="K2187" i="2"/>
  <c r="L2187" i="2"/>
  <c r="M2187" i="2"/>
  <c r="N2187" i="2"/>
  <c r="O2187" i="2"/>
  <c r="P2187" i="2"/>
  <c r="Q2187" i="2"/>
  <c r="R2187" i="2"/>
  <c r="S2187" i="2"/>
  <c r="T2187" i="2"/>
  <c r="U2187" i="2"/>
  <c r="V2187" i="2"/>
  <c r="W2187" i="2"/>
  <c r="X2187" i="2"/>
  <c r="Y2187" i="2"/>
  <c r="A2188" i="2"/>
  <c r="B2188" i="2"/>
  <c r="C2188" i="2"/>
  <c r="D2188" i="2"/>
  <c r="E2188" i="2"/>
  <c r="F2188" i="2"/>
  <c r="G2188" i="2"/>
  <c r="H2188" i="2"/>
  <c r="I2188" i="2"/>
  <c r="J2188" i="2"/>
  <c r="K2188" i="2"/>
  <c r="L2188" i="2"/>
  <c r="M2188" i="2"/>
  <c r="N2188" i="2"/>
  <c r="O2188" i="2"/>
  <c r="P2188" i="2"/>
  <c r="Q2188" i="2"/>
  <c r="R2188" i="2"/>
  <c r="S2188" i="2"/>
  <c r="T2188" i="2"/>
  <c r="U2188" i="2"/>
  <c r="V2188" i="2"/>
  <c r="W2188" i="2"/>
  <c r="X2188" i="2"/>
  <c r="Y2188" i="2"/>
  <c r="A2189" i="2"/>
  <c r="B2189" i="2"/>
  <c r="C2189" i="2"/>
  <c r="D2189" i="2"/>
  <c r="E2189" i="2"/>
  <c r="F2189" i="2"/>
  <c r="G2189" i="2"/>
  <c r="H2189" i="2"/>
  <c r="I2189" i="2"/>
  <c r="J2189" i="2"/>
  <c r="K2189" i="2"/>
  <c r="L2189" i="2"/>
  <c r="M2189" i="2"/>
  <c r="N2189" i="2"/>
  <c r="O2189" i="2"/>
  <c r="P2189" i="2"/>
  <c r="Q2189" i="2"/>
  <c r="R2189" i="2"/>
  <c r="S2189" i="2"/>
  <c r="T2189" i="2"/>
  <c r="U2189" i="2"/>
  <c r="V2189" i="2"/>
  <c r="W2189" i="2"/>
  <c r="X2189" i="2"/>
  <c r="Y2189" i="2"/>
  <c r="A2190" i="2"/>
  <c r="B2190" i="2"/>
  <c r="C2190" i="2"/>
  <c r="D2190" i="2"/>
  <c r="E2190" i="2"/>
  <c r="F2190" i="2"/>
  <c r="G2190" i="2"/>
  <c r="H2190" i="2"/>
  <c r="I2190" i="2"/>
  <c r="J2190" i="2"/>
  <c r="K2190" i="2"/>
  <c r="L2190" i="2"/>
  <c r="M2190" i="2"/>
  <c r="N2190" i="2"/>
  <c r="O2190" i="2"/>
  <c r="P2190" i="2"/>
  <c r="Q2190" i="2"/>
  <c r="R2190" i="2"/>
  <c r="S2190" i="2"/>
  <c r="T2190" i="2"/>
  <c r="U2190" i="2"/>
  <c r="V2190" i="2"/>
  <c r="W2190" i="2"/>
  <c r="X2190" i="2"/>
  <c r="Y2190" i="2"/>
  <c r="A2191" i="2"/>
  <c r="B2191" i="2"/>
  <c r="C2191" i="2"/>
  <c r="D2191" i="2"/>
  <c r="E2191" i="2"/>
  <c r="F2191" i="2"/>
  <c r="G2191" i="2"/>
  <c r="H2191" i="2"/>
  <c r="I2191" i="2"/>
  <c r="J2191" i="2"/>
  <c r="K2191" i="2"/>
  <c r="L2191" i="2"/>
  <c r="M2191" i="2"/>
  <c r="N2191" i="2"/>
  <c r="O2191" i="2"/>
  <c r="P2191" i="2"/>
  <c r="Q2191" i="2"/>
  <c r="R2191" i="2"/>
  <c r="S2191" i="2"/>
  <c r="T2191" i="2"/>
  <c r="U2191" i="2"/>
  <c r="V2191" i="2"/>
  <c r="W2191" i="2"/>
  <c r="X2191" i="2"/>
  <c r="Y2191" i="2"/>
  <c r="A2192" i="2"/>
  <c r="B2192" i="2"/>
  <c r="C2192" i="2"/>
  <c r="D2192" i="2"/>
  <c r="E2192" i="2"/>
  <c r="F2192" i="2"/>
  <c r="G2192" i="2"/>
  <c r="H2192" i="2"/>
  <c r="I2192" i="2"/>
  <c r="J2192" i="2"/>
  <c r="K2192" i="2"/>
  <c r="L2192" i="2"/>
  <c r="M2192" i="2"/>
  <c r="N2192" i="2"/>
  <c r="O2192" i="2"/>
  <c r="P2192" i="2"/>
  <c r="Q2192" i="2"/>
  <c r="R2192" i="2"/>
  <c r="S2192" i="2"/>
  <c r="T2192" i="2"/>
  <c r="U2192" i="2"/>
  <c r="V2192" i="2"/>
  <c r="W2192" i="2"/>
  <c r="X2192" i="2"/>
  <c r="Y2192" i="2"/>
  <c r="A2193" i="2"/>
  <c r="B2193" i="2"/>
  <c r="C2193" i="2"/>
  <c r="D2193" i="2"/>
  <c r="E2193" i="2"/>
  <c r="F2193" i="2"/>
  <c r="G2193" i="2"/>
  <c r="H2193" i="2"/>
  <c r="I2193" i="2"/>
  <c r="J2193" i="2"/>
  <c r="K2193" i="2"/>
  <c r="L2193" i="2"/>
  <c r="M2193" i="2"/>
  <c r="N2193" i="2"/>
  <c r="O2193" i="2"/>
  <c r="P2193" i="2"/>
  <c r="Q2193" i="2"/>
  <c r="R2193" i="2"/>
  <c r="S2193" i="2"/>
  <c r="T2193" i="2"/>
  <c r="U2193" i="2"/>
  <c r="V2193" i="2"/>
  <c r="W2193" i="2"/>
  <c r="X2193" i="2"/>
  <c r="Y2193" i="2"/>
  <c r="A2194" i="2"/>
  <c r="B2194" i="2"/>
  <c r="C2194" i="2"/>
  <c r="D2194" i="2"/>
  <c r="E2194" i="2"/>
  <c r="F2194" i="2"/>
  <c r="G2194" i="2"/>
  <c r="H2194" i="2"/>
  <c r="I2194" i="2"/>
  <c r="J2194" i="2"/>
  <c r="K2194" i="2"/>
  <c r="L2194" i="2"/>
  <c r="M2194" i="2"/>
  <c r="N2194" i="2"/>
  <c r="O2194" i="2"/>
  <c r="P2194" i="2"/>
  <c r="Q2194" i="2"/>
  <c r="R2194" i="2"/>
  <c r="S2194" i="2"/>
  <c r="T2194" i="2"/>
  <c r="U2194" i="2"/>
  <c r="V2194" i="2"/>
  <c r="W2194" i="2"/>
  <c r="X2194" i="2"/>
  <c r="Y2194" i="2"/>
  <c r="A2195" i="2"/>
  <c r="B2195" i="2"/>
  <c r="C2195" i="2"/>
  <c r="D2195" i="2"/>
  <c r="E2195" i="2"/>
  <c r="F2195" i="2"/>
  <c r="G2195" i="2"/>
  <c r="H2195" i="2"/>
  <c r="I2195" i="2"/>
  <c r="J2195" i="2"/>
  <c r="K2195" i="2"/>
  <c r="L2195" i="2"/>
  <c r="M2195" i="2"/>
  <c r="N2195" i="2"/>
  <c r="O2195" i="2"/>
  <c r="P2195" i="2"/>
  <c r="Q2195" i="2"/>
  <c r="R2195" i="2"/>
  <c r="S2195" i="2"/>
  <c r="T2195" i="2"/>
  <c r="U2195" i="2"/>
  <c r="V2195" i="2"/>
  <c r="W2195" i="2"/>
  <c r="X2195" i="2"/>
  <c r="Y2195" i="2"/>
  <c r="A2196" i="2"/>
  <c r="B2196" i="2"/>
  <c r="C2196" i="2"/>
  <c r="D2196" i="2"/>
  <c r="E2196" i="2"/>
  <c r="F2196" i="2"/>
  <c r="G2196" i="2"/>
  <c r="H2196" i="2"/>
  <c r="I2196" i="2"/>
  <c r="J2196" i="2"/>
  <c r="K2196" i="2"/>
  <c r="L2196" i="2"/>
  <c r="M2196" i="2"/>
  <c r="N2196" i="2"/>
  <c r="O2196" i="2"/>
  <c r="P2196" i="2"/>
  <c r="Q2196" i="2"/>
  <c r="R2196" i="2"/>
  <c r="S2196" i="2"/>
  <c r="T2196" i="2"/>
  <c r="U2196" i="2"/>
  <c r="V2196" i="2"/>
  <c r="W2196" i="2"/>
  <c r="X2196" i="2"/>
  <c r="Y2196" i="2"/>
  <c r="A2197" i="2"/>
  <c r="B2197" i="2"/>
  <c r="C2197" i="2"/>
  <c r="D2197" i="2"/>
  <c r="E2197" i="2"/>
  <c r="F2197" i="2"/>
  <c r="G2197" i="2"/>
  <c r="H2197" i="2"/>
  <c r="I2197" i="2"/>
  <c r="J2197" i="2"/>
  <c r="K2197" i="2"/>
  <c r="L2197" i="2"/>
  <c r="M2197" i="2"/>
  <c r="N2197" i="2"/>
  <c r="O2197" i="2"/>
  <c r="P2197" i="2"/>
  <c r="Q2197" i="2"/>
  <c r="R2197" i="2"/>
  <c r="S2197" i="2"/>
  <c r="T2197" i="2"/>
  <c r="U2197" i="2"/>
  <c r="V2197" i="2"/>
  <c r="W2197" i="2"/>
  <c r="X2197" i="2"/>
  <c r="Y2197" i="2"/>
  <c r="A2198" i="2"/>
  <c r="B2198" i="2"/>
  <c r="C2198" i="2"/>
  <c r="D2198" i="2"/>
  <c r="E2198" i="2"/>
  <c r="F2198" i="2"/>
  <c r="G2198" i="2"/>
  <c r="H2198" i="2"/>
  <c r="I2198" i="2"/>
  <c r="J2198" i="2"/>
  <c r="K2198" i="2"/>
  <c r="L2198" i="2"/>
  <c r="M2198" i="2"/>
  <c r="N2198" i="2"/>
  <c r="O2198" i="2"/>
  <c r="P2198" i="2"/>
  <c r="Q2198" i="2"/>
  <c r="R2198" i="2"/>
  <c r="S2198" i="2"/>
  <c r="T2198" i="2"/>
  <c r="U2198" i="2"/>
  <c r="V2198" i="2"/>
  <c r="W2198" i="2"/>
  <c r="X2198" i="2"/>
  <c r="Y2198" i="2"/>
  <c r="A2199" i="2"/>
  <c r="B2199" i="2"/>
  <c r="C2199" i="2"/>
  <c r="D2199" i="2"/>
  <c r="E2199" i="2"/>
  <c r="F2199" i="2"/>
  <c r="G2199" i="2"/>
  <c r="H2199" i="2"/>
  <c r="I2199" i="2"/>
  <c r="J2199" i="2"/>
  <c r="K2199" i="2"/>
  <c r="L2199" i="2"/>
  <c r="M2199" i="2"/>
  <c r="N2199" i="2"/>
  <c r="O2199" i="2"/>
  <c r="P2199" i="2"/>
  <c r="Q2199" i="2"/>
  <c r="R2199" i="2"/>
  <c r="S2199" i="2"/>
  <c r="T2199" i="2"/>
  <c r="U2199" i="2"/>
  <c r="V2199" i="2"/>
  <c r="W2199" i="2"/>
  <c r="X2199" i="2"/>
  <c r="Y2199" i="2"/>
  <c r="B2200" i="2"/>
  <c r="C2200" i="2"/>
  <c r="D2200" i="2"/>
  <c r="E2200" i="2"/>
  <c r="F2200" i="2"/>
  <c r="G2200" i="2"/>
  <c r="H2200" i="2"/>
  <c r="I2200" i="2"/>
  <c r="J2200" i="2"/>
  <c r="K2200" i="2"/>
  <c r="L2200" i="2"/>
  <c r="M2200" i="2"/>
  <c r="N2200" i="2"/>
  <c r="O2200" i="2"/>
  <c r="P2200" i="2"/>
  <c r="Q2200" i="2"/>
  <c r="R2200" i="2"/>
  <c r="S2200" i="2"/>
  <c r="T2200" i="2"/>
  <c r="U2200" i="2"/>
  <c r="V2200" i="2"/>
  <c r="W2200" i="2"/>
  <c r="X2200" i="2"/>
  <c r="Y2200" i="2"/>
  <c r="A2201" i="2"/>
  <c r="B2201" i="2"/>
  <c r="C2201" i="2"/>
  <c r="D2201" i="2"/>
  <c r="E2201" i="2"/>
  <c r="F2201" i="2"/>
  <c r="G2201" i="2"/>
  <c r="H2201" i="2"/>
  <c r="I2201" i="2"/>
  <c r="J2201" i="2"/>
  <c r="K2201" i="2"/>
  <c r="L2201" i="2"/>
  <c r="M2201" i="2"/>
  <c r="N2201" i="2"/>
  <c r="O2201" i="2"/>
  <c r="P2201" i="2"/>
  <c r="Q2201" i="2"/>
  <c r="R2201" i="2"/>
  <c r="S2201" i="2"/>
  <c r="T2201" i="2"/>
  <c r="U2201" i="2"/>
  <c r="V2201" i="2"/>
  <c r="W2201" i="2"/>
  <c r="X2201" i="2"/>
  <c r="Y2201" i="2"/>
  <c r="A2202" i="2"/>
  <c r="B2202" i="2"/>
  <c r="C2202" i="2"/>
  <c r="D2202" i="2"/>
  <c r="E2202" i="2"/>
  <c r="F2202" i="2"/>
  <c r="G2202" i="2"/>
  <c r="H2202" i="2"/>
  <c r="I2202" i="2"/>
  <c r="J2202" i="2"/>
  <c r="K2202" i="2"/>
  <c r="L2202" i="2"/>
  <c r="M2202" i="2"/>
  <c r="N2202" i="2"/>
  <c r="O2202" i="2"/>
  <c r="P2202" i="2"/>
  <c r="Q2202" i="2"/>
  <c r="R2202" i="2"/>
  <c r="S2202" i="2"/>
  <c r="T2202" i="2"/>
  <c r="U2202" i="2"/>
  <c r="V2202" i="2"/>
  <c r="W2202" i="2"/>
  <c r="X2202" i="2"/>
  <c r="Y2202" i="2"/>
  <c r="A2203" i="2"/>
  <c r="B2203" i="2"/>
  <c r="C2203" i="2"/>
  <c r="D2203" i="2"/>
  <c r="E2203" i="2"/>
  <c r="F2203" i="2"/>
  <c r="G2203" i="2"/>
  <c r="H2203" i="2"/>
  <c r="I2203" i="2"/>
  <c r="J2203" i="2"/>
  <c r="K2203" i="2"/>
  <c r="L2203" i="2"/>
  <c r="M2203" i="2"/>
  <c r="N2203" i="2"/>
  <c r="O2203" i="2"/>
  <c r="P2203" i="2"/>
  <c r="Q2203" i="2"/>
  <c r="R2203" i="2"/>
  <c r="S2203" i="2"/>
  <c r="T2203" i="2"/>
  <c r="U2203" i="2"/>
  <c r="V2203" i="2"/>
  <c r="W2203" i="2"/>
  <c r="X2203" i="2"/>
  <c r="Y2203" i="2"/>
  <c r="A2204" i="2"/>
  <c r="B2204" i="2"/>
  <c r="C2204" i="2"/>
  <c r="D2204" i="2"/>
  <c r="E2204" i="2"/>
  <c r="F2204" i="2"/>
  <c r="G2204" i="2"/>
  <c r="H2204" i="2"/>
  <c r="I2204" i="2"/>
  <c r="J2204" i="2"/>
  <c r="K2204" i="2"/>
  <c r="L2204" i="2"/>
  <c r="M2204" i="2"/>
  <c r="N2204" i="2"/>
  <c r="O2204" i="2"/>
  <c r="P2204" i="2"/>
  <c r="Q2204" i="2"/>
  <c r="R2204" i="2"/>
  <c r="S2204" i="2"/>
  <c r="T2204" i="2"/>
  <c r="U2204" i="2"/>
  <c r="V2204" i="2"/>
  <c r="W2204" i="2"/>
  <c r="X2204" i="2"/>
  <c r="Y2204" i="2"/>
  <c r="A2205" i="2"/>
  <c r="B2205" i="2"/>
  <c r="C2205" i="2"/>
  <c r="D2205" i="2"/>
  <c r="E2205" i="2"/>
  <c r="F2205" i="2"/>
  <c r="G2205" i="2"/>
  <c r="H2205" i="2"/>
  <c r="I2205" i="2"/>
  <c r="J2205" i="2"/>
  <c r="K2205" i="2"/>
  <c r="L2205" i="2"/>
  <c r="M2205" i="2"/>
  <c r="N2205" i="2"/>
  <c r="O2205" i="2"/>
  <c r="P2205" i="2"/>
  <c r="Q2205" i="2"/>
  <c r="R2205" i="2"/>
  <c r="S2205" i="2"/>
  <c r="T2205" i="2"/>
  <c r="U2205" i="2"/>
  <c r="V2205" i="2"/>
  <c r="W2205" i="2"/>
  <c r="X2205" i="2"/>
  <c r="Y2205" i="2"/>
  <c r="A2206" i="2"/>
  <c r="B2206" i="2"/>
  <c r="C2206" i="2"/>
  <c r="D2206" i="2"/>
  <c r="E2206" i="2"/>
  <c r="F2206" i="2"/>
  <c r="G2206" i="2"/>
  <c r="H2206" i="2"/>
  <c r="I2206" i="2"/>
  <c r="J2206" i="2"/>
  <c r="K2206" i="2"/>
  <c r="L2206" i="2"/>
  <c r="M2206" i="2"/>
  <c r="N2206" i="2"/>
  <c r="O2206" i="2"/>
  <c r="P2206" i="2"/>
  <c r="Q2206" i="2"/>
  <c r="R2206" i="2"/>
  <c r="S2206" i="2"/>
  <c r="T2206" i="2"/>
  <c r="U2206" i="2"/>
  <c r="V2206" i="2"/>
  <c r="W2206" i="2"/>
  <c r="X2206" i="2"/>
  <c r="Y2206" i="2"/>
  <c r="A2207" i="2"/>
  <c r="B2207" i="2"/>
  <c r="C2207" i="2"/>
  <c r="D2207" i="2"/>
  <c r="E2207" i="2"/>
  <c r="F2207" i="2"/>
  <c r="G2207" i="2"/>
  <c r="H2207" i="2"/>
  <c r="I2207" i="2"/>
  <c r="J2207" i="2"/>
  <c r="K2207" i="2"/>
  <c r="L2207" i="2"/>
  <c r="M2207" i="2"/>
  <c r="N2207" i="2"/>
  <c r="O2207" i="2"/>
  <c r="P2207" i="2"/>
  <c r="Q2207" i="2"/>
  <c r="R2207" i="2"/>
  <c r="S2207" i="2"/>
  <c r="T2207" i="2"/>
  <c r="U2207" i="2"/>
  <c r="V2207" i="2"/>
  <c r="W2207" i="2"/>
  <c r="X2207" i="2"/>
  <c r="Y2207" i="2"/>
  <c r="A2208" i="2"/>
  <c r="B2208" i="2"/>
  <c r="C2208" i="2"/>
  <c r="D2208" i="2"/>
  <c r="E2208" i="2"/>
  <c r="F2208" i="2"/>
  <c r="G2208" i="2"/>
  <c r="H2208" i="2"/>
  <c r="I2208" i="2"/>
  <c r="J2208" i="2"/>
  <c r="K2208" i="2"/>
  <c r="L2208" i="2"/>
  <c r="M2208" i="2"/>
  <c r="N2208" i="2"/>
  <c r="O2208" i="2"/>
  <c r="P2208" i="2"/>
  <c r="Q2208" i="2"/>
  <c r="R2208" i="2"/>
  <c r="S2208" i="2"/>
  <c r="T2208" i="2"/>
  <c r="U2208" i="2"/>
  <c r="V2208" i="2"/>
  <c r="W2208" i="2"/>
  <c r="X2208" i="2"/>
  <c r="Y2208" i="2"/>
  <c r="A2209" i="2"/>
  <c r="B2209" i="2"/>
  <c r="C2209" i="2"/>
  <c r="D2209" i="2"/>
  <c r="E2209" i="2"/>
  <c r="F2209" i="2"/>
  <c r="G2209" i="2"/>
  <c r="H2209" i="2"/>
  <c r="I2209" i="2"/>
  <c r="J2209" i="2"/>
  <c r="K2209" i="2"/>
  <c r="L2209" i="2"/>
  <c r="M2209" i="2"/>
  <c r="N2209" i="2"/>
  <c r="O2209" i="2"/>
  <c r="P2209" i="2"/>
  <c r="Q2209" i="2"/>
  <c r="R2209" i="2"/>
  <c r="S2209" i="2"/>
  <c r="T2209" i="2"/>
  <c r="U2209" i="2"/>
  <c r="V2209" i="2"/>
  <c r="W2209" i="2"/>
  <c r="X2209" i="2"/>
  <c r="Y2209" i="2"/>
  <c r="A2210" i="2"/>
  <c r="B2210" i="2"/>
  <c r="C2210" i="2"/>
  <c r="D2210" i="2"/>
  <c r="E2210" i="2"/>
  <c r="F2210" i="2"/>
  <c r="G2210" i="2"/>
  <c r="H2210" i="2"/>
  <c r="I2210" i="2"/>
  <c r="J2210" i="2"/>
  <c r="K2210" i="2"/>
  <c r="L2210" i="2"/>
  <c r="M2210" i="2"/>
  <c r="N2210" i="2"/>
  <c r="O2210" i="2"/>
  <c r="P2210" i="2"/>
  <c r="Q2210" i="2"/>
  <c r="R2210" i="2"/>
  <c r="S2210" i="2"/>
  <c r="T2210" i="2"/>
  <c r="U2210" i="2"/>
  <c r="V2210" i="2"/>
  <c r="W2210" i="2"/>
  <c r="X2210" i="2"/>
  <c r="Y2210" i="2"/>
  <c r="A2211" i="2"/>
  <c r="B2211" i="2"/>
  <c r="C2211" i="2"/>
  <c r="D2211" i="2"/>
  <c r="E2211" i="2"/>
  <c r="F2211" i="2"/>
  <c r="G2211" i="2"/>
  <c r="H2211" i="2"/>
  <c r="I2211" i="2"/>
  <c r="J2211" i="2"/>
  <c r="K2211" i="2"/>
  <c r="L2211" i="2"/>
  <c r="M2211" i="2"/>
  <c r="N2211" i="2"/>
  <c r="O2211" i="2"/>
  <c r="P2211" i="2"/>
  <c r="Q2211" i="2"/>
  <c r="R2211" i="2"/>
  <c r="S2211" i="2"/>
  <c r="T2211" i="2"/>
  <c r="U2211" i="2"/>
  <c r="V2211" i="2"/>
  <c r="W2211" i="2"/>
  <c r="X2211" i="2"/>
  <c r="Y2211" i="2"/>
  <c r="A2212" i="2"/>
  <c r="B2212" i="2"/>
  <c r="C2212" i="2"/>
  <c r="D2212" i="2"/>
  <c r="E2212" i="2"/>
  <c r="F2212" i="2"/>
  <c r="G2212" i="2"/>
  <c r="H2212" i="2"/>
  <c r="I2212" i="2"/>
  <c r="J2212" i="2"/>
  <c r="K2212" i="2"/>
  <c r="L2212" i="2"/>
  <c r="M2212" i="2"/>
  <c r="N2212" i="2"/>
  <c r="O2212" i="2"/>
  <c r="P2212" i="2"/>
  <c r="Q2212" i="2"/>
  <c r="R2212" i="2"/>
  <c r="S2212" i="2"/>
  <c r="T2212" i="2"/>
  <c r="U2212" i="2"/>
  <c r="V2212" i="2"/>
  <c r="W2212" i="2"/>
  <c r="X2212" i="2"/>
  <c r="Y2212" i="2"/>
  <c r="A2213" i="2"/>
  <c r="B2213" i="2"/>
  <c r="C2213" i="2"/>
  <c r="D2213" i="2"/>
  <c r="E2213" i="2"/>
  <c r="F2213" i="2"/>
  <c r="G2213" i="2"/>
  <c r="H2213" i="2"/>
  <c r="I2213" i="2"/>
  <c r="J2213" i="2"/>
  <c r="K2213" i="2"/>
  <c r="L2213" i="2"/>
  <c r="M2213" i="2"/>
  <c r="N2213" i="2"/>
  <c r="O2213" i="2"/>
  <c r="P2213" i="2"/>
  <c r="Q2213" i="2"/>
  <c r="R2213" i="2"/>
  <c r="S2213" i="2"/>
  <c r="T2213" i="2"/>
  <c r="U2213" i="2"/>
  <c r="V2213" i="2"/>
  <c r="W2213" i="2"/>
  <c r="X2213" i="2"/>
  <c r="Y2213" i="2"/>
  <c r="A2214" i="2"/>
  <c r="B2214" i="2"/>
  <c r="C2214" i="2"/>
  <c r="D2214" i="2"/>
  <c r="E2214" i="2"/>
  <c r="F2214" i="2"/>
  <c r="G2214" i="2"/>
  <c r="H2214" i="2"/>
  <c r="I2214" i="2"/>
  <c r="J2214" i="2"/>
  <c r="K2214" i="2"/>
  <c r="L2214" i="2"/>
  <c r="M2214" i="2"/>
  <c r="N2214" i="2"/>
  <c r="O2214" i="2"/>
  <c r="P2214" i="2"/>
  <c r="Q2214" i="2"/>
  <c r="R2214" i="2"/>
  <c r="S2214" i="2"/>
  <c r="T2214" i="2"/>
  <c r="U2214" i="2"/>
  <c r="V2214" i="2"/>
  <c r="W2214" i="2"/>
  <c r="X2214" i="2"/>
  <c r="Y2214" i="2"/>
  <c r="A2215" i="2"/>
  <c r="B2215" i="2"/>
  <c r="C2215" i="2"/>
  <c r="D2215" i="2"/>
  <c r="E2215" i="2"/>
  <c r="F2215" i="2"/>
  <c r="G2215" i="2"/>
  <c r="H2215" i="2"/>
  <c r="I2215" i="2"/>
  <c r="J2215" i="2"/>
  <c r="K2215" i="2"/>
  <c r="L2215" i="2"/>
  <c r="M2215" i="2"/>
  <c r="N2215" i="2"/>
  <c r="O2215" i="2"/>
  <c r="P2215" i="2"/>
  <c r="Q2215" i="2"/>
  <c r="R2215" i="2"/>
  <c r="S2215" i="2"/>
  <c r="T2215" i="2"/>
  <c r="U2215" i="2"/>
  <c r="V2215" i="2"/>
  <c r="W2215" i="2"/>
  <c r="X2215" i="2"/>
  <c r="Y2215" i="2"/>
  <c r="B2216" i="2"/>
  <c r="C2216" i="2"/>
  <c r="D2216" i="2"/>
  <c r="E2216" i="2"/>
  <c r="F2216" i="2"/>
  <c r="G2216" i="2"/>
  <c r="H2216" i="2"/>
  <c r="I2216" i="2"/>
  <c r="J2216" i="2"/>
  <c r="K2216" i="2"/>
  <c r="L2216" i="2"/>
  <c r="M2216" i="2"/>
  <c r="N2216" i="2"/>
  <c r="O2216" i="2"/>
  <c r="P2216" i="2"/>
  <c r="Q2216" i="2"/>
  <c r="R2216" i="2"/>
  <c r="S2216" i="2"/>
  <c r="T2216" i="2"/>
  <c r="U2216" i="2"/>
  <c r="V2216" i="2"/>
  <c r="W2216" i="2"/>
  <c r="X2216" i="2"/>
  <c r="Y2216" i="2"/>
  <c r="A2217" i="2"/>
  <c r="B2217" i="2"/>
  <c r="C2217" i="2"/>
  <c r="D2217" i="2"/>
  <c r="E2217" i="2"/>
  <c r="F2217" i="2"/>
  <c r="G2217" i="2"/>
  <c r="H2217" i="2"/>
  <c r="I2217" i="2"/>
  <c r="J2217" i="2"/>
  <c r="K2217" i="2"/>
  <c r="L2217" i="2"/>
  <c r="M2217" i="2"/>
  <c r="N2217" i="2"/>
  <c r="O2217" i="2"/>
  <c r="P2217" i="2"/>
  <c r="Q2217" i="2"/>
  <c r="R2217" i="2"/>
  <c r="S2217" i="2"/>
  <c r="T2217" i="2"/>
  <c r="U2217" i="2"/>
  <c r="V2217" i="2"/>
  <c r="W2217" i="2"/>
  <c r="X2217" i="2"/>
  <c r="Y2217" i="2"/>
  <c r="A2218" i="2"/>
  <c r="B2218" i="2"/>
  <c r="C2218" i="2"/>
  <c r="D2218" i="2"/>
  <c r="E2218" i="2"/>
  <c r="F2218" i="2"/>
  <c r="G2218" i="2"/>
  <c r="H2218" i="2"/>
  <c r="I2218" i="2"/>
  <c r="J2218" i="2"/>
  <c r="K2218" i="2"/>
  <c r="L2218" i="2"/>
  <c r="M2218" i="2"/>
  <c r="N2218" i="2"/>
  <c r="O2218" i="2"/>
  <c r="P2218" i="2"/>
  <c r="Q2218" i="2"/>
  <c r="R2218" i="2"/>
  <c r="S2218" i="2"/>
  <c r="T2218" i="2"/>
  <c r="U2218" i="2"/>
  <c r="V2218" i="2"/>
  <c r="W2218" i="2"/>
  <c r="X2218" i="2"/>
  <c r="Y2218" i="2"/>
  <c r="A2219" i="2"/>
  <c r="B2219" i="2"/>
  <c r="C2219" i="2"/>
  <c r="D2219" i="2"/>
  <c r="E2219" i="2"/>
  <c r="F2219" i="2"/>
  <c r="G2219" i="2"/>
  <c r="H2219" i="2"/>
  <c r="I2219" i="2"/>
  <c r="J2219" i="2"/>
  <c r="K2219" i="2"/>
  <c r="L2219" i="2"/>
  <c r="M2219" i="2"/>
  <c r="N2219" i="2"/>
  <c r="O2219" i="2"/>
  <c r="P2219" i="2"/>
  <c r="Q2219" i="2"/>
  <c r="R2219" i="2"/>
  <c r="S2219" i="2"/>
  <c r="T2219" i="2"/>
  <c r="U2219" i="2"/>
  <c r="V2219" i="2"/>
  <c r="W2219" i="2"/>
  <c r="X2219" i="2"/>
  <c r="Y2219" i="2"/>
  <c r="A2220" i="2"/>
  <c r="B2220" i="2"/>
  <c r="C2220" i="2"/>
  <c r="D2220" i="2"/>
  <c r="E2220" i="2"/>
  <c r="F2220" i="2"/>
  <c r="G2220" i="2"/>
  <c r="H2220" i="2"/>
  <c r="I2220" i="2"/>
  <c r="J2220" i="2"/>
  <c r="K2220" i="2"/>
  <c r="L2220" i="2"/>
  <c r="M2220" i="2"/>
  <c r="N2220" i="2"/>
  <c r="O2220" i="2"/>
  <c r="P2220" i="2"/>
  <c r="Q2220" i="2"/>
  <c r="R2220" i="2"/>
  <c r="S2220" i="2"/>
  <c r="T2220" i="2"/>
  <c r="U2220" i="2"/>
  <c r="V2220" i="2"/>
  <c r="W2220" i="2"/>
  <c r="X2220" i="2"/>
  <c r="Y2220" i="2"/>
  <c r="A2221" i="2"/>
  <c r="B2221" i="2"/>
  <c r="C2221" i="2"/>
  <c r="D2221" i="2"/>
  <c r="E2221" i="2"/>
  <c r="F2221" i="2"/>
  <c r="G2221" i="2"/>
  <c r="H2221" i="2"/>
  <c r="I2221" i="2"/>
  <c r="J2221" i="2"/>
  <c r="K2221" i="2"/>
  <c r="L2221" i="2"/>
  <c r="M2221" i="2"/>
  <c r="N2221" i="2"/>
  <c r="O2221" i="2"/>
  <c r="P2221" i="2"/>
  <c r="Q2221" i="2"/>
  <c r="R2221" i="2"/>
  <c r="S2221" i="2"/>
  <c r="T2221" i="2"/>
  <c r="U2221" i="2"/>
  <c r="V2221" i="2"/>
  <c r="W2221" i="2"/>
  <c r="X2221" i="2"/>
  <c r="Y2221" i="2"/>
  <c r="A2222" i="2"/>
  <c r="B2222" i="2"/>
  <c r="C2222" i="2"/>
  <c r="D2222" i="2"/>
  <c r="E2222" i="2"/>
  <c r="F2222" i="2"/>
  <c r="G2222" i="2"/>
  <c r="H2222" i="2"/>
  <c r="I2222" i="2"/>
  <c r="J2222" i="2"/>
  <c r="K2222" i="2"/>
  <c r="L2222" i="2"/>
  <c r="M2222" i="2"/>
  <c r="N2222" i="2"/>
  <c r="O2222" i="2"/>
  <c r="P2222" i="2"/>
  <c r="Q2222" i="2"/>
  <c r="R2222" i="2"/>
  <c r="S2222" i="2"/>
  <c r="T2222" i="2"/>
  <c r="U2222" i="2"/>
  <c r="V2222" i="2"/>
  <c r="W2222" i="2"/>
  <c r="X2222" i="2"/>
  <c r="Y2222" i="2"/>
  <c r="A2223" i="2"/>
  <c r="B2223" i="2"/>
  <c r="C2223" i="2"/>
  <c r="D2223" i="2"/>
  <c r="E2223" i="2"/>
  <c r="F2223" i="2"/>
  <c r="G2223" i="2"/>
  <c r="H2223" i="2"/>
  <c r="I2223" i="2"/>
  <c r="J2223" i="2"/>
  <c r="K2223" i="2"/>
  <c r="L2223" i="2"/>
  <c r="M2223" i="2"/>
  <c r="N2223" i="2"/>
  <c r="O2223" i="2"/>
  <c r="P2223" i="2"/>
  <c r="Q2223" i="2"/>
  <c r="R2223" i="2"/>
  <c r="S2223" i="2"/>
  <c r="T2223" i="2"/>
  <c r="U2223" i="2"/>
  <c r="V2223" i="2"/>
  <c r="W2223" i="2"/>
  <c r="X2223" i="2"/>
  <c r="Y2223" i="2"/>
  <c r="A2224" i="2"/>
  <c r="B2224" i="2"/>
  <c r="C2224" i="2"/>
  <c r="D2224" i="2"/>
  <c r="E2224" i="2"/>
  <c r="F2224" i="2"/>
  <c r="G2224" i="2"/>
  <c r="H2224" i="2"/>
  <c r="I2224" i="2"/>
  <c r="J2224" i="2"/>
  <c r="K2224" i="2"/>
  <c r="L2224" i="2"/>
  <c r="M2224" i="2"/>
  <c r="N2224" i="2"/>
  <c r="O2224" i="2"/>
  <c r="P2224" i="2"/>
  <c r="Q2224" i="2"/>
  <c r="R2224" i="2"/>
  <c r="S2224" i="2"/>
  <c r="T2224" i="2"/>
  <c r="U2224" i="2"/>
  <c r="V2224" i="2"/>
  <c r="W2224" i="2"/>
  <c r="X2224" i="2"/>
  <c r="Y2224" i="2"/>
  <c r="A2225" i="2"/>
  <c r="B2225" i="2"/>
  <c r="C2225" i="2"/>
  <c r="D2225" i="2"/>
  <c r="E2225" i="2"/>
  <c r="F2225" i="2"/>
  <c r="G2225" i="2"/>
  <c r="H2225" i="2"/>
  <c r="I2225" i="2"/>
  <c r="J2225" i="2"/>
  <c r="K2225" i="2"/>
  <c r="L2225" i="2"/>
  <c r="M2225" i="2"/>
  <c r="N2225" i="2"/>
  <c r="O2225" i="2"/>
  <c r="P2225" i="2"/>
  <c r="Q2225" i="2"/>
  <c r="R2225" i="2"/>
  <c r="S2225" i="2"/>
  <c r="T2225" i="2"/>
  <c r="U2225" i="2"/>
  <c r="V2225" i="2"/>
  <c r="W2225" i="2"/>
  <c r="X2225" i="2"/>
  <c r="Y2225" i="2"/>
  <c r="A2226" i="2"/>
  <c r="B2226" i="2"/>
  <c r="C2226" i="2"/>
  <c r="D2226" i="2"/>
  <c r="E2226" i="2"/>
  <c r="F2226" i="2"/>
  <c r="G2226" i="2"/>
  <c r="H2226" i="2"/>
  <c r="I2226" i="2"/>
  <c r="J2226" i="2"/>
  <c r="K2226" i="2"/>
  <c r="L2226" i="2"/>
  <c r="M2226" i="2"/>
  <c r="N2226" i="2"/>
  <c r="O2226" i="2"/>
  <c r="P2226" i="2"/>
  <c r="Q2226" i="2"/>
  <c r="R2226" i="2"/>
  <c r="S2226" i="2"/>
  <c r="T2226" i="2"/>
  <c r="U2226" i="2"/>
  <c r="V2226" i="2"/>
  <c r="W2226" i="2"/>
  <c r="X2226" i="2"/>
  <c r="Y2226" i="2"/>
  <c r="A2227" i="2"/>
  <c r="B2227" i="2"/>
  <c r="C2227" i="2"/>
  <c r="D2227" i="2"/>
  <c r="E2227" i="2"/>
  <c r="F2227" i="2"/>
  <c r="G2227" i="2"/>
  <c r="H2227" i="2"/>
  <c r="I2227" i="2"/>
  <c r="J2227" i="2"/>
  <c r="K2227" i="2"/>
  <c r="L2227" i="2"/>
  <c r="M2227" i="2"/>
  <c r="N2227" i="2"/>
  <c r="O2227" i="2"/>
  <c r="P2227" i="2"/>
  <c r="Q2227" i="2"/>
  <c r="R2227" i="2"/>
  <c r="S2227" i="2"/>
  <c r="T2227" i="2"/>
  <c r="U2227" i="2"/>
  <c r="V2227" i="2"/>
  <c r="W2227" i="2"/>
  <c r="X2227" i="2"/>
  <c r="Y2227" i="2"/>
  <c r="A2228" i="2"/>
  <c r="B2228" i="2"/>
  <c r="C2228" i="2"/>
  <c r="D2228" i="2"/>
  <c r="E2228" i="2"/>
  <c r="F2228" i="2"/>
  <c r="G2228" i="2"/>
  <c r="H2228" i="2"/>
  <c r="I2228" i="2"/>
  <c r="J2228" i="2"/>
  <c r="K2228" i="2"/>
  <c r="L2228" i="2"/>
  <c r="M2228" i="2"/>
  <c r="N2228" i="2"/>
  <c r="O2228" i="2"/>
  <c r="P2228" i="2"/>
  <c r="Q2228" i="2"/>
  <c r="R2228" i="2"/>
  <c r="S2228" i="2"/>
  <c r="T2228" i="2"/>
  <c r="U2228" i="2"/>
  <c r="V2228" i="2"/>
  <c r="W2228" i="2"/>
  <c r="X2228" i="2"/>
  <c r="Y2228" i="2"/>
  <c r="A2229" i="2"/>
  <c r="B2229" i="2"/>
  <c r="C2229" i="2"/>
  <c r="D2229" i="2"/>
  <c r="E2229" i="2"/>
  <c r="F2229" i="2"/>
  <c r="G2229" i="2"/>
  <c r="H2229" i="2"/>
  <c r="I2229" i="2"/>
  <c r="J2229" i="2"/>
  <c r="K2229" i="2"/>
  <c r="L2229" i="2"/>
  <c r="M2229" i="2"/>
  <c r="N2229" i="2"/>
  <c r="O2229" i="2"/>
  <c r="P2229" i="2"/>
  <c r="Q2229" i="2"/>
  <c r="R2229" i="2"/>
  <c r="S2229" i="2"/>
  <c r="T2229" i="2"/>
  <c r="U2229" i="2"/>
  <c r="V2229" i="2"/>
  <c r="W2229" i="2"/>
  <c r="X2229" i="2"/>
  <c r="Y2229" i="2"/>
  <c r="A2230" i="2"/>
  <c r="B2230" i="2"/>
  <c r="C2230" i="2"/>
  <c r="D2230" i="2"/>
  <c r="E2230" i="2"/>
  <c r="F2230" i="2"/>
  <c r="G2230" i="2"/>
  <c r="H2230" i="2"/>
  <c r="I2230" i="2"/>
  <c r="J2230" i="2"/>
  <c r="K2230" i="2"/>
  <c r="L2230" i="2"/>
  <c r="M2230" i="2"/>
  <c r="N2230" i="2"/>
  <c r="O2230" i="2"/>
  <c r="P2230" i="2"/>
  <c r="Q2230" i="2"/>
  <c r="R2230" i="2"/>
  <c r="S2230" i="2"/>
  <c r="T2230" i="2"/>
  <c r="U2230" i="2"/>
  <c r="V2230" i="2"/>
  <c r="W2230" i="2"/>
  <c r="X2230" i="2"/>
  <c r="Y2230" i="2"/>
  <c r="A2231" i="2"/>
  <c r="B2231" i="2"/>
  <c r="C2231" i="2"/>
  <c r="D2231" i="2"/>
  <c r="E2231" i="2"/>
  <c r="F2231" i="2"/>
  <c r="G2231" i="2"/>
  <c r="H2231" i="2"/>
  <c r="I2231" i="2"/>
  <c r="J2231" i="2"/>
  <c r="K2231" i="2"/>
  <c r="L2231" i="2"/>
  <c r="M2231" i="2"/>
  <c r="N2231" i="2"/>
  <c r="O2231" i="2"/>
  <c r="P2231" i="2"/>
  <c r="Q2231" i="2"/>
  <c r="R2231" i="2"/>
  <c r="S2231" i="2"/>
  <c r="T2231" i="2"/>
  <c r="U2231" i="2"/>
  <c r="V2231" i="2"/>
  <c r="W2231" i="2"/>
  <c r="X2231" i="2"/>
  <c r="Y2231" i="2"/>
  <c r="B2232" i="2"/>
  <c r="C2232" i="2"/>
  <c r="D2232" i="2"/>
  <c r="E2232" i="2"/>
  <c r="F2232" i="2"/>
  <c r="G2232" i="2"/>
  <c r="H2232" i="2"/>
  <c r="I2232" i="2"/>
  <c r="J2232" i="2"/>
  <c r="K2232" i="2"/>
  <c r="L2232" i="2"/>
  <c r="M2232" i="2"/>
  <c r="N2232" i="2"/>
  <c r="O2232" i="2"/>
  <c r="P2232" i="2"/>
  <c r="Q2232" i="2"/>
  <c r="R2232" i="2"/>
  <c r="S2232" i="2"/>
  <c r="T2232" i="2"/>
  <c r="U2232" i="2"/>
  <c r="V2232" i="2"/>
  <c r="W2232" i="2"/>
  <c r="X2232" i="2"/>
  <c r="Y2232" i="2"/>
  <c r="A2233" i="2"/>
  <c r="B2233" i="2"/>
  <c r="C2233" i="2"/>
  <c r="D2233" i="2"/>
  <c r="E2233" i="2"/>
  <c r="F2233" i="2"/>
  <c r="G2233" i="2"/>
  <c r="H2233" i="2"/>
  <c r="I2233" i="2"/>
  <c r="J2233" i="2"/>
  <c r="K2233" i="2"/>
  <c r="L2233" i="2"/>
  <c r="M2233" i="2"/>
  <c r="N2233" i="2"/>
  <c r="O2233" i="2"/>
  <c r="P2233" i="2"/>
  <c r="Q2233" i="2"/>
  <c r="R2233" i="2"/>
  <c r="S2233" i="2"/>
  <c r="T2233" i="2"/>
  <c r="U2233" i="2"/>
  <c r="V2233" i="2"/>
  <c r="W2233" i="2"/>
  <c r="X2233" i="2"/>
  <c r="Y2233" i="2"/>
  <c r="A2234" i="2"/>
  <c r="B2234" i="2"/>
  <c r="C2234" i="2"/>
  <c r="D2234" i="2"/>
  <c r="E2234" i="2"/>
  <c r="F2234" i="2"/>
  <c r="G2234" i="2"/>
  <c r="H2234" i="2"/>
  <c r="I2234" i="2"/>
  <c r="J2234" i="2"/>
  <c r="K2234" i="2"/>
  <c r="L2234" i="2"/>
  <c r="M2234" i="2"/>
  <c r="N2234" i="2"/>
  <c r="O2234" i="2"/>
  <c r="P2234" i="2"/>
  <c r="Q2234" i="2"/>
  <c r="R2234" i="2"/>
  <c r="S2234" i="2"/>
  <c r="T2234" i="2"/>
  <c r="U2234" i="2"/>
  <c r="V2234" i="2"/>
  <c r="W2234" i="2"/>
  <c r="X2234" i="2"/>
  <c r="Y2234" i="2"/>
  <c r="A2235" i="2"/>
  <c r="B2235" i="2"/>
  <c r="C2235" i="2"/>
  <c r="D2235" i="2"/>
  <c r="E2235" i="2"/>
  <c r="F2235" i="2"/>
  <c r="G2235" i="2"/>
  <c r="H2235" i="2"/>
  <c r="I2235" i="2"/>
  <c r="J2235" i="2"/>
  <c r="K2235" i="2"/>
  <c r="L2235" i="2"/>
  <c r="M2235" i="2"/>
  <c r="N2235" i="2"/>
  <c r="O2235" i="2"/>
  <c r="P2235" i="2"/>
  <c r="Q2235" i="2"/>
  <c r="R2235" i="2"/>
  <c r="S2235" i="2"/>
  <c r="T2235" i="2"/>
  <c r="U2235" i="2"/>
  <c r="V2235" i="2"/>
  <c r="W2235" i="2"/>
  <c r="X2235" i="2"/>
  <c r="Y2235" i="2"/>
  <c r="A2236" i="2"/>
  <c r="B2236" i="2"/>
  <c r="C2236" i="2"/>
  <c r="D2236" i="2"/>
  <c r="E2236" i="2"/>
  <c r="F2236" i="2"/>
  <c r="G2236" i="2"/>
  <c r="H2236" i="2"/>
  <c r="I2236" i="2"/>
  <c r="J2236" i="2"/>
  <c r="K2236" i="2"/>
  <c r="L2236" i="2"/>
  <c r="M2236" i="2"/>
  <c r="N2236" i="2"/>
  <c r="O2236" i="2"/>
  <c r="P2236" i="2"/>
  <c r="Q2236" i="2"/>
  <c r="R2236" i="2"/>
  <c r="S2236" i="2"/>
  <c r="T2236" i="2"/>
  <c r="U2236" i="2"/>
  <c r="V2236" i="2"/>
  <c r="W2236" i="2"/>
  <c r="X2236" i="2"/>
  <c r="Y2236" i="2"/>
  <c r="A2237" i="2"/>
  <c r="B2237" i="2"/>
  <c r="C2237" i="2"/>
  <c r="D2237" i="2"/>
  <c r="E2237" i="2"/>
  <c r="F2237" i="2"/>
  <c r="G2237" i="2"/>
  <c r="H2237" i="2"/>
  <c r="I2237" i="2"/>
  <c r="J2237" i="2"/>
  <c r="K2237" i="2"/>
  <c r="L2237" i="2"/>
  <c r="M2237" i="2"/>
  <c r="N2237" i="2"/>
  <c r="O2237" i="2"/>
  <c r="P2237" i="2"/>
  <c r="Q2237" i="2"/>
  <c r="R2237" i="2"/>
  <c r="S2237" i="2"/>
  <c r="T2237" i="2"/>
  <c r="U2237" i="2"/>
  <c r="V2237" i="2"/>
  <c r="W2237" i="2"/>
  <c r="X2237" i="2"/>
  <c r="Y2237" i="2"/>
  <c r="A2238" i="2"/>
  <c r="B2238" i="2"/>
  <c r="C2238" i="2"/>
  <c r="D2238" i="2"/>
  <c r="E2238" i="2"/>
  <c r="F2238" i="2"/>
  <c r="G2238" i="2"/>
  <c r="H2238" i="2"/>
  <c r="I2238" i="2"/>
  <c r="J2238" i="2"/>
  <c r="K2238" i="2"/>
  <c r="L2238" i="2"/>
  <c r="M2238" i="2"/>
  <c r="N2238" i="2"/>
  <c r="O2238" i="2"/>
  <c r="P2238" i="2"/>
  <c r="Q2238" i="2"/>
  <c r="R2238" i="2"/>
  <c r="S2238" i="2"/>
  <c r="T2238" i="2"/>
  <c r="U2238" i="2"/>
  <c r="V2238" i="2"/>
  <c r="W2238" i="2"/>
  <c r="X2238" i="2"/>
  <c r="Y2238" i="2"/>
  <c r="A2239" i="2"/>
  <c r="B2239" i="2"/>
  <c r="C2239" i="2"/>
  <c r="D2239" i="2"/>
  <c r="E2239" i="2"/>
  <c r="F2239" i="2"/>
  <c r="G2239" i="2"/>
  <c r="H2239" i="2"/>
  <c r="I2239" i="2"/>
  <c r="J2239" i="2"/>
  <c r="K2239" i="2"/>
  <c r="L2239" i="2"/>
  <c r="M2239" i="2"/>
  <c r="N2239" i="2"/>
  <c r="O2239" i="2"/>
  <c r="P2239" i="2"/>
  <c r="Q2239" i="2"/>
  <c r="R2239" i="2"/>
  <c r="S2239" i="2"/>
  <c r="T2239" i="2"/>
  <c r="U2239" i="2"/>
  <c r="V2239" i="2"/>
  <c r="W2239" i="2"/>
  <c r="X2239" i="2"/>
  <c r="Y2239" i="2"/>
  <c r="A2240" i="2"/>
  <c r="B2240" i="2"/>
  <c r="C2240" i="2"/>
  <c r="D2240" i="2"/>
  <c r="E2240" i="2"/>
  <c r="F2240" i="2"/>
  <c r="G2240" i="2"/>
  <c r="H2240" i="2"/>
  <c r="I2240" i="2"/>
  <c r="J2240" i="2"/>
  <c r="K2240" i="2"/>
  <c r="L2240" i="2"/>
  <c r="M2240" i="2"/>
  <c r="N2240" i="2"/>
  <c r="O2240" i="2"/>
  <c r="P2240" i="2"/>
  <c r="Q2240" i="2"/>
  <c r="R2240" i="2"/>
  <c r="S2240" i="2"/>
  <c r="T2240" i="2"/>
  <c r="U2240" i="2"/>
  <c r="V2240" i="2"/>
  <c r="W2240" i="2"/>
  <c r="X2240" i="2"/>
  <c r="Y2240" i="2"/>
  <c r="A2241" i="2"/>
  <c r="B2241" i="2"/>
  <c r="C2241" i="2"/>
  <c r="D2241" i="2"/>
  <c r="E2241" i="2"/>
  <c r="F2241" i="2"/>
  <c r="G2241" i="2"/>
  <c r="H2241" i="2"/>
  <c r="I2241" i="2"/>
  <c r="J2241" i="2"/>
  <c r="K2241" i="2"/>
  <c r="L2241" i="2"/>
  <c r="M2241" i="2"/>
  <c r="N2241" i="2"/>
  <c r="O2241" i="2"/>
  <c r="P2241" i="2"/>
  <c r="Q2241" i="2"/>
  <c r="R2241" i="2"/>
  <c r="S2241" i="2"/>
  <c r="T2241" i="2"/>
  <c r="U2241" i="2"/>
  <c r="V2241" i="2"/>
  <c r="W2241" i="2"/>
  <c r="X2241" i="2"/>
  <c r="Y2241" i="2"/>
  <c r="A2242" i="2"/>
  <c r="B2242" i="2"/>
  <c r="C2242" i="2"/>
  <c r="D2242" i="2"/>
  <c r="E2242" i="2"/>
  <c r="F2242" i="2"/>
  <c r="G2242" i="2"/>
  <c r="H2242" i="2"/>
  <c r="I2242" i="2"/>
  <c r="J2242" i="2"/>
  <c r="K2242" i="2"/>
  <c r="L2242" i="2"/>
  <c r="M2242" i="2"/>
  <c r="N2242" i="2"/>
  <c r="O2242" i="2"/>
  <c r="P2242" i="2"/>
  <c r="Q2242" i="2"/>
  <c r="R2242" i="2"/>
  <c r="S2242" i="2"/>
  <c r="T2242" i="2"/>
  <c r="U2242" i="2"/>
  <c r="V2242" i="2"/>
  <c r="W2242" i="2"/>
  <c r="X2242" i="2"/>
  <c r="Y2242" i="2"/>
  <c r="A2243" i="2"/>
  <c r="B2243" i="2"/>
  <c r="C2243" i="2"/>
  <c r="D2243" i="2"/>
  <c r="E2243" i="2"/>
  <c r="F2243" i="2"/>
  <c r="G2243" i="2"/>
  <c r="H2243" i="2"/>
  <c r="I2243" i="2"/>
  <c r="J2243" i="2"/>
  <c r="K2243" i="2"/>
  <c r="L2243" i="2"/>
  <c r="M2243" i="2"/>
  <c r="N2243" i="2"/>
  <c r="O2243" i="2"/>
  <c r="P2243" i="2"/>
  <c r="Q2243" i="2"/>
  <c r="R2243" i="2"/>
  <c r="S2243" i="2"/>
  <c r="T2243" i="2"/>
  <c r="U2243" i="2"/>
  <c r="V2243" i="2"/>
  <c r="W2243" i="2"/>
  <c r="X2243" i="2"/>
  <c r="Y2243" i="2"/>
  <c r="A2244" i="2"/>
  <c r="B2244" i="2"/>
  <c r="C2244" i="2"/>
  <c r="D2244" i="2"/>
  <c r="E2244" i="2"/>
  <c r="F2244" i="2"/>
  <c r="G2244" i="2"/>
  <c r="H2244" i="2"/>
  <c r="I2244" i="2"/>
  <c r="J2244" i="2"/>
  <c r="K2244" i="2"/>
  <c r="L2244" i="2"/>
  <c r="M2244" i="2"/>
  <c r="N2244" i="2"/>
  <c r="O2244" i="2"/>
  <c r="P2244" i="2"/>
  <c r="Q2244" i="2"/>
  <c r="R2244" i="2"/>
  <c r="S2244" i="2"/>
  <c r="T2244" i="2"/>
  <c r="U2244" i="2"/>
  <c r="V2244" i="2"/>
  <c r="W2244" i="2"/>
  <c r="X2244" i="2"/>
  <c r="Y2244" i="2"/>
  <c r="A2245" i="2"/>
  <c r="B2245" i="2"/>
  <c r="C2245" i="2"/>
  <c r="D2245" i="2"/>
  <c r="E2245" i="2"/>
  <c r="F2245" i="2"/>
  <c r="G2245" i="2"/>
  <c r="H2245" i="2"/>
  <c r="I2245" i="2"/>
  <c r="J2245" i="2"/>
  <c r="K2245" i="2"/>
  <c r="L2245" i="2"/>
  <c r="M2245" i="2"/>
  <c r="N2245" i="2"/>
  <c r="O2245" i="2"/>
  <c r="P2245" i="2"/>
  <c r="Q2245" i="2"/>
  <c r="R2245" i="2"/>
  <c r="S2245" i="2"/>
  <c r="T2245" i="2"/>
  <c r="U2245" i="2"/>
  <c r="V2245" i="2"/>
  <c r="W2245" i="2"/>
  <c r="X2245" i="2"/>
  <c r="Y2245" i="2"/>
  <c r="A2246" i="2"/>
  <c r="B2246" i="2"/>
  <c r="C2246" i="2"/>
  <c r="D2246" i="2"/>
  <c r="E2246" i="2"/>
  <c r="F2246" i="2"/>
  <c r="G2246" i="2"/>
  <c r="H2246" i="2"/>
  <c r="I2246" i="2"/>
  <c r="J2246" i="2"/>
  <c r="K2246" i="2"/>
  <c r="L2246" i="2"/>
  <c r="M2246" i="2"/>
  <c r="N2246" i="2"/>
  <c r="O2246" i="2"/>
  <c r="P2246" i="2"/>
  <c r="Q2246" i="2"/>
  <c r="R2246" i="2"/>
  <c r="S2246" i="2"/>
  <c r="T2246" i="2"/>
  <c r="U2246" i="2"/>
  <c r="V2246" i="2"/>
  <c r="W2246" i="2"/>
  <c r="X2246" i="2"/>
  <c r="Y2246" i="2"/>
  <c r="A2247" i="2"/>
  <c r="B2247" i="2"/>
  <c r="C2247" i="2"/>
  <c r="D2247" i="2"/>
  <c r="E2247" i="2"/>
  <c r="F2247" i="2"/>
  <c r="G2247" i="2"/>
  <c r="H2247" i="2"/>
  <c r="I2247" i="2"/>
  <c r="J2247" i="2"/>
  <c r="K2247" i="2"/>
  <c r="L2247" i="2"/>
  <c r="M2247" i="2"/>
  <c r="N2247" i="2"/>
  <c r="O2247" i="2"/>
  <c r="P2247" i="2"/>
  <c r="Q2247" i="2"/>
  <c r="R2247" i="2"/>
  <c r="S2247" i="2"/>
  <c r="T2247" i="2"/>
  <c r="U2247" i="2"/>
  <c r="V2247" i="2"/>
  <c r="W2247" i="2"/>
  <c r="X2247" i="2"/>
  <c r="Y2247" i="2"/>
  <c r="B2248" i="2"/>
  <c r="C2248" i="2"/>
  <c r="D2248" i="2"/>
  <c r="E2248" i="2"/>
  <c r="F2248" i="2"/>
  <c r="G2248" i="2"/>
  <c r="H2248" i="2"/>
  <c r="I2248" i="2"/>
  <c r="J2248" i="2"/>
  <c r="K2248" i="2"/>
  <c r="L2248" i="2"/>
  <c r="M2248" i="2"/>
  <c r="N2248" i="2"/>
  <c r="O2248" i="2"/>
  <c r="P2248" i="2"/>
  <c r="Q2248" i="2"/>
  <c r="R2248" i="2"/>
  <c r="S2248" i="2"/>
  <c r="T2248" i="2"/>
  <c r="U2248" i="2"/>
  <c r="V2248" i="2"/>
  <c r="W2248" i="2"/>
  <c r="X2248" i="2"/>
  <c r="Y2248" i="2"/>
  <c r="A2249" i="2"/>
  <c r="B2249" i="2"/>
  <c r="C2249" i="2"/>
  <c r="D2249" i="2"/>
  <c r="E2249" i="2"/>
  <c r="F2249" i="2"/>
  <c r="G2249" i="2"/>
  <c r="H2249" i="2"/>
  <c r="I2249" i="2"/>
  <c r="J2249" i="2"/>
  <c r="K2249" i="2"/>
  <c r="L2249" i="2"/>
  <c r="M2249" i="2"/>
  <c r="N2249" i="2"/>
  <c r="O2249" i="2"/>
  <c r="P2249" i="2"/>
  <c r="Q2249" i="2"/>
  <c r="R2249" i="2"/>
  <c r="S2249" i="2"/>
  <c r="T2249" i="2"/>
  <c r="U2249" i="2"/>
  <c r="V2249" i="2"/>
  <c r="W2249" i="2"/>
  <c r="X2249" i="2"/>
  <c r="Y2249" i="2"/>
  <c r="A2250" i="2"/>
  <c r="B2250" i="2"/>
  <c r="C2250" i="2"/>
  <c r="D2250" i="2"/>
  <c r="E2250" i="2"/>
  <c r="F2250" i="2"/>
  <c r="G2250" i="2"/>
  <c r="H2250" i="2"/>
  <c r="I2250" i="2"/>
  <c r="J2250" i="2"/>
  <c r="K2250" i="2"/>
  <c r="L2250" i="2"/>
  <c r="M2250" i="2"/>
  <c r="N2250" i="2"/>
  <c r="O2250" i="2"/>
  <c r="P2250" i="2"/>
  <c r="Q2250" i="2"/>
  <c r="R2250" i="2"/>
  <c r="S2250" i="2"/>
  <c r="T2250" i="2"/>
  <c r="U2250" i="2"/>
  <c r="V2250" i="2"/>
  <c r="W2250" i="2"/>
  <c r="X2250" i="2"/>
  <c r="Y2250" i="2"/>
  <c r="A2251" i="2"/>
  <c r="B2251" i="2"/>
  <c r="C2251" i="2"/>
  <c r="D2251" i="2"/>
  <c r="E2251" i="2"/>
  <c r="F2251" i="2"/>
  <c r="G2251" i="2"/>
  <c r="H2251" i="2"/>
  <c r="I2251" i="2"/>
  <c r="J2251" i="2"/>
  <c r="K2251" i="2"/>
  <c r="L2251" i="2"/>
  <c r="M2251" i="2"/>
  <c r="N2251" i="2"/>
  <c r="O2251" i="2"/>
  <c r="P2251" i="2"/>
  <c r="Q2251" i="2"/>
  <c r="R2251" i="2"/>
  <c r="S2251" i="2"/>
  <c r="T2251" i="2"/>
  <c r="U2251" i="2"/>
  <c r="V2251" i="2"/>
  <c r="W2251" i="2"/>
  <c r="X2251" i="2"/>
  <c r="Y2251" i="2"/>
  <c r="A2252" i="2"/>
  <c r="B2252" i="2"/>
  <c r="C2252" i="2"/>
  <c r="D2252" i="2"/>
  <c r="E2252" i="2"/>
  <c r="F2252" i="2"/>
  <c r="G2252" i="2"/>
  <c r="H2252" i="2"/>
  <c r="I2252" i="2"/>
  <c r="J2252" i="2"/>
  <c r="K2252" i="2"/>
  <c r="L2252" i="2"/>
  <c r="M2252" i="2"/>
  <c r="N2252" i="2"/>
  <c r="O2252" i="2"/>
  <c r="P2252" i="2"/>
  <c r="Q2252" i="2"/>
  <c r="R2252" i="2"/>
  <c r="S2252" i="2"/>
  <c r="T2252" i="2"/>
  <c r="U2252" i="2"/>
  <c r="V2252" i="2"/>
  <c r="W2252" i="2"/>
  <c r="X2252" i="2"/>
  <c r="Y2252" i="2"/>
  <c r="A2253" i="2"/>
  <c r="B2253" i="2"/>
  <c r="C2253" i="2"/>
  <c r="D2253" i="2"/>
  <c r="E2253" i="2"/>
  <c r="F2253" i="2"/>
  <c r="G2253" i="2"/>
  <c r="H2253" i="2"/>
  <c r="I2253" i="2"/>
  <c r="J2253" i="2"/>
  <c r="K2253" i="2"/>
  <c r="L2253" i="2"/>
  <c r="M2253" i="2"/>
  <c r="N2253" i="2"/>
  <c r="O2253" i="2"/>
  <c r="P2253" i="2"/>
  <c r="Q2253" i="2"/>
  <c r="R2253" i="2"/>
  <c r="S2253" i="2"/>
  <c r="T2253" i="2"/>
  <c r="U2253" i="2"/>
  <c r="V2253" i="2"/>
  <c r="W2253" i="2"/>
  <c r="X2253" i="2"/>
  <c r="Y2253" i="2"/>
  <c r="A2254" i="2"/>
  <c r="B2254" i="2"/>
  <c r="C2254" i="2"/>
  <c r="D2254" i="2"/>
  <c r="E2254" i="2"/>
  <c r="F2254" i="2"/>
  <c r="G2254" i="2"/>
  <c r="H2254" i="2"/>
  <c r="I2254" i="2"/>
  <c r="J2254" i="2"/>
  <c r="K2254" i="2"/>
  <c r="L2254" i="2"/>
  <c r="M2254" i="2"/>
  <c r="N2254" i="2"/>
  <c r="O2254" i="2"/>
  <c r="P2254" i="2"/>
  <c r="Q2254" i="2"/>
  <c r="R2254" i="2"/>
  <c r="S2254" i="2"/>
  <c r="T2254" i="2"/>
  <c r="U2254" i="2"/>
  <c r="V2254" i="2"/>
  <c r="W2254" i="2"/>
  <c r="X2254" i="2"/>
  <c r="Y2254" i="2"/>
  <c r="A2255" i="2"/>
  <c r="B2255" i="2"/>
  <c r="C2255" i="2"/>
  <c r="D2255" i="2"/>
  <c r="E2255" i="2"/>
  <c r="F2255" i="2"/>
  <c r="G2255" i="2"/>
  <c r="H2255" i="2"/>
  <c r="I2255" i="2"/>
  <c r="J2255" i="2"/>
  <c r="K2255" i="2"/>
  <c r="L2255" i="2"/>
  <c r="M2255" i="2"/>
  <c r="N2255" i="2"/>
  <c r="O2255" i="2"/>
  <c r="P2255" i="2"/>
  <c r="Q2255" i="2"/>
  <c r="R2255" i="2"/>
  <c r="S2255" i="2"/>
  <c r="T2255" i="2"/>
  <c r="U2255" i="2"/>
  <c r="V2255" i="2"/>
  <c r="W2255" i="2"/>
  <c r="X2255" i="2"/>
  <c r="Y2255" i="2"/>
  <c r="A2256" i="2"/>
  <c r="B2256" i="2"/>
  <c r="C2256" i="2"/>
  <c r="D2256" i="2"/>
  <c r="E2256" i="2"/>
  <c r="F2256" i="2"/>
  <c r="G2256" i="2"/>
  <c r="H2256" i="2"/>
  <c r="I2256" i="2"/>
  <c r="J2256" i="2"/>
  <c r="K2256" i="2"/>
  <c r="L2256" i="2"/>
  <c r="M2256" i="2"/>
  <c r="N2256" i="2"/>
  <c r="O2256" i="2"/>
  <c r="P2256" i="2"/>
  <c r="Q2256" i="2"/>
  <c r="R2256" i="2"/>
  <c r="S2256" i="2"/>
  <c r="T2256" i="2"/>
  <c r="U2256" i="2"/>
  <c r="V2256" i="2"/>
  <c r="W2256" i="2"/>
  <c r="X2256" i="2"/>
  <c r="Y2256" i="2"/>
  <c r="A2257" i="2"/>
  <c r="B2257" i="2"/>
  <c r="C2257" i="2"/>
  <c r="D2257" i="2"/>
  <c r="E2257" i="2"/>
  <c r="F2257" i="2"/>
  <c r="G2257" i="2"/>
  <c r="H2257" i="2"/>
  <c r="I2257" i="2"/>
  <c r="J2257" i="2"/>
  <c r="K2257" i="2"/>
  <c r="L2257" i="2"/>
  <c r="M2257" i="2"/>
  <c r="N2257" i="2"/>
  <c r="O2257" i="2"/>
  <c r="P2257" i="2"/>
  <c r="Q2257" i="2"/>
  <c r="R2257" i="2"/>
  <c r="S2257" i="2"/>
  <c r="T2257" i="2"/>
  <c r="U2257" i="2"/>
  <c r="V2257" i="2"/>
  <c r="W2257" i="2"/>
  <c r="X2257" i="2"/>
  <c r="Y2257" i="2"/>
  <c r="A2258" i="2"/>
  <c r="B2258" i="2"/>
  <c r="C2258" i="2"/>
  <c r="D2258" i="2"/>
  <c r="E2258" i="2"/>
  <c r="F2258" i="2"/>
  <c r="G2258" i="2"/>
  <c r="H2258" i="2"/>
  <c r="I2258" i="2"/>
  <c r="J2258" i="2"/>
  <c r="K2258" i="2"/>
  <c r="L2258" i="2"/>
  <c r="M2258" i="2"/>
  <c r="N2258" i="2"/>
  <c r="O2258" i="2"/>
  <c r="P2258" i="2"/>
  <c r="Q2258" i="2"/>
  <c r="R2258" i="2"/>
  <c r="S2258" i="2"/>
  <c r="T2258" i="2"/>
  <c r="U2258" i="2"/>
  <c r="V2258" i="2"/>
  <c r="W2258" i="2"/>
  <c r="X2258" i="2"/>
  <c r="Y2258" i="2"/>
  <c r="A2259" i="2"/>
  <c r="B2259" i="2"/>
  <c r="C2259" i="2"/>
  <c r="D2259" i="2"/>
  <c r="E2259" i="2"/>
  <c r="F2259" i="2"/>
  <c r="G2259" i="2"/>
  <c r="H2259" i="2"/>
  <c r="I2259" i="2"/>
  <c r="J2259" i="2"/>
  <c r="K2259" i="2"/>
  <c r="L2259" i="2"/>
  <c r="M2259" i="2"/>
  <c r="N2259" i="2"/>
  <c r="O2259" i="2"/>
  <c r="P2259" i="2"/>
  <c r="Q2259" i="2"/>
  <c r="R2259" i="2"/>
  <c r="S2259" i="2"/>
  <c r="T2259" i="2"/>
  <c r="U2259" i="2"/>
  <c r="V2259" i="2"/>
  <c r="W2259" i="2"/>
  <c r="X2259" i="2"/>
  <c r="Y2259" i="2"/>
  <c r="A2260" i="2"/>
  <c r="B2260" i="2"/>
  <c r="C2260" i="2"/>
  <c r="D2260" i="2"/>
  <c r="E2260" i="2"/>
  <c r="F2260" i="2"/>
  <c r="G2260" i="2"/>
  <c r="H2260" i="2"/>
  <c r="I2260" i="2"/>
  <c r="J2260" i="2"/>
  <c r="K2260" i="2"/>
  <c r="L2260" i="2"/>
  <c r="M2260" i="2"/>
  <c r="N2260" i="2"/>
  <c r="O2260" i="2"/>
  <c r="P2260" i="2"/>
  <c r="Q2260" i="2"/>
  <c r="R2260" i="2"/>
  <c r="S2260" i="2"/>
  <c r="T2260" i="2"/>
  <c r="U2260" i="2"/>
  <c r="V2260" i="2"/>
  <c r="W2260" i="2"/>
  <c r="X2260" i="2"/>
  <c r="Y2260" i="2"/>
  <c r="A2261" i="2"/>
  <c r="B2261" i="2"/>
  <c r="C2261" i="2"/>
  <c r="D2261" i="2"/>
  <c r="E2261" i="2"/>
  <c r="F2261" i="2"/>
  <c r="G2261" i="2"/>
  <c r="H2261" i="2"/>
  <c r="I2261" i="2"/>
  <c r="J2261" i="2"/>
  <c r="K2261" i="2"/>
  <c r="L2261" i="2"/>
  <c r="M2261" i="2"/>
  <c r="N2261" i="2"/>
  <c r="O2261" i="2"/>
  <c r="P2261" i="2"/>
  <c r="Q2261" i="2"/>
  <c r="R2261" i="2"/>
  <c r="S2261" i="2"/>
  <c r="T2261" i="2"/>
  <c r="U2261" i="2"/>
  <c r="V2261" i="2"/>
  <c r="W2261" i="2"/>
  <c r="X2261" i="2"/>
  <c r="Y2261" i="2"/>
  <c r="A2262" i="2"/>
  <c r="B2262" i="2"/>
  <c r="C2262" i="2"/>
  <c r="D2262" i="2"/>
  <c r="E2262" i="2"/>
  <c r="F2262" i="2"/>
  <c r="G2262" i="2"/>
  <c r="H2262" i="2"/>
  <c r="I2262" i="2"/>
  <c r="J2262" i="2"/>
  <c r="K2262" i="2"/>
  <c r="L2262" i="2"/>
  <c r="M2262" i="2"/>
  <c r="N2262" i="2"/>
  <c r="O2262" i="2"/>
  <c r="P2262" i="2"/>
  <c r="Q2262" i="2"/>
  <c r="R2262" i="2"/>
  <c r="S2262" i="2"/>
  <c r="T2262" i="2"/>
  <c r="U2262" i="2"/>
  <c r="V2262" i="2"/>
  <c r="W2262" i="2"/>
  <c r="X2262" i="2"/>
  <c r="Y2262" i="2"/>
  <c r="A2263" i="2"/>
  <c r="B2263" i="2"/>
  <c r="C2263" i="2"/>
  <c r="D2263" i="2"/>
  <c r="E2263" i="2"/>
  <c r="F2263" i="2"/>
  <c r="G2263" i="2"/>
  <c r="H2263" i="2"/>
  <c r="I2263" i="2"/>
  <c r="J2263" i="2"/>
  <c r="K2263" i="2"/>
  <c r="L2263" i="2"/>
  <c r="M2263" i="2"/>
  <c r="N2263" i="2"/>
  <c r="O2263" i="2"/>
  <c r="P2263" i="2"/>
  <c r="Q2263" i="2"/>
  <c r="R2263" i="2"/>
  <c r="S2263" i="2"/>
  <c r="T2263" i="2"/>
  <c r="U2263" i="2"/>
  <c r="V2263" i="2"/>
  <c r="W2263" i="2"/>
  <c r="X2263" i="2"/>
  <c r="Y2263" i="2"/>
  <c r="B2264" i="2"/>
  <c r="C2264" i="2"/>
  <c r="D2264" i="2"/>
  <c r="E2264" i="2"/>
  <c r="F2264" i="2"/>
  <c r="G2264" i="2"/>
  <c r="H2264" i="2"/>
  <c r="I2264" i="2"/>
  <c r="J2264" i="2"/>
  <c r="K2264" i="2"/>
  <c r="L2264" i="2"/>
  <c r="M2264" i="2"/>
  <c r="N2264" i="2"/>
  <c r="O2264" i="2"/>
  <c r="P2264" i="2"/>
  <c r="Q2264" i="2"/>
  <c r="R2264" i="2"/>
  <c r="S2264" i="2"/>
  <c r="T2264" i="2"/>
  <c r="U2264" i="2"/>
  <c r="V2264" i="2"/>
  <c r="W2264" i="2"/>
  <c r="X2264" i="2"/>
  <c r="Y2264" i="2"/>
  <c r="A2265" i="2"/>
  <c r="B2265" i="2"/>
  <c r="C2265" i="2"/>
  <c r="D2265" i="2"/>
  <c r="E2265" i="2"/>
  <c r="F2265" i="2"/>
  <c r="G2265" i="2"/>
  <c r="H2265" i="2"/>
  <c r="I2265" i="2"/>
  <c r="J2265" i="2"/>
  <c r="K2265" i="2"/>
  <c r="L2265" i="2"/>
  <c r="M2265" i="2"/>
  <c r="N2265" i="2"/>
  <c r="O2265" i="2"/>
  <c r="P2265" i="2"/>
  <c r="Q2265" i="2"/>
  <c r="R2265" i="2"/>
  <c r="S2265" i="2"/>
  <c r="T2265" i="2"/>
  <c r="U2265" i="2"/>
  <c r="V2265" i="2"/>
  <c r="W2265" i="2"/>
  <c r="X2265" i="2"/>
  <c r="Y2265" i="2"/>
  <c r="A2266" i="2"/>
  <c r="B2266" i="2"/>
  <c r="C2266" i="2"/>
  <c r="D2266" i="2"/>
  <c r="E2266" i="2"/>
  <c r="F2266" i="2"/>
  <c r="G2266" i="2"/>
  <c r="H2266" i="2"/>
  <c r="I2266" i="2"/>
  <c r="J2266" i="2"/>
  <c r="K2266" i="2"/>
  <c r="L2266" i="2"/>
  <c r="M2266" i="2"/>
  <c r="N2266" i="2"/>
  <c r="O2266" i="2"/>
  <c r="P2266" i="2"/>
  <c r="Q2266" i="2"/>
  <c r="R2266" i="2"/>
  <c r="S2266" i="2"/>
  <c r="T2266" i="2"/>
  <c r="U2266" i="2"/>
  <c r="V2266" i="2"/>
  <c r="W2266" i="2"/>
  <c r="X2266" i="2"/>
  <c r="Y2266" i="2"/>
  <c r="A2267" i="2"/>
  <c r="B2267" i="2"/>
  <c r="C2267" i="2"/>
  <c r="D2267" i="2"/>
  <c r="E2267" i="2"/>
  <c r="F2267" i="2"/>
  <c r="G2267" i="2"/>
  <c r="H2267" i="2"/>
  <c r="I2267" i="2"/>
  <c r="J2267" i="2"/>
  <c r="K2267" i="2"/>
  <c r="L2267" i="2"/>
  <c r="M2267" i="2"/>
  <c r="N2267" i="2"/>
  <c r="O2267" i="2"/>
  <c r="P2267" i="2"/>
  <c r="Q2267" i="2"/>
  <c r="R2267" i="2"/>
  <c r="S2267" i="2"/>
  <c r="T2267" i="2"/>
  <c r="U2267" i="2"/>
  <c r="V2267" i="2"/>
  <c r="W2267" i="2"/>
  <c r="X2267" i="2"/>
  <c r="Y2267" i="2"/>
  <c r="A2268" i="2"/>
  <c r="B2268" i="2"/>
  <c r="C2268" i="2"/>
  <c r="D2268" i="2"/>
  <c r="E2268" i="2"/>
  <c r="F2268" i="2"/>
  <c r="G2268" i="2"/>
  <c r="H2268" i="2"/>
  <c r="I2268" i="2"/>
  <c r="J2268" i="2"/>
  <c r="K2268" i="2"/>
  <c r="L2268" i="2"/>
  <c r="M2268" i="2"/>
  <c r="N2268" i="2"/>
  <c r="O2268" i="2"/>
  <c r="P2268" i="2"/>
  <c r="Q2268" i="2"/>
  <c r="R2268" i="2"/>
  <c r="S2268" i="2"/>
  <c r="T2268" i="2"/>
  <c r="U2268" i="2"/>
  <c r="V2268" i="2"/>
  <c r="W2268" i="2"/>
  <c r="X2268" i="2"/>
  <c r="Y2268" i="2"/>
  <c r="A2269" i="2"/>
  <c r="B2269" i="2"/>
  <c r="C2269" i="2"/>
  <c r="D2269" i="2"/>
  <c r="E2269" i="2"/>
  <c r="F2269" i="2"/>
  <c r="G2269" i="2"/>
  <c r="H2269" i="2"/>
  <c r="I2269" i="2"/>
  <c r="J2269" i="2"/>
  <c r="K2269" i="2"/>
  <c r="L2269" i="2"/>
  <c r="M2269" i="2"/>
  <c r="N2269" i="2"/>
  <c r="O2269" i="2"/>
  <c r="P2269" i="2"/>
  <c r="Q2269" i="2"/>
  <c r="R2269" i="2"/>
  <c r="S2269" i="2"/>
  <c r="T2269" i="2"/>
  <c r="U2269" i="2"/>
  <c r="V2269" i="2"/>
  <c r="W2269" i="2"/>
  <c r="X2269" i="2"/>
  <c r="Y2269" i="2"/>
  <c r="A2270" i="2"/>
  <c r="B2270" i="2"/>
  <c r="C2270" i="2"/>
  <c r="D2270" i="2"/>
  <c r="E2270" i="2"/>
  <c r="F2270" i="2"/>
  <c r="G2270" i="2"/>
  <c r="H2270" i="2"/>
  <c r="I2270" i="2"/>
  <c r="J2270" i="2"/>
  <c r="K2270" i="2"/>
  <c r="L2270" i="2"/>
  <c r="M2270" i="2"/>
  <c r="N2270" i="2"/>
  <c r="O2270" i="2"/>
  <c r="P2270" i="2"/>
  <c r="Q2270" i="2"/>
  <c r="R2270" i="2"/>
  <c r="S2270" i="2"/>
  <c r="T2270" i="2"/>
  <c r="U2270" i="2"/>
  <c r="V2270" i="2"/>
  <c r="W2270" i="2"/>
  <c r="X2270" i="2"/>
  <c r="Y2270" i="2"/>
  <c r="A2271" i="2"/>
  <c r="B2271" i="2"/>
  <c r="C2271" i="2"/>
  <c r="D2271" i="2"/>
  <c r="E2271" i="2"/>
  <c r="F2271" i="2"/>
  <c r="G2271" i="2"/>
  <c r="H2271" i="2"/>
  <c r="I2271" i="2"/>
  <c r="J2271" i="2"/>
  <c r="K2271" i="2"/>
  <c r="L2271" i="2"/>
  <c r="M2271" i="2"/>
  <c r="N2271" i="2"/>
  <c r="O2271" i="2"/>
  <c r="P2271" i="2"/>
  <c r="Q2271" i="2"/>
  <c r="R2271" i="2"/>
  <c r="S2271" i="2"/>
  <c r="T2271" i="2"/>
  <c r="U2271" i="2"/>
  <c r="V2271" i="2"/>
  <c r="W2271" i="2"/>
  <c r="X2271" i="2"/>
  <c r="Y2271" i="2"/>
  <c r="A2272" i="2"/>
  <c r="B2272" i="2"/>
  <c r="C2272" i="2"/>
  <c r="D2272" i="2"/>
  <c r="E2272" i="2"/>
  <c r="F2272" i="2"/>
  <c r="G2272" i="2"/>
  <c r="H2272" i="2"/>
  <c r="I2272" i="2"/>
  <c r="J2272" i="2"/>
  <c r="K2272" i="2"/>
  <c r="L2272" i="2"/>
  <c r="M2272" i="2"/>
  <c r="N2272" i="2"/>
  <c r="O2272" i="2"/>
  <c r="P2272" i="2"/>
  <c r="Q2272" i="2"/>
  <c r="R2272" i="2"/>
  <c r="S2272" i="2"/>
  <c r="T2272" i="2"/>
  <c r="U2272" i="2"/>
  <c r="V2272" i="2"/>
  <c r="W2272" i="2"/>
  <c r="X2272" i="2"/>
  <c r="Y2272" i="2"/>
  <c r="A2273" i="2"/>
  <c r="B2273" i="2"/>
  <c r="C2273" i="2"/>
  <c r="D2273" i="2"/>
  <c r="E2273" i="2"/>
  <c r="F2273" i="2"/>
  <c r="G2273" i="2"/>
  <c r="H2273" i="2"/>
  <c r="I2273" i="2"/>
  <c r="J2273" i="2"/>
  <c r="K2273" i="2"/>
  <c r="L2273" i="2"/>
  <c r="M2273" i="2"/>
  <c r="N2273" i="2"/>
  <c r="O2273" i="2"/>
  <c r="P2273" i="2"/>
  <c r="Q2273" i="2"/>
  <c r="R2273" i="2"/>
  <c r="S2273" i="2"/>
  <c r="T2273" i="2"/>
  <c r="U2273" i="2"/>
  <c r="V2273" i="2"/>
  <c r="W2273" i="2"/>
  <c r="X2273" i="2"/>
  <c r="Y2273" i="2"/>
  <c r="A2274" i="2"/>
  <c r="B2274" i="2"/>
  <c r="C2274" i="2"/>
  <c r="D2274" i="2"/>
  <c r="E2274" i="2"/>
  <c r="F2274" i="2"/>
  <c r="G2274" i="2"/>
  <c r="H2274" i="2"/>
  <c r="I2274" i="2"/>
  <c r="J2274" i="2"/>
  <c r="K2274" i="2"/>
  <c r="L2274" i="2"/>
  <c r="M2274" i="2"/>
  <c r="N2274" i="2"/>
  <c r="O2274" i="2"/>
  <c r="P2274" i="2"/>
  <c r="Q2274" i="2"/>
  <c r="R2274" i="2"/>
  <c r="S2274" i="2"/>
  <c r="T2274" i="2"/>
  <c r="U2274" i="2"/>
  <c r="V2274" i="2"/>
  <c r="W2274" i="2"/>
  <c r="X2274" i="2"/>
  <c r="Y2274" i="2"/>
  <c r="A2275" i="2"/>
  <c r="B2275" i="2"/>
  <c r="C2275" i="2"/>
  <c r="D2275" i="2"/>
  <c r="E2275" i="2"/>
  <c r="F2275" i="2"/>
  <c r="G2275" i="2"/>
  <c r="H2275" i="2"/>
  <c r="I2275" i="2"/>
  <c r="J2275" i="2"/>
  <c r="K2275" i="2"/>
  <c r="L2275" i="2"/>
  <c r="M2275" i="2"/>
  <c r="N2275" i="2"/>
  <c r="O2275" i="2"/>
  <c r="P2275" i="2"/>
  <c r="Q2275" i="2"/>
  <c r="R2275" i="2"/>
  <c r="S2275" i="2"/>
  <c r="T2275" i="2"/>
  <c r="U2275" i="2"/>
  <c r="V2275" i="2"/>
  <c r="W2275" i="2"/>
  <c r="X2275" i="2"/>
  <c r="Y2275" i="2"/>
  <c r="A2276" i="2"/>
  <c r="B2276" i="2"/>
  <c r="C2276" i="2"/>
  <c r="D2276" i="2"/>
  <c r="E2276" i="2"/>
  <c r="F2276" i="2"/>
  <c r="G2276" i="2"/>
  <c r="H2276" i="2"/>
  <c r="I2276" i="2"/>
  <c r="J2276" i="2"/>
  <c r="K2276" i="2"/>
  <c r="L2276" i="2"/>
  <c r="M2276" i="2"/>
  <c r="N2276" i="2"/>
  <c r="O2276" i="2"/>
  <c r="P2276" i="2"/>
  <c r="Q2276" i="2"/>
  <c r="R2276" i="2"/>
  <c r="S2276" i="2"/>
  <c r="T2276" i="2"/>
  <c r="U2276" i="2"/>
  <c r="V2276" i="2"/>
  <c r="W2276" i="2"/>
  <c r="X2276" i="2"/>
  <c r="Y2276" i="2"/>
  <c r="A2277" i="2"/>
  <c r="B2277" i="2"/>
  <c r="C2277" i="2"/>
  <c r="D2277" i="2"/>
  <c r="E2277" i="2"/>
  <c r="F2277" i="2"/>
  <c r="G2277" i="2"/>
  <c r="H2277" i="2"/>
  <c r="I2277" i="2"/>
  <c r="J2277" i="2"/>
  <c r="K2277" i="2"/>
  <c r="L2277" i="2"/>
  <c r="M2277" i="2"/>
  <c r="N2277" i="2"/>
  <c r="O2277" i="2"/>
  <c r="P2277" i="2"/>
  <c r="Q2277" i="2"/>
  <c r="R2277" i="2"/>
  <c r="S2277" i="2"/>
  <c r="T2277" i="2"/>
  <c r="U2277" i="2"/>
  <c r="V2277" i="2"/>
  <c r="W2277" i="2"/>
  <c r="X2277" i="2"/>
  <c r="Y2277" i="2"/>
  <c r="A2278" i="2"/>
  <c r="B2278" i="2"/>
  <c r="C2278" i="2"/>
  <c r="D2278" i="2"/>
  <c r="E2278" i="2"/>
  <c r="F2278" i="2"/>
  <c r="G2278" i="2"/>
  <c r="H2278" i="2"/>
  <c r="I2278" i="2"/>
  <c r="J2278" i="2"/>
  <c r="K2278" i="2"/>
  <c r="L2278" i="2"/>
  <c r="M2278" i="2"/>
  <c r="N2278" i="2"/>
  <c r="O2278" i="2"/>
  <c r="P2278" i="2"/>
  <c r="Q2278" i="2"/>
  <c r="R2278" i="2"/>
  <c r="S2278" i="2"/>
  <c r="T2278" i="2"/>
  <c r="U2278" i="2"/>
  <c r="V2278" i="2"/>
  <c r="W2278" i="2"/>
  <c r="X2278" i="2"/>
  <c r="Y2278" i="2"/>
  <c r="A2279" i="2"/>
  <c r="B2279" i="2"/>
  <c r="C2279" i="2"/>
  <c r="D2279" i="2"/>
  <c r="E2279" i="2"/>
  <c r="F2279" i="2"/>
  <c r="G2279" i="2"/>
  <c r="H2279" i="2"/>
  <c r="I2279" i="2"/>
  <c r="J2279" i="2"/>
  <c r="K2279" i="2"/>
  <c r="L2279" i="2"/>
  <c r="M2279" i="2"/>
  <c r="N2279" i="2"/>
  <c r="O2279" i="2"/>
  <c r="P2279" i="2"/>
  <c r="Q2279" i="2"/>
  <c r="R2279" i="2"/>
  <c r="S2279" i="2"/>
  <c r="T2279" i="2"/>
  <c r="U2279" i="2"/>
  <c r="V2279" i="2"/>
  <c r="W2279" i="2"/>
  <c r="X2279" i="2"/>
  <c r="Y2279" i="2"/>
  <c r="B2280" i="2"/>
  <c r="C2280" i="2"/>
  <c r="D2280" i="2"/>
  <c r="E2280" i="2"/>
  <c r="F2280" i="2"/>
  <c r="G2280" i="2"/>
  <c r="H2280" i="2"/>
  <c r="I2280" i="2"/>
  <c r="J2280" i="2"/>
  <c r="K2280" i="2"/>
  <c r="L2280" i="2"/>
  <c r="M2280" i="2"/>
  <c r="N2280" i="2"/>
  <c r="O2280" i="2"/>
  <c r="P2280" i="2"/>
  <c r="Q2280" i="2"/>
  <c r="R2280" i="2"/>
  <c r="S2280" i="2"/>
  <c r="T2280" i="2"/>
  <c r="U2280" i="2"/>
  <c r="V2280" i="2"/>
  <c r="W2280" i="2"/>
  <c r="X2280" i="2"/>
  <c r="Y2280" i="2"/>
  <c r="A2281" i="2"/>
  <c r="B2281" i="2"/>
  <c r="C2281" i="2"/>
  <c r="D2281" i="2"/>
  <c r="E2281" i="2"/>
  <c r="F2281" i="2"/>
  <c r="G2281" i="2"/>
  <c r="H2281" i="2"/>
  <c r="I2281" i="2"/>
  <c r="J2281" i="2"/>
  <c r="K2281" i="2"/>
  <c r="L2281" i="2"/>
  <c r="M2281" i="2"/>
  <c r="N2281" i="2"/>
  <c r="O2281" i="2"/>
  <c r="P2281" i="2"/>
  <c r="Q2281" i="2"/>
  <c r="R2281" i="2"/>
  <c r="S2281" i="2"/>
  <c r="T2281" i="2"/>
  <c r="U2281" i="2"/>
  <c r="V2281" i="2"/>
  <c r="W2281" i="2"/>
  <c r="X2281" i="2"/>
  <c r="Y2281" i="2"/>
  <c r="A2282" i="2"/>
  <c r="B2282" i="2"/>
  <c r="C2282" i="2"/>
  <c r="D2282" i="2"/>
  <c r="E2282" i="2"/>
  <c r="F2282" i="2"/>
  <c r="G2282" i="2"/>
  <c r="H2282" i="2"/>
  <c r="I2282" i="2"/>
  <c r="J2282" i="2"/>
  <c r="K2282" i="2"/>
  <c r="L2282" i="2"/>
  <c r="M2282" i="2"/>
  <c r="N2282" i="2"/>
  <c r="O2282" i="2"/>
  <c r="P2282" i="2"/>
  <c r="Q2282" i="2"/>
  <c r="R2282" i="2"/>
  <c r="S2282" i="2"/>
  <c r="T2282" i="2"/>
  <c r="U2282" i="2"/>
  <c r="V2282" i="2"/>
  <c r="W2282" i="2"/>
  <c r="X2282" i="2"/>
  <c r="Y2282" i="2"/>
  <c r="A2283" i="2"/>
  <c r="B2283" i="2"/>
  <c r="C2283" i="2"/>
  <c r="D2283" i="2"/>
  <c r="E2283" i="2"/>
  <c r="F2283" i="2"/>
  <c r="G2283" i="2"/>
  <c r="H2283" i="2"/>
  <c r="I2283" i="2"/>
  <c r="J2283" i="2"/>
  <c r="K2283" i="2"/>
  <c r="L2283" i="2"/>
  <c r="M2283" i="2"/>
  <c r="N2283" i="2"/>
  <c r="O2283" i="2"/>
  <c r="P2283" i="2"/>
  <c r="Q2283" i="2"/>
  <c r="R2283" i="2"/>
  <c r="S2283" i="2"/>
  <c r="T2283" i="2"/>
  <c r="U2283" i="2"/>
  <c r="V2283" i="2"/>
  <c r="W2283" i="2"/>
  <c r="X2283" i="2"/>
  <c r="Y2283" i="2"/>
  <c r="A2284" i="2"/>
  <c r="B2284" i="2"/>
  <c r="C2284" i="2"/>
  <c r="D2284" i="2"/>
  <c r="E2284" i="2"/>
  <c r="F2284" i="2"/>
  <c r="G2284" i="2"/>
  <c r="H2284" i="2"/>
  <c r="I2284" i="2"/>
  <c r="J2284" i="2"/>
  <c r="K2284" i="2"/>
  <c r="L2284" i="2"/>
  <c r="M2284" i="2"/>
  <c r="N2284" i="2"/>
  <c r="O2284" i="2"/>
  <c r="P2284" i="2"/>
  <c r="Q2284" i="2"/>
  <c r="R2284" i="2"/>
  <c r="S2284" i="2"/>
  <c r="T2284" i="2"/>
  <c r="U2284" i="2"/>
  <c r="V2284" i="2"/>
  <c r="W2284" i="2"/>
  <c r="X2284" i="2"/>
  <c r="Y2284" i="2"/>
  <c r="A2285" i="2"/>
  <c r="B2285" i="2"/>
  <c r="C2285" i="2"/>
  <c r="D2285" i="2"/>
  <c r="E2285" i="2"/>
  <c r="F2285" i="2"/>
  <c r="G2285" i="2"/>
  <c r="H2285" i="2"/>
  <c r="I2285" i="2"/>
  <c r="J2285" i="2"/>
  <c r="K2285" i="2"/>
  <c r="L2285" i="2"/>
  <c r="M2285" i="2"/>
  <c r="N2285" i="2"/>
  <c r="O2285" i="2"/>
  <c r="P2285" i="2"/>
  <c r="Q2285" i="2"/>
  <c r="R2285" i="2"/>
  <c r="S2285" i="2"/>
  <c r="T2285" i="2"/>
  <c r="U2285" i="2"/>
  <c r="V2285" i="2"/>
  <c r="W2285" i="2"/>
  <c r="X2285" i="2"/>
  <c r="Y2285" i="2"/>
  <c r="A2286" i="2"/>
  <c r="B2286" i="2"/>
  <c r="C2286" i="2"/>
  <c r="D2286" i="2"/>
  <c r="E2286" i="2"/>
  <c r="F2286" i="2"/>
  <c r="G2286" i="2"/>
  <c r="H2286" i="2"/>
  <c r="I2286" i="2"/>
  <c r="J2286" i="2"/>
  <c r="K2286" i="2"/>
  <c r="L2286" i="2"/>
  <c r="M2286" i="2"/>
  <c r="N2286" i="2"/>
  <c r="O2286" i="2"/>
  <c r="P2286" i="2"/>
  <c r="Q2286" i="2"/>
  <c r="R2286" i="2"/>
  <c r="S2286" i="2"/>
  <c r="T2286" i="2"/>
  <c r="U2286" i="2"/>
  <c r="V2286" i="2"/>
  <c r="W2286" i="2"/>
  <c r="X2286" i="2"/>
  <c r="Y2286" i="2"/>
  <c r="A2287" i="2"/>
  <c r="B2287" i="2"/>
  <c r="C2287" i="2"/>
  <c r="D2287" i="2"/>
  <c r="E2287" i="2"/>
  <c r="F2287" i="2"/>
  <c r="G2287" i="2"/>
  <c r="H2287" i="2"/>
  <c r="I2287" i="2"/>
  <c r="J2287" i="2"/>
  <c r="K2287" i="2"/>
  <c r="L2287" i="2"/>
  <c r="M2287" i="2"/>
  <c r="N2287" i="2"/>
  <c r="O2287" i="2"/>
  <c r="P2287" i="2"/>
  <c r="Q2287" i="2"/>
  <c r="R2287" i="2"/>
  <c r="S2287" i="2"/>
  <c r="T2287" i="2"/>
  <c r="U2287" i="2"/>
  <c r="V2287" i="2"/>
  <c r="W2287" i="2"/>
  <c r="X2287" i="2"/>
  <c r="Y2287" i="2"/>
  <c r="A2288" i="2"/>
  <c r="B2288" i="2"/>
  <c r="C2288" i="2"/>
  <c r="D2288" i="2"/>
  <c r="E2288" i="2"/>
  <c r="F2288" i="2"/>
  <c r="G2288" i="2"/>
  <c r="H2288" i="2"/>
  <c r="I2288" i="2"/>
  <c r="J2288" i="2"/>
  <c r="K2288" i="2"/>
  <c r="L2288" i="2"/>
  <c r="M2288" i="2"/>
  <c r="N2288" i="2"/>
  <c r="O2288" i="2"/>
  <c r="P2288" i="2"/>
  <c r="Q2288" i="2"/>
  <c r="R2288" i="2"/>
  <c r="S2288" i="2"/>
  <c r="T2288" i="2"/>
  <c r="U2288" i="2"/>
  <c r="V2288" i="2"/>
  <c r="W2288" i="2"/>
  <c r="X2288" i="2"/>
  <c r="Y2288" i="2"/>
  <c r="A2289" i="2"/>
  <c r="B2289" i="2"/>
  <c r="C2289" i="2"/>
  <c r="D2289" i="2"/>
  <c r="E2289" i="2"/>
  <c r="F2289" i="2"/>
  <c r="G2289" i="2"/>
  <c r="H2289" i="2"/>
  <c r="I2289" i="2"/>
  <c r="J2289" i="2"/>
  <c r="K2289" i="2"/>
  <c r="L2289" i="2"/>
  <c r="M2289" i="2"/>
  <c r="N2289" i="2"/>
  <c r="O2289" i="2"/>
  <c r="P2289" i="2"/>
  <c r="Q2289" i="2"/>
  <c r="R2289" i="2"/>
  <c r="S2289" i="2"/>
  <c r="T2289" i="2"/>
  <c r="U2289" i="2"/>
  <c r="V2289" i="2"/>
  <c r="W2289" i="2"/>
  <c r="X2289" i="2"/>
  <c r="Y2289" i="2"/>
  <c r="A2290" i="2"/>
  <c r="B2290" i="2"/>
  <c r="C2290" i="2"/>
  <c r="D2290" i="2"/>
  <c r="E2290" i="2"/>
  <c r="F2290" i="2"/>
  <c r="G2290" i="2"/>
  <c r="H2290" i="2"/>
  <c r="I2290" i="2"/>
  <c r="J2290" i="2"/>
  <c r="K2290" i="2"/>
  <c r="L2290" i="2"/>
  <c r="M2290" i="2"/>
  <c r="N2290" i="2"/>
  <c r="O2290" i="2"/>
  <c r="P2290" i="2"/>
  <c r="Q2290" i="2"/>
  <c r="R2290" i="2"/>
  <c r="S2290" i="2"/>
  <c r="T2290" i="2"/>
  <c r="U2290" i="2"/>
  <c r="V2290" i="2"/>
  <c r="W2290" i="2"/>
  <c r="X2290" i="2"/>
  <c r="Y2290" i="2"/>
  <c r="A2291" i="2"/>
  <c r="B2291" i="2"/>
  <c r="C2291" i="2"/>
  <c r="D2291" i="2"/>
  <c r="E2291" i="2"/>
  <c r="F2291" i="2"/>
  <c r="G2291" i="2"/>
  <c r="H2291" i="2"/>
  <c r="I2291" i="2"/>
  <c r="J2291" i="2"/>
  <c r="K2291" i="2"/>
  <c r="L2291" i="2"/>
  <c r="M2291" i="2"/>
  <c r="N2291" i="2"/>
  <c r="O2291" i="2"/>
  <c r="P2291" i="2"/>
  <c r="Q2291" i="2"/>
  <c r="R2291" i="2"/>
  <c r="S2291" i="2"/>
  <c r="T2291" i="2"/>
  <c r="U2291" i="2"/>
  <c r="V2291" i="2"/>
  <c r="W2291" i="2"/>
  <c r="X2291" i="2"/>
  <c r="Y2291" i="2"/>
  <c r="A2292" i="2"/>
  <c r="B2292" i="2"/>
  <c r="C2292" i="2"/>
  <c r="D2292" i="2"/>
  <c r="E2292" i="2"/>
  <c r="F2292" i="2"/>
  <c r="G2292" i="2"/>
  <c r="H2292" i="2"/>
  <c r="I2292" i="2"/>
  <c r="J2292" i="2"/>
  <c r="K2292" i="2"/>
  <c r="L2292" i="2"/>
  <c r="M2292" i="2"/>
  <c r="N2292" i="2"/>
  <c r="O2292" i="2"/>
  <c r="P2292" i="2"/>
  <c r="Q2292" i="2"/>
  <c r="R2292" i="2"/>
  <c r="S2292" i="2"/>
  <c r="T2292" i="2"/>
  <c r="U2292" i="2"/>
  <c r="V2292" i="2"/>
  <c r="W2292" i="2"/>
  <c r="X2292" i="2"/>
  <c r="Y2292" i="2"/>
  <c r="A2293" i="2"/>
  <c r="B2293" i="2"/>
  <c r="C2293" i="2"/>
  <c r="D2293" i="2"/>
  <c r="E2293" i="2"/>
  <c r="F2293" i="2"/>
  <c r="G2293" i="2"/>
  <c r="H2293" i="2"/>
  <c r="I2293" i="2"/>
  <c r="J2293" i="2"/>
  <c r="K2293" i="2"/>
  <c r="L2293" i="2"/>
  <c r="M2293" i="2"/>
  <c r="N2293" i="2"/>
  <c r="O2293" i="2"/>
  <c r="P2293" i="2"/>
  <c r="Q2293" i="2"/>
  <c r="R2293" i="2"/>
  <c r="S2293" i="2"/>
  <c r="T2293" i="2"/>
  <c r="U2293" i="2"/>
  <c r="V2293" i="2"/>
  <c r="W2293" i="2"/>
  <c r="X2293" i="2"/>
  <c r="Y2293" i="2"/>
  <c r="A2294" i="2"/>
  <c r="B2294" i="2"/>
  <c r="C2294" i="2"/>
  <c r="D2294" i="2"/>
  <c r="E2294" i="2"/>
  <c r="F2294" i="2"/>
  <c r="G2294" i="2"/>
  <c r="H2294" i="2"/>
  <c r="I2294" i="2"/>
  <c r="J2294" i="2"/>
  <c r="K2294" i="2"/>
  <c r="L2294" i="2"/>
  <c r="M2294" i="2"/>
  <c r="N2294" i="2"/>
  <c r="O2294" i="2"/>
  <c r="P2294" i="2"/>
  <c r="Q2294" i="2"/>
  <c r="R2294" i="2"/>
  <c r="S2294" i="2"/>
  <c r="T2294" i="2"/>
  <c r="U2294" i="2"/>
  <c r="V2294" i="2"/>
  <c r="W2294" i="2"/>
  <c r="X2294" i="2"/>
  <c r="Y2294" i="2"/>
  <c r="A2295" i="2"/>
  <c r="B2295" i="2"/>
  <c r="C2295" i="2"/>
  <c r="D2295" i="2"/>
  <c r="E2295" i="2"/>
  <c r="F2295" i="2"/>
  <c r="G2295" i="2"/>
  <c r="H2295" i="2"/>
  <c r="I2295" i="2"/>
  <c r="J2295" i="2"/>
  <c r="K2295" i="2"/>
  <c r="L2295" i="2"/>
  <c r="M2295" i="2"/>
  <c r="N2295" i="2"/>
  <c r="O2295" i="2"/>
  <c r="P2295" i="2"/>
  <c r="Q2295" i="2"/>
  <c r="R2295" i="2"/>
  <c r="S2295" i="2"/>
  <c r="T2295" i="2"/>
  <c r="U2295" i="2"/>
  <c r="V2295" i="2"/>
  <c r="W2295" i="2"/>
  <c r="X2295" i="2"/>
  <c r="Y2295" i="2"/>
  <c r="B2296" i="2"/>
  <c r="C2296" i="2"/>
  <c r="D2296" i="2"/>
  <c r="E2296" i="2"/>
  <c r="F2296" i="2"/>
  <c r="G2296" i="2"/>
  <c r="H2296" i="2"/>
  <c r="I2296" i="2"/>
  <c r="J2296" i="2"/>
  <c r="K2296" i="2"/>
  <c r="L2296" i="2"/>
  <c r="M2296" i="2"/>
  <c r="N2296" i="2"/>
  <c r="O2296" i="2"/>
  <c r="P2296" i="2"/>
  <c r="Q2296" i="2"/>
  <c r="R2296" i="2"/>
  <c r="S2296" i="2"/>
  <c r="T2296" i="2"/>
  <c r="U2296" i="2"/>
  <c r="V2296" i="2"/>
  <c r="W2296" i="2"/>
  <c r="X2296" i="2"/>
  <c r="Y2296" i="2"/>
  <c r="A2297" i="2"/>
  <c r="B2297" i="2"/>
  <c r="C2297" i="2"/>
  <c r="D2297" i="2"/>
  <c r="E2297" i="2"/>
  <c r="F2297" i="2"/>
  <c r="G2297" i="2"/>
  <c r="H2297" i="2"/>
  <c r="I2297" i="2"/>
  <c r="J2297" i="2"/>
  <c r="K2297" i="2"/>
  <c r="L2297" i="2"/>
  <c r="M2297" i="2"/>
  <c r="N2297" i="2"/>
  <c r="O2297" i="2"/>
  <c r="P2297" i="2"/>
  <c r="Q2297" i="2"/>
  <c r="R2297" i="2"/>
  <c r="S2297" i="2"/>
  <c r="T2297" i="2"/>
  <c r="U2297" i="2"/>
  <c r="V2297" i="2"/>
  <c r="W2297" i="2"/>
  <c r="X2297" i="2"/>
  <c r="Y2297" i="2"/>
  <c r="A2298" i="2"/>
  <c r="B2298" i="2"/>
  <c r="C2298" i="2"/>
  <c r="D2298" i="2"/>
  <c r="E2298" i="2"/>
  <c r="F2298" i="2"/>
  <c r="G2298" i="2"/>
  <c r="H2298" i="2"/>
  <c r="I2298" i="2"/>
  <c r="J2298" i="2"/>
  <c r="K2298" i="2"/>
  <c r="L2298" i="2"/>
  <c r="M2298" i="2"/>
  <c r="N2298" i="2"/>
  <c r="O2298" i="2"/>
  <c r="P2298" i="2"/>
  <c r="Q2298" i="2"/>
  <c r="R2298" i="2"/>
  <c r="S2298" i="2"/>
  <c r="T2298" i="2"/>
  <c r="U2298" i="2"/>
  <c r="V2298" i="2"/>
  <c r="W2298" i="2"/>
  <c r="X2298" i="2"/>
  <c r="Y2298" i="2"/>
  <c r="A2299" i="2"/>
  <c r="B2299" i="2"/>
  <c r="C2299" i="2"/>
  <c r="D2299" i="2"/>
  <c r="E2299" i="2"/>
  <c r="F2299" i="2"/>
  <c r="G2299" i="2"/>
  <c r="H2299" i="2"/>
  <c r="I2299" i="2"/>
  <c r="J2299" i="2"/>
  <c r="K2299" i="2"/>
  <c r="L2299" i="2"/>
  <c r="M2299" i="2"/>
  <c r="N2299" i="2"/>
  <c r="O2299" i="2"/>
  <c r="P2299" i="2"/>
  <c r="Q2299" i="2"/>
  <c r="R2299" i="2"/>
  <c r="S2299" i="2"/>
  <c r="T2299" i="2"/>
  <c r="U2299" i="2"/>
  <c r="V2299" i="2"/>
  <c r="W2299" i="2"/>
  <c r="X2299" i="2"/>
  <c r="Y2299" i="2"/>
  <c r="A2300" i="2"/>
  <c r="B2300" i="2"/>
  <c r="C2300" i="2"/>
  <c r="D2300" i="2"/>
  <c r="E2300" i="2"/>
  <c r="F2300" i="2"/>
  <c r="G2300" i="2"/>
  <c r="H2300" i="2"/>
  <c r="I2300" i="2"/>
  <c r="J2300" i="2"/>
  <c r="K2300" i="2"/>
  <c r="L2300" i="2"/>
  <c r="M2300" i="2"/>
  <c r="N2300" i="2"/>
  <c r="O2300" i="2"/>
  <c r="P2300" i="2"/>
  <c r="Q2300" i="2"/>
  <c r="R2300" i="2"/>
  <c r="S2300" i="2"/>
  <c r="T2300" i="2"/>
  <c r="U2300" i="2"/>
  <c r="V2300" i="2"/>
  <c r="W2300" i="2"/>
  <c r="X2300" i="2"/>
  <c r="Y2300" i="2"/>
  <c r="A2301" i="2"/>
  <c r="B2301" i="2"/>
  <c r="C2301" i="2"/>
  <c r="D2301" i="2"/>
  <c r="E2301" i="2"/>
  <c r="F2301" i="2"/>
  <c r="G2301" i="2"/>
  <c r="H2301" i="2"/>
  <c r="I2301" i="2"/>
  <c r="J2301" i="2"/>
  <c r="K2301" i="2"/>
  <c r="L2301" i="2"/>
  <c r="M2301" i="2"/>
  <c r="N2301" i="2"/>
  <c r="O2301" i="2"/>
  <c r="P2301" i="2"/>
  <c r="Q2301" i="2"/>
  <c r="R2301" i="2"/>
  <c r="S2301" i="2"/>
  <c r="T2301" i="2"/>
  <c r="U2301" i="2"/>
  <c r="V2301" i="2"/>
  <c r="W2301" i="2"/>
  <c r="X2301" i="2"/>
  <c r="Y2301" i="2"/>
  <c r="A2302" i="2"/>
  <c r="B2302" i="2"/>
  <c r="C2302" i="2"/>
  <c r="D2302" i="2"/>
  <c r="E2302" i="2"/>
  <c r="F2302" i="2"/>
  <c r="G2302" i="2"/>
  <c r="H2302" i="2"/>
  <c r="I2302" i="2"/>
  <c r="J2302" i="2"/>
  <c r="K2302" i="2"/>
  <c r="L2302" i="2"/>
  <c r="M2302" i="2"/>
  <c r="N2302" i="2"/>
  <c r="O2302" i="2"/>
  <c r="P2302" i="2"/>
  <c r="Q2302" i="2"/>
  <c r="R2302" i="2"/>
  <c r="S2302" i="2"/>
  <c r="T2302" i="2"/>
  <c r="U2302" i="2"/>
  <c r="V2302" i="2"/>
  <c r="W2302" i="2"/>
  <c r="X2302" i="2"/>
  <c r="Y2302" i="2"/>
  <c r="A2303" i="2"/>
  <c r="B2303" i="2"/>
  <c r="C2303" i="2"/>
  <c r="D2303" i="2"/>
  <c r="E2303" i="2"/>
  <c r="F2303" i="2"/>
  <c r="G2303" i="2"/>
  <c r="H2303" i="2"/>
  <c r="I2303" i="2"/>
  <c r="J2303" i="2"/>
  <c r="K2303" i="2"/>
  <c r="L2303" i="2"/>
  <c r="M2303" i="2"/>
  <c r="N2303" i="2"/>
  <c r="O2303" i="2"/>
  <c r="P2303" i="2"/>
  <c r="Q2303" i="2"/>
  <c r="R2303" i="2"/>
  <c r="S2303" i="2"/>
  <c r="T2303" i="2"/>
  <c r="U2303" i="2"/>
  <c r="V2303" i="2"/>
  <c r="W2303" i="2"/>
  <c r="X2303" i="2"/>
  <c r="Y2303" i="2"/>
  <c r="A2304" i="2"/>
  <c r="B2304" i="2"/>
  <c r="C2304" i="2"/>
  <c r="D2304" i="2"/>
  <c r="E2304" i="2"/>
  <c r="F2304" i="2"/>
  <c r="G2304" i="2"/>
  <c r="H2304" i="2"/>
  <c r="I2304" i="2"/>
  <c r="J2304" i="2"/>
  <c r="K2304" i="2"/>
  <c r="L2304" i="2"/>
  <c r="M2304" i="2"/>
  <c r="N2304" i="2"/>
  <c r="O2304" i="2"/>
  <c r="P2304" i="2"/>
  <c r="Q2304" i="2"/>
  <c r="R2304" i="2"/>
  <c r="S2304" i="2"/>
  <c r="T2304" i="2"/>
  <c r="U2304" i="2"/>
  <c r="V2304" i="2"/>
  <c r="W2304" i="2"/>
  <c r="X2304" i="2"/>
  <c r="Y2304" i="2"/>
  <c r="A2305" i="2"/>
  <c r="B2305" i="2"/>
  <c r="C2305" i="2"/>
  <c r="D2305" i="2"/>
  <c r="E2305" i="2"/>
  <c r="F2305" i="2"/>
  <c r="G2305" i="2"/>
  <c r="H2305" i="2"/>
  <c r="I2305" i="2"/>
  <c r="J2305" i="2"/>
  <c r="K2305" i="2"/>
  <c r="L2305" i="2"/>
  <c r="M2305" i="2"/>
  <c r="N2305" i="2"/>
  <c r="O2305" i="2"/>
  <c r="P2305" i="2"/>
  <c r="Q2305" i="2"/>
  <c r="R2305" i="2"/>
  <c r="S2305" i="2"/>
  <c r="T2305" i="2"/>
  <c r="U2305" i="2"/>
  <c r="V2305" i="2"/>
  <c r="W2305" i="2"/>
  <c r="X2305" i="2"/>
  <c r="Y2305" i="2"/>
  <c r="A2306" i="2"/>
  <c r="B2306" i="2"/>
  <c r="C2306" i="2"/>
  <c r="D2306" i="2"/>
  <c r="E2306" i="2"/>
  <c r="F2306" i="2"/>
  <c r="G2306" i="2"/>
  <c r="H2306" i="2"/>
  <c r="I2306" i="2"/>
  <c r="J2306" i="2"/>
  <c r="K2306" i="2"/>
  <c r="L2306" i="2"/>
  <c r="M2306" i="2"/>
  <c r="N2306" i="2"/>
  <c r="O2306" i="2"/>
  <c r="P2306" i="2"/>
  <c r="Q2306" i="2"/>
  <c r="R2306" i="2"/>
  <c r="S2306" i="2"/>
  <c r="T2306" i="2"/>
  <c r="U2306" i="2"/>
  <c r="V2306" i="2"/>
  <c r="W2306" i="2"/>
  <c r="X2306" i="2"/>
  <c r="Y2306" i="2"/>
  <c r="A2307" i="2"/>
  <c r="B2307" i="2"/>
  <c r="C2307" i="2"/>
  <c r="D2307" i="2"/>
  <c r="E2307" i="2"/>
  <c r="F2307" i="2"/>
  <c r="G2307" i="2"/>
  <c r="H2307" i="2"/>
  <c r="I2307" i="2"/>
  <c r="J2307" i="2"/>
  <c r="K2307" i="2"/>
  <c r="L2307" i="2"/>
  <c r="M2307" i="2"/>
  <c r="N2307" i="2"/>
  <c r="O2307" i="2"/>
  <c r="P2307" i="2"/>
  <c r="Q2307" i="2"/>
  <c r="R2307" i="2"/>
  <c r="S2307" i="2"/>
  <c r="T2307" i="2"/>
  <c r="U2307" i="2"/>
  <c r="V2307" i="2"/>
  <c r="W2307" i="2"/>
  <c r="X2307" i="2"/>
  <c r="Y2307" i="2"/>
  <c r="A2308" i="2"/>
  <c r="B2308" i="2"/>
  <c r="C2308" i="2"/>
  <c r="D2308" i="2"/>
  <c r="E2308" i="2"/>
  <c r="F2308" i="2"/>
  <c r="G2308" i="2"/>
  <c r="H2308" i="2"/>
  <c r="I2308" i="2"/>
  <c r="J2308" i="2"/>
  <c r="K2308" i="2"/>
  <c r="L2308" i="2"/>
  <c r="M2308" i="2"/>
  <c r="N2308" i="2"/>
  <c r="O2308" i="2"/>
  <c r="P2308" i="2"/>
  <c r="Q2308" i="2"/>
  <c r="R2308" i="2"/>
  <c r="S2308" i="2"/>
  <c r="T2308" i="2"/>
  <c r="U2308" i="2"/>
  <c r="V2308" i="2"/>
  <c r="W2308" i="2"/>
  <c r="X2308" i="2"/>
  <c r="Y2308" i="2"/>
  <c r="A2309" i="2"/>
  <c r="B2309" i="2"/>
  <c r="C2309" i="2"/>
  <c r="D2309" i="2"/>
  <c r="E2309" i="2"/>
  <c r="F2309" i="2"/>
  <c r="G2309" i="2"/>
  <c r="H2309" i="2"/>
  <c r="I2309" i="2"/>
  <c r="J2309" i="2"/>
  <c r="K2309" i="2"/>
  <c r="L2309" i="2"/>
  <c r="M2309" i="2"/>
  <c r="N2309" i="2"/>
  <c r="O2309" i="2"/>
  <c r="P2309" i="2"/>
  <c r="Q2309" i="2"/>
  <c r="R2309" i="2"/>
  <c r="S2309" i="2"/>
  <c r="T2309" i="2"/>
  <c r="U2309" i="2"/>
  <c r="V2309" i="2"/>
  <c r="W2309" i="2"/>
  <c r="X2309" i="2"/>
  <c r="Y2309" i="2"/>
  <c r="A2310" i="2"/>
  <c r="B2310" i="2"/>
  <c r="C2310" i="2"/>
  <c r="D2310" i="2"/>
  <c r="E2310" i="2"/>
  <c r="F2310" i="2"/>
  <c r="G2310" i="2"/>
  <c r="H2310" i="2"/>
  <c r="I2310" i="2"/>
  <c r="J2310" i="2"/>
  <c r="K2310" i="2"/>
  <c r="L2310" i="2"/>
  <c r="M2310" i="2"/>
  <c r="N2310" i="2"/>
  <c r="O2310" i="2"/>
  <c r="P2310" i="2"/>
  <c r="Q2310" i="2"/>
  <c r="R2310" i="2"/>
  <c r="S2310" i="2"/>
  <c r="T2310" i="2"/>
  <c r="U2310" i="2"/>
  <c r="V2310" i="2"/>
  <c r="W2310" i="2"/>
  <c r="X2310" i="2"/>
  <c r="Y2310" i="2"/>
  <c r="A2311" i="2"/>
  <c r="B2311" i="2"/>
  <c r="C2311" i="2"/>
  <c r="D2311" i="2"/>
  <c r="E2311" i="2"/>
  <c r="F2311" i="2"/>
  <c r="G2311" i="2"/>
  <c r="H2311" i="2"/>
  <c r="I2311" i="2"/>
  <c r="J2311" i="2"/>
  <c r="K2311" i="2"/>
  <c r="L2311" i="2"/>
  <c r="M2311" i="2"/>
  <c r="N2311" i="2"/>
  <c r="O2311" i="2"/>
  <c r="P2311" i="2"/>
  <c r="Q2311" i="2"/>
  <c r="R2311" i="2"/>
  <c r="S2311" i="2"/>
  <c r="T2311" i="2"/>
  <c r="U2311" i="2"/>
  <c r="V2311" i="2"/>
  <c r="W2311" i="2"/>
  <c r="X2311" i="2"/>
  <c r="Y2311" i="2"/>
  <c r="B2312" i="2"/>
  <c r="C2312" i="2"/>
  <c r="D2312" i="2"/>
  <c r="E2312" i="2"/>
  <c r="F2312" i="2"/>
  <c r="G2312" i="2"/>
  <c r="H2312" i="2"/>
  <c r="I2312" i="2"/>
  <c r="J2312" i="2"/>
  <c r="K2312" i="2"/>
  <c r="L2312" i="2"/>
  <c r="M2312" i="2"/>
  <c r="N2312" i="2"/>
  <c r="O2312" i="2"/>
  <c r="P2312" i="2"/>
  <c r="Q2312" i="2"/>
  <c r="R2312" i="2"/>
  <c r="S2312" i="2"/>
  <c r="T2312" i="2"/>
  <c r="U2312" i="2"/>
  <c r="V2312" i="2"/>
  <c r="W2312" i="2"/>
  <c r="X2312" i="2"/>
  <c r="Y2312" i="2"/>
  <c r="A2313" i="2"/>
  <c r="B2313" i="2"/>
  <c r="C2313" i="2"/>
  <c r="D2313" i="2"/>
  <c r="E2313" i="2"/>
  <c r="F2313" i="2"/>
  <c r="G2313" i="2"/>
  <c r="H2313" i="2"/>
  <c r="I2313" i="2"/>
  <c r="J2313" i="2"/>
  <c r="K2313" i="2"/>
  <c r="L2313" i="2"/>
  <c r="M2313" i="2"/>
  <c r="N2313" i="2"/>
  <c r="O2313" i="2"/>
  <c r="P2313" i="2"/>
  <c r="Q2313" i="2"/>
  <c r="R2313" i="2"/>
  <c r="S2313" i="2"/>
  <c r="T2313" i="2"/>
  <c r="U2313" i="2"/>
  <c r="V2313" i="2"/>
  <c r="W2313" i="2"/>
  <c r="X2313" i="2"/>
  <c r="Y2313" i="2"/>
  <c r="A2314" i="2"/>
  <c r="B2314" i="2"/>
  <c r="C2314" i="2"/>
  <c r="D2314" i="2"/>
  <c r="E2314" i="2"/>
  <c r="F2314" i="2"/>
  <c r="G2314" i="2"/>
  <c r="H2314" i="2"/>
  <c r="I2314" i="2"/>
  <c r="J2314" i="2"/>
  <c r="K2314" i="2"/>
  <c r="L2314" i="2"/>
  <c r="M2314" i="2"/>
  <c r="N2314" i="2"/>
  <c r="O2314" i="2"/>
  <c r="P2314" i="2"/>
  <c r="Q2314" i="2"/>
  <c r="R2314" i="2"/>
  <c r="S2314" i="2"/>
  <c r="T2314" i="2"/>
  <c r="U2314" i="2"/>
  <c r="V2314" i="2"/>
  <c r="W2314" i="2"/>
  <c r="X2314" i="2"/>
  <c r="Y2314" i="2"/>
  <c r="A2315" i="2"/>
  <c r="B2315" i="2"/>
  <c r="C2315" i="2"/>
  <c r="D2315" i="2"/>
  <c r="E2315" i="2"/>
  <c r="F2315" i="2"/>
  <c r="G2315" i="2"/>
  <c r="H2315" i="2"/>
  <c r="I2315" i="2"/>
  <c r="J2315" i="2"/>
  <c r="K2315" i="2"/>
  <c r="L2315" i="2"/>
  <c r="M2315" i="2"/>
  <c r="N2315" i="2"/>
  <c r="O2315" i="2"/>
  <c r="P2315" i="2"/>
  <c r="Q2315" i="2"/>
  <c r="R2315" i="2"/>
  <c r="S2315" i="2"/>
  <c r="T2315" i="2"/>
  <c r="U2315" i="2"/>
  <c r="V2315" i="2"/>
  <c r="W2315" i="2"/>
  <c r="X2315" i="2"/>
  <c r="Y2315" i="2"/>
  <c r="A2316" i="2"/>
  <c r="B2316" i="2"/>
  <c r="C2316" i="2"/>
  <c r="D2316" i="2"/>
  <c r="E2316" i="2"/>
  <c r="F2316" i="2"/>
  <c r="G2316" i="2"/>
  <c r="H2316" i="2"/>
  <c r="I2316" i="2"/>
  <c r="J2316" i="2"/>
  <c r="K2316" i="2"/>
  <c r="L2316" i="2"/>
  <c r="M2316" i="2"/>
  <c r="N2316" i="2"/>
  <c r="O2316" i="2"/>
  <c r="P2316" i="2"/>
  <c r="Q2316" i="2"/>
  <c r="R2316" i="2"/>
  <c r="S2316" i="2"/>
  <c r="T2316" i="2"/>
  <c r="U2316" i="2"/>
  <c r="V2316" i="2"/>
  <c r="W2316" i="2"/>
  <c r="X2316" i="2"/>
  <c r="Y2316" i="2"/>
  <c r="A2317" i="2"/>
  <c r="B2317" i="2"/>
  <c r="C2317" i="2"/>
  <c r="D2317" i="2"/>
  <c r="E2317" i="2"/>
  <c r="F2317" i="2"/>
  <c r="G2317" i="2"/>
  <c r="H2317" i="2"/>
  <c r="I2317" i="2"/>
  <c r="J2317" i="2"/>
  <c r="K2317" i="2"/>
  <c r="L2317" i="2"/>
  <c r="M2317" i="2"/>
  <c r="N2317" i="2"/>
  <c r="O2317" i="2"/>
  <c r="P2317" i="2"/>
  <c r="Q2317" i="2"/>
  <c r="R2317" i="2"/>
  <c r="S2317" i="2"/>
  <c r="T2317" i="2"/>
  <c r="U2317" i="2"/>
  <c r="V2317" i="2"/>
  <c r="W2317" i="2"/>
  <c r="X2317" i="2"/>
  <c r="Y2317" i="2"/>
  <c r="A2318" i="2"/>
  <c r="B2318" i="2"/>
  <c r="C2318" i="2"/>
  <c r="D2318" i="2"/>
  <c r="E2318" i="2"/>
  <c r="F2318" i="2"/>
  <c r="G2318" i="2"/>
  <c r="H2318" i="2"/>
  <c r="I2318" i="2"/>
  <c r="J2318" i="2"/>
  <c r="K2318" i="2"/>
  <c r="L2318" i="2"/>
  <c r="M2318" i="2"/>
  <c r="N2318" i="2"/>
  <c r="O2318" i="2"/>
  <c r="P2318" i="2"/>
  <c r="Q2318" i="2"/>
  <c r="R2318" i="2"/>
  <c r="S2318" i="2"/>
  <c r="T2318" i="2"/>
  <c r="U2318" i="2"/>
  <c r="V2318" i="2"/>
  <c r="W2318" i="2"/>
  <c r="X2318" i="2"/>
  <c r="Y2318" i="2"/>
  <c r="A2319" i="2"/>
  <c r="B2319" i="2"/>
  <c r="C2319" i="2"/>
  <c r="D2319" i="2"/>
  <c r="E2319" i="2"/>
  <c r="F2319" i="2"/>
  <c r="G2319" i="2"/>
  <c r="H2319" i="2"/>
  <c r="I2319" i="2"/>
  <c r="J2319" i="2"/>
  <c r="K2319" i="2"/>
  <c r="L2319" i="2"/>
  <c r="M2319" i="2"/>
  <c r="N2319" i="2"/>
  <c r="O2319" i="2"/>
  <c r="P2319" i="2"/>
  <c r="Q2319" i="2"/>
  <c r="R2319" i="2"/>
  <c r="S2319" i="2"/>
  <c r="T2319" i="2"/>
  <c r="U2319" i="2"/>
  <c r="V2319" i="2"/>
  <c r="W2319" i="2"/>
  <c r="X2319" i="2"/>
  <c r="Y2319" i="2"/>
  <c r="A2320" i="2"/>
  <c r="B2320" i="2"/>
  <c r="C2320" i="2"/>
  <c r="D2320" i="2"/>
  <c r="E2320" i="2"/>
  <c r="F2320" i="2"/>
  <c r="G2320" i="2"/>
  <c r="H2320" i="2"/>
  <c r="I2320" i="2"/>
  <c r="J2320" i="2"/>
  <c r="K2320" i="2"/>
  <c r="L2320" i="2"/>
  <c r="M2320" i="2"/>
  <c r="N2320" i="2"/>
  <c r="O2320" i="2"/>
  <c r="P2320" i="2"/>
  <c r="Q2320" i="2"/>
  <c r="R2320" i="2"/>
  <c r="S2320" i="2"/>
  <c r="T2320" i="2"/>
  <c r="U2320" i="2"/>
  <c r="V2320" i="2"/>
  <c r="W2320" i="2"/>
  <c r="X2320" i="2"/>
  <c r="Y2320" i="2"/>
  <c r="A2321" i="2"/>
  <c r="B2321" i="2"/>
  <c r="C2321" i="2"/>
  <c r="D2321" i="2"/>
  <c r="E2321" i="2"/>
  <c r="F2321" i="2"/>
  <c r="G2321" i="2"/>
  <c r="H2321" i="2"/>
  <c r="I2321" i="2"/>
  <c r="J2321" i="2"/>
  <c r="K2321" i="2"/>
  <c r="L2321" i="2"/>
  <c r="M2321" i="2"/>
  <c r="N2321" i="2"/>
  <c r="O2321" i="2"/>
  <c r="P2321" i="2"/>
  <c r="Q2321" i="2"/>
  <c r="R2321" i="2"/>
  <c r="S2321" i="2"/>
  <c r="T2321" i="2"/>
  <c r="U2321" i="2"/>
  <c r="V2321" i="2"/>
  <c r="W2321" i="2"/>
  <c r="X2321" i="2"/>
  <c r="Y2321" i="2"/>
  <c r="A2322" i="2"/>
  <c r="B2322" i="2"/>
  <c r="C2322" i="2"/>
  <c r="D2322" i="2"/>
  <c r="E2322" i="2"/>
  <c r="F2322" i="2"/>
  <c r="G2322" i="2"/>
  <c r="H2322" i="2"/>
  <c r="I2322" i="2"/>
  <c r="J2322" i="2"/>
  <c r="K2322" i="2"/>
  <c r="L2322" i="2"/>
  <c r="M2322" i="2"/>
  <c r="N2322" i="2"/>
  <c r="O2322" i="2"/>
  <c r="P2322" i="2"/>
  <c r="Q2322" i="2"/>
  <c r="R2322" i="2"/>
  <c r="S2322" i="2"/>
  <c r="T2322" i="2"/>
  <c r="U2322" i="2"/>
  <c r="V2322" i="2"/>
  <c r="W2322" i="2"/>
  <c r="X2322" i="2"/>
  <c r="Y2322" i="2"/>
  <c r="A2323" i="2"/>
  <c r="B2323" i="2"/>
  <c r="C2323" i="2"/>
  <c r="D2323" i="2"/>
  <c r="E2323" i="2"/>
  <c r="F2323" i="2"/>
  <c r="G2323" i="2"/>
  <c r="H2323" i="2"/>
  <c r="I2323" i="2"/>
  <c r="J2323" i="2"/>
  <c r="K2323" i="2"/>
  <c r="L2323" i="2"/>
  <c r="M2323" i="2"/>
  <c r="N2323" i="2"/>
  <c r="O2323" i="2"/>
  <c r="P2323" i="2"/>
  <c r="Q2323" i="2"/>
  <c r="R2323" i="2"/>
  <c r="S2323" i="2"/>
  <c r="T2323" i="2"/>
  <c r="U2323" i="2"/>
  <c r="V2323" i="2"/>
  <c r="W2323" i="2"/>
  <c r="X2323" i="2"/>
  <c r="Y2323" i="2"/>
  <c r="A2324" i="2"/>
  <c r="B2324" i="2"/>
  <c r="C2324" i="2"/>
  <c r="D2324" i="2"/>
  <c r="E2324" i="2"/>
  <c r="F2324" i="2"/>
  <c r="G2324" i="2"/>
  <c r="H2324" i="2"/>
  <c r="I2324" i="2"/>
  <c r="J2324" i="2"/>
  <c r="K2324" i="2"/>
  <c r="L2324" i="2"/>
  <c r="M2324" i="2"/>
  <c r="N2324" i="2"/>
  <c r="O2324" i="2"/>
  <c r="P2324" i="2"/>
  <c r="Q2324" i="2"/>
  <c r="R2324" i="2"/>
  <c r="S2324" i="2"/>
  <c r="T2324" i="2"/>
  <c r="U2324" i="2"/>
  <c r="V2324" i="2"/>
  <c r="W2324" i="2"/>
  <c r="X2324" i="2"/>
  <c r="Y2324" i="2"/>
  <c r="A2325" i="2"/>
  <c r="B2325" i="2"/>
  <c r="C2325" i="2"/>
  <c r="D2325" i="2"/>
  <c r="E2325" i="2"/>
  <c r="F2325" i="2"/>
  <c r="G2325" i="2"/>
  <c r="H2325" i="2"/>
  <c r="I2325" i="2"/>
  <c r="J2325" i="2"/>
  <c r="K2325" i="2"/>
  <c r="L2325" i="2"/>
  <c r="M2325" i="2"/>
  <c r="N2325" i="2"/>
  <c r="O2325" i="2"/>
  <c r="P2325" i="2"/>
  <c r="Q2325" i="2"/>
  <c r="R2325" i="2"/>
  <c r="S2325" i="2"/>
  <c r="T2325" i="2"/>
  <c r="U2325" i="2"/>
  <c r="V2325" i="2"/>
  <c r="W2325" i="2"/>
  <c r="X2325" i="2"/>
  <c r="Y2325" i="2"/>
  <c r="A2326" i="2"/>
  <c r="B2326" i="2"/>
  <c r="C2326" i="2"/>
  <c r="D2326" i="2"/>
  <c r="E2326" i="2"/>
  <c r="F2326" i="2"/>
  <c r="G2326" i="2"/>
  <c r="H2326" i="2"/>
  <c r="I2326" i="2"/>
  <c r="J2326" i="2"/>
  <c r="K2326" i="2"/>
  <c r="L2326" i="2"/>
  <c r="M2326" i="2"/>
  <c r="N2326" i="2"/>
  <c r="O2326" i="2"/>
  <c r="P2326" i="2"/>
  <c r="Q2326" i="2"/>
  <c r="R2326" i="2"/>
  <c r="S2326" i="2"/>
  <c r="T2326" i="2"/>
  <c r="U2326" i="2"/>
  <c r="V2326" i="2"/>
  <c r="W2326" i="2"/>
  <c r="X2326" i="2"/>
  <c r="Y2326" i="2"/>
  <c r="A2327" i="2"/>
  <c r="B2327" i="2"/>
  <c r="C2327" i="2"/>
  <c r="D2327" i="2"/>
  <c r="E2327" i="2"/>
  <c r="F2327" i="2"/>
  <c r="G2327" i="2"/>
  <c r="H2327" i="2"/>
  <c r="I2327" i="2"/>
  <c r="J2327" i="2"/>
  <c r="K2327" i="2"/>
  <c r="L2327" i="2"/>
  <c r="M2327" i="2"/>
  <c r="N2327" i="2"/>
  <c r="O2327" i="2"/>
  <c r="P2327" i="2"/>
  <c r="Q2327" i="2"/>
  <c r="R2327" i="2"/>
  <c r="S2327" i="2"/>
  <c r="T2327" i="2"/>
  <c r="U2327" i="2"/>
  <c r="V2327" i="2"/>
  <c r="W2327" i="2"/>
  <c r="X2327" i="2"/>
  <c r="Y2327" i="2"/>
  <c r="B2328" i="2"/>
  <c r="C2328" i="2"/>
  <c r="D2328" i="2"/>
  <c r="E2328" i="2"/>
  <c r="F2328" i="2"/>
  <c r="G2328" i="2"/>
  <c r="H2328" i="2"/>
  <c r="I2328" i="2"/>
  <c r="J2328" i="2"/>
  <c r="K2328" i="2"/>
  <c r="L2328" i="2"/>
  <c r="M2328" i="2"/>
  <c r="N2328" i="2"/>
  <c r="O2328" i="2"/>
  <c r="P2328" i="2"/>
  <c r="Q2328" i="2"/>
  <c r="R2328" i="2"/>
  <c r="S2328" i="2"/>
  <c r="T2328" i="2"/>
  <c r="U2328" i="2"/>
  <c r="V2328" i="2"/>
  <c r="W2328" i="2"/>
  <c r="X2328" i="2"/>
  <c r="Y2328" i="2"/>
  <c r="A2329" i="2"/>
  <c r="B2329" i="2"/>
  <c r="C2329" i="2"/>
  <c r="D2329" i="2"/>
  <c r="E2329" i="2"/>
  <c r="F2329" i="2"/>
  <c r="G2329" i="2"/>
  <c r="H2329" i="2"/>
  <c r="I2329" i="2"/>
  <c r="J2329" i="2"/>
  <c r="K2329" i="2"/>
  <c r="L2329" i="2"/>
  <c r="M2329" i="2"/>
  <c r="N2329" i="2"/>
  <c r="O2329" i="2"/>
  <c r="P2329" i="2"/>
  <c r="Q2329" i="2"/>
  <c r="R2329" i="2"/>
  <c r="S2329" i="2"/>
  <c r="T2329" i="2"/>
  <c r="U2329" i="2"/>
  <c r="V2329" i="2"/>
  <c r="W2329" i="2"/>
  <c r="X2329" i="2"/>
  <c r="Y2329" i="2"/>
  <c r="A2330" i="2"/>
  <c r="B2330" i="2"/>
  <c r="C2330" i="2"/>
  <c r="D2330" i="2"/>
  <c r="E2330" i="2"/>
  <c r="F2330" i="2"/>
  <c r="G2330" i="2"/>
  <c r="H2330" i="2"/>
  <c r="I2330" i="2"/>
  <c r="J2330" i="2"/>
  <c r="K2330" i="2"/>
  <c r="L2330" i="2"/>
  <c r="M2330" i="2"/>
  <c r="N2330" i="2"/>
  <c r="O2330" i="2"/>
  <c r="P2330" i="2"/>
  <c r="Q2330" i="2"/>
  <c r="R2330" i="2"/>
  <c r="S2330" i="2"/>
  <c r="T2330" i="2"/>
  <c r="U2330" i="2"/>
  <c r="V2330" i="2"/>
  <c r="W2330" i="2"/>
  <c r="X2330" i="2"/>
  <c r="Y2330" i="2"/>
  <c r="A2331" i="2"/>
  <c r="B2331" i="2"/>
  <c r="C2331" i="2"/>
  <c r="D2331" i="2"/>
  <c r="E2331" i="2"/>
  <c r="F2331" i="2"/>
  <c r="G2331" i="2"/>
  <c r="H2331" i="2"/>
  <c r="I2331" i="2"/>
  <c r="J2331" i="2"/>
  <c r="K2331" i="2"/>
  <c r="L2331" i="2"/>
  <c r="M2331" i="2"/>
  <c r="N2331" i="2"/>
  <c r="O2331" i="2"/>
  <c r="P2331" i="2"/>
  <c r="Q2331" i="2"/>
  <c r="R2331" i="2"/>
  <c r="S2331" i="2"/>
  <c r="T2331" i="2"/>
  <c r="U2331" i="2"/>
  <c r="V2331" i="2"/>
  <c r="W2331" i="2"/>
  <c r="X2331" i="2"/>
  <c r="Y2331" i="2"/>
  <c r="A2332" i="2"/>
  <c r="B2332" i="2"/>
  <c r="C2332" i="2"/>
  <c r="D2332" i="2"/>
  <c r="E2332" i="2"/>
  <c r="F2332" i="2"/>
  <c r="G2332" i="2"/>
  <c r="H2332" i="2"/>
  <c r="I2332" i="2"/>
  <c r="J2332" i="2"/>
  <c r="K2332" i="2"/>
  <c r="L2332" i="2"/>
  <c r="M2332" i="2"/>
  <c r="N2332" i="2"/>
  <c r="O2332" i="2"/>
  <c r="P2332" i="2"/>
  <c r="Q2332" i="2"/>
  <c r="R2332" i="2"/>
  <c r="S2332" i="2"/>
  <c r="T2332" i="2"/>
  <c r="U2332" i="2"/>
  <c r="V2332" i="2"/>
  <c r="W2332" i="2"/>
  <c r="X2332" i="2"/>
  <c r="Y2332" i="2"/>
  <c r="A2333" i="2"/>
  <c r="B2333" i="2"/>
  <c r="C2333" i="2"/>
  <c r="D2333" i="2"/>
  <c r="E2333" i="2"/>
  <c r="F2333" i="2"/>
  <c r="G2333" i="2"/>
  <c r="H2333" i="2"/>
  <c r="I2333" i="2"/>
  <c r="J2333" i="2"/>
  <c r="K2333" i="2"/>
  <c r="L2333" i="2"/>
  <c r="M2333" i="2"/>
  <c r="N2333" i="2"/>
  <c r="O2333" i="2"/>
  <c r="P2333" i="2"/>
  <c r="Q2333" i="2"/>
  <c r="R2333" i="2"/>
  <c r="S2333" i="2"/>
  <c r="T2333" i="2"/>
  <c r="U2333" i="2"/>
  <c r="V2333" i="2"/>
  <c r="W2333" i="2"/>
  <c r="X2333" i="2"/>
  <c r="Y2333" i="2"/>
  <c r="A2334" i="2"/>
  <c r="B2334" i="2"/>
  <c r="C2334" i="2"/>
  <c r="D2334" i="2"/>
  <c r="E2334" i="2"/>
  <c r="F2334" i="2"/>
  <c r="G2334" i="2"/>
  <c r="H2334" i="2"/>
  <c r="I2334" i="2"/>
  <c r="J2334" i="2"/>
  <c r="K2334" i="2"/>
  <c r="L2334" i="2"/>
  <c r="M2334" i="2"/>
  <c r="N2334" i="2"/>
  <c r="O2334" i="2"/>
  <c r="P2334" i="2"/>
  <c r="Q2334" i="2"/>
  <c r="R2334" i="2"/>
  <c r="S2334" i="2"/>
  <c r="T2334" i="2"/>
  <c r="U2334" i="2"/>
  <c r="V2334" i="2"/>
  <c r="W2334" i="2"/>
  <c r="X2334" i="2"/>
  <c r="Y2334" i="2"/>
  <c r="A2335" i="2"/>
  <c r="B2335" i="2"/>
  <c r="C2335" i="2"/>
  <c r="D2335" i="2"/>
  <c r="E2335" i="2"/>
  <c r="F2335" i="2"/>
  <c r="G2335" i="2"/>
  <c r="H2335" i="2"/>
  <c r="I2335" i="2"/>
  <c r="J2335" i="2"/>
  <c r="K2335" i="2"/>
  <c r="L2335" i="2"/>
  <c r="M2335" i="2"/>
  <c r="N2335" i="2"/>
  <c r="O2335" i="2"/>
  <c r="P2335" i="2"/>
  <c r="Q2335" i="2"/>
  <c r="R2335" i="2"/>
  <c r="S2335" i="2"/>
  <c r="T2335" i="2"/>
  <c r="U2335" i="2"/>
  <c r="V2335" i="2"/>
  <c r="W2335" i="2"/>
  <c r="X2335" i="2"/>
  <c r="Y2335" i="2"/>
  <c r="A2336" i="2"/>
  <c r="B2336" i="2"/>
  <c r="C2336" i="2"/>
  <c r="D2336" i="2"/>
  <c r="E2336" i="2"/>
  <c r="F2336" i="2"/>
  <c r="G2336" i="2"/>
  <c r="H2336" i="2"/>
  <c r="I2336" i="2"/>
  <c r="J2336" i="2"/>
  <c r="K2336" i="2"/>
  <c r="L2336" i="2"/>
  <c r="M2336" i="2"/>
  <c r="N2336" i="2"/>
  <c r="O2336" i="2"/>
  <c r="P2336" i="2"/>
  <c r="Q2336" i="2"/>
  <c r="R2336" i="2"/>
  <c r="S2336" i="2"/>
  <c r="T2336" i="2"/>
  <c r="U2336" i="2"/>
  <c r="V2336" i="2"/>
  <c r="W2336" i="2"/>
  <c r="X2336" i="2"/>
  <c r="Y2336" i="2"/>
  <c r="A2337" i="2"/>
  <c r="B2337" i="2"/>
  <c r="C2337" i="2"/>
  <c r="D2337" i="2"/>
  <c r="E2337" i="2"/>
  <c r="F2337" i="2"/>
  <c r="G2337" i="2"/>
  <c r="H2337" i="2"/>
  <c r="I2337" i="2"/>
  <c r="J2337" i="2"/>
  <c r="K2337" i="2"/>
  <c r="L2337" i="2"/>
  <c r="M2337" i="2"/>
  <c r="N2337" i="2"/>
  <c r="O2337" i="2"/>
  <c r="P2337" i="2"/>
  <c r="Q2337" i="2"/>
  <c r="R2337" i="2"/>
  <c r="S2337" i="2"/>
  <c r="T2337" i="2"/>
  <c r="U2337" i="2"/>
  <c r="V2337" i="2"/>
  <c r="W2337" i="2"/>
  <c r="X2337" i="2"/>
  <c r="Y2337" i="2"/>
  <c r="A2338" i="2"/>
  <c r="B2338" i="2"/>
  <c r="C2338" i="2"/>
  <c r="D2338" i="2"/>
  <c r="E2338" i="2"/>
  <c r="F2338" i="2"/>
  <c r="G2338" i="2"/>
  <c r="H2338" i="2"/>
  <c r="I2338" i="2"/>
  <c r="J2338" i="2"/>
  <c r="K2338" i="2"/>
  <c r="L2338" i="2"/>
  <c r="M2338" i="2"/>
  <c r="N2338" i="2"/>
  <c r="O2338" i="2"/>
  <c r="P2338" i="2"/>
  <c r="Q2338" i="2"/>
  <c r="R2338" i="2"/>
  <c r="S2338" i="2"/>
  <c r="T2338" i="2"/>
  <c r="U2338" i="2"/>
  <c r="V2338" i="2"/>
  <c r="W2338" i="2"/>
  <c r="X2338" i="2"/>
  <c r="Y2338" i="2"/>
  <c r="A2339" i="2"/>
  <c r="B2339" i="2"/>
  <c r="C2339" i="2"/>
  <c r="D2339" i="2"/>
  <c r="E2339" i="2"/>
  <c r="F2339" i="2"/>
  <c r="G2339" i="2"/>
  <c r="H2339" i="2"/>
  <c r="I2339" i="2"/>
  <c r="J2339" i="2"/>
  <c r="K2339" i="2"/>
  <c r="L2339" i="2"/>
  <c r="M2339" i="2"/>
  <c r="N2339" i="2"/>
  <c r="O2339" i="2"/>
  <c r="P2339" i="2"/>
  <c r="Q2339" i="2"/>
  <c r="R2339" i="2"/>
  <c r="S2339" i="2"/>
  <c r="T2339" i="2"/>
  <c r="U2339" i="2"/>
  <c r="V2339" i="2"/>
  <c r="W2339" i="2"/>
  <c r="X2339" i="2"/>
  <c r="Y2339" i="2"/>
  <c r="A2340" i="2"/>
  <c r="B2340" i="2"/>
  <c r="C2340" i="2"/>
  <c r="D2340" i="2"/>
  <c r="E2340" i="2"/>
  <c r="F2340" i="2"/>
  <c r="G2340" i="2"/>
  <c r="H2340" i="2"/>
  <c r="I2340" i="2"/>
  <c r="J2340" i="2"/>
  <c r="K2340" i="2"/>
  <c r="L2340" i="2"/>
  <c r="M2340" i="2"/>
  <c r="N2340" i="2"/>
  <c r="O2340" i="2"/>
  <c r="P2340" i="2"/>
  <c r="Q2340" i="2"/>
  <c r="R2340" i="2"/>
  <c r="S2340" i="2"/>
  <c r="T2340" i="2"/>
  <c r="U2340" i="2"/>
  <c r="V2340" i="2"/>
  <c r="W2340" i="2"/>
  <c r="X2340" i="2"/>
  <c r="Y2340" i="2"/>
  <c r="A2341" i="2"/>
  <c r="B2341" i="2"/>
  <c r="C2341" i="2"/>
  <c r="D2341" i="2"/>
  <c r="E2341" i="2"/>
  <c r="F2341" i="2"/>
  <c r="G2341" i="2"/>
  <c r="H2341" i="2"/>
  <c r="I2341" i="2"/>
  <c r="J2341" i="2"/>
  <c r="K2341" i="2"/>
  <c r="L2341" i="2"/>
  <c r="M2341" i="2"/>
  <c r="N2341" i="2"/>
  <c r="O2341" i="2"/>
  <c r="P2341" i="2"/>
  <c r="Q2341" i="2"/>
  <c r="R2341" i="2"/>
  <c r="S2341" i="2"/>
  <c r="T2341" i="2"/>
  <c r="U2341" i="2"/>
  <c r="V2341" i="2"/>
  <c r="W2341" i="2"/>
  <c r="X2341" i="2"/>
  <c r="Y2341" i="2"/>
  <c r="A2342" i="2"/>
  <c r="B2342" i="2"/>
  <c r="C2342" i="2"/>
  <c r="D2342" i="2"/>
  <c r="E2342" i="2"/>
  <c r="F2342" i="2"/>
  <c r="G2342" i="2"/>
  <c r="H2342" i="2"/>
  <c r="I2342" i="2"/>
  <c r="J2342" i="2"/>
  <c r="K2342" i="2"/>
  <c r="L2342" i="2"/>
  <c r="M2342" i="2"/>
  <c r="N2342" i="2"/>
  <c r="O2342" i="2"/>
  <c r="P2342" i="2"/>
  <c r="Q2342" i="2"/>
  <c r="R2342" i="2"/>
  <c r="S2342" i="2"/>
  <c r="T2342" i="2"/>
  <c r="U2342" i="2"/>
  <c r="V2342" i="2"/>
  <c r="W2342" i="2"/>
  <c r="X2342" i="2"/>
  <c r="Y2342" i="2"/>
  <c r="A2343" i="2"/>
  <c r="B2343" i="2"/>
  <c r="C2343" i="2"/>
  <c r="D2343" i="2"/>
  <c r="E2343" i="2"/>
  <c r="F2343" i="2"/>
  <c r="G2343" i="2"/>
  <c r="H2343" i="2"/>
  <c r="I2343" i="2"/>
  <c r="J2343" i="2"/>
  <c r="K2343" i="2"/>
  <c r="L2343" i="2"/>
  <c r="M2343" i="2"/>
  <c r="N2343" i="2"/>
  <c r="O2343" i="2"/>
  <c r="P2343" i="2"/>
  <c r="Q2343" i="2"/>
  <c r="R2343" i="2"/>
  <c r="S2343" i="2"/>
  <c r="T2343" i="2"/>
  <c r="U2343" i="2"/>
  <c r="V2343" i="2"/>
  <c r="W2343" i="2"/>
  <c r="X2343" i="2"/>
  <c r="Y2343" i="2"/>
  <c r="B2344" i="2"/>
  <c r="C2344" i="2"/>
  <c r="D2344" i="2"/>
  <c r="E2344" i="2"/>
  <c r="F2344" i="2"/>
  <c r="G2344" i="2"/>
  <c r="H2344" i="2"/>
  <c r="I2344" i="2"/>
  <c r="J2344" i="2"/>
  <c r="K2344" i="2"/>
  <c r="L2344" i="2"/>
  <c r="M2344" i="2"/>
  <c r="N2344" i="2"/>
  <c r="O2344" i="2"/>
  <c r="P2344" i="2"/>
  <c r="Q2344" i="2"/>
  <c r="R2344" i="2"/>
  <c r="S2344" i="2"/>
  <c r="T2344" i="2"/>
  <c r="U2344" i="2"/>
  <c r="V2344" i="2"/>
  <c r="W2344" i="2"/>
  <c r="X2344" i="2"/>
  <c r="Y2344" i="2"/>
  <c r="A2345" i="2"/>
  <c r="B2345" i="2"/>
  <c r="C2345" i="2"/>
  <c r="D2345" i="2"/>
  <c r="E2345" i="2"/>
  <c r="F2345" i="2"/>
  <c r="G2345" i="2"/>
  <c r="H2345" i="2"/>
  <c r="I2345" i="2"/>
  <c r="J2345" i="2"/>
  <c r="K2345" i="2"/>
  <c r="L2345" i="2"/>
  <c r="M2345" i="2"/>
  <c r="N2345" i="2"/>
  <c r="O2345" i="2"/>
  <c r="P2345" i="2"/>
  <c r="Q2345" i="2"/>
  <c r="R2345" i="2"/>
  <c r="S2345" i="2"/>
  <c r="T2345" i="2"/>
  <c r="U2345" i="2"/>
  <c r="V2345" i="2"/>
  <c r="W2345" i="2"/>
  <c r="X2345" i="2"/>
  <c r="Y2345" i="2"/>
  <c r="A2346" i="2"/>
  <c r="B2346" i="2"/>
  <c r="C2346" i="2"/>
  <c r="D2346" i="2"/>
  <c r="E2346" i="2"/>
  <c r="F2346" i="2"/>
  <c r="G2346" i="2"/>
  <c r="H2346" i="2"/>
  <c r="I2346" i="2"/>
  <c r="J2346" i="2"/>
  <c r="K2346" i="2"/>
  <c r="L2346" i="2"/>
  <c r="M2346" i="2"/>
  <c r="N2346" i="2"/>
  <c r="O2346" i="2"/>
  <c r="P2346" i="2"/>
  <c r="Q2346" i="2"/>
  <c r="R2346" i="2"/>
  <c r="S2346" i="2"/>
  <c r="T2346" i="2"/>
  <c r="U2346" i="2"/>
  <c r="V2346" i="2"/>
  <c r="W2346" i="2"/>
  <c r="X2346" i="2"/>
  <c r="Y2346" i="2"/>
  <c r="A2347" i="2"/>
  <c r="B2347" i="2"/>
  <c r="C2347" i="2"/>
  <c r="D2347" i="2"/>
  <c r="E2347" i="2"/>
  <c r="F2347" i="2"/>
  <c r="G2347" i="2"/>
  <c r="H2347" i="2"/>
  <c r="I2347" i="2"/>
  <c r="J2347" i="2"/>
  <c r="K2347" i="2"/>
  <c r="L2347" i="2"/>
  <c r="M2347" i="2"/>
  <c r="N2347" i="2"/>
  <c r="O2347" i="2"/>
  <c r="P2347" i="2"/>
  <c r="Q2347" i="2"/>
  <c r="R2347" i="2"/>
  <c r="S2347" i="2"/>
  <c r="T2347" i="2"/>
  <c r="U2347" i="2"/>
  <c r="V2347" i="2"/>
  <c r="W2347" i="2"/>
  <c r="X2347" i="2"/>
  <c r="Y2347" i="2"/>
  <c r="A2348" i="2"/>
  <c r="B2348" i="2"/>
  <c r="C2348" i="2"/>
  <c r="D2348" i="2"/>
  <c r="E2348" i="2"/>
  <c r="F2348" i="2"/>
  <c r="G2348" i="2"/>
  <c r="H2348" i="2"/>
  <c r="I2348" i="2"/>
  <c r="J2348" i="2"/>
  <c r="K2348" i="2"/>
  <c r="L2348" i="2"/>
  <c r="M2348" i="2"/>
  <c r="N2348" i="2"/>
  <c r="O2348" i="2"/>
  <c r="P2348" i="2"/>
  <c r="Q2348" i="2"/>
  <c r="R2348" i="2"/>
  <c r="S2348" i="2"/>
  <c r="T2348" i="2"/>
  <c r="U2348" i="2"/>
  <c r="V2348" i="2"/>
  <c r="W2348" i="2"/>
  <c r="X2348" i="2"/>
  <c r="Y2348" i="2"/>
  <c r="A2349" i="2"/>
  <c r="B2349" i="2"/>
  <c r="C2349" i="2"/>
  <c r="D2349" i="2"/>
  <c r="E2349" i="2"/>
  <c r="F2349" i="2"/>
  <c r="G2349" i="2"/>
  <c r="H2349" i="2"/>
  <c r="I2349" i="2"/>
  <c r="J2349" i="2"/>
  <c r="K2349" i="2"/>
  <c r="L2349" i="2"/>
  <c r="M2349" i="2"/>
  <c r="N2349" i="2"/>
  <c r="O2349" i="2"/>
  <c r="P2349" i="2"/>
  <c r="Q2349" i="2"/>
  <c r="R2349" i="2"/>
  <c r="S2349" i="2"/>
  <c r="T2349" i="2"/>
  <c r="U2349" i="2"/>
  <c r="V2349" i="2"/>
  <c r="W2349" i="2"/>
  <c r="X2349" i="2"/>
  <c r="Y2349" i="2"/>
  <c r="A2350" i="2"/>
  <c r="B2350" i="2"/>
  <c r="C2350" i="2"/>
  <c r="D2350" i="2"/>
  <c r="E2350" i="2"/>
  <c r="F2350" i="2"/>
  <c r="G2350" i="2"/>
  <c r="H2350" i="2"/>
  <c r="I2350" i="2"/>
  <c r="J2350" i="2"/>
  <c r="K2350" i="2"/>
  <c r="L2350" i="2"/>
  <c r="M2350" i="2"/>
  <c r="N2350" i="2"/>
  <c r="O2350" i="2"/>
  <c r="P2350" i="2"/>
  <c r="Q2350" i="2"/>
  <c r="R2350" i="2"/>
  <c r="S2350" i="2"/>
  <c r="T2350" i="2"/>
  <c r="U2350" i="2"/>
  <c r="V2350" i="2"/>
  <c r="W2350" i="2"/>
  <c r="X2350" i="2"/>
  <c r="Y2350" i="2"/>
  <c r="A2351" i="2"/>
  <c r="B2351" i="2"/>
  <c r="C2351" i="2"/>
  <c r="D2351" i="2"/>
  <c r="E2351" i="2"/>
  <c r="F2351" i="2"/>
  <c r="G2351" i="2"/>
  <c r="H2351" i="2"/>
  <c r="I2351" i="2"/>
  <c r="J2351" i="2"/>
  <c r="K2351" i="2"/>
  <c r="L2351" i="2"/>
  <c r="M2351" i="2"/>
  <c r="N2351" i="2"/>
  <c r="O2351" i="2"/>
  <c r="P2351" i="2"/>
  <c r="Q2351" i="2"/>
  <c r="R2351" i="2"/>
  <c r="S2351" i="2"/>
  <c r="T2351" i="2"/>
  <c r="U2351" i="2"/>
  <c r="V2351" i="2"/>
  <c r="W2351" i="2"/>
  <c r="X2351" i="2"/>
  <c r="Y2351" i="2"/>
  <c r="A2352" i="2"/>
  <c r="B2352" i="2"/>
  <c r="C2352" i="2"/>
  <c r="D2352" i="2"/>
  <c r="E2352" i="2"/>
  <c r="F2352" i="2"/>
  <c r="G2352" i="2"/>
  <c r="H2352" i="2"/>
  <c r="I2352" i="2"/>
  <c r="J2352" i="2"/>
  <c r="K2352" i="2"/>
  <c r="L2352" i="2"/>
  <c r="M2352" i="2"/>
  <c r="N2352" i="2"/>
  <c r="O2352" i="2"/>
  <c r="P2352" i="2"/>
  <c r="Q2352" i="2"/>
  <c r="R2352" i="2"/>
  <c r="S2352" i="2"/>
  <c r="T2352" i="2"/>
  <c r="U2352" i="2"/>
  <c r="V2352" i="2"/>
  <c r="W2352" i="2"/>
  <c r="X2352" i="2"/>
  <c r="Y2352" i="2"/>
  <c r="A2353" i="2"/>
  <c r="B2353" i="2"/>
  <c r="C2353" i="2"/>
  <c r="D2353" i="2"/>
  <c r="E2353" i="2"/>
  <c r="F2353" i="2"/>
  <c r="G2353" i="2"/>
  <c r="H2353" i="2"/>
  <c r="I2353" i="2"/>
  <c r="J2353" i="2"/>
  <c r="K2353" i="2"/>
  <c r="L2353" i="2"/>
  <c r="M2353" i="2"/>
  <c r="N2353" i="2"/>
  <c r="O2353" i="2"/>
  <c r="P2353" i="2"/>
  <c r="Q2353" i="2"/>
  <c r="R2353" i="2"/>
  <c r="S2353" i="2"/>
  <c r="T2353" i="2"/>
  <c r="U2353" i="2"/>
  <c r="V2353" i="2"/>
  <c r="W2353" i="2"/>
  <c r="X2353" i="2"/>
  <c r="Y2353" i="2"/>
  <c r="A2354" i="2"/>
  <c r="B2354" i="2"/>
  <c r="C2354" i="2"/>
  <c r="D2354" i="2"/>
  <c r="E2354" i="2"/>
  <c r="F2354" i="2"/>
  <c r="G2354" i="2"/>
  <c r="H2354" i="2"/>
  <c r="I2354" i="2"/>
  <c r="J2354" i="2"/>
  <c r="K2354" i="2"/>
  <c r="L2354" i="2"/>
  <c r="M2354" i="2"/>
  <c r="N2354" i="2"/>
  <c r="O2354" i="2"/>
  <c r="P2354" i="2"/>
  <c r="Q2354" i="2"/>
  <c r="R2354" i="2"/>
  <c r="S2354" i="2"/>
  <c r="T2354" i="2"/>
  <c r="U2354" i="2"/>
  <c r="V2354" i="2"/>
  <c r="W2354" i="2"/>
  <c r="X2354" i="2"/>
  <c r="Y2354" i="2"/>
  <c r="A2355" i="2"/>
  <c r="B2355" i="2"/>
  <c r="C2355" i="2"/>
  <c r="D2355" i="2"/>
  <c r="E2355" i="2"/>
  <c r="F2355" i="2"/>
  <c r="G2355" i="2"/>
  <c r="H2355" i="2"/>
  <c r="I2355" i="2"/>
  <c r="J2355" i="2"/>
  <c r="K2355" i="2"/>
  <c r="L2355" i="2"/>
  <c r="M2355" i="2"/>
  <c r="N2355" i="2"/>
  <c r="O2355" i="2"/>
  <c r="P2355" i="2"/>
  <c r="Q2355" i="2"/>
  <c r="R2355" i="2"/>
  <c r="S2355" i="2"/>
  <c r="T2355" i="2"/>
  <c r="U2355" i="2"/>
  <c r="V2355" i="2"/>
  <c r="W2355" i="2"/>
  <c r="X2355" i="2"/>
  <c r="Y2355" i="2"/>
  <c r="A2356" i="2"/>
  <c r="B2356" i="2"/>
  <c r="C2356" i="2"/>
  <c r="D2356" i="2"/>
  <c r="E2356" i="2"/>
  <c r="F2356" i="2"/>
  <c r="G2356" i="2"/>
  <c r="H2356" i="2"/>
  <c r="I2356" i="2"/>
  <c r="J2356" i="2"/>
  <c r="K2356" i="2"/>
  <c r="L2356" i="2"/>
  <c r="M2356" i="2"/>
  <c r="N2356" i="2"/>
  <c r="O2356" i="2"/>
  <c r="P2356" i="2"/>
  <c r="Q2356" i="2"/>
  <c r="R2356" i="2"/>
  <c r="S2356" i="2"/>
  <c r="T2356" i="2"/>
  <c r="U2356" i="2"/>
  <c r="V2356" i="2"/>
  <c r="W2356" i="2"/>
  <c r="X2356" i="2"/>
  <c r="Y2356" i="2"/>
  <c r="A2357" i="2"/>
  <c r="B2357" i="2"/>
  <c r="C2357" i="2"/>
  <c r="D2357" i="2"/>
  <c r="E2357" i="2"/>
  <c r="F2357" i="2"/>
  <c r="G2357" i="2"/>
  <c r="H2357" i="2"/>
  <c r="I2357" i="2"/>
  <c r="J2357" i="2"/>
  <c r="K2357" i="2"/>
  <c r="L2357" i="2"/>
  <c r="M2357" i="2"/>
  <c r="N2357" i="2"/>
  <c r="O2357" i="2"/>
  <c r="P2357" i="2"/>
  <c r="Q2357" i="2"/>
  <c r="R2357" i="2"/>
  <c r="S2357" i="2"/>
  <c r="T2357" i="2"/>
  <c r="U2357" i="2"/>
  <c r="V2357" i="2"/>
  <c r="W2357" i="2"/>
  <c r="X2357" i="2"/>
  <c r="Y2357" i="2"/>
  <c r="A2358" i="2"/>
  <c r="B2358" i="2"/>
  <c r="C2358" i="2"/>
  <c r="D2358" i="2"/>
  <c r="E2358" i="2"/>
  <c r="F2358" i="2"/>
  <c r="G2358" i="2"/>
  <c r="H2358" i="2"/>
  <c r="I2358" i="2"/>
  <c r="J2358" i="2"/>
  <c r="K2358" i="2"/>
  <c r="L2358" i="2"/>
  <c r="M2358" i="2"/>
  <c r="N2358" i="2"/>
  <c r="O2358" i="2"/>
  <c r="P2358" i="2"/>
  <c r="Q2358" i="2"/>
  <c r="R2358" i="2"/>
  <c r="S2358" i="2"/>
  <c r="T2358" i="2"/>
  <c r="U2358" i="2"/>
  <c r="V2358" i="2"/>
  <c r="W2358" i="2"/>
  <c r="X2358" i="2"/>
  <c r="Y2358" i="2"/>
  <c r="A2359" i="2"/>
  <c r="B2359" i="2"/>
  <c r="C2359" i="2"/>
  <c r="D2359" i="2"/>
  <c r="E2359" i="2"/>
  <c r="F2359" i="2"/>
  <c r="G2359" i="2"/>
  <c r="H2359" i="2"/>
  <c r="I2359" i="2"/>
  <c r="J2359" i="2"/>
  <c r="K2359" i="2"/>
  <c r="L2359" i="2"/>
  <c r="M2359" i="2"/>
  <c r="N2359" i="2"/>
  <c r="O2359" i="2"/>
  <c r="P2359" i="2"/>
  <c r="Q2359" i="2"/>
  <c r="R2359" i="2"/>
  <c r="S2359" i="2"/>
  <c r="T2359" i="2"/>
  <c r="U2359" i="2"/>
  <c r="V2359" i="2"/>
  <c r="W2359" i="2"/>
  <c r="X2359" i="2"/>
  <c r="Y2359" i="2"/>
  <c r="B2360" i="2"/>
  <c r="C2360" i="2"/>
  <c r="D2360" i="2"/>
  <c r="E2360" i="2"/>
  <c r="F2360" i="2"/>
  <c r="G2360" i="2"/>
  <c r="H2360" i="2"/>
  <c r="I2360" i="2"/>
  <c r="J2360" i="2"/>
  <c r="K2360" i="2"/>
  <c r="L2360" i="2"/>
  <c r="M2360" i="2"/>
  <c r="N2360" i="2"/>
  <c r="O2360" i="2"/>
  <c r="P2360" i="2"/>
  <c r="Q2360" i="2"/>
  <c r="R2360" i="2"/>
  <c r="S2360" i="2"/>
  <c r="T2360" i="2"/>
  <c r="U2360" i="2"/>
  <c r="V2360" i="2"/>
  <c r="W2360" i="2"/>
  <c r="X2360" i="2"/>
  <c r="Y2360" i="2"/>
  <c r="A2361" i="2"/>
  <c r="B2361" i="2"/>
  <c r="C2361" i="2"/>
  <c r="D2361" i="2"/>
  <c r="E2361" i="2"/>
  <c r="F2361" i="2"/>
  <c r="G2361" i="2"/>
  <c r="H2361" i="2"/>
  <c r="I2361" i="2"/>
  <c r="J2361" i="2"/>
  <c r="K2361" i="2"/>
  <c r="L2361" i="2"/>
  <c r="M2361" i="2"/>
  <c r="N2361" i="2"/>
  <c r="O2361" i="2"/>
  <c r="P2361" i="2"/>
  <c r="Q2361" i="2"/>
  <c r="R2361" i="2"/>
  <c r="S2361" i="2"/>
  <c r="T2361" i="2"/>
  <c r="U2361" i="2"/>
  <c r="V2361" i="2"/>
  <c r="W2361" i="2"/>
  <c r="X2361" i="2"/>
  <c r="Y2361" i="2"/>
  <c r="A2362" i="2"/>
  <c r="B2362" i="2"/>
  <c r="C2362" i="2"/>
  <c r="D2362" i="2"/>
  <c r="E2362" i="2"/>
  <c r="F2362" i="2"/>
  <c r="G2362" i="2"/>
  <c r="H2362" i="2"/>
  <c r="I2362" i="2"/>
  <c r="J2362" i="2"/>
  <c r="K2362" i="2"/>
  <c r="L2362" i="2"/>
  <c r="M2362" i="2"/>
  <c r="N2362" i="2"/>
  <c r="O2362" i="2"/>
  <c r="P2362" i="2"/>
  <c r="Q2362" i="2"/>
  <c r="R2362" i="2"/>
  <c r="S2362" i="2"/>
  <c r="T2362" i="2"/>
  <c r="U2362" i="2"/>
  <c r="V2362" i="2"/>
  <c r="W2362" i="2"/>
  <c r="X2362" i="2"/>
  <c r="Y2362" i="2"/>
  <c r="A2363" i="2"/>
  <c r="B2363" i="2"/>
  <c r="C2363" i="2"/>
  <c r="D2363" i="2"/>
  <c r="E2363" i="2"/>
  <c r="F2363" i="2"/>
  <c r="G2363" i="2"/>
  <c r="H2363" i="2"/>
  <c r="I2363" i="2"/>
  <c r="J2363" i="2"/>
  <c r="K2363" i="2"/>
  <c r="L2363" i="2"/>
  <c r="M2363" i="2"/>
  <c r="N2363" i="2"/>
  <c r="O2363" i="2"/>
  <c r="P2363" i="2"/>
  <c r="Q2363" i="2"/>
  <c r="R2363" i="2"/>
  <c r="S2363" i="2"/>
  <c r="T2363" i="2"/>
  <c r="U2363" i="2"/>
  <c r="V2363" i="2"/>
  <c r="W2363" i="2"/>
  <c r="X2363" i="2"/>
  <c r="Y2363" i="2"/>
  <c r="A2364" i="2"/>
  <c r="B2364" i="2"/>
  <c r="C2364" i="2"/>
  <c r="D2364" i="2"/>
  <c r="E2364" i="2"/>
  <c r="F2364" i="2"/>
  <c r="G2364" i="2"/>
  <c r="H2364" i="2"/>
  <c r="I2364" i="2"/>
  <c r="J2364" i="2"/>
  <c r="K2364" i="2"/>
  <c r="L2364" i="2"/>
  <c r="M2364" i="2"/>
  <c r="N2364" i="2"/>
  <c r="O2364" i="2"/>
  <c r="P2364" i="2"/>
  <c r="Q2364" i="2"/>
  <c r="R2364" i="2"/>
  <c r="S2364" i="2"/>
  <c r="T2364" i="2"/>
  <c r="U2364" i="2"/>
  <c r="V2364" i="2"/>
  <c r="W2364" i="2"/>
  <c r="X2364" i="2"/>
  <c r="Y2364" i="2"/>
  <c r="A2365" i="2"/>
  <c r="B2365" i="2"/>
  <c r="C2365" i="2"/>
  <c r="D2365" i="2"/>
  <c r="E2365" i="2"/>
  <c r="F2365" i="2"/>
  <c r="G2365" i="2"/>
  <c r="H2365" i="2"/>
  <c r="I2365" i="2"/>
  <c r="J2365" i="2"/>
  <c r="K2365" i="2"/>
  <c r="L2365" i="2"/>
  <c r="M2365" i="2"/>
  <c r="N2365" i="2"/>
  <c r="O2365" i="2"/>
  <c r="P2365" i="2"/>
  <c r="Q2365" i="2"/>
  <c r="R2365" i="2"/>
  <c r="S2365" i="2"/>
  <c r="T2365" i="2"/>
  <c r="U2365" i="2"/>
  <c r="V2365" i="2"/>
  <c r="W2365" i="2"/>
  <c r="X2365" i="2"/>
  <c r="Y2365" i="2"/>
  <c r="A2366" i="2"/>
  <c r="B2366" i="2"/>
  <c r="C2366" i="2"/>
  <c r="D2366" i="2"/>
  <c r="E2366" i="2"/>
  <c r="F2366" i="2"/>
  <c r="G2366" i="2"/>
  <c r="H2366" i="2"/>
  <c r="I2366" i="2"/>
  <c r="J2366" i="2"/>
  <c r="K2366" i="2"/>
  <c r="L2366" i="2"/>
  <c r="M2366" i="2"/>
  <c r="N2366" i="2"/>
  <c r="O2366" i="2"/>
  <c r="P2366" i="2"/>
  <c r="Q2366" i="2"/>
  <c r="R2366" i="2"/>
  <c r="S2366" i="2"/>
  <c r="T2366" i="2"/>
  <c r="U2366" i="2"/>
  <c r="V2366" i="2"/>
  <c r="W2366" i="2"/>
  <c r="X2366" i="2"/>
  <c r="Y2366" i="2"/>
  <c r="A2367" i="2"/>
  <c r="A2368" i="2"/>
  <c r="A2369" i="2"/>
  <c r="A2370" i="2"/>
  <c r="A2371" i="2"/>
  <c r="A2372" i="2"/>
  <c r="A2373" i="2"/>
  <c r="A2374" i="2"/>
  <c r="A2375" i="2"/>
  <c r="A2377" i="2"/>
  <c r="A2378" i="2"/>
  <c r="A2379" i="2"/>
  <c r="A2380" i="2"/>
  <c r="A2381" i="2"/>
  <c r="A2382" i="2"/>
  <c r="B2382" i="2"/>
  <c r="C2382" i="2"/>
  <c r="D2382" i="2"/>
  <c r="E2382" i="2"/>
  <c r="F2382" i="2"/>
  <c r="G2382" i="2"/>
  <c r="H2382" i="2"/>
  <c r="I2382" i="2"/>
  <c r="J2382" i="2"/>
  <c r="K2382" i="2"/>
  <c r="L2382" i="2"/>
  <c r="M2382" i="2"/>
  <c r="N2382" i="2"/>
  <c r="O2382" i="2"/>
  <c r="P2382" i="2"/>
  <c r="Q2382" i="2"/>
  <c r="R2382" i="2"/>
  <c r="S2382" i="2"/>
  <c r="T2382" i="2"/>
  <c r="U2382" i="2"/>
  <c r="V2382" i="2"/>
  <c r="W2382" i="2"/>
  <c r="X2382" i="2"/>
  <c r="Y2382" i="2"/>
  <c r="Z2382" i="2"/>
  <c r="AA2382" i="2"/>
  <c r="AB2382" i="2"/>
  <c r="AC2382" i="2"/>
  <c r="AD2382" i="2"/>
  <c r="AE2382" i="2"/>
  <c r="AF2382" i="2"/>
  <c r="AG2382" i="2"/>
  <c r="AH2382" i="2"/>
  <c r="AI2382" i="2"/>
  <c r="AJ2382" i="2"/>
  <c r="AK2382" i="2"/>
  <c r="A2383" i="2"/>
  <c r="B2383" i="2"/>
  <c r="C2383" i="2"/>
  <c r="D2383" i="2"/>
  <c r="E2383" i="2"/>
  <c r="F2383" i="2"/>
  <c r="G2383" i="2"/>
  <c r="H2383" i="2"/>
  <c r="I2383" i="2"/>
  <c r="J2383" i="2"/>
  <c r="K2383" i="2"/>
  <c r="L2383" i="2"/>
  <c r="M2383" i="2"/>
  <c r="N2383" i="2"/>
  <c r="O2383" i="2"/>
  <c r="P2383" i="2"/>
  <c r="Q2383" i="2"/>
  <c r="R2383" i="2"/>
  <c r="S2383" i="2"/>
  <c r="T2383" i="2"/>
  <c r="U2383" i="2"/>
  <c r="V2383" i="2"/>
  <c r="W2383" i="2"/>
  <c r="X2383" i="2"/>
  <c r="Y2383" i="2"/>
  <c r="Z2383" i="2"/>
  <c r="AA2383" i="2"/>
  <c r="AB2383" i="2"/>
  <c r="AC2383" i="2"/>
  <c r="AD2383" i="2"/>
  <c r="AE2383" i="2"/>
  <c r="AF2383" i="2"/>
  <c r="AG2383" i="2"/>
  <c r="AH2383" i="2"/>
  <c r="AI2383" i="2"/>
  <c r="AJ2383" i="2"/>
  <c r="AK2383" i="2"/>
  <c r="A2384" i="2"/>
  <c r="B2384" i="2"/>
  <c r="C2384" i="2"/>
  <c r="D2384" i="2"/>
  <c r="E2384" i="2"/>
  <c r="F2384" i="2"/>
  <c r="G2384" i="2"/>
  <c r="H2384" i="2"/>
  <c r="I2384" i="2"/>
  <c r="J2384" i="2"/>
  <c r="K2384" i="2"/>
  <c r="L2384" i="2"/>
  <c r="M2384" i="2"/>
  <c r="N2384" i="2"/>
  <c r="O2384" i="2"/>
  <c r="P2384" i="2"/>
  <c r="Q2384" i="2"/>
  <c r="R2384" i="2"/>
  <c r="S2384" i="2"/>
  <c r="T2384" i="2"/>
  <c r="U2384" i="2"/>
  <c r="V2384" i="2"/>
  <c r="W2384" i="2"/>
  <c r="X2384" i="2"/>
  <c r="Y2384" i="2"/>
  <c r="Z2384" i="2"/>
  <c r="AA2384" i="2"/>
  <c r="AB2384" i="2"/>
  <c r="AC2384" i="2"/>
  <c r="AD2384" i="2"/>
  <c r="AE2384" i="2"/>
  <c r="AF2384" i="2"/>
  <c r="AG2384" i="2"/>
  <c r="AH2384" i="2"/>
  <c r="AI2384" i="2"/>
  <c r="AJ2384" i="2"/>
  <c r="AK2384" i="2"/>
  <c r="A2385" i="2"/>
  <c r="B2385" i="2"/>
  <c r="C2385" i="2"/>
  <c r="D2385" i="2"/>
  <c r="E2385" i="2"/>
  <c r="F2385" i="2"/>
  <c r="G2385" i="2"/>
  <c r="H2385" i="2"/>
  <c r="I2385" i="2"/>
  <c r="J2385" i="2"/>
  <c r="K2385" i="2"/>
  <c r="L2385" i="2"/>
  <c r="M2385" i="2"/>
  <c r="N2385" i="2"/>
  <c r="O2385" i="2"/>
  <c r="P2385" i="2"/>
  <c r="Q2385" i="2"/>
  <c r="R2385" i="2"/>
  <c r="S2385" i="2"/>
  <c r="T2385" i="2"/>
  <c r="U2385" i="2"/>
  <c r="V2385" i="2"/>
  <c r="W2385" i="2"/>
  <c r="X2385" i="2"/>
  <c r="Y2385" i="2"/>
  <c r="Z2385" i="2"/>
  <c r="AA2385" i="2"/>
  <c r="AB2385" i="2"/>
  <c r="AC2385" i="2"/>
  <c r="AD2385" i="2"/>
  <c r="AE2385" i="2"/>
  <c r="AF2385" i="2"/>
  <c r="AG2385" i="2"/>
  <c r="AH2385" i="2"/>
  <c r="AI2385" i="2"/>
  <c r="AJ2385" i="2"/>
  <c r="AK2385" i="2"/>
  <c r="A2386" i="2"/>
  <c r="B2386" i="2"/>
  <c r="C2386" i="2"/>
  <c r="D2386" i="2"/>
  <c r="E2386" i="2"/>
  <c r="F2386" i="2"/>
  <c r="G2386" i="2"/>
  <c r="H2386" i="2"/>
  <c r="I2386" i="2"/>
  <c r="J2386" i="2"/>
  <c r="K2386" i="2"/>
  <c r="L2386" i="2"/>
  <c r="M2386" i="2"/>
  <c r="N2386" i="2"/>
  <c r="O2386" i="2"/>
  <c r="P2386" i="2"/>
  <c r="Q2386" i="2"/>
  <c r="R2386" i="2"/>
  <c r="S2386" i="2"/>
  <c r="T2386" i="2"/>
  <c r="U2386" i="2"/>
  <c r="V2386" i="2"/>
  <c r="W2386" i="2"/>
  <c r="X2386" i="2"/>
  <c r="Y2386" i="2"/>
  <c r="Z2386" i="2"/>
  <c r="AA2386" i="2"/>
  <c r="AB2386" i="2"/>
  <c r="AC2386" i="2"/>
  <c r="AD2386" i="2"/>
  <c r="AE2386" i="2"/>
  <c r="AF2386" i="2"/>
  <c r="AG2386" i="2"/>
  <c r="AH2386" i="2"/>
  <c r="AI2386" i="2"/>
  <c r="AJ2386" i="2"/>
  <c r="AK2386" i="2"/>
  <c r="A2387" i="2"/>
  <c r="B2387" i="2"/>
  <c r="C2387" i="2"/>
  <c r="D2387" i="2"/>
  <c r="E2387" i="2"/>
  <c r="F2387" i="2"/>
  <c r="G2387" i="2"/>
  <c r="H2387" i="2"/>
  <c r="I2387" i="2"/>
  <c r="J2387" i="2"/>
  <c r="K2387" i="2"/>
  <c r="L2387" i="2"/>
  <c r="M2387" i="2"/>
  <c r="N2387" i="2"/>
  <c r="O2387" i="2"/>
  <c r="P2387" i="2"/>
  <c r="Q2387" i="2"/>
  <c r="R2387" i="2"/>
  <c r="S2387" i="2"/>
  <c r="T2387" i="2"/>
  <c r="U2387" i="2"/>
  <c r="V2387" i="2"/>
  <c r="W2387" i="2"/>
  <c r="X2387" i="2"/>
  <c r="Y2387" i="2"/>
  <c r="Z2387" i="2"/>
  <c r="AA2387" i="2"/>
  <c r="AB2387" i="2"/>
  <c r="AC2387" i="2"/>
  <c r="AD2387" i="2"/>
  <c r="AE2387" i="2"/>
  <c r="AF2387" i="2"/>
  <c r="AG2387" i="2"/>
  <c r="AH2387" i="2"/>
  <c r="AI2387" i="2"/>
  <c r="AJ2387" i="2"/>
  <c r="AK2387" i="2"/>
  <c r="A2388" i="2"/>
  <c r="B2388" i="2"/>
  <c r="C2388" i="2"/>
  <c r="D2388" i="2"/>
  <c r="E2388" i="2"/>
  <c r="F2388" i="2"/>
  <c r="G2388" i="2"/>
  <c r="H2388" i="2"/>
  <c r="I2388" i="2"/>
  <c r="J2388" i="2"/>
  <c r="K2388" i="2"/>
  <c r="L2388" i="2"/>
  <c r="M2388" i="2"/>
  <c r="N2388" i="2"/>
  <c r="O2388" i="2"/>
  <c r="P2388" i="2"/>
  <c r="Q2388" i="2"/>
  <c r="R2388" i="2"/>
  <c r="S2388" i="2"/>
  <c r="T2388" i="2"/>
  <c r="U2388" i="2"/>
  <c r="V2388" i="2"/>
  <c r="W2388" i="2"/>
  <c r="X2388" i="2"/>
  <c r="Y2388" i="2"/>
  <c r="Z2388" i="2"/>
  <c r="AA2388" i="2"/>
  <c r="AB2388" i="2"/>
  <c r="AC2388" i="2"/>
  <c r="AD2388" i="2"/>
  <c r="AE2388" i="2"/>
  <c r="AF2388" i="2"/>
  <c r="AG2388" i="2"/>
  <c r="AH2388" i="2"/>
  <c r="AI2388" i="2"/>
  <c r="AJ2388" i="2"/>
  <c r="AK2388" i="2"/>
  <c r="A2389" i="2"/>
  <c r="B2389" i="2"/>
  <c r="C2389" i="2"/>
  <c r="D2389" i="2"/>
  <c r="E2389" i="2"/>
  <c r="F2389" i="2"/>
  <c r="G2389" i="2"/>
  <c r="H2389" i="2"/>
  <c r="I2389" i="2"/>
  <c r="J2389" i="2"/>
  <c r="K2389" i="2"/>
  <c r="L2389" i="2"/>
  <c r="M2389" i="2"/>
  <c r="N2389" i="2"/>
  <c r="O2389" i="2"/>
  <c r="P2389" i="2"/>
  <c r="Q2389" i="2"/>
  <c r="R2389" i="2"/>
  <c r="S2389" i="2"/>
  <c r="T2389" i="2"/>
  <c r="U2389" i="2"/>
  <c r="V2389" i="2"/>
  <c r="W2389" i="2"/>
  <c r="X2389" i="2"/>
  <c r="Y2389" i="2"/>
  <c r="Z2389" i="2"/>
  <c r="AA2389" i="2"/>
  <c r="AB2389" i="2"/>
  <c r="AC2389" i="2"/>
  <c r="AD2389" i="2"/>
  <c r="AE2389" i="2"/>
  <c r="AF2389" i="2"/>
  <c r="AG2389" i="2"/>
  <c r="AH2389" i="2"/>
  <c r="AI2389" i="2"/>
  <c r="AJ2389" i="2"/>
  <c r="AK2389" i="2"/>
  <c r="A2390" i="2"/>
  <c r="B2390" i="2"/>
  <c r="C2390" i="2"/>
  <c r="D2390" i="2"/>
  <c r="E2390" i="2"/>
  <c r="F2390" i="2"/>
  <c r="G2390" i="2"/>
  <c r="H2390" i="2"/>
  <c r="I2390" i="2"/>
  <c r="J2390" i="2"/>
  <c r="K2390" i="2"/>
  <c r="L2390" i="2"/>
  <c r="M2390" i="2"/>
  <c r="N2390" i="2"/>
  <c r="O2390" i="2"/>
  <c r="P2390" i="2"/>
  <c r="Q2390" i="2"/>
  <c r="R2390" i="2"/>
  <c r="S2390" i="2"/>
  <c r="T2390" i="2"/>
  <c r="U2390" i="2"/>
  <c r="V2390" i="2"/>
  <c r="W2390" i="2"/>
  <c r="X2390" i="2"/>
  <c r="Y2390" i="2"/>
  <c r="Z2390" i="2"/>
  <c r="AA2390" i="2"/>
  <c r="AB2390" i="2"/>
  <c r="AC2390" i="2"/>
  <c r="AD2390" i="2"/>
  <c r="AE2390" i="2"/>
  <c r="AF2390" i="2"/>
  <c r="AG2390" i="2"/>
  <c r="AH2390" i="2"/>
  <c r="AI2390" i="2"/>
  <c r="AJ2390" i="2"/>
  <c r="AK2390" i="2"/>
  <c r="A2391" i="2"/>
  <c r="B2391" i="2"/>
  <c r="C2391" i="2"/>
  <c r="D2391" i="2"/>
  <c r="E2391" i="2"/>
  <c r="F2391" i="2"/>
  <c r="G2391" i="2"/>
  <c r="H2391" i="2"/>
  <c r="I2391" i="2"/>
  <c r="J2391" i="2"/>
  <c r="K2391" i="2"/>
  <c r="L2391" i="2"/>
  <c r="M2391" i="2"/>
  <c r="N2391" i="2"/>
  <c r="O2391" i="2"/>
  <c r="P2391" i="2"/>
  <c r="Q2391" i="2"/>
  <c r="R2391" i="2"/>
  <c r="S2391" i="2"/>
  <c r="T2391" i="2"/>
  <c r="U2391" i="2"/>
  <c r="V2391" i="2"/>
  <c r="W2391" i="2"/>
  <c r="X2391" i="2"/>
  <c r="Y2391" i="2"/>
  <c r="Z2391" i="2"/>
  <c r="AA2391" i="2"/>
  <c r="AB2391" i="2"/>
  <c r="AC2391" i="2"/>
  <c r="AD2391" i="2"/>
  <c r="AE2391" i="2"/>
  <c r="AF2391" i="2"/>
  <c r="AG2391" i="2"/>
  <c r="AH2391" i="2"/>
  <c r="AI2391" i="2"/>
  <c r="AJ2391" i="2"/>
  <c r="AK2391" i="2"/>
  <c r="A2392" i="2"/>
  <c r="B2392" i="2"/>
  <c r="C2392" i="2"/>
  <c r="D2392" i="2"/>
  <c r="E2392" i="2"/>
  <c r="F2392" i="2"/>
  <c r="G2392" i="2"/>
  <c r="H2392" i="2"/>
  <c r="I2392" i="2"/>
  <c r="J2392" i="2"/>
  <c r="K2392" i="2"/>
  <c r="L2392" i="2"/>
  <c r="M2392" i="2"/>
  <c r="N2392" i="2"/>
  <c r="O2392" i="2"/>
  <c r="P2392" i="2"/>
  <c r="Q2392" i="2"/>
  <c r="R2392" i="2"/>
  <c r="S2392" i="2"/>
  <c r="T2392" i="2"/>
  <c r="U2392" i="2"/>
  <c r="V2392" i="2"/>
  <c r="W2392" i="2"/>
  <c r="X2392" i="2"/>
  <c r="Y2392" i="2"/>
  <c r="Z2392" i="2"/>
  <c r="AA2392" i="2"/>
  <c r="AB2392" i="2"/>
  <c r="AC2392" i="2"/>
  <c r="AD2392" i="2"/>
  <c r="AE2392" i="2"/>
  <c r="AF2392" i="2"/>
  <c r="AG2392" i="2"/>
  <c r="AH2392" i="2"/>
  <c r="AI2392" i="2"/>
  <c r="AJ2392" i="2"/>
  <c r="AK2392" i="2"/>
  <c r="A2393" i="2"/>
  <c r="B2393" i="2"/>
  <c r="C2393" i="2"/>
  <c r="D2393" i="2"/>
  <c r="E2393" i="2"/>
  <c r="F2393" i="2"/>
  <c r="G2393" i="2"/>
  <c r="H2393" i="2"/>
  <c r="I2393" i="2"/>
  <c r="J2393" i="2"/>
  <c r="K2393" i="2"/>
  <c r="L2393" i="2"/>
  <c r="M2393" i="2"/>
  <c r="N2393" i="2"/>
  <c r="O2393" i="2"/>
  <c r="P2393" i="2"/>
  <c r="Q2393" i="2"/>
  <c r="R2393" i="2"/>
  <c r="S2393" i="2"/>
  <c r="T2393" i="2"/>
  <c r="U2393" i="2"/>
  <c r="V2393" i="2"/>
  <c r="W2393" i="2"/>
  <c r="X2393" i="2"/>
  <c r="Y2393" i="2"/>
  <c r="Z2393" i="2"/>
  <c r="AA2393" i="2"/>
  <c r="AB2393" i="2"/>
  <c r="AC2393" i="2"/>
  <c r="AD2393" i="2"/>
  <c r="AE2393" i="2"/>
  <c r="AF2393" i="2"/>
  <c r="AG2393" i="2"/>
  <c r="AH2393" i="2"/>
  <c r="AI2393" i="2"/>
  <c r="AJ2393" i="2"/>
  <c r="AK2393" i="2"/>
  <c r="A2394" i="2"/>
  <c r="B2394" i="2"/>
  <c r="C2394" i="2"/>
  <c r="D2394" i="2"/>
  <c r="E2394" i="2"/>
  <c r="F2394" i="2"/>
  <c r="G2394" i="2"/>
  <c r="H2394" i="2"/>
  <c r="I2394" i="2"/>
  <c r="J2394" i="2"/>
  <c r="K2394" i="2"/>
  <c r="L2394" i="2"/>
  <c r="M2394" i="2"/>
  <c r="N2394" i="2"/>
  <c r="O2394" i="2"/>
  <c r="P2394" i="2"/>
  <c r="Q2394" i="2"/>
  <c r="R2394" i="2"/>
  <c r="S2394" i="2"/>
  <c r="T2394" i="2"/>
  <c r="U2394" i="2"/>
  <c r="V2394" i="2"/>
  <c r="W2394" i="2"/>
  <c r="X2394" i="2"/>
  <c r="Y2394" i="2"/>
  <c r="Z2394" i="2"/>
  <c r="AA2394" i="2"/>
  <c r="AB2394" i="2"/>
  <c r="AC2394" i="2"/>
  <c r="AD2394" i="2"/>
  <c r="AE2394" i="2"/>
  <c r="AF2394" i="2"/>
  <c r="AG2394" i="2"/>
  <c r="AH2394" i="2"/>
  <c r="AI2394" i="2"/>
  <c r="AJ2394" i="2"/>
  <c r="AK2394" i="2"/>
  <c r="A2395" i="2"/>
  <c r="B2395" i="2"/>
  <c r="C2395" i="2"/>
  <c r="D2395" i="2"/>
  <c r="E2395" i="2"/>
  <c r="F2395" i="2"/>
  <c r="G2395" i="2"/>
  <c r="H2395" i="2"/>
  <c r="I2395" i="2"/>
  <c r="J2395" i="2"/>
  <c r="K2395" i="2"/>
  <c r="L2395" i="2"/>
  <c r="M2395" i="2"/>
  <c r="N2395" i="2"/>
  <c r="O2395" i="2"/>
  <c r="P2395" i="2"/>
  <c r="Q2395" i="2"/>
  <c r="R2395" i="2"/>
  <c r="S2395" i="2"/>
  <c r="T2395" i="2"/>
  <c r="U2395" i="2"/>
  <c r="V2395" i="2"/>
  <c r="W2395" i="2"/>
  <c r="X2395" i="2"/>
  <c r="Y2395" i="2"/>
  <c r="Z2395" i="2"/>
  <c r="AA2395" i="2"/>
  <c r="AB2395" i="2"/>
  <c r="AC2395" i="2"/>
  <c r="AD2395" i="2"/>
  <c r="AE2395" i="2"/>
  <c r="AF2395" i="2"/>
  <c r="AG2395" i="2"/>
  <c r="AH2395" i="2"/>
  <c r="AI2395" i="2"/>
  <c r="AJ2395" i="2"/>
  <c r="AK2395" i="2"/>
  <c r="A2396" i="2"/>
  <c r="B2396" i="2"/>
  <c r="C2396" i="2"/>
  <c r="D2396" i="2"/>
  <c r="E2396" i="2"/>
  <c r="F2396" i="2"/>
  <c r="G2396" i="2"/>
  <c r="H2396" i="2"/>
  <c r="I2396" i="2"/>
  <c r="J2396" i="2"/>
  <c r="K2396" i="2"/>
  <c r="L2396" i="2"/>
  <c r="M2396" i="2"/>
  <c r="N2396" i="2"/>
  <c r="O2396" i="2"/>
  <c r="P2396" i="2"/>
  <c r="Q2396" i="2"/>
  <c r="R2396" i="2"/>
  <c r="S2396" i="2"/>
  <c r="T2396" i="2"/>
  <c r="U2396" i="2"/>
  <c r="V2396" i="2"/>
  <c r="W2396" i="2"/>
  <c r="X2396" i="2"/>
  <c r="Y2396" i="2"/>
  <c r="Z2396" i="2"/>
  <c r="AA2396" i="2"/>
  <c r="AB2396" i="2"/>
  <c r="AC2396" i="2"/>
  <c r="AD2396" i="2"/>
  <c r="AE2396" i="2"/>
  <c r="AF2396" i="2"/>
  <c r="AG2396" i="2"/>
  <c r="AH2396" i="2"/>
  <c r="AI2396" i="2"/>
  <c r="AJ2396" i="2"/>
  <c r="AK2396" i="2"/>
  <c r="A2397" i="2"/>
  <c r="B2397" i="2"/>
  <c r="C2397" i="2"/>
  <c r="D2397" i="2"/>
  <c r="E2397" i="2"/>
  <c r="F2397" i="2"/>
  <c r="G2397" i="2"/>
  <c r="H2397" i="2"/>
  <c r="I2397" i="2"/>
  <c r="J2397" i="2"/>
  <c r="K2397" i="2"/>
  <c r="L2397" i="2"/>
  <c r="M2397" i="2"/>
  <c r="N2397" i="2"/>
  <c r="O2397" i="2"/>
  <c r="P2397" i="2"/>
  <c r="Q2397" i="2"/>
  <c r="R2397" i="2"/>
  <c r="S2397" i="2"/>
  <c r="T2397" i="2"/>
  <c r="U2397" i="2"/>
  <c r="V2397" i="2"/>
  <c r="W2397" i="2"/>
  <c r="X2397" i="2"/>
  <c r="Y2397" i="2"/>
  <c r="Z2397" i="2"/>
  <c r="AA2397" i="2"/>
  <c r="AB2397" i="2"/>
  <c r="AC2397" i="2"/>
  <c r="AD2397" i="2"/>
  <c r="AE2397" i="2"/>
  <c r="AF2397" i="2"/>
  <c r="AG2397" i="2"/>
  <c r="AH2397" i="2"/>
  <c r="AI2397" i="2"/>
  <c r="AJ2397" i="2"/>
  <c r="AK2397" i="2"/>
  <c r="A2398" i="2"/>
  <c r="B2398" i="2"/>
  <c r="C2398" i="2"/>
  <c r="D2398" i="2"/>
  <c r="E2398" i="2"/>
  <c r="F2398" i="2"/>
  <c r="G2398" i="2"/>
  <c r="H2398" i="2"/>
  <c r="I2398" i="2"/>
  <c r="J2398" i="2"/>
  <c r="K2398" i="2"/>
  <c r="L2398" i="2"/>
  <c r="M2398" i="2"/>
  <c r="N2398" i="2"/>
  <c r="O2398" i="2"/>
  <c r="P2398" i="2"/>
  <c r="Q2398" i="2"/>
  <c r="R2398" i="2"/>
  <c r="S2398" i="2"/>
  <c r="T2398" i="2"/>
  <c r="U2398" i="2"/>
  <c r="V2398" i="2"/>
  <c r="W2398" i="2"/>
  <c r="X2398" i="2"/>
  <c r="Y2398" i="2"/>
  <c r="Z2398" i="2"/>
  <c r="AA2398" i="2"/>
  <c r="AB2398" i="2"/>
  <c r="AC2398" i="2"/>
  <c r="AD2398" i="2"/>
  <c r="AE2398" i="2"/>
  <c r="AF2398" i="2"/>
  <c r="AG2398" i="2"/>
  <c r="AH2398" i="2"/>
  <c r="AI2398" i="2"/>
  <c r="AJ2398" i="2"/>
  <c r="AK2398" i="2"/>
  <c r="A2399" i="2"/>
  <c r="B2399" i="2"/>
  <c r="C2399" i="2"/>
  <c r="D2399" i="2"/>
  <c r="E2399" i="2"/>
  <c r="F2399" i="2"/>
  <c r="G2399" i="2"/>
  <c r="H2399" i="2"/>
  <c r="I2399" i="2"/>
  <c r="J2399" i="2"/>
  <c r="K2399" i="2"/>
  <c r="L2399" i="2"/>
  <c r="M2399" i="2"/>
  <c r="N2399" i="2"/>
  <c r="O2399" i="2"/>
  <c r="P2399" i="2"/>
  <c r="Q2399" i="2"/>
  <c r="R2399" i="2"/>
  <c r="S2399" i="2"/>
  <c r="T2399" i="2"/>
  <c r="U2399" i="2"/>
  <c r="V2399" i="2"/>
  <c r="W2399" i="2"/>
  <c r="X2399" i="2"/>
  <c r="Y2399" i="2"/>
  <c r="Z2399" i="2"/>
  <c r="AA2399" i="2"/>
  <c r="AB2399" i="2"/>
  <c r="AC2399" i="2"/>
  <c r="AD2399" i="2"/>
  <c r="AE2399" i="2"/>
  <c r="AF2399" i="2"/>
  <c r="AG2399" i="2"/>
  <c r="AH2399" i="2"/>
  <c r="AI2399" i="2"/>
  <c r="AJ2399" i="2"/>
  <c r="AK2399" i="2"/>
  <c r="A2400" i="2"/>
  <c r="B2400" i="2"/>
  <c r="C2400" i="2"/>
  <c r="D2400" i="2"/>
  <c r="E2400" i="2"/>
  <c r="F2400" i="2"/>
  <c r="G2400" i="2"/>
  <c r="H2400" i="2"/>
  <c r="I2400" i="2"/>
  <c r="J2400" i="2"/>
  <c r="K2400" i="2"/>
  <c r="L2400" i="2"/>
  <c r="M2400" i="2"/>
  <c r="N2400" i="2"/>
  <c r="O2400" i="2"/>
  <c r="P2400" i="2"/>
  <c r="Q2400" i="2"/>
  <c r="R2400" i="2"/>
  <c r="S2400" i="2"/>
  <c r="T2400" i="2"/>
  <c r="U2400" i="2"/>
  <c r="V2400" i="2"/>
  <c r="W2400" i="2"/>
  <c r="X2400" i="2"/>
  <c r="Y2400" i="2"/>
  <c r="Z2400" i="2"/>
  <c r="AA2400" i="2"/>
  <c r="AB2400" i="2"/>
  <c r="AC2400" i="2"/>
  <c r="AD2400" i="2"/>
  <c r="AE2400" i="2"/>
  <c r="AF2400" i="2"/>
  <c r="AG2400" i="2"/>
  <c r="AH2400" i="2"/>
  <c r="AI2400" i="2"/>
  <c r="AJ2400" i="2"/>
  <c r="AK2400" i="2"/>
  <c r="A2401" i="2"/>
  <c r="B2401" i="2"/>
  <c r="C2401" i="2"/>
  <c r="D2401" i="2"/>
  <c r="E2401" i="2"/>
  <c r="F2401" i="2"/>
  <c r="G2401" i="2"/>
  <c r="H2401" i="2"/>
  <c r="I2401" i="2"/>
  <c r="J2401" i="2"/>
  <c r="K2401" i="2"/>
  <c r="L2401" i="2"/>
  <c r="M2401" i="2"/>
  <c r="N2401" i="2"/>
  <c r="O2401" i="2"/>
  <c r="P2401" i="2"/>
  <c r="Q2401" i="2"/>
  <c r="R2401" i="2"/>
  <c r="S2401" i="2"/>
  <c r="T2401" i="2"/>
  <c r="U2401" i="2"/>
  <c r="V2401" i="2"/>
  <c r="W2401" i="2"/>
  <c r="X2401" i="2"/>
  <c r="Y2401" i="2"/>
  <c r="Z2401" i="2"/>
  <c r="AA2401" i="2"/>
  <c r="AB2401" i="2"/>
  <c r="AC2401" i="2"/>
  <c r="AD2401" i="2"/>
  <c r="AE2401" i="2"/>
  <c r="AF2401" i="2"/>
  <c r="AG2401" i="2"/>
  <c r="AH2401" i="2"/>
  <c r="AI2401" i="2"/>
  <c r="AJ2401" i="2"/>
  <c r="AK2401" i="2"/>
  <c r="A2402" i="2"/>
  <c r="B2402" i="2"/>
  <c r="C2402" i="2"/>
  <c r="D2402" i="2"/>
  <c r="E2402" i="2"/>
  <c r="F2402" i="2"/>
  <c r="G2402" i="2"/>
  <c r="H2402" i="2"/>
  <c r="I2402" i="2"/>
  <c r="J2402" i="2"/>
  <c r="K2402" i="2"/>
  <c r="L2402" i="2"/>
  <c r="M2402" i="2"/>
  <c r="N2402" i="2"/>
  <c r="O2402" i="2"/>
  <c r="P2402" i="2"/>
  <c r="Q2402" i="2"/>
  <c r="R2402" i="2"/>
  <c r="S2402" i="2"/>
  <c r="T2402" i="2"/>
  <c r="U2402" i="2"/>
  <c r="V2402" i="2"/>
  <c r="W2402" i="2"/>
  <c r="X2402" i="2"/>
  <c r="Y2402" i="2"/>
  <c r="Z2402" i="2"/>
  <c r="AA2402" i="2"/>
  <c r="AB2402" i="2"/>
  <c r="AC2402" i="2"/>
  <c r="AD2402" i="2"/>
  <c r="AE2402" i="2"/>
  <c r="AF2402" i="2"/>
  <c r="AG2402" i="2"/>
  <c r="AH2402" i="2"/>
  <c r="AI2402" i="2"/>
  <c r="AJ2402" i="2"/>
  <c r="AK2402" i="2"/>
  <c r="A2403" i="2"/>
  <c r="B2403" i="2"/>
  <c r="C2403" i="2"/>
  <c r="D2403" i="2"/>
  <c r="E2403" i="2"/>
  <c r="F2403" i="2"/>
  <c r="G2403" i="2"/>
  <c r="H2403" i="2"/>
  <c r="I2403" i="2"/>
  <c r="J2403" i="2"/>
  <c r="K2403" i="2"/>
  <c r="L2403" i="2"/>
  <c r="M2403" i="2"/>
  <c r="N2403" i="2"/>
  <c r="O2403" i="2"/>
  <c r="P2403" i="2"/>
  <c r="Q2403" i="2"/>
  <c r="R2403" i="2"/>
  <c r="S2403" i="2"/>
  <c r="T2403" i="2"/>
  <c r="U2403" i="2"/>
  <c r="V2403" i="2"/>
  <c r="W2403" i="2"/>
  <c r="X2403" i="2"/>
  <c r="Y2403" i="2"/>
  <c r="Z2403" i="2"/>
  <c r="AA2403" i="2"/>
  <c r="AB2403" i="2"/>
  <c r="AC2403" i="2"/>
  <c r="AD2403" i="2"/>
  <c r="AE2403" i="2"/>
  <c r="AF2403" i="2"/>
  <c r="AG2403" i="2"/>
  <c r="AH2403" i="2"/>
  <c r="AI2403" i="2"/>
  <c r="AJ2403" i="2"/>
  <c r="AK2403" i="2"/>
  <c r="A2404" i="2"/>
  <c r="B2404" i="2"/>
  <c r="C2404" i="2"/>
  <c r="D2404" i="2"/>
  <c r="E2404" i="2"/>
  <c r="F2404" i="2"/>
  <c r="G2404" i="2"/>
  <c r="H2404" i="2"/>
  <c r="I2404" i="2"/>
  <c r="J2404" i="2"/>
  <c r="K2404" i="2"/>
  <c r="L2404" i="2"/>
  <c r="M2404" i="2"/>
  <c r="N2404" i="2"/>
  <c r="O2404" i="2"/>
  <c r="P2404" i="2"/>
  <c r="Q2404" i="2"/>
  <c r="R2404" i="2"/>
  <c r="S2404" i="2"/>
  <c r="T2404" i="2"/>
  <c r="U2404" i="2"/>
  <c r="V2404" i="2"/>
  <c r="W2404" i="2"/>
  <c r="X2404" i="2"/>
  <c r="Y2404" i="2"/>
  <c r="Z2404" i="2"/>
  <c r="AA2404" i="2"/>
  <c r="AB2404" i="2"/>
  <c r="AC2404" i="2"/>
  <c r="AD2404" i="2"/>
  <c r="AE2404" i="2"/>
  <c r="AF2404" i="2"/>
  <c r="AG2404" i="2"/>
  <c r="AH2404" i="2"/>
  <c r="AI2404" i="2"/>
  <c r="AJ2404" i="2"/>
  <c r="AK2404" i="2"/>
  <c r="A2405" i="2"/>
  <c r="B2405" i="2"/>
  <c r="C2405" i="2"/>
  <c r="D2405" i="2"/>
  <c r="E2405" i="2"/>
  <c r="F2405" i="2"/>
  <c r="G2405" i="2"/>
  <c r="H2405" i="2"/>
  <c r="I2405" i="2"/>
  <c r="J2405" i="2"/>
  <c r="K2405" i="2"/>
  <c r="L2405" i="2"/>
  <c r="M2405" i="2"/>
  <c r="N2405" i="2"/>
  <c r="O2405" i="2"/>
  <c r="P2405" i="2"/>
  <c r="Q2405" i="2"/>
  <c r="R2405" i="2"/>
  <c r="S2405" i="2"/>
  <c r="T2405" i="2"/>
  <c r="U2405" i="2"/>
  <c r="V2405" i="2"/>
  <c r="W2405" i="2"/>
  <c r="X2405" i="2"/>
  <c r="Y2405" i="2"/>
  <c r="Z2405" i="2"/>
  <c r="AA2405" i="2"/>
  <c r="AB2405" i="2"/>
  <c r="AC2405" i="2"/>
  <c r="AD2405" i="2"/>
  <c r="AE2405" i="2"/>
  <c r="AF2405" i="2"/>
  <c r="AG2405" i="2"/>
  <c r="AH2405" i="2"/>
  <c r="AI2405" i="2"/>
  <c r="AJ2405" i="2"/>
  <c r="AK2405" i="2"/>
  <c r="A2406" i="2"/>
  <c r="B2406" i="2"/>
  <c r="C2406" i="2"/>
  <c r="D2406" i="2"/>
  <c r="E2406" i="2"/>
  <c r="F2406" i="2"/>
  <c r="G2406" i="2"/>
  <c r="H2406" i="2"/>
  <c r="I2406" i="2"/>
  <c r="J2406" i="2"/>
  <c r="K2406" i="2"/>
  <c r="L2406" i="2"/>
  <c r="M2406" i="2"/>
  <c r="N2406" i="2"/>
  <c r="O2406" i="2"/>
  <c r="P2406" i="2"/>
  <c r="Q2406" i="2"/>
  <c r="R2406" i="2"/>
  <c r="S2406" i="2"/>
  <c r="T2406" i="2"/>
  <c r="U2406" i="2"/>
  <c r="V2406" i="2"/>
  <c r="W2406" i="2"/>
  <c r="X2406" i="2"/>
  <c r="Y2406" i="2"/>
  <c r="Z2406" i="2"/>
  <c r="AA2406" i="2"/>
  <c r="AB2406" i="2"/>
  <c r="AC2406" i="2"/>
  <c r="AD2406" i="2"/>
  <c r="AE2406" i="2"/>
  <c r="AF2406" i="2"/>
  <c r="AG2406" i="2"/>
  <c r="AH2406" i="2"/>
  <c r="AI2406" i="2"/>
  <c r="AJ2406" i="2"/>
  <c r="AK2406" i="2"/>
  <c r="A2407" i="2"/>
  <c r="B2407" i="2"/>
  <c r="C2407" i="2"/>
  <c r="D2407" i="2"/>
  <c r="E2407" i="2"/>
  <c r="F2407" i="2"/>
  <c r="G2407" i="2"/>
  <c r="H2407" i="2"/>
  <c r="I2407" i="2"/>
  <c r="J2407" i="2"/>
  <c r="K2407" i="2"/>
  <c r="L2407" i="2"/>
  <c r="M2407" i="2"/>
  <c r="N2407" i="2"/>
  <c r="O2407" i="2"/>
  <c r="P2407" i="2"/>
  <c r="Q2407" i="2"/>
  <c r="R2407" i="2"/>
  <c r="S2407" i="2"/>
  <c r="T2407" i="2"/>
  <c r="U2407" i="2"/>
  <c r="V2407" i="2"/>
  <c r="W2407" i="2"/>
  <c r="X2407" i="2"/>
  <c r="Y2407" i="2"/>
  <c r="Z2407" i="2"/>
  <c r="AA2407" i="2"/>
  <c r="AB2407" i="2"/>
  <c r="AC2407" i="2"/>
  <c r="AD2407" i="2"/>
  <c r="AE2407" i="2"/>
  <c r="AF2407" i="2"/>
  <c r="AG2407" i="2"/>
  <c r="AH2407" i="2"/>
  <c r="AI2407" i="2"/>
  <c r="AJ2407" i="2"/>
  <c r="AK2407" i="2"/>
  <c r="A2408" i="2"/>
  <c r="B2408" i="2"/>
  <c r="C2408" i="2"/>
  <c r="D2408" i="2"/>
  <c r="E2408" i="2"/>
  <c r="F2408" i="2"/>
  <c r="G2408" i="2"/>
  <c r="H2408" i="2"/>
  <c r="I2408" i="2"/>
  <c r="J2408" i="2"/>
  <c r="K2408" i="2"/>
  <c r="L2408" i="2"/>
  <c r="M2408" i="2"/>
  <c r="N2408" i="2"/>
  <c r="O2408" i="2"/>
  <c r="P2408" i="2"/>
  <c r="Q2408" i="2"/>
  <c r="R2408" i="2"/>
  <c r="S2408" i="2"/>
  <c r="T2408" i="2"/>
  <c r="U2408" i="2"/>
  <c r="V2408" i="2"/>
  <c r="W2408" i="2"/>
  <c r="X2408" i="2"/>
  <c r="Y2408" i="2"/>
  <c r="Z2408" i="2"/>
  <c r="AA2408" i="2"/>
  <c r="AB2408" i="2"/>
  <c r="AC2408" i="2"/>
  <c r="AD2408" i="2"/>
  <c r="AE2408" i="2"/>
  <c r="AF2408" i="2"/>
  <c r="AG2408" i="2"/>
  <c r="AH2408" i="2"/>
  <c r="AI2408" i="2"/>
  <c r="AJ2408" i="2"/>
  <c r="AK2408" i="2"/>
  <c r="A2409" i="2"/>
  <c r="B2409" i="2"/>
  <c r="C2409" i="2"/>
  <c r="D2409" i="2"/>
  <c r="E2409" i="2"/>
  <c r="F2409" i="2"/>
  <c r="G2409" i="2"/>
  <c r="H2409" i="2"/>
  <c r="I2409" i="2"/>
  <c r="J2409" i="2"/>
  <c r="K2409" i="2"/>
  <c r="L2409" i="2"/>
  <c r="M2409" i="2"/>
  <c r="N2409" i="2"/>
  <c r="O2409" i="2"/>
  <c r="P2409" i="2"/>
  <c r="Q2409" i="2"/>
  <c r="R2409" i="2"/>
  <c r="S2409" i="2"/>
  <c r="T2409" i="2"/>
  <c r="U2409" i="2"/>
  <c r="V2409" i="2"/>
  <c r="W2409" i="2"/>
  <c r="X2409" i="2"/>
  <c r="Y2409" i="2"/>
  <c r="Z2409" i="2"/>
  <c r="AA2409" i="2"/>
  <c r="AB2409" i="2"/>
  <c r="AC2409" i="2"/>
  <c r="AD2409" i="2"/>
  <c r="AE2409" i="2"/>
  <c r="AF2409" i="2"/>
  <c r="AG2409" i="2"/>
  <c r="AH2409" i="2"/>
  <c r="AI2409" i="2"/>
  <c r="AJ2409" i="2"/>
  <c r="AK2409" i="2"/>
  <c r="A2410" i="2"/>
  <c r="B2410" i="2"/>
  <c r="C2410" i="2"/>
  <c r="D2410" i="2"/>
  <c r="E2410" i="2"/>
  <c r="F2410" i="2"/>
  <c r="G2410" i="2"/>
  <c r="H2410" i="2"/>
  <c r="I2410" i="2"/>
  <c r="J2410" i="2"/>
  <c r="K2410" i="2"/>
  <c r="L2410" i="2"/>
  <c r="M2410" i="2"/>
  <c r="N2410" i="2"/>
  <c r="O2410" i="2"/>
  <c r="P2410" i="2"/>
  <c r="Q2410" i="2"/>
  <c r="R2410" i="2"/>
  <c r="S2410" i="2"/>
  <c r="T2410" i="2"/>
  <c r="U2410" i="2"/>
  <c r="V2410" i="2"/>
  <c r="W2410" i="2"/>
  <c r="X2410" i="2"/>
  <c r="Y2410" i="2"/>
  <c r="Z2410" i="2"/>
  <c r="AA2410" i="2"/>
  <c r="AB2410" i="2"/>
  <c r="AC2410" i="2"/>
  <c r="AD2410" i="2"/>
  <c r="AE2410" i="2"/>
  <c r="AF2410" i="2"/>
  <c r="AG2410" i="2"/>
  <c r="AH2410" i="2"/>
  <c r="AI2410" i="2"/>
  <c r="AJ2410" i="2"/>
  <c r="AK2410" i="2"/>
  <c r="A2411" i="2"/>
  <c r="B2411" i="2"/>
  <c r="C2411" i="2"/>
  <c r="D2411" i="2"/>
  <c r="E2411" i="2"/>
  <c r="F2411" i="2"/>
  <c r="G2411" i="2"/>
  <c r="H2411" i="2"/>
  <c r="I2411" i="2"/>
  <c r="J2411" i="2"/>
  <c r="K2411" i="2"/>
  <c r="L2411" i="2"/>
  <c r="M2411" i="2"/>
  <c r="N2411" i="2"/>
  <c r="O2411" i="2"/>
  <c r="P2411" i="2"/>
  <c r="Q2411" i="2"/>
  <c r="R2411" i="2"/>
  <c r="S2411" i="2"/>
  <c r="T2411" i="2"/>
  <c r="U2411" i="2"/>
  <c r="V2411" i="2"/>
  <c r="W2411" i="2"/>
  <c r="X2411" i="2"/>
  <c r="Y2411" i="2"/>
  <c r="Z2411" i="2"/>
  <c r="AA2411" i="2"/>
  <c r="AB2411" i="2"/>
  <c r="AC2411" i="2"/>
  <c r="AD2411" i="2"/>
  <c r="AE2411" i="2"/>
  <c r="AF2411" i="2"/>
  <c r="AG2411" i="2"/>
  <c r="AH2411" i="2"/>
  <c r="AI2411" i="2"/>
  <c r="AJ2411" i="2"/>
  <c r="AK2411" i="2"/>
  <c r="A2412" i="2"/>
  <c r="B2412" i="2"/>
  <c r="C2412" i="2"/>
  <c r="D2412" i="2"/>
  <c r="E2412" i="2"/>
  <c r="F2412" i="2"/>
  <c r="G2412" i="2"/>
  <c r="H2412" i="2"/>
  <c r="I2412" i="2"/>
  <c r="J2412" i="2"/>
  <c r="K2412" i="2"/>
  <c r="L2412" i="2"/>
  <c r="M2412" i="2"/>
  <c r="N2412" i="2"/>
  <c r="O2412" i="2"/>
  <c r="P2412" i="2"/>
  <c r="Q2412" i="2"/>
  <c r="R2412" i="2"/>
  <c r="S2412" i="2"/>
  <c r="T2412" i="2"/>
  <c r="U2412" i="2"/>
  <c r="V2412" i="2"/>
  <c r="W2412" i="2"/>
  <c r="X2412" i="2"/>
  <c r="Y2412" i="2"/>
  <c r="Z2412" i="2"/>
  <c r="AA2412" i="2"/>
  <c r="AB2412" i="2"/>
  <c r="AC2412" i="2"/>
  <c r="AD2412" i="2"/>
  <c r="AE2412" i="2"/>
  <c r="AF2412" i="2"/>
  <c r="AG2412" i="2"/>
  <c r="AH2412" i="2"/>
  <c r="AI2412" i="2"/>
  <c r="AJ2412" i="2"/>
  <c r="AK2412" i="2"/>
  <c r="A2413" i="2"/>
  <c r="B2413" i="2"/>
  <c r="C2413" i="2"/>
  <c r="D2413" i="2"/>
  <c r="E2413" i="2"/>
  <c r="F2413" i="2"/>
  <c r="G2413" i="2"/>
  <c r="H2413" i="2"/>
  <c r="I2413" i="2"/>
  <c r="J2413" i="2"/>
  <c r="K2413" i="2"/>
  <c r="L2413" i="2"/>
  <c r="M2413" i="2"/>
  <c r="N2413" i="2"/>
  <c r="O2413" i="2"/>
  <c r="P2413" i="2"/>
  <c r="Q2413" i="2"/>
  <c r="R2413" i="2"/>
  <c r="S2413" i="2"/>
  <c r="T2413" i="2"/>
  <c r="U2413" i="2"/>
  <c r="V2413" i="2"/>
  <c r="W2413" i="2"/>
  <c r="X2413" i="2"/>
  <c r="Y2413" i="2"/>
  <c r="Z2413" i="2"/>
  <c r="AA2413" i="2"/>
  <c r="AB2413" i="2"/>
  <c r="AC2413" i="2"/>
  <c r="AD2413" i="2"/>
  <c r="AE2413" i="2"/>
  <c r="AF2413" i="2"/>
  <c r="AG2413" i="2"/>
  <c r="AH2413" i="2"/>
  <c r="AI2413" i="2"/>
  <c r="AJ2413" i="2"/>
  <c r="AK2413" i="2"/>
  <c r="A2414" i="2"/>
  <c r="B2414" i="2"/>
  <c r="C2414" i="2"/>
  <c r="D2414" i="2"/>
  <c r="E2414" i="2"/>
  <c r="F2414" i="2"/>
  <c r="G2414" i="2"/>
  <c r="H2414" i="2"/>
  <c r="I2414" i="2"/>
  <c r="J2414" i="2"/>
  <c r="K2414" i="2"/>
  <c r="L2414" i="2"/>
  <c r="M2414" i="2"/>
  <c r="N2414" i="2"/>
  <c r="O2414" i="2"/>
  <c r="P2414" i="2"/>
  <c r="Q2414" i="2"/>
  <c r="R2414" i="2"/>
  <c r="S2414" i="2"/>
  <c r="T2414" i="2"/>
  <c r="U2414" i="2"/>
  <c r="V2414" i="2"/>
  <c r="W2414" i="2"/>
  <c r="X2414" i="2"/>
  <c r="Y2414" i="2"/>
  <c r="Z2414" i="2"/>
  <c r="AA2414" i="2"/>
  <c r="AB2414" i="2"/>
  <c r="AC2414" i="2"/>
  <c r="AD2414" i="2"/>
  <c r="AE2414" i="2"/>
  <c r="AF2414" i="2"/>
  <c r="AG2414" i="2"/>
  <c r="AH2414" i="2"/>
  <c r="AI2414" i="2"/>
  <c r="AJ2414" i="2"/>
  <c r="AK2414" i="2"/>
  <c r="A2415" i="2"/>
  <c r="B2415" i="2"/>
  <c r="C2415" i="2"/>
  <c r="D2415" i="2"/>
  <c r="E2415" i="2"/>
  <c r="F2415" i="2"/>
  <c r="G2415" i="2"/>
  <c r="H2415" i="2"/>
  <c r="I2415" i="2"/>
  <c r="J2415" i="2"/>
  <c r="K2415" i="2"/>
  <c r="L2415" i="2"/>
  <c r="M2415" i="2"/>
  <c r="N2415" i="2"/>
  <c r="O2415" i="2"/>
  <c r="P2415" i="2"/>
  <c r="Q2415" i="2"/>
  <c r="R2415" i="2"/>
  <c r="S2415" i="2"/>
  <c r="T2415" i="2"/>
  <c r="U2415" i="2"/>
  <c r="V2415" i="2"/>
  <c r="W2415" i="2"/>
  <c r="X2415" i="2"/>
  <c r="Y2415" i="2"/>
  <c r="Z2415" i="2"/>
  <c r="AA2415" i="2"/>
  <c r="AB2415" i="2"/>
  <c r="AC2415" i="2"/>
  <c r="AD2415" i="2"/>
  <c r="AE2415" i="2"/>
  <c r="AF2415" i="2"/>
  <c r="AG2415" i="2"/>
  <c r="AH2415" i="2"/>
  <c r="AI2415" i="2"/>
  <c r="AJ2415" i="2"/>
  <c r="AK2415" i="2"/>
  <c r="A2416" i="2"/>
  <c r="B2416" i="2"/>
  <c r="C2416" i="2"/>
  <c r="D2416" i="2"/>
  <c r="E2416" i="2"/>
  <c r="F2416" i="2"/>
  <c r="G2416" i="2"/>
  <c r="H2416" i="2"/>
  <c r="I2416" i="2"/>
  <c r="J2416" i="2"/>
  <c r="K2416" i="2"/>
  <c r="L2416" i="2"/>
  <c r="M2416" i="2"/>
  <c r="N2416" i="2"/>
  <c r="O2416" i="2"/>
  <c r="P2416" i="2"/>
  <c r="Q2416" i="2"/>
  <c r="R2416" i="2"/>
  <c r="S2416" i="2"/>
  <c r="T2416" i="2"/>
  <c r="U2416" i="2"/>
  <c r="V2416" i="2"/>
  <c r="W2416" i="2"/>
  <c r="X2416" i="2"/>
  <c r="Y2416" i="2"/>
  <c r="Z2416" i="2"/>
  <c r="AA2416" i="2"/>
  <c r="AB2416" i="2"/>
  <c r="AC2416" i="2"/>
  <c r="AD2416" i="2"/>
  <c r="AE2416" i="2"/>
  <c r="AF2416" i="2"/>
  <c r="AG2416" i="2"/>
  <c r="AH2416" i="2"/>
  <c r="AI2416" i="2"/>
  <c r="AJ2416" i="2"/>
  <c r="AK2416" i="2"/>
  <c r="A2417" i="2"/>
  <c r="B2417" i="2"/>
  <c r="C2417" i="2"/>
  <c r="D2417" i="2"/>
  <c r="E2417" i="2"/>
  <c r="F2417" i="2"/>
  <c r="G2417" i="2"/>
  <c r="H2417" i="2"/>
  <c r="I2417" i="2"/>
  <c r="J2417" i="2"/>
  <c r="K2417" i="2"/>
  <c r="L2417" i="2"/>
  <c r="M2417" i="2"/>
  <c r="N2417" i="2"/>
  <c r="O2417" i="2"/>
  <c r="P2417" i="2"/>
  <c r="Q2417" i="2"/>
  <c r="R2417" i="2"/>
  <c r="S2417" i="2"/>
  <c r="T2417" i="2"/>
  <c r="U2417" i="2"/>
  <c r="V2417" i="2"/>
  <c r="W2417" i="2"/>
  <c r="X2417" i="2"/>
  <c r="Y2417" i="2"/>
  <c r="Z2417" i="2"/>
  <c r="AA2417" i="2"/>
  <c r="AB2417" i="2"/>
  <c r="AC2417" i="2"/>
  <c r="AD2417" i="2"/>
  <c r="AE2417" i="2"/>
  <c r="AF2417" i="2"/>
  <c r="AG2417" i="2"/>
  <c r="AH2417" i="2"/>
  <c r="AI2417" i="2"/>
  <c r="AJ2417" i="2"/>
  <c r="AK2417" i="2"/>
  <c r="A2418" i="2"/>
  <c r="B2418" i="2"/>
  <c r="C2418" i="2"/>
  <c r="D2418" i="2"/>
  <c r="E2418" i="2"/>
  <c r="F2418" i="2"/>
  <c r="G2418" i="2"/>
  <c r="H2418" i="2"/>
  <c r="I2418" i="2"/>
  <c r="J2418" i="2"/>
  <c r="K2418" i="2"/>
  <c r="L2418" i="2"/>
  <c r="M2418" i="2"/>
  <c r="N2418" i="2"/>
  <c r="O2418" i="2"/>
  <c r="P2418" i="2"/>
  <c r="Q2418" i="2"/>
  <c r="R2418" i="2"/>
  <c r="S2418" i="2"/>
  <c r="T2418" i="2"/>
  <c r="U2418" i="2"/>
  <c r="V2418" i="2"/>
  <c r="W2418" i="2"/>
  <c r="X2418" i="2"/>
  <c r="Y2418" i="2"/>
  <c r="Z2418" i="2"/>
  <c r="AA2418" i="2"/>
  <c r="AB2418" i="2"/>
  <c r="AC2418" i="2"/>
  <c r="AD2418" i="2"/>
  <c r="AE2418" i="2"/>
  <c r="AF2418" i="2"/>
  <c r="AG2418" i="2"/>
  <c r="AH2418" i="2"/>
  <c r="AI2418" i="2"/>
  <c r="AJ2418" i="2"/>
  <c r="AK2418" i="2"/>
  <c r="A2419" i="2"/>
  <c r="B2419" i="2"/>
  <c r="C2419" i="2"/>
  <c r="D2419" i="2"/>
  <c r="E2419" i="2"/>
  <c r="F2419" i="2"/>
  <c r="G2419" i="2"/>
  <c r="H2419" i="2"/>
  <c r="I2419" i="2"/>
  <c r="J2419" i="2"/>
  <c r="K2419" i="2"/>
  <c r="L2419" i="2"/>
  <c r="M2419" i="2"/>
  <c r="N2419" i="2"/>
  <c r="O2419" i="2"/>
  <c r="P2419" i="2"/>
  <c r="Q2419" i="2"/>
  <c r="R2419" i="2"/>
  <c r="S2419" i="2"/>
  <c r="T2419" i="2"/>
  <c r="U2419" i="2"/>
  <c r="V2419" i="2"/>
  <c r="W2419" i="2"/>
  <c r="X2419" i="2"/>
  <c r="Y2419" i="2"/>
  <c r="Z2419" i="2"/>
  <c r="AA2419" i="2"/>
  <c r="AB2419" i="2"/>
  <c r="AC2419" i="2"/>
  <c r="AD2419" i="2"/>
  <c r="AE2419" i="2"/>
  <c r="AF2419" i="2"/>
  <c r="AG2419" i="2"/>
  <c r="AH2419" i="2"/>
  <c r="AI2419" i="2"/>
  <c r="AJ2419" i="2"/>
  <c r="AK2419" i="2"/>
  <c r="A2420" i="2"/>
  <c r="B2420" i="2"/>
  <c r="C2420" i="2"/>
  <c r="D2420" i="2"/>
  <c r="E2420" i="2"/>
  <c r="F2420" i="2"/>
  <c r="G2420" i="2"/>
  <c r="H2420" i="2"/>
  <c r="I2420" i="2"/>
  <c r="J2420" i="2"/>
  <c r="K2420" i="2"/>
  <c r="L2420" i="2"/>
  <c r="M2420" i="2"/>
  <c r="N2420" i="2"/>
  <c r="O2420" i="2"/>
  <c r="P2420" i="2"/>
  <c r="Q2420" i="2"/>
  <c r="R2420" i="2"/>
  <c r="S2420" i="2"/>
  <c r="T2420" i="2"/>
  <c r="U2420" i="2"/>
  <c r="V2420" i="2"/>
  <c r="W2420" i="2"/>
  <c r="X2420" i="2"/>
  <c r="Y2420" i="2"/>
  <c r="Z2420" i="2"/>
  <c r="AA2420" i="2"/>
  <c r="AB2420" i="2"/>
  <c r="AC2420" i="2"/>
  <c r="AD2420" i="2"/>
  <c r="AE2420" i="2"/>
  <c r="AF2420" i="2"/>
  <c r="AG2420" i="2"/>
  <c r="AH2420" i="2"/>
  <c r="AI2420" i="2"/>
  <c r="AJ2420" i="2"/>
  <c r="AK2420" i="2"/>
  <c r="A2421" i="2"/>
  <c r="B2421" i="2"/>
  <c r="C2421" i="2"/>
  <c r="D2421" i="2"/>
  <c r="E2421" i="2"/>
  <c r="F2421" i="2"/>
  <c r="G2421" i="2"/>
  <c r="H2421" i="2"/>
  <c r="I2421" i="2"/>
  <c r="J2421" i="2"/>
  <c r="K2421" i="2"/>
  <c r="L2421" i="2"/>
  <c r="M2421" i="2"/>
  <c r="N2421" i="2"/>
  <c r="O2421" i="2"/>
  <c r="P2421" i="2"/>
  <c r="Q2421" i="2"/>
  <c r="R2421" i="2"/>
  <c r="S2421" i="2"/>
  <c r="T2421" i="2"/>
  <c r="U2421" i="2"/>
  <c r="V2421" i="2"/>
  <c r="W2421" i="2"/>
  <c r="X2421" i="2"/>
  <c r="Y2421" i="2"/>
  <c r="Z2421" i="2"/>
  <c r="AA2421" i="2"/>
  <c r="AB2421" i="2"/>
  <c r="AC2421" i="2"/>
  <c r="AD2421" i="2"/>
  <c r="AE2421" i="2"/>
  <c r="AF2421" i="2"/>
  <c r="AG2421" i="2"/>
  <c r="AH2421" i="2"/>
  <c r="AI2421" i="2"/>
  <c r="AJ2421" i="2"/>
  <c r="AK2421" i="2"/>
  <c r="A2422" i="2"/>
  <c r="B2422" i="2"/>
  <c r="C2422" i="2"/>
  <c r="D2422" i="2"/>
  <c r="E2422" i="2"/>
  <c r="F2422" i="2"/>
  <c r="G2422" i="2"/>
  <c r="H2422" i="2"/>
  <c r="I2422" i="2"/>
  <c r="J2422" i="2"/>
  <c r="K2422" i="2"/>
  <c r="L2422" i="2"/>
  <c r="M2422" i="2"/>
  <c r="N2422" i="2"/>
  <c r="O2422" i="2"/>
  <c r="P2422" i="2"/>
  <c r="Q2422" i="2"/>
  <c r="R2422" i="2"/>
  <c r="S2422" i="2"/>
  <c r="T2422" i="2"/>
  <c r="U2422" i="2"/>
  <c r="V2422" i="2"/>
  <c r="W2422" i="2"/>
  <c r="X2422" i="2"/>
  <c r="Y2422" i="2"/>
  <c r="Z2422" i="2"/>
  <c r="AA2422" i="2"/>
  <c r="AB2422" i="2"/>
  <c r="AC2422" i="2"/>
  <c r="AD2422" i="2"/>
  <c r="AE2422" i="2"/>
  <c r="AF2422" i="2"/>
  <c r="AG2422" i="2"/>
  <c r="AH2422" i="2"/>
  <c r="AI2422" i="2"/>
  <c r="AJ2422" i="2"/>
  <c r="AK2422" i="2"/>
  <c r="A2423" i="2"/>
  <c r="B2423" i="2"/>
  <c r="C2423" i="2"/>
  <c r="D2423" i="2"/>
  <c r="E2423" i="2"/>
  <c r="F2423" i="2"/>
  <c r="G2423" i="2"/>
  <c r="H2423" i="2"/>
  <c r="I2423" i="2"/>
  <c r="J2423" i="2"/>
  <c r="K2423" i="2"/>
  <c r="L2423" i="2"/>
  <c r="M2423" i="2"/>
  <c r="N2423" i="2"/>
  <c r="O2423" i="2"/>
  <c r="P2423" i="2"/>
  <c r="Q2423" i="2"/>
  <c r="R2423" i="2"/>
  <c r="S2423" i="2"/>
  <c r="T2423" i="2"/>
  <c r="U2423" i="2"/>
  <c r="V2423" i="2"/>
  <c r="W2423" i="2"/>
  <c r="X2423" i="2"/>
  <c r="Y2423" i="2"/>
  <c r="Z2423" i="2"/>
  <c r="AA2423" i="2"/>
  <c r="AB2423" i="2"/>
  <c r="AC2423" i="2"/>
  <c r="AD2423" i="2"/>
  <c r="AE2423" i="2"/>
  <c r="AF2423" i="2"/>
  <c r="AG2423" i="2"/>
  <c r="AH2423" i="2"/>
  <c r="AI2423" i="2"/>
  <c r="AJ2423" i="2"/>
  <c r="AK2423" i="2"/>
  <c r="A2424" i="2"/>
  <c r="B2424" i="2"/>
  <c r="C2424" i="2"/>
  <c r="D2424" i="2"/>
  <c r="E2424" i="2"/>
  <c r="F2424" i="2"/>
  <c r="G2424" i="2"/>
  <c r="H2424" i="2"/>
  <c r="I2424" i="2"/>
  <c r="J2424" i="2"/>
  <c r="K2424" i="2"/>
  <c r="L2424" i="2"/>
  <c r="M2424" i="2"/>
  <c r="N2424" i="2"/>
  <c r="O2424" i="2"/>
  <c r="P2424" i="2"/>
  <c r="Q2424" i="2"/>
  <c r="R2424" i="2"/>
  <c r="S2424" i="2"/>
  <c r="T2424" i="2"/>
  <c r="U2424" i="2"/>
  <c r="V2424" i="2"/>
  <c r="W2424" i="2"/>
  <c r="X2424" i="2"/>
  <c r="Y2424" i="2"/>
  <c r="Z2424" i="2"/>
  <c r="AA2424" i="2"/>
  <c r="AB2424" i="2"/>
  <c r="AC2424" i="2"/>
  <c r="AD2424" i="2"/>
  <c r="AE2424" i="2"/>
  <c r="AF2424" i="2"/>
  <c r="AG2424" i="2"/>
  <c r="AH2424" i="2"/>
  <c r="AI2424" i="2"/>
  <c r="AJ2424" i="2"/>
  <c r="AK2424" i="2"/>
  <c r="A2425" i="2"/>
  <c r="B2425" i="2"/>
  <c r="C2425" i="2"/>
  <c r="D2425" i="2"/>
  <c r="E2425" i="2"/>
  <c r="F2425" i="2"/>
  <c r="G2425" i="2"/>
  <c r="H2425" i="2"/>
  <c r="I2425" i="2"/>
  <c r="J2425" i="2"/>
  <c r="K2425" i="2"/>
  <c r="L2425" i="2"/>
  <c r="M2425" i="2"/>
  <c r="N2425" i="2"/>
  <c r="O2425" i="2"/>
  <c r="P2425" i="2"/>
  <c r="Q2425" i="2"/>
  <c r="R2425" i="2"/>
  <c r="S2425" i="2"/>
  <c r="T2425" i="2"/>
  <c r="U2425" i="2"/>
  <c r="V2425" i="2"/>
  <c r="W2425" i="2"/>
  <c r="X2425" i="2"/>
  <c r="Y2425" i="2"/>
  <c r="Z2425" i="2"/>
  <c r="AA2425" i="2"/>
  <c r="AB2425" i="2"/>
  <c r="AC2425" i="2"/>
  <c r="AD2425" i="2"/>
  <c r="AE2425" i="2"/>
  <c r="AF2425" i="2"/>
  <c r="AG2425" i="2"/>
  <c r="AH2425" i="2"/>
  <c r="AI2425" i="2"/>
  <c r="AJ2425" i="2"/>
  <c r="AK2425" i="2"/>
  <c r="A2426" i="2"/>
  <c r="B2426" i="2"/>
  <c r="C2426" i="2"/>
  <c r="D2426" i="2"/>
  <c r="E2426" i="2"/>
  <c r="F2426" i="2"/>
  <c r="G2426" i="2"/>
  <c r="H2426" i="2"/>
  <c r="I2426" i="2"/>
  <c r="J2426" i="2"/>
  <c r="K2426" i="2"/>
  <c r="L2426" i="2"/>
  <c r="M2426" i="2"/>
  <c r="N2426" i="2"/>
  <c r="O2426" i="2"/>
  <c r="P2426" i="2"/>
  <c r="Q2426" i="2"/>
  <c r="R2426" i="2"/>
  <c r="S2426" i="2"/>
  <c r="T2426" i="2"/>
  <c r="U2426" i="2"/>
  <c r="V2426" i="2"/>
  <c r="W2426" i="2"/>
  <c r="X2426" i="2"/>
  <c r="Y2426" i="2"/>
  <c r="Z2426" i="2"/>
  <c r="AA2426" i="2"/>
  <c r="AB2426" i="2"/>
  <c r="AC2426" i="2"/>
  <c r="AD2426" i="2"/>
  <c r="AE2426" i="2"/>
  <c r="AF2426" i="2"/>
  <c r="AG2426" i="2"/>
  <c r="AH2426" i="2"/>
  <c r="AI2426" i="2"/>
  <c r="AJ2426" i="2"/>
  <c r="AK2426" i="2"/>
  <c r="A2427" i="2"/>
  <c r="B2427" i="2"/>
  <c r="C2427" i="2"/>
  <c r="D2427" i="2"/>
  <c r="E2427" i="2"/>
  <c r="F2427" i="2"/>
  <c r="G2427" i="2"/>
  <c r="H2427" i="2"/>
  <c r="I2427" i="2"/>
  <c r="J2427" i="2"/>
  <c r="K2427" i="2"/>
  <c r="L2427" i="2"/>
  <c r="M2427" i="2"/>
  <c r="N2427" i="2"/>
  <c r="O2427" i="2"/>
  <c r="P2427" i="2"/>
  <c r="Q2427" i="2"/>
  <c r="R2427" i="2"/>
  <c r="S2427" i="2"/>
  <c r="T2427" i="2"/>
  <c r="U2427" i="2"/>
  <c r="V2427" i="2"/>
  <c r="W2427" i="2"/>
  <c r="X2427" i="2"/>
  <c r="Y2427" i="2"/>
  <c r="Z2427" i="2"/>
  <c r="AA2427" i="2"/>
  <c r="AB2427" i="2"/>
  <c r="AC2427" i="2"/>
  <c r="AD2427" i="2"/>
  <c r="AE2427" i="2"/>
  <c r="AF2427" i="2"/>
  <c r="AG2427" i="2"/>
  <c r="AH2427" i="2"/>
  <c r="AI2427" i="2"/>
  <c r="AJ2427" i="2"/>
  <c r="AK2427" i="2"/>
  <c r="A2428" i="2"/>
  <c r="B2428" i="2"/>
  <c r="C2428" i="2"/>
  <c r="D2428" i="2"/>
  <c r="E2428" i="2"/>
  <c r="F2428" i="2"/>
  <c r="G2428" i="2"/>
  <c r="H2428" i="2"/>
  <c r="I2428" i="2"/>
  <c r="J2428" i="2"/>
  <c r="K2428" i="2"/>
  <c r="L2428" i="2"/>
  <c r="M2428" i="2"/>
  <c r="N2428" i="2"/>
  <c r="O2428" i="2"/>
  <c r="P2428" i="2"/>
  <c r="Q2428" i="2"/>
  <c r="R2428" i="2"/>
  <c r="S2428" i="2"/>
  <c r="T2428" i="2"/>
  <c r="U2428" i="2"/>
  <c r="V2428" i="2"/>
  <c r="W2428" i="2"/>
  <c r="X2428" i="2"/>
  <c r="Y2428" i="2"/>
  <c r="Z2428" i="2"/>
  <c r="AA2428" i="2"/>
  <c r="AB2428" i="2"/>
  <c r="AC2428" i="2"/>
  <c r="AD2428" i="2"/>
  <c r="AE2428" i="2"/>
  <c r="AF2428" i="2"/>
  <c r="AG2428" i="2"/>
  <c r="AH2428" i="2"/>
  <c r="AI2428" i="2"/>
  <c r="AJ2428" i="2"/>
  <c r="AK2428" i="2"/>
  <c r="A2429" i="2"/>
  <c r="B2429" i="2"/>
  <c r="C2429" i="2"/>
  <c r="D2429" i="2"/>
  <c r="E2429" i="2"/>
  <c r="F2429" i="2"/>
  <c r="G2429" i="2"/>
  <c r="H2429" i="2"/>
  <c r="I2429" i="2"/>
  <c r="J2429" i="2"/>
  <c r="K2429" i="2"/>
  <c r="L2429" i="2"/>
  <c r="M2429" i="2"/>
  <c r="N2429" i="2"/>
  <c r="O2429" i="2"/>
  <c r="P2429" i="2"/>
  <c r="Q2429" i="2"/>
  <c r="R2429" i="2"/>
  <c r="S2429" i="2"/>
  <c r="T2429" i="2"/>
  <c r="U2429" i="2"/>
  <c r="V2429" i="2"/>
  <c r="W2429" i="2"/>
  <c r="X2429" i="2"/>
  <c r="Y2429" i="2"/>
  <c r="Z2429" i="2"/>
  <c r="AA2429" i="2"/>
  <c r="AB2429" i="2"/>
  <c r="AC2429" i="2"/>
  <c r="AD2429" i="2"/>
  <c r="AE2429" i="2"/>
  <c r="AF2429" i="2"/>
  <c r="AG2429" i="2"/>
  <c r="AH2429" i="2"/>
  <c r="AI2429" i="2"/>
  <c r="AJ2429" i="2"/>
  <c r="AK2429" i="2"/>
  <c r="A2430" i="2"/>
  <c r="B2430" i="2"/>
  <c r="C2430" i="2"/>
  <c r="D2430" i="2"/>
  <c r="E2430" i="2"/>
  <c r="F2430" i="2"/>
  <c r="G2430" i="2"/>
  <c r="H2430" i="2"/>
  <c r="I2430" i="2"/>
  <c r="J2430" i="2"/>
  <c r="K2430" i="2"/>
  <c r="L2430" i="2"/>
  <c r="M2430" i="2"/>
  <c r="N2430" i="2"/>
  <c r="O2430" i="2"/>
  <c r="P2430" i="2"/>
  <c r="Q2430" i="2"/>
  <c r="R2430" i="2"/>
  <c r="S2430" i="2"/>
  <c r="T2430" i="2"/>
  <c r="U2430" i="2"/>
  <c r="V2430" i="2"/>
  <c r="W2430" i="2"/>
  <c r="X2430" i="2"/>
  <c r="Y2430" i="2"/>
  <c r="Z2430" i="2"/>
  <c r="AA2430" i="2"/>
  <c r="AB2430" i="2"/>
  <c r="AC2430" i="2"/>
  <c r="AD2430" i="2"/>
  <c r="AE2430" i="2"/>
  <c r="AF2430" i="2"/>
  <c r="AG2430" i="2"/>
  <c r="AH2430" i="2"/>
  <c r="AI2430" i="2"/>
  <c r="AJ2430" i="2"/>
  <c r="AK2430" i="2"/>
  <c r="A2431" i="2"/>
  <c r="B2431" i="2"/>
  <c r="C2431" i="2"/>
  <c r="D2431" i="2"/>
  <c r="E2431" i="2"/>
  <c r="F2431" i="2"/>
  <c r="G2431" i="2"/>
  <c r="H2431" i="2"/>
  <c r="I2431" i="2"/>
  <c r="J2431" i="2"/>
  <c r="K2431" i="2"/>
  <c r="L2431" i="2"/>
  <c r="M2431" i="2"/>
  <c r="N2431" i="2"/>
  <c r="O2431" i="2"/>
  <c r="P2431" i="2"/>
  <c r="Q2431" i="2"/>
  <c r="R2431" i="2"/>
  <c r="S2431" i="2"/>
  <c r="T2431" i="2"/>
  <c r="U2431" i="2"/>
  <c r="V2431" i="2"/>
  <c r="W2431" i="2"/>
  <c r="X2431" i="2"/>
  <c r="Y2431" i="2"/>
  <c r="Z2431" i="2"/>
  <c r="AA2431" i="2"/>
  <c r="AB2431" i="2"/>
  <c r="AC2431" i="2"/>
  <c r="AD2431" i="2"/>
  <c r="AE2431" i="2"/>
  <c r="AF2431" i="2"/>
  <c r="AG2431" i="2"/>
  <c r="AH2431" i="2"/>
  <c r="AI2431" i="2"/>
  <c r="AJ2431" i="2"/>
  <c r="AK2431" i="2"/>
  <c r="A2432" i="2"/>
  <c r="B2432" i="2"/>
  <c r="C2432" i="2"/>
  <c r="D2432" i="2"/>
  <c r="E2432" i="2"/>
  <c r="F2432" i="2"/>
  <c r="G2432" i="2"/>
  <c r="H2432" i="2"/>
  <c r="I2432" i="2"/>
  <c r="J2432" i="2"/>
  <c r="K2432" i="2"/>
  <c r="L2432" i="2"/>
  <c r="M2432" i="2"/>
  <c r="N2432" i="2"/>
  <c r="O2432" i="2"/>
  <c r="P2432" i="2"/>
  <c r="Q2432" i="2"/>
  <c r="R2432" i="2"/>
  <c r="S2432" i="2"/>
  <c r="T2432" i="2"/>
  <c r="U2432" i="2"/>
  <c r="V2432" i="2"/>
  <c r="W2432" i="2"/>
  <c r="X2432" i="2"/>
  <c r="Y2432" i="2"/>
  <c r="Z2432" i="2"/>
  <c r="AA2432" i="2"/>
  <c r="AB2432" i="2"/>
  <c r="AC2432" i="2"/>
  <c r="AD2432" i="2"/>
  <c r="AE2432" i="2"/>
  <c r="AF2432" i="2"/>
  <c r="AG2432" i="2"/>
  <c r="AH2432" i="2"/>
  <c r="AI2432" i="2"/>
  <c r="AJ2432" i="2"/>
  <c r="AK2432" i="2"/>
  <c r="A2433" i="2"/>
  <c r="B2433" i="2"/>
  <c r="C2433" i="2"/>
  <c r="D2433" i="2"/>
  <c r="E2433" i="2"/>
  <c r="F2433" i="2"/>
  <c r="G2433" i="2"/>
  <c r="H2433" i="2"/>
  <c r="I2433" i="2"/>
  <c r="J2433" i="2"/>
  <c r="K2433" i="2"/>
  <c r="L2433" i="2"/>
  <c r="M2433" i="2"/>
  <c r="N2433" i="2"/>
  <c r="O2433" i="2"/>
  <c r="P2433" i="2"/>
  <c r="Q2433" i="2"/>
  <c r="R2433" i="2"/>
  <c r="S2433" i="2"/>
  <c r="T2433" i="2"/>
  <c r="U2433" i="2"/>
  <c r="V2433" i="2"/>
  <c r="W2433" i="2"/>
  <c r="X2433" i="2"/>
  <c r="Y2433" i="2"/>
  <c r="Z2433" i="2"/>
  <c r="AA2433" i="2"/>
  <c r="AB2433" i="2"/>
  <c r="AC2433" i="2"/>
  <c r="AD2433" i="2"/>
  <c r="AE2433" i="2"/>
  <c r="AF2433" i="2"/>
  <c r="AG2433" i="2"/>
  <c r="AH2433" i="2"/>
  <c r="AI2433" i="2"/>
  <c r="AJ2433" i="2"/>
  <c r="AK2433" i="2"/>
  <c r="A2434" i="2"/>
  <c r="B2434" i="2"/>
  <c r="C2434" i="2"/>
  <c r="D2434" i="2"/>
  <c r="E2434" i="2"/>
  <c r="F2434" i="2"/>
  <c r="G2434" i="2"/>
  <c r="H2434" i="2"/>
  <c r="I2434" i="2"/>
  <c r="J2434" i="2"/>
  <c r="K2434" i="2"/>
  <c r="L2434" i="2"/>
  <c r="M2434" i="2"/>
  <c r="N2434" i="2"/>
  <c r="O2434" i="2"/>
  <c r="P2434" i="2"/>
  <c r="Q2434" i="2"/>
  <c r="R2434" i="2"/>
  <c r="S2434" i="2"/>
  <c r="T2434" i="2"/>
  <c r="U2434" i="2"/>
  <c r="V2434" i="2"/>
  <c r="W2434" i="2"/>
  <c r="X2434" i="2"/>
  <c r="Y2434" i="2"/>
  <c r="Z2434" i="2"/>
  <c r="AA2434" i="2"/>
  <c r="AB2434" i="2"/>
  <c r="AC2434" i="2"/>
  <c r="AD2434" i="2"/>
  <c r="AE2434" i="2"/>
  <c r="AF2434" i="2"/>
  <c r="AG2434" i="2"/>
  <c r="AH2434" i="2"/>
  <c r="AI2434" i="2"/>
  <c r="AJ2434" i="2"/>
  <c r="AK2434" i="2"/>
  <c r="A2435" i="2"/>
  <c r="B2435" i="2"/>
  <c r="C2435" i="2"/>
  <c r="D2435" i="2"/>
  <c r="E2435" i="2"/>
  <c r="F2435" i="2"/>
  <c r="G2435" i="2"/>
  <c r="H2435" i="2"/>
  <c r="I2435" i="2"/>
  <c r="J2435" i="2"/>
  <c r="K2435" i="2"/>
  <c r="L2435" i="2"/>
  <c r="M2435" i="2"/>
  <c r="N2435" i="2"/>
  <c r="O2435" i="2"/>
  <c r="P2435" i="2"/>
  <c r="Q2435" i="2"/>
  <c r="R2435" i="2"/>
  <c r="S2435" i="2"/>
  <c r="T2435" i="2"/>
  <c r="U2435" i="2"/>
  <c r="V2435" i="2"/>
  <c r="W2435" i="2"/>
  <c r="X2435" i="2"/>
  <c r="Y2435" i="2"/>
  <c r="Z2435" i="2"/>
  <c r="AA2435" i="2"/>
  <c r="AB2435" i="2"/>
  <c r="AC2435" i="2"/>
  <c r="AD2435" i="2"/>
  <c r="AE2435" i="2"/>
  <c r="AF2435" i="2"/>
  <c r="AG2435" i="2"/>
  <c r="AH2435" i="2"/>
  <c r="AI2435" i="2"/>
  <c r="AJ2435" i="2"/>
  <c r="AK2435" i="2"/>
  <c r="A2436" i="2"/>
  <c r="B2436" i="2"/>
  <c r="C2436" i="2"/>
  <c r="D2436" i="2"/>
  <c r="E2436" i="2"/>
  <c r="F2436" i="2"/>
  <c r="G2436" i="2"/>
  <c r="H2436" i="2"/>
  <c r="I2436" i="2"/>
  <c r="J2436" i="2"/>
  <c r="K2436" i="2"/>
  <c r="L2436" i="2"/>
  <c r="M2436" i="2"/>
  <c r="N2436" i="2"/>
  <c r="O2436" i="2"/>
  <c r="P2436" i="2"/>
  <c r="Q2436" i="2"/>
  <c r="R2436" i="2"/>
  <c r="S2436" i="2"/>
  <c r="T2436" i="2"/>
  <c r="U2436" i="2"/>
  <c r="V2436" i="2"/>
  <c r="W2436" i="2"/>
  <c r="X2436" i="2"/>
  <c r="Y2436" i="2"/>
  <c r="Z2436" i="2"/>
  <c r="AA2436" i="2"/>
  <c r="AB2436" i="2"/>
  <c r="AC2436" i="2"/>
  <c r="AD2436" i="2"/>
  <c r="AE2436" i="2"/>
  <c r="AF2436" i="2"/>
  <c r="AG2436" i="2"/>
  <c r="AH2436" i="2"/>
  <c r="AI2436" i="2"/>
  <c r="AJ2436" i="2"/>
  <c r="AK2436" i="2"/>
  <c r="A2437" i="2"/>
  <c r="B2437" i="2"/>
  <c r="C2437" i="2"/>
  <c r="D2437" i="2"/>
  <c r="E2437" i="2"/>
  <c r="F2437" i="2"/>
  <c r="G2437" i="2"/>
  <c r="H2437" i="2"/>
  <c r="I2437" i="2"/>
  <c r="J2437" i="2"/>
  <c r="K2437" i="2"/>
  <c r="L2437" i="2"/>
  <c r="M2437" i="2"/>
  <c r="N2437" i="2"/>
  <c r="O2437" i="2"/>
  <c r="P2437" i="2"/>
  <c r="Q2437" i="2"/>
  <c r="R2437" i="2"/>
  <c r="S2437" i="2"/>
  <c r="T2437" i="2"/>
  <c r="U2437" i="2"/>
  <c r="V2437" i="2"/>
  <c r="W2437" i="2"/>
  <c r="X2437" i="2"/>
  <c r="Y2437" i="2"/>
  <c r="Z2437" i="2"/>
  <c r="AA2437" i="2"/>
  <c r="AB2437" i="2"/>
  <c r="AC2437" i="2"/>
  <c r="AD2437" i="2"/>
  <c r="AE2437" i="2"/>
  <c r="AF2437" i="2"/>
  <c r="AG2437" i="2"/>
  <c r="AH2437" i="2"/>
  <c r="AI2437" i="2"/>
  <c r="AJ2437" i="2"/>
  <c r="AK2437" i="2"/>
  <c r="A2438" i="2"/>
  <c r="B2438" i="2"/>
  <c r="C2438" i="2"/>
  <c r="D2438" i="2"/>
  <c r="E2438" i="2"/>
  <c r="F2438" i="2"/>
  <c r="G2438" i="2"/>
  <c r="H2438" i="2"/>
  <c r="I2438" i="2"/>
  <c r="J2438" i="2"/>
  <c r="K2438" i="2"/>
  <c r="L2438" i="2"/>
  <c r="M2438" i="2"/>
  <c r="N2438" i="2"/>
  <c r="O2438" i="2"/>
  <c r="P2438" i="2"/>
  <c r="Q2438" i="2"/>
  <c r="R2438" i="2"/>
  <c r="S2438" i="2"/>
  <c r="T2438" i="2"/>
  <c r="U2438" i="2"/>
  <c r="V2438" i="2"/>
  <c r="W2438" i="2"/>
  <c r="X2438" i="2"/>
  <c r="Y2438" i="2"/>
  <c r="Z2438" i="2"/>
  <c r="AA2438" i="2"/>
  <c r="AB2438" i="2"/>
  <c r="AC2438" i="2"/>
  <c r="AD2438" i="2"/>
  <c r="AE2438" i="2"/>
  <c r="AF2438" i="2"/>
  <c r="AG2438" i="2"/>
  <c r="AH2438" i="2"/>
  <c r="AI2438" i="2"/>
  <c r="AJ2438" i="2"/>
  <c r="AK2438" i="2"/>
  <c r="A2439" i="2"/>
  <c r="B2439" i="2"/>
  <c r="C2439" i="2"/>
  <c r="D2439" i="2"/>
  <c r="E2439" i="2"/>
  <c r="F2439" i="2"/>
  <c r="G2439" i="2"/>
  <c r="H2439" i="2"/>
  <c r="I2439" i="2"/>
  <c r="J2439" i="2"/>
  <c r="K2439" i="2"/>
  <c r="L2439" i="2"/>
  <c r="M2439" i="2"/>
  <c r="N2439" i="2"/>
  <c r="O2439" i="2"/>
  <c r="P2439" i="2"/>
  <c r="Q2439" i="2"/>
  <c r="R2439" i="2"/>
  <c r="S2439" i="2"/>
  <c r="T2439" i="2"/>
  <c r="U2439" i="2"/>
  <c r="V2439" i="2"/>
  <c r="W2439" i="2"/>
  <c r="X2439" i="2"/>
  <c r="Y2439" i="2"/>
  <c r="Z2439" i="2"/>
  <c r="AA2439" i="2"/>
  <c r="AB2439" i="2"/>
  <c r="AC2439" i="2"/>
  <c r="AD2439" i="2"/>
  <c r="AE2439" i="2"/>
  <c r="AF2439" i="2"/>
  <c r="AG2439" i="2"/>
  <c r="AH2439" i="2"/>
  <c r="AI2439" i="2"/>
  <c r="AJ2439" i="2"/>
  <c r="AK2439" i="2"/>
  <c r="A2440" i="2"/>
  <c r="B2440" i="2"/>
  <c r="C2440" i="2"/>
  <c r="D2440" i="2"/>
  <c r="E2440" i="2"/>
  <c r="F2440" i="2"/>
  <c r="G2440" i="2"/>
  <c r="H2440" i="2"/>
  <c r="I2440" i="2"/>
  <c r="J2440" i="2"/>
  <c r="K2440" i="2"/>
  <c r="L2440" i="2"/>
  <c r="M2440" i="2"/>
  <c r="N2440" i="2"/>
  <c r="O2440" i="2"/>
  <c r="P2440" i="2"/>
  <c r="Q2440" i="2"/>
  <c r="R2440" i="2"/>
  <c r="S2440" i="2"/>
  <c r="T2440" i="2"/>
  <c r="U2440" i="2"/>
  <c r="V2440" i="2"/>
  <c r="W2440" i="2"/>
  <c r="X2440" i="2"/>
  <c r="Y2440" i="2"/>
  <c r="Z2440" i="2"/>
  <c r="AA2440" i="2"/>
  <c r="AB2440" i="2"/>
  <c r="AC2440" i="2"/>
  <c r="AD2440" i="2"/>
  <c r="AE2440" i="2"/>
  <c r="AF2440" i="2"/>
  <c r="AG2440" i="2"/>
  <c r="AH2440" i="2"/>
  <c r="AI2440" i="2"/>
  <c r="AJ2440" i="2"/>
  <c r="AK2440" i="2"/>
  <c r="A2441" i="2"/>
  <c r="B2441" i="2"/>
  <c r="C2441" i="2"/>
  <c r="D2441" i="2"/>
  <c r="E2441" i="2"/>
  <c r="F2441" i="2"/>
  <c r="G2441" i="2"/>
  <c r="H2441" i="2"/>
  <c r="I2441" i="2"/>
  <c r="J2441" i="2"/>
  <c r="K2441" i="2"/>
  <c r="L2441" i="2"/>
  <c r="M2441" i="2"/>
  <c r="N2441" i="2"/>
  <c r="O2441" i="2"/>
  <c r="P2441" i="2"/>
  <c r="Q2441" i="2"/>
  <c r="R2441" i="2"/>
  <c r="S2441" i="2"/>
  <c r="T2441" i="2"/>
  <c r="U2441" i="2"/>
  <c r="V2441" i="2"/>
  <c r="W2441" i="2"/>
  <c r="X2441" i="2"/>
  <c r="Y2441" i="2"/>
  <c r="Z2441" i="2"/>
  <c r="AA2441" i="2"/>
  <c r="AB2441" i="2"/>
  <c r="AC2441" i="2"/>
  <c r="AD2441" i="2"/>
  <c r="AE2441" i="2"/>
  <c r="AF2441" i="2"/>
  <c r="AG2441" i="2"/>
  <c r="AH2441" i="2"/>
  <c r="AI2441" i="2"/>
  <c r="AJ2441" i="2"/>
  <c r="AK2441" i="2"/>
  <c r="A2442" i="2"/>
  <c r="B2442" i="2"/>
  <c r="C2442" i="2"/>
  <c r="D2442" i="2"/>
  <c r="E2442" i="2"/>
  <c r="F2442" i="2"/>
  <c r="G2442" i="2"/>
  <c r="H2442" i="2"/>
  <c r="I2442" i="2"/>
  <c r="J2442" i="2"/>
  <c r="K2442" i="2"/>
  <c r="L2442" i="2"/>
  <c r="M2442" i="2"/>
  <c r="N2442" i="2"/>
  <c r="O2442" i="2"/>
  <c r="P2442" i="2"/>
  <c r="Q2442" i="2"/>
  <c r="R2442" i="2"/>
  <c r="S2442" i="2"/>
  <c r="T2442" i="2"/>
  <c r="U2442" i="2"/>
  <c r="V2442" i="2"/>
  <c r="W2442" i="2"/>
  <c r="X2442" i="2"/>
  <c r="Y2442" i="2"/>
  <c r="Z2442" i="2"/>
  <c r="AA2442" i="2"/>
  <c r="AB2442" i="2"/>
  <c r="AC2442" i="2"/>
  <c r="AD2442" i="2"/>
  <c r="AE2442" i="2"/>
  <c r="AF2442" i="2"/>
  <c r="AG2442" i="2"/>
  <c r="AH2442" i="2"/>
  <c r="AI2442" i="2"/>
  <c r="AJ2442" i="2"/>
  <c r="AK2442" i="2"/>
  <c r="A2443" i="2"/>
  <c r="B2443" i="2"/>
  <c r="C2443" i="2"/>
  <c r="D2443" i="2"/>
  <c r="E2443" i="2"/>
  <c r="F2443" i="2"/>
  <c r="G2443" i="2"/>
  <c r="H2443" i="2"/>
  <c r="I2443" i="2"/>
  <c r="J2443" i="2"/>
  <c r="K2443" i="2"/>
  <c r="L2443" i="2"/>
  <c r="M2443" i="2"/>
  <c r="N2443" i="2"/>
  <c r="O2443" i="2"/>
  <c r="P2443" i="2"/>
  <c r="Q2443" i="2"/>
  <c r="R2443" i="2"/>
  <c r="S2443" i="2"/>
  <c r="T2443" i="2"/>
  <c r="U2443" i="2"/>
  <c r="V2443" i="2"/>
  <c r="W2443" i="2"/>
  <c r="X2443" i="2"/>
  <c r="Y2443" i="2"/>
  <c r="Z2443" i="2"/>
  <c r="AA2443" i="2"/>
  <c r="AB2443" i="2"/>
  <c r="AC2443" i="2"/>
  <c r="AD2443" i="2"/>
  <c r="AE2443" i="2"/>
  <c r="AF2443" i="2"/>
  <c r="AG2443" i="2"/>
  <c r="AH2443" i="2"/>
  <c r="AI2443" i="2"/>
  <c r="AJ2443" i="2"/>
  <c r="AK2443" i="2"/>
  <c r="A2444" i="2"/>
  <c r="B2444" i="2"/>
  <c r="C2444" i="2"/>
  <c r="D2444" i="2"/>
  <c r="E2444" i="2"/>
  <c r="F2444" i="2"/>
  <c r="G2444" i="2"/>
  <c r="H2444" i="2"/>
  <c r="I2444" i="2"/>
  <c r="J2444" i="2"/>
  <c r="K2444" i="2"/>
  <c r="L2444" i="2"/>
  <c r="M2444" i="2"/>
  <c r="N2444" i="2"/>
  <c r="O2444" i="2"/>
  <c r="P2444" i="2"/>
  <c r="Q2444" i="2"/>
  <c r="R2444" i="2"/>
  <c r="S2444" i="2"/>
  <c r="T2444" i="2"/>
  <c r="U2444" i="2"/>
  <c r="V2444" i="2"/>
  <c r="W2444" i="2"/>
  <c r="X2444" i="2"/>
  <c r="Y2444" i="2"/>
  <c r="Z2444" i="2"/>
  <c r="AA2444" i="2"/>
  <c r="AB2444" i="2"/>
  <c r="AC2444" i="2"/>
  <c r="AD2444" i="2"/>
  <c r="AE2444" i="2"/>
  <c r="AF2444" i="2"/>
  <c r="AG2444" i="2"/>
  <c r="AH2444" i="2"/>
  <c r="AI2444" i="2"/>
  <c r="AJ2444" i="2"/>
  <c r="AK2444" i="2"/>
  <c r="A2445" i="2"/>
  <c r="B2445" i="2"/>
  <c r="C2445" i="2"/>
  <c r="D2445" i="2"/>
  <c r="E2445" i="2"/>
  <c r="F2445" i="2"/>
  <c r="G2445" i="2"/>
  <c r="H2445" i="2"/>
  <c r="I2445" i="2"/>
  <c r="J2445" i="2"/>
  <c r="K2445" i="2"/>
  <c r="L2445" i="2"/>
  <c r="M2445" i="2"/>
  <c r="N2445" i="2"/>
  <c r="O2445" i="2"/>
  <c r="P2445" i="2"/>
  <c r="Q2445" i="2"/>
  <c r="R2445" i="2"/>
  <c r="S2445" i="2"/>
  <c r="T2445" i="2"/>
  <c r="U2445" i="2"/>
  <c r="V2445" i="2"/>
  <c r="W2445" i="2"/>
  <c r="X2445" i="2"/>
  <c r="Y2445" i="2"/>
  <c r="Z2445" i="2"/>
  <c r="AA2445" i="2"/>
  <c r="AB2445" i="2"/>
  <c r="AC2445" i="2"/>
  <c r="AD2445" i="2"/>
  <c r="AE2445" i="2"/>
  <c r="AF2445" i="2"/>
  <c r="AG2445" i="2"/>
  <c r="AH2445" i="2"/>
  <c r="AI2445" i="2"/>
  <c r="AJ2445" i="2"/>
  <c r="AK2445" i="2"/>
  <c r="A2446" i="2"/>
  <c r="B2446" i="2"/>
  <c r="C2446" i="2"/>
  <c r="D2446" i="2"/>
  <c r="E2446" i="2"/>
  <c r="F2446" i="2"/>
  <c r="G2446" i="2"/>
  <c r="H2446" i="2"/>
  <c r="I2446" i="2"/>
  <c r="J2446" i="2"/>
  <c r="K2446" i="2"/>
  <c r="L2446" i="2"/>
  <c r="M2446" i="2"/>
  <c r="N2446" i="2"/>
  <c r="O2446" i="2"/>
  <c r="P2446" i="2"/>
  <c r="Q2446" i="2"/>
  <c r="R2446" i="2"/>
  <c r="S2446" i="2"/>
  <c r="T2446" i="2"/>
  <c r="U2446" i="2"/>
  <c r="V2446" i="2"/>
  <c r="W2446" i="2"/>
  <c r="X2446" i="2"/>
  <c r="Y2446" i="2"/>
  <c r="Z2446" i="2"/>
  <c r="AA2446" i="2"/>
  <c r="AB2446" i="2"/>
  <c r="AC2446" i="2"/>
  <c r="AD2446" i="2"/>
  <c r="AE2446" i="2"/>
  <c r="AF2446" i="2"/>
  <c r="AG2446" i="2"/>
  <c r="AH2446" i="2"/>
  <c r="AI2446" i="2"/>
  <c r="AJ2446" i="2"/>
  <c r="AK2446" i="2"/>
  <c r="A2447" i="2"/>
  <c r="B2447" i="2"/>
  <c r="C2447" i="2"/>
  <c r="D2447" i="2"/>
  <c r="E2447" i="2"/>
  <c r="F2447" i="2"/>
  <c r="G2447" i="2"/>
  <c r="H2447" i="2"/>
  <c r="I2447" i="2"/>
  <c r="J2447" i="2"/>
  <c r="K2447" i="2"/>
  <c r="L2447" i="2"/>
  <c r="M2447" i="2"/>
  <c r="N2447" i="2"/>
  <c r="O2447" i="2"/>
  <c r="P2447" i="2"/>
  <c r="Q2447" i="2"/>
  <c r="R2447" i="2"/>
  <c r="S2447" i="2"/>
  <c r="T2447" i="2"/>
  <c r="U2447" i="2"/>
  <c r="V2447" i="2"/>
  <c r="W2447" i="2"/>
  <c r="X2447" i="2"/>
  <c r="Y2447" i="2"/>
  <c r="Z2447" i="2"/>
  <c r="AA2447" i="2"/>
  <c r="AB2447" i="2"/>
  <c r="AC2447" i="2"/>
  <c r="AD2447" i="2"/>
  <c r="AE2447" i="2"/>
  <c r="AF2447" i="2"/>
  <c r="AG2447" i="2"/>
  <c r="AH2447" i="2"/>
  <c r="AI2447" i="2"/>
  <c r="AJ2447" i="2"/>
  <c r="AK2447" i="2"/>
  <c r="A2448" i="2"/>
  <c r="B2448" i="2"/>
  <c r="C2448" i="2"/>
  <c r="D2448" i="2"/>
  <c r="E2448" i="2"/>
  <c r="F2448" i="2"/>
  <c r="G2448" i="2"/>
  <c r="H2448" i="2"/>
  <c r="I2448" i="2"/>
  <c r="J2448" i="2"/>
  <c r="K2448" i="2"/>
  <c r="L2448" i="2"/>
  <c r="M2448" i="2"/>
  <c r="N2448" i="2"/>
  <c r="O2448" i="2"/>
  <c r="P2448" i="2"/>
  <c r="Q2448" i="2"/>
  <c r="R2448" i="2"/>
  <c r="S2448" i="2"/>
  <c r="T2448" i="2"/>
  <c r="U2448" i="2"/>
  <c r="V2448" i="2"/>
  <c r="W2448" i="2"/>
  <c r="X2448" i="2"/>
  <c r="Y2448" i="2"/>
  <c r="Z2448" i="2"/>
  <c r="AA2448" i="2"/>
  <c r="AB2448" i="2"/>
  <c r="AC2448" i="2"/>
  <c r="AD2448" i="2"/>
  <c r="AE2448" i="2"/>
  <c r="AF2448" i="2"/>
  <c r="AG2448" i="2"/>
  <c r="AH2448" i="2"/>
  <c r="AI2448" i="2"/>
  <c r="AJ2448" i="2"/>
  <c r="AK2448" i="2"/>
  <c r="A2449" i="2"/>
  <c r="B2449" i="2"/>
  <c r="C2449" i="2"/>
  <c r="D2449" i="2"/>
  <c r="E2449" i="2"/>
  <c r="F2449" i="2"/>
  <c r="G2449" i="2"/>
  <c r="H2449" i="2"/>
  <c r="I2449" i="2"/>
  <c r="J2449" i="2"/>
  <c r="K2449" i="2"/>
  <c r="L2449" i="2"/>
  <c r="M2449" i="2"/>
  <c r="N2449" i="2"/>
  <c r="O2449" i="2"/>
  <c r="P2449" i="2"/>
  <c r="Q2449" i="2"/>
  <c r="R2449" i="2"/>
  <c r="S2449" i="2"/>
  <c r="T2449" i="2"/>
  <c r="U2449" i="2"/>
  <c r="V2449" i="2"/>
  <c r="W2449" i="2"/>
  <c r="X2449" i="2"/>
  <c r="Y2449" i="2"/>
  <c r="Z2449" i="2"/>
  <c r="AA2449" i="2"/>
  <c r="AB2449" i="2"/>
  <c r="AC2449" i="2"/>
  <c r="AD2449" i="2"/>
  <c r="AE2449" i="2"/>
  <c r="AF2449" i="2"/>
  <c r="AG2449" i="2"/>
  <c r="AH2449" i="2"/>
  <c r="AI2449" i="2"/>
  <c r="AJ2449" i="2"/>
  <c r="AK2449" i="2"/>
  <c r="A2450" i="2"/>
  <c r="B2450" i="2"/>
  <c r="C2450" i="2"/>
  <c r="D2450" i="2"/>
  <c r="E2450" i="2"/>
  <c r="F2450" i="2"/>
  <c r="G2450" i="2"/>
  <c r="H2450" i="2"/>
  <c r="I2450" i="2"/>
  <c r="J2450" i="2"/>
  <c r="K2450" i="2"/>
  <c r="L2450" i="2"/>
  <c r="M2450" i="2"/>
  <c r="N2450" i="2"/>
  <c r="O2450" i="2"/>
  <c r="P2450" i="2"/>
  <c r="Q2450" i="2"/>
  <c r="R2450" i="2"/>
  <c r="S2450" i="2"/>
  <c r="T2450" i="2"/>
  <c r="U2450" i="2"/>
  <c r="V2450" i="2"/>
  <c r="W2450" i="2"/>
  <c r="X2450" i="2"/>
  <c r="Y2450" i="2"/>
  <c r="Z2450" i="2"/>
  <c r="AA2450" i="2"/>
  <c r="AB2450" i="2"/>
  <c r="AC2450" i="2"/>
  <c r="AD2450" i="2"/>
  <c r="AE2450" i="2"/>
  <c r="AF2450" i="2"/>
  <c r="AG2450" i="2"/>
  <c r="AH2450" i="2"/>
  <c r="AI2450" i="2"/>
  <c r="AJ2450" i="2"/>
  <c r="AK2450" i="2"/>
  <c r="A2451" i="2"/>
  <c r="B2451" i="2"/>
  <c r="C2451" i="2"/>
  <c r="D2451" i="2"/>
  <c r="E2451" i="2"/>
  <c r="F2451" i="2"/>
  <c r="G2451" i="2"/>
  <c r="H2451" i="2"/>
  <c r="I2451" i="2"/>
  <c r="J2451" i="2"/>
  <c r="K2451" i="2"/>
  <c r="L2451" i="2"/>
  <c r="M2451" i="2"/>
  <c r="N2451" i="2"/>
  <c r="O2451" i="2"/>
  <c r="P2451" i="2"/>
  <c r="Q2451" i="2"/>
  <c r="R2451" i="2"/>
  <c r="S2451" i="2"/>
  <c r="T2451" i="2"/>
  <c r="U2451" i="2"/>
  <c r="V2451" i="2"/>
  <c r="W2451" i="2"/>
  <c r="X2451" i="2"/>
  <c r="Y2451" i="2"/>
  <c r="Z2451" i="2"/>
  <c r="AA2451" i="2"/>
  <c r="AB2451" i="2"/>
  <c r="AC2451" i="2"/>
  <c r="AD2451" i="2"/>
  <c r="AE2451" i="2"/>
  <c r="AF2451" i="2"/>
  <c r="AG2451" i="2"/>
  <c r="AH2451" i="2"/>
  <c r="AI2451" i="2"/>
  <c r="AJ2451" i="2"/>
  <c r="AK2451" i="2"/>
  <c r="A2452" i="2"/>
  <c r="B2452" i="2"/>
  <c r="C2452" i="2"/>
  <c r="D2452" i="2"/>
  <c r="E2452" i="2"/>
  <c r="F2452" i="2"/>
  <c r="G2452" i="2"/>
  <c r="H2452" i="2"/>
  <c r="I2452" i="2"/>
  <c r="J2452" i="2"/>
  <c r="K2452" i="2"/>
  <c r="L2452" i="2"/>
  <c r="M2452" i="2"/>
  <c r="N2452" i="2"/>
  <c r="O2452" i="2"/>
  <c r="P2452" i="2"/>
  <c r="Q2452" i="2"/>
  <c r="R2452" i="2"/>
  <c r="S2452" i="2"/>
  <c r="T2452" i="2"/>
  <c r="U2452" i="2"/>
  <c r="V2452" i="2"/>
  <c r="W2452" i="2"/>
  <c r="X2452" i="2"/>
  <c r="Y2452" i="2"/>
  <c r="Z2452" i="2"/>
  <c r="AA2452" i="2"/>
  <c r="AB2452" i="2"/>
  <c r="AC2452" i="2"/>
  <c r="AD2452" i="2"/>
  <c r="AE2452" i="2"/>
  <c r="AF2452" i="2"/>
  <c r="AG2452" i="2"/>
  <c r="AH2452" i="2"/>
  <c r="AI2452" i="2"/>
  <c r="AJ2452" i="2"/>
  <c r="AK2452" i="2"/>
  <c r="A2453" i="2"/>
  <c r="B2453" i="2"/>
  <c r="C2453" i="2"/>
  <c r="D2453" i="2"/>
  <c r="E2453" i="2"/>
  <c r="F2453" i="2"/>
  <c r="G2453" i="2"/>
  <c r="H2453" i="2"/>
  <c r="I2453" i="2"/>
  <c r="J2453" i="2"/>
  <c r="K2453" i="2"/>
  <c r="L2453" i="2"/>
  <c r="M2453" i="2"/>
  <c r="N2453" i="2"/>
  <c r="O2453" i="2"/>
  <c r="P2453" i="2"/>
  <c r="Q2453" i="2"/>
  <c r="R2453" i="2"/>
  <c r="S2453" i="2"/>
  <c r="T2453" i="2"/>
  <c r="U2453" i="2"/>
  <c r="V2453" i="2"/>
  <c r="W2453" i="2"/>
  <c r="X2453" i="2"/>
  <c r="Y2453" i="2"/>
  <c r="Z2453" i="2"/>
  <c r="AA2453" i="2"/>
  <c r="AB2453" i="2"/>
  <c r="AC2453" i="2"/>
  <c r="AD2453" i="2"/>
  <c r="AE2453" i="2"/>
  <c r="AF2453" i="2"/>
  <c r="AG2453" i="2"/>
  <c r="AH2453" i="2"/>
  <c r="AI2453" i="2"/>
  <c r="AJ2453" i="2"/>
  <c r="AK2453" i="2"/>
  <c r="A2454" i="2"/>
  <c r="B2454" i="2"/>
  <c r="C2454" i="2"/>
  <c r="D2454" i="2"/>
  <c r="E2454" i="2"/>
  <c r="F2454" i="2"/>
  <c r="G2454" i="2"/>
  <c r="H2454" i="2"/>
  <c r="I2454" i="2"/>
  <c r="J2454" i="2"/>
  <c r="K2454" i="2"/>
  <c r="L2454" i="2"/>
  <c r="M2454" i="2"/>
  <c r="N2454" i="2"/>
  <c r="O2454" i="2"/>
  <c r="P2454" i="2"/>
  <c r="Q2454" i="2"/>
  <c r="R2454" i="2"/>
  <c r="S2454" i="2"/>
  <c r="T2454" i="2"/>
  <c r="U2454" i="2"/>
  <c r="V2454" i="2"/>
  <c r="W2454" i="2"/>
  <c r="X2454" i="2"/>
  <c r="Y2454" i="2"/>
  <c r="Z2454" i="2"/>
  <c r="AA2454" i="2"/>
  <c r="AB2454" i="2"/>
  <c r="AC2454" i="2"/>
  <c r="AD2454" i="2"/>
  <c r="AE2454" i="2"/>
  <c r="AF2454" i="2"/>
  <c r="AG2454" i="2"/>
  <c r="AH2454" i="2"/>
  <c r="AI2454" i="2"/>
  <c r="AJ2454" i="2"/>
  <c r="AK2454" i="2"/>
  <c r="A2455" i="2"/>
  <c r="B2455" i="2"/>
  <c r="C2455" i="2"/>
  <c r="D2455" i="2"/>
  <c r="E2455" i="2"/>
  <c r="F2455" i="2"/>
  <c r="G2455" i="2"/>
  <c r="H2455" i="2"/>
  <c r="I2455" i="2"/>
  <c r="J2455" i="2"/>
  <c r="K2455" i="2"/>
  <c r="L2455" i="2"/>
  <c r="M2455" i="2"/>
  <c r="N2455" i="2"/>
  <c r="O2455" i="2"/>
  <c r="P2455" i="2"/>
  <c r="Q2455" i="2"/>
  <c r="R2455" i="2"/>
  <c r="S2455" i="2"/>
  <c r="T2455" i="2"/>
  <c r="U2455" i="2"/>
  <c r="V2455" i="2"/>
  <c r="W2455" i="2"/>
  <c r="X2455" i="2"/>
  <c r="Y2455" i="2"/>
  <c r="Z2455" i="2"/>
  <c r="AA2455" i="2"/>
  <c r="AB2455" i="2"/>
  <c r="AC2455" i="2"/>
  <c r="AD2455" i="2"/>
  <c r="AE2455" i="2"/>
  <c r="AF2455" i="2"/>
  <c r="AG2455" i="2"/>
  <c r="AH2455" i="2"/>
  <c r="AI2455" i="2"/>
  <c r="AJ2455" i="2"/>
  <c r="AK2455" i="2"/>
  <c r="A2456" i="2"/>
  <c r="B2456" i="2"/>
  <c r="C2456" i="2"/>
  <c r="D2456" i="2"/>
  <c r="E2456" i="2"/>
  <c r="F2456" i="2"/>
  <c r="G2456" i="2"/>
  <c r="H2456" i="2"/>
  <c r="I2456" i="2"/>
  <c r="J2456" i="2"/>
  <c r="K2456" i="2"/>
  <c r="L2456" i="2"/>
  <c r="M2456" i="2"/>
  <c r="N2456" i="2"/>
  <c r="O2456" i="2"/>
  <c r="P2456" i="2"/>
  <c r="Q2456" i="2"/>
  <c r="R2456" i="2"/>
  <c r="S2456" i="2"/>
  <c r="T2456" i="2"/>
  <c r="U2456" i="2"/>
  <c r="V2456" i="2"/>
  <c r="W2456" i="2"/>
  <c r="X2456" i="2"/>
  <c r="Y2456" i="2"/>
  <c r="Z2456" i="2"/>
  <c r="AA2456" i="2"/>
  <c r="AB2456" i="2"/>
  <c r="AC2456" i="2"/>
  <c r="AD2456" i="2"/>
  <c r="AE2456" i="2"/>
  <c r="AF2456" i="2"/>
  <c r="AG2456" i="2"/>
  <c r="AH2456" i="2"/>
  <c r="AI2456" i="2"/>
  <c r="AJ2456" i="2"/>
  <c r="AK2456" i="2"/>
  <c r="A2457" i="2"/>
  <c r="B2457" i="2"/>
  <c r="C2457" i="2"/>
  <c r="D2457" i="2"/>
  <c r="E2457" i="2"/>
  <c r="F2457" i="2"/>
  <c r="G2457" i="2"/>
  <c r="H2457" i="2"/>
  <c r="I2457" i="2"/>
  <c r="J2457" i="2"/>
  <c r="K2457" i="2"/>
  <c r="L2457" i="2"/>
  <c r="M2457" i="2"/>
  <c r="N2457" i="2"/>
  <c r="O2457" i="2"/>
  <c r="P2457" i="2"/>
  <c r="Q2457" i="2"/>
  <c r="R2457" i="2"/>
  <c r="S2457" i="2"/>
  <c r="T2457" i="2"/>
  <c r="U2457" i="2"/>
  <c r="V2457" i="2"/>
  <c r="W2457" i="2"/>
  <c r="X2457" i="2"/>
  <c r="Y2457" i="2"/>
  <c r="Z2457" i="2"/>
  <c r="AA2457" i="2"/>
  <c r="AB2457" i="2"/>
  <c r="AC2457" i="2"/>
  <c r="AD2457" i="2"/>
  <c r="AE2457" i="2"/>
  <c r="AF2457" i="2"/>
  <c r="AG2457" i="2"/>
  <c r="AH2457" i="2"/>
  <c r="AI2457" i="2"/>
  <c r="AJ2457" i="2"/>
  <c r="AK2457" i="2"/>
  <c r="A2458" i="2"/>
  <c r="B2458" i="2"/>
  <c r="C2458" i="2"/>
  <c r="D2458" i="2"/>
  <c r="E2458" i="2"/>
  <c r="F2458" i="2"/>
  <c r="G2458" i="2"/>
  <c r="H2458" i="2"/>
  <c r="I2458" i="2"/>
  <c r="J2458" i="2"/>
  <c r="K2458" i="2"/>
  <c r="L2458" i="2"/>
  <c r="M2458" i="2"/>
  <c r="N2458" i="2"/>
  <c r="O2458" i="2"/>
  <c r="P2458" i="2"/>
  <c r="Q2458" i="2"/>
  <c r="R2458" i="2"/>
  <c r="S2458" i="2"/>
  <c r="T2458" i="2"/>
  <c r="U2458" i="2"/>
  <c r="V2458" i="2"/>
  <c r="W2458" i="2"/>
  <c r="X2458" i="2"/>
  <c r="Y2458" i="2"/>
  <c r="Z2458" i="2"/>
  <c r="AA2458" i="2"/>
  <c r="AB2458" i="2"/>
  <c r="AC2458" i="2"/>
  <c r="AD2458" i="2"/>
  <c r="AE2458" i="2"/>
  <c r="AF2458" i="2"/>
  <c r="AG2458" i="2"/>
  <c r="AH2458" i="2"/>
  <c r="AI2458" i="2"/>
  <c r="AJ2458" i="2"/>
  <c r="AK2458" i="2"/>
  <c r="A2459" i="2"/>
  <c r="B2459" i="2"/>
  <c r="C2459" i="2"/>
  <c r="D2459" i="2"/>
  <c r="E2459" i="2"/>
  <c r="F2459" i="2"/>
  <c r="G2459" i="2"/>
  <c r="H2459" i="2"/>
  <c r="I2459" i="2"/>
  <c r="J2459" i="2"/>
  <c r="K2459" i="2"/>
  <c r="L2459" i="2"/>
  <c r="M2459" i="2"/>
  <c r="N2459" i="2"/>
  <c r="O2459" i="2"/>
  <c r="P2459" i="2"/>
  <c r="Q2459" i="2"/>
  <c r="R2459" i="2"/>
  <c r="S2459" i="2"/>
  <c r="T2459" i="2"/>
  <c r="U2459" i="2"/>
  <c r="V2459" i="2"/>
  <c r="W2459" i="2"/>
  <c r="X2459" i="2"/>
  <c r="Y2459" i="2"/>
  <c r="Z2459" i="2"/>
  <c r="AA2459" i="2"/>
  <c r="AB2459" i="2"/>
  <c r="AC2459" i="2"/>
  <c r="AD2459" i="2"/>
  <c r="AE2459" i="2"/>
  <c r="AF2459" i="2"/>
  <c r="AG2459" i="2"/>
  <c r="AH2459" i="2"/>
  <c r="AI2459" i="2"/>
  <c r="AJ2459" i="2"/>
  <c r="AK2459" i="2"/>
  <c r="A2460" i="2"/>
  <c r="B2460" i="2"/>
  <c r="C2460" i="2"/>
  <c r="D2460" i="2"/>
  <c r="E2460" i="2"/>
  <c r="F2460" i="2"/>
  <c r="G2460" i="2"/>
  <c r="H2460" i="2"/>
  <c r="I2460" i="2"/>
  <c r="J2460" i="2"/>
  <c r="K2460" i="2"/>
  <c r="L2460" i="2"/>
  <c r="M2460" i="2"/>
  <c r="N2460" i="2"/>
  <c r="O2460" i="2"/>
  <c r="P2460" i="2"/>
  <c r="Q2460" i="2"/>
  <c r="R2460" i="2"/>
  <c r="S2460" i="2"/>
  <c r="T2460" i="2"/>
  <c r="U2460" i="2"/>
  <c r="V2460" i="2"/>
  <c r="W2460" i="2"/>
  <c r="X2460" i="2"/>
  <c r="Y2460" i="2"/>
  <c r="Z2460" i="2"/>
  <c r="AA2460" i="2"/>
  <c r="AB2460" i="2"/>
  <c r="AC2460" i="2"/>
  <c r="AD2460" i="2"/>
  <c r="AE2460" i="2"/>
  <c r="AF2460" i="2"/>
  <c r="AG2460" i="2"/>
  <c r="AH2460" i="2"/>
  <c r="AI2460" i="2"/>
  <c r="AJ2460" i="2"/>
  <c r="AK2460" i="2"/>
  <c r="A2461" i="2"/>
  <c r="B2461" i="2"/>
  <c r="C2461" i="2"/>
  <c r="D2461" i="2"/>
  <c r="E2461" i="2"/>
  <c r="F2461" i="2"/>
  <c r="G2461" i="2"/>
  <c r="H2461" i="2"/>
  <c r="I2461" i="2"/>
  <c r="J2461" i="2"/>
  <c r="K2461" i="2"/>
  <c r="L2461" i="2"/>
  <c r="M2461" i="2"/>
  <c r="N2461" i="2"/>
  <c r="O2461" i="2"/>
  <c r="P2461" i="2"/>
  <c r="Q2461" i="2"/>
  <c r="R2461" i="2"/>
  <c r="S2461" i="2"/>
  <c r="T2461" i="2"/>
  <c r="U2461" i="2"/>
  <c r="V2461" i="2"/>
  <c r="W2461" i="2"/>
  <c r="X2461" i="2"/>
  <c r="Y2461" i="2"/>
  <c r="Z2461" i="2"/>
  <c r="AA2461" i="2"/>
  <c r="AB2461" i="2"/>
  <c r="AC2461" i="2"/>
  <c r="AD2461" i="2"/>
  <c r="AE2461" i="2"/>
  <c r="AF2461" i="2"/>
  <c r="AG2461" i="2"/>
  <c r="AH2461" i="2"/>
  <c r="AI2461" i="2"/>
  <c r="AJ2461" i="2"/>
  <c r="AK2461" i="2"/>
  <c r="A2462" i="2"/>
  <c r="B2462" i="2"/>
  <c r="C2462" i="2"/>
  <c r="D2462" i="2"/>
  <c r="E2462" i="2"/>
  <c r="F2462" i="2"/>
  <c r="G2462" i="2"/>
  <c r="H2462" i="2"/>
  <c r="I2462" i="2"/>
  <c r="J2462" i="2"/>
  <c r="K2462" i="2"/>
  <c r="L2462" i="2"/>
  <c r="M2462" i="2"/>
  <c r="N2462" i="2"/>
  <c r="O2462" i="2"/>
  <c r="P2462" i="2"/>
  <c r="Q2462" i="2"/>
  <c r="R2462" i="2"/>
  <c r="S2462" i="2"/>
  <c r="T2462" i="2"/>
  <c r="U2462" i="2"/>
  <c r="V2462" i="2"/>
  <c r="W2462" i="2"/>
  <c r="X2462" i="2"/>
  <c r="Y2462" i="2"/>
  <c r="Z2462" i="2"/>
  <c r="AA2462" i="2"/>
  <c r="AB2462" i="2"/>
  <c r="AC2462" i="2"/>
  <c r="AD2462" i="2"/>
  <c r="AE2462" i="2"/>
  <c r="AF2462" i="2"/>
  <c r="AG2462" i="2"/>
  <c r="AH2462" i="2"/>
  <c r="AI2462" i="2"/>
  <c r="AJ2462" i="2"/>
  <c r="AK2462" i="2"/>
  <c r="A2463" i="2"/>
  <c r="B2463" i="2"/>
  <c r="C2463" i="2"/>
  <c r="D2463" i="2"/>
  <c r="E2463" i="2"/>
  <c r="F2463" i="2"/>
  <c r="G2463" i="2"/>
  <c r="H2463" i="2"/>
  <c r="I2463" i="2"/>
  <c r="J2463" i="2"/>
  <c r="K2463" i="2"/>
  <c r="L2463" i="2"/>
  <c r="M2463" i="2"/>
  <c r="N2463" i="2"/>
  <c r="O2463" i="2"/>
  <c r="P2463" i="2"/>
  <c r="Q2463" i="2"/>
  <c r="R2463" i="2"/>
  <c r="S2463" i="2"/>
  <c r="T2463" i="2"/>
  <c r="U2463" i="2"/>
  <c r="V2463" i="2"/>
  <c r="W2463" i="2"/>
  <c r="X2463" i="2"/>
  <c r="Y2463" i="2"/>
  <c r="Z2463" i="2"/>
  <c r="AA2463" i="2"/>
  <c r="AB2463" i="2"/>
  <c r="AC2463" i="2"/>
  <c r="AD2463" i="2"/>
  <c r="AE2463" i="2"/>
  <c r="AF2463" i="2"/>
  <c r="AG2463" i="2"/>
  <c r="AH2463" i="2"/>
  <c r="AI2463" i="2"/>
  <c r="AJ2463" i="2"/>
  <c r="AK2463" i="2"/>
  <c r="A2464" i="2"/>
  <c r="B2464" i="2"/>
  <c r="C2464" i="2"/>
  <c r="D2464" i="2"/>
  <c r="E2464" i="2"/>
  <c r="F2464" i="2"/>
  <c r="G2464" i="2"/>
  <c r="H2464" i="2"/>
  <c r="I2464" i="2"/>
  <c r="J2464" i="2"/>
  <c r="K2464" i="2"/>
  <c r="L2464" i="2"/>
  <c r="M2464" i="2"/>
  <c r="N2464" i="2"/>
  <c r="O2464" i="2"/>
  <c r="P2464" i="2"/>
  <c r="Q2464" i="2"/>
  <c r="R2464" i="2"/>
  <c r="S2464" i="2"/>
  <c r="T2464" i="2"/>
  <c r="U2464" i="2"/>
  <c r="V2464" i="2"/>
  <c r="W2464" i="2"/>
  <c r="X2464" i="2"/>
  <c r="Y2464" i="2"/>
  <c r="Z2464" i="2"/>
  <c r="AA2464" i="2"/>
  <c r="AB2464" i="2"/>
  <c r="AC2464" i="2"/>
  <c r="AD2464" i="2"/>
  <c r="AE2464" i="2"/>
  <c r="AF2464" i="2"/>
  <c r="AG2464" i="2"/>
  <c r="AH2464" i="2"/>
  <c r="AI2464" i="2"/>
  <c r="AJ2464" i="2"/>
  <c r="AK2464" i="2"/>
  <c r="A2465" i="2"/>
  <c r="B2465" i="2"/>
  <c r="C2465" i="2"/>
  <c r="D2465" i="2"/>
  <c r="E2465" i="2"/>
  <c r="F2465" i="2"/>
  <c r="G2465" i="2"/>
  <c r="H2465" i="2"/>
  <c r="I2465" i="2"/>
  <c r="J2465" i="2"/>
  <c r="K2465" i="2"/>
  <c r="L2465" i="2"/>
  <c r="M2465" i="2"/>
  <c r="N2465" i="2"/>
  <c r="O2465" i="2"/>
  <c r="P2465" i="2"/>
  <c r="Q2465" i="2"/>
  <c r="R2465" i="2"/>
  <c r="S2465" i="2"/>
  <c r="T2465" i="2"/>
  <c r="U2465" i="2"/>
  <c r="V2465" i="2"/>
  <c r="W2465" i="2"/>
  <c r="X2465" i="2"/>
  <c r="Y2465" i="2"/>
  <c r="Z2465" i="2"/>
  <c r="AA2465" i="2"/>
  <c r="AB2465" i="2"/>
  <c r="AC2465" i="2"/>
  <c r="AD2465" i="2"/>
  <c r="AE2465" i="2"/>
  <c r="AF2465" i="2"/>
  <c r="AG2465" i="2"/>
  <c r="AH2465" i="2"/>
  <c r="AI2465" i="2"/>
  <c r="AJ2465" i="2"/>
  <c r="AK2465" i="2"/>
  <c r="A2466" i="2"/>
  <c r="B2466" i="2"/>
  <c r="C2466" i="2"/>
  <c r="D2466" i="2"/>
  <c r="E2466" i="2"/>
  <c r="F2466" i="2"/>
  <c r="G2466" i="2"/>
  <c r="H2466" i="2"/>
  <c r="I2466" i="2"/>
  <c r="J2466" i="2"/>
  <c r="K2466" i="2"/>
  <c r="L2466" i="2"/>
  <c r="M2466" i="2"/>
  <c r="N2466" i="2"/>
  <c r="O2466" i="2"/>
  <c r="P2466" i="2"/>
  <c r="Q2466" i="2"/>
  <c r="R2466" i="2"/>
  <c r="S2466" i="2"/>
  <c r="T2466" i="2"/>
  <c r="U2466" i="2"/>
  <c r="V2466" i="2"/>
  <c r="W2466" i="2"/>
  <c r="X2466" i="2"/>
  <c r="Y2466" i="2"/>
  <c r="Z2466" i="2"/>
  <c r="AA2466" i="2"/>
  <c r="AB2466" i="2"/>
  <c r="AC2466" i="2"/>
  <c r="AD2466" i="2"/>
  <c r="AE2466" i="2"/>
  <c r="AF2466" i="2"/>
  <c r="AG2466" i="2"/>
  <c r="AH2466" i="2"/>
  <c r="AI2466" i="2"/>
  <c r="AJ2466" i="2"/>
  <c r="AK2466" i="2"/>
  <c r="A2467" i="2"/>
  <c r="B2467" i="2"/>
  <c r="C2467" i="2"/>
  <c r="D2467" i="2"/>
  <c r="E2467" i="2"/>
  <c r="F2467" i="2"/>
  <c r="G2467" i="2"/>
  <c r="H2467" i="2"/>
  <c r="I2467" i="2"/>
  <c r="J2467" i="2"/>
  <c r="K2467" i="2"/>
  <c r="L2467" i="2"/>
  <c r="M2467" i="2"/>
  <c r="N2467" i="2"/>
  <c r="O2467" i="2"/>
  <c r="P2467" i="2"/>
  <c r="Q2467" i="2"/>
  <c r="R2467" i="2"/>
  <c r="S2467" i="2"/>
  <c r="T2467" i="2"/>
  <c r="U2467" i="2"/>
  <c r="V2467" i="2"/>
  <c r="W2467" i="2"/>
  <c r="X2467" i="2"/>
  <c r="Y2467" i="2"/>
  <c r="Z2467" i="2"/>
  <c r="AA2467" i="2"/>
  <c r="AB2467" i="2"/>
  <c r="AC2467" i="2"/>
  <c r="AD2467" i="2"/>
  <c r="AE2467" i="2"/>
  <c r="AF2467" i="2"/>
  <c r="AG2467" i="2"/>
  <c r="AH2467" i="2"/>
  <c r="AI2467" i="2"/>
  <c r="AJ2467" i="2"/>
  <c r="AK2467" i="2"/>
  <c r="A2468" i="2"/>
  <c r="B2468" i="2"/>
  <c r="C2468" i="2"/>
  <c r="D2468" i="2"/>
  <c r="E2468" i="2"/>
  <c r="F2468" i="2"/>
  <c r="G2468" i="2"/>
  <c r="H2468" i="2"/>
  <c r="I2468" i="2"/>
  <c r="J2468" i="2"/>
  <c r="K2468" i="2"/>
  <c r="L2468" i="2"/>
  <c r="M2468" i="2"/>
  <c r="N2468" i="2"/>
  <c r="O2468" i="2"/>
  <c r="P2468" i="2"/>
  <c r="Q2468" i="2"/>
  <c r="R2468" i="2"/>
  <c r="S2468" i="2"/>
  <c r="T2468" i="2"/>
  <c r="U2468" i="2"/>
  <c r="V2468" i="2"/>
  <c r="W2468" i="2"/>
  <c r="X2468" i="2"/>
  <c r="Y2468" i="2"/>
  <c r="Z2468" i="2"/>
  <c r="AA2468" i="2"/>
  <c r="AB2468" i="2"/>
  <c r="AC2468" i="2"/>
  <c r="AD2468" i="2"/>
  <c r="AE2468" i="2"/>
  <c r="AF2468" i="2"/>
  <c r="AG2468" i="2"/>
  <c r="AH2468" i="2"/>
  <c r="AI2468" i="2"/>
  <c r="AJ2468" i="2"/>
  <c r="AK2468" i="2"/>
  <c r="A2469" i="2"/>
  <c r="B2469" i="2"/>
  <c r="C2469" i="2"/>
  <c r="D2469" i="2"/>
  <c r="E2469" i="2"/>
  <c r="F2469" i="2"/>
  <c r="G2469" i="2"/>
  <c r="H2469" i="2"/>
  <c r="I2469" i="2"/>
  <c r="J2469" i="2"/>
  <c r="K2469" i="2"/>
  <c r="L2469" i="2"/>
  <c r="M2469" i="2"/>
  <c r="N2469" i="2"/>
  <c r="O2469" i="2"/>
  <c r="P2469" i="2"/>
  <c r="Q2469" i="2"/>
  <c r="R2469" i="2"/>
  <c r="S2469" i="2"/>
  <c r="T2469" i="2"/>
  <c r="U2469" i="2"/>
  <c r="V2469" i="2"/>
  <c r="W2469" i="2"/>
  <c r="X2469" i="2"/>
  <c r="Y2469" i="2"/>
  <c r="Z2469" i="2"/>
  <c r="AA2469" i="2"/>
  <c r="AB2469" i="2"/>
  <c r="AC2469" i="2"/>
  <c r="AD2469" i="2"/>
  <c r="AE2469" i="2"/>
  <c r="AF2469" i="2"/>
  <c r="AG2469" i="2"/>
  <c r="AH2469" i="2"/>
  <c r="AI2469" i="2"/>
  <c r="AJ2469" i="2"/>
  <c r="AK2469" i="2"/>
  <c r="A2470" i="2"/>
  <c r="B2470" i="2"/>
  <c r="C2470" i="2"/>
  <c r="D2470" i="2"/>
  <c r="E2470" i="2"/>
  <c r="F2470" i="2"/>
  <c r="G2470" i="2"/>
  <c r="H2470" i="2"/>
  <c r="I2470" i="2"/>
  <c r="J2470" i="2"/>
  <c r="K2470" i="2"/>
  <c r="L2470" i="2"/>
  <c r="M2470" i="2"/>
  <c r="N2470" i="2"/>
  <c r="O2470" i="2"/>
  <c r="P2470" i="2"/>
  <c r="Q2470" i="2"/>
  <c r="R2470" i="2"/>
  <c r="S2470" i="2"/>
  <c r="T2470" i="2"/>
  <c r="U2470" i="2"/>
  <c r="V2470" i="2"/>
  <c r="W2470" i="2"/>
  <c r="X2470" i="2"/>
  <c r="Y2470" i="2"/>
  <c r="Z2470" i="2"/>
  <c r="AA2470" i="2"/>
  <c r="AB2470" i="2"/>
  <c r="AC2470" i="2"/>
  <c r="AD2470" i="2"/>
  <c r="AE2470" i="2"/>
  <c r="AF2470" i="2"/>
  <c r="AG2470" i="2"/>
  <c r="AH2470" i="2"/>
  <c r="AI2470" i="2"/>
  <c r="AJ2470" i="2"/>
  <c r="AK2470" i="2"/>
  <c r="A2471" i="2"/>
  <c r="B2471" i="2"/>
  <c r="C2471" i="2"/>
  <c r="D2471" i="2"/>
  <c r="E2471" i="2"/>
  <c r="F2471" i="2"/>
  <c r="G2471" i="2"/>
  <c r="H2471" i="2"/>
  <c r="I2471" i="2"/>
  <c r="J2471" i="2"/>
  <c r="K2471" i="2"/>
  <c r="L2471" i="2"/>
  <c r="M2471" i="2"/>
  <c r="N2471" i="2"/>
  <c r="O2471" i="2"/>
  <c r="P2471" i="2"/>
  <c r="Q2471" i="2"/>
  <c r="R2471" i="2"/>
  <c r="S2471" i="2"/>
  <c r="T2471" i="2"/>
  <c r="U2471" i="2"/>
  <c r="V2471" i="2"/>
  <c r="W2471" i="2"/>
  <c r="X2471" i="2"/>
  <c r="Y2471" i="2"/>
  <c r="Z2471" i="2"/>
  <c r="AA2471" i="2"/>
  <c r="AB2471" i="2"/>
  <c r="AC2471" i="2"/>
  <c r="AD2471" i="2"/>
  <c r="AE2471" i="2"/>
  <c r="AF2471" i="2"/>
  <c r="AG2471" i="2"/>
  <c r="AH2471" i="2"/>
  <c r="AI2471" i="2"/>
  <c r="AJ2471" i="2"/>
  <c r="AK2471" i="2"/>
  <c r="A2472" i="2"/>
  <c r="B2472" i="2"/>
  <c r="C2472" i="2"/>
  <c r="D2472" i="2"/>
  <c r="E2472" i="2"/>
  <c r="F2472" i="2"/>
  <c r="G2472" i="2"/>
  <c r="H2472" i="2"/>
  <c r="I2472" i="2"/>
  <c r="J2472" i="2"/>
  <c r="K2472" i="2"/>
  <c r="L2472" i="2"/>
  <c r="M2472" i="2"/>
  <c r="N2472" i="2"/>
  <c r="O2472" i="2"/>
  <c r="P2472" i="2"/>
  <c r="Q2472" i="2"/>
  <c r="R2472" i="2"/>
  <c r="S2472" i="2"/>
  <c r="T2472" i="2"/>
  <c r="U2472" i="2"/>
  <c r="V2472" i="2"/>
  <c r="W2472" i="2"/>
  <c r="X2472" i="2"/>
  <c r="Y2472" i="2"/>
  <c r="Z2472" i="2"/>
  <c r="AA2472" i="2"/>
  <c r="AB2472" i="2"/>
  <c r="AC2472" i="2"/>
  <c r="AD2472" i="2"/>
  <c r="AE2472" i="2"/>
  <c r="AF2472" i="2"/>
  <c r="AG2472" i="2"/>
  <c r="AH2472" i="2"/>
  <c r="AI2472" i="2"/>
  <c r="AJ2472" i="2"/>
  <c r="AK2472" i="2"/>
  <c r="A2473" i="2"/>
  <c r="B2473" i="2"/>
  <c r="C2473" i="2"/>
  <c r="D2473" i="2"/>
  <c r="E2473" i="2"/>
  <c r="F2473" i="2"/>
  <c r="G2473" i="2"/>
  <c r="H2473" i="2"/>
  <c r="I2473" i="2"/>
  <c r="J2473" i="2"/>
  <c r="K2473" i="2"/>
  <c r="L2473" i="2"/>
  <c r="M2473" i="2"/>
  <c r="N2473" i="2"/>
  <c r="O2473" i="2"/>
  <c r="P2473" i="2"/>
  <c r="Q2473" i="2"/>
  <c r="R2473" i="2"/>
  <c r="S2473" i="2"/>
  <c r="T2473" i="2"/>
  <c r="U2473" i="2"/>
  <c r="V2473" i="2"/>
  <c r="W2473" i="2"/>
  <c r="X2473" i="2"/>
  <c r="Y2473" i="2"/>
  <c r="Z2473" i="2"/>
  <c r="AA2473" i="2"/>
  <c r="AB2473" i="2"/>
  <c r="AC2473" i="2"/>
  <c r="AD2473" i="2"/>
  <c r="AE2473" i="2"/>
  <c r="AF2473" i="2"/>
  <c r="AG2473" i="2"/>
  <c r="AH2473" i="2"/>
  <c r="AI2473" i="2"/>
  <c r="AJ2473" i="2"/>
  <c r="AK2473" i="2"/>
  <c r="A2474" i="2"/>
  <c r="B2474" i="2"/>
  <c r="C2474" i="2"/>
  <c r="D2474" i="2"/>
  <c r="E2474" i="2"/>
  <c r="F2474" i="2"/>
  <c r="G2474" i="2"/>
  <c r="H2474" i="2"/>
  <c r="I2474" i="2"/>
  <c r="J2474" i="2"/>
  <c r="K2474" i="2"/>
  <c r="L2474" i="2"/>
  <c r="M2474" i="2"/>
  <c r="N2474" i="2"/>
  <c r="O2474" i="2"/>
  <c r="P2474" i="2"/>
  <c r="Q2474" i="2"/>
  <c r="R2474" i="2"/>
  <c r="S2474" i="2"/>
  <c r="T2474" i="2"/>
  <c r="U2474" i="2"/>
  <c r="V2474" i="2"/>
  <c r="W2474" i="2"/>
  <c r="X2474" i="2"/>
  <c r="Y2474" i="2"/>
  <c r="Z2474" i="2"/>
  <c r="AA2474" i="2"/>
  <c r="AB2474" i="2"/>
  <c r="AC2474" i="2"/>
  <c r="AD2474" i="2"/>
  <c r="AE2474" i="2"/>
  <c r="AF2474" i="2"/>
  <c r="AG2474" i="2"/>
  <c r="AH2474" i="2"/>
  <c r="AI2474" i="2"/>
  <c r="AJ2474" i="2"/>
  <c r="AK2474" i="2"/>
  <c r="A2475" i="2"/>
  <c r="B2475" i="2"/>
  <c r="C2475" i="2"/>
  <c r="D2475" i="2"/>
  <c r="E2475" i="2"/>
  <c r="F2475" i="2"/>
  <c r="G2475" i="2"/>
  <c r="H2475" i="2"/>
  <c r="I2475" i="2"/>
  <c r="J2475" i="2"/>
  <c r="K2475" i="2"/>
  <c r="L2475" i="2"/>
  <c r="M2475" i="2"/>
  <c r="N2475" i="2"/>
  <c r="O2475" i="2"/>
  <c r="P2475" i="2"/>
  <c r="Q2475" i="2"/>
  <c r="R2475" i="2"/>
  <c r="S2475" i="2"/>
  <c r="T2475" i="2"/>
  <c r="U2475" i="2"/>
  <c r="V2475" i="2"/>
  <c r="W2475" i="2"/>
  <c r="X2475" i="2"/>
  <c r="Y2475" i="2"/>
  <c r="Z2475" i="2"/>
  <c r="AA2475" i="2"/>
  <c r="AB2475" i="2"/>
  <c r="AC2475" i="2"/>
  <c r="AD2475" i="2"/>
  <c r="AE2475" i="2"/>
  <c r="AF2475" i="2"/>
  <c r="AG2475" i="2"/>
  <c r="AH2475" i="2"/>
  <c r="AI2475" i="2"/>
  <c r="AJ2475" i="2"/>
  <c r="AK2475" i="2"/>
  <c r="A2476" i="2"/>
  <c r="B2476" i="2"/>
  <c r="C2476" i="2"/>
  <c r="D2476" i="2"/>
  <c r="E2476" i="2"/>
  <c r="F2476" i="2"/>
  <c r="G2476" i="2"/>
  <c r="H2476" i="2"/>
  <c r="I2476" i="2"/>
  <c r="J2476" i="2"/>
  <c r="K2476" i="2"/>
  <c r="L2476" i="2"/>
  <c r="M2476" i="2"/>
  <c r="N2476" i="2"/>
  <c r="O2476" i="2"/>
  <c r="P2476" i="2"/>
  <c r="Q2476" i="2"/>
  <c r="R2476" i="2"/>
  <c r="S2476" i="2"/>
  <c r="T2476" i="2"/>
  <c r="U2476" i="2"/>
  <c r="V2476" i="2"/>
  <c r="W2476" i="2"/>
  <c r="X2476" i="2"/>
  <c r="Y2476" i="2"/>
  <c r="Z2476" i="2"/>
  <c r="AA2476" i="2"/>
  <c r="AB2476" i="2"/>
  <c r="AC2476" i="2"/>
  <c r="AD2476" i="2"/>
  <c r="AE2476" i="2"/>
  <c r="AF2476" i="2"/>
  <c r="AG2476" i="2"/>
  <c r="AH2476" i="2"/>
  <c r="AI2476" i="2"/>
  <c r="AJ2476" i="2"/>
  <c r="AK2476" i="2"/>
  <c r="A2477" i="2"/>
  <c r="B2477" i="2"/>
  <c r="C2477" i="2"/>
  <c r="D2477" i="2"/>
  <c r="E2477" i="2"/>
  <c r="F2477" i="2"/>
  <c r="G2477" i="2"/>
  <c r="H2477" i="2"/>
  <c r="I2477" i="2"/>
  <c r="J2477" i="2"/>
  <c r="K2477" i="2"/>
  <c r="L2477" i="2"/>
  <c r="M2477" i="2"/>
  <c r="N2477" i="2"/>
  <c r="O2477" i="2"/>
  <c r="P2477" i="2"/>
  <c r="Q2477" i="2"/>
  <c r="R2477" i="2"/>
  <c r="S2477" i="2"/>
  <c r="T2477" i="2"/>
  <c r="U2477" i="2"/>
  <c r="V2477" i="2"/>
  <c r="W2477" i="2"/>
  <c r="X2477" i="2"/>
  <c r="Y2477" i="2"/>
  <c r="Z2477" i="2"/>
  <c r="AA2477" i="2"/>
  <c r="AB2477" i="2"/>
  <c r="AC2477" i="2"/>
  <c r="AD2477" i="2"/>
  <c r="AE2477" i="2"/>
  <c r="AF2477" i="2"/>
  <c r="AG2477" i="2"/>
  <c r="AH2477" i="2"/>
  <c r="AI2477" i="2"/>
  <c r="AJ2477" i="2"/>
  <c r="AK2477" i="2"/>
  <c r="A2478" i="2"/>
  <c r="B2478" i="2"/>
  <c r="C2478" i="2"/>
  <c r="D2478" i="2"/>
  <c r="E2478" i="2"/>
  <c r="F2478" i="2"/>
  <c r="G2478" i="2"/>
  <c r="H2478" i="2"/>
  <c r="I2478" i="2"/>
  <c r="J2478" i="2"/>
  <c r="K2478" i="2"/>
  <c r="L2478" i="2"/>
  <c r="M2478" i="2"/>
  <c r="N2478" i="2"/>
  <c r="O2478" i="2"/>
  <c r="P2478" i="2"/>
  <c r="Q2478" i="2"/>
  <c r="R2478" i="2"/>
  <c r="S2478" i="2"/>
  <c r="T2478" i="2"/>
  <c r="U2478" i="2"/>
  <c r="V2478" i="2"/>
  <c r="W2478" i="2"/>
  <c r="X2478" i="2"/>
  <c r="Y2478" i="2"/>
  <c r="Z2478" i="2"/>
  <c r="AA2478" i="2"/>
  <c r="AB2478" i="2"/>
  <c r="AC2478" i="2"/>
  <c r="AD2478" i="2"/>
  <c r="AE2478" i="2"/>
  <c r="AF2478" i="2"/>
  <c r="AG2478" i="2"/>
  <c r="AH2478" i="2"/>
  <c r="AI2478" i="2"/>
  <c r="AJ2478" i="2"/>
  <c r="AK2478" i="2"/>
  <c r="A2479" i="2"/>
  <c r="B2479" i="2"/>
  <c r="C2479" i="2"/>
  <c r="D2479" i="2"/>
  <c r="E2479" i="2"/>
  <c r="F2479" i="2"/>
  <c r="G2479" i="2"/>
  <c r="H2479" i="2"/>
  <c r="I2479" i="2"/>
  <c r="J2479" i="2"/>
  <c r="K2479" i="2"/>
  <c r="L2479" i="2"/>
  <c r="M2479" i="2"/>
  <c r="N2479" i="2"/>
  <c r="O2479" i="2"/>
  <c r="P2479" i="2"/>
  <c r="Q2479" i="2"/>
  <c r="R2479" i="2"/>
  <c r="S2479" i="2"/>
  <c r="T2479" i="2"/>
  <c r="U2479" i="2"/>
  <c r="V2479" i="2"/>
  <c r="W2479" i="2"/>
  <c r="X2479" i="2"/>
  <c r="Y2479" i="2"/>
  <c r="Z2479" i="2"/>
  <c r="AA2479" i="2"/>
  <c r="AB2479" i="2"/>
  <c r="AC2479" i="2"/>
  <c r="AD2479" i="2"/>
  <c r="AE2479" i="2"/>
  <c r="AF2479" i="2"/>
  <c r="AG2479" i="2"/>
  <c r="AH2479" i="2"/>
  <c r="AI2479" i="2"/>
  <c r="AJ2479" i="2"/>
  <c r="AK2479" i="2"/>
  <c r="A2480" i="2"/>
  <c r="B2480" i="2"/>
  <c r="C2480" i="2"/>
  <c r="D2480" i="2"/>
  <c r="E2480" i="2"/>
  <c r="F2480" i="2"/>
  <c r="G2480" i="2"/>
  <c r="H2480" i="2"/>
  <c r="I2480" i="2"/>
  <c r="J2480" i="2"/>
  <c r="K2480" i="2"/>
  <c r="L2480" i="2"/>
  <c r="M2480" i="2"/>
  <c r="N2480" i="2"/>
  <c r="O2480" i="2"/>
  <c r="P2480" i="2"/>
  <c r="Q2480" i="2"/>
  <c r="R2480" i="2"/>
  <c r="S2480" i="2"/>
  <c r="T2480" i="2"/>
  <c r="U2480" i="2"/>
  <c r="V2480" i="2"/>
  <c r="W2480" i="2"/>
  <c r="X2480" i="2"/>
  <c r="Y2480" i="2"/>
  <c r="Z2480" i="2"/>
  <c r="AA2480" i="2"/>
  <c r="AB2480" i="2"/>
  <c r="AC2480" i="2"/>
  <c r="AD2480" i="2"/>
  <c r="AE2480" i="2"/>
  <c r="AF2480" i="2"/>
  <c r="AG2480" i="2"/>
  <c r="AH2480" i="2"/>
  <c r="AI2480" i="2"/>
  <c r="AJ2480" i="2"/>
  <c r="AK2480" i="2"/>
  <c r="A2481" i="2"/>
  <c r="B2481" i="2"/>
  <c r="C2481" i="2"/>
  <c r="D2481" i="2"/>
  <c r="E2481" i="2"/>
  <c r="F2481" i="2"/>
  <c r="G2481" i="2"/>
  <c r="H2481" i="2"/>
  <c r="I2481" i="2"/>
  <c r="J2481" i="2"/>
  <c r="K2481" i="2"/>
  <c r="L2481" i="2"/>
  <c r="M2481" i="2"/>
  <c r="N2481" i="2"/>
  <c r="O2481" i="2"/>
  <c r="P2481" i="2"/>
  <c r="Q2481" i="2"/>
  <c r="R2481" i="2"/>
  <c r="S2481" i="2"/>
  <c r="T2481" i="2"/>
  <c r="U2481" i="2"/>
  <c r="V2481" i="2"/>
  <c r="W2481" i="2"/>
  <c r="X2481" i="2"/>
  <c r="Y2481" i="2"/>
  <c r="Z2481" i="2"/>
  <c r="AA2481" i="2"/>
  <c r="AB2481" i="2"/>
  <c r="AC2481" i="2"/>
  <c r="AD2481" i="2"/>
  <c r="AE2481" i="2"/>
  <c r="AF2481" i="2"/>
  <c r="AG2481" i="2"/>
  <c r="AH2481" i="2"/>
  <c r="AI2481" i="2"/>
  <c r="AJ2481" i="2"/>
  <c r="AK2481" i="2"/>
  <c r="A2482" i="2"/>
  <c r="B2482" i="2"/>
  <c r="C2482" i="2"/>
  <c r="D2482" i="2"/>
  <c r="E2482" i="2"/>
  <c r="F2482" i="2"/>
  <c r="G2482" i="2"/>
  <c r="H2482" i="2"/>
  <c r="I2482" i="2"/>
  <c r="J2482" i="2"/>
  <c r="K2482" i="2"/>
  <c r="L2482" i="2"/>
  <c r="M2482" i="2"/>
  <c r="N2482" i="2"/>
  <c r="O2482" i="2"/>
  <c r="P2482" i="2"/>
  <c r="Q2482" i="2"/>
  <c r="R2482" i="2"/>
  <c r="S2482" i="2"/>
  <c r="T2482" i="2"/>
  <c r="U2482" i="2"/>
  <c r="V2482" i="2"/>
  <c r="W2482" i="2"/>
  <c r="X2482" i="2"/>
  <c r="Y2482" i="2"/>
  <c r="Z2482" i="2"/>
  <c r="AA2482" i="2"/>
  <c r="AB2482" i="2"/>
  <c r="AC2482" i="2"/>
  <c r="AD2482" i="2"/>
  <c r="AE2482" i="2"/>
  <c r="AF2482" i="2"/>
  <c r="AG2482" i="2"/>
  <c r="AH2482" i="2"/>
  <c r="AI2482" i="2"/>
  <c r="AJ2482" i="2"/>
  <c r="AK2482" i="2"/>
  <c r="A2483" i="2"/>
  <c r="B2483" i="2"/>
  <c r="C2483" i="2"/>
  <c r="D2483" i="2"/>
  <c r="E2483" i="2"/>
  <c r="F2483" i="2"/>
  <c r="G2483" i="2"/>
  <c r="H2483" i="2"/>
  <c r="I2483" i="2"/>
  <c r="J2483" i="2"/>
  <c r="K2483" i="2"/>
  <c r="L2483" i="2"/>
  <c r="M2483" i="2"/>
  <c r="N2483" i="2"/>
  <c r="O2483" i="2"/>
  <c r="P2483" i="2"/>
  <c r="Q2483" i="2"/>
  <c r="R2483" i="2"/>
  <c r="S2483" i="2"/>
  <c r="T2483" i="2"/>
  <c r="U2483" i="2"/>
  <c r="V2483" i="2"/>
  <c r="W2483" i="2"/>
  <c r="X2483" i="2"/>
  <c r="Y2483" i="2"/>
  <c r="Z2483" i="2"/>
  <c r="AA2483" i="2"/>
  <c r="AB2483" i="2"/>
  <c r="AC2483" i="2"/>
  <c r="AD2483" i="2"/>
  <c r="AE2483" i="2"/>
  <c r="AF2483" i="2"/>
  <c r="AG2483" i="2"/>
  <c r="AH2483" i="2"/>
  <c r="AI2483" i="2"/>
  <c r="AJ2483" i="2"/>
  <c r="AK2483" i="2"/>
  <c r="A2484" i="2"/>
  <c r="B2484" i="2"/>
  <c r="C2484" i="2"/>
  <c r="D2484" i="2"/>
  <c r="E2484" i="2"/>
  <c r="F2484" i="2"/>
  <c r="G2484" i="2"/>
  <c r="H2484" i="2"/>
  <c r="I2484" i="2"/>
  <c r="J2484" i="2"/>
  <c r="K2484" i="2"/>
  <c r="L2484" i="2"/>
  <c r="M2484" i="2"/>
  <c r="N2484" i="2"/>
  <c r="O2484" i="2"/>
  <c r="P2484" i="2"/>
  <c r="Q2484" i="2"/>
  <c r="R2484" i="2"/>
  <c r="S2484" i="2"/>
  <c r="T2484" i="2"/>
  <c r="U2484" i="2"/>
  <c r="V2484" i="2"/>
  <c r="W2484" i="2"/>
  <c r="X2484" i="2"/>
  <c r="Y2484" i="2"/>
  <c r="Z2484" i="2"/>
  <c r="AA2484" i="2"/>
  <c r="AB2484" i="2"/>
  <c r="AC2484" i="2"/>
  <c r="AD2484" i="2"/>
  <c r="AE2484" i="2"/>
  <c r="AF2484" i="2"/>
  <c r="AG2484" i="2"/>
  <c r="AH2484" i="2"/>
  <c r="AI2484" i="2"/>
  <c r="AJ2484" i="2"/>
  <c r="AK2484" i="2"/>
  <c r="A2485" i="2"/>
  <c r="B2485" i="2"/>
  <c r="C2485" i="2"/>
  <c r="D2485" i="2"/>
  <c r="E2485" i="2"/>
  <c r="F2485" i="2"/>
  <c r="G2485" i="2"/>
  <c r="H2485" i="2"/>
  <c r="I2485" i="2"/>
  <c r="J2485" i="2"/>
  <c r="K2485" i="2"/>
  <c r="L2485" i="2"/>
  <c r="M2485" i="2"/>
  <c r="N2485" i="2"/>
  <c r="O2485" i="2"/>
  <c r="P2485" i="2"/>
  <c r="Q2485" i="2"/>
  <c r="R2485" i="2"/>
  <c r="S2485" i="2"/>
  <c r="T2485" i="2"/>
  <c r="U2485" i="2"/>
  <c r="V2485" i="2"/>
  <c r="W2485" i="2"/>
  <c r="X2485" i="2"/>
  <c r="Y2485" i="2"/>
  <c r="Z2485" i="2"/>
  <c r="AA2485" i="2"/>
  <c r="AB2485" i="2"/>
  <c r="AC2485" i="2"/>
  <c r="AD2485" i="2"/>
  <c r="AE2485" i="2"/>
  <c r="AF2485" i="2"/>
  <c r="AG2485" i="2"/>
  <c r="AH2485" i="2"/>
  <c r="AI2485" i="2"/>
  <c r="AJ2485" i="2"/>
  <c r="AK2485" i="2"/>
  <c r="A2486" i="2"/>
  <c r="B2486" i="2"/>
  <c r="C2486" i="2"/>
  <c r="D2486" i="2"/>
  <c r="E2486" i="2"/>
  <c r="F2486" i="2"/>
  <c r="G2486" i="2"/>
  <c r="H2486" i="2"/>
  <c r="I2486" i="2"/>
  <c r="J2486" i="2"/>
  <c r="K2486" i="2"/>
  <c r="L2486" i="2"/>
  <c r="M2486" i="2"/>
  <c r="N2486" i="2"/>
  <c r="O2486" i="2"/>
  <c r="P2486" i="2"/>
  <c r="Q2486" i="2"/>
  <c r="R2486" i="2"/>
  <c r="S2486" i="2"/>
  <c r="T2486" i="2"/>
  <c r="U2486" i="2"/>
  <c r="V2486" i="2"/>
  <c r="W2486" i="2"/>
  <c r="X2486" i="2"/>
  <c r="Y2486" i="2"/>
  <c r="Z2486" i="2"/>
  <c r="AA2486" i="2"/>
  <c r="AB2486" i="2"/>
  <c r="AC2486" i="2"/>
  <c r="AD2486" i="2"/>
  <c r="AE2486" i="2"/>
  <c r="AF2486" i="2"/>
  <c r="AG2486" i="2"/>
  <c r="AH2486" i="2"/>
  <c r="AI2486" i="2"/>
  <c r="AJ2486" i="2"/>
  <c r="AK2486" i="2"/>
  <c r="A2487" i="2"/>
  <c r="B2487" i="2"/>
  <c r="C2487" i="2"/>
  <c r="D2487" i="2"/>
  <c r="E2487" i="2"/>
  <c r="F2487" i="2"/>
  <c r="G2487" i="2"/>
  <c r="H2487" i="2"/>
  <c r="I2487" i="2"/>
  <c r="J2487" i="2"/>
  <c r="K2487" i="2"/>
  <c r="L2487" i="2"/>
  <c r="M2487" i="2"/>
  <c r="N2487" i="2"/>
  <c r="O2487" i="2"/>
  <c r="P2487" i="2"/>
  <c r="Q2487" i="2"/>
  <c r="R2487" i="2"/>
  <c r="S2487" i="2"/>
  <c r="T2487" i="2"/>
  <c r="U2487" i="2"/>
  <c r="V2487" i="2"/>
  <c r="W2487" i="2"/>
  <c r="X2487" i="2"/>
  <c r="Y2487" i="2"/>
  <c r="Z2487" i="2"/>
  <c r="AA2487" i="2"/>
  <c r="AB2487" i="2"/>
  <c r="AC2487" i="2"/>
  <c r="AD2487" i="2"/>
  <c r="AE2487" i="2"/>
  <c r="AF2487" i="2"/>
  <c r="AG2487" i="2"/>
  <c r="AH2487" i="2"/>
  <c r="AI2487" i="2"/>
  <c r="AJ2487" i="2"/>
  <c r="AK2487" i="2"/>
  <c r="A2488" i="2"/>
  <c r="B2488" i="2"/>
  <c r="C2488" i="2"/>
  <c r="D2488" i="2"/>
  <c r="E2488" i="2"/>
  <c r="F2488" i="2"/>
  <c r="G2488" i="2"/>
  <c r="H2488" i="2"/>
  <c r="I2488" i="2"/>
  <c r="J2488" i="2"/>
  <c r="K2488" i="2"/>
  <c r="L2488" i="2"/>
  <c r="M2488" i="2"/>
  <c r="N2488" i="2"/>
  <c r="O2488" i="2"/>
  <c r="P2488" i="2"/>
  <c r="Q2488" i="2"/>
  <c r="R2488" i="2"/>
  <c r="S2488" i="2"/>
  <c r="T2488" i="2"/>
  <c r="U2488" i="2"/>
  <c r="V2488" i="2"/>
  <c r="W2488" i="2"/>
  <c r="X2488" i="2"/>
  <c r="Y2488" i="2"/>
  <c r="Z2488" i="2"/>
  <c r="AA2488" i="2"/>
  <c r="AB2488" i="2"/>
  <c r="AC2488" i="2"/>
  <c r="AD2488" i="2"/>
  <c r="AE2488" i="2"/>
  <c r="AF2488" i="2"/>
  <c r="AG2488" i="2"/>
  <c r="AH2488" i="2"/>
  <c r="AI2488" i="2"/>
  <c r="AJ2488" i="2"/>
  <c r="AK2488" i="2"/>
  <c r="A2489" i="2"/>
  <c r="B2489" i="2"/>
  <c r="C2489" i="2"/>
  <c r="D2489" i="2"/>
  <c r="E2489" i="2"/>
  <c r="F2489" i="2"/>
  <c r="G2489" i="2"/>
  <c r="H2489" i="2"/>
  <c r="I2489" i="2"/>
  <c r="J2489" i="2"/>
  <c r="K2489" i="2"/>
  <c r="L2489" i="2"/>
  <c r="M2489" i="2"/>
  <c r="N2489" i="2"/>
  <c r="O2489" i="2"/>
  <c r="P2489" i="2"/>
  <c r="Q2489" i="2"/>
  <c r="R2489" i="2"/>
  <c r="S2489" i="2"/>
  <c r="T2489" i="2"/>
  <c r="U2489" i="2"/>
  <c r="V2489" i="2"/>
  <c r="W2489" i="2"/>
  <c r="X2489" i="2"/>
  <c r="Y2489" i="2"/>
  <c r="Z2489" i="2"/>
  <c r="AA2489" i="2"/>
  <c r="AB2489" i="2"/>
  <c r="AC2489" i="2"/>
  <c r="AD2489" i="2"/>
  <c r="AE2489" i="2"/>
  <c r="AF2489" i="2"/>
  <c r="AG2489" i="2"/>
  <c r="AH2489" i="2"/>
  <c r="AI2489" i="2"/>
  <c r="AJ2489" i="2"/>
  <c r="AK2489" i="2"/>
  <c r="A2490" i="2"/>
  <c r="B2490" i="2"/>
  <c r="C2490" i="2"/>
  <c r="D2490" i="2"/>
  <c r="E2490" i="2"/>
  <c r="F2490" i="2"/>
  <c r="G2490" i="2"/>
  <c r="H2490" i="2"/>
  <c r="I2490" i="2"/>
  <c r="J2490" i="2"/>
  <c r="K2490" i="2"/>
  <c r="L2490" i="2"/>
  <c r="M2490" i="2"/>
  <c r="N2490" i="2"/>
  <c r="O2490" i="2"/>
  <c r="P2490" i="2"/>
  <c r="Q2490" i="2"/>
  <c r="R2490" i="2"/>
  <c r="S2490" i="2"/>
  <c r="T2490" i="2"/>
  <c r="U2490" i="2"/>
  <c r="V2490" i="2"/>
  <c r="W2490" i="2"/>
  <c r="X2490" i="2"/>
  <c r="Y2490" i="2"/>
  <c r="Z2490" i="2"/>
  <c r="AA2490" i="2"/>
  <c r="AB2490" i="2"/>
  <c r="AC2490" i="2"/>
  <c r="AD2490" i="2"/>
  <c r="AE2490" i="2"/>
  <c r="AF2490" i="2"/>
  <c r="AG2490" i="2"/>
  <c r="AH2490" i="2"/>
  <c r="AI2490" i="2"/>
  <c r="AJ2490" i="2"/>
  <c r="AK2490" i="2"/>
  <c r="A2491" i="2"/>
  <c r="B2491" i="2"/>
  <c r="C2491" i="2"/>
  <c r="D2491" i="2"/>
  <c r="E2491" i="2"/>
  <c r="F2491" i="2"/>
  <c r="G2491" i="2"/>
  <c r="H2491" i="2"/>
  <c r="I2491" i="2"/>
  <c r="J2491" i="2"/>
  <c r="K2491" i="2"/>
  <c r="L2491" i="2"/>
  <c r="M2491" i="2"/>
  <c r="N2491" i="2"/>
  <c r="O2491" i="2"/>
  <c r="P2491" i="2"/>
  <c r="Q2491" i="2"/>
  <c r="R2491" i="2"/>
  <c r="S2491" i="2"/>
  <c r="T2491" i="2"/>
  <c r="U2491" i="2"/>
  <c r="V2491" i="2"/>
  <c r="W2491" i="2"/>
  <c r="X2491" i="2"/>
  <c r="Y2491" i="2"/>
  <c r="Z2491" i="2"/>
  <c r="AA2491" i="2"/>
  <c r="AB2491" i="2"/>
  <c r="AC2491" i="2"/>
  <c r="AD2491" i="2"/>
  <c r="AE2491" i="2"/>
  <c r="AF2491" i="2"/>
  <c r="AG2491" i="2"/>
  <c r="AH2491" i="2"/>
  <c r="AI2491" i="2"/>
  <c r="AJ2491" i="2"/>
  <c r="AK2491" i="2"/>
  <c r="A2492" i="2"/>
  <c r="B2492" i="2"/>
  <c r="C2492" i="2"/>
  <c r="D2492" i="2"/>
  <c r="E2492" i="2"/>
  <c r="F2492" i="2"/>
  <c r="G2492" i="2"/>
  <c r="H2492" i="2"/>
  <c r="I2492" i="2"/>
  <c r="J2492" i="2"/>
  <c r="K2492" i="2"/>
  <c r="L2492" i="2"/>
  <c r="M2492" i="2"/>
  <c r="N2492" i="2"/>
  <c r="O2492" i="2"/>
  <c r="P2492" i="2"/>
  <c r="Q2492" i="2"/>
  <c r="R2492" i="2"/>
  <c r="S2492" i="2"/>
  <c r="T2492" i="2"/>
  <c r="U2492" i="2"/>
  <c r="V2492" i="2"/>
  <c r="W2492" i="2"/>
  <c r="X2492" i="2"/>
  <c r="Y2492" i="2"/>
  <c r="Z2492" i="2"/>
  <c r="AA2492" i="2"/>
  <c r="AB2492" i="2"/>
  <c r="AC2492" i="2"/>
  <c r="AD2492" i="2"/>
  <c r="AE2492" i="2"/>
  <c r="AF2492" i="2"/>
  <c r="AG2492" i="2"/>
  <c r="AH2492" i="2"/>
  <c r="AI2492" i="2"/>
  <c r="AJ2492" i="2"/>
  <c r="AK2492" i="2"/>
  <c r="A2493" i="2"/>
  <c r="B2493" i="2"/>
  <c r="C2493" i="2"/>
  <c r="D2493" i="2"/>
  <c r="E2493" i="2"/>
  <c r="F2493" i="2"/>
  <c r="G2493" i="2"/>
  <c r="H2493" i="2"/>
  <c r="I2493" i="2"/>
  <c r="J2493" i="2"/>
  <c r="K2493" i="2"/>
  <c r="L2493" i="2"/>
  <c r="M2493" i="2"/>
  <c r="N2493" i="2"/>
  <c r="O2493" i="2"/>
  <c r="P2493" i="2"/>
  <c r="Q2493" i="2"/>
  <c r="R2493" i="2"/>
  <c r="S2493" i="2"/>
  <c r="T2493" i="2"/>
  <c r="U2493" i="2"/>
  <c r="V2493" i="2"/>
  <c r="W2493" i="2"/>
  <c r="X2493" i="2"/>
  <c r="Y2493" i="2"/>
  <c r="Z2493" i="2"/>
  <c r="AA2493" i="2"/>
  <c r="AB2493" i="2"/>
  <c r="AC2493" i="2"/>
  <c r="AD2493" i="2"/>
  <c r="AE2493" i="2"/>
  <c r="AF2493" i="2"/>
  <c r="AG2493" i="2"/>
  <c r="AH2493" i="2"/>
  <c r="AI2493" i="2"/>
  <c r="AJ2493" i="2"/>
  <c r="AK2493" i="2"/>
  <c r="A2494" i="2"/>
  <c r="B2494" i="2"/>
  <c r="C2494" i="2"/>
  <c r="D2494" i="2"/>
  <c r="E2494" i="2"/>
  <c r="F2494" i="2"/>
  <c r="G2494" i="2"/>
  <c r="H2494" i="2"/>
  <c r="I2494" i="2"/>
  <c r="J2494" i="2"/>
  <c r="K2494" i="2"/>
  <c r="L2494" i="2"/>
  <c r="M2494" i="2"/>
  <c r="N2494" i="2"/>
  <c r="O2494" i="2"/>
  <c r="P2494" i="2"/>
  <c r="Q2494" i="2"/>
  <c r="R2494" i="2"/>
  <c r="S2494" i="2"/>
  <c r="T2494" i="2"/>
  <c r="U2494" i="2"/>
  <c r="V2494" i="2"/>
  <c r="W2494" i="2"/>
  <c r="X2494" i="2"/>
  <c r="Y2494" i="2"/>
  <c r="Z2494" i="2"/>
  <c r="AA2494" i="2"/>
  <c r="AB2494" i="2"/>
  <c r="AC2494" i="2"/>
  <c r="AD2494" i="2"/>
  <c r="AE2494" i="2"/>
  <c r="AF2494" i="2"/>
  <c r="AG2494" i="2"/>
  <c r="AH2494" i="2"/>
  <c r="AI2494" i="2"/>
  <c r="AJ2494" i="2"/>
  <c r="AK2494" i="2"/>
  <c r="A2495" i="2"/>
  <c r="B2495" i="2"/>
  <c r="C2495" i="2"/>
  <c r="D2495" i="2"/>
  <c r="E2495" i="2"/>
  <c r="F2495" i="2"/>
  <c r="G2495" i="2"/>
  <c r="H2495" i="2"/>
  <c r="I2495" i="2"/>
  <c r="J2495" i="2"/>
  <c r="K2495" i="2"/>
  <c r="L2495" i="2"/>
  <c r="M2495" i="2"/>
  <c r="N2495" i="2"/>
  <c r="O2495" i="2"/>
  <c r="P2495" i="2"/>
  <c r="Q2495" i="2"/>
  <c r="R2495" i="2"/>
  <c r="S2495" i="2"/>
  <c r="T2495" i="2"/>
  <c r="U2495" i="2"/>
  <c r="V2495" i="2"/>
  <c r="W2495" i="2"/>
  <c r="X2495" i="2"/>
  <c r="Y2495" i="2"/>
  <c r="Z2495" i="2"/>
  <c r="AA2495" i="2"/>
  <c r="AB2495" i="2"/>
  <c r="AC2495" i="2"/>
  <c r="AD2495" i="2"/>
  <c r="AE2495" i="2"/>
  <c r="AF2495" i="2"/>
  <c r="AG2495" i="2"/>
  <c r="AH2495" i="2"/>
  <c r="AI2495" i="2"/>
  <c r="AJ2495" i="2"/>
  <c r="AK2495" i="2"/>
  <c r="A2496" i="2"/>
  <c r="B2496" i="2"/>
  <c r="C2496" i="2"/>
  <c r="D2496" i="2"/>
  <c r="E2496" i="2"/>
  <c r="F2496" i="2"/>
  <c r="G2496" i="2"/>
  <c r="H2496" i="2"/>
  <c r="I2496" i="2"/>
  <c r="J2496" i="2"/>
  <c r="K2496" i="2"/>
  <c r="L2496" i="2"/>
  <c r="M2496" i="2"/>
  <c r="N2496" i="2"/>
  <c r="O2496" i="2"/>
  <c r="P2496" i="2"/>
  <c r="Q2496" i="2"/>
  <c r="R2496" i="2"/>
  <c r="S2496" i="2"/>
  <c r="T2496" i="2"/>
  <c r="U2496" i="2"/>
  <c r="V2496" i="2"/>
  <c r="W2496" i="2"/>
  <c r="X2496" i="2"/>
  <c r="Y2496" i="2"/>
  <c r="Z2496" i="2"/>
  <c r="AA2496" i="2"/>
  <c r="AB2496" i="2"/>
  <c r="AC2496" i="2"/>
  <c r="AD2496" i="2"/>
  <c r="AE2496" i="2"/>
  <c r="AF2496" i="2"/>
  <c r="AG2496" i="2"/>
  <c r="AH2496" i="2"/>
  <c r="AI2496" i="2"/>
  <c r="AJ2496" i="2"/>
  <c r="AK2496" i="2"/>
  <c r="A2497" i="2"/>
  <c r="B2497" i="2"/>
  <c r="C2497" i="2"/>
  <c r="D2497" i="2"/>
  <c r="E2497" i="2"/>
  <c r="F2497" i="2"/>
  <c r="G2497" i="2"/>
  <c r="H2497" i="2"/>
  <c r="I2497" i="2"/>
  <c r="J2497" i="2"/>
  <c r="K2497" i="2"/>
  <c r="L2497" i="2"/>
  <c r="M2497" i="2"/>
  <c r="N2497" i="2"/>
  <c r="O2497" i="2"/>
  <c r="P2497" i="2"/>
  <c r="Q2497" i="2"/>
  <c r="R2497" i="2"/>
  <c r="S2497" i="2"/>
  <c r="T2497" i="2"/>
  <c r="U2497" i="2"/>
  <c r="V2497" i="2"/>
  <c r="W2497" i="2"/>
  <c r="X2497" i="2"/>
  <c r="Y2497" i="2"/>
  <c r="Z2497" i="2"/>
  <c r="AA2497" i="2"/>
  <c r="AB2497" i="2"/>
  <c r="AC2497" i="2"/>
  <c r="AD2497" i="2"/>
  <c r="AE2497" i="2"/>
  <c r="AF2497" i="2"/>
  <c r="AG2497" i="2"/>
  <c r="AH2497" i="2"/>
  <c r="AI2497" i="2"/>
  <c r="AJ2497" i="2"/>
  <c r="AK2497" i="2"/>
  <c r="A2498" i="2"/>
  <c r="B2498" i="2"/>
  <c r="C2498" i="2"/>
  <c r="D2498" i="2"/>
  <c r="E2498" i="2"/>
  <c r="F2498" i="2"/>
  <c r="G2498" i="2"/>
  <c r="H2498" i="2"/>
  <c r="I2498" i="2"/>
  <c r="J2498" i="2"/>
  <c r="K2498" i="2"/>
  <c r="L2498" i="2"/>
  <c r="M2498" i="2"/>
  <c r="N2498" i="2"/>
  <c r="O2498" i="2"/>
  <c r="P2498" i="2"/>
  <c r="Q2498" i="2"/>
  <c r="R2498" i="2"/>
  <c r="S2498" i="2"/>
  <c r="T2498" i="2"/>
  <c r="U2498" i="2"/>
  <c r="V2498" i="2"/>
  <c r="W2498" i="2"/>
  <c r="X2498" i="2"/>
  <c r="Y2498" i="2"/>
  <c r="Z2498" i="2"/>
  <c r="AA2498" i="2"/>
  <c r="AB2498" i="2"/>
  <c r="AC2498" i="2"/>
  <c r="AD2498" i="2"/>
  <c r="AE2498" i="2"/>
  <c r="AF2498" i="2"/>
  <c r="AG2498" i="2"/>
  <c r="AH2498" i="2"/>
  <c r="AI2498" i="2"/>
  <c r="AJ2498" i="2"/>
  <c r="AK2498" i="2"/>
  <c r="A2499" i="2"/>
  <c r="B2499" i="2"/>
  <c r="C2499" i="2"/>
  <c r="D2499" i="2"/>
  <c r="E2499" i="2"/>
  <c r="F2499" i="2"/>
  <c r="G2499" i="2"/>
  <c r="H2499" i="2"/>
  <c r="I2499" i="2"/>
  <c r="J2499" i="2"/>
  <c r="K2499" i="2"/>
  <c r="L2499" i="2"/>
  <c r="M2499" i="2"/>
  <c r="N2499" i="2"/>
  <c r="O2499" i="2"/>
  <c r="P2499" i="2"/>
  <c r="Q2499" i="2"/>
  <c r="R2499" i="2"/>
  <c r="S2499" i="2"/>
  <c r="T2499" i="2"/>
  <c r="U2499" i="2"/>
  <c r="V2499" i="2"/>
  <c r="W2499" i="2"/>
  <c r="X2499" i="2"/>
  <c r="Y2499" i="2"/>
  <c r="Z2499" i="2"/>
  <c r="AA2499" i="2"/>
  <c r="AB2499" i="2"/>
  <c r="AC2499" i="2"/>
  <c r="AD2499" i="2"/>
  <c r="AE2499" i="2"/>
  <c r="AF2499" i="2"/>
  <c r="AG2499" i="2"/>
  <c r="AH2499" i="2"/>
  <c r="AI2499" i="2"/>
  <c r="AJ2499" i="2"/>
  <c r="AK2499" i="2"/>
  <c r="A2500" i="2"/>
  <c r="B2500" i="2"/>
  <c r="C2500" i="2"/>
  <c r="D2500" i="2"/>
  <c r="E2500" i="2"/>
  <c r="F2500" i="2"/>
  <c r="G2500" i="2"/>
  <c r="H2500" i="2"/>
  <c r="I2500" i="2"/>
  <c r="J2500" i="2"/>
  <c r="K2500" i="2"/>
  <c r="L2500" i="2"/>
  <c r="M2500" i="2"/>
  <c r="N2500" i="2"/>
  <c r="O2500" i="2"/>
  <c r="P2500" i="2"/>
  <c r="Q2500" i="2"/>
  <c r="R2500" i="2"/>
  <c r="S2500" i="2"/>
  <c r="T2500" i="2"/>
  <c r="U2500" i="2"/>
  <c r="V2500" i="2"/>
  <c r="W2500" i="2"/>
  <c r="X2500" i="2"/>
  <c r="Y2500" i="2"/>
  <c r="Z2500" i="2"/>
  <c r="AA2500" i="2"/>
  <c r="AB2500" i="2"/>
  <c r="AC2500" i="2"/>
  <c r="AD2500" i="2"/>
  <c r="AE2500" i="2"/>
  <c r="AF2500" i="2"/>
  <c r="AG2500" i="2"/>
  <c r="AH2500" i="2"/>
  <c r="AI2500" i="2"/>
  <c r="AJ2500" i="2"/>
  <c r="AK2500" i="2"/>
  <c r="A2501" i="2"/>
  <c r="B2501" i="2"/>
  <c r="C2501" i="2"/>
  <c r="D2501" i="2"/>
  <c r="E2501" i="2"/>
  <c r="F2501" i="2"/>
  <c r="G2501" i="2"/>
  <c r="H2501" i="2"/>
  <c r="I2501" i="2"/>
  <c r="J2501" i="2"/>
  <c r="K2501" i="2"/>
  <c r="L2501" i="2"/>
  <c r="M2501" i="2"/>
  <c r="N2501" i="2"/>
  <c r="O2501" i="2"/>
  <c r="P2501" i="2"/>
  <c r="Q2501" i="2"/>
  <c r="R2501" i="2"/>
  <c r="S2501" i="2"/>
  <c r="T2501" i="2"/>
  <c r="U2501" i="2"/>
  <c r="V2501" i="2"/>
  <c r="W2501" i="2"/>
  <c r="X2501" i="2"/>
  <c r="Y2501" i="2"/>
  <c r="Z2501" i="2"/>
  <c r="AA2501" i="2"/>
  <c r="AB2501" i="2"/>
  <c r="AC2501" i="2"/>
  <c r="AD2501" i="2"/>
  <c r="AE2501" i="2"/>
  <c r="AF2501" i="2"/>
  <c r="AG2501" i="2"/>
  <c r="AH2501" i="2"/>
  <c r="AI2501" i="2"/>
  <c r="AJ2501" i="2"/>
  <c r="AK2501" i="2"/>
  <c r="A2502" i="2"/>
  <c r="B2502" i="2"/>
  <c r="C2502" i="2"/>
  <c r="D2502" i="2"/>
  <c r="E2502" i="2"/>
  <c r="F2502" i="2"/>
  <c r="G2502" i="2"/>
  <c r="H2502" i="2"/>
  <c r="I2502" i="2"/>
  <c r="J2502" i="2"/>
  <c r="K2502" i="2"/>
  <c r="L2502" i="2"/>
  <c r="M2502" i="2"/>
  <c r="N2502" i="2"/>
  <c r="O2502" i="2"/>
  <c r="P2502" i="2"/>
  <c r="Q2502" i="2"/>
  <c r="R2502" i="2"/>
  <c r="S2502" i="2"/>
  <c r="T2502" i="2"/>
  <c r="U2502" i="2"/>
  <c r="V2502" i="2"/>
  <c r="W2502" i="2"/>
  <c r="X2502" i="2"/>
  <c r="Y2502" i="2"/>
  <c r="Z2502" i="2"/>
  <c r="AA2502" i="2"/>
  <c r="AB2502" i="2"/>
  <c r="AC2502" i="2"/>
  <c r="AD2502" i="2"/>
  <c r="AE2502" i="2"/>
  <c r="AF2502" i="2"/>
  <c r="AG2502" i="2"/>
  <c r="AH2502" i="2"/>
  <c r="AI2502" i="2"/>
  <c r="AJ2502" i="2"/>
  <c r="AK2502" i="2"/>
  <c r="A2503" i="2"/>
  <c r="B2503" i="2"/>
  <c r="C2503" i="2"/>
  <c r="D2503" i="2"/>
  <c r="E2503" i="2"/>
  <c r="F2503" i="2"/>
  <c r="G2503" i="2"/>
  <c r="H2503" i="2"/>
  <c r="I2503" i="2"/>
  <c r="J2503" i="2"/>
  <c r="K2503" i="2"/>
  <c r="L2503" i="2"/>
  <c r="M2503" i="2"/>
  <c r="N2503" i="2"/>
  <c r="O2503" i="2"/>
  <c r="P2503" i="2"/>
  <c r="Q2503" i="2"/>
  <c r="R2503" i="2"/>
  <c r="S2503" i="2"/>
  <c r="T2503" i="2"/>
  <c r="U2503" i="2"/>
  <c r="V2503" i="2"/>
  <c r="W2503" i="2"/>
  <c r="X2503" i="2"/>
  <c r="Y2503" i="2"/>
  <c r="Z2503" i="2"/>
  <c r="AA2503" i="2"/>
  <c r="AB2503" i="2"/>
  <c r="AC2503" i="2"/>
  <c r="AD2503" i="2"/>
  <c r="AE2503" i="2"/>
  <c r="AF2503" i="2"/>
  <c r="AG2503" i="2"/>
  <c r="AH2503" i="2"/>
  <c r="AI2503" i="2"/>
  <c r="AJ2503" i="2"/>
  <c r="AK2503" i="2"/>
  <c r="A2504" i="2"/>
  <c r="B2504" i="2"/>
  <c r="C2504" i="2"/>
  <c r="D2504" i="2"/>
  <c r="E2504" i="2"/>
  <c r="F2504" i="2"/>
  <c r="G2504" i="2"/>
  <c r="H2504" i="2"/>
  <c r="I2504" i="2"/>
  <c r="J2504" i="2"/>
  <c r="K2504" i="2"/>
  <c r="L2504" i="2"/>
  <c r="M2504" i="2"/>
  <c r="N2504" i="2"/>
  <c r="O2504" i="2"/>
  <c r="P2504" i="2"/>
  <c r="Q2504" i="2"/>
  <c r="R2504" i="2"/>
  <c r="S2504" i="2"/>
  <c r="T2504" i="2"/>
  <c r="U2504" i="2"/>
  <c r="V2504" i="2"/>
  <c r="W2504" i="2"/>
  <c r="X2504" i="2"/>
  <c r="Y2504" i="2"/>
  <c r="Z2504" i="2"/>
  <c r="AA2504" i="2"/>
  <c r="AB2504" i="2"/>
  <c r="AC2504" i="2"/>
  <c r="AD2504" i="2"/>
  <c r="AE2504" i="2"/>
  <c r="AF2504" i="2"/>
  <c r="AG2504" i="2"/>
  <c r="AH2504" i="2"/>
  <c r="AI2504" i="2"/>
  <c r="AJ2504" i="2"/>
  <c r="AK2504" i="2"/>
  <c r="A2505" i="2"/>
  <c r="B2505" i="2"/>
  <c r="C2505" i="2"/>
  <c r="D2505" i="2"/>
  <c r="E2505" i="2"/>
  <c r="F2505" i="2"/>
  <c r="G2505" i="2"/>
  <c r="H2505" i="2"/>
  <c r="I2505" i="2"/>
  <c r="J2505" i="2"/>
  <c r="K2505" i="2"/>
  <c r="L2505" i="2"/>
  <c r="M2505" i="2"/>
  <c r="N2505" i="2"/>
  <c r="O2505" i="2"/>
  <c r="P2505" i="2"/>
  <c r="Q2505" i="2"/>
  <c r="R2505" i="2"/>
  <c r="S2505" i="2"/>
  <c r="T2505" i="2"/>
  <c r="U2505" i="2"/>
  <c r="V2505" i="2"/>
  <c r="W2505" i="2"/>
  <c r="X2505" i="2"/>
  <c r="Y2505" i="2"/>
  <c r="Z2505" i="2"/>
  <c r="AA2505" i="2"/>
  <c r="AB2505" i="2"/>
  <c r="AC2505" i="2"/>
  <c r="AD2505" i="2"/>
  <c r="AE2505" i="2"/>
  <c r="AF2505" i="2"/>
  <c r="AG2505" i="2"/>
  <c r="AH2505" i="2"/>
  <c r="AI2505" i="2"/>
  <c r="AJ2505" i="2"/>
  <c r="AK2505" i="2"/>
  <c r="A2506" i="2"/>
  <c r="B2506" i="2"/>
  <c r="C2506" i="2"/>
  <c r="D2506" i="2"/>
  <c r="E2506" i="2"/>
  <c r="F2506" i="2"/>
  <c r="G2506" i="2"/>
  <c r="H2506" i="2"/>
  <c r="I2506" i="2"/>
  <c r="J2506" i="2"/>
  <c r="K2506" i="2"/>
  <c r="L2506" i="2"/>
  <c r="M2506" i="2"/>
  <c r="N2506" i="2"/>
  <c r="O2506" i="2"/>
  <c r="P2506" i="2"/>
  <c r="Q2506" i="2"/>
  <c r="R2506" i="2"/>
  <c r="S2506" i="2"/>
  <c r="T2506" i="2"/>
  <c r="U2506" i="2"/>
  <c r="V2506" i="2"/>
  <c r="W2506" i="2"/>
  <c r="X2506" i="2"/>
  <c r="Y2506" i="2"/>
  <c r="Z2506" i="2"/>
  <c r="AA2506" i="2"/>
  <c r="AB2506" i="2"/>
  <c r="AC2506" i="2"/>
  <c r="AD2506" i="2"/>
  <c r="AE2506" i="2"/>
  <c r="AF2506" i="2"/>
  <c r="AG2506" i="2"/>
  <c r="AH2506" i="2"/>
  <c r="AI2506" i="2"/>
  <c r="AJ2506" i="2"/>
  <c r="AK2506" i="2"/>
  <c r="A2507" i="2"/>
  <c r="B2507" i="2"/>
  <c r="C2507" i="2"/>
  <c r="D2507" i="2"/>
  <c r="E2507" i="2"/>
  <c r="F2507" i="2"/>
  <c r="G2507" i="2"/>
  <c r="H2507" i="2"/>
  <c r="I2507" i="2"/>
  <c r="J2507" i="2"/>
  <c r="K2507" i="2"/>
  <c r="L2507" i="2"/>
  <c r="M2507" i="2"/>
  <c r="N2507" i="2"/>
  <c r="O2507" i="2"/>
  <c r="P2507" i="2"/>
  <c r="Q2507" i="2"/>
  <c r="R2507" i="2"/>
  <c r="S2507" i="2"/>
  <c r="T2507" i="2"/>
  <c r="U2507" i="2"/>
  <c r="V2507" i="2"/>
  <c r="W2507" i="2"/>
  <c r="X2507" i="2"/>
  <c r="Y2507" i="2"/>
  <c r="Z2507" i="2"/>
  <c r="AA2507" i="2"/>
  <c r="AB2507" i="2"/>
  <c r="AC2507" i="2"/>
  <c r="AD2507" i="2"/>
  <c r="AE2507" i="2"/>
  <c r="AF2507" i="2"/>
  <c r="AG2507" i="2"/>
  <c r="AH2507" i="2"/>
  <c r="AI2507" i="2"/>
  <c r="AJ2507" i="2"/>
  <c r="AK2507" i="2"/>
  <c r="A2508" i="2"/>
  <c r="B2508" i="2"/>
  <c r="C2508" i="2"/>
  <c r="D2508" i="2"/>
  <c r="E2508" i="2"/>
  <c r="F2508" i="2"/>
  <c r="G2508" i="2"/>
  <c r="H2508" i="2"/>
  <c r="I2508" i="2"/>
  <c r="J2508" i="2"/>
  <c r="K2508" i="2"/>
  <c r="L2508" i="2"/>
  <c r="M2508" i="2"/>
  <c r="N2508" i="2"/>
  <c r="O2508" i="2"/>
  <c r="P2508" i="2"/>
  <c r="Q2508" i="2"/>
  <c r="R2508" i="2"/>
  <c r="S2508" i="2"/>
  <c r="T2508" i="2"/>
  <c r="U2508" i="2"/>
  <c r="V2508" i="2"/>
  <c r="W2508" i="2"/>
  <c r="X2508" i="2"/>
  <c r="Y2508" i="2"/>
  <c r="Z2508" i="2"/>
  <c r="AA2508" i="2"/>
  <c r="AB2508" i="2"/>
  <c r="AC2508" i="2"/>
  <c r="AD2508" i="2"/>
  <c r="AE2508" i="2"/>
  <c r="AF2508" i="2"/>
  <c r="AG2508" i="2"/>
  <c r="AH2508" i="2"/>
  <c r="AI2508" i="2"/>
  <c r="AJ2508" i="2"/>
  <c r="AK2508" i="2"/>
  <c r="A2509" i="2"/>
  <c r="B2509" i="2"/>
  <c r="C2509" i="2"/>
  <c r="D2509" i="2"/>
  <c r="E2509" i="2"/>
  <c r="F2509" i="2"/>
  <c r="G2509" i="2"/>
  <c r="H2509" i="2"/>
  <c r="I2509" i="2"/>
  <c r="J2509" i="2"/>
  <c r="K2509" i="2"/>
  <c r="L2509" i="2"/>
  <c r="M2509" i="2"/>
  <c r="N2509" i="2"/>
  <c r="O2509" i="2"/>
  <c r="P2509" i="2"/>
  <c r="Q2509" i="2"/>
  <c r="R2509" i="2"/>
  <c r="S2509" i="2"/>
  <c r="T2509" i="2"/>
  <c r="U2509" i="2"/>
  <c r="V2509" i="2"/>
  <c r="W2509" i="2"/>
  <c r="X2509" i="2"/>
  <c r="Y2509" i="2"/>
  <c r="Z2509" i="2"/>
  <c r="AA2509" i="2"/>
  <c r="AB2509" i="2"/>
  <c r="AC2509" i="2"/>
  <c r="AD2509" i="2"/>
  <c r="AE2509" i="2"/>
  <c r="AF2509" i="2"/>
  <c r="AG2509" i="2"/>
  <c r="AH2509" i="2"/>
  <c r="AI2509" i="2"/>
  <c r="AJ2509" i="2"/>
  <c r="AK2509" i="2"/>
  <c r="A2510" i="2"/>
  <c r="B2510" i="2"/>
  <c r="C2510" i="2"/>
  <c r="D2510" i="2"/>
  <c r="E2510" i="2"/>
  <c r="F2510" i="2"/>
  <c r="G2510" i="2"/>
  <c r="H2510" i="2"/>
  <c r="I2510" i="2"/>
  <c r="J2510" i="2"/>
  <c r="K2510" i="2"/>
  <c r="L2510" i="2"/>
  <c r="M2510" i="2"/>
  <c r="N2510" i="2"/>
  <c r="O2510" i="2"/>
  <c r="P2510" i="2"/>
  <c r="Q2510" i="2"/>
  <c r="R2510" i="2"/>
  <c r="S2510" i="2"/>
  <c r="T2510" i="2"/>
  <c r="U2510" i="2"/>
  <c r="V2510" i="2"/>
  <c r="W2510" i="2"/>
  <c r="X2510" i="2"/>
  <c r="Y2510" i="2"/>
  <c r="Z2510" i="2"/>
  <c r="AA2510" i="2"/>
  <c r="AB2510" i="2"/>
  <c r="AC2510" i="2"/>
  <c r="AD2510" i="2"/>
  <c r="AE2510" i="2"/>
  <c r="AF2510" i="2"/>
  <c r="AG2510" i="2"/>
  <c r="AH2510" i="2"/>
  <c r="AI2510" i="2"/>
  <c r="AJ2510" i="2"/>
  <c r="AK2510" i="2"/>
  <c r="A2511" i="2"/>
  <c r="B2511" i="2"/>
  <c r="C2511" i="2"/>
  <c r="D2511" i="2"/>
  <c r="E2511" i="2"/>
  <c r="F2511" i="2"/>
  <c r="G2511" i="2"/>
  <c r="H2511" i="2"/>
  <c r="I2511" i="2"/>
  <c r="J2511" i="2"/>
  <c r="K2511" i="2"/>
  <c r="L2511" i="2"/>
  <c r="M2511" i="2"/>
  <c r="N2511" i="2"/>
  <c r="O2511" i="2"/>
  <c r="P2511" i="2"/>
  <c r="Q2511" i="2"/>
  <c r="R2511" i="2"/>
  <c r="S2511" i="2"/>
  <c r="T2511" i="2"/>
  <c r="U2511" i="2"/>
  <c r="V2511" i="2"/>
  <c r="W2511" i="2"/>
  <c r="X2511" i="2"/>
  <c r="Y2511" i="2"/>
  <c r="Z2511" i="2"/>
  <c r="AA2511" i="2"/>
  <c r="AB2511" i="2"/>
  <c r="AC2511" i="2"/>
  <c r="AD2511" i="2"/>
  <c r="AE2511" i="2"/>
  <c r="AF2511" i="2"/>
  <c r="AG2511" i="2"/>
  <c r="AH2511" i="2"/>
  <c r="AI2511" i="2"/>
  <c r="AJ2511" i="2"/>
  <c r="AK2511" i="2"/>
  <c r="A2512" i="2"/>
  <c r="B2512" i="2"/>
  <c r="C2512" i="2"/>
  <c r="D2512" i="2"/>
  <c r="E2512" i="2"/>
  <c r="F2512" i="2"/>
  <c r="G2512" i="2"/>
  <c r="H2512" i="2"/>
  <c r="I2512" i="2"/>
  <c r="J2512" i="2"/>
  <c r="K2512" i="2"/>
  <c r="L2512" i="2"/>
  <c r="M2512" i="2"/>
  <c r="N2512" i="2"/>
  <c r="O2512" i="2"/>
  <c r="P2512" i="2"/>
  <c r="Q2512" i="2"/>
  <c r="R2512" i="2"/>
  <c r="S2512" i="2"/>
  <c r="T2512" i="2"/>
  <c r="U2512" i="2"/>
  <c r="V2512" i="2"/>
  <c r="W2512" i="2"/>
  <c r="X2512" i="2"/>
  <c r="Y2512" i="2"/>
  <c r="Z2512" i="2"/>
  <c r="AA2512" i="2"/>
  <c r="AB2512" i="2"/>
  <c r="AC2512" i="2"/>
  <c r="AD2512" i="2"/>
  <c r="AE2512" i="2"/>
  <c r="AF2512" i="2"/>
  <c r="AG2512" i="2"/>
  <c r="AH2512" i="2"/>
  <c r="AI2512" i="2"/>
  <c r="AJ2512" i="2"/>
  <c r="AK2512" i="2"/>
  <c r="A2513" i="2"/>
  <c r="B2513" i="2"/>
  <c r="C2513" i="2"/>
  <c r="D2513" i="2"/>
  <c r="E2513" i="2"/>
  <c r="F2513" i="2"/>
  <c r="G2513" i="2"/>
  <c r="H2513" i="2"/>
  <c r="I2513" i="2"/>
  <c r="J2513" i="2"/>
  <c r="K2513" i="2"/>
  <c r="L2513" i="2"/>
  <c r="M2513" i="2"/>
  <c r="N2513" i="2"/>
  <c r="O2513" i="2"/>
  <c r="P2513" i="2"/>
  <c r="Q2513" i="2"/>
  <c r="R2513" i="2"/>
  <c r="S2513" i="2"/>
  <c r="T2513" i="2"/>
  <c r="U2513" i="2"/>
  <c r="V2513" i="2"/>
  <c r="W2513" i="2"/>
  <c r="X2513" i="2"/>
  <c r="Y2513" i="2"/>
  <c r="Z2513" i="2"/>
  <c r="AA2513" i="2"/>
  <c r="AB2513" i="2"/>
  <c r="AC2513" i="2"/>
  <c r="AD2513" i="2"/>
  <c r="AE2513" i="2"/>
  <c r="AF2513" i="2"/>
  <c r="AG2513" i="2"/>
  <c r="AH2513" i="2"/>
  <c r="AI2513" i="2"/>
  <c r="AJ2513" i="2"/>
  <c r="AK2513" i="2"/>
  <c r="A2514" i="2"/>
  <c r="B2514" i="2"/>
  <c r="C2514" i="2"/>
  <c r="D2514" i="2"/>
  <c r="E2514" i="2"/>
  <c r="F2514" i="2"/>
  <c r="G2514" i="2"/>
  <c r="H2514" i="2"/>
  <c r="I2514" i="2"/>
  <c r="J2514" i="2"/>
  <c r="K2514" i="2"/>
  <c r="L2514" i="2"/>
  <c r="M2514" i="2"/>
  <c r="N2514" i="2"/>
  <c r="O2514" i="2"/>
  <c r="P2514" i="2"/>
  <c r="Q2514" i="2"/>
  <c r="R2514" i="2"/>
  <c r="S2514" i="2"/>
  <c r="T2514" i="2"/>
  <c r="U2514" i="2"/>
  <c r="V2514" i="2"/>
  <c r="W2514" i="2"/>
  <c r="X2514" i="2"/>
  <c r="Y2514" i="2"/>
  <c r="Z2514" i="2"/>
  <c r="AA2514" i="2"/>
  <c r="AB2514" i="2"/>
  <c r="AC2514" i="2"/>
  <c r="AD2514" i="2"/>
  <c r="AE2514" i="2"/>
  <c r="AF2514" i="2"/>
  <c r="AG2514" i="2"/>
  <c r="AH2514" i="2"/>
  <c r="AI2514" i="2"/>
  <c r="AJ2514" i="2"/>
  <c r="AK2514" i="2"/>
  <c r="A2515" i="2"/>
  <c r="B2515" i="2"/>
  <c r="C2515" i="2"/>
  <c r="D2515" i="2"/>
  <c r="E2515" i="2"/>
  <c r="F2515" i="2"/>
  <c r="G2515" i="2"/>
  <c r="H2515" i="2"/>
  <c r="I2515" i="2"/>
  <c r="J2515" i="2"/>
  <c r="K2515" i="2"/>
  <c r="L2515" i="2"/>
  <c r="M2515" i="2"/>
  <c r="N2515" i="2"/>
  <c r="O2515" i="2"/>
  <c r="P2515" i="2"/>
  <c r="Q2515" i="2"/>
  <c r="R2515" i="2"/>
  <c r="S2515" i="2"/>
  <c r="T2515" i="2"/>
  <c r="U2515" i="2"/>
  <c r="V2515" i="2"/>
  <c r="W2515" i="2"/>
  <c r="X2515" i="2"/>
  <c r="Y2515" i="2"/>
  <c r="Z2515" i="2"/>
  <c r="AA2515" i="2"/>
  <c r="AB2515" i="2"/>
  <c r="AC2515" i="2"/>
  <c r="AD2515" i="2"/>
  <c r="AE2515" i="2"/>
  <c r="AF2515" i="2"/>
  <c r="AG2515" i="2"/>
  <c r="AH2515" i="2"/>
  <c r="AI2515" i="2"/>
  <c r="AJ2515" i="2"/>
  <c r="AK2515" i="2"/>
  <c r="A2516" i="2"/>
  <c r="B2516" i="2"/>
  <c r="C2516" i="2"/>
  <c r="D2516" i="2"/>
  <c r="E2516" i="2"/>
  <c r="F2516" i="2"/>
  <c r="G2516" i="2"/>
  <c r="H2516" i="2"/>
  <c r="I2516" i="2"/>
  <c r="J2516" i="2"/>
  <c r="K2516" i="2"/>
  <c r="L2516" i="2"/>
  <c r="M2516" i="2"/>
  <c r="N2516" i="2"/>
  <c r="O2516" i="2"/>
  <c r="P2516" i="2"/>
  <c r="Q2516" i="2"/>
  <c r="R2516" i="2"/>
  <c r="S2516" i="2"/>
  <c r="T2516" i="2"/>
  <c r="U2516" i="2"/>
  <c r="V2516" i="2"/>
  <c r="W2516" i="2"/>
  <c r="X2516" i="2"/>
  <c r="Y2516" i="2"/>
  <c r="Z2516" i="2"/>
  <c r="AA2516" i="2"/>
  <c r="AB2516" i="2"/>
  <c r="AC2516" i="2"/>
  <c r="AD2516" i="2"/>
  <c r="AE2516" i="2"/>
  <c r="AF2516" i="2"/>
  <c r="AG2516" i="2"/>
  <c r="AH2516" i="2"/>
  <c r="AI2516" i="2"/>
  <c r="AJ2516" i="2"/>
  <c r="AK2516" i="2"/>
  <c r="A2517" i="2"/>
  <c r="B2517" i="2"/>
  <c r="C2517" i="2"/>
  <c r="D2517" i="2"/>
  <c r="E2517" i="2"/>
  <c r="F2517" i="2"/>
  <c r="G2517" i="2"/>
  <c r="H2517" i="2"/>
  <c r="I2517" i="2"/>
  <c r="J2517" i="2"/>
  <c r="K2517" i="2"/>
  <c r="L2517" i="2"/>
  <c r="M2517" i="2"/>
  <c r="N2517" i="2"/>
  <c r="O2517" i="2"/>
  <c r="P2517" i="2"/>
  <c r="Q2517" i="2"/>
  <c r="R2517" i="2"/>
  <c r="S2517" i="2"/>
  <c r="T2517" i="2"/>
  <c r="U2517" i="2"/>
  <c r="V2517" i="2"/>
  <c r="W2517" i="2"/>
  <c r="X2517" i="2"/>
  <c r="Y2517" i="2"/>
  <c r="Z2517" i="2"/>
  <c r="AA2517" i="2"/>
  <c r="AB2517" i="2"/>
  <c r="AC2517" i="2"/>
  <c r="AD2517" i="2"/>
  <c r="AE2517" i="2"/>
  <c r="AF2517" i="2"/>
  <c r="AG2517" i="2"/>
  <c r="AH2517" i="2"/>
  <c r="AI2517" i="2"/>
  <c r="AJ2517" i="2"/>
  <c r="AK2517" i="2"/>
  <c r="A2518" i="2"/>
  <c r="B2518" i="2"/>
  <c r="C2518" i="2"/>
  <c r="D2518" i="2"/>
  <c r="E2518" i="2"/>
  <c r="F2518" i="2"/>
  <c r="G2518" i="2"/>
  <c r="H2518" i="2"/>
  <c r="I2518" i="2"/>
  <c r="J2518" i="2"/>
  <c r="K2518" i="2"/>
  <c r="L2518" i="2"/>
  <c r="M2518" i="2"/>
  <c r="N2518" i="2"/>
  <c r="O2518" i="2"/>
  <c r="P2518" i="2"/>
  <c r="Q2518" i="2"/>
  <c r="R2518" i="2"/>
  <c r="S2518" i="2"/>
  <c r="T2518" i="2"/>
  <c r="U2518" i="2"/>
  <c r="V2518" i="2"/>
  <c r="W2518" i="2"/>
  <c r="X2518" i="2"/>
  <c r="Y2518" i="2"/>
  <c r="Z2518" i="2"/>
  <c r="AA2518" i="2"/>
  <c r="AB2518" i="2"/>
  <c r="AC2518" i="2"/>
  <c r="AD2518" i="2"/>
  <c r="AE2518" i="2"/>
  <c r="AF2518" i="2"/>
  <c r="AG2518" i="2"/>
  <c r="AH2518" i="2"/>
  <c r="AI2518" i="2"/>
  <c r="AJ2518" i="2"/>
  <c r="AK2518" i="2"/>
  <c r="A2519" i="2"/>
  <c r="B2519" i="2"/>
  <c r="C2519" i="2"/>
  <c r="D2519" i="2"/>
  <c r="E2519" i="2"/>
  <c r="F2519" i="2"/>
  <c r="G2519" i="2"/>
  <c r="H2519" i="2"/>
  <c r="I2519" i="2"/>
  <c r="J2519" i="2"/>
  <c r="K2519" i="2"/>
  <c r="L2519" i="2"/>
  <c r="M2519" i="2"/>
  <c r="N2519" i="2"/>
  <c r="O2519" i="2"/>
  <c r="P2519" i="2"/>
  <c r="Q2519" i="2"/>
  <c r="R2519" i="2"/>
  <c r="S2519" i="2"/>
  <c r="T2519" i="2"/>
  <c r="U2519" i="2"/>
  <c r="V2519" i="2"/>
  <c r="W2519" i="2"/>
  <c r="X2519" i="2"/>
  <c r="Y2519" i="2"/>
  <c r="Z2519" i="2"/>
  <c r="AA2519" i="2"/>
  <c r="AB2519" i="2"/>
  <c r="AC2519" i="2"/>
  <c r="AD2519" i="2"/>
  <c r="AE2519" i="2"/>
  <c r="AF2519" i="2"/>
  <c r="AG2519" i="2"/>
  <c r="AH2519" i="2"/>
  <c r="AI2519" i="2"/>
  <c r="AJ2519" i="2"/>
  <c r="AK2519" i="2"/>
  <c r="A2520" i="2"/>
  <c r="B2520" i="2"/>
  <c r="C2520" i="2"/>
  <c r="D2520" i="2"/>
  <c r="E2520" i="2"/>
  <c r="F2520" i="2"/>
  <c r="G2520" i="2"/>
  <c r="H2520" i="2"/>
  <c r="I2520" i="2"/>
  <c r="J2520" i="2"/>
  <c r="K2520" i="2"/>
  <c r="L2520" i="2"/>
  <c r="M2520" i="2"/>
  <c r="N2520" i="2"/>
  <c r="O2520" i="2"/>
  <c r="P2520" i="2"/>
  <c r="Q2520" i="2"/>
  <c r="R2520" i="2"/>
  <c r="S2520" i="2"/>
  <c r="T2520" i="2"/>
  <c r="U2520" i="2"/>
  <c r="V2520" i="2"/>
  <c r="W2520" i="2"/>
  <c r="X2520" i="2"/>
  <c r="Y2520" i="2"/>
  <c r="Z2520" i="2"/>
  <c r="AA2520" i="2"/>
  <c r="AB2520" i="2"/>
  <c r="AC2520" i="2"/>
  <c r="AD2520" i="2"/>
  <c r="AE2520" i="2"/>
  <c r="AF2520" i="2"/>
  <c r="AG2520" i="2"/>
  <c r="AH2520" i="2"/>
  <c r="AI2520" i="2"/>
  <c r="AJ2520" i="2"/>
  <c r="AK2520" i="2"/>
  <c r="A2521" i="2"/>
  <c r="B2521" i="2"/>
  <c r="C2521" i="2"/>
  <c r="D2521" i="2"/>
  <c r="E2521" i="2"/>
  <c r="F2521" i="2"/>
  <c r="G2521" i="2"/>
  <c r="H2521" i="2"/>
  <c r="I2521" i="2"/>
  <c r="J2521" i="2"/>
  <c r="K2521" i="2"/>
  <c r="L2521" i="2"/>
  <c r="M2521" i="2"/>
  <c r="N2521" i="2"/>
  <c r="O2521" i="2"/>
  <c r="P2521" i="2"/>
  <c r="Q2521" i="2"/>
  <c r="R2521" i="2"/>
  <c r="S2521" i="2"/>
  <c r="T2521" i="2"/>
  <c r="U2521" i="2"/>
  <c r="V2521" i="2"/>
  <c r="W2521" i="2"/>
  <c r="X2521" i="2"/>
  <c r="Y2521" i="2"/>
  <c r="Z2521" i="2"/>
  <c r="AA2521" i="2"/>
  <c r="AB2521" i="2"/>
  <c r="AC2521" i="2"/>
  <c r="AD2521" i="2"/>
  <c r="AE2521" i="2"/>
  <c r="AF2521" i="2"/>
  <c r="AG2521" i="2"/>
  <c r="AH2521" i="2"/>
  <c r="AI2521" i="2"/>
  <c r="AJ2521" i="2"/>
  <c r="AK2521" i="2"/>
  <c r="A2522" i="2"/>
  <c r="B2522" i="2"/>
  <c r="C2522" i="2"/>
  <c r="D2522" i="2"/>
  <c r="E2522" i="2"/>
  <c r="F2522" i="2"/>
  <c r="G2522" i="2"/>
  <c r="H2522" i="2"/>
  <c r="I2522" i="2"/>
  <c r="J2522" i="2"/>
  <c r="K2522" i="2"/>
  <c r="L2522" i="2"/>
  <c r="M2522" i="2"/>
  <c r="N2522" i="2"/>
  <c r="O2522" i="2"/>
  <c r="P2522" i="2"/>
  <c r="Q2522" i="2"/>
  <c r="R2522" i="2"/>
  <c r="S2522" i="2"/>
  <c r="T2522" i="2"/>
  <c r="U2522" i="2"/>
  <c r="V2522" i="2"/>
  <c r="W2522" i="2"/>
  <c r="X2522" i="2"/>
  <c r="Y2522" i="2"/>
  <c r="Z2522" i="2"/>
  <c r="AA2522" i="2"/>
  <c r="AB2522" i="2"/>
  <c r="AC2522" i="2"/>
  <c r="AD2522" i="2"/>
  <c r="AE2522" i="2"/>
  <c r="AF2522" i="2"/>
  <c r="AG2522" i="2"/>
  <c r="AH2522" i="2"/>
  <c r="AI2522" i="2"/>
  <c r="AJ2522" i="2"/>
  <c r="AK2522" i="2"/>
  <c r="A2523" i="2"/>
  <c r="B2523" i="2"/>
  <c r="C2523" i="2"/>
  <c r="D2523" i="2"/>
  <c r="E2523" i="2"/>
  <c r="F2523" i="2"/>
  <c r="G2523" i="2"/>
  <c r="H2523" i="2"/>
  <c r="I2523" i="2"/>
  <c r="J2523" i="2"/>
  <c r="K2523" i="2"/>
  <c r="L2523" i="2"/>
  <c r="M2523" i="2"/>
  <c r="N2523" i="2"/>
  <c r="O2523" i="2"/>
  <c r="P2523" i="2"/>
  <c r="Q2523" i="2"/>
  <c r="R2523" i="2"/>
  <c r="S2523" i="2"/>
  <c r="T2523" i="2"/>
  <c r="U2523" i="2"/>
  <c r="V2523" i="2"/>
  <c r="W2523" i="2"/>
  <c r="X2523" i="2"/>
  <c r="Y2523" i="2"/>
  <c r="Z2523" i="2"/>
  <c r="AA2523" i="2"/>
  <c r="AB2523" i="2"/>
  <c r="AC2523" i="2"/>
  <c r="AD2523" i="2"/>
  <c r="AE2523" i="2"/>
  <c r="AF2523" i="2"/>
  <c r="AG2523" i="2"/>
  <c r="AH2523" i="2"/>
  <c r="AI2523" i="2"/>
  <c r="AJ2523" i="2"/>
  <c r="AK2523" i="2"/>
  <c r="A2524" i="2"/>
  <c r="B2524" i="2"/>
  <c r="C2524" i="2"/>
  <c r="D2524" i="2"/>
  <c r="E2524" i="2"/>
  <c r="F2524" i="2"/>
  <c r="G2524" i="2"/>
  <c r="H2524" i="2"/>
  <c r="I2524" i="2"/>
  <c r="J2524" i="2"/>
  <c r="K2524" i="2"/>
  <c r="L2524" i="2"/>
  <c r="M2524" i="2"/>
  <c r="N2524" i="2"/>
  <c r="O2524" i="2"/>
  <c r="P2524" i="2"/>
  <c r="Q2524" i="2"/>
  <c r="R2524" i="2"/>
  <c r="S2524" i="2"/>
  <c r="T2524" i="2"/>
  <c r="U2524" i="2"/>
  <c r="V2524" i="2"/>
  <c r="W2524" i="2"/>
  <c r="X2524" i="2"/>
  <c r="Y2524" i="2"/>
  <c r="Z2524" i="2"/>
  <c r="AA2524" i="2"/>
  <c r="AB2524" i="2"/>
  <c r="AC2524" i="2"/>
  <c r="AD2524" i="2"/>
  <c r="AE2524" i="2"/>
  <c r="AF2524" i="2"/>
  <c r="AG2524" i="2"/>
  <c r="AH2524" i="2"/>
  <c r="AI2524" i="2"/>
  <c r="AJ2524" i="2"/>
  <c r="AK2524" i="2"/>
  <c r="A2525" i="2"/>
  <c r="B2525" i="2"/>
  <c r="C2525" i="2"/>
  <c r="D2525" i="2"/>
  <c r="E2525" i="2"/>
  <c r="F2525" i="2"/>
  <c r="G2525" i="2"/>
  <c r="H2525" i="2"/>
  <c r="I2525" i="2"/>
  <c r="J2525" i="2"/>
  <c r="K2525" i="2"/>
  <c r="L2525" i="2"/>
  <c r="M2525" i="2"/>
  <c r="N2525" i="2"/>
  <c r="O2525" i="2"/>
  <c r="P2525" i="2"/>
  <c r="Q2525" i="2"/>
  <c r="R2525" i="2"/>
  <c r="S2525" i="2"/>
  <c r="T2525" i="2"/>
  <c r="U2525" i="2"/>
  <c r="V2525" i="2"/>
  <c r="W2525" i="2"/>
  <c r="X2525" i="2"/>
  <c r="Y2525" i="2"/>
  <c r="Z2525" i="2"/>
  <c r="AA2525" i="2"/>
  <c r="AB2525" i="2"/>
  <c r="AC2525" i="2"/>
  <c r="AD2525" i="2"/>
  <c r="AE2525" i="2"/>
  <c r="AF2525" i="2"/>
  <c r="AG2525" i="2"/>
  <c r="AH2525" i="2"/>
  <c r="AI2525" i="2"/>
  <c r="AJ2525" i="2"/>
  <c r="AK2525" i="2"/>
  <c r="A2526" i="2"/>
  <c r="B2526" i="2"/>
  <c r="C2526" i="2"/>
  <c r="D2526" i="2"/>
  <c r="E2526" i="2"/>
  <c r="F2526" i="2"/>
  <c r="G2526" i="2"/>
  <c r="H2526" i="2"/>
  <c r="I2526" i="2"/>
  <c r="J2526" i="2"/>
  <c r="K2526" i="2"/>
  <c r="L2526" i="2"/>
  <c r="M2526" i="2"/>
  <c r="N2526" i="2"/>
  <c r="O2526" i="2"/>
  <c r="P2526" i="2"/>
  <c r="Q2526" i="2"/>
  <c r="R2526" i="2"/>
  <c r="S2526" i="2"/>
  <c r="T2526" i="2"/>
  <c r="U2526" i="2"/>
  <c r="V2526" i="2"/>
  <c r="W2526" i="2"/>
  <c r="X2526" i="2"/>
  <c r="Y2526" i="2"/>
  <c r="Z2526" i="2"/>
  <c r="AA2526" i="2"/>
  <c r="AB2526" i="2"/>
  <c r="AC2526" i="2"/>
  <c r="AD2526" i="2"/>
  <c r="AE2526" i="2"/>
  <c r="AF2526" i="2"/>
  <c r="AG2526" i="2"/>
  <c r="AH2526" i="2"/>
  <c r="AI2526" i="2"/>
  <c r="AJ2526" i="2"/>
  <c r="AK2526" i="2"/>
  <c r="A2527" i="2"/>
  <c r="B2527" i="2"/>
  <c r="C2527" i="2"/>
  <c r="D2527" i="2"/>
  <c r="E2527" i="2"/>
  <c r="F2527" i="2"/>
  <c r="G2527" i="2"/>
  <c r="H2527" i="2"/>
  <c r="I2527" i="2"/>
  <c r="J2527" i="2"/>
  <c r="K2527" i="2"/>
  <c r="L2527" i="2"/>
  <c r="M2527" i="2"/>
  <c r="N2527" i="2"/>
  <c r="O2527" i="2"/>
  <c r="P2527" i="2"/>
  <c r="Q2527" i="2"/>
  <c r="R2527" i="2"/>
  <c r="S2527" i="2"/>
  <c r="T2527" i="2"/>
  <c r="U2527" i="2"/>
  <c r="V2527" i="2"/>
  <c r="W2527" i="2"/>
  <c r="X2527" i="2"/>
  <c r="Y2527" i="2"/>
  <c r="Z2527" i="2"/>
  <c r="AA2527" i="2"/>
  <c r="AB2527" i="2"/>
  <c r="AC2527" i="2"/>
  <c r="AD2527" i="2"/>
  <c r="AE2527" i="2"/>
  <c r="AF2527" i="2"/>
  <c r="AG2527" i="2"/>
  <c r="AH2527" i="2"/>
  <c r="AI2527" i="2"/>
  <c r="AJ2527" i="2"/>
  <c r="AK2527" i="2"/>
  <c r="A2528" i="2"/>
  <c r="B2528" i="2"/>
  <c r="C2528" i="2"/>
  <c r="D2528" i="2"/>
  <c r="E2528" i="2"/>
  <c r="F2528" i="2"/>
  <c r="G2528" i="2"/>
  <c r="H2528" i="2"/>
  <c r="I2528" i="2"/>
  <c r="J2528" i="2"/>
  <c r="K2528" i="2"/>
  <c r="L2528" i="2"/>
  <c r="M2528" i="2"/>
  <c r="N2528" i="2"/>
  <c r="O2528" i="2"/>
  <c r="P2528" i="2"/>
  <c r="Q2528" i="2"/>
  <c r="R2528" i="2"/>
  <c r="S2528" i="2"/>
  <c r="T2528" i="2"/>
  <c r="U2528" i="2"/>
  <c r="V2528" i="2"/>
  <c r="W2528" i="2"/>
  <c r="X2528" i="2"/>
  <c r="Y2528" i="2"/>
  <c r="Z2528" i="2"/>
  <c r="AA2528" i="2"/>
  <c r="AB2528" i="2"/>
  <c r="AC2528" i="2"/>
  <c r="AD2528" i="2"/>
  <c r="AE2528" i="2"/>
  <c r="AF2528" i="2"/>
  <c r="AG2528" i="2"/>
  <c r="AH2528" i="2"/>
  <c r="AI2528" i="2"/>
  <c r="AJ2528" i="2"/>
  <c r="AK2528" i="2"/>
  <c r="A2529" i="2"/>
  <c r="B2529" i="2"/>
  <c r="C2529" i="2"/>
  <c r="D2529" i="2"/>
  <c r="E2529" i="2"/>
  <c r="F2529" i="2"/>
  <c r="G2529" i="2"/>
  <c r="H2529" i="2"/>
  <c r="I2529" i="2"/>
  <c r="J2529" i="2"/>
  <c r="K2529" i="2"/>
  <c r="L2529" i="2"/>
  <c r="M2529" i="2"/>
  <c r="N2529" i="2"/>
  <c r="O2529" i="2"/>
  <c r="P2529" i="2"/>
  <c r="Q2529" i="2"/>
  <c r="R2529" i="2"/>
  <c r="S2529" i="2"/>
  <c r="T2529" i="2"/>
  <c r="U2529" i="2"/>
  <c r="V2529" i="2"/>
  <c r="W2529" i="2"/>
  <c r="X2529" i="2"/>
  <c r="Y2529" i="2"/>
  <c r="Z2529" i="2"/>
  <c r="AA2529" i="2"/>
  <c r="AB2529" i="2"/>
  <c r="AC2529" i="2"/>
  <c r="AD2529" i="2"/>
  <c r="AE2529" i="2"/>
  <c r="AF2529" i="2"/>
  <c r="AG2529" i="2"/>
  <c r="AH2529" i="2"/>
  <c r="AI2529" i="2"/>
  <c r="AJ2529" i="2"/>
  <c r="AK2529" i="2"/>
  <c r="A2530" i="2"/>
  <c r="B2530" i="2"/>
  <c r="C2530" i="2"/>
  <c r="D2530" i="2"/>
  <c r="E2530" i="2"/>
  <c r="F2530" i="2"/>
  <c r="G2530" i="2"/>
  <c r="H2530" i="2"/>
  <c r="I2530" i="2"/>
  <c r="J2530" i="2"/>
  <c r="K2530" i="2"/>
  <c r="L2530" i="2"/>
  <c r="M2530" i="2"/>
  <c r="N2530" i="2"/>
  <c r="O2530" i="2"/>
  <c r="P2530" i="2"/>
  <c r="Q2530" i="2"/>
  <c r="R2530" i="2"/>
  <c r="S2530" i="2"/>
  <c r="T2530" i="2"/>
  <c r="U2530" i="2"/>
  <c r="V2530" i="2"/>
  <c r="W2530" i="2"/>
  <c r="X2530" i="2"/>
  <c r="Y2530" i="2"/>
  <c r="Z2530" i="2"/>
  <c r="AA2530" i="2"/>
  <c r="AB2530" i="2"/>
  <c r="AC2530" i="2"/>
  <c r="AD2530" i="2"/>
  <c r="AE2530" i="2"/>
  <c r="AF2530" i="2"/>
  <c r="AG2530" i="2"/>
  <c r="AH2530" i="2"/>
  <c r="AI2530" i="2"/>
  <c r="AJ2530" i="2"/>
  <c r="AK2530" i="2"/>
  <c r="A2531" i="2"/>
  <c r="B2531" i="2"/>
  <c r="C2531" i="2"/>
  <c r="D2531" i="2"/>
  <c r="E2531" i="2"/>
  <c r="F2531" i="2"/>
  <c r="G2531" i="2"/>
  <c r="H2531" i="2"/>
  <c r="I2531" i="2"/>
  <c r="J2531" i="2"/>
  <c r="K2531" i="2"/>
  <c r="L2531" i="2"/>
  <c r="M2531" i="2"/>
  <c r="N2531" i="2"/>
  <c r="O2531" i="2"/>
  <c r="P2531" i="2"/>
  <c r="Q2531" i="2"/>
  <c r="R2531" i="2"/>
  <c r="S2531" i="2"/>
  <c r="T2531" i="2"/>
  <c r="U2531" i="2"/>
  <c r="V2531" i="2"/>
  <c r="W2531" i="2"/>
  <c r="X2531" i="2"/>
  <c r="Y2531" i="2"/>
  <c r="Z2531" i="2"/>
  <c r="AA2531" i="2"/>
  <c r="AB2531" i="2"/>
  <c r="AC2531" i="2"/>
  <c r="AD2531" i="2"/>
  <c r="AE2531" i="2"/>
  <c r="AF2531" i="2"/>
  <c r="AG2531" i="2"/>
  <c r="AH2531" i="2"/>
  <c r="AI2531" i="2"/>
  <c r="AJ2531" i="2"/>
  <c r="AK2531" i="2"/>
  <c r="A2532" i="2"/>
  <c r="B2532" i="2"/>
  <c r="C2532" i="2"/>
  <c r="D2532" i="2"/>
  <c r="E2532" i="2"/>
  <c r="F2532" i="2"/>
  <c r="G2532" i="2"/>
  <c r="H2532" i="2"/>
  <c r="I2532" i="2"/>
  <c r="J2532" i="2"/>
  <c r="K2532" i="2"/>
  <c r="L2532" i="2"/>
  <c r="M2532" i="2"/>
  <c r="N2532" i="2"/>
  <c r="O2532" i="2"/>
  <c r="P2532" i="2"/>
  <c r="Q2532" i="2"/>
  <c r="R2532" i="2"/>
  <c r="S2532" i="2"/>
  <c r="T2532" i="2"/>
  <c r="U2532" i="2"/>
  <c r="V2532" i="2"/>
  <c r="W2532" i="2"/>
  <c r="X2532" i="2"/>
  <c r="Y2532" i="2"/>
  <c r="Z2532" i="2"/>
  <c r="AA2532" i="2"/>
  <c r="AB2532" i="2"/>
  <c r="AC2532" i="2"/>
  <c r="AD2532" i="2"/>
  <c r="AE2532" i="2"/>
  <c r="AF2532" i="2"/>
  <c r="AG2532" i="2"/>
  <c r="AH2532" i="2"/>
  <c r="AI2532" i="2"/>
  <c r="AJ2532" i="2"/>
  <c r="AK2532" i="2"/>
  <c r="A2533" i="2"/>
  <c r="B2533" i="2"/>
  <c r="C2533" i="2"/>
  <c r="D2533" i="2"/>
  <c r="E2533" i="2"/>
  <c r="F2533" i="2"/>
  <c r="G2533" i="2"/>
  <c r="H2533" i="2"/>
  <c r="I2533" i="2"/>
  <c r="J2533" i="2"/>
  <c r="K2533" i="2"/>
  <c r="L2533" i="2"/>
  <c r="M2533" i="2"/>
  <c r="N2533" i="2"/>
  <c r="O2533" i="2"/>
  <c r="P2533" i="2"/>
  <c r="Q2533" i="2"/>
  <c r="R2533" i="2"/>
  <c r="S2533" i="2"/>
  <c r="T2533" i="2"/>
  <c r="U2533" i="2"/>
  <c r="V2533" i="2"/>
  <c r="W2533" i="2"/>
  <c r="X2533" i="2"/>
  <c r="Y2533" i="2"/>
  <c r="Z2533" i="2"/>
  <c r="AA2533" i="2"/>
  <c r="AB2533" i="2"/>
  <c r="AC2533" i="2"/>
  <c r="AD2533" i="2"/>
  <c r="AE2533" i="2"/>
  <c r="AF2533" i="2"/>
  <c r="AG2533" i="2"/>
  <c r="AH2533" i="2"/>
  <c r="AI2533" i="2"/>
  <c r="AJ2533" i="2"/>
  <c r="AK2533" i="2"/>
  <c r="A2534" i="2"/>
  <c r="B2534" i="2"/>
  <c r="C2534" i="2"/>
  <c r="D2534" i="2"/>
  <c r="E2534" i="2"/>
  <c r="F2534" i="2"/>
  <c r="G2534" i="2"/>
  <c r="H2534" i="2"/>
  <c r="I2534" i="2"/>
  <c r="J2534" i="2"/>
  <c r="K2534" i="2"/>
  <c r="L2534" i="2"/>
  <c r="M2534" i="2"/>
  <c r="N2534" i="2"/>
  <c r="O2534" i="2"/>
  <c r="P2534" i="2"/>
  <c r="Q2534" i="2"/>
  <c r="R2534" i="2"/>
  <c r="S2534" i="2"/>
  <c r="T2534" i="2"/>
  <c r="U2534" i="2"/>
  <c r="V2534" i="2"/>
  <c r="W2534" i="2"/>
  <c r="X2534" i="2"/>
  <c r="Y2534" i="2"/>
  <c r="Z2534" i="2"/>
  <c r="AA2534" i="2"/>
  <c r="AB2534" i="2"/>
  <c r="AC2534" i="2"/>
  <c r="AD2534" i="2"/>
  <c r="AE2534" i="2"/>
  <c r="AF2534" i="2"/>
  <c r="AG2534" i="2"/>
  <c r="AH2534" i="2"/>
  <c r="AI2534" i="2"/>
  <c r="AJ2534" i="2"/>
  <c r="AK2534" i="2"/>
  <c r="A2535" i="2"/>
  <c r="B2535" i="2"/>
  <c r="C2535" i="2"/>
  <c r="D2535" i="2"/>
  <c r="E2535" i="2"/>
  <c r="F2535" i="2"/>
  <c r="G2535" i="2"/>
  <c r="H2535" i="2"/>
  <c r="I2535" i="2"/>
  <c r="J2535" i="2"/>
  <c r="K2535" i="2"/>
  <c r="L2535" i="2"/>
  <c r="M2535" i="2"/>
  <c r="N2535" i="2"/>
  <c r="O2535" i="2"/>
  <c r="P2535" i="2"/>
  <c r="Q2535" i="2"/>
  <c r="R2535" i="2"/>
  <c r="S2535" i="2"/>
  <c r="T2535" i="2"/>
  <c r="U2535" i="2"/>
  <c r="V2535" i="2"/>
  <c r="W2535" i="2"/>
  <c r="X2535" i="2"/>
  <c r="Y2535" i="2"/>
  <c r="Z2535" i="2"/>
  <c r="AA2535" i="2"/>
  <c r="AB2535" i="2"/>
  <c r="AC2535" i="2"/>
  <c r="AD2535" i="2"/>
  <c r="AE2535" i="2"/>
  <c r="AF2535" i="2"/>
  <c r="AG2535" i="2"/>
  <c r="AH2535" i="2"/>
  <c r="AI2535" i="2"/>
  <c r="AJ2535" i="2"/>
  <c r="AK2535" i="2"/>
  <c r="A2536" i="2"/>
  <c r="B2536" i="2"/>
  <c r="C2536" i="2"/>
  <c r="D2536" i="2"/>
  <c r="E2536" i="2"/>
  <c r="F2536" i="2"/>
  <c r="G2536" i="2"/>
  <c r="H2536" i="2"/>
  <c r="I2536" i="2"/>
  <c r="J2536" i="2"/>
  <c r="K2536" i="2"/>
  <c r="L2536" i="2"/>
  <c r="M2536" i="2"/>
  <c r="N2536" i="2"/>
  <c r="O2536" i="2"/>
  <c r="P2536" i="2"/>
  <c r="Q2536" i="2"/>
  <c r="R2536" i="2"/>
  <c r="S2536" i="2"/>
  <c r="T2536" i="2"/>
  <c r="U2536" i="2"/>
  <c r="V2536" i="2"/>
  <c r="W2536" i="2"/>
  <c r="X2536" i="2"/>
  <c r="Y2536" i="2"/>
  <c r="Z2536" i="2"/>
  <c r="AA2536" i="2"/>
  <c r="AB2536" i="2"/>
  <c r="AC2536" i="2"/>
  <c r="AD2536" i="2"/>
  <c r="AE2536" i="2"/>
  <c r="AF2536" i="2"/>
  <c r="AG2536" i="2"/>
  <c r="AH2536" i="2"/>
  <c r="AI2536" i="2"/>
  <c r="AJ2536" i="2"/>
  <c r="AK2536" i="2"/>
  <c r="A2537" i="2"/>
  <c r="B2537" i="2"/>
  <c r="C2537" i="2"/>
  <c r="D2537" i="2"/>
  <c r="E2537" i="2"/>
  <c r="F2537" i="2"/>
  <c r="G2537" i="2"/>
  <c r="H2537" i="2"/>
  <c r="I2537" i="2"/>
  <c r="J2537" i="2"/>
  <c r="K2537" i="2"/>
  <c r="L2537" i="2"/>
  <c r="M2537" i="2"/>
  <c r="N2537" i="2"/>
  <c r="O2537" i="2"/>
  <c r="P2537" i="2"/>
  <c r="Q2537" i="2"/>
  <c r="R2537" i="2"/>
  <c r="S2537" i="2"/>
  <c r="T2537" i="2"/>
  <c r="U2537" i="2"/>
  <c r="V2537" i="2"/>
  <c r="W2537" i="2"/>
  <c r="X2537" i="2"/>
  <c r="Y2537" i="2"/>
  <c r="Z2537" i="2"/>
  <c r="AA2537" i="2"/>
  <c r="AB2537" i="2"/>
  <c r="AC2537" i="2"/>
  <c r="AD2537" i="2"/>
  <c r="AE2537" i="2"/>
  <c r="AF2537" i="2"/>
  <c r="AG2537" i="2"/>
  <c r="AH2537" i="2"/>
  <c r="AI2537" i="2"/>
  <c r="AJ2537" i="2"/>
  <c r="AK2537" i="2"/>
  <c r="A2538" i="2"/>
  <c r="B2538" i="2"/>
  <c r="C2538" i="2"/>
  <c r="D2538" i="2"/>
  <c r="E2538" i="2"/>
  <c r="F2538" i="2"/>
  <c r="G2538" i="2"/>
  <c r="H2538" i="2"/>
  <c r="I2538" i="2"/>
  <c r="J2538" i="2"/>
  <c r="K2538" i="2"/>
  <c r="L2538" i="2"/>
  <c r="M2538" i="2"/>
  <c r="N2538" i="2"/>
  <c r="O2538" i="2"/>
  <c r="P2538" i="2"/>
  <c r="Q2538" i="2"/>
  <c r="R2538" i="2"/>
  <c r="S2538" i="2"/>
  <c r="T2538" i="2"/>
  <c r="U2538" i="2"/>
  <c r="V2538" i="2"/>
  <c r="W2538" i="2"/>
  <c r="X2538" i="2"/>
  <c r="Y2538" i="2"/>
  <c r="Z2538" i="2"/>
  <c r="AA2538" i="2"/>
  <c r="AB2538" i="2"/>
  <c r="AC2538" i="2"/>
  <c r="AD2538" i="2"/>
  <c r="AE2538" i="2"/>
  <c r="AF2538" i="2"/>
  <c r="AG2538" i="2"/>
  <c r="AH2538" i="2"/>
  <c r="AI2538" i="2"/>
  <c r="AJ2538" i="2"/>
  <c r="AK2538" i="2"/>
  <c r="A2539" i="2"/>
  <c r="B2539" i="2"/>
  <c r="C2539" i="2"/>
  <c r="D2539" i="2"/>
  <c r="E2539" i="2"/>
  <c r="F2539" i="2"/>
  <c r="G2539" i="2"/>
  <c r="H2539" i="2"/>
  <c r="I2539" i="2"/>
  <c r="J2539" i="2"/>
  <c r="K2539" i="2"/>
  <c r="L2539" i="2"/>
  <c r="M2539" i="2"/>
  <c r="N2539" i="2"/>
  <c r="O2539" i="2"/>
  <c r="P2539" i="2"/>
  <c r="Q2539" i="2"/>
  <c r="R2539" i="2"/>
  <c r="S2539" i="2"/>
  <c r="T2539" i="2"/>
  <c r="U2539" i="2"/>
  <c r="V2539" i="2"/>
  <c r="W2539" i="2"/>
  <c r="X2539" i="2"/>
  <c r="Y2539" i="2"/>
  <c r="Z2539" i="2"/>
  <c r="AA2539" i="2"/>
  <c r="AB2539" i="2"/>
  <c r="AC2539" i="2"/>
  <c r="AD2539" i="2"/>
  <c r="AE2539" i="2"/>
  <c r="AF2539" i="2"/>
  <c r="AG2539" i="2"/>
  <c r="AH2539" i="2"/>
  <c r="AI2539" i="2"/>
  <c r="AJ2539" i="2"/>
  <c r="AK2539" i="2"/>
  <c r="A2540" i="2"/>
  <c r="B2540" i="2"/>
  <c r="C2540" i="2"/>
  <c r="D2540" i="2"/>
  <c r="E2540" i="2"/>
  <c r="F2540" i="2"/>
  <c r="G2540" i="2"/>
  <c r="H2540" i="2"/>
  <c r="I2540" i="2"/>
  <c r="J2540" i="2"/>
  <c r="K2540" i="2"/>
  <c r="L2540" i="2"/>
  <c r="M2540" i="2"/>
  <c r="N2540" i="2"/>
  <c r="O2540" i="2"/>
  <c r="P2540" i="2"/>
  <c r="Q2540" i="2"/>
  <c r="R2540" i="2"/>
  <c r="S2540" i="2"/>
  <c r="T2540" i="2"/>
  <c r="U2540" i="2"/>
  <c r="V2540" i="2"/>
  <c r="W2540" i="2"/>
  <c r="X2540" i="2"/>
  <c r="Y2540" i="2"/>
  <c r="Z2540" i="2"/>
  <c r="AA2540" i="2"/>
  <c r="AB2540" i="2"/>
  <c r="AC2540" i="2"/>
  <c r="AD2540" i="2"/>
  <c r="AE2540" i="2"/>
  <c r="AF2540" i="2"/>
  <c r="AG2540" i="2"/>
  <c r="AH2540" i="2"/>
  <c r="AI2540" i="2"/>
  <c r="AJ2540" i="2"/>
  <c r="AK2540" i="2"/>
  <c r="A2541" i="2"/>
  <c r="B2541" i="2"/>
  <c r="C2541" i="2"/>
  <c r="D2541" i="2"/>
  <c r="E2541" i="2"/>
  <c r="F2541" i="2"/>
  <c r="G2541" i="2"/>
  <c r="H2541" i="2"/>
  <c r="I2541" i="2"/>
  <c r="J2541" i="2"/>
  <c r="K2541" i="2"/>
  <c r="L2541" i="2"/>
  <c r="M2541" i="2"/>
  <c r="N2541" i="2"/>
  <c r="O2541" i="2"/>
  <c r="P2541" i="2"/>
  <c r="Q2541" i="2"/>
  <c r="R2541" i="2"/>
  <c r="S2541" i="2"/>
  <c r="T2541" i="2"/>
  <c r="U2541" i="2"/>
  <c r="V2541" i="2"/>
  <c r="W2541" i="2"/>
  <c r="X2541" i="2"/>
  <c r="Y2541" i="2"/>
  <c r="Z2541" i="2"/>
  <c r="AA2541" i="2"/>
  <c r="AB2541" i="2"/>
  <c r="AC2541" i="2"/>
  <c r="AD2541" i="2"/>
  <c r="AE2541" i="2"/>
  <c r="AF2541" i="2"/>
  <c r="AG2541" i="2"/>
  <c r="AH2541" i="2"/>
  <c r="AI2541" i="2"/>
  <c r="AJ2541" i="2"/>
  <c r="AK2541" i="2"/>
  <c r="A2542" i="2"/>
  <c r="B2542" i="2"/>
  <c r="C2542" i="2"/>
  <c r="D2542" i="2"/>
  <c r="E2542" i="2"/>
  <c r="F2542" i="2"/>
  <c r="G2542" i="2"/>
  <c r="H2542" i="2"/>
  <c r="I2542" i="2"/>
  <c r="J2542" i="2"/>
  <c r="K2542" i="2"/>
  <c r="L2542" i="2"/>
  <c r="M2542" i="2"/>
  <c r="N2542" i="2"/>
  <c r="O2542" i="2"/>
  <c r="P2542" i="2"/>
  <c r="Q2542" i="2"/>
  <c r="R2542" i="2"/>
  <c r="S2542" i="2"/>
  <c r="T2542" i="2"/>
  <c r="U2542" i="2"/>
  <c r="V2542" i="2"/>
  <c r="W2542" i="2"/>
  <c r="X2542" i="2"/>
  <c r="Y2542" i="2"/>
  <c r="Z2542" i="2"/>
  <c r="AA2542" i="2"/>
  <c r="AB2542" i="2"/>
  <c r="AC2542" i="2"/>
  <c r="AD2542" i="2"/>
  <c r="AE2542" i="2"/>
  <c r="AF2542" i="2"/>
  <c r="AG2542" i="2"/>
  <c r="AH2542" i="2"/>
  <c r="AI2542" i="2"/>
  <c r="AJ2542" i="2"/>
  <c r="AK2542" i="2"/>
  <c r="A2543" i="2"/>
  <c r="B2543" i="2"/>
  <c r="C2543" i="2"/>
  <c r="D2543" i="2"/>
  <c r="E2543" i="2"/>
  <c r="F2543" i="2"/>
  <c r="G2543" i="2"/>
  <c r="H2543" i="2"/>
  <c r="I2543" i="2"/>
  <c r="J2543" i="2"/>
  <c r="K2543" i="2"/>
  <c r="L2543" i="2"/>
  <c r="M2543" i="2"/>
  <c r="N2543" i="2"/>
  <c r="O2543" i="2"/>
  <c r="P2543" i="2"/>
  <c r="Q2543" i="2"/>
  <c r="R2543" i="2"/>
  <c r="S2543" i="2"/>
  <c r="T2543" i="2"/>
  <c r="U2543" i="2"/>
  <c r="V2543" i="2"/>
  <c r="W2543" i="2"/>
  <c r="X2543" i="2"/>
  <c r="Y2543" i="2"/>
  <c r="Z2543" i="2"/>
  <c r="AA2543" i="2"/>
  <c r="AB2543" i="2"/>
  <c r="AC2543" i="2"/>
  <c r="AD2543" i="2"/>
  <c r="AE2543" i="2"/>
  <c r="AF2543" i="2"/>
  <c r="AG2543" i="2"/>
  <c r="AH2543" i="2"/>
  <c r="AI2543" i="2"/>
  <c r="AJ2543" i="2"/>
  <c r="AK2543" i="2"/>
  <c r="A2544" i="2"/>
  <c r="B2544" i="2"/>
  <c r="C2544" i="2"/>
  <c r="D2544" i="2"/>
  <c r="E2544" i="2"/>
  <c r="F2544" i="2"/>
  <c r="G2544" i="2"/>
  <c r="H2544" i="2"/>
  <c r="I2544" i="2"/>
  <c r="J2544" i="2"/>
  <c r="K2544" i="2"/>
  <c r="L2544" i="2"/>
  <c r="M2544" i="2"/>
  <c r="N2544" i="2"/>
  <c r="O2544" i="2"/>
  <c r="P2544" i="2"/>
  <c r="Q2544" i="2"/>
  <c r="R2544" i="2"/>
  <c r="S2544" i="2"/>
  <c r="T2544" i="2"/>
  <c r="U2544" i="2"/>
  <c r="V2544" i="2"/>
  <c r="W2544" i="2"/>
  <c r="X2544" i="2"/>
  <c r="Y2544" i="2"/>
  <c r="Z2544" i="2"/>
  <c r="AA2544" i="2"/>
  <c r="AB2544" i="2"/>
  <c r="AC2544" i="2"/>
  <c r="AD2544" i="2"/>
  <c r="AE2544" i="2"/>
  <c r="AF2544" i="2"/>
  <c r="AG2544" i="2"/>
  <c r="AH2544" i="2"/>
  <c r="AI2544" i="2"/>
  <c r="AJ2544" i="2"/>
  <c r="AK2544" i="2"/>
  <c r="A2545" i="2"/>
  <c r="B2545" i="2"/>
  <c r="C2545" i="2"/>
  <c r="D2545" i="2"/>
  <c r="E2545" i="2"/>
  <c r="F2545" i="2"/>
  <c r="G2545" i="2"/>
  <c r="H2545" i="2"/>
  <c r="I2545" i="2"/>
  <c r="J2545" i="2"/>
  <c r="K2545" i="2"/>
  <c r="L2545" i="2"/>
  <c r="M2545" i="2"/>
  <c r="N2545" i="2"/>
  <c r="O2545" i="2"/>
  <c r="P2545" i="2"/>
  <c r="Q2545" i="2"/>
  <c r="R2545" i="2"/>
  <c r="S2545" i="2"/>
  <c r="T2545" i="2"/>
  <c r="U2545" i="2"/>
  <c r="V2545" i="2"/>
  <c r="W2545" i="2"/>
  <c r="X2545" i="2"/>
  <c r="Y2545" i="2"/>
  <c r="Z2545" i="2"/>
  <c r="AA2545" i="2"/>
  <c r="AB2545" i="2"/>
  <c r="AC2545" i="2"/>
  <c r="AD2545" i="2"/>
  <c r="AE2545" i="2"/>
  <c r="AF2545" i="2"/>
  <c r="AG2545" i="2"/>
  <c r="AH2545" i="2"/>
  <c r="AI2545" i="2"/>
  <c r="AJ2545" i="2"/>
  <c r="AK2545" i="2"/>
  <c r="A2546" i="2"/>
  <c r="B2546" i="2"/>
  <c r="C2546" i="2"/>
  <c r="D2546" i="2"/>
  <c r="E2546" i="2"/>
  <c r="F2546" i="2"/>
  <c r="G2546" i="2"/>
  <c r="H2546" i="2"/>
  <c r="I2546" i="2"/>
  <c r="J2546" i="2"/>
  <c r="K2546" i="2"/>
  <c r="L2546" i="2"/>
  <c r="M2546" i="2"/>
  <c r="N2546" i="2"/>
  <c r="O2546" i="2"/>
  <c r="P2546" i="2"/>
  <c r="Q2546" i="2"/>
  <c r="R2546" i="2"/>
  <c r="S2546" i="2"/>
  <c r="T2546" i="2"/>
  <c r="U2546" i="2"/>
  <c r="V2546" i="2"/>
  <c r="W2546" i="2"/>
  <c r="X2546" i="2"/>
  <c r="Y2546" i="2"/>
  <c r="Z2546" i="2"/>
  <c r="AA2546" i="2"/>
  <c r="AB2546" i="2"/>
  <c r="AC2546" i="2"/>
  <c r="AD2546" i="2"/>
  <c r="AE2546" i="2"/>
  <c r="AF2546" i="2"/>
  <c r="AG2546" i="2"/>
  <c r="AH2546" i="2"/>
  <c r="AI2546" i="2"/>
  <c r="AJ2546" i="2"/>
  <c r="AK2546" i="2"/>
  <c r="A2547" i="2"/>
  <c r="B2547" i="2"/>
  <c r="C2547" i="2"/>
  <c r="D2547" i="2"/>
  <c r="E2547" i="2"/>
  <c r="F2547" i="2"/>
  <c r="G2547" i="2"/>
  <c r="H2547" i="2"/>
  <c r="I2547" i="2"/>
  <c r="J2547" i="2"/>
  <c r="K2547" i="2"/>
  <c r="L2547" i="2"/>
  <c r="M2547" i="2"/>
  <c r="N2547" i="2"/>
  <c r="O2547" i="2"/>
  <c r="P2547" i="2"/>
  <c r="Q2547" i="2"/>
  <c r="R2547" i="2"/>
  <c r="S2547" i="2"/>
  <c r="T2547" i="2"/>
  <c r="U2547" i="2"/>
  <c r="V2547" i="2"/>
  <c r="W2547" i="2"/>
  <c r="X2547" i="2"/>
  <c r="Y2547" i="2"/>
  <c r="Z2547" i="2"/>
  <c r="AA2547" i="2"/>
  <c r="AB2547" i="2"/>
  <c r="AC2547" i="2"/>
  <c r="AD2547" i="2"/>
  <c r="AE2547" i="2"/>
  <c r="AF2547" i="2"/>
  <c r="AG2547" i="2"/>
  <c r="AH2547" i="2"/>
  <c r="AI2547" i="2"/>
  <c r="AJ2547" i="2"/>
  <c r="AK2547" i="2"/>
  <c r="A2548" i="2"/>
  <c r="B2548" i="2"/>
  <c r="C2548" i="2"/>
  <c r="D2548" i="2"/>
  <c r="E2548" i="2"/>
  <c r="F2548" i="2"/>
  <c r="G2548" i="2"/>
  <c r="H2548" i="2"/>
  <c r="I2548" i="2"/>
  <c r="J2548" i="2"/>
  <c r="K2548" i="2"/>
  <c r="L2548" i="2"/>
  <c r="M2548" i="2"/>
  <c r="N2548" i="2"/>
  <c r="O2548" i="2"/>
  <c r="P2548" i="2"/>
  <c r="Q2548" i="2"/>
  <c r="R2548" i="2"/>
  <c r="S2548" i="2"/>
  <c r="T2548" i="2"/>
  <c r="U2548" i="2"/>
  <c r="V2548" i="2"/>
  <c r="W2548" i="2"/>
  <c r="X2548" i="2"/>
  <c r="Y2548" i="2"/>
  <c r="Z2548" i="2"/>
  <c r="AA2548" i="2"/>
  <c r="AB2548" i="2"/>
  <c r="AC2548" i="2"/>
  <c r="AD2548" i="2"/>
  <c r="AE2548" i="2"/>
  <c r="AF2548" i="2"/>
  <c r="AG2548" i="2"/>
  <c r="AH2548" i="2"/>
  <c r="AI2548" i="2"/>
  <c r="AJ2548" i="2"/>
  <c r="AK2548" i="2"/>
  <c r="A2549" i="2"/>
  <c r="B2549" i="2"/>
  <c r="C2549" i="2"/>
  <c r="D2549" i="2"/>
  <c r="E2549" i="2"/>
  <c r="F2549" i="2"/>
  <c r="G2549" i="2"/>
  <c r="H2549" i="2"/>
  <c r="I2549" i="2"/>
  <c r="J2549" i="2"/>
  <c r="K2549" i="2"/>
  <c r="L2549" i="2"/>
  <c r="M2549" i="2"/>
  <c r="N2549" i="2"/>
  <c r="O2549" i="2"/>
  <c r="P2549" i="2"/>
  <c r="Q2549" i="2"/>
  <c r="R2549" i="2"/>
  <c r="S2549" i="2"/>
  <c r="T2549" i="2"/>
  <c r="U2549" i="2"/>
  <c r="V2549" i="2"/>
  <c r="W2549" i="2"/>
  <c r="X2549" i="2"/>
  <c r="Y2549" i="2"/>
  <c r="Z2549" i="2"/>
  <c r="AA2549" i="2"/>
  <c r="AB2549" i="2"/>
  <c r="AC2549" i="2"/>
  <c r="AD2549" i="2"/>
  <c r="AE2549" i="2"/>
  <c r="AF2549" i="2"/>
  <c r="AG2549" i="2"/>
  <c r="AH2549" i="2"/>
  <c r="AI2549" i="2"/>
  <c r="AJ2549" i="2"/>
  <c r="AK2549" i="2"/>
  <c r="A2550" i="2"/>
  <c r="B2550" i="2"/>
  <c r="C2550" i="2"/>
  <c r="D2550" i="2"/>
  <c r="E2550" i="2"/>
  <c r="F2550" i="2"/>
  <c r="G2550" i="2"/>
  <c r="H2550" i="2"/>
  <c r="I2550" i="2"/>
  <c r="J2550" i="2"/>
  <c r="K2550" i="2"/>
  <c r="L2550" i="2"/>
  <c r="M2550" i="2"/>
  <c r="N2550" i="2"/>
  <c r="O2550" i="2"/>
  <c r="P2550" i="2"/>
  <c r="Q2550" i="2"/>
  <c r="R2550" i="2"/>
  <c r="S2550" i="2"/>
  <c r="T2550" i="2"/>
  <c r="U2550" i="2"/>
  <c r="V2550" i="2"/>
  <c r="W2550" i="2"/>
  <c r="X2550" i="2"/>
  <c r="Y2550" i="2"/>
  <c r="Z2550" i="2"/>
  <c r="AA2550" i="2"/>
  <c r="AB2550" i="2"/>
  <c r="AC2550" i="2"/>
  <c r="AD2550" i="2"/>
  <c r="AE2550" i="2"/>
  <c r="AF2550" i="2"/>
  <c r="AG2550" i="2"/>
  <c r="AH2550" i="2"/>
  <c r="AI2550" i="2"/>
  <c r="AJ2550" i="2"/>
  <c r="AK2550" i="2"/>
  <c r="A2551" i="2"/>
  <c r="B2551" i="2"/>
  <c r="C2551" i="2"/>
  <c r="D2551" i="2"/>
  <c r="E2551" i="2"/>
  <c r="F2551" i="2"/>
  <c r="G2551" i="2"/>
  <c r="H2551" i="2"/>
  <c r="I2551" i="2"/>
  <c r="J2551" i="2"/>
  <c r="K2551" i="2"/>
  <c r="L2551" i="2"/>
  <c r="M2551" i="2"/>
  <c r="N2551" i="2"/>
  <c r="O2551" i="2"/>
  <c r="P2551" i="2"/>
  <c r="Q2551" i="2"/>
  <c r="R2551" i="2"/>
  <c r="S2551" i="2"/>
  <c r="T2551" i="2"/>
  <c r="U2551" i="2"/>
  <c r="V2551" i="2"/>
  <c r="W2551" i="2"/>
  <c r="X2551" i="2"/>
  <c r="Y2551" i="2"/>
  <c r="Z2551" i="2"/>
  <c r="AA2551" i="2"/>
  <c r="AB2551" i="2"/>
  <c r="AC2551" i="2"/>
  <c r="AD2551" i="2"/>
  <c r="AE2551" i="2"/>
  <c r="AF2551" i="2"/>
  <c r="AG2551" i="2"/>
  <c r="AH2551" i="2"/>
  <c r="AI2551" i="2"/>
  <c r="AJ2551" i="2"/>
  <c r="AK2551" i="2"/>
  <c r="A2552" i="2"/>
  <c r="B2552" i="2"/>
  <c r="C2552" i="2"/>
  <c r="D2552" i="2"/>
  <c r="E2552" i="2"/>
  <c r="F2552" i="2"/>
  <c r="G2552" i="2"/>
  <c r="H2552" i="2"/>
  <c r="I2552" i="2"/>
  <c r="J2552" i="2"/>
  <c r="K2552" i="2"/>
  <c r="L2552" i="2"/>
  <c r="M2552" i="2"/>
  <c r="N2552" i="2"/>
  <c r="O2552" i="2"/>
  <c r="P2552" i="2"/>
  <c r="Q2552" i="2"/>
  <c r="R2552" i="2"/>
  <c r="S2552" i="2"/>
  <c r="T2552" i="2"/>
  <c r="U2552" i="2"/>
  <c r="V2552" i="2"/>
  <c r="W2552" i="2"/>
  <c r="X2552" i="2"/>
  <c r="Y2552" i="2"/>
  <c r="Z2552" i="2"/>
  <c r="AA2552" i="2"/>
  <c r="AB2552" i="2"/>
  <c r="AC2552" i="2"/>
  <c r="AD2552" i="2"/>
  <c r="AE2552" i="2"/>
  <c r="AF2552" i="2"/>
  <c r="AG2552" i="2"/>
  <c r="AH2552" i="2"/>
  <c r="AI2552" i="2"/>
  <c r="AJ2552" i="2"/>
  <c r="AK2552" i="2"/>
  <c r="A2553" i="2"/>
  <c r="B2553" i="2"/>
  <c r="C2553" i="2"/>
  <c r="D2553" i="2"/>
  <c r="E2553" i="2"/>
  <c r="F2553" i="2"/>
  <c r="G2553" i="2"/>
  <c r="H2553" i="2"/>
  <c r="I2553" i="2"/>
  <c r="J2553" i="2"/>
  <c r="K2553" i="2"/>
  <c r="L2553" i="2"/>
  <c r="M2553" i="2"/>
  <c r="N2553" i="2"/>
  <c r="O2553" i="2"/>
  <c r="P2553" i="2"/>
  <c r="Q2553" i="2"/>
  <c r="R2553" i="2"/>
  <c r="S2553" i="2"/>
  <c r="T2553" i="2"/>
  <c r="U2553" i="2"/>
  <c r="V2553" i="2"/>
  <c r="W2553" i="2"/>
  <c r="X2553" i="2"/>
  <c r="Y2553" i="2"/>
  <c r="Z2553" i="2"/>
  <c r="AA2553" i="2"/>
  <c r="AB2553" i="2"/>
  <c r="AC2553" i="2"/>
  <c r="AD2553" i="2"/>
  <c r="AE2553" i="2"/>
  <c r="AF2553" i="2"/>
  <c r="AG2553" i="2"/>
  <c r="AH2553" i="2"/>
  <c r="AI2553" i="2"/>
  <c r="AJ2553" i="2"/>
  <c r="AK2553" i="2"/>
  <c r="A2554" i="2"/>
  <c r="B2554" i="2"/>
  <c r="C2554" i="2"/>
  <c r="D2554" i="2"/>
  <c r="E2554" i="2"/>
  <c r="F2554" i="2"/>
  <c r="G2554" i="2"/>
  <c r="H2554" i="2"/>
  <c r="I2554" i="2"/>
  <c r="J2554" i="2"/>
  <c r="K2554" i="2"/>
  <c r="L2554" i="2"/>
  <c r="M2554" i="2"/>
  <c r="N2554" i="2"/>
  <c r="O2554" i="2"/>
  <c r="P2554" i="2"/>
  <c r="Q2554" i="2"/>
  <c r="R2554" i="2"/>
  <c r="S2554" i="2"/>
  <c r="T2554" i="2"/>
  <c r="U2554" i="2"/>
  <c r="V2554" i="2"/>
  <c r="W2554" i="2"/>
  <c r="X2554" i="2"/>
  <c r="Y2554" i="2"/>
  <c r="Z2554" i="2"/>
  <c r="AA2554" i="2"/>
  <c r="AB2554" i="2"/>
  <c r="AC2554" i="2"/>
  <c r="AD2554" i="2"/>
  <c r="AE2554" i="2"/>
  <c r="AF2554" i="2"/>
  <c r="AG2554" i="2"/>
  <c r="AH2554" i="2"/>
  <c r="AI2554" i="2"/>
  <c r="AJ2554" i="2"/>
  <c r="AK2554" i="2"/>
  <c r="A2555" i="2"/>
  <c r="B2555" i="2"/>
  <c r="C2555" i="2"/>
  <c r="D2555" i="2"/>
  <c r="E2555" i="2"/>
  <c r="F2555" i="2"/>
  <c r="G2555" i="2"/>
  <c r="H2555" i="2"/>
  <c r="I2555" i="2"/>
  <c r="J2555" i="2"/>
  <c r="K2555" i="2"/>
  <c r="L2555" i="2"/>
  <c r="M2555" i="2"/>
  <c r="N2555" i="2"/>
  <c r="O2555" i="2"/>
  <c r="P2555" i="2"/>
  <c r="Q2555" i="2"/>
  <c r="R2555" i="2"/>
  <c r="S2555" i="2"/>
  <c r="T2555" i="2"/>
  <c r="U2555" i="2"/>
  <c r="V2555" i="2"/>
  <c r="W2555" i="2"/>
  <c r="X2555" i="2"/>
  <c r="Y2555" i="2"/>
  <c r="Z2555" i="2"/>
  <c r="AA2555" i="2"/>
  <c r="AB2555" i="2"/>
  <c r="AC2555" i="2"/>
  <c r="AD2555" i="2"/>
  <c r="AE2555" i="2"/>
  <c r="AF2555" i="2"/>
  <c r="AG2555" i="2"/>
  <c r="AH2555" i="2"/>
  <c r="AI2555" i="2"/>
  <c r="AJ2555" i="2"/>
  <c r="AK2555" i="2"/>
  <c r="A2556" i="2"/>
  <c r="B2556" i="2"/>
  <c r="C2556" i="2"/>
  <c r="D2556" i="2"/>
  <c r="E2556" i="2"/>
  <c r="F2556" i="2"/>
  <c r="G2556" i="2"/>
  <c r="H2556" i="2"/>
  <c r="I2556" i="2"/>
  <c r="J2556" i="2"/>
  <c r="K2556" i="2"/>
  <c r="L2556" i="2"/>
  <c r="M2556" i="2"/>
  <c r="N2556" i="2"/>
  <c r="O2556" i="2"/>
  <c r="P2556" i="2"/>
  <c r="Q2556" i="2"/>
  <c r="R2556" i="2"/>
  <c r="S2556" i="2"/>
  <c r="T2556" i="2"/>
  <c r="U2556" i="2"/>
  <c r="V2556" i="2"/>
  <c r="W2556" i="2"/>
  <c r="X2556" i="2"/>
  <c r="Y2556" i="2"/>
  <c r="Z2556" i="2"/>
  <c r="AA2556" i="2"/>
  <c r="AB2556" i="2"/>
  <c r="AC2556" i="2"/>
  <c r="AD2556" i="2"/>
  <c r="AE2556" i="2"/>
  <c r="AF2556" i="2"/>
  <c r="AG2556" i="2"/>
  <c r="AH2556" i="2"/>
  <c r="AI2556" i="2"/>
  <c r="AJ2556" i="2"/>
  <c r="AK2556" i="2"/>
  <c r="A2557" i="2"/>
  <c r="B2557" i="2"/>
  <c r="C2557" i="2"/>
  <c r="D2557" i="2"/>
  <c r="E2557" i="2"/>
  <c r="F2557" i="2"/>
  <c r="G2557" i="2"/>
  <c r="H2557" i="2"/>
  <c r="I2557" i="2"/>
  <c r="J2557" i="2"/>
  <c r="K2557" i="2"/>
  <c r="L2557" i="2"/>
  <c r="M2557" i="2"/>
  <c r="N2557" i="2"/>
  <c r="O2557" i="2"/>
  <c r="P2557" i="2"/>
  <c r="Q2557" i="2"/>
  <c r="R2557" i="2"/>
  <c r="S2557" i="2"/>
  <c r="T2557" i="2"/>
  <c r="U2557" i="2"/>
  <c r="V2557" i="2"/>
  <c r="W2557" i="2"/>
  <c r="X2557" i="2"/>
  <c r="Y2557" i="2"/>
  <c r="Z2557" i="2"/>
  <c r="AA2557" i="2"/>
  <c r="AB2557" i="2"/>
  <c r="AC2557" i="2"/>
  <c r="AD2557" i="2"/>
  <c r="AE2557" i="2"/>
  <c r="AF2557" i="2"/>
  <c r="AG2557" i="2"/>
  <c r="AH2557" i="2"/>
  <c r="AI2557" i="2"/>
  <c r="AJ2557" i="2"/>
  <c r="AK2557" i="2"/>
  <c r="A2558" i="2"/>
  <c r="B2558" i="2"/>
  <c r="C2558" i="2"/>
  <c r="D2558" i="2"/>
  <c r="E2558" i="2"/>
  <c r="F2558" i="2"/>
  <c r="G2558" i="2"/>
  <c r="H2558" i="2"/>
  <c r="I2558" i="2"/>
  <c r="J2558" i="2"/>
  <c r="K2558" i="2"/>
  <c r="L2558" i="2"/>
  <c r="M2558" i="2"/>
  <c r="N2558" i="2"/>
  <c r="O2558" i="2"/>
  <c r="P2558" i="2"/>
  <c r="Q2558" i="2"/>
  <c r="R2558" i="2"/>
  <c r="S2558" i="2"/>
  <c r="T2558" i="2"/>
  <c r="U2558" i="2"/>
  <c r="V2558" i="2"/>
  <c r="W2558" i="2"/>
  <c r="X2558" i="2"/>
  <c r="Y2558" i="2"/>
  <c r="Z2558" i="2"/>
  <c r="AA2558" i="2"/>
  <c r="AB2558" i="2"/>
  <c r="AC2558" i="2"/>
  <c r="AD2558" i="2"/>
  <c r="AE2558" i="2"/>
  <c r="AF2558" i="2"/>
  <c r="AG2558" i="2"/>
  <c r="AH2558" i="2"/>
  <c r="AI2558" i="2"/>
  <c r="AJ2558" i="2"/>
  <c r="AK2558" i="2"/>
  <c r="A2559" i="2"/>
  <c r="B2559" i="2"/>
  <c r="C2559" i="2"/>
  <c r="D2559" i="2"/>
  <c r="E2559" i="2"/>
  <c r="F2559" i="2"/>
  <c r="G2559" i="2"/>
  <c r="H2559" i="2"/>
  <c r="I2559" i="2"/>
  <c r="J2559" i="2"/>
  <c r="K2559" i="2"/>
  <c r="L2559" i="2"/>
  <c r="M2559" i="2"/>
  <c r="N2559" i="2"/>
  <c r="O2559" i="2"/>
  <c r="P2559" i="2"/>
  <c r="Q2559" i="2"/>
  <c r="R2559" i="2"/>
  <c r="S2559" i="2"/>
  <c r="T2559" i="2"/>
  <c r="U2559" i="2"/>
  <c r="V2559" i="2"/>
  <c r="W2559" i="2"/>
  <c r="X2559" i="2"/>
  <c r="Y2559" i="2"/>
  <c r="Z2559" i="2"/>
  <c r="AA2559" i="2"/>
  <c r="AB2559" i="2"/>
  <c r="AC2559" i="2"/>
  <c r="AD2559" i="2"/>
  <c r="AE2559" i="2"/>
  <c r="AF2559" i="2"/>
  <c r="AG2559" i="2"/>
  <c r="AH2559" i="2"/>
  <c r="AI2559" i="2"/>
  <c r="AJ2559" i="2"/>
  <c r="AK2559" i="2"/>
  <c r="A2560" i="2"/>
  <c r="B2560" i="2"/>
  <c r="C2560" i="2"/>
  <c r="D2560" i="2"/>
  <c r="E2560" i="2"/>
  <c r="F2560" i="2"/>
  <c r="G2560" i="2"/>
  <c r="H2560" i="2"/>
  <c r="I2560" i="2"/>
  <c r="J2560" i="2"/>
  <c r="K2560" i="2"/>
  <c r="L2560" i="2"/>
  <c r="M2560" i="2"/>
  <c r="N2560" i="2"/>
  <c r="O2560" i="2"/>
  <c r="P2560" i="2"/>
  <c r="Q2560" i="2"/>
  <c r="R2560" i="2"/>
  <c r="S2560" i="2"/>
  <c r="T2560" i="2"/>
  <c r="U2560" i="2"/>
  <c r="V2560" i="2"/>
  <c r="W2560" i="2"/>
  <c r="X2560" i="2"/>
  <c r="Y2560" i="2"/>
  <c r="Z2560" i="2"/>
  <c r="AA2560" i="2"/>
  <c r="AB2560" i="2"/>
  <c r="AC2560" i="2"/>
  <c r="AD2560" i="2"/>
  <c r="AE2560" i="2"/>
  <c r="AF2560" i="2"/>
  <c r="AG2560" i="2"/>
  <c r="AH2560" i="2"/>
  <c r="AI2560" i="2"/>
  <c r="AJ2560" i="2"/>
  <c r="AK2560" i="2"/>
  <c r="A2561" i="2"/>
  <c r="B2561" i="2"/>
  <c r="C2561" i="2"/>
  <c r="D2561" i="2"/>
  <c r="E2561" i="2"/>
  <c r="F2561" i="2"/>
  <c r="G2561" i="2"/>
  <c r="H2561" i="2"/>
  <c r="I2561" i="2"/>
  <c r="J2561" i="2"/>
  <c r="K2561" i="2"/>
  <c r="L2561" i="2"/>
  <c r="M2561" i="2"/>
  <c r="N2561" i="2"/>
  <c r="O2561" i="2"/>
  <c r="P2561" i="2"/>
  <c r="Q2561" i="2"/>
  <c r="R2561" i="2"/>
  <c r="S2561" i="2"/>
  <c r="T2561" i="2"/>
  <c r="U2561" i="2"/>
  <c r="V2561" i="2"/>
  <c r="W2561" i="2"/>
  <c r="X2561" i="2"/>
  <c r="Y2561" i="2"/>
  <c r="Z2561" i="2"/>
  <c r="AA2561" i="2"/>
  <c r="AB2561" i="2"/>
  <c r="AC2561" i="2"/>
  <c r="AD2561" i="2"/>
  <c r="AE2561" i="2"/>
  <c r="AF2561" i="2"/>
  <c r="AG2561" i="2"/>
  <c r="AH2561" i="2"/>
  <c r="AI2561" i="2"/>
  <c r="AJ2561" i="2"/>
  <c r="AK2561" i="2"/>
  <c r="A2562" i="2"/>
  <c r="B2562" i="2"/>
  <c r="C2562" i="2"/>
  <c r="D2562" i="2"/>
  <c r="E2562" i="2"/>
  <c r="F2562" i="2"/>
  <c r="G2562" i="2"/>
  <c r="H2562" i="2"/>
  <c r="I2562" i="2"/>
  <c r="J2562" i="2"/>
  <c r="K2562" i="2"/>
  <c r="L2562" i="2"/>
  <c r="M2562" i="2"/>
  <c r="N2562" i="2"/>
  <c r="O2562" i="2"/>
  <c r="P2562" i="2"/>
  <c r="Q2562" i="2"/>
  <c r="R2562" i="2"/>
  <c r="S2562" i="2"/>
  <c r="T2562" i="2"/>
  <c r="U2562" i="2"/>
  <c r="V2562" i="2"/>
  <c r="W2562" i="2"/>
  <c r="X2562" i="2"/>
  <c r="Y2562" i="2"/>
  <c r="Z2562" i="2"/>
  <c r="AA2562" i="2"/>
  <c r="AB2562" i="2"/>
  <c r="AC2562" i="2"/>
  <c r="AD2562" i="2"/>
  <c r="AE2562" i="2"/>
  <c r="AF2562" i="2"/>
  <c r="AG2562" i="2"/>
  <c r="AH2562" i="2"/>
  <c r="AI2562" i="2"/>
  <c r="AJ2562" i="2"/>
  <c r="AK2562" i="2"/>
  <c r="A2563" i="2"/>
  <c r="B2563" i="2"/>
  <c r="C2563" i="2"/>
  <c r="D2563" i="2"/>
  <c r="E2563" i="2"/>
  <c r="F2563" i="2"/>
  <c r="G2563" i="2"/>
  <c r="H2563" i="2"/>
  <c r="I2563" i="2"/>
  <c r="J2563" i="2"/>
  <c r="K2563" i="2"/>
  <c r="L2563" i="2"/>
  <c r="M2563" i="2"/>
  <c r="N2563" i="2"/>
  <c r="O2563" i="2"/>
  <c r="P2563" i="2"/>
  <c r="Q2563" i="2"/>
  <c r="R2563" i="2"/>
  <c r="S2563" i="2"/>
  <c r="T2563" i="2"/>
  <c r="U2563" i="2"/>
  <c r="V2563" i="2"/>
  <c r="W2563" i="2"/>
  <c r="X2563" i="2"/>
  <c r="Y2563" i="2"/>
  <c r="Z2563" i="2"/>
  <c r="AA2563" i="2"/>
  <c r="AB2563" i="2"/>
  <c r="AC2563" i="2"/>
  <c r="AD2563" i="2"/>
  <c r="AE2563" i="2"/>
  <c r="AF2563" i="2"/>
  <c r="AG2563" i="2"/>
  <c r="AH2563" i="2"/>
  <c r="AI2563" i="2"/>
  <c r="AJ2563" i="2"/>
  <c r="AK2563" i="2"/>
  <c r="A2564" i="2"/>
  <c r="B2564" i="2"/>
  <c r="C2564" i="2"/>
  <c r="D2564" i="2"/>
  <c r="E2564" i="2"/>
  <c r="F2564" i="2"/>
  <c r="G2564" i="2"/>
  <c r="H2564" i="2"/>
  <c r="I2564" i="2"/>
  <c r="J2564" i="2"/>
  <c r="K2564" i="2"/>
  <c r="L2564" i="2"/>
  <c r="M2564" i="2"/>
  <c r="N2564" i="2"/>
  <c r="O2564" i="2"/>
  <c r="P2564" i="2"/>
  <c r="Q2564" i="2"/>
  <c r="R2564" i="2"/>
  <c r="S2564" i="2"/>
  <c r="T2564" i="2"/>
  <c r="U2564" i="2"/>
  <c r="V2564" i="2"/>
  <c r="W2564" i="2"/>
  <c r="X2564" i="2"/>
  <c r="Y2564" i="2"/>
  <c r="Z2564" i="2"/>
  <c r="AA2564" i="2"/>
  <c r="AB2564" i="2"/>
  <c r="AC2564" i="2"/>
  <c r="AD2564" i="2"/>
  <c r="AE2564" i="2"/>
  <c r="AF2564" i="2"/>
  <c r="AG2564" i="2"/>
  <c r="AH2564" i="2"/>
  <c r="AI2564" i="2"/>
  <c r="AJ2564" i="2"/>
  <c r="AK2564" i="2"/>
  <c r="A2565" i="2"/>
  <c r="B2565" i="2"/>
  <c r="C2565" i="2"/>
  <c r="D2565" i="2"/>
  <c r="E2565" i="2"/>
  <c r="F2565" i="2"/>
  <c r="G2565" i="2"/>
  <c r="H2565" i="2"/>
  <c r="I2565" i="2"/>
  <c r="J2565" i="2"/>
  <c r="K2565" i="2"/>
  <c r="L2565" i="2"/>
  <c r="M2565" i="2"/>
  <c r="N2565" i="2"/>
  <c r="O2565" i="2"/>
  <c r="P2565" i="2"/>
  <c r="Q2565" i="2"/>
  <c r="R2565" i="2"/>
  <c r="S2565" i="2"/>
  <c r="T2565" i="2"/>
  <c r="U2565" i="2"/>
  <c r="V2565" i="2"/>
  <c r="W2565" i="2"/>
  <c r="X2565" i="2"/>
  <c r="Y2565" i="2"/>
  <c r="Z2565" i="2"/>
  <c r="AA2565" i="2"/>
  <c r="AB2565" i="2"/>
  <c r="AC2565" i="2"/>
  <c r="AD2565" i="2"/>
  <c r="AE2565" i="2"/>
  <c r="AF2565" i="2"/>
  <c r="AG2565" i="2"/>
  <c r="AH2565" i="2"/>
  <c r="AI2565" i="2"/>
  <c r="AJ2565" i="2"/>
  <c r="AK2565" i="2"/>
  <c r="A2566" i="2"/>
  <c r="B2566" i="2"/>
  <c r="C2566" i="2"/>
  <c r="D2566" i="2"/>
  <c r="E2566" i="2"/>
  <c r="F2566" i="2"/>
  <c r="G2566" i="2"/>
  <c r="H2566" i="2"/>
  <c r="I2566" i="2"/>
  <c r="J2566" i="2"/>
  <c r="K2566" i="2"/>
  <c r="L2566" i="2"/>
  <c r="M2566" i="2"/>
  <c r="N2566" i="2"/>
  <c r="O2566" i="2"/>
  <c r="P2566" i="2"/>
  <c r="Q2566" i="2"/>
  <c r="R2566" i="2"/>
  <c r="S2566" i="2"/>
  <c r="T2566" i="2"/>
  <c r="U2566" i="2"/>
  <c r="V2566" i="2"/>
  <c r="W2566" i="2"/>
  <c r="X2566" i="2"/>
  <c r="Y2566" i="2"/>
  <c r="Z2566" i="2"/>
  <c r="AA2566" i="2"/>
  <c r="AB2566" i="2"/>
  <c r="AC2566" i="2"/>
  <c r="AD2566" i="2"/>
  <c r="AE2566" i="2"/>
  <c r="AF2566" i="2"/>
  <c r="AG2566" i="2"/>
  <c r="AH2566" i="2"/>
  <c r="AI2566" i="2"/>
  <c r="AJ2566" i="2"/>
  <c r="AK2566" i="2"/>
  <c r="A2567" i="2"/>
  <c r="B2567" i="2"/>
  <c r="C2567" i="2"/>
  <c r="D2567" i="2"/>
  <c r="E2567" i="2"/>
  <c r="F2567" i="2"/>
  <c r="G2567" i="2"/>
  <c r="H2567" i="2"/>
  <c r="I2567" i="2"/>
  <c r="J2567" i="2"/>
  <c r="K2567" i="2"/>
  <c r="L2567" i="2"/>
  <c r="M2567" i="2"/>
  <c r="N2567" i="2"/>
  <c r="O2567" i="2"/>
  <c r="P2567" i="2"/>
  <c r="Q2567" i="2"/>
  <c r="R2567" i="2"/>
  <c r="S2567" i="2"/>
  <c r="T2567" i="2"/>
  <c r="U2567" i="2"/>
  <c r="V2567" i="2"/>
  <c r="W2567" i="2"/>
  <c r="X2567" i="2"/>
  <c r="Y2567" i="2"/>
  <c r="Z2567" i="2"/>
  <c r="AA2567" i="2"/>
  <c r="AB2567" i="2"/>
  <c r="AC2567" i="2"/>
  <c r="AD2567" i="2"/>
  <c r="AE2567" i="2"/>
  <c r="AF2567" i="2"/>
  <c r="AG2567" i="2"/>
  <c r="AH2567" i="2"/>
  <c r="AI2567" i="2"/>
  <c r="AJ2567" i="2"/>
  <c r="AK2567" i="2"/>
  <c r="A2568" i="2"/>
  <c r="B2568" i="2"/>
  <c r="C2568" i="2"/>
  <c r="D2568" i="2"/>
  <c r="E2568" i="2"/>
  <c r="F2568" i="2"/>
  <c r="G2568" i="2"/>
  <c r="H2568" i="2"/>
  <c r="I2568" i="2"/>
  <c r="J2568" i="2"/>
  <c r="K2568" i="2"/>
  <c r="L2568" i="2"/>
  <c r="M2568" i="2"/>
  <c r="N2568" i="2"/>
  <c r="O2568" i="2"/>
  <c r="P2568" i="2"/>
  <c r="Q2568" i="2"/>
  <c r="R2568" i="2"/>
  <c r="S2568" i="2"/>
  <c r="T2568" i="2"/>
  <c r="U2568" i="2"/>
  <c r="V2568" i="2"/>
  <c r="W2568" i="2"/>
  <c r="X2568" i="2"/>
  <c r="Y2568" i="2"/>
  <c r="Z2568" i="2"/>
  <c r="AA2568" i="2"/>
  <c r="AB2568" i="2"/>
  <c r="AC2568" i="2"/>
  <c r="AD2568" i="2"/>
  <c r="AE2568" i="2"/>
  <c r="AF2568" i="2"/>
  <c r="AG2568" i="2"/>
  <c r="AH2568" i="2"/>
  <c r="AI2568" i="2"/>
  <c r="AJ2568" i="2"/>
  <c r="AK2568" i="2"/>
  <c r="A2569" i="2"/>
  <c r="B2569" i="2"/>
  <c r="C2569" i="2"/>
  <c r="D2569" i="2"/>
  <c r="E2569" i="2"/>
  <c r="F2569" i="2"/>
  <c r="G2569" i="2"/>
  <c r="H2569" i="2"/>
  <c r="I2569" i="2"/>
  <c r="J2569" i="2"/>
  <c r="K2569" i="2"/>
  <c r="L2569" i="2"/>
  <c r="M2569" i="2"/>
  <c r="N2569" i="2"/>
  <c r="O2569" i="2"/>
  <c r="P2569" i="2"/>
  <c r="Q2569" i="2"/>
  <c r="R2569" i="2"/>
  <c r="S2569" i="2"/>
  <c r="T2569" i="2"/>
  <c r="U2569" i="2"/>
  <c r="V2569" i="2"/>
  <c r="W2569" i="2"/>
  <c r="X2569" i="2"/>
  <c r="Y2569" i="2"/>
  <c r="Z2569" i="2"/>
  <c r="AA2569" i="2"/>
  <c r="AB2569" i="2"/>
  <c r="AC2569" i="2"/>
  <c r="AD2569" i="2"/>
  <c r="AE2569" i="2"/>
  <c r="AF2569" i="2"/>
  <c r="AG2569" i="2"/>
  <c r="AH2569" i="2"/>
  <c r="AI2569" i="2"/>
  <c r="AJ2569" i="2"/>
  <c r="AK2569" i="2"/>
  <c r="A2570" i="2"/>
  <c r="B2570" i="2"/>
  <c r="C2570" i="2"/>
  <c r="D2570" i="2"/>
  <c r="E2570" i="2"/>
  <c r="F2570" i="2"/>
  <c r="G2570" i="2"/>
  <c r="H2570" i="2"/>
  <c r="I2570" i="2"/>
  <c r="J2570" i="2"/>
  <c r="K2570" i="2"/>
  <c r="L2570" i="2"/>
  <c r="M2570" i="2"/>
  <c r="N2570" i="2"/>
  <c r="O2570" i="2"/>
  <c r="P2570" i="2"/>
  <c r="Q2570" i="2"/>
  <c r="R2570" i="2"/>
  <c r="S2570" i="2"/>
  <c r="T2570" i="2"/>
  <c r="U2570" i="2"/>
  <c r="V2570" i="2"/>
  <c r="W2570" i="2"/>
  <c r="X2570" i="2"/>
  <c r="Y2570" i="2"/>
  <c r="Z2570" i="2"/>
  <c r="AA2570" i="2"/>
  <c r="AB2570" i="2"/>
  <c r="AC2570" i="2"/>
  <c r="AD2570" i="2"/>
  <c r="AE2570" i="2"/>
  <c r="AF2570" i="2"/>
  <c r="AG2570" i="2"/>
  <c r="AH2570" i="2"/>
  <c r="AI2570" i="2"/>
  <c r="AJ2570" i="2"/>
  <c r="AK2570" i="2"/>
  <c r="A2571" i="2"/>
  <c r="B2571" i="2"/>
  <c r="C2571" i="2"/>
  <c r="D2571" i="2"/>
  <c r="E2571" i="2"/>
  <c r="F2571" i="2"/>
  <c r="G2571" i="2"/>
  <c r="H2571" i="2"/>
  <c r="I2571" i="2"/>
  <c r="J2571" i="2"/>
  <c r="K2571" i="2"/>
  <c r="L2571" i="2"/>
  <c r="M2571" i="2"/>
  <c r="N2571" i="2"/>
  <c r="O2571" i="2"/>
  <c r="P2571" i="2"/>
  <c r="Q2571" i="2"/>
  <c r="R2571" i="2"/>
  <c r="S2571" i="2"/>
  <c r="T2571" i="2"/>
  <c r="U2571" i="2"/>
  <c r="V2571" i="2"/>
  <c r="W2571" i="2"/>
  <c r="X2571" i="2"/>
  <c r="Y2571" i="2"/>
  <c r="Z2571" i="2"/>
  <c r="AA2571" i="2"/>
  <c r="AB2571" i="2"/>
  <c r="AC2571" i="2"/>
  <c r="AD2571" i="2"/>
  <c r="AE2571" i="2"/>
  <c r="AF2571" i="2"/>
  <c r="AG2571" i="2"/>
  <c r="AH2571" i="2"/>
  <c r="AI2571" i="2"/>
  <c r="AJ2571" i="2"/>
  <c r="AK2571" i="2"/>
  <c r="A2572" i="2"/>
  <c r="B2572" i="2"/>
  <c r="C2572" i="2"/>
  <c r="D2572" i="2"/>
  <c r="E2572" i="2"/>
  <c r="F2572" i="2"/>
  <c r="G2572" i="2"/>
  <c r="H2572" i="2"/>
  <c r="I2572" i="2"/>
  <c r="J2572" i="2"/>
  <c r="K2572" i="2"/>
  <c r="L2572" i="2"/>
  <c r="M2572" i="2"/>
  <c r="N2572" i="2"/>
  <c r="O2572" i="2"/>
  <c r="P2572" i="2"/>
  <c r="Q2572" i="2"/>
  <c r="R2572" i="2"/>
  <c r="S2572" i="2"/>
  <c r="T2572" i="2"/>
  <c r="U2572" i="2"/>
  <c r="V2572" i="2"/>
  <c r="W2572" i="2"/>
  <c r="X2572" i="2"/>
  <c r="Y2572" i="2"/>
  <c r="Z2572" i="2"/>
  <c r="AA2572" i="2"/>
  <c r="AB2572" i="2"/>
  <c r="AC2572" i="2"/>
  <c r="AD2572" i="2"/>
  <c r="AE2572" i="2"/>
  <c r="AF2572" i="2"/>
  <c r="AG2572" i="2"/>
  <c r="AH2572" i="2"/>
  <c r="AI2572" i="2"/>
  <c r="AJ2572" i="2"/>
  <c r="AK2572" i="2"/>
  <c r="A2573" i="2"/>
  <c r="B2573" i="2"/>
  <c r="C2573" i="2"/>
  <c r="D2573" i="2"/>
  <c r="E2573" i="2"/>
  <c r="F2573" i="2"/>
  <c r="G2573" i="2"/>
  <c r="H2573" i="2"/>
  <c r="I2573" i="2"/>
  <c r="J2573" i="2"/>
  <c r="K2573" i="2"/>
  <c r="L2573" i="2"/>
  <c r="M2573" i="2"/>
  <c r="N2573" i="2"/>
  <c r="O2573" i="2"/>
  <c r="P2573" i="2"/>
  <c r="Q2573" i="2"/>
  <c r="R2573" i="2"/>
  <c r="S2573" i="2"/>
  <c r="T2573" i="2"/>
  <c r="U2573" i="2"/>
  <c r="V2573" i="2"/>
  <c r="W2573" i="2"/>
  <c r="X2573" i="2"/>
  <c r="Y2573" i="2"/>
  <c r="Z2573" i="2"/>
  <c r="AA2573" i="2"/>
  <c r="AB2573" i="2"/>
  <c r="AC2573" i="2"/>
  <c r="AD2573" i="2"/>
  <c r="AE2573" i="2"/>
  <c r="AF2573" i="2"/>
  <c r="AG2573" i="2"/>
  <c r="AH2573" i="2"/>
  <c r="AI2573" i="2"/>
  <c r="AJ2573" i="2"/>
  <c r="AK2573" i="2"/>
  <c r="A2574" i="2"/>
  <c r="B2574" i="2"/>
  <c r="C2574" i="2"/>
  <c r="D2574" i="2"/>
  <c r="E2574" i="2"/>
  <c r="F2574" i="2"/>
  <c r="G2574" i="2"/>
  <c r="H2574" i="2"/>
  <c r="I2574" i="2"/>
  <c r="J2574" i="2"/>
  <c r="K2574" i="2"/>
  <c r="L2574" i="2"/>
  <c r="M2574" i="2"/>
  <c r="N2574" i="2"/>
  <c r="O2574" i="2"/>
  <c r="P2574" i="2"/>
  <c r="Q2574" i="2"/>
  <c r="R2574" i="2"/>
  <c r="S2574" i="2"/>
  <c r="T2574" i="2"/>
  <c r="U2574" i="2"/>
  <c r="V2574" i="2"/>
  <c r="W2574" i="2"/>
  <c r="X2574" i="2"/>
  <c r="Y2574" i="2"/>
  <c r="Z2574" i="2"/>
  <c r="AA2574" i="2"/>
  <c r="AB2574" i="2"/>
  <c r="AC2574" i="2"/>
  <c r="AD2574" i="2"/>
  <c r="AE2574" i="2"/>
  <c r="AF2574" i="2"/>
  <c r="AG2574" i="2"/>
  <c r="AH2574" i="2"/>
  <c r="AI2574" i="2"/>
  <c r="AJ2574" i="2"/>
  <c r="AK2574" i="2"/>
  <c r="A2575" i="2"/>
  <c r="B2575" i="2"/>
  <c r="C2575" i="2"/>
  <c r="D2575" i="2"/>
  <c r="E2575" i="2"/>
  <c r="F2575" i="2"/>
  <c r="G2575" i="2"/>
  <c r="H2575" i="2"/>
  <c r="I2575" i="2"/>
  <c r="J2575" i="2"/>
  <c r="K2575" i="2"/>
  <c r="L2575" i="2"/>
  <c r="M2575" i="2"/>
  <c r="N2575" i="2"/>
  <c r="O2575" i="2"/>
  <c r="P2575" i="2"/>
  <c r="Q2575" i="2"/>
  <c r="R2575" i="2"/>
  <c r="S2575" i="2"/>
  <c r="T2575" i="2"/>
  <c r="U2575" i="2"/>
  <c r="V2575" i="2"/>
  <c r="W2575" i="2"/>
  <c r="X2575" i="2"/>
  <c r="Y2575" i="2"/>
  <c r="Z2575" i="2"/>
  <c r="AA2575" i="2"/>
  <c r="AB2575" i="2"/>
  <c r="AC2575" i="2"/>
  <c r="AD2575" i="2"/>
  <c r="AE2575" i="2"/>
  <c r="AF2575" i="2"/>
  <c r="AG2575" i="2"/>
  <c r="AH2575" i="2"/>
  <c r="AI2575" i="2"/>
  <c r="AJ2575" i="2"/>
  <c r="AK2575" i="2"/>
  <c r="A2576" i="2"/>
  <c r="B2576" i="2"/>
  <c r="C2576" i="2"/>
  <c r="D2576" i="2"/>
  <c r="E2576" i="2"/>
  <c r="F2576" i="2"/>
  <c r="G2576" i="2"/>
  <c r="H2576" i="2"/>
  <c r="I2576" i="2"/>
  <c r="J2576" i="2"/>
  <c r="K2576" i="2"/>
  <c r="L2576" i="2"/>
  <c r="M2576" i="2"/>
  <c r="N2576" i="2"/>
  <c r="O2576" i="2"/>
  <c r="P2576" i="2"/>
  <c r="Q2576" i="2"/>
  <c r="R2576" i="2"/>
  <c r="S2576" i="2"/>
  <c r="T2576" i="2"/>
  <c r="U2576" i="2"/>
  <c r="V2576" i="2"/>
  <c r="W2576" i="2"/>
  <c r="X2576" i="2"/>
  <c r="Y2576" i="2"/>
  <c r="Z2576" i="2"/>
  <c r="AA2576" i="2"/>
  <c r="AB2576" i="2"/>
  <c r="AC2576" i="2"/>
  <c r="AD2576" i="2"/>
  <c r="AE2576" i="2"/>
  <c r="AF2576" i="2"/>
  <c r="AG2576" i="2"/>
  <c r="AH2576" i="2"/>
  <c r="AI2576" i="2"/>
  <c r="AJ2576" i="2"/>
  <c r="AK2576" i="2"/>
  <c r="A2577" i="2"/>
  <c r="B2577" i="2"/>
  <c r="C2577" i="2"/>
  <c r="D2577" i="2"/>
  <c r="E2577" i="2"/>
  <c r="F2577" i="2"/>
  <c r="G2577" i="2"/>
  <c r="H2577" i="2"/>
  <c r="I2577" i="2"/>
  <c r="J2577" i="2"/>
  <c r="K2577" i="2"/>
  <c r="L2577" i="2"/>
  <c r="M2577" i="2"/>
  <c r="N2577" i="2"/>
  <c r="O2577" i="2"/>
  <c r="P2577" i="2"/>
  <c r="Q2577" i="2"/>
  <c r="R2577" i="2"/>
  <c r="S2577" i="2"/>
  <c r="T2577" i="2"/>
  <c r="U2577" i="2"/>
  <c r="V2577" i="2"/>
  <c r="W2577" i="2"/>
  <c r="X2577" i="2"/>
  <c r="Y2577" i="2"/>
  <c r="Z2577" i="2"/>
  <c r="AA2577" i="2"/>
  <c r="AB2577" i="2"/>
  <c r="AC2577" i="2"/>
  <c r="AD2577" i="2"/>
  <c r="AE2577" i="2"/>
  <c r="AF2577" i="2"/>
  <c r="AG2577" i="2"/>
  <c r="AH2577" i="2"/>
  <c r="AI2577" i="2"/>
  <c r="AJ2577" i="2"/>
  <c r="AK2577" i="2"/>
  <c r="A2578" i="2"/>
  <c r="B2578" i="2"/>
  <c r="C2578" i="2"/>
  <c r="D2578" i="2"/>
  <c r="E2578" i="2"/>
  <c r="F2578" i="2"/>
  <c r="G2578" i="2"/>
  <c r="H2578" i="2"/>
  <c r="I2578" i="2"/>
  <c r="J2578" i="2"/>
  <c r="K2578" i="2"/>
  <c r="L2578" i="2"/>
  <c r="M2578" i="2"/>
  <c r="N2578" i="2"/>
  <c r="O2578" i="2"/>
  <c r="P2578" i="2"/>
  <c r="Q2578" i="2"/>
  <c r="R2578" i="2"/>
  <c r="S2578" i="2"/>
  <c r="T2578" i="2"/>
  <c r="U2578" i="2"/>
  <c r="V2578" i="2"/>
  <c r="W2578" i="2"/>
  <c r="X2578" i="2"/>
  <c r="Y2578" i="2"/>
  <c r="Z2578" i="2"/>
  <c r="AA2578" i="2"/>
  <c r="AB2578" i="2"/>
  <c r="AC2578" i="2"/>
  <c r="AD2578" i="2"/>
  <c r="AE2578" i="2"/>
  <c r="AF2578" i="2"/>
  <c r="AG2578" i="2"/>
  <c r="AH2578" i="2"/>
  <c r="AI2578" i="2"/>
  <c r="AJ2578" i="2"/>
  <c r="AK2578" i="2"/>
  <c r="A2579" i="2"/>
  <c r="B2579" i="2"/>
  <c r="C2579" i="2"/>
  <c r="D2579" i="2"/>
  <c r="E2579" i="2"/>
  <c r="F2579" i="2"/>
  <c r="G2579" i="2"/>
  <c r="H2579" i="2"/>
  <c r="I2579" i="2"/>
  <c r="J2579" i="2"/>
  <c r="K2579" i="2"/>
  <c r="L2579" i="2"/>
  <c r="M2579" i="2"/>
  <c r="N2579" i="2"/>
  <c r="O2579" i="2"/>
  <c r="P2579" i="2"/>
  <c r="Q2579" i="2"/>
  <c r="R2579" i="2"/>
  <c r="S2579" i="2"/>
  <c r="T2579" i="2"/>
  <c r="U2579" i="2"/>
  <c r="V2579" i="2"/>
  <c r="W2579" i="2"/>
  <c r="X2579" i="2"/>
  <c r="Y2579" i="2"/>
  <c r="Z2579" i="2"/>
  <c r="AA2579" i="2"/>
  <c r="AB2579" i="2"/>
  <c r="AC2579" i="2"/>
  <c r="AD2579" i="2"/>
  <c r="AE2579" i="2"/>
  <c r="AF2579" i="2"/>
  <c r="AG2579" i="2"/>
  <c r="AH2579" i="2"/>
  <c r="AI2579" i="2"/>
  <c r="AJ2579" i="2"/>
  <c r="AK2579" i="2"/>
  <c r="A2580" i="2"/>
  <c r="B2580" i="2"/>
  <c r="C2580" i="2"/>
  <c r="D2580" i="2"/>
  <c r="E2580" i="2"/>
  <c r="F2580" i="2"/>
  <c r="G2580" i="2"/>
  <c r="H2580" i="2"/>
  <c r="I2580" i="2"/>
  <c r="J2580" i="2"/>
  <c r="K2580" i="2"/>
  <c r="L2580" i="2"/>
  <c r="M2580" i="2"/>
  <c r="N2580" i="2"/>
  <c r="O2580" i="2"/>
  <c r="P2580" i="2"/>
  <c r="Q2580" i="2"/>
  <c r="R2580" i="2"/>
  <c r="S2580" i="2"/>
  <c r="T2580" i="2"/>
  <c r="U2580" i="2"/>
  <c r="V2580" i="2"/>
  <c r="W2580" i="2"/>
  <c r="X2580" i="2"/>
  <c r="Y2580" i="2"/>
  <c r="Z2580" i="2"/>
  <c r="AA2580" i="2"/>
  <c r="AB2580" i="2"/>
  <c r="AC2580" i="2"/>
  <c r="AD2580" i="2"/>
  <c r="AE2580" i="2"/>
  <c r="AF2580" i="2"/>
  <c r="AG2580" i="2"/>
  <c r="AH2580" i="2"/>
  <c r="AI2580" i="2"/>
  <c r="AJ2580" i="2"/>
  <c r="AK2580" i="2"/>
  <c r="A2581" i="2"/>
  <c r="B2581" i="2"/>
  <c r="C2581" i="2"/>
  <c r="D2581" i="2"/>
  <c r="E2581" i="2"/>
  <c r="F2581" i="2"/>
  <c r="G2581" i="2"/>
  <c r="H2581" i="2"/>
  <c r="I2581" i="2"/>
  <c r="J2581" i="2"/>
  <c r="K2581" i="2"/>
  <c r="L2581" i="2"/>
  <c r="M2581" i="2"/>
  <c r="N2581" i="2"/>
  <c r="O2581" i="2"/>
  <c r="P2581" i="2"/>
  <c r="Q2581" i="2"/>
  <c r="R2581" i="2"/>
  <c r="S2581" i="2"/>
  <c r="T2581" i="2"/>
  <c r="U2581" i="2"/>
  <c r="V2581" i="2"/>
  <c r="W2581" i="2"/>
  <c r="X2581" i="2"/>
  <c r="Y2581" i="2"/>
  <c r="Z2581" i="2"/>
  <c r="AA2581" i="2"/>
  <c r="AB2581" i="2"/>
  <c r="AC2581" i="2"/>
  <c r="AD2581" i="2"/>
  <c r="AE2581" i="2"/>
  <c r="AF2581" i="2"/>
  <c r="AG2581" i="2"/>
  <c r="AH2581" i="2"/>
  <c r="AI2581" i="2"/>
  <c r="AJ2581" i="2"/>
  <c r="AK2581" i="2"/>
  <c r="A2582" i="2"/>
  <c r="B2582" i="2"/>
  <c r="C2582" i="2"/>
  <c r="D2582" i="2"/>
  <c r="E2582" i="2"/>
  <c r="F2582" i="2"/>
  <c r="G2582" i="2"/>
  <c r="H2582" i="2"/>
  <c r="I2582" i="2"/>
  <c r="J2582" i="2"/>
  <c r="K2582" i="2"/>
  <c r="L2582" i="2"/>
  <c r="M2582" i="2"/>
  <c r="N2582" i="2"/>
  <c r="O2582" i="2"/>
  <c r="P2582" i="2"/>
  <c r="Q2582" i="2"/>
  <c r="R2582" i="2"/>
  <c r="S2582" i="2"/>
  <c r="T2582" i="2"/>
  <c r="U2582" i="2"/>
  <c r="V2582" i="2"/>
  <c r="W2582" i="2"/>
  <c r="X2582" i="2"/>
  <c r="Y2582" i="2"/>
  <c r="Z2582" i="2"/>
  <c r="AA2582" i="2"/>
  <c r="AB2582" i="2"/>
  <c r="AC2582" i="2"/>
  <c r="AD2582" i="2"/>
  <c r="AE2582" i="2"/>
  <c r="AF2582" i="2"/>
  <c r="AG2582" i="2"/>
  <c r="AH2582" i="2"/>
  <c r="AI2582" i="2"/>
  <c r="AJ2582" i="2"/>
  <c r="AK2582" i="2"/>
  <c r="A2583" i="2"/>
  <c r="B2583" i="2"/>
  <c r="C2583" i="2"/>
  <c r="D2583" i="2"/>
  <c r="E2583" i="2"/>
  <c r="F2583" i="2"/>
  <c r="G2583" i="2"/>
  <c r="H2583" i="2"/>
  <c r="I2583" i="2"/>
  <c r="J2583" i="2"/>
  <c r="K2583" i="2"/>
  <c r="L2583" i="2"/>
  <c r="M2583" i="2"/>
  <c r="N2583" i="2"/>
  <c r="O2583" i="2"/>
  <c r="P2583" i="2"/>
  <c r="Q2583" i="2"/>
  <c r="R2583" i="2"/>
  <c r="S2583" i="2"/>
  <c r="T2583" i="2"/>
  <c r="U2583" i="2"/>
  <c r="V2583" i="2"/>
  <c r="W2583" i="2"/>
  <c r="X2583" i="2"/>
  <c r="Y2583" i="2"/>
  <c r="Z2583" i="2"/>
  <c r="AA2583" i="2"/>
  <c r="AB2583" i="2"/>
  <c r="AC2583" i="2"/>
  <c r="AD2583" i="2"/>
  <c r="AE2583" i="2"/>
  <c r="AF2583" i="2"/>
  <c r="AG2583" i="2"/>
  <c r="AH2583" i="2"/>
  <c r="AI2583" i="2"/>
  <c r="AJ2583" i="2"/>
  <c r="AK2583" i="2"/>
  <c r="A2584" i="2"/>
  <c r="B2584" i="2"/>
  <c r="C2584" i="2"/>
  <c r="D2584" i="2"/>
  <c r="E2584" i="2"/>
  <c r="F2584" i="2"/>
  <c r="G2584" i="2"/>
  <c r="H2584" i="2"/>
  <c r="I2584" i="2"/>
  <c r="J2584" i="2"/>
  <c r="K2584" i="2"/>
  <c r="L2584" i="2"/>
  <c r="M2584" i="2"/>
  <c r="N2584" i="2"/>
  <c r="O2584" i="2"/>
  <c r="P2584" i="2"/>
  <c r="Q2584" i="2"/>
  <c r="R2584" i="2"/>
  <c r="S2584" i="2"/>
  <c r="T2584" i="2"/>
  <c r="U2584" i="2"/>
  <c r="V2584" i="2"/>
  <c r="W2584" i="2"/>
  <c r="X2584" i="2"/>
  <c r="Y2584" i="2"/>
  <c r="Z2584" i="2"/>
  <c r="AA2584" i="2"/>
  <c r="AB2584" i="2"/>
  <c r="AC2584" i="2"/>
  <c r="AD2584" i="2"/>
  <c r="AE2584" i="2"/>
  <c r="AF2584" i="2"/>
  <c r="AG2584" i="2"/>
  <c r="AH2584" i="2"/>
  <c r="AI2584" i="2"/>
  <c r="AJ2584" i="2"/>
  <c r="AK2584" i="2"/>
  <c r="A2585" i="2"/>
  <c r="B2585" i="2"/>
  <c r="C2585" i="2"/>
  <c r="D2585" i="2"/>
  <c r="E2585" i="2"/>
  <c r="F2585" i="2"/>
  <c r="G2585" i="2"/>
  <c r="H2585" i="2"/>
  <c r="I2585" i="2"/>
  <c r="J2585" i="2"/>
  <c r="K2585" i="2"/>
  <c r="L2585" i="2"/>
  <c r="M2585" i="2"/>
  <c r="N2585" i="2"/>
  <c r="O2585" i="2"/>
  <c r="P2585" i="2"/>
  <c r="Q2585" i="2"/>
  <c r="R2585" i="2"/>
  <c r="S2585" i="2"/>
  <c r="T2585" i="2"/>
  <c r="U2585" i="2"/>
  <c r="V2585" i="2"/>
  <c r="W2585" i="2"/>
  <c r="X2585" i="2"/>
  <c r="Y2585" i="2"/>
  <c r="Z2585" i="2"/>
  <c r="AA2585" i="2"/>
  <c r="AB2585" i="2"/>
  <c r="AC2585" i="2"/>
  <c r="AD2585" i="2"/>
  <c r="AE2585" i="2"/>
  <c r="AF2585" i="2"/>
  <c r="AG2585" i="2"/>
  <c r="AH2585" i="2"/>
  <c r="AI2585" i="2"/>
  <c r="AJ2585" i="2"/>
  <c r="AK2585" i="2"/>
  <c r="A2586" i="2"/>
  <c r="B2586" i="2"/>
  <c r="C2586" i="2"/>
  <c r="D2586" i="2"/>
  <c r="E2586" i="2"/>
  <c r="F2586" i="2"/>
  <c r="G2586" i="2"/>
  <c r="H2586" i="2"/>
  <c r="I2586" i="2"/>
  <c r="J2586" i="2"/>
  <c r="K2586" i="2"/>
  <c r="L2586" i="2"/>
  <c r="M2586" i="2"/>
  <c r="N2586" i="2"/>
  <c r="O2586" i="2"/>
  <c r="P2586" i="2"/>
  <c r="Q2586" i="2"/>
  <c r="R2586" i="2"/>
  <c r="S2586" i="2"/>
  <c r="T2586" i="2"/>
  <c r="U2586" i="2"/>
  <c r="V2586" i="2"/>
  <c r="W2586" i="2"/>
  <c r="X2586" i="2"/>
  <c r="Y2586" i="2"/>
  <c r="Z2586" i="2"/>
  <c r="AA2586" i="2"/>
  <c r="AB2586" i="2"/>
  <c r="AC2586" i="2"/>
  <c r="AD2586" i="2"/>
  <c r="AE2586" i="2"/>
  <c r="AF2586" i="2"/>
  <c r="AG2586" i="2"/>
  <c r="AH2586" i="2"/>
  <c r="AI2586" i="2"/>
  <c r="AJ2586" i="2"/>
  <c r="AK2586" i="2"/>
  <c r="A2587" i="2"/>
  <c r="B2587" i="2"/>
  <c r="C2587" i="2"/>
  <c r="D2587" i="2"/>
  <c r="E2587" i="2"/>
  <c r="F2587" i="2"/>
  <c r="G2587" i="2"/>
  <c r="H2587" i="2"/>
  <c r="I2587" i="2"/>
  <c r="J2587" i="2"/>
  <c r="K2587" i="2"/>
  <c r="L2587" i="2"/>
  <c r="M2587" i="2"/>
  <c r="N2587" i="2"/>
  <c r="O2587" i="2"/>
  <c r="P2587" i="2"/>
  <c r="Q2587" i="2"/>
  <c r="R2587" i="2"/>
  <c r="S2587" i="2"/>
  <c r="T2587" i="2"/>
  <c r="U2587" i="2"/>
  <c r="V2587" i="2"/>
  <c r="W2587" i="2"/>
  <c r="X2587" i="2"/>
  <c r="Y2587" i="2"/>
  <c r="Z2587" i="2"/>
  <c r="AA2587" i="2"/>
  <c r="AB2587" i="2"/>
  <c r="AC2587" i="2"/>
  <c r="AD2587" i="2"/>
  <c r="AE2587" i="2"/>
  <c r="AF2587" i="2"/>
  <c r="AG2587" i="2"/>
  <c r="AH2587" i="2"/>
  <c r="AI2587" i="2"/>
  <c r="AJ2587" i="2"/>
  <c r="AK2587" i="2"/>
  <c r="A2588" i="2"/>
  <c r="B2588" i="2"/>
  <c r="C2588" i="2"/>
  <c r="D2588" i="2"/>
  <c r="E2588" i="2"/>
  <c r="F2588" i="2"/>
  <c r="G2588" i="2"/>
  <c r="H2588" i="2"/>
  <c r="I2588" i="2"/>
  <c r="J2588" i="2"/>
  <c r="K2588" i="2"/>
  <c r="L2588" i="2"/>
  <c r="M2588" i="2"/>
  <c r="N2588" i="2"/>
  <c r="O2588" i="2"/>
  <c r="P2588" i="2"/>
  <c r="Q2588" i="2"/>
  <c r="R2588" i="2"/>
  <c r="S2588" i="2"/>
  <c r="T2588" i="2"/>
  <c r="U2588" i="2"/>
  <c r="V2588" i="2"/>
  <c r="W2588" i="2"/>
  <c r="X2588" i="2"/>
  <c r="Y2588" i="2"/>
  <c r="Z2588" i="2"/>
  <c r="AA2588" i="2"/>
  <c r="AB2588" i="2"/>
  <c r="AC2588" i="2"/>
  <c r="AD2588" i="2"/>
  <c r="AE2588" i="2"/>
  <c r="AF2588" i="2"/>
  <c r="AG2588" i="2"/>
  <c r="AH2588" i="2"/>
  <c r="AI2588" i="2"/>
  <c r="AJ2588" i="2"/>
  <c r="AK2588" i="2"/>
  <c r="A2589" i="2"/>
  <c r="B2589" i="2"/>
  <c r="C2589" i="2"/>
  <c r="D2589" i="2"/>
  <c r="E2589" i="2"/>
  <c r="F2589" i="2"/>
  <c r="G2589" i="2"/>
  <c r="H2589" i="2"/>
  <c r="I2589" i="2"/>
  <c r="J2589" i="2"/>
  <c r="K2589" i="2"/>
  <c r="L2589" i="2"/>
  <c r="M2589" i="2"/>
  <c r="N2589" i="2"/>
  <c r="O2589" i="2"/>
  <c r="P2589" i="2"/>
  <c r="Q2589" i="2"/>
  <c r="R2589" i="2"/>
  <c r="S2589" i="2"/>
  <c r="T2589" i="2"/>
  <c r="U2589" i="2"/>
  <c r="V2589" i="2"/>
  <c r="W2589" i="2"/>
  <c r="X2589" i="2"/>
  <c r="Y2589" i="2"/>
  <c r="Z2589" i="2"/>
  <c r="AA2589" i="2"/>
  <c r="AB2589" i="2"/>
  <c r="AC2589" i="2"/>
  <c r="AD2589" i="2"/>
  <c r="AE2589" i="2"/>
  <c r="AF2589" i="2"/>
  <c r="AG2589" i="2"/>
  <c r="AH2589" i="2"/>
  <c r="AI2589" i="2"/>
  <c r="AJ2589" i="2"/>
  <c r="AK2589" i="2"/>
  <c r="A2590" i="2"/>
  <c r="B2590" i="2"/>
  <c r="C2590" i="2"/>
  <c r="D2590" i="2"/>
  <c r="E2590" i="2"/>
  <c r="F2590" i="2"/>
  <c r="G2590" i="2"/>
  <c r="H2590" i="2"/>
  <c r="I2590" i="2"/>
  <c r="J2590" i="2"/>
  <c r="K2590" i="2"/>
  <c r="L2590" i="2"/>
  <c r="M2590" i="2"/>
  <c r="N2590" i="2"/>
  <c r="O2590" i="2"/>
  <c r="P2590" i="2"/>
  <c r="Q2590" i="2"/>
  <c r="R2590" i="2"/>
  <c r="S2590" i="2"/>
  <c r="T2590" i="2"/>
  <c r="U2590" i="2"/>
  <c r="V2590" i="2"/>
  <c r="W2590" i="2"/>
  <c r="X2590" i="2"/>
  <c r="Y2590" i="2"/>
  <c r="Z2590" i="2"/>
  <c r="AA2590" i="2"/>
  <c r="AB2590" i="2"/>
  <c r="AC2590" i="2"/>
  <c r="AD2590" i="2"/>
  <c r="AE2590" i="2"/>
  <c r="AF2590" i="2"/>
  <c r="AG2590" i="2"/>
  <c r="AH2590" i="2"/>
  <c r="AI2590" i="2"/>
  <c r="AJ2590" i="2"/>
  <c r="AK2590" i="2"/>
  <c r="A2591" i="2"/>
  <c r="B2591" i="2"/>
  <c r="C2591" i="2"/>
  <c r="D2591" i="2"/>
  <c r="E2591" i="2"/>
  <c r="F2591" i="2"/>
  <c r="G2591" i="2"/>
  <c r="H2591" i="2"/>
  <c r="I2591" i="2"/>
  <c r="J2591" i="2"/>
  <c r="K2591" i="2"/>
  <c r="L2591" i="2"/>
  <c r="M2591" i="2"/>
  <c r="N2591" i="2"/>
  <c r="O2591" i="2"/>
  <c r="P2591" i="2"/>
  <c r="Q2591" i="2"/>
  <c r="R2591" i="2"/>
  <c r="S2591" i="2"/>
  <c r="T2591" i="2"/>
  <c r="U2591" i="2"/>
  <c r="V2591" i="2"/>
  <c r="W2591" i="2"/>
  <c r="X2591" i="2"/>
  <c r="Y2591" i="2"/>
  <c r="Z2591" i="2"/>
  <c r="AA2591" i="2"/>
  <c r="AB2591" i="2"/>
  <c r="AC2591" i="2"/>
  <c r="AD2591" i="2"/>
  <c r="AE2591" i="2"/>
  <c r="AF2591" i="2"/>
  <c r="AG2591" i="2"/>
  <c r="AH2591" i="2"/>
  <c r="AI2591" i="2"/>
  <c r="AJ2591" i="2"/>
  <c r="AK2591" i="2"/>
  <c r="A2592" i="2"/>
  <c r="B2592" i="2"/>
  <c r="C2592" i="2"/>
  <c r="D2592" i="2"/>
  <c r="E2592" i="2"/>
  <c r="F2592" i="2"/>
  <c r="G2592" i="2"/>
  <c r="H2592" i="2"/>
  <c r="I2592" i="2"/>
  <c r="J2592" i="2"/>
  <c r="K2592" i="2"/>
  <c r="L2592" i="2"/>
  <c r="M2592" i="2"/>
  <c r="N2592" i="2"/>
  <c r="O2592" i="2"/>
  <c r="P2592" i="2"/>
  <c r="Q2592" i="2"/>
  <c r="R2592" i="2"/>
  <c r="S2592" i="2"/>
  <c r="T2592" i="2"/>
  <c r="U2592" i="2"/>
  <c r="V2592" i="2"/>
  <c r="W2592" i="2"/>
  <c r="X2592" i="2"/>
  <c r="Y2592" i="2"/>
  <c r="Z2592" i="2"/>
  <c r="AA2592" i="2"/>
  <c r="AB2592" i="2"/>
  <c r="AC2592" i="2"/>
  <c r="AD2592" i="2"/>
  <c r="AE2592" i="2"/>
  <c r="AF2592" i="2"/>
  <c r="AG2592" i="2"/>
  <c r="AH2592" i="2"/>
  <c r="AI2592" i="2"/>
  <c r="AJ2592" i="2"/>
  <c r="AK2592" i="2"/>
  <c r="A2593" i="2"/>
  <c r="B2593" i="2"/>
  <c r="C2593" i="2"/>
  <c r="D2593" i="2"/>
  <c r="E2593" i="2"/>
  <c r="F2593" i="2"/>
  <c r="G2593" i="2"/>
  <c r="H2593" i="2"/>
  <c r="I2593" i="2"/>
  <c r="J2593" i="2"/>
  <c r="K2593" i="2"/>
  <c r="L2593" i="2"/>
  <c r="M2593" i="2"/>
  <c r="N2593" i="2"/>
  <c r="O2593" i="2"/>
  <c r="P2593" i="2"/>
  <c r="Q2593" i="2"/>
  <c r="R2593" i="2"/>
  <c r="S2593" i="2"/>
  <c r="T2593" i="2"/>
  <c r="U2593" i="2"/>
  <c r="V2593" i="2"/>
  <c r="W2593" i="2"/>
  <c r="X2593" i="2"/>
  <c r="Y2593" i="2"/>
  <c r="Z2593" i="2"/>
  <c r="AA2593" i="2"/>
  <c r="AB2593" i="2"/>
  <c r="AC2593" i="2"/>
  <c r="AD2593" i="2"/>
  <c r="AE2593" i="2"/>
  <c r="AF2593" i="2"/>
  <c r="AG2593" i="2"/>
  <c r="AH2593" i="2"/>
  <c r="AI2593" i="2"/>
  <c r="AJ2593" i="2"/>
  <c r="AK2593" i="2"/>
  <c r="A2594" i="2"/>
  <c r="B2594" i="2"/>
  <c r="C2594" i="2"/>
  <c r="D2594" i="2"/>
  <c r="E2594" i="2"/>
  <c r="F2594" i="2"/>
  <c r="G2594" i="2"/>
  <c r="H2594" i="2"/>
  <c r="I2594" i="2"/>
  <c r="J2594" i="2"/>
  <c r="K2594" i="2"/>
  <c r="L2594" i="2"/>
  <c r="M2594" i="2"/>
  <c r="N2594" i="2"/>
  <c r="O2594" i="2"/>
  <c r="P2594" i="2"/>
  <c r="Q2594" i="2"/>
  <c r="R2594" i="2"/>
  <c r="S2594" i="2"/>
  <c r="T2594" i="2"/>
  <c r="U2594" i="2"/>
  <c r="V2594" i="2"/>
  <c r="W2594" i="2"/>
  <c r="X2594" i="2"/>
  <c r="Y2594" i="2"/>
  <c r="Z2594" i="2"/>
  <c r="AA2594" i="2"/>
  <c r="AB2594" i="2"/>
  <c r="AC2594" i="2"/>
  <c r="AD2594" i="2"/>
  <c r="AE2594" i="2"/>
  <c r="AF2594" i="2"/>
  <c r="AG2594" i="2"/>
  <c r="AH2594" i="2"/>
  <c r="AI2594" i="2"/>
  <c r="AJ2594" i="2"/>
  <c r="AK2594" i="2"/>
  <c r="A2595" i="2"/>
  <c r="B2595" i="2"/>
  <c r="C2595" i="2"/>
  <c r="D2595" i="2"/>
  <c r="E2595" i="2"/>
  <c r="F2595" i="2"/>
  <c r="G2595" i="2"/>
  <c r="H2595" i="2"/>
  <c r="I2595" i="2"/>
  <c r="J2595" i="2"/>
  <c r="K2595" i="2"/>
  <c r="L2595" i="2"/>
  <c r="M2595" i="2"/>
  <c r="N2595" i="2"/>
  <c r="O2595" i="2"/>
  <c r="P2595" i="2"/>
  <c r="Q2595" i="2"/>
  <c r="R2595" i="2"/>
  <c r="S2595" i="2"/>
  <c r="T2595" i="2"/>
  <c r="U2595" i="2"/>
  <c r="V2595" i="2"/>
  <c r="W2595" i="2"/>
  <c r="X2595" i="2"/>
  <c r="Y2595" i="2"/>
  <c r="Z2595" i="2"/>
  <c r="AA2595" i="2"/>
  <c r="AB2595" i="2"/>
  <c r="AC2595" i="2"/>
  <c r="AD2595" i="2"/>
  <c r="AE2595" i="2"/>
  <c r="AF2595" i="2"/>
  <c r="AG2595" i="2"/>
  <c r="AH2595" i="2"/>
  <c r="AI2595" i="2"/>
  <c r="AJ2595" i="2"/>
  <c r="AK2595" i="2"/>
  <c r="A2596" i="2"/>
  <c r="B2596" i="2"/>
  <c r="C2596" i="2"/>
  <c r="D2596" i="2"/>
  <c r="E2596" i="2"/>
  <c r="F2596" i="2"/>
  <c r="G2596" i="2"/>
  <c r="H2596" i="2"/>
  <c r="I2596" i="2"/>
  <c r="J2596" i="2"/>
  <c r="K2596" i="2"/>
  <c r="L2596" i="2"/>
  <c r="M2596" i="2"/>
  <c r="N2596" i="2"/>
  <c r="O2596" i="2"/>
  <c r="P2596" i="2"/>
  <c r="Q2596" i="2"/>
  <c r="R2596" i="2"/>
  <c r="S2596" i="2"/>
  <c r="T2596" i="2"/>
  <c r="U2596" i="2"/>
  <c r="V2596" i="2"/>
  <c r="W2596" i="2"/>
  <c r="X2596" i="2"/>
  <c r="Y2596" i="2"/>
  <c r="Z2596" i="2"/>
  <c r="AA2596" i="2"/>
  <c r="AB2596" i="2"/>
  <c r="AC2596" i="2"/>
  <c r="AD2596" i="2"/>
  <c r="AE2596" i="2"/>
  <c r="AF2596" i="2"/>
  <c r="AG2596" i="2"/>
  <c r="AH2596" i="2"/>
  <c r="AI2596" i="2"/>
  <c r="AJ2596" i="2"/>
  <c r="AK2596" i="2"/>
  <c r="A2597" i="2"/>
  <c r="B2597" i="2"/>
  <c r="C2597" i="2"/>
  <c r="D2597" i="2"/>
  <c r="E2597" i="2"/>
  <c r="F2597" i="2"/>
  <c r="G2597" i="2"/>
  <c r="H2597" i="2"/>
  <c r="I2597" i="2"/>
  <c r="J2597" i="2"/>
  <c r="K2597" i="2"/>
  <c r="L2597" i="2"/>
  <c r="M2597" i="2"/>
  <c r="N2597" i="2"/>
  <c r="O2597" i="2"/>
  <c r="P2597" i="2"/>
  <c r="Q2597" i="2"/>
  <c r="R2597" i="2"/>
  <c r="S2597" i="2"/>
  <c r="T2597" i="2"/>
  <c r="U2597" i="2"/>
  <c r="V2597" i="2"/>
  <c r="W2597" i="2"/>
  <c r="X2597" i="2"/>
  <c r="Y2597" i="2"/>
  <c r="Z2597" i="2"/>
  <c r="AA2597" i="2"/>
  <c r="AB2597" i="2"/>
  <c r="AC2597" i="2"/>
  <c r="AD2597" i="2"/>
  <c r="AE2597" i="2"/>
  <c r="AF2597" i="2"/>
  <c r="AG2597" i="2"/>
  <c r="AH2597" i="2"/>
  <c r="AI2597" i="2"/>
  <c r="AJ2597" i="2"/>
  <c r="AK2597" i="2"/>
  <c r="A2598" i="2"/>
  <c r="B2598" i="2"/>
  <c r="C2598" i="2"/>
  <c r="D2598" i="2"/>
  <c r="E2598" i="2"/>
  <c r="F2598" i="2"/>
  <c r="G2598" i="2"/>
  <c r="H2598" i="2"/>
  <c r="I2598" i="2"/>
  <c r="J2598" i="2"/>
  <c r="K2598" i="2"/>
  <c r="L2598" i="2"/>
  <c r="M2598" i="2"/>
  <c r="N2598" i="2"/>
  <c r="O2598" i="2"/>
  <c r="P2598" i="2"/>
  <c r="Q2598" i="2"/>
  <c r="R2598" i="2"/>
  <c r="S2598" i="2"/>
  <c r="T2598" i="2"/>
  <c r="U2598" i="2"/>
  <c r="V2598" i="2"/>
  <c r="W2598" i="2"/>
  <c r="X2598" i="2"/>
  <c r="Y2598" i="2"/>
  <c r="Z2598" i="2"/>
  <c r="AA2598" i="2"/>
  <c r="AB2598" i="2"/>
  <c r="AC2598" i="2"/>
  <c r="AD2598" i="2"/>
  <c r="AE2598" i="2"/>
  <c r="AF2598" i="2"/>
  <c r="AG2598" i="2"/>
  <c r="AH2598" i="2"/>
  <c r="AI2598" i="2"/>
  <c r="AJ2598" i="2"/>
  <c r="AK2598" i="2"/>
  <c r="A2599" i="2"/>
  <c r="B2599" i="2"/>
  <c r="C2599" i="2"/>
  <c r="D2599" i="2"/>
  <c r="E2599" i="2"/>
  <c r="F2599" i="2"/>
  <c r="G2599" i="2"/>
  <c r="H2599" i="2"/>
  <c r="I2599" i="2"/>
  <c r="J2599" i="2"/>
  <c r="K2599" i="2"/>
  <c r="L2599" i="2"/>
  <c r="M2599" i="2"/>
  <c r="N2599" i="2"/>
  <c r="O2599" i="2"/>
  <c r="P2599" i="2"/>
  <c r="Q2599" i="2"/>
  <c r="R2599" i="2"/>
  <c r="S2599" i="2"/>
  <c r="T2599" i="2"/>
  <c r="U2599" i="2"/>
  <c r="V2599" i="2"/>
  <c r="W2599" i="2"/>
  <c r="X2599" i="2"/>
  <c r="Y2599" i="2"/>
  <c r="Z2599" i="2"/>
  <c r="AA2599" i="2"/>
  <c r="AB2599" i="2"/>
  <c r="AC2599" i="2"/>
  <c r="AD2599" i="2"/>
  <c r="AE2599" i="2"/>
  <c r="AF2599" i="2"/>
  <c r="AG2599" i="2"/>
  <c r="AH2599" i="2"/>
  <c r="AI2599" i="2"/>
  <c r="AJ2599" i="2"/>
  <c r="AK2599" i="2"/>
  <c r="A2600" i="2"/>
  <c r="B2600" i="2"/>
  <c r="C2600" i="2"/>
  <c r="D2600" i="2"/>
  <c r="E2600" i="2"/>
  <c r="F2600" i="2"/>
  <c r="G2600" i="2"/>
  <c r="H2600" i="2"/>
  <c r="I2600" i="2"/>
  <c r="J2600" i="2"/>
  <c r="K2600" i="2"/>
  <c r="L2600" i="2"/>
  <c r="M2600" i="2"/>
  <c r="N2600" i="2"/>
  <c r="O2600" i="2"/>
  <c r="P2600" i="2"/>
  <c r="Q2600" i="2"/>
  <c r="R2600" i="2"/>
  <c r="S2600" i="2"/>
  <c r="T2600" i="2"/>
  <c r="U2600" i="2"/>
  <c r="V2600" i="2"/>
  <c r="W2600" i="2"/>
  <c r="X2600" i="2"/>
  <c r="Y2600" i="2"/>
  <c r="Z2600" i="2"/>
  <c r="AA2600" i="2"/>
  <c r="AB2600" i="2"/>
  <c r="AC2600" i="2"/>
  <c r="AD2600" i="2"/>
  <c r="AE2600" i="2"/>
  <c r="AF2600" i="2"/>
  <c r="AG2600" i="2"/>
  <c r="AH2600" i="2"/>
  <c r="AI2600" i="2"/>
  <c r="AJ2600" i="2"/>
  <c r="AK2600" i="2"/>
  <c r="A2601" i="2"/>
  <c r="B2601" i="2"/>
  <c r="C2601" i="2"/>
  <c r="D2601" i="2"/>
  <c r="E2601" i="2"/>
  <c r="F2601" i="2"/>
  <c r="G2601" i="2"/>
  <c r="H2601" i="2"/>
  <c r="I2601" i="2"/>
  <c r="J2601" i="2"/>
  <c r="K2601" i="2"/>
  <c r="L2601" i="2"/>
  <c r="M2601" i="2"/>
  <c r="N2601" i="2"/>
  <c r="O2601" i="2"/>
  <c r="P2601" i="2"/>
  <c r="Q2601" i="2"/>
  <c r="R2601" i="2"/>
  <c r="S2601" i="2"/>
  <c r="T2601" i="2"/>
  <c r="U2601" i="2"/>
  <c r="V2601" i="2"/>
  <c r="W2601" i="2"/>
  <c r="X2601" i="2"/>
  <c r="Y2601" i="2"/>
  <c r="Z2601" i="2"/>
  <c r="AA2601" i="2"/>
  <c r="AB2601" i="2"/>
  <c r="AC2601" i="2"/>
  <c r="AD2601" i="2"/>
  <c r="AE2601" i="2"/>
  <c r="AF2601" i="2"/>
  <c r="AG2601" i="2"/>
  <c r="AH2601" i="2"/>
  <c r="AI2601" i="2"/>
  <c r="AJ2601" i="2"/>
  <c r="AK2601" i="2"/>
  <c r="A2602" i="2"/>
  <c r="B2602" i="2"/>
  <c r="C2602" i="2"/>
  <c r="D2602" i="2"/>
  <c r="E2602" i="2"/>
  <c r="F2602" i="2"/>
  <c r="G2602" i="2"/>
  <c r="H2602" i="2"/>
  <c r="I2602" i="2"/>
  <c r="J2602" i="2"/>
  <c r="K2602" i="2"/>
  <c r="L2602" i="2"/>
  <c r="M2602" i="2"/>
  <c r="N2602" i="2"/>
  <c r="O2602" i="2"/>
  <c r="P2602" i="2"/>
  <c r="Q2602" i="2"/>
  <c r="R2602" i="2"/>
  <c r="S2602" i="2"/>
  <c r="T2602" i="2"/>
  <c r="U2602" i="2"/>
  <c r="V2602" i="2"/>
  <c r="W2602" i="2"/>
  <c r="X2602" i="2"/>
  <c r="Y2602" i="2"/>
  <c r="Z2602" i="2"/>
  <c r="AA2602" i="2"/>
  <c r="AB2602" i="2"/>
  <c r="AC2602" i="2"/>
  <c r="AD2602" i="2"/>
  <c r="AE2602" i="2"/>
  <c r="AF2602" i="2"/>
  <c r="AG2602" i="2"/>
  <c r="AH2602" i="2"/>
  <c r="AI2602" i="2"/>
  <c r="AJ2602" i="2"/>
  <c r="AK2602" i="2"/>
  <c r="A2603" i="2"/>
  <c r="B2603" i="2"/>
  <c r="C2603" i="2"/>
  <c r="D2603" i="2"/>
  <c r="E2603" i="2"/>
  <c r="F2603" i="2"/>
  <c r="G2603" i="2"/>
  <c r="H2603" i="2"/>
  <c r="I2603" i="2"/>
  <c r="J2603" i="2"/>
  <c r="K2603" i="2"/>
  <c r="L2603" i="2"/>
  <c r="M2603" i="2"/>
  <c r="N2603" i="2"/>
  <c r="O2603" i="2"/>
  <c r="P2603" i="2"/>
  <c r="Q2603" i="2"/>
  <c r="R2603" i="2"/>
  <c r="S2603" i="2"/>
  <c r="T2603" i="2"/>
  <c r="U2603" i="2"/>
  <c r="V2603" i="2"/>
  <c r="W2603" i="2"/>
  <c r="X2603" i="2"/>
  <c r="Y2603" i="2"/>
  <c r="Z2603" i="2"/>
  <c r="AA2603" i="2"/>
  <c r="AB2603" i="2"/>
  <c r="AC2603" i="2"/>
  <c r="AD2603" i="2"/>
  <c r="AE2603" i="2"/>
  <c r="AF2603" i="2"/>
  <c r="AG2603" i="2"/>
  <c r="AH2603" i="2"/>
  <c r="AI2603" i="2"/>
  <c r="AJ2603" i="2"/>
  <c r="AK2603" i="2"/>
  <c r="A2604" i="2"/>
  <c r="B2604" i="2"/>
  <c r="C2604" i="2"/>
  <c r="D2604" i="2"/>
  <c r="E2604" i="2"/>
  <c r="F2604" i="2"/>
  <c r="G2604" i="2"/>
  <c r="H2604" i="2"/>
  <c r="I2604" i="2"/>
  <c r="J2604" i="2"/>
  <c r="K2604" i="2"/>
  <c r="L2604" i="2"/>
  <c r="M2604" i="2"/>
  <c r="N2604" i="2"/>
  <c r="O2604" i="2"/>
  <c r="P2604" i="2"/>
  <c r="Q2604" i="2"/>
  <c r="R2604" i="2"/>
  <c r="S2604" i="2"/>
  <c r="T2604" i="2"/>
  <c r="U2604" i="2"/>
  <c r="V2604" i="2"/>
  <c r="W2604" i="2"/>
  <c r="X2604" i="2"/>
  <c r="Y2604" i="2"/>
  <c r="Z2604" i="2"/>
  <c r="AA2604" i="2"/>
  <c r="AB2604" i="2"/>
  <c r="AC2604" i="2"/>
  <c r="AD2604" i="2"/>
  <c r="AE2604" i="2"/>
  <c r="AF2604" i="2"/>
  <c r="AG2604" i="2"/>
  <c r="AH2604" i="2"/>
  <c r="AI2604" i="2"/>
  <c r="AJ2604" i="2"/>
  <c r="AK2604" i="2"/>
  <c r="A2605" i="2"/>
  <c r="B2605" i="2"/>
  <c r="C2605" i="2"/>
  <c r="D2605" i="2"/>
  <c r="E2605" i="2"/>
  <c r="F2605" i="2"/>
  <c r="G2605" i="2"/>
  <c r="H2605" i="2"/>
  <c r="I2605" i="2"/>
  <c r="J2605" i="2"/>
  <c r="K2605" i="2"/>
  <c r="L2605" i="2"/>
  <c r="M2605" i="2"/>
  <c r="N2605" i="2"/>
  <c r="O2605" i="2"/>
  <c r="P2605" i="2"/>
  <c r="Q2605" i="2"/>
  <c r="R2605" i="2"/>
  <c r="S2605" i="2"/>
  <c r="T2605" i="2"/>
  <c r="U2605" i="2"/>
  <c r="V2605" i="2"/>
  <c r="W2605" i="2"/>
  <c r="X2605" i="2"/>
  <c r="Y2605" i="2"/>
  <c r="Z2605" i="2"/>
  <c r="AA2605" i="2"/>
  <c r="AB2605" i="2"/>
  <c r="AC2605" i="2"/>
  <c r="AD2605" i="2"/>
  <c r="AE2605" i="2"/>
  <c r="AF2605" i="2"/>
  <c r="AG2605" i="2"/>
  <c r="AH2605" i="2"/>
  <c r="AI2605" i="2"/>
  <c r="AJ2605" i="2"/>
  <c r="AK2605" i="2"/>
  <c r="A2606" i="2"/>
  <c r="B2606" i="2"/>
  <c r="C2606" i="2"/>
  <c r="D2606" i="2"/>
  <c r="E2606" i="2"/>
  <c r="F2606" i="2"/>
  <c r="G2606" i="2"/>
  <c r="H2606" i="2"/>
  <c r="I2606" i="2"/>
  <c r="J2606" i="2"/>
  <c r="K2606" i="2"/>
  <c r="L2606" i="2"/>
  <c r="M2606" i="2"/>
  <c r="N2606" i="2"/>
  <c r="O2606" i="2"/>
  <c r="P2606" i="2"/>
  <c r="Q2606" i="2"/>
  <c r="R2606" i="2"/>
  <c r="S2606" i="2"/>
  <c r="T2606" i="2"/>
  <c r="U2606" i="2"/>
  <c r="V2606" i="2"/>
  <c r="W2606" i="2"/>
  <c r="X2606" i="2"/>
  <c r="Y2606" i="2"/>
  <c r="Z2606" i="2"/>
  <c r="AA2606" i="2"/>
  <c r="AB2606" i="2"/>
  <c r="AC2606" i="2"/>
  <c r="AD2606" i="2"/>
  <c r="AE2606" i="2"/>
  <c r="AF2606" i="2"/>
  <c r="AG2606" i="2"/>
  <c r="AH2606" i="2"/>
  <c r="AI2606" i="2"/>
  <c r="AJ2606" i="2"/>
  <c r="AK2606" i="2"/>
  <c r="A2607" i="2"/>
  <c r="B2607" i="2"/>
  <c r="C2607" i="2"/>
  <c r="D2607" i="2"/>
  <c r="E2607" i="2"/>
  <c r="F2607" i="2"/>
  <c r="G2607" i="2"/>
  <c r="H2607" i="2"/>
  <c r="I2607" i="2"/>
  <c r="J2607" i="2"/>
  <c r="K2607" i="2"/>
  <c r="L2607" i="2"/>
  <c r="M2607" i="2"/>
  <c r="N2607" i="2"/>
  <c r="O2607" i="2"/>
  <c r="P2607" i="2"/>
  <c r="Q2607" i="2"/>
  <c r="R2607" i="2"/>
  <c r="S2607" i="2"/>
  <c r="T2607" i="2"/>
  <c r="U2607" i="2"/>
  <c r="V2607" i="2"/>
  <c r="W2607" i="2"/>
  <c r="X2607" i="2"/>
  <c r="Y2607" i="2"/>
  <c r="Z2607" i="2"/>
  <c r="AA2607" i="2"/>
  <c r="AB2607" i="2"/>
  <c r="AC2607" i="2"/>
  <c r="AD2607" i="2"/>
  <c r="AE2607" i="2"/>
  <c r="AF2607" i="2"/>
  <c r="AG2607" i="2"/>
  <c r="AH2607" i="2"/>
  <c r="AI2607" i="2"/>
  <c r="AJ2607" i="2"/>
  <c r="AK2607" i="2"/>
  <c r="A2608" i="2"/>
  <c r="B2608" i="2"/>
  <c r="C2608" i="2"/>
  <c r="D2608" i="2"/>
  <c r="E2608" i="2"/>
  <c r="F2608" i="2"/>
  <c r="G2608" i="2"/>
  <c r="H2608" i="2"/>
  <c r="I2608" i="2"/>
  <c r="J2608" i="2"/>
  <c r="K2608" i="2"/>
  <c r="L2608" i="2"/>
  <c r="M2608" i="2"/>
  <c r="N2608" i="2"/>
  <c r="O2608" i="2"/>
  <c r="P2608" i="2"/>
  <c r="Q2608" i="2"/>
  <c r="R2608" i="2"/>
  <c r="S2608" i="2"/>
  <c r="T2608" i="2"/>
  <c r="U2608" i="2"/>
  <c r="V2608" i="2"/>
  <c r="W2608" i="2"/>
  <c r="X2608" i="2"/>
  <c r="Y2608" i="2"/>
  <c r="Z2608" i="2"/>
  <c r="AA2608" i="2"/>
  <c r="AB2608" i="2"/>
  <c r="AC2608" i="2"/>
  <c r="AD2608" i="2"/>
  <c r="AE2608" i="2"/>
  <c r="AF2608" i="2"/>
  <c r="AG2608" i="2"/>
  <c r="AH2608" i="2"/>
  <c r="AI2608" i="2"/>
  <c r="AJ2608" i="2"/>
  <c r="AK2608" i="2"/>
  <c r="A2609" i="2"/>
  <c r="B2609" i="2"/>
  <c r="C2609" i="2"/>
  <c r="D2609" i="2"/>
  <c r="E2609" i="2"/>
  <c r="F2609" i="2"/>
  <c r="G2609" i="2"/>
  <c r="H2609" i="2"/>
  <c r="I2609" i="2"/>
  <c r="J2609" i="2"/>
  <c r="K2609" i="2"/>
  <c r="L2609" i="2"/>
  <c r="M2609" i="2"/>
  <c r="N2609" i="2"/>
  <c r="O2609" i="2"/>
  <c r="P2609" i="2"/>
  <c r="Q2609" i="2"/>
  <c r="R2609" i="2"/>
  <c r="S2609" i="2"/>
  <c r="T2609" i="2"/>
  <c r="U2609" i="2"/>
  <c r="V2609" i="2"/>
  <c r="W2609" i="2"/>
  <c r="X2609" i="2"/>
  <c r="Y2609" i="2"/>
  <c r="Z2609" i="2"/>
  <c r="AA2609" i="2"/>
  <c r="AB2609" i="2"/>
  <c r="AC2609" i="2"/>
  <c r="AD2609" i="2"/>
  <c r="AE2609" i="2"/>
  <c r="AF2609" i="2"/>
  <c r="AG2609" i="2"/>
  <c r="AH2609" i="2"/>
  <c r="AI2609" i="2"/>
  <c r="AJ2609" i="2"/>
  <c r="AK2609" i="2"/>
  <c r="A2610" i="2"/>
  <c r="B2610" i="2"/>
  <c r="C2610" i="2"/>
  <c r="D2610" i="2"/>
  <c r="E2610" i="2"/>
  <c r="F2610" i="2"/>
  <c r="G2610" i="2"/>
  <c r="H2610" i="2"/>
  <c r="I2610" i="2"/>
  <c r="J2610" i="2"/>
  <c r="K2610" i="2"/>
  <c r="L2610" i="2"/>
  <c r="M2610" i="2"/>
  <c r="N2610" i="2"/>
  <c r="O2610" i="2"/>
  <c r="P2610" i="2"/>
  <c r="Q2610" i="2"/>
  <c r="R2610" i="2"/>
  <c r="S2610" i="2"/>
  <c r="T2610" i="2"/>
  <c r="U2610" i="2"/>
  <c r="V2610" i="2"/>
  <c r="W2610" i="2"/>
  <c r="X2610" i="2"/>
  <c r="Y2610" i="2"/>
  <c r="Z2610" i="2"/>
  <c r="AA2610" i="2"/>
  <c r="AB2610" i="2"/>
  <c r="AC2610" i="2"/>
  <c r="AD2610" i="2"/>
  <c r="AE2610" i="2"/>
  <c r="AF2610" i="2"/>
  <c r="AG2610" i="2"/>
  <c r="AH2610" i="2"/>
  <c r="AI2610" i="2"/>
  <c r="AJ2610" i="2"/>
  <c r="AK2610" i="2"/>
  <c r="A2611" i="2"/>
  <c r="B2611" i="2"/>
  <c r="C2611" i="2"/>
  <c r="D2611" i="2"/>
  <c r="E2611" i="2"/>
  <c r="F2611" i="2"/>
  <c r="G2611" i="2"/>
  <c r="H2611" i="2"/>
  <c r="I2611" i="2"/>
  <c r="J2611" i="2"/>
  <c r="K2611" i="2"/>
  <c r="L2611" i="2"/>
  <c r="M2611" i="2"/>
  <c r="N2611" i="2"/>
  <c r="O2611" i="2"/>
  <c r="P2611" i="2"/>
  <c r="Q2611" i="2"/>
  <c r="R2611" i="2"/>
  <c r="S2611" i="2"/>
  <c r="T2611" i="2"/>
  <c r="U2611" i="2"/>
  <c r="V2611" i="2"/>
  <c r="W2611" i="2"/>
  <c r="X2611" i="2"/>
  <c r="Y2611" i="2"/>
  <c r="Z2611" i="2"/>
  <c r="AA2611" i="2"/>
  <c r="AB2611" i="2"/>
  <c r="AC2611" i="2"/>
  <c r="AD2611" i="2"/>
  <c r="AE2611" i="2"/>
  <c r="AF2611" i="2"/>
  <c r="AG2611" i="2"/>
  <c r="AH2611" i="2"/>
  <c r="AI2611" i="2"/>
  <c r="AJ2611" i="2"/>
  <c r="AK2611" i="2"/>
  <c r="A2612" i="2"/>
  <c r="B2612" i="2"/>
  <c r="C2612" i="2"/>
  <c r="D2612" i="2"/>
  <c r="E2612" i="2"/>
  <c r="F2612" i="2"/>
  <c r="G2612" i="2"/>
  <c r="H2612" i="2"/>
  <c r="I2612" i="2"/>
  <c r="J2612" i="2"/>
  <c r="K2612" i="2"/>
  <c r="L2612" i="2"/>
  <c r="M2612" i="2"/>
  <c r="N2612" i="2"/>
  <c r="O2612" i="2"/>
  <c r="P2612" i="2"/>
  <c r="Q2612" i="2"/>
  <c r="R2612" i="2"/>
  <c r="S2612" i="2"/>
  <c r="T2612" i="2"/>
  <c r="U2612" i="2"/>
  <c r="V2612" i="2"/>
  <c r="W2612" i="2"/>
  <c r="X2612" i="2"/>
  <c r="Y2612" i="2"/>
  <c r="Z2612" i="2"/>
  <c r="AA2612" i="2"/>
  <c r="AB2612" i="2"/>
  <c r="AC2612" i="2"/>
  <c r="AD2612" i="2"/>
  <c r="AE2612" i="2"/>
  <c r="AF2612" i="2"/>
  <c r="AG2612" i="2"/>
  <c r="AH2612" i="2"/>
  <c r="AI2612" i="2"/>
  <c r="AJ2612" i="2"/>
  <c r="AK2612" i="2"/>
  <c r="A2613" i="2"/>
  <c r="B2613" i="2"/>
  <c r="C2613" i="2"/>
  <c r="D2613" i="2"/>
  <c r="E2613" i="2"/>
  <c r="F2613" i="2"/>
  <c r="G2613" i="2"/>
  <c r="H2613" i="2"/>
  <c r="I2613" i="2"/>
  <c r="J2613" i="2"/>
  <c r="K2613" i="2"/>
  <c r="L2613" i="2"/>
  <c r="M2613" i="2"/>
  <c r="N2613" i="2"/>
  <c r="O2613" i="2"/>
  <c r="P2613" i="2"/>
  <c r="Q2613" i="2"/>
  <c r="R2613" i="2"/>
  <c r="S2613" i="2"/>
  <c r="T2613" i="2"/>
  <c r="U2613" i="2"/>
  <c r="V2613" i="2"/>
  <c r="W2613" i="2"/>
  <c r="X2613" i="2"/>
  <c r="Y2613" i="2"/>
  <c r="Z2613" i="2"/>
  <c r="AA2613" i="2"/>
  <c r="AB2613" i="2"/>
  <c r="AC2613" i="2"/>
  <c r="AD2613" i="2"/>
  <c r="AE2613" i="2"/>
  <c r="AF2613" i="2"/>
  <c r="AG2613" i="2"/>
  <c r="AH2613" i="2"/>
  <c r="AI2613" i="2"/>
  <c r="AJ2613" i="2"/>
  <c r="AK2613" i="2"/>
  <c r="A2614" i="2"/>
  <c r="B2614" i="2"/>
  <c r="C2614" i="2"/>
  <c r="D2614" i="2"/>
  <c r="E2614" i="2"/>
  <c r="F2614" i="2"/>
  <c r="G2614" i="2"/>
  <c r="H2614" i="2"/>
  <c r="I2614" i="2"/>
  <c r="J2614" i="2"/>
  <c r="K2614" i="2"/>
  <c r="L2614" i="2"/>
  <c r="M2614" i="2"/>
  <c r="N2614" i="2"/>
  <c r="O2614" i="2"/>
  <c r="P2614" i="2"/>
  <c r="Q2614" i="2"/>
  <c r="R2614" i="2"/>
  <c r="S2614" i="2"/>
  <c r="T2614" i="2"/>
  <c r="U2614" i="2"/>
  <c r="V2614" i="2"/>
  <c r="W2614" i="2"/>
  <c r="X2614" i="2"/>
  <c r="Y2614" i="2"/>
  <c r="Z2614" i="2"/>
  <c r="AA2614" i="2"/>
  <c r="AB2614" i="2"/>
  <c r="AC2614" i="2"/>
  <c r="AD2614" i="2"/>
  <c r="AE2614" i="2"/>
  <c r="AF2614" i="2"/>
  <c r="AG2614" i="2"/>
  <c r="AH2614" i="2"/>
  <c r="AI2614" i="2"/>
  <c r="AJ2614" i="2"/>
  <c r="AK2614" i="2"/>
  <c r="A2615" i="2"/>
  <c r="B2615" i="2"/>
  <c r="C2615" i="2"/>
  <c r="D2615" i="2"/>
  <c r="E2615" i="2"/>
  <c r="F2615" i="2"/>
  <c r="G2615" i="2"/>
  <c r="H2615" i="2"/>
  <c r="I2615" i="2"/>
  <c r="J2615" i="2"/>
  <c r="K2615" i="2"/>
  <c r="L2615" i="2"/>
  <c r="M2615" i="2"/>
  <c r="N2615" i="2"/>
  <c r="O2615" i="2"/>
  <c r="P2615" i="2"/>
  <c r="Q2615" i="2"/>
  <c r="R2615" i="2"/>
  <c r="S2615" i="2"/>
  <c r="T2615" i="2"/>
  <c r="U2615" i="2"/>
  <c r="V2615" i="2"/>
  <c r="W2615" i="2"/>
  <c r="X2615" i="2"/>
  <c r="Y2615" i="2"/>
  <c r="Z2615" i="2"/>
  <c r="AA2615" i="2"/>
  <c r="AB2615" i="2"/>
  <c r="AC2615" i="2"/>
  <c r="AD2615" i="2"/>
  <c r="AE2615" i="2"/>
  <c r="AF2615" i="2"/>
  <c r="AG2615" i="2"/>
  <c r="AH2615" i="2"/>
  <c r="AI2615" i="2"/>
  <c r="AJ2615" i="2"/>
  <c r="AK2615" i="2"/>
  <c r="A2616" i="2"/>
  <c r="B2616" i="2"/>
  <c r="C2616" i="2"/>
  <c r="D2616" i="2"/>
  <c r="E2616" i="2"/>
  <c r="F2616" i="2"/>
  <c r="G2616" i="2"/>
  <c r="H2616" i="2"/>
  <c r="I2616" i="2"/>
  <c r="J2616" i="2"/>
  <c r="K2616" i="2"/>
  <c r="L2616" i="2"/>
  <c r="M2616" i="2"/>
  <c r="N2616" i="2"/>
  <c r="O2616" i="2"/>
  <c r="P2616" i="2"/>
  <c r="Q2616" i="2"/>
  <c r="R2616" i="2"/>
  <c r="S2616" i="2"/>
  <c r="T2616" i="2"/>
  <c r="U2616" i="2"/>
  <c r="V2616" i="2"/>
  <c r="W2616" i="2"/>
  <c r="X2616" i="2"/>
  <c r="Y2616" i="2"/>
  <c r="Z2616" i="2"/>
  <c r="AA2616" i="2"/>
  <c r="AB2616" i="2"/>
  <c r="AC2616" i="2"/>
  <c r="AD2616" i="2"/>
  <c r="AE2616" i="2"/>
  <c r="AF2616" i="2"/>
  <c r="AG2616" i="2"/>
  <c r="AH2616" i="2"/>
  <c r="AI2616" i="2"/>
  <c r="AJ2616" i="2"/>
  <c r="AK2616" i="2"/>
  <c r="A2617" i="2"/>
  <c r="B2617" i="2"/>
  <c r="C2617" i="2"/>
  <c r="D2617" i="2"/>
  <c r="E2617" i="2"/>
  <c r="F2617" i="2"/>
  <c r="G2617" i="2"/>
  <c r="H2617" i="2"/>
  <c r="I2617" i="2"/>
  <c r="J2617" i="2"/>
  <c r="K2617" i="2"/>
  <c r="L2617" i="2"/>
  <c r="M2617" i="2"/>
  <c r="N2617" i="2"/>
  <c r="O2617" i="2"/>
  <c r="P2617" i="2"/>
  <c r="Q2617" i="2"/>
  <c r="R2617" i="2"/>
  <c r="S2617" i="2"/>
  <c r="T2617" i="2"/>
  <c r="U2617" i="2"/>
  <c r="V2617" i="2"/>
  <c r="W2617" i="2"/>
  <c r="X2617" i="2"/>
  <c r="Y2617" i="2"/>
  <c r="Z2617" i="2"/>
  <c r="AA2617" i="2"/>
  <c r="AB2617" i="2"/>
  <c r="AC2617" i="2"/>
  <c r="AD2617" i="2"/>
  <c r="AE2617" i="2"/>
  <c r="AF2617" i="2"/>
  <c r="AG2617" i="2"/>
  <c r="AH2617" i="2"/>
  <c r="AI2617" i="2"/>
  <c r="AJ2617" i="2"/>
  <c r="AK2617" i="2"/>
  <c r="A2618" i="2"/>
  <c r="B2618" i="2"/>
  <c r="C2618" i="2"/>
  <c r="D2618" i="2"/>
  <c r="E2618" i="2"/>
  <c r="F2618" i="2"/>
  <c r="G2618" i="2"/>
  <c r="H2618" i="2"/>
  <c r="I2618" i="2"/>
  <c r="J2618" i="2"/>
  <c r="K2618" i="2"/>
  <c r="L2618" i="2"/>
  <c r="M2618" i="2"/>
  <c r="N2618" i="2"/>
  <c r="O2618" i="2"/>
  <c r="P2618" i="2"/>
  <c r="Q2618" i="2"/>
  <c r="R2618" i="2"/>
  <c r="S2618" i="2"/>
  <c r="T2618" i="2"/>
  <c r="U2618" i="2"/>
  <c r="V2618" i="2"/>
  <c r="W2618" i="2"/>
  <c r="X2618" i="2"/>
  <c r="Y2618" i="2"/>
  <c r="Z2618" i="2"/>
  <c r="AA2618" i="2"/>
  <c r="AB2618" i="2"/>
  <c r="AC2618" i="2"/>
  <c r="AD2618" i="2"/>
  <c r="AE2618" i="2"/>
  <c r="AF2618" i="2"/>
  <c r="AG2618" i="2"/>
  <c r="AH2618" i="2"/>
  <c r="AI2618" i="2"/>
  <c r="AJ2618" i="2"/>
  <c r="AK2618" i="2"/>
  <c r="A2619" i="2"/>
  <c r="B2619" i="2"/>
  <c r="C2619" i="2"/>
  <c r="D2619" i="2"/>
  <c r="E2619" i="2"/>
  <c r="F2619" i="2"/>
  <c r="G2619" i="2"/>
  <c r="H2619" i="2"/>
  <c r="I2619" i="2"/>
  <c r="J2619" i="2"/>
  <c r="K2619" i="2"/>
  <c r="L2619" i="2"/>
  <c r="M2619" i="2"/>
  <c r="N2619" i="2"/>
  <c r="O2619" i="2"/>
  <c r="P2619" i="2"/>
  <c r="Q2619" i="2"/>
  <c r="R2619" i="2"/>
  <c r="S2619" i="2"/>
  <c r="T2619" i="2"/>
  <c r="U2619" i="2"/>
  <c r="V2619" i="2"/>
  <c r="W2619" i="2"/>
  <c r="X2619" i="2"/>
  <c r="Y2619" i="2"/>
  <c r="Z2619" i="2"/>
  <c r="AA2619" i="2"/>
  <c r="AB2619" i="2"/>
  <c r="AC2619" i="2"/>
  <c r="AD2619" i="2"/>
  <c r="AE2619" i="2"/>
  <c r="AF2619" i="2"/>
  <c r="AG2619" i="2"/>
  <c r="AH2619" i="2"/>
  <c r="AI2619" i="2"/>
  <c r="AJ2619" i="2"/>
  <c r="AK2619" i="2"/>
  <c r="A2620" i="2"/>
  <c r="B2620" i="2"/>
  <c r="C2620" i="2"/>
  <c r="D2620" i="2"/>
  <c r="E2620" i="2"/>
  <c r="F2620" i="2"/>
  <c r="G2620" i="2"/>
  <c r="H2620" i="2"/>
  <c r="I2620" i="2"/>
  <c r="J2620" i="2"/>
  <c r="K2620" i="2"/>
  <c r="L2620" i="2"/>
  <c r="M2620" i="2"/>
  <c r="N2620" i="2"/>
  <c r="O2620" i="2"/>
  <c r="P2620" i="2"/>
  <c r="Q2620" i="2"/>
  <c r="R2620" i="2"/>
  <c r="S2620" i="2"/>
  <c r="T2620" i="2"/>
  <c r="U2620" i="2"/>
  <c r="V2620" i="2"/>
  <c r="W2620" i="2"/>
  <c r="X2620" i="2"/>
  <c r="Y2620" i="2"/>
  <c r="Z2620" i="2"/>
  <c r="AA2620" i="2"/>
  <c r="AB2620" i="2"/>
  <c r="AC2620" i="2"/>
  <c r="AD2620" i="2"/>
  <c r="AE2620" i="2"/>
  <c r="AF2620" i="2"/>
  <c r="AG2620" i="2"/>
  <c r="AH2620" i="2"/>
  <c r="AI2620" i="2"/>
  <c r="AJ2620" i="2"/>
  <c r="AK2620" i="2"/>
  <c r="A2621" i="2"/>
  <c r="B2621" i="2"/>
  <c r="C2621" i="2"/>
  <c r="D2621" i="2"/>
  <c r="E2621" i="2"/>
  <c r="F2621" i="2"/>
  <c r="G2621" i="2"/>
  <c r="H2621" i="2"/>
  <c r="I2621" i="2"/>
  <c r="J2621" i="2"/>
  <c r="K2621" i="2"/>
  <c r="L2621" i="2"/>
  <c r="M2621" i="2"/>
  <c r="N2621" i="2"/>
  <c r="O2621" i="2"/>
  <c r="P2621" i="2"/>
  <c r="Q2621" i="2"/>
  <c r="R2621" i="2"/>
  <c r="S2621" i="2"/>
  <c r="T2621" i="2"/>
  <c r="U2621" i="2"/>
  <c r="V2621" i="2"/>
  <c r="W2621" i="2"/>
  <c r="X2621" i="2"/>
  <c r="Y2621" i="2"/>
  <c r="Z2621" i="2"/>
  <c r="AA2621" i="2"/>
  <c r="AB2621" i="2"/>
  <c r="AC2621" i="2"/>
  <c r="AD2621" i="2"/>
  <c r="AE2621" i="2"/>
  <c r="AF2621" i="2"/>
  <c r="AG2621" i="2"/>
  <c r="AH2621" i="2"/>
  <c r="AI2621" i="2"/>
  <c r="AJ2621" i="2"/>
  <c r="AK2621" i="2"/>
  <c r="A2622" i="2"/>
  <c r="B2622" i="2"/>
  <c r="C2622" i="2"/>
  <c r="D2622" i="2"/>
  <c r="E2622" i="2"/>
  <c r="F2622" i="2"/>
  <c r="G2622" i="2"/>
  <c r="H2622" i="2"/>
  <c r="I2622" i="2"/>
  <c r="J2622" i="2"/>
  <c r="K2622" i="2"/>
  <c r="L2622" i="2"/>
  <c r="M2622" i="2"/>
  <c r="N2622" i="2"/>
  <c r="O2622" i="2"/>
  <c r="P2622" i="2"/>
  <c r="Q2622" i="2"/>
  <c r="R2622" i="2"/>
  <c r="S2622" i="2"/>
  <c r="T2622" i="2"/>
  <c r="U2622" i="2"/>
  <c r="V2622" i="2"/>
  <c r="W2622" i="2"/>
  <c r="X2622" i="2"/>
  <c r="Y2622" i="2"/>
  <c r="Z2622" i="2"/>
  <c r="AA2622" i="2"/>
  <c r="AB2622" i="2"/>
  <c r="AC2622" i="2"/>
  <c r="AD2622" i="2"/>
  <c r="AE2622" i="2"/>
  <c r="AF2622" i="2"/>
  <c r="AG2622" i="2"/>
  <c r="AH2622" i="2"/>
  <c r="AI2622" i="2"/>
  <c r="AJ2622" i="2"/>
  <c r="AK2622" i="2"/>
  <c r="A2623" i="2"/>
  <c r="B2623" i="2"/>
  <c r="C2623" i="2"/>
  <c r="D2623" i="2"/>
  <c r="E2623" i="2"/>
  <c r="F2623" i="2"/>
  <c r="G2623" i="2"/>
  <c r="H2623" i="2"/>
  <c r="I2623" i="2"/>
  <c r="J2623" i="2"/>
  <c r="K2623" i="2"/>
  <c r="L2623" i="2"/>
  <c r="M2623" i="2"/>
  <c r="N2623" i="2"/>
  <c r="O2623" i="2"/>
  <c r="P2623" i="2"/>
  <c r="Q2623" i="2"/>
  <c r="R2623" i="2"/>
  <c r="S2623" i="2"/>
  <c r="T2623" i="2"/>
  <c r="U2623" i="2"/>
  <c r="V2623" i="2"/>
  <c r="W2623" i="2"/>
  <c r="X2623" i="2"/>
  <c r="Y2623" i="2"/>
  <c r="Z2623" i="2"/>
  <c r="AA2623" i="2"/>
  <c r="AB2623" i="2"/>
  <c r="AC2623" i="2"/>
  <c r="AD2623" i="2"/>
  <c r="AE2623" i="2"/>
  <c r="AF2623" i="2"/>
  <c r="AG2623" i="2"/>
  <c r="AH2623" i="2"/>
  <c r="AI2623" i="2"/>
  <c r="AJ2623" i="2"/>
  <c r="AK2623" i="2"/>
  <c r="A2624" i="2"/>
  <c r="B2624" i="2"/>
  <c r="C2624" i="2"/>
  <c r="D2624" i="2"/>
  <c r="E2624" i="2"/>
  <c r="F2624" i="2"/>
  <c r="G2624" i="2"/>
  <c r="H2624" i="2"/>
  <c r="I2624" i="2"/>
  <c r="J2624" i="2"/>
  <c r="K2624" i="2"/>
  <c r="L2624" i="2"/>
  <c r="M2624" i="2"/>
  <c r="N2624" i="2"/>
  <c r="O2624" i="2"/>
  <c r="P2624" i="2"/>
  <c r="Q2624" i="2"/>
  <c r="R2624" i="2"/>
  <c r="S2624" i="2"/>
  <c r="T2624" i="2"/>
  <c r="U2624" i="2"/>
  <c r="V2624" i="2"/>
  <c r="W2624" i="2"/>
  <c r="X2624" i="2"/>
  <c r="Y2624" i="2"/>
  <c r="Z2624" i="2"/>
  <c r="AA2624" i="2"/>
  <c r="AB2624" i="2"/>
  <c r="AC2624" i="2"/>
  <c r="AD2624" i="2"/>
  <c r="AE2624" i="2"/>
  <c r="AF2624" i="2"/>
  <c r="AG2624" i="2"/>
  <c r="AH2624" i="2"/>
  <c r="AI2624" i="2"/>
  <c r="AJ2624" i="2"/>
  <c r="AK2624" i="2"/>
  <c r="A2625" i="2"/>
  <c r="B2625" i="2"/>
  <c r="C2625" i="2"/>
  <c r="D2625" i="2"/>
  <c r="E2625" i="2"/>
  <c r="F2625" i="2"/>
  <c r="G2625" i="2"/>
  <c r="H2625" i="2"/>
  <c r="I2625" i="2"/>
  <c r="J2625" i="2"/>
  <c r="K2625" i="2"/>
  <c r="L2625" i="2"/>
  <c r="M2625" i="2"/>
  <c r="N2625" i="2"/>
  <c r="O2625" i="2"/>
  <c r="P2625" i="2"/>
  <c r="Q2625" i="2"/>
  <c r="R2625" i="2"/>
  <c r="S2625" i="2"/>
  <c r="T2625" i="2"/>
  <c r="U2625" i="2"/>
  <c r="V2625" i="2"/>
  <c r="W2625" i="2"/>
  <c r="X2625" i="2"/>
  <c r="Y2625" i="2"/>
  <c r="Z2625" i="2"/>
  <c r="AA2625" i="2"/>
  <c r="AB2625" i="2"/>
  <c r="AC2625" i="2"/>
  <c r="AD2625" i="2"/>
  <c r="AE2625" i="2"/>
  <c r="AF2625" i="2"/>
  <c r="AG2625" i="2"/>
  <c r="AH2625" i="2"/>
  <c r="AI2625" i="2"/>
  <c r="AJ2625" i="2"/>
  <c r="AK2625" i="2"/>
  <c r="A2626" i="2"/>
  <c r="B2626" i="2"/>
  <c r="C2626" i="2"/>
  <c r="D2626" i="2"/>
  <c r="E2626" i="2"/>
  <c r="F2626" i="2"/>
  <c r="G2626" i="2"/>
  <c r="H2626" i="2"/>
  <c r="I2626" i="2"/>
  <c r="J2626" i="2"/>
  <c r="K2626" i="2"/>
  <c r="L2626" i="2"/>
  <c r="M2626" i="2"/>
  <c r="N2626" i="2"/>
  <c r="O2626" i="2"/>
  <c r="P2626" i="2"/>
  <c r="Q2626" i="2"/>
  <c r="R2626" i="2"/>
  <c r="S2626" i="2"/>
  <c r="T2626" i="2"/>
  <c r="U2626" i="2"/>
  <c r="V2626" i="2"/>
  <c r="W2626" i="2"/>
  <c r="X2626" i="2"/>
  <c r="Y2626" i="2"/>
  <c r="Z2626" i="2"/>
  <c r="AA2626" i="2"/>
  <c r="AB2626" i="2"/>
  <c r="AC2626" i="2"/>
  <c r="AD2626" i="2"/>
  <c r="AE2626" i="2"/>
  <c r="AF2626" i="2"/>
  <c r="AG2626" i="2"/>
  <c r="AH2626" i="2"/>
  <c r="AI2626" i="2"/>
  <c r="AJ2626" i="2"/>
  <c r="AK2626" i="2"/>
  <c r="A2627" i="2"/>
  <c r="B2627" i="2"/>
  <c r="C2627" i="2"/>
  <c r="D2627" i="2"/>
  <c r="E2627" i="2"/>
  <c r="F2627" i="2"/>
  <c r="G2627" i="2"/>
  <c r="H2627" i="2"/>
  <c r="I2627" i="2"/>
  <c r="J2627" i="2"/>
  <c r="K2627" i="2"/>
  <c r="L2627" i="2"/>
  <c r="M2627" i="2"/>
  <c r="N2627" i="2"/>
  <c r="O2627" i="2"/>
  <c r="P2627" i="2"/>
  <c r="Q2627" i="2"/>
  <c r="R2627" i="2"/>
  <c r="S2627" i="2"/>
  <c r="T2627" i="2"/>
  <c r="U2627" i="2"/>
  <c r="V2627" i="2"/>
  <c r="W2627" i="2"/>
  <c r="X2627" i="2"/>
  <c r="Y2627" i="2"/>
  <c r="Z2627" i="2"/>
  <c r="AA2627" i="2"/>
  <c r="AB2627" i="2"/>
  <c r="AC2627" i="2"/>
  <c r="AD2627" i="2"/>
  <c r="AE2627" i="2"/>
  <c r="AF2627" i="2"/>
  <c r="AG2627" i="2"/>
  <c r="AH2627" i="2"/>
  <c r="AI2627" i="2"/>
  <c r="AJ2627" i="2"/>
  <c r="AK2627" i="2"/>
  <c r="A2628" i="2"/>
  <c r="B2628" i="2"/>
  <c r="C2628" i="2"/>
  <c r="D2628" i="2"/>
  <c r="E2628" i="2"/>
  <c r="F2628" i="2"/>
  <c r="G2628" i="2"/>
  <c r="H2628" i="2"/>
  <c r="I2628" i="2"/>
  <c r="J2628" i="2"/>
  <c r="K2628" i="2"/>
  <c r="L2628" i="2"/>
  <c r="M2628" i="2"/>
  <c r="N2628" i="2"/>
  <c r="O2628" i="2"/>
  <c r="P2628" i="2"/>
  <c r="Q2628" i="2"/>
  <c r="R2628" i="2"/>
  <c r="S2628" i="2"/>
  <c r="T2628" i="2"/>
  <c r="U2628" i="2"/>
  <c r="V2628" i="2"/>
  <c r="W2628" i="2"/>
  <c r="X2628" i="2"/>
  <c r="Y2628" i="2"/>
  <c r="Z2628" i="2"/>
  <c r="AA2628" i="2"/>
  <c r="AB2628" i="2"/>
  <c r="AC2628" i="2"/>
  <c r="AD2628" i="2"/>
  <c r="AE2628" i="2"/>
  <c r="AF2628" i="2"/>
  <c r="AG2628" i="2"/>
  <c r="AH2628" i="2"/>
  <c r="AI2628" i="2"/>
  <c r="AJ2628" i="2"/>
  <c r="AK2628" i="2"/>
  <c r="A2629" i="2"/>
  <c r="B2629" i="2"/>
  <c r="C2629" i="2"/>
  <c r="D2629" i="2"/>
  <c r="E2629" i="2"/>
  <c r="F2629" i="2"/>
  <c r="G2629" i="2"/>
  <c r="H2629" i="2"/>
  <c r="I2629" i="2"/>
  <c r="J2629" i="2"/>
  <c r="K2629" i="2"/>
  <c r="L2629" i="2"/>
  <c r="M2629" i="2"/>
  <c r="N2629" i="2"/>
  <c r="O2629" i="2"/>
  <c r="P2629" i="2"/>
  <c r="Q2629" i="2"/>
  <c r="R2629" i="2"/>
  <c r="S2629" i="2"/>
  <c r="T2629" i="2"/>
  <c r="U2629" i="2"/>
  <c r="V2629" i="2"/>
  <c r="W2629" i="2"/>
  <c r="X2629" i="2"/>
  <c r="Y2629" i="2"/>
  <c r="Z2629" i="2"/>
  <c r="AA2629" i="2"/>
  <c r="AB2629" i="2"/>
  <c r="AC2629" i="2"/>
  <c r="AD2629" i="2"/>
  <c r="AE2629" i="2"/>
  <c r="AF2629" i="2"/>
  <c r="AG2629" i="2"/>
  <c r="AH2629" i="2"/>
  <c r="AI2629" i="2"/>
  <c r="AJ2629" i="2"/>
  <c r="AK2629" i="2"/>
  <c r="A2630" i="2"/>
  <c r="B2630" i="2"/>
  <c r="C2630" i="2"/>
  <c r="D2630" i="2"/>
  <c r="E2630" i="2"/>
  <c r="F2630" i="2"/>
  <c r="G2630" i="2"/>
  <c r="H2630" i="2"/>
  <c r="I2630" i="2"/>
  <c r="J2630" i="2"/>
  <c r="K2630" i="2"/>
  <c r="L2630" i="2"/>
  <c r="M2630" i="2"/>
  <c r="N2630" i="2"/>
  <c r="O2630" i="2"/>
  <c r="P2630" i="2"/>
  <c r="Q2630" i="2"/>
  <c r="R2630" i="2"/>
  <c r="S2630" i="2"/>
  <c r="T2630" i="2"/>
  <c r="U2630" i="2"/>
  <c r="V2630" i="2"/>
  <c r="W2630" i="2"/>
  <c r="X2630" i="2"/>
  <c r="Y2630" i="2"/>
  <c r="Z2630" i="2"/>
  <c r="AA2630" i="2"/>
  <c r="AB2630" i="2"/>
  <c r="AC2630" i="2"/>
  <c r="AD2630" i="2"/>
  <c r="AE2630" i="2"/>
  <c r="AF2630" i="2"/>
  <c r="AG2630" i="2"/>
  <c r="AH2630" i="2"/>
  <c r="AI2630" i="2"/>
  <c r="AJ2630" i="2"/>
  <c r="AK2630" i="2"/>
  <c r="A2631" i="2"/>
  <c r="B2631" i="2"/>
  <c r="C2631" i="2"/>
  <c r="D2631" i="2"/>
  <c r="E2631" i="2"/>
  <c r="F2631" i="2"/>
  <c r="G2631" i="2"/>
  <c r="H2631" i="2"/>
  <c r="I2631" i="2"/>
  <c r="J2631" i="2"/>
  <c r="K2631" i="2"/>
  <c r="L2631" i="2"/>
  <c r="M2631" i="2"/>
  <c r="N2631" i="2"/>
  <c r="O2631" i="2"/>
  <c r="P2631" i="2"/>
  <c r="Q2631" i="2"/>
  <c r="R2631" i="2"/>
  <c r="S2631" i="2"/>
  <c r="T2631" i="2"/>
  <c r="U2631" i="2"/>
  <c r="V2631" i="2"/>
  <c r="W2631" i="2"/>
  <c r="X2631" i="2"/>
  <c r="Y2631" i="2"/>
  <c r="Z2631" i="2"/>
  <c r="AA2631" i="2"/>
  <c r="AB2631" i="2"/>
  <c r="AC2631" i="2"/>
  <c r="AD2631" i="2"/>
  <c r="AE2631" i="2"/>
  <c r="AF2631" i="2"/>
  <c r="AG2631" i="2"/>
  <c r="AH2631" i="2"/>
  <c r="AI2631" i="2"/>
  <c r="AJ2631" i="2"/>
  <c r="AK2631" i="2"/>
  <c r="A2632" i="2"/>
  <c r="B2632" i="2"/>
  <c r="C2632" i="2"/>
  <c r="D2632" i="2"/>
  <c r="E2632" i="2"/>
  <c r="F2632" i="2"/>
  <c r="G2632" i="2"/>
  <c r="H2632" i="2"/>
  <c r="I2632" i="2"/>
  <c r="J2632" i="2"/>
  <c r="K2632" i="2"/>
  <c r="L2632" i="2"/>
  <c r="M2632" i="2"/>
  <c r="N2632" i="2"/>
  <c r="O2632" i="2"/>
  <c r="P2632" i="2"/>
  <c r="Q2632" i="2"/>
  <c r="R2632" i="2"/>
  <c r="S2632" i="2"/>
  <c r="T2632" i="2"/>
  <c r="U2632" i="2"/>
  <c r="V2632" i="2"/>
  <c r="W2632" i="2"/>
  <c r="X2632" i="2"/>
  <c r="Y2632" i="2"/>
  <c r="Z2632" i="2"/>
  <c r="AA2632" i="2"/>
  <c r="AB2632" i="2"/>
  <c r="AC2632" i="2"/>
  <c r="AD2632" i="2"/>
  <c r="AE2632" i="2"/>
  <c r="AF2632" i="2"/>
  <c r="AG2632" i="2"/>
  <c r="AH2632" i="2"/>
  <c r="AI2632" i="2"/>
  <c r="AJ2632" i="2"/>
  <c r="AK2632" i="2"/>
  <c r="A2633" i="2"/>
  <c r="B2633" i="2"/>
  <c r="C2633" i="2"/>
  <c r="D2633" i="2"/>
  <c r="E2633" i="2"/>
  <c r="F2633" i="2"/>
  <c r="G2633" i="2"/>
  <c r="H2633" i="2"/>
  <c r="I2633" i="2"/>
  <c r="J2633" i="2"/>
  <c r="K2633" i="2"/>
  <c r="L2633" i="2"/>
  <c r="M2633" i="2"/>
  <c r="N2633" i="2"/>
  <c r="O2633" i="2"/>
  <c r="P2633" i="2"/>
  <c r="Q2633" i="2"/>
  <c r="R2633" i="2"/>
  <c r="S2633" i="2"/>
  <c r="T2633" i="2"/>
  <c r="U2633" i="2"/>
  <c r="V2633" i="2"/>
  <c r="W2633" i="2"/>
  <c r="X2633" i="2"/>
  <c r="Y2633" i="2"/>
  <c r="Z2633" i="2"/>
  <c r="AA2633" i="2"/>
  <c r="AB2633" i="2"/>
  <c r="AC2633" i="2"/>
  <c r="AD2633" i="2"/>
  <c r="AE2633" i="2"/>
  <c r="AF2633" i="2"/>
  <c r="AG2633" i="2"/>
  <c r="AH2633" i="2"/>
  <c r="AI2633" i="2"/>
  <c r="AJ2633" i="2"/>
  <c r="AK2633" i="2"/>
  <c r="A2634" i="2"/>
  <c r="B2634" i="2"/>
  <c r="C2634" i="2"/>
  <c r="D2634" i="2"/>
  <c r="E2634" i="2"/>
  <c r="F2634" i="2"/>
  <c r="G2634" i="2"/>
  <c r="H2634" i="2"/>
  <c r="I2634" i="2"/>
  <c r="J2634" i="2"/>
  <c r="K2634" i="2"/>
  <c r="L2634" i="2"/>
  <c r="M2634" i="2"/>
  <c r="N2634" i="2"/>
  <c r="O2634" i="2"/>
  <c r="P2634" i="2"/>
  <c r="Q2634" i="2"/>
  <c r="R2634" i="2"/>
  <c r="S2634" i="2"/>
  <c r="T2634" i="2"/>
  <c r="U2634" i="2"/>
  <c r="V2634" i="2"/>
  <c r="W2634" i="2"/>
  <c r="X2634" i="2"/>
  <c r="Y2634" i="2"/>
  <c r="Z2634" i="2"/>
  <c r="AA2634" i="2"/>
  <c r="AB2634" i="2"/>
  <c r="AC2634" i="2"/>
  <c r="AD2634" i="2"/>
  <c r="AE2634" i="2"/>
  <c r="AF2634" i="2"/>
  <c r="AG2634" i="2"/>
  <c r="AH2634" i="2"/>
  <c r="AI2634" i="2"/>
  <c r="AJ2634" i="2"/>
  <c r="AK2634" i="2"/>
  <c r="A2635" i="2"/>
  <c r="B2635" i="2"/>
  <c r="C2635" i="2"/>
  <c r="D2635" i="2"/>
  <c r="E2635" i="2"/>
  <c r="F2635" i="2"/>
  <c r="G2635" i="2"/>
  <c r="H2635" i="2"/>
  <c r="I2635" i="2"/>
  <c r="J2635" i="2"/>
  <c r="K2635" i="2"/>
  <c r="L2635" i="2"/>
  <c r="M2635" i="2"/>
  <c r="N2635" i="2"/>
  <c r="O2635" i="2"/>
  <c r="P2635" i="2"/>
  <c r="Q2635" i="2"/>
  <c r="R2635" i="2"/>
  <c r="S2635" i="2"/>
  <c r="T2635" i="2"/>
  <c r="U2635" i="2"/>
  <c r="V2635" i="2"/>
  <c r="W2635" i="2"/>
  <c r="X2635" i="2"/>
  <c r="Y2635" i="2"/>
  <c r="Z2635" i="2"/>
  <c r="AA2635" i="2"/>
  <c r="AB2635" i="2"/>
  <c r="AC2635" i="2"/>
  <c r="AD2635" i="2"/>
  <c r="AE2635" i="2"/>
  <c r="AF2635" i="2"/>
  <c r="AG2635" i="2"/>
  <c r="AH2635" i="2"/>
  <c r="AI2635" i="2"/>
  <c r="AJ2635" i="2"/>
  <c r="AK2635" i="2"/>
  <c r="A2636" i="2"/>
  <c r="B2636" i="2"/>
  <c r="C2636" i="2"/>
  <c r="D2636" i="2"/>
  <c r="E2636" i="2"/>
  <c r="F2636" i="2"/>
  <c r="G2636" i="2"/>
  <c r="H2636" i="2"/>
  <c r="I2636" i="2"/>
  <c r="J2636" i="2"/>
  <c r="K2636" i="2"/>
  <c r="L2636" i="2"/>
  <c r="M2636" i="2"/>
  <c r="N2636" i="2"/>
  <c r="O2636" i="2"/>
  <c r="P2636" i="2"/>
  <c r="Q2636" i="2"/>
  <c r="R2636" i="2"/>
  <c r="S2636" i="2"/>
  <c r="T2636" i="2"/>
  <c r="U2636" i="2"/>
  <c r="V2636" i="2"/>
  <c r="W2636" i="2"/>
  <c r="X2636" i="2"/>
  <c r="Y2636" i="2"/>
  <c r="Z2636" i="2"/>
  <c r="AA2636" i="2"/>
  <c r="AB2636" i="2"/>
  <c r="AC2636" i="2"/>
  <c r="AD2636" i="2"/>
  <c r="AE2636" i="2"/>
  <c r="AF2636" i="2"/>
  <c r="AG2636" i="2"/>
  <c r="AH2636" i="2"/>
  <c r="AI2636" i="2"/>
  <c r="AJ2636" i="2"/>
  <c r="AK2636" i="2"/>
  <c r="A2637" i="2"/>
  <c r="B2637" i="2"/>
  <c r="C2637" i="2"/>
  <c r="D2637" i="2"/>
  <c r="E2637" i="2"/>
  <c r="F2637" i="2"/>
  <c r="G2637" i="2"/>
  <c r="H2637" i="2"/>
  <c r="I2637" i="2"/>
  <c r="J2637" i="2"/>
  <c r="K2637" i="2"/>
  <c r="L2637" i="2"/>
  <c r="M2637" i="2"/>
  <c r="N2637" i="2"/>
  <c r="O2637" i="2"/>
  <c r="P2637" i="2"/>
  <c r="Q2637" i="2"/>
  <c r="R2637" i="2"/>
  <c r="S2637" i="2"/>
  <c r="T2637" i="2"/>
  <c r="U2637" i="2"/>
  <c r="V2637" i="2"/>
  <c r="W2637" i="2"/>
  <c r="X2637" i="2"/>
  <c r="Y2637" i="2"/>
  <c r="Z2637" i="2"/>
  <c r="AA2637" i="2"/>
  <c r="AB2637" i="2"/>
  <c r="AC2637" i="2"/>
  <c r="AD2637" i="2"/>
  <c r="AE2637" i="2"/>
  <c r="AF2637" i="2"/>
  <c r="AG2637" i="2"/>
  <c r="AH2637" i="2"/>
  <c r="AI2637" i="2"/>
  <c r="AJ2637" i="2"/>
  <c r="AK2637" i="2"/>
  <c r="A2638" i="2"/>
  <c r="B2638" i="2"/>
  <c r="C2638" i="2"/>
  <c r="D2638" i="2"/>
  <c r="E2638" i="2"/>
  <c r="F2638" i="2"/>
  <c r="G2638" i="2"/>
  <c r="H2638" i="2"/>
  <c r="I2638" i="2"/>
  <c r="J2638" i="2"/>
  <c r="K2638" i="2"/>
  <c r="L2638" i="2"/>
  <c r="M2638" i="2"/>
  <c r="N2638" i="2"/>
  <c r="O2638" i="2"/>
  <c r="P2638" i="2"/>
  <c r="Q2638" i="2"/>
  <c r="R2638" i="2"/>
  <c r="S2638" i="2"/>
  <c r="T2638" i="2"/>
  <c r="U2638" i="2"/>
  <c r="V2638" i="2"/>
  <c r="W2638" i="2"/>
  <c r="X2638" i="2"/>
  <c r="Y2638" i="2"/>
  <c r="Z2638" i="2"/>
  <c r="AA2638" i="2"/>
  <c r="AB2638" i="2"/>
  <c r="AC2638" i="2"/>
  <c r="AD2638" i="2"/>
  <c r="AE2638" i="2"/>
  <c r="AF2638" i="2"/>
  <c r="AG2638" i="2"/>
  <c r="AH2638" i="2"/>
  <c r="AI2638" i="2"/>
  <c r="AJ2638" i="2"/>
  <c r="AK2638" i="2"/>
  <c r="A2639" i="2"/>
  <c r="B2639" i="2"/>
  <c r="C2639" i="2"/>
  <c r="D2639" i="2"/>
  <c r="E2639" i="2"/>
  <c r="F2639" i="2"/>
  <c r="G2639" i="2"/>
  <c r="H2639" i="2"/>
  <c r="I2639" i="2"/>
  <c r="J2639" i="2"/>
  <c r="K2639" i="2"/>
  <c r="L2639" i="2"/>
  <c r="M2639" i="2"/>
  <c r="N2639" i="2"/>
  <c r="O2639" i="2"/>
  <c r="P2639" i="2"/>
  <c r="Q2639" i="2"/>
  <c r="R2639" i="2"/>
  <c r="S2639" i="2"/>
  <c r="T2639" i="2"/>
  <c r="U2639" i="2"/>
  <c r="V2639" i="2"/>
  <c r="W2639" i="2"/>
  <c r="X2639" i="2"/>
  <c r="Y2639" i="2"/>
  <c r="Z2639" i="2"/>
  <c r="AA2639" i="2"/>
  <c r="AB2639" i="2"/>
  <c r="AC2639" i="2"/>
  <c r="AD2639" i="2"/>
  <c r="AE2639" i="2"/>
  <c r="AF2639" i="2"/>
  <c r="AG2639" i="2"/>
  <c r="AH2639" i="2"/>
  <c r="AI2639" i="2"/>
  <c r="AJ2639" i="2"/>
  <c r="AK2639" i="2"/>
  <c r="A2640" i="2"/>
  <c r="B2640" i="2"/>
  <c r="C2640" i="2"/>
  <c r="D2640" i="2"/>
  <c r="E2640" i="2"/>
  <c r="F2640" i="2"/>
  <c r="G2640" i="2"/>
  <c r="H2640" i="2"/>
  <c r="I2640" i="2"/>
  <c r="J2640" i="2"/>
  <c r="K2640" i="2"/>
  <c r="L2640" i="2"/>
  <c r="M2640" i="2"/>
  <c r="N2640" i="2"/>
  <c r="O2640" i="2"/>
  <c r="P2640" i="2"/>
  <c r="Q2640" i="2"/>
  <c r="R2640" i="2"/>
  <c r="S2640" i="2"/>
  <c r="T2640" i="2"/>
  <c r="U2640" i="2"/>
  <c r="V2640" i="2"/>
  <c r="W2640" i="2"/>
  <c r="X2640" i="2"/>
  <c r="Y2640" i="2"/>
  <c r="Z2640" i="2"/>
  <c r="AA2640" i="2"/>
  <c r="AB2640" i="2"/>
  <c r="AC2640" i="2"/>
  <c r="AD2640" i="2"/>
  <c r="AE2640" i="2"/>
  <c r="AF2640" i="2"/>
  <c r="AG2640" i="2"/>
  <c r="AH2640" i="2"/>
  <c r="AI2640" i="2"/>
  <c r="AJ2640" i="2"/>
  <c r="AK2640" i="2"/>
  <c r="A2641" i="2"/>
  <c r="B2641" i="2"/>
  <c r="C2641" i="2"/>
  <c r="D2641" i="2"/>
  <c r="E2641" i="2"/>
  <c r="F2641" i="2"/>
  <c r="G2641" i="2"/>
  <c r="H2641" i="2"/>
  <c r="I2641" i="2"/>
  <c r="J2641" i="2"/>
  <c r="K2641" i="2"/>
  <c r="L2641" i="2"/>
  <c r="M2641" i="2"/>
  <c r="N2641" i="2"/>
  <c r="O2641" i="2"/>
  <c r="P2641" i="2"/>
  <c r="Q2641" i="2"/>
  <c r="R2641" i="2"/>
  <c r="S2641" i="2"/>
  <c r="T2641" i="2"/>
  <c r="U2641" i="2"/>
  <c r="V2641" i="2"/>
  <c r="W2641" i="2"/>
  <c r="X2641" i="2"/>
  <c r="Y2641" i="2"/>
  <c r="Z2641" i="2"/>
  <c r="AA2641" i="2"/>
  <c r="AB2641" i="2"/>
  <c r="AC2641" i="2"/>
  <c r="AD2641" i="2"/>
  <c r="AE2641" i="2"/>
  <c r="AF2641" i="2"/>
  <c r="AG2641" i="2"/>
  <c r="AH2641" i="2"/>
  <c r="AI2641" i="2"/>
  <c r="AJ2641" i="2"/>
  <c r="AK2641" i="2"/>
  <c r="A2642" i="2"/>
  <c r="B2642" i="2"/>
  <c r="C2642" i="2"/>
  <c r="D2642" i="2"/>
  <c r="E2642" i="2"/>
  <c r="F2642" i="2"/>
  <c r="G2642" i="2"/>
  <c r="H2642" i="2"/>
  <c r="I2642" i="2"/>
  <c r="J2642" i="2"/>
  <c r="K2642" i="2"/>
  <c r="L2642" i="2"/>
  <c r="M2642" i="2"/>
  <c r="N2642" i="2"/>
  <c r="O2642" i="2"/>
  <c r="P2642" i="2"/>
  <c r="Q2642" i="2"/>
  <c r="R2642" i="2"/>
  <c r="S2642" i="2"/>
  <c r="T2642" i="2"/>
  <c r="U2642" i="2"/>
  <c r="V2642" i="2"/>
  <c r="W2642" i="2"/>
  <c r="X2642" i="2"/>
  <c r="Y2642" i="2"/>
  <c r="Z2642" i="2"/>
  <c r="AA2642" i="2"/>
  <c r="AB2642" i="2"/>
  <c r="AC2642" i="2"/>
  <c r="AD2642" i="2"/>
  <c r="AE2642" i="2"/>
  <c r="AF2642" i="2"/>
  <c r="AG2642" i="2"/>
  <c r="AH2642" i="2"/>
  <c r="AI2642" i="2"/>
  <c r="AJ2642" i="2"/>
  <c r="AK2642" i="2"/>
  <c r="A2643" i="2"/>
  <c r="B2643" i="2"/>
  <c r="C2643" i="2"/>
  <c r="D2643" i="2"/>
  <c r="E2643" i="2"/>
  <c r="F2643" i="2"/>
  <c r="G2643" i="2"/>
  <c r="H2643" i="2"/>
  <c r="I2643" i="2"/>
  <c r="J2643" i="2"/>
  <c r="K2643" i="2"/>
  <c r="L2643" i="2"/>
  <c r="M2643" i="2"/>
  <c r="N2643" i="2"/>
  <c r="O2643" i="2"/>
  <c r="P2643" i="2"/>
  <c r="Q2643" i="2"/>
  <c r="R2643" i="2"/>
  <c r="S2643" i="2"/>
  <c r="T2643" i="2"/>
  <c r="U2643" i="2"/>
  <c r="V2643" i="2"/>
  <c r="W2643" i="2"/>
  <c r="X2643" i="2"/>
  <c r="Y2643" i="2"/>
  <c r="Z2643" i="2"/>
  <c r="AA2643" i="2"/>
  <c r="AB2643" i="2"/>
  <c r="AC2643" i="2"/>
  <c r="AD2643" i="2"/>
  <c r="AE2643" i="2"/>
  <c r="AF2643" i="2"/>
  <c r="AG2643" i="2"/>
  <c r="AH2643" i="2"/>
  <c r="AI2643" i="2"/>
  <c r="AJ2643" i="2"/>
  <c r="AK2643" i="2"/>
  <c r="A2644" i="2"/>
  <c r="B2644" i="2"/>
  <c r="C2644" i="2"/>
  <c r="D2644" i="2"/>
  <c r="E2644" i="2"/>
  <c r="F2644" i="2"/>
  <c r="G2644" i="2"/>
  <c r="H2644" i="2"/>
  <c r="I2644" i="2"/>
  <c r="J2644" i="2"/>
  <c r="K2644" i="2"/>
  <c r="L2644" i="2"/>
  <c r="M2644" i="2"/>
  <c r="N2644" i="2"/>
  <c r="O2644" i="2"/>
  <c r="P2644" i="2"/>
  <c r="Q2644" i="2"/>
  <c r="R2644" i="2"/>
  <c r="S2644" i="2"/>
  <c r="T2644" i="2"/>
  <c r="U2644" i="2"/>
  <c r="V2644" i="2"/>
  <c r="W2644" i="2"/>
  <c r="X2644" i="2"/>
  <c r="Y2644" i="2"/>
  <c r="Z2644" i="2"/>
  <c r="AA2644" i="2"/>
  <c r="AB2644" i="2"/>
  <c r="AC2644" i="2"/>
  <c r="AD2644" i="2"/>
  <c r="AE2644" i="2"/>
  <c r="AF2644" i="2"/>
  <c r="AG2644" i="2"/>
  <c r="AH2644" i="2"/>
  <c r="AI2644" i="2"/>
  <c r="AJ2644" i="2"/>
  <c r="AK2644" i="2"/>
  <c r="A2645" i="2"/>
  <c r="B2645" i="2"/>
  <c r="C2645" i="2"/>
  <c r="D2645" i="2"/>
  <c r="E2645" i="2"/>
  <c r="F2645" i="2"/>
  <c r="G2645" i="2"/>
  <c r="H2645" i="2"/>
  <c r="I2645" i="2"/>
  <c r="J2645" i="2"/>
  <c r="K2645" i="2"/>
  <c r="L2645" i="2"/>
  <c r="M2645" i="2"/>
  <c r="N2645" i="2"/>
  <c r="O2645" i="2"/>
  <c r="P2645" i="2"/>
  <c r="Q2645" i="2"/>
  <c r="R2645" i="2"/>
  <c r="S2645" i="2"/>
  <c r="T2645" i="2"/>
  <c r="U2645" i="2"/>
  <c r="V2645" i="2"/>
  <c r="W2645" i="2"/>
  <c r="X2645" i="2"/>
  <c r="Y2645" i="2"/>
  <c r="Z2645" i="2"/>
  <c r="AA2645" i="2"/>
  <c r="AB2645" i="2"/>
  <c r="AC2645" i="2"/>
  <c r="AD2645" i="2"/>
  <c r="AE2645" i="2"/>
  <c r="AF2645" i="2"/>
  <c r="AG2645" i="2"/>
  <c r="AH2645" i="2"/>
  <c r="AI2645" i="2"/>
  <c r="AJ2645" i="2"/>
  <c r="AK2645" i="2"/>
  <c r="A2646" i="2"/>
  <c r="B2646" i="2"/>
  <c r="C2646" i="2"/>
  <c r="D2646" i="2"/>
  <c r="E2646" i="2"/>
  <c r="F2646" i="2"/>
  <c r="G2646" i="2"/>
  <c r="H2646" i="2"/>
  <c r="I2646" i="2"/>
  <c r="J2646" i="2"/>
  <c r="K2646" i="2"/>
  <c r="L2646" i="2"/>
  <c r="M2646" i="2"/>
  <c r="N2646" i="2"/>
  <c r="O2646" i="2"/>
  <c r="P2646" i="2"/>
  <c r="Q2646" i="2"/>
  <c r="R2646" i="2"/>
  <c r="S2646" i="2"/>
  <c r="T2646" i="2"/>
  <c r="U2646" i="2"/>
  <c r="V2646" i="2"/>
  <c r="W2646" i="2"/>
  <c r="X2646" i="2"/>
  <c r="Y2646" i="2"/>
  <c r="Z2646" i="2"/>
  <c r="AA2646" i="2"/>
  <c r="AB2646" i="2"/>
  <c r="AC2646" i="2"/>
  <c r="AD2646" i="2"/>
  <c r="AE2646" i="2"/>
  <c r="AF2646" i="2"/>
  <c r="AG2646" i="2"/>
  <c r="AH2646" i="2"/>
  <c r="AI2646" i="2"/>
  <c r="AJ2646" i="2"/>
  <c r="AK2646" i="2"/>
  <c r="A2647" i="2"/>
  <c r="B2647" i="2"/>
  <c r="C2647" i="2"/>
  <c r="D2647" i="2"/>
  <c r="E2647" i="2"/>
  <c r="F2647" i="2"/>
  <c r="G2647" i="2"/>
  <c r="H2647" i="2"/>
  <c r="I2647" i="2"/>
  <c r="J2647" i="2"/>
  <c r="K2647" i="2"/>
  <c r="L2647" i="2"/>
  <c r="M2647" i="2"/>
  <c r="N2647" i="2"/>
  <c r="O2647" i="2"/>
  <c r="P2647" i="2"/>
  <c r="Q2647" i="2"/>
  <c r="R2647" i="2"/>
  <c r="S2647" i="2"/>
  <c r="T2647" i="2"/>
  <c r="U2647" i="2"/>
  <c r="V2647" i="2"/>
  <c r="W2647" i="2"/>
  <c r="X2647" i="2"/>
  <c r="Y2647" i="2"/>
  <c r="Z2647" i="2"/>
  <c r="AA2647" i="2"/>
  <c r="AB2647" i="2"/>
  <c r="AC2647" i="2"/>
  <c r="AD2647" i="2"/>
  <c r="AE2647" i="2"/>
  <c r="AF2647" i="2"/>
  <c r="AG2647" i="2"/>
  <c r="AH2647" i="2"/>
  <c r="AI2647" i="2"/>
  <c r="AJ2647" i="2"/>
  <c r="AK2647" i="2"/>
  <c r="A2648" i="2"/>
  <c r="B2648" i="2"/>
  <c r="C2648" i="2"/>
  <c r="D2648" i="2"/>
  <c r="E2648" i="2"/>
  <c r="F2648" i="2"/>
  <c r="G2648" i="2"/>
  <c r="H2648" i="2"/>
  <c r="I2648" i="2"/>
  <c r="J2648" i="2"/>
  <c r="K2648" i="2"/>
  <c r="L2648" i="2"/>
  <c r="M2648" i="2"/>
  <c r="N2648" i="2"/>
  <c r="O2648" i="2"/>
  <c r="P2648" i="2"/>
  <c r="Q2648" i="2"/>
  <c r="R2648" i="2"/>
  <c r="S2648" i="2"/>
  <c r="T2648" i="2"/>
  <c r="U2648" i="2"/>
  <c r="V2648" i="2"/>
  <c r="W2648" i="2"/>
  <c r="X2648" i="2"/>
  <c r="Y2648" i="2"/>
  <c r="Z2648" i="2"/>
  <c r="AA2648" i="2"/>
  <c r="AB2648" i="2"/>
  <c r="AC2648" i="2"/>
  <c r="AD2648" i="2"/>
  <c r="AE2648" i="2"/>
  <c r="AF2648" i="2"/>
  <c r="AG2648" i="2"/>
  <c r="AH2648" i="2"/>
  <c r="AI2648" i="2"/>
  <c r="AJ2648" i="2"/>
  <c r="AK2648" i="2"/>
  <c r="A2649" i="2"/>
  <c r="B2649" i="2"/>
  <c r="C2649" i="2"/>
  <c r="D2649" i="2"/>
  <c r="E2649" i="2"/>
  <c r="F2649" i="2"/>
  <c r="G2649" i="2"/>
  <c r="H2649" i="2"/>
  <c r="I2649" i="2"/>
  <c r="J2649" i="2"/>
  <c r="K2649" i="2"/>
  <c r="L2649" i="2"/>
  <c r="M2649" i="2"/>
  <c r="N2649" i="2"/>
  <c r="O2649" i="2"/>
  <c r="P2649" i="2"/>
  <c r="Q2649" i="2"/>
  <c r="R2649" i="2"/>
  <c r="S2649" i="2"/>
  <c r="T2649" i="2"/>
  <c r="U2649" i="2"/>
  <c r="V2649" i="2"/>
  <c r="W2649" i="2"/>
  <c r="X2649" i="2"/>
  <c r="Y2649" i="2"/>
  <c r="Z2649" i="2"/>
  <c r="AA2649" i="2"/>
  <c r="AB2649" i="2"/>
  <c r="AC2649" i="2"/>
  <c r="AD2649" i="2"/>
  <c r="AE2649" i="2"/>
  <c r="AF2649" i="2"/>
  <c r="AG2649" i="2"/>
  <c r="AH2649" i="2"/>
  <c r="AI2649" i="2"/>
  <c r="AJ2649" i="2"/>
  <c r="AK2649" i="2"/>
  <c r="A2650" i="2"/>
  <c r="B2650" i="2"/>
  <c r="C2650" i="2"/>
  <c r="D2650" i="2"/>
  <c r="E2650" i="2"/>
  <c r="F2650" i="2"/>
  <c r="G2650" i="2"/>
  <c r="H2650" i="2"/>
  <c r="I2650" i="2"/>
  <c r="J2650" i="2"/>
  <c r="K2650" i="2"/>
  <c r="L2650" i="2"/>
  <c r="M2650" i="2"/>
  <c r="N2650" i="2"/>
  <c r="O2650" i="2"/>
  <c r="P2650" i="2"/>
  <c r="Q2650" i="2"/>
  <c r="R2650" i="2"/>
  <c r="S2650" i="2"/>
  <c r="T2650" i="2"/>
  <c r="U2650" i="2"/>
  <c r="V2650" i="2"/>
  <c r="W2650" i="2"/>
  <c r="X2650" i="2"/>
  <c r="Y2650" i="2"/>
  <c r="Z2650" i="2"/>
  <c r="AA2650" i="2"/>
  <c r="AB2650" i="2"/>
  <c r="AC2650" i="2"/>
  <c r="AD2650" i="2"/>
  <c r="AE2650" i="2"/>
  <c r="AF2650" i="2"/>
  <c r="AG2650" i="2"/>
  <c r="AH2650" i="2"/>
  <c r="AI2650" i="2"/>
  <c r="AJ2650" i="2"/>
  <c r="AK2650" i="2"/>
  <c r="A2651" i="2"/>
  <c r="B2651" i="2"/>
  <c r="C2651" i="2"/>
  <c r="D2651" i="2"/>
  <c r="E2651" i="2"/>
  <c r="F2651" i="2"/>
  <c r="G2651" i="2"/>
  <c r="H2651" i="2"/>
  <c r="I2651" i="2"/>
  <c r="J2651" i="2"/>
  <c r="K2651" i="2"/>
  <c r="L2651" i="2"/>
  <c r="M2651" i="2"/>
  <c r="N2651" i="2"/>
  <c r="O2651" i="2"/>
  <c r="P2651" i="2"/>
  <c r="Q2651" i="2"/>
  <c r="R2651" i="2"/>
  <c r="S2651" i="2"/>
  <c r="T2651" i="2"/>
  <c r="U2651" i="2"/>
  <c r="V2651" i="2"/>
  <c r="W2651" i="2"/>
  <c r="X2651" i="2"/>
  <c r="Y2651" i="2"/>
  <c r="Z2651" i="2"/>
  <c r="AA2651" i="2"/>
  <c r="AB2651" i="2"/>
  <c r="AC2651" i="2"/>
  <c r="AD2651" i="2"/>
  <c r="AE2651" i="2"/>
  <c r="AF2651" i="2"/>
  <c r="AG2651" i="2"/>
  <c r="AH2651" i="2"/>
  <c r="AI2651" i="2"/>
  <c r="AJ2651" i="2"/>
  <c r="AK2651" i="2"/>
  <c r="A2652" i="2"/>
  <c r="B2652" i="2"/>
  <c r="C2652" i="2"/>
  <c r="D2652" i="2"/>
  <c r="E2652" i="2"/>
  <c r="F2652" i="2"/>
  <c r="G2652" i="2"/>
  <c r="H2652" i="2"/>
  <c r="I2652" i="2"/>
  <c r="J2652" i="2"/>
  <c r="K2652" i="2"/>
  <c r="L2652" i="2"/>
  <c r="M2652" i="2"/>
  <c r="N2652" i="2"/>
  <c r="O2652" i="2"/>
  <c r="P2652" i="2"/>
  <c r="Q2652" i="2"/>
  <c r="R2652" i="2"/>
  <c r="S2652" i="2"/>
  <c r="T2652" i="2"/>
  <c r="U2652" i="2"/>
  <c r="V2652" i="2"/>
  <c r="W2652" i="2"/>
  <c r="X2652" i="2"/>
  <c r="Y2652" i="2"/>
  <c r="Z2652" i="2"/>
  <c r="AA2652" i="2"/>
  <c r="AB2652" i="2"/>
  <c r="AC2652" i="2"/>
  <c r="AD2652" i="2"/>
  <c r="AE2652" i="2"/>
  <c r="AF2652" i="2"/>
  <c r="AG2652" i="2"/>
  <c r="AH2652" i="2"/>
  <c r="AI2652" i="2"/>
  <c r="AJ2652" i="2"/>
  <c r="AK2652" i="2"/>
  <c r="A2653" i="2"/>
  <c r="B2653" i="2"/>
  <c r="C2653" i="2"/>
  <c r="D2653" i="2"/>
  <c r="E2653" i="2"/>
  <c r="F2653" i="2"/>
  <c r="G2653" i="2"/>
  <c r="H2653" i="2"/>
  <c r="I2653" i="2"/>
  <c r="J2653" i="2"/>
  <c r="K2653" i="2"/>
  <c r="L2653" i="2"/>
  <c r="M2653" i="2"/>
  <c r="N2653" i="2"/>
  <c r="O2653" i="2"/>
  <c r="P2653" i="2"/>
  <c r="Q2653" i="2"/>
  <c r="R2653" i="2"/>
  <c r="S2653" i="2"/>
  <c r="T2653" i="2"/>
  <c r="U2653" i="2"/>
  <c r="V2653" i="2"/>
  <c r="W2653" i="2"/>
  <c r="X2653" i="2"/>
  <c r="Y2653" i="2"/>
  <c r="Z2653" i="2"/>
  <c r="AA2653" i="2"/>
  <c r="AB2653" i="2"/>
  <c r="AC2653" i="2"/>
  <c r="AD2653" i="2"/>
  <c r="AE2653" i="2"/>
  <c r="AF2653" i="2"/>
  <c r="AG2653" i="2"/>
  <c r="AH2653" i="2"/>
  <c r="AI2653" i="2"/>
  <c r="AJ2653" i="2"/>
  <c r="AK2653" i="2"/>
  <c r="A2654" i="2"/>
  <c r="B2654" i="2"/>
  <c r="C2654" i="2"/>
  <c r="D2654" i="2"/>
  <c r="E2654" i="2"/>
  <c r="F2654" i="2"/>
  <c r="G2654" i="2"/>
  <c r="H2654" i="2"/>
  <c r="I2654" i="2"/>
  <c r="J2654" i="2"/>
  <c r="K2654" i="2"/>
  <c r="L2654" i="2"/>
  <c r="M2654" i="2"/>
  <c r="N2654" i="2"/>
  <c r="O2654" i="2"/>
  <c r="P2654" i="2"/>
  <c r="Q2654" i="2"/>
  <c r="R2654" i="2"/>
  <c r="S2654" i="2"/>
  <c r="T2654" i="2"/>
  <c r="U2654" i="2"/>
  <c r="V2654" i="2"/>
  <c r="W2654" i="2"/>
  <c r="X2654" i="2"/>
  <c r="Y2654" i="2"/>
  <c r="Z2654" i="2"/>
  <c r="AA2654" i="2"/>
  <c r="AB2654" i="2"/>
  <c r="AC2654" i="2"/>
  <c r="AD2654" i="2"/>
  <c r="AE2654" i="2"/>
  <c r="AF2654" i="2"/>
  <c r="AG2654" i="2"/>
  <c r="AH2654" i="2"/>
  <c r="AI2654" i="2"/>
  <c r="AJ2654" i="2"/>
  <c r="AK2654" i="2"/>
  <c r="A2655" i="2"/>
  <c r="B2655" i="2"/>
  <c r="C2655" i="2"/>
  <c r="D2655" i="2"/>
  <c r="E2655" i="2"/>
  <c r="F2655" i="2"/>
  <c r="G2655" i="2"/>
  <c r="H2655" i="2"/>
  <c r="I2655" i="2"/>
  <c r="J2655" i="2"/>
  <c r="K2655" i="2"/>
  <c r="L2655" i="2"/>
  <c r="M2655" i="2"/>
  <c r="N2655" i="2"/>
  <c r="O2655" i="2"/>
  <c r="P2655" i="2"/>
  <c r="Q2655" i="2"/>
  <c r="R2655" i="2"/>
  <c r="S2655" i="2"/>
  <c r="T2655" i="2"/>
  <c r="U2655" i="2"/>
  <c r="V2655" i="2"/>
  <c r="W2655" i="2"/>
  <c r="X2655" i="2"/>
  <c r="Y2655" i="2"/>
  <c r="Z2655" i="2"/>
  <c r="AA2655" i="2"/>
  <c r="AB2655" i="2"/>
  <c r="AC2655" i="2"/>
  <c r="AD2655" i="2"/>
  <c r="AE2655" i="2"/>
  <c r="AF2655" i="2"/>
  <c r="AG2655" i="2"/>
  <c r="AH2655" i="2"/>
  <c r="AI2655" i="2"/>
  <c r="AJ2655" i="2"/>
  <c r="AK2655" i="2"/>
  <c r="A2656" i="2"/>
  <c r="B2656" i="2"/>
  <c r="C2656" i="2"/>
  <c r="D2656" i="2"/>
  <c r="E2656" i="2"/>
  <c r="F2656" i="2"/>
  <c r="G2656" i="2"/>
  <c r="H2656" i="2"/>
  <c r="I2656" i="2"/>
  <c r="J2656" i="2"/>
  <c r="K2656" i="2"/>
  <c r="L2656" i="2"/>
  <c r="M2656" i="2"/>
  <c r="N2656" i="2"/>
  <c r="O2656" i="2"/>
  <c r="P2656" i="2"/>
  <c r="Q2656" i="2"/>
  <c r="R2656" i="2"/>
  <c r="S2656" i="2"/>
  <c r="T2656" i="2"/>
  <c r="U2656" i="2"/>
  <c r="V2656" i="2"/>
  <c r="W2656" i="2"/>
  <c r="X2656" i="2"/>
  <c r="Y2656" i="2"/>
  <c r="Z2656" i="2"/>
  <c r="AA2656" i="2"/>
  <c r="AB2656" i="2"/>
  <c r="AC2656" i="2"/>
  <c r="AD2656" i="2"/>
  <c r="AE2656" i="2"/>
  <c r="AF2656" i="2"/>
  <c r="AG2656" i="2"/>
  <c r="AH2656" i="2"/>
  <c r="AI2656" i="2"/>
  <c r="AJ2656" i="2"/>
  <c r="AK2656" i="2"/>
  <c r="A2657" i="2"/>
  <c r="B2657" i="2"/>
  <c r="C2657" i="2"/>
  <c r="D2657" i="2"/>
  <c r="E2657" i="2"/>
  <c r="F2657" i="2"/>
  <c r="G2657" i="2"/>
  <c r="H2657" i="2"/>
  <c r="I2657" i="2"/>
  <c r="J2657" i="2"/>
  <c r="K2657" i="2"/>
  <c r="L2657" i="2"/>
  <c r="M2657" i="2"/>
  <c r="N2657" i="2"/>
  <c r="O2657" i="2"/>
  <c r="P2657" i="2"/>
  <c r="Q2657" i="2"/>
  <c r="R2657" i="2"/>
  <c r="S2657" i="2"/>
  <c r="T2657" i="2"/>
  <c r="U2657" i="2"/>
  <c r="V2657" i="2"/>
  <c r="W2657" i="2"/>
  <c r="X2657" i="2"/>
  <c r="Y2657" i="2"/>
  <c r="Z2657" i="2"/>
  <c r="AA2657" i="2"/>
  <c r="AB2657" i="2"/>
  <c r="AC2657" i="2"/>
  <c r="AD2657" i="2"/>
  <c r="AE2657" i="2"/>
  <c r="AF2657" i="2"/>
  <c r="AG2657" i="2"/>
  <c r="AH2657" i="2"/>
  <c r="AI2657" i="2"/>
  <c r="AJ2657" i="2"/>
  <c r="AK2657" i="2"/>
  <c r="A2658" i="2"/>
  <c r="B2658" i="2"/>
  <c r="C2658" i="2"/>
  <c r="D2658" i="2"/>
  <c r="E2658" i="2"/>
  <c r="F2658" i="2"/>
  <c r="G2658" i="2"/>
  <c r="H2658" i="2"/>
  <c r="I2658" i="2"/>
  <c r="J2658" i="2"/>
  <c r="K2658" i="2"/>
  <c r="L2658" i="2"/>
  <c r="M2658" i="2"/>
  <c r="N2658" i="2"/>
  <c r="O2658" i="2"/>
  <c r="P2658" i="2"/>
  <c r="Q2658" i="2"/>
  <c r="R2658" i="2"/>
  <c r="S2658" i="2"/>
  <c r="T2658" i="2"/>
  <c r="U2658" i="2"/>
  <c r="V2658" i="2"/>
  <c r="W2658" i="2"/>
  <c r="X2658" i="2"/>
  <c r="Y2658" i="2"/>
  <c r="Z2658" i="2"/>
  <c r="AA2658" i="2"/>
  <c r="AB2658" i="2"/>
  <c r="AC2658" i="2"/>
  <c r="AD2658" i="2"/>
  <c r="AE2658" i="2"/>
  <c r="AF2658" i="2"/>
  <c r="AG2658" i="2"/>
  <c r="AH2658" i="2"/>
  <c r="AI2658" i="2"/>
  <c r="AJ2658" i="2"/>
  <c r="AK2658" i="2"/>
  <c r="A2659" i="2"/>
  <c r="B2659" i="2"/>
  <c r="C2659" i="2"/>
  <c r="D2659" i="2"/>
  <c r="E2659" i="2"/>
  <c r="F2659" i="2"/>
  <c r="G2659" i="2"/>
  <c r="H2659" i="2"/>
  <c r="I2659" i="2"/>
  <c r="J2659" i="2"/>
  <c r="K2659" i="2"/>
  <c r="L2659" i="2"/>
  <c r="M2659" i="2"/>
  <c r="N2659" i="2"/>
  <c r="O2659" i="2"/>
  <c r="P2659" i="2"/>
  <c r="Q2659" i="2"/>
  <c r="R2659" i="2"/>
  <c r="S2659" i="2"/>
  <c r="T2659" i="2"/>
  <c r="U2659" i="2"/>
  <c r="V2659" i="2"/>
  <c r="W2659" i="2"/>
  <c r="X2659" i="2"/>
  <c r="Y2659" i="2"/>
  <c r="Z2659" i="2"/>
  <c r="AA2659" i="2"/>
  <c r="AB2659" i="2"/>
  <c r="AC2659" i="2"/>
  <c r="AD2659" i="2"/>
  <c r="AE2659" i="2"/>
  <c r="AF2659" i="2"/>
  <c r="AG2659" i="2"/>
  <c r="AH2659" i="2"/>
  <c r="AI2659" i="2"/>
  <c r="AJ2659" i="2"/>
  <c r="AK2659" i="2"/>
  <c r="A2660" i="2"/>
  <c r="B2660" i="2"/>
  <c r="C2660" i="2"/>
  <c r="D2660" i="2"/>
  <c r="E2660" i="2"/>
  <c r="F2660" i="2"/>
  <c r="G2660" i="2"/>
  <c r="H2660" i="2"/>
  <c r="I2660" i="2"/>
  <c r="J2660" i="2"/>
  <c r="K2660" i="2"/>
  <c r="L2660" i="2"/>
  <c r="M2660" i="2"/>
  <c r="N2660" i="2"/>
  <c r="O2660" i="2"/>
  <c r="P2660" i="2"/>
  <c r="Q2660" i="2"/>
  <c r="R2660" i="2"/>
  <c r="S2660" i="2"/>
  <c r="T2660" i="2"/>
  <c r="U2660" i="2"/>
  <c r="V2660" i="2"/>
  <c r="W2660" i="2"/>
  <c r="X2660" i="2"/>
  <c r="Y2660" i="2"/>
  <c r="Z2660" i="2"/>
  <c r="AA2660" i="2"/>
  <c r="AB2660" i="2"/>
  <c r="AC2660" i="2"/>
  <c r="AD2660" i="2"/>
  <c r="AE2660" i="2"/>
  <c r="AF2660" i="2"/>
  <c r="AG2660" i="2"/>
  <c r="AH2660" i="2"/>
  <c r="AI2660" i="2"/>
  <c r="AJ2660" i="2"/>
  <c r="AK2660" i="2"/>
  <c r="A2661" i="2"/>
  <c r="B2661" i="2"/>
  <c r="C2661" i="2"/>
  <c r="D2661" i="2"/>
  <c r="E2661" i="2"/>
  <c r="F2661" i="2"/>
  <c r="G2661" i="2"/>
  <c r="H2661" i="2"/>
  <c r="I2661" i="2"/>
  <c r="J2661" i="2"/>
  <c r="K2661" i="2"/>
  <c r="L2661" i="2"/>
  <c r="M2661" i="2"/>
  <c r="N2661" i="2"/>
  <c r="O2661" i="2"/>
  <c r="P2661" i="2"/>
  <c r="Q2661" i="2"/>
  <c r="R2661" i="2"/>
  <c r="S2661" i="2"/>
  <c r="T2661" i="2"/>
  <c r="U2661" i="2"/>
  <c r="V2661" i="2"/>
  <c r="W2661" i="2"/>
  <c r="X2661" i="2"/>
  <c r="Y2661" i="2"/>
  <c r="Z2661" i="2"/>
  <c r="AA2661" i="2"/>
  <c r="AB2661" i="2"/>
  <c r="AC2661" i="2"/>
  <c r="AD2661" i="2"/>
  <c r="AE2661" i="2"/>
  <c r="AF2661" i="2"/>
  <c r="AG2661" i="2"/>
  <c r="AH2661" i="2"/>
  <c r="AI2661" i="2"/>
  <c r="AJ2661" i="2"/>
  <c r="AK2661" i="2"/>
  <c r="A2662" i="2"/>
  <c r="B2662" i="2"/>
  <c r="C2662" i="2"/>
  <c r="D2662" i="2"/>
  <c r="E2662" i="2"/>
  <c r="F2662" i="2"/>
  <c r="G2662" i="2"/>
  <c r="H2662" i="2"/>
  <c r="I2662" i="2"/>
  <c r="J2662" i="2"/>
  <c r="K2662" i="2"/>
  <c r="L2662" i="2"/>
  <c r="M2662" i="2"/>
  <c r="N2662" i="2"/>
  <c r="O2662" i="2"/>
  <c r="P2662" i="2"/>
  <c r="Q2662" i="2"/>
  <c r="R2662" i="2"/>
  <c r="S2662" i="2"/>
  <c r="T2662" i="2"/>
  <c r="U2662" i="2"/>
  <c r="V2662" i="2"/>
  <c r="W2662" i="2"/>
  <c r="X2662" i="2"/>
  <c r="Y2662" i="2"/>
  <c r="Z2662" i="2"/>
  <c r="AA2662" i="2"/>
  <c r="AB2662" i="2"/>
  <c r="AC2662" i="2"/>
  <c r="AD2662" i="2"/>
  <c r="AE2662" i="2"/>
  <c r="AF2662" i="2"/>
  <c r="AG2662" i="2"/>
  <c r="AH2662" i="2"/>
  <c r="AI2662" i="2"/>
  <c r="AJ2662" i="2"/>
  <c r="AK2662" i="2"/>
  <c r="A2663" i="2"/>
  <c r="B2663" i="2"/>
  <c r="C2663" i="2"/>
  <c r="D2663" i="2"/>
  <c r="E2663" i="2"/>
  <c r="F2663" i="2"/>
  <c r="G2663" i="2"/>
  <c r="H2663" i="2"/>
  <c r="I2663" i="2"/>
  <c r="J2663" i="2"/>
  <c r="K2663" i="2"/>
  <c r="L2663" i="2"/>
  <c r="M2663" i="2"/>
  <c r="N2663" i="2"/>
  <c r="O2663" i="2"/>
  <c r="P2663" i="2"/>
  <c r="Q2663" i="2"/>
  <c r="R2663" i="2"/>
  <c r="S2663" i="2"/>
  <c r="T2663" i="2"/>
  <c r="U2663" i="2"/>
  <c r="V2663" i="2"/>
  <c r="W2663" i="2"/>
  <c r="X2663" i="2"/>
  <c r="Y2663" i="2"/>
  <c r="Z2663" i="2"/>
  <c r="AA2663" i="2"/>
  <c r="AB2663" i="2"/>
  <c r="AC2663" i="2"/>
  <c r="AD2663" i="2"/>
  <c r="AE2663" i="2"/>
  <c r="AF2663" i="2"/>
  <c r="AG2663" i="2"/>
  <c r="AH2663" i="2"/>
  <c r="AI2663" i="2"/>
  <c r="AJ2663" i="2"/>
  <c r="AK2663" i="2"/>
  <c r="A2664" i="2"/>
  <c r="B2664" i="2"/>
  <c r="C2664" i="2"/>
  <c r="D2664" i="2"/>
  <c r="E2664" i="2"/>
  <c r="F2664" i="2"/>
  <c r="G2664" i="2"/>
  <c r="H2664" i="2"/>
  <c r="I2664" i="2"/>
  <c r="J2664" i="2"/>
  <c r="K2664" i="2"/>
  <c r="L2664" i="2"/>
  <c r="M2664" i="2"/>
  <c r="N2664" i="2"/>
  <c r="O2664" i="2"/>
  <c r="P2664" i="2"/>
  <c r="Q2664" i="2"/>
  <c r="R2664" i="2"/>
  <c r="S2664" i="2"/>
  <c r="T2664" i="2"/>
  <c r="U2664" i="2"/>
  <c r="V2664" i="2"/>
  <c r="W2664" i="2"/>
  <c r="X2664" i="2"/>
  <c r="Y2664" i="2"/>
  <c r="Z2664" i="2"/>
  <c r="AA2664" i="2"/>
  <c r="AB2664" i="2"/>
  <c r="AC2664" i="2"/>
  <c r="AD2664" i="2"/>
  <c r="AE2664" i="2"/>
  <c r="AF2664" i="2"/>
  <c r="AG2664" i="2"/>
  <c r="AH2664" i="2"/>
  <c r="AI2664" i="2"/>
  <c r="AJ2664" i="2"/>
  <c r="AK2664" i="2"/>
  <c r="A2665" i="2"/>
  <c r="B2665" i="2"/>
  <c r="C2665" i="2"/>
  <c r="D2665" i="2"/>
  <c r="E2665" i="2"/>
  <c r="F2665" i="2"/>
  <c r="G2665" i="2"/>
  <c r="H2665" i="2"/>
  <c r="I2665" i="2"/>
  <c r="J2665" i="2"/>
  <c r="K2665" i="2"/>
  <c r="L2665" i="2"/>
  <c r="M2665" i="2"/>
  <c r="N2665" i="2"/>
  <c r="O2665" i="2"/>
  <c r="P2665" i="2"/>
  <c r="Q2665" i="2"/>
  <c r="R2665" i="2"/>
  <c r="S2665" i="2"/>
  <c r="T2665" i="2"/>
  <c r="U2665" i="2"/>
  <c r="V2665" i="2"/>
  <c r="W2665" i="2"/>
  <c r="X2665" i="2"/>
  <c r="Y2665" i="2"/>
  <c r="Z2665" i="2"/>
  <c r="AA2665" i="2"/>
  <c r="AB2665" i="2"/>
  <c r="AC2665" i="2"/>
  <c r="AD2665" i="2"/>
  <c r="AE2665" i="2"/>
  <c r="AF2665" i="2"/>
  <c r="AG2665" i="2"/>
  <c r="AH2665" i="2"/>
  <c r="AI2665" i="2"/>
  <c r="AJ2665" i="2"/>
  <c r="AK2665" i="2"/>
  <c r="A2666" i="2"/>
  <c r="B2666" i="2"/>
  <c r="C2666" i="2"/>
  <c r="D2666" i="2"/>
  <c r="E2666" i="2"/>
  <c r="F2666" i="2"/>
  <c r="G2666" i="2"/>
  <c r="H2666" i="2"/>
  <c r="I2666" i="2"/>
  <c r="J2666" i="2"/>
  <c r="K2666" i="2"/>
  <c r="L2666" i="2"/>
  <c r="M2666" i="2"/>
  <c r="N2666" i="2"/>
  <c r="O2666" i="2"/>
  <c r="P2666" i="2"/>
  <c r="Q2666" i="2"/>
  <c r="R2666" i="2"/>
  <c r="S2666" i="2"/>
  <c r="T2666" i="2"/>
  <c r="U2666" i="2"/>
  <c r="V2666" i="2"/>
  <c r="W2666" i="2"/>
  <c r="X2666" i="2"/>
  <c r="Y2666" i="2"/>
  <c r="Z2666" i="2"/>
  <c r="AA2666" i="2"/>
  <c r="AB2666" i="2"/>
  <c r="AC2666" i="2"/>
  <c r="AD2666" i="2"/>
  <c r="AE2666" i="2"/>
  <c r="AF2666" i="2"/>
  <c r="AG2666" i="2"/>
  <c r="AH2666" i="2"/>
  <c r="AI2666" i="2"/>
  <c r="AJ2666" i="2"/>
  <c r="AK2666" i="2"/>
  <c r="A2667" i="2"/>
  <c r="B2667" i="2"/>
  <c r="C2667" i="2"/>
  <c r="D2667" i="2"/>
  <c r="E2667" i="2"/>
  <c r="F2667" i="2"/>
  <c r="G2667" i="2"/>
  <c r="H2667" i="2"/>
  <c r="I2667" i="2"/>
  <c r="J2667" i="2"/>
  <c r="K2667" i="2"/>
  <c r="L2667" i="2"/>
  <c r="M2667" i="2"/>
  <c r="N2667" i="2"/>
  <c r="O2667" i="2"/>
  <c r="P2667" i="2"/>
  <c r="Q2667" i="2"/>
  <c r="R2667" i="2"/>
  <c r="S2667" i="2"/>
  <c r="T2667" i="2"/>
  <c r="U2667" i="2"/>
  <c r="V2667" i="2"/>
  <c r="W2667" i="2"/>
  <c r="X2667" i="2"/>
  <c r="Y2667" i="2"/>
  <c r="Z2667" i="2"/>
  <c r="AA2667" i="2"/>
  <c r="AB2667" i="2"/>
  <c r="AC2667" i="2"/>
  <c r="AD2667" i="2"/>
  <c r="AE2667" i="2"/>
  <c r="AF2667" i="2"/>
  <c r="AG2667" i="2"/>
  <c r="AH2667" i="2"/>
  <c r="AI2667" i="2"/>
  <c r="AJ2667" i="2"/>
  <c r="AK2667" i="2"/>
  <c r="A2668" i="2"/>
  <c r="B2668" i="2"/>
  <c r="C2668" i="2"/>
  <c r="D2668" i="2"/>
  <c r="E2668" i="2"/>
  <c r="F2668" i="2"/>
  <c r="G2668" i="2"/>
  <c r="H2668" i="2"/>
  <c r="I2668" i="2"/>
  <c r="J2668" i="2"/>
  <c r="K2668" i="2"/>
  <c r="L2668" i="2"/>
  <c r="M2668" i="2"/>
  <c r="N2668" i="2"/>
  <c r="O2668" i="2"/>
  <c r="P2668" i="2"/>
  <c r="Q2668" i="2"/>
  <c r="R2668" i="2"/>
  <c r="S2668" i="2"/>
  <c r="T2668" i="2"/>
  <c r="U2668" i="2"/>
  <c r="V2668" i="2"/>
  <c r="W2668" i="2"/>
  <c r="X2668" i="2"/>
  <c r="Y2668" i="2"/>
  <c r="Z2668" i="2"/>
  <c r="AA2668" i="2"/>
  <c r="AB2668" i="2"/>
  <c r="AC2668" i="2"/>
  <c r="AD2668" i="2"/>
  <c r="AE2668" i="2"/>
  <c r="AF2668" i="2"/>
  <c r="AG2668" i="2"/>
  <c r="AH2668" i="2"/>
  <c r="AI2668" i="2"/>
  <c r="AJ2668" i="2"/>
  <c r="AK2668" i="2"/>
  <c r="A2669" i="2"/>
  <c r="B2669" i="2"/>
  <c r="C2669" i="2"/>
  <c r="D2669" i="2"/>
  <c r="E2669" i="2"/>
  <c r="F2669" i="2"/>
  <c r="G2669" i="2"/>
  <c r="H2669" i="2"/>
  <c r="I2669" i="2"/>
  <c r="J2669" i="2"/>
  <c r="K2669" i="2"/>
  <c r="L2669" i="2"/>
  <c r="M2669" i="2"/>
  <c r="N2669" i="2"/>
  <c r="O2669" i="2"/>
  <c r="P2669" i="2"/>
  <c r="Q2669" i="2"/>
  <c r="R2669" i="2"/>
  <c r="S2669" i="2"/>
  <c r="T2669" i="2"/>
  <c r="U2669" i="2"/>
  <c r="V2669" i="2"/>
  <c r="W2669" i="2"/>
  <c r="X2669" i="2"/>
  <c r="Y2669" i="2"/>
  <c r="Z2669" i="2"/>
  <c r="AA2669" i="2"/>
  <c r="AB2669" i="2"/>
  <c r="AC2669" i="2"/>
  <c r="AD2669" i="2"/>
  <c r="AE2669" i="2"/>
  <c r="AF2669" i="2"/>
  <c r="AG2669" i="2"/>
  <c r="AH2669" i="2"/>
  <c r="AI2669" i="2"/>
  <c r="AJ2669" i="2"/>
  <c r="AK2669" i="2"/>
  <c r="A2670" i="2"/>
  <c r="B2670" i="2"/>
  <c r="C2670" i="2"/>
  <c r="D2670" i="2"/>
  <c r="E2670" i="2"/>
  <c r="F2670" i="2"/>
  <c r="G2670" i="2"/>
  <c r="H2670" i="2"/>
  <c r="I2670" i="2"/>
  <c r="J2670" i="2"/>
  <c r="K2670" i="2"/>
  <c r="L2670" i="2"/>
  <c r="M2670" i="2"/>
  <c r="N2670" i="2"/>
  <c r="O2670" i="2"/>
  <c r="P2670" i="2"/>
  <c r="Q2670" i="2"/>
  <c r="R2670" i="2"/>
  <c r="S2670" i="2"/>
  <c r="T2670" i="2"/>
  <c r="U2670" i="2"/>
  <c r="V2670" i="2"/>
  <c r="W2670" i="2"/>
  <c r="X2670" i="2"/>
  <c r="Y2670" i="2"/>
  <c r="Z2670" i="2"/>
  <c r="AA2670" i="2"/>
  <c r="AB2670" i="2"/>
  <c r="AC2670" i="2"/>
  <c r="AD2670" i="2"/>
  <c r="AE2670" i="2"/>
  <c r="AF2670" i="2"/>
  <c r="AG2670" i="2"/>
  <c r="AH2670" i="2"/>
  <c r="AI2670" i="2"/>
  <c r="AJ2670" i="2"/>
  <c r="AK2670" i="2"/>
  <c r="A2671" i="2"/>
  <c r="B2671" i="2"/>
  <c r="C2671" i="2"/>
  <c r="D2671" i="2"/>
  <c r="E2671" i="2"/>
  <c r="F2671" i="2"/>
  <c r="G2671" i="2"/>
  <c r="H2671" i="2"/>
  <c r="I2671" i="2"/>
  <c r="J2671" i="2"/>
  <c r="K2671" i="2"/>
  <c r="L2671" i="2"/>
  <c r="M2671" i="2"/>
  <c r="N2671" i="2"/>
  <c r="O2671" i="2"/>
  <c r="P2671" i="2"/>
  <c r="Q2671" i="2"/>
  <c r="R2671" i="2"/>
  <c r="S2671" i="2"/>
  <c r="T2671" i="2"/>
  <c r="U2671" i="2"/>
  <c r="V2671" i="2"/>
  <c r="W2671" i="2"/>
  <c r="X2671" i="2"/>
  <c r="Y2671" i="2"/>
  <c r="Z2671" i="2"/>
  <c r="AA2671" i="2"/>
  <c r="AB2671" i="2"/>
  <c r="AC2671" i="2"/>
  <c r="AD2671" i="2"/>
  <c r="AE2671" i="2"/>
  <c r="AF2671" i="2"/>
  <c r="AG2671" i="2"/>
  <c r="AH2671" i="2"/>
  <c r="AI2671" i="2"/>
  <c r="AJ2671" i="2"/>
  <c r="AK2671" i="2"/>
  <c r="A2672" i="2"/>
  <c r="B2672" i="2"/>
  <c r="C2672" i="2"/>
  <c r="D2672" i="2"/>
  <c r="E2672" i="2"/>
  <c r="F2672" i="2"/>
  <c r="G2672" i="2"/>
  <c r="H2672" i="2"/>
  <c r="I2672" i="2"/>
  <c r="J2672" i="2"/>
  <c r="K2672" i="2"/>
  <c r="L2672" i="2"/>
  <c r="M2672" i="2"/>
  <c r="N2672" i="2"/>
  <c r="O2672" i="2"/>
  <c r="P2672" i="2"/>
  <c r="Q2672" i="2"/>
  <c r="R2672" i="2"/>
  <c r="S2672" i="2"/>
  <c r="T2672" i="2"/>
  <c r="U2672" i="2"/>
  <c r="V2672" i="2"/>
  <c r="W2672" i="2"/>
  <c r="X2672" i="2"/>
  <c r="Y2672" i="2"/>
  <c r="Z2672" i="2"/>
  <c r="AA2672" i="2"/>
  <c r="AB2672" i="2"/>
  <c r="AC2672" i="2"/>
  <c r="AD2672" i="2"/>
  <c r="AE2672" i="2"/>
  <c r="AF2672" i="2"/>
  <c r="AG2672" i="2"/>
  <c r="AH2672" i="2"/>
  <c r="AI2672" i="2"/>
  <c r="AJ2672" i="2"/>
  <c r="AK2672" i="2"/>
  <c r="A2673" i="2"/>
  <c r="B2673" i="2"/>
  <c r="C2673" i="2"/>
  <c r="D2673" i="2"/>
  <c r="E2673" i="2"/>
  <c r="F2673" i="2"/>
  <c r="G2673" i="2"/>
  <c r="H2673" i="2"/>
  <c r="I2673" i="2"/>
  <c r="J2673" i="2"/>
  <c r="K2673" i="2"/>
  <c r="L2673" i="2"/>
  <c r="M2673" i="2"/>
  <c r="N2673" i="2"/>
  <c r="O2673" i="2"/>
  <c r="P2673" i="2"/>
  <c r="Q2673" i="2"/>
  <c r="R2673" i="2"/>
  <c r="S2673" i="2"/>
  <c r="T2673" i="2"/>
  <c r="U2673" i="2"/>
  <c r="V2673" i="2"/>
  <c r="W2673" i="2"/>
  <c r="X2673" i="2"/>
  <c r="Y2673" i="2"/>
  <c r="Z2673" i="2"/>
  <c r="AA2673" i="2"/>
  <c r="AB2673" i="2"/>
  <c r="AC2673" i="2"/>
  <c r="AD2673" i="2"/>
  <c r="AE2673" i="2"/>
  <c r="AF2673" i="2"/>
  <c r="AG2673" i="2"/>
  <c r="AH2673" i="2"/>
  <c r="AI2673" i="2"/>
  <c r="AJ2673" i="2"/>
  <c r="AK2673" i="2"/>
  <c r="A2674" i="2"/>
  <c r="B2674" i="2"/>
  <c r="C2674" i="2"/>
  <c r="D2674" i="2"/>
  <c r="E2674" i="2"/>
  <c r="F2674" i="2"/>
  <c r="G2674" i="2"/>
  <c r="H2674" i="2"/>
  <c r="I2674" i="2"/>
  <c r="J2674" i="2"/>
  <c r="K2674" i="2"/>
  <c r="L2674" i="2"/>
  <c r="M2674" i="2"/>
  <c r="N2674" i="2"/>
  <c r="O2674" i="2"/>
  <c r="P2674" i="2"/>
  <c r="Q2674" i="2"/>
  <c r="R2674" i="2"/>
  <c r="S2674" i="2"/>
  <c r="T2674" i="2"/>
  <c r="U2674" i="2"/>
  <c r="V2674" i="2"/>
  <c r="W2674" i="2"/>
  <c r="X2674" i="2"/>
  <c r="Y2674" i="2"/>
  <c r="Z2674" i="2"/>
  <c r="AA2674" i="2"/>
  <c r="AB2674" i="2"/>
  <c r="AC2674" i="2"/>
  <c r="AD2674" i="2"/>
  <c r="AE2674" i="2"/>
  <c r="AF2674" i="2"/>
  <c r="AG2674" i="2"/>
  <c r="AH2674" i="2"/>
  <c r="AI2674" i="2"/>
  <c r="AJ2674" i="2"/>
  <c r="AK2674" i="2"/>
  <c r="A2675" i="2"/>
  <c r="B2675" i="2"/>
  <c r="C2675" i="2"/>
  <c r="D2675" i="2"/>
  <c r="E2675" i="2"/>
  <c r="F2675" i="2"/>
  <c r="G2675" i="2"/>
  <c r="H2675" i="2"/>
  <c r="I2675" i="2"/>
  <c r="J2675" i="2"/>
  <c r="K2675" i="2"/>
  <c r="L2675" i="2"/>
  <c r="M2675" i="2"/>
  <c r="N2675" i="2"/>
  <c r="O2675" i="2"/>
  <c r="P2675" i="2"/>
  <c r="Q2675" i="2"/>
  <c r="R2675" i="2"/>
  <c r="S2675" i="2"/>
  <c r="T2675" i="2"/>
  <c r="U2675" i="2"/>
  <c r="V2675" i="2"/>
  <c r="W2675" i="2"/>
  <c r="X2675" i="2"/>
  <c r="Y2675" i="2"/>
  <c r="Z2675" i="2"/>
  <c r="AA2675" i="2"/>
  <c r="AB2675" i="2"/>
  <c r="AC2675" i="2"/>
  <c r="AD2675" i="2"/>
  <c r="AE2675" i="2"/>
  <c r="AF2675" i="2"/>
  <c r="AG2675" i="2"/>
  <c r="AH2675" i="2"/>
  <c r="AI2675" i="2"/>
  <c r="AJ2675" i="2"/>
  <c r="AK2675" i="2"/>
  <c r="A2676" i="2"/>
  <c r="B2676" i="2"/>
  <c r="C2676" i="2"/>
  <c r="D2676" i="2"/>
  <c r="E2676" i="2"/>
  <c r="F2676" i="2"/>
  <c r="G2676" i="2"/>
  <c r="H2676" i="2"/>
  <c r="I2676" i="2"/>
  <c r="J2676" i="2"/>
  <c r="K2676" i="2"/>
  <c r="L2676" i="2"/>
  <c r="M2676" i="2"/>
  <c r="N2676" i="2"/>
  <c r="O2676" i="2"/>
  <c r="P2676" i="2"/>
  <c r="Q2676" i="2"/>
  <c r="R2676" i="2"/>
  <c r="S2676" i="2"/>
  <c r="T2676" i="2"/>
  <c r="U2676" i="2"/>
  <c r="V2676" i="2"/>
  <c r="W2676" i="2"/>
  <c r="X2676" i="2"/>
  <c r="Y2676" i="2"/>
  <c r="Z2676" i="2"/>
  <c r="AA2676" i="2"/>
  <c r="AB2676" i="2"/>
  <c r="AC2676" i="2"/>
  <c r="AD2676" i="2"/>
  <c r="AE2676" i="2"/>
  <c r="AF2676" i="2"/>
  <c r="AG2676" i="2"/>
  <c r="AH2676" i="2"/>
  <c r="AI2676" i="2"/>
  <c r="AJ2676" i="2"/>
  <c r="AK2676" i="2"/>
  <c r="A2677" i="2"/>
  <c r="B2677" i="2"/>
  <c r="C2677" i="2"/>
  <c r="D2677" i="2"/>
  <c r="E2677" i="2"/>
  <c r="F2677" i="2"/>
  <c r="G2677" i="2"/>
  <c r="H2677" i="2"/>
  <c r="I2677" i="2"/>
  <c r="J2677" i="2"/>
  <c r="K2677" i="2"/>
  <c r="L2677" i="2"/>
  <c r="M2677" i="2"/>
  <c r="N2677" i="2"/>
  <c r="O2677" i="2"/>
  <c r="P2677" i="2"/>
  <c r="Q2677" i="2"/>
  <c r="R2677" i="2"/>
  <c r="S2677" i="2"/>
  <c r="T2677" i="2"/>
  <c r="U2677" i="2"/>
  <c r="V2677" i="2"/>
  <c r="W2677" i="2"/>
  <c r="X2677" i="2"/>
  <c r="Y2677" i="2"/>
  <c r="Z2677" i="2"/>
  <c r="AA2677" i="2"/>
  <c r="AB2677" i="2"/>
  <c r="AC2677" i="2"/>
  <c r="AD2677" i="2"/>
  <c r="AE2677" i="2"/>
  <c r="AF2677" i="2"/>
  <c r="AG2677" i="2"/>
  <c r="AH2677" i="2"/>
  <c r="AI2677" i="2"/>
  <c r="AJ2677" i="2"/>
  <c r="AK2677" i="2"/>
  <c r="A2678" i="2"/>
  <c r="B2678" i="2"/>
  <c r="C2678" i="2"/>
  <c r="D2678" i="2"/>
  <c r="E2678" i="2"/>
  <c r="F2678" i="2"/>
  <c r="G2678" i="2"/>
  <c r="H2678" i="2"/>
  <c r="I2678" i="2"/>
  <c r="J2678" i="2"/>
  <c r="K2678" i="2"/>
  <c r="L2678" i="2"/>
  <c r="M2678" i="2"/>
  <c r="N2678" i="2"/>
  <c r="O2678" i="2"/>
  <c r="P2678" i="2"/>
  <c r="Q2678" i="2"/>
  <c r="R2678" i="2"/>
  <c r="S2678" i="2"/>
  <c r="T2678" i="2"/>
  <c r="U2678" i="2"/>
  <c r="V2678" i="2"/>
  <c r="W2678" i="2"/>
  <c r="X2678" i="2"/>
  <c r="Y2678" i="2"/>
  <c r="Z2678" i="2"/>
  <c r="AA2678" i="2"/>
  <c r="AB2678" i="2"/>
  <c r="AC2678" i="2"/>
  <c r="AD2678" i="2"/>
  <c r="AE2678" i="2"/>
  <c r="AF2678" i="2"/>
  <c r="AG2678" i="2"/>
  <c r="AH2678" i="2"/>
  <c r="AI2678" i="2"/>
  <c r="AJ2678" i="2"/>
  <c r="AK2678" i="2"/>
  <c r="A2679" i="2"/>
  <c r="B2679" i="2"/>
  <c r="C2679" i="2"/>
  <c r="D2679" i="2"/>
  <c r="E2679" i="2"/>
  <c r="F2679" i="2"/>
  <c r="G2679" i="2"/>
  <c r="H2679" i="2"/>
  <c r="I2679" i="2"/>
  <c r="J2679" i="2"/>
  <c r="K2679" i="2"/>
  <c r="L2679" i="2"/>
  <c r="M2679" i="2"/>
  <c r="N2679" i="2"/>
  <c r="O2679" i="2"/>
  <c r="P2679" i="2"/>
  <c r="Q2679" i="2"/>
  <c r="R2679" i="2"/>
  <c r="S2679" i="2"/>
  <c r="T2679" i="2"/>
  <c r="U2679" i="2"/>
  <c r="V2679" i="2"/>
  <c r="W2679" i="2"/>
  <c r="X2679" i="2"/>
  <c r="Y2679" i="2"/>
  <c r="Z2679" i="2"/>
  <c r="AA2679" i="2"/>
  <c r="AB2679" i="2"/>
  <c r="AC2679" i="2"/>
  <c r="AD2679" i="2"/>
  <c r="AE2679" i="2"/>
  <c r="AF2679" i="2"/>
  <c r="AG2679" i="2"/>
  <c r="AH2679" i="2"/>
  <c r="AI2679" i="2"/>
  <c r="AJ2679" i="2"/>
  <c r="AK2679" i="2"/>
  <c r="A2680" i="2"/>
  <c r="B2680" i="2"/>
  <c r="C2680" i="2"/>
  <c r="D2680" i="2"/>
  <c r="E2680" i="2"/>
  <c r="F2680" i="2"/>
  <c r="G2680" i="2"/>
  <c r="H2680" i="2"/>
  <c r="I2680" i="2"/>
  <c r="J2680" i="2"/>
  <c r="K2680" i="2"/>
  <c r="L2680" i="2"/>
  <c r="M2680" i="2"/>
  <c r="N2680" i="2"/>
  <c r="O2680" i="2"/>
  <c r="P2680" i="2"/>
  <c r="Q2680" i="2"/>
  <c r="R2680" i="2"/>
  <c r="S2680" i="2"/>
  <c r="T2680" i="2"/>
  <c r="U2680" i="2"/>
  <c r="V2680" i="2"/>
  <c r="W2680" i="2"/>
  <c r="X2680" i="2"/>
  <c r="Y2680" i="2"/>
  <c r="Z2680" i="2"/>
  <c r="AA2680" i="2"/>
  <c r="AB2680" i="2"/>
  <c r="AC2680" i="2"/>
  <c r="AD2680" i="2"/>
  <c r="AE2680" i="2"/>
  <c r="AF2680" i="2"/>
  <c r="AG2680" i="2"/>
  <c r="AH2680" i="2"/>
  <c r="AI2680" i="2"/>
  <c r="AJ2680" i="2"/>
  <c r="AK2680" i="2"/>
  <c r="A2681" i="2"/>
  <c r="B2681" i="2"/>
  <c r="C2681" i="2"/>
  <c r="D2681" i="2"/>
  <c r="E2681" i="2"/>
  <c r="F2681" i="2"/>
  <c r="G2681" i="2"/>
  <c r="H2681" i="2"/>
  <c r="I2681" i="2"/>
  <c r="J2681" i="2"/>
  <c r="K2681" i="2"/>
  <c r="L2681" i="2"/>
  <c r="M2681" i="2"/>
  <c r="N2681" i="2"/>
  <c r="O2681" i="2"/>
  <c r="P2681" i="2"/>
  <c r="Q2681" i="2"/>
  <c r="R2681" i="2"/>
  <c r="S2681" i="2"/>
  <c r="T2681" i="2"/>
  <c r="U2681" i="2"/>
  <c r="V2681" i="2"/>
  <c r="W2681" i="2"/>
  <c r="X2681" i="2"/>
  <c r="Y2681" i="2"/>
  <c r="Z2681" i="2"/>
  <c r="AA2681" i="2"/>
  <c r="AB2681" i="2"/>
  <c r="AC2681" i="2"/>
  <c r="AD2681" i="2"/>
  <c r="AE2681" i="2"/>
  <c r="AF2681" i="2"/>
  <c r="AG2681" i="2"/>
  <c r="AH2681" i="2"/>
  <c r="AI2681" i="2"/>
  <c r="AJ2681" i="2"/>
  <c r="AK2681" i="2"/>
  <c r="A2682" i="2"/>
  <c r="B2682" i="2"/>
  <c r="C2682" i="2"/>
  <c r="D2682" i="2"/>
  <c r="E2682" i="2"/>
  <c r="F2682" i="2"/>
  <c r="G2682" i="2"/>
  <c r="H2682" i="2"/>
  <c r="I2682" i="2"/>
  <c r="J2682" i="2"/>
  <c r="K2682" i="2"/>
  <c r="L2682" i="2"/>
  <c r="M2682" i="2"/>
  <c r="N2682" i="2"/>
  <c r="O2682" i="2"/>
  <c r="P2682" i="2"/>
  <c r="Q2682" i="2"/>
  <c r="R2682" i="2"/>
  <c r="S2682" i="2"/>
  <c r="T2682" i="2"/>
  <c r="U2682" i="2"/>
  <c r="V2682" i="2"/>
  <c r="W2682" i="2"/>
  <c r="X2682" i="2"/>
  <c r="Y2682" i="2"/>
  <c r="Z2682" i="2"/>
  <c r="AA2682" i="2"/>
  <c r="AB2682" i="2"/>
  <c r="AC2682" i="2"/>
  <c r="AD2682" i="2"/>
  <c r="AE2682" i="2"/>
  <c r="AF2682" i="2"/>
  <c r="AG2682" i="2"/>
  <c r="AH2682" i="2"/>
  <c r="AI2682" i="2"/>
  <c r="AJ2682" i="2"/>
  <c r="AK2682" i="2"/>
  <c r="A2683" i="2"/>
  <c r="B2683" i="2"/>
  <c r="C2683" i="2"/>
  <c r="D2683" i="2"/>
  <c r="E2683" i="2"/>
  <c r="F2683" i="2"/>
  <c r="G2683" i="2"/>
  <c r="H2683" i="2"/>
  <c r="I2683" i="2"/>
  <c r="J2683" i="2"/>
  <c r="K2683" i="2"/>
  <c r="L2683" i="2"/>
  <c r="M2683" i="2"/>
  <c r="N2683" i="2"/>
  <c r="O2683" i="2"/>
  <c r="P2683" i="2"/>
  <c r="Q2683" i="2"/>
  <c r="R2683" i="2"/>
  <c r="S2683" i="2"/>
  <c r="T2683" i="2"/>
  <c r="U2683" i="2"/>
  <c r="V2683" i="2"/>
  <c r="W2683" i="2"/>
  <c r="X2683" i="2"/>
  <c r="Y2683" i="2"/>
  <c r="Z2683" i="2"/>
  <c r="AA2683" i="2"/>
  <c r="AB2683" i="2"/>
  <c r="AC2683" i="2"/>
  <c r="AD2683" i="2"/>
  <c r="AE2683" i="2"/>
  <c r="AF2683" i="2"/>
  <c r="AG2683" i="2"/>
  <c r="AH2683" i="2"/>
  <c r="AI2683" i="2"/>
  <c r="AJ2683" i="2"/>
  <c r="AK2683" i="2"/>
  <c r="A2684" i="2"/>
  <c r="B2684" i="2"/>
  <c r="C2684" i="2"/>
  <c r="D2684" i="2"/>
  <c r="E2684" i="2"/>
  <c r="F2684" i="2"/>
  <c r="G2684" i="2"/>
  <c r="H2684" i="2"/>
  <c r="I2684" i="2"/>
  <c r="J2684" i="2"/>
  <c r="K2684" i="2"/>
  <c r="L2684" i="2"/>
  <c r="M2684" i="2"/>
  <c r="N2684" i="2"/>
  <c r="O2684" i="2"/>
  <c r="P2684" i="2"/>
  <c r="Q2684" i="2"/>
  <c r="R2684" i="2"/>
  <c r="S2684" i="2"/>
  <c r="T2684" i="2"/>
  <c r="U2684" i="2"/>
  <c r="V2684" i="2"/>
  <c r="W2684" i="2"/>
  <c r="X2684" i="2"/>
  <c r="Y2684" i="2"/>
  <c r="Z2684" i="2"/>
  <c r="AA2684" i="2"/>
  <c r="AB2684" i="2"/>
  <c r="AC2684" i="2"/>
  <c r="AD2684" i="2"/>
  <c r="AE2684" i="2"/>
  <c r="AF2684" i="2"/>
  <c r="AG2684" i="2"/>
  <c r="AH2684" i="2"/>
  <c r="AI2684" i="2"/>
  <c r="AJ2684" i="2"/>
  <c r="AK2684" i="2"/>
  <c r="A2685" i="2"/>
  <c r="B2685" i="2"/>
  <c r="C2685" i="2"/>
  <c r="D2685" i="2"/>
  <c r="E2685" i="2"/>
  <c r="F2685" i="2"/>
  <c r="G2685" i="2"/>
  <c r="H2685" i="2"/>
  <c r="I2685" i="2"/>
  <c r="J2685" i="2"/>
  <c r="K2685" i="2"/>
  <c r="L2685" i="2"/>
  <c r="M2685" i="2"/>
  <c r="N2685" i="2"/>
  <c r="O2685" i="2"/>
  <c r="P2685" i="2"/>
  <c r="Q2685" i="2"/>
  <c r="R2685" i="2"/>
  <c r="S2685" i="2"/>
  <c r="T2685" i="2"/>
  <c r="U2685" i="2"/>
  <c r="V2685" i="2"/>
  <c r="W2685" i="2"/>
  <c r="X2685" i="2"/>
  <c r="Y2685" i="2"/>
  <c r="Z2685" i="2"/>
  <c r="AA2685" i="2"/>
  <c r="AB2685" i="2"/>
  <c r="AC2685" i="2"/>
  <c r="AD2685" i="2"/>
  <c r="AE2685" i="2"/>
  <c r="AF2685" i="2"/>
  <c r="AG2685" i="2"/>
  <c r="AH2685" i="2"/>
  <c r="AI2685" i="2"/>
  <c r="AJ2685" i="2"/>
  <c r="AK2685" i="2"/>
  <c r="A2686" i="2"/>
  <c r="B2686" i="2"/>
  <c r="C2686" i="2"/>
  <c r="D2686" i="2"/>
  <c r="E2686" i="2"/>
  <c r="F2686" i="2"/>
  <c r="G2686" i="2"/>
  <c r="H2686" i="2"/>
  <c r="I2686" i="2"/>
  <c r="J2686" i="2"/>
  <c r="K2686" i="2"/>
  <c r="L2686" i="2"/>
  <c r="M2686" i="2"/>
  <c r="N2686" i="2"/>
  <c r="O2686" i="2"/>
  <c r="P2686" i="2"/>
  <c r="Q2686" i="2"/>
  <c r="R2686" i="2"/>
  <c r="S2686" i="2"/>
  <c r="T2686" i="2"/>
  <c r="U2686" i="2"/>
  <c r="V2686" i="2"/>
  <c r="W2686" i="2"/>
  <c r="X2686" i="2"/>
  <c r="Y2686" i="2"/>
  <c r="Z2686" i="2"/>
  <c r="AA2686" i="2"/>
  <c r="AB2686" i="2"/>
  <c r="AC2686" i="2"/>
  <c r="AD2686" i="2"/>
  <c r="AE2686" i="2"/>
  <c r="AF2686" i="2"/>
  <c r="AG2686" i="2"/>
  <c r="AH2686" i="2"/>
  <c r="AI2686" i="2"/>
  <c r="AJ2686" i="2"/>
  <c r="AK2686" i="2"/>
  <c r="A2687" i="2"/>
  <c r="B2687" i="2"/>
  <c r="C2687" i="2"/>
  <c r="D2687" i="2"/>
  <c r="E2687" i="2"/>
  <c r="F2687" i="2"/>
  <c r="G2687" i="2"/>
  <c r="H2687" i="2"/>
  <c r="I2687" i="2"/>
  <c r="J2687" i="2"/>
  <c r="K2687" i="2"/>
  <c r="L2687" i="2"/>
  <c r="M2687" i="2"/>
  <c r="N2687" i="2"/>
  <c r="O2687" i="2"/>
  <c r="P2687" i="2"/>
  <c r="Q2687" i="2"/>
  <c r="R2687" i="2"/>
  <c r="S2687" i="2"/>
  <c r="T2687" i="2"/>
  <c r="U2687" i="2"/>
  <c r="V2687" i="2"/>
  <c r="W2687" i="2"/>
  <c r="X2687" i="2"/>
  <c r="Y2687" i="2"/>
  <c r="Z2687" i="2"/>
  <c r="AA2687" i="2"/>
  <c r="AB2687" i="2"/>
  <c r="AC2687" i="2"/>
  <c r="AD2687" i="2"/>
  <c r="AE2687" i="2"/>
  <c r="AF2687" i="2"/>
  <c r="AG2687" i="2"/>
  <c r="AH2687" i="2"/>
  <c r="AI2687" i="2"/>
  <c r="AJ2687" i="2"/>
  <c r="AK2687" i="2"/>
  <c r="A2688" i="2"/>
  <c r="B2688" i="2"/>
  <c r="C2688" i="2"/>
  <c r="D2688" i="2"/>
  <c r="E2688" i="2"/>
  <c r="F2688" i="2"/>
  <c r="G2688" i="2"/>
  <c r="H2688" i="2"/>
  <c r="I2688" i="2"/>
  <c r="J2688" i="2"/>
  <c r="K2688" i="2"/>
  <c r="L2688" i="2"/>
  <c r="M2688" i="2"/>
  <c r="N2688" i="2"/>
  <c r="O2688" i="2"/>
  <c r="P2688" i="2"/>
  <c r="Q2688" i="2"/>
  <c r="R2688" i="2"/>
  <c r="S2688" i="2"/>
  <c r="T2688" i="2"/>
  <c r="U2688" i="2"/>
  <c r="V2688" i="2"/>
  <c r="W2688" i="2"/>
  <c r="X2688" i="2"/>
  <c r="Y2688" i="2"/>
  <c r="Z2688" i="2"/>
  <c r="AA2688" i="2"/>
  <c r="AB2688" i="2"/>
  <c r="AC2688" i="2"/>
  <c r="AD2688" i="2"/>
  <c r="AE2688" i="2"/>
  <c r="AF2688" i="2"/>
  <c r="AG2688" i="2"/>
  <c r="AH2688" i="2"/>
  <c r="AI2688" i="2"/>
  <c r="AJ2688" i="2"/>
  <c r="AK2688" i="2"/>
  <c r="A2689" i="2"/>
  <c r="B2689" i="2"/>
  <c r="C2689" i="2"/>
  <c r="D2689" i="2"/>
  <c r="E2689" i="2"/>
  <c r="F2689" i="2"/>
  <c r="G2689" i="2"/>
  <c r="H2689" i="2"/>
  <c r="I2689" i="2"/>
  <c r="J2689" i="2"/>
  <c r="K2689" i="2"/>
  <c r="L2689" i="2"/>
  <c r="M2689" i="2"/>
  <c r="N2689" i="2"/>
  <c r="O2689" i="2"/>
  <c r="P2689" i="2"/>
  <c r="Q2689" i="2"/>
  <c r="R2689" i="2"/>
  <c r="S2689" i="2"/>
  <c r="T2689" i="2"/>
  <c r="U2689" i="2"/>
  <c r="V2689" i="2"/>
  <c r="W2689" i="2"/>
  <c r="X2689" i="2"/>
  <c r="Y2689" i="2"/>
  <c r="Z2689" i="2"/>
  <c r="AA2689" i="2"/>
  <c r="AB2689" i="2"/>
  <c r="AC2689" i="2"/>
  <c r="AD2689" i="2"/>
  <c r="AE2689" i="2"/>
  <c r="AF2689" i="2"/>
  <c r="AG2689" i="2"/>
  <c r="AH2689" i="2"/>
  <c r="AI2689" i="2"/>
  <c r="AJ2689" i="2"/>
  <c r="AK2689" i="2"/>
  <c r="A2690" i="2"/>
  <c r="B2690" i="2"/>
  <c r="C2690" i="2"/>
  <c r="D2690" i="2"/>
  <c r="E2690" i="2"/>
  <c r="F2690" i="2"/>
  <c r="G2690" i="2"/>
  <c r="H2690" i="2"/>
  <c r="I2690" i="2"/>
  <c r="J2690" i="2"/>
  <c r="K2690" i="2"/>
  <c r="L2690" i="2"/>
  <c r="M2690" i="2"/>
  <c r="N2690" i="2"/>
  <c r="O2690" i="2"/>
  <c r="P2690" i="2"/>
  <c r="Q2690" i="2"/>
  <c r="R2690" i="2"/>
  <c r="S2690" i="2"/>
  <c r="T2690" i="2"/>
  <c r="U2690" i="2"/>
  <c r="V2690" i="2"/>
  <c r="W2690" i="2"/>
  <c r="X2690" i="2"/>
  <c r="Y2690" i="2"/>
  <c r="Z2690" i="2"/>
  <c r="AA2690" i="2"/>
  <c r="AB2690" i="2"/>
  <c r="AC2690" i="2"/>
  <c r="AD2690" i="2"/>
  <c r="AE2690" i="2"/>
  <c r="AF2690" i="2"/>
  <c r="AG2690" i="2"/>
  <c r="AH2690" i="2"/>
  <c r="AI2690" i="2"/>
  <c r="AJ2690" i="2"/>
  <c r="AK2690" i="2"/>
  <c r="A2691" i="2"/>
  <c r="B2691" i="2"/>
  <c r="C2691" i="2"/>
  <c r="D2691" i="2"/>
  <c r="E2691" i="2"/>
  <c r="F2691" i="2"/>
  <c r="G2691" i="2"/>
  <c r="H2691" i="2"/>
  <c r="I2691" i="2"/>
  <c r="J2691" i="2"/>
  <c r="K2691" i="2"/>
  <c r="L2691" i="2"/>
  <c r="M2691" i="2"/>
  <c r="N2691" i="2"/>
  <c r="O2691" i="2"/>
  <c r="P2691" i="2"/>
  <c r="Q2691" i="2"/>
  <c r="R2691" i="2"/>
  <c r="S2691" i="2"/>
  <c r="T2691" i="2"/>
  <c r="U2691" i="2"/>
  <c r="V2691" i="2"/>
  <c r="W2691" i="2"/>
  <c r="X2691" i="2"/>
  <c r="Y2691" i="2"/>
  <c r="Z2691" i="2"/>
  <c r="AA2691" i="2"/>
  <c r="AB2691" i="2"/>
  <c r="AC2691" i="2"/>
  <c r="AD2691" i="2"/>
  <c r="AE2691" i="2"/>
  <c r="AF2691" i="2"/>
  <c r="AG2691" i="2"/>
  <c r="AH2691" i="2"/>
  <c r="AI2691" i="2"/>
  <c r="AJ2691" i="2"/>
  <c r="AK2691" i="2"/>
  <c r="A2692" i="2"/>
  <c r="B2692" i="2"/>
  <c r="C2692" i="2"/>
  <c r="D2692" i="2"/>
  <c r="E2692" i="2"/>
  <c r="F2692" i="2"/>
  <c r="G2692" i="2"/>
  <c r="H2692" i="2"/>
  <c r="I2692" i="2"/>
  <c r="J2692" i="2"/>
  <c r="K2692" i="2"/>
  <c r="L2692" i="2"/>
  <c r="M2692" i="2"/>
  <c r="N2692" i="2"/>
  <c r="O2692" i="2"/>
  <c r="P2692" i="2"/>
  <c r="Q2692" i="2"/>
  <c r="R2692" i="2"/>
  <c r="S2692" i="2"/>
  <c r="T2692" i="2"/>
  <c r="U2692" i="2"/>
  <c r="V2692" i="2"/>
  <c r="W2692" i="2"/>
  <c r="X2692" i="2"/>
  <c r="Y2692" i="2"/>
  <c r="Z2692" i="2"/>
  <c r="AA2692" i="2"/>
  <c r="AB2692" i="2"/>
  <c r="AC2692" i="2"/>
  <c r="AD2692" i="2"/>
  <c r="AE2692" i="2"/>
  <c r="AF2692" i="2"/>
  <c r="AG2692" i="2"/>
  <c r="AH2692" i="2"/>
  <c r="AI2692" i="2"/>
  <c r="AJ2692" i="2"/>
  <c r="AK2692" i="2"/>
  <c r="A2693" i="2"/>
  <c r="B2693" i="2"/>
  <c r="C2693" i="2"/>
  <c r="D2693" i="2"/>
  <c r="E2693" i="2"/>
  <c r="F2693" i="2"/>
  <c r="G2693" i="2"/>
  <c r="H2693" i="2"/>
  <c r="I2693" i="2"/>
  <c r="J2693" i="2"/>
  <c r="K2693" i="2"/>
  <c r="L2693" i="2"/>
  <c r="M2693" i="2"/>
  <c r="N2693" i="2"/>
  <c r="O2693" i="2"/>
  <c r="P2693" i="2"/>
  <c r="Q2693" i="2"/>
  <c r="R2693" i="2"/>
  <c r="S2693" i="2"/>
  <c r="T2693" i="2"/>
  <c r="U2693" i="2"/>
  <c r="V2693" i="2"/>
  <c r="W2693" i="2"/>
  <c r="X2693" i="2"/>
  <c r="Y2693" i="2"/>
  <c r="Z2693" i="2"/>
  <c r="AA2693" i="2"/>
  <c r="AB2693" i="2"/>
  <c r="AC2693" i="2"/>
  <c r="AD2693" i="2"/>
  <c r="AE2693" i="2"/>
  <c r="AF2693" i="2"/>
  <c r="AG2693" i="2"/>
  <c r="AH2693" i="2"/>
  <c r="AI2693" i="2"/>
  <c r="AJ2693" i="2"/>
  <c r="AK2693" i="2"/>
  <c r="A2694" i="2"/>
  <c r="B2694" i="2"/>
  <c r="C2694" i="2"/>
  <c r="D2694" i="2"/>
  <c r="E2694" i="2"/>
  <c r="F2694" i="2"/>
  <c r="G2694" i="2"/>
  <c r="H2694" i="2"/>
  <c r="I2694" i="2"/>
  <c r="J2694" i="2"/>
  <c r="K2694" i="2"/>
  <c r="L2694" i="2"/>
  <c r="M2694" i="2"/>
  <c r="N2694" i="2"/>
  <c r="O2694" i="2"/>
  <c r="P2694" i="2"/>
  <c r="Q2694" i="2"/>
  <c r="R2694" i="2"/>
  <c r="S2694" i="2"/>
  <c r="T2694" i="2"/>
  <c r="U2694" i="2"/>
  <c r="V2694" i="2"/>
  <c r="W2694" i="2"/>
  <c r="X2694" i="2"/>
  <c r="Y2694" i="2"/>
  <c r="Z2694" i="2"/>
  <c r="AA2694" i="2"/>
  <c r="AB2694" i="2"/>
  <c r="AC2694" i="2"/>
  <c r="AD2694" i="2"/>
  <c r="AE2694" i="2"/>
  <c r="AF2694" i="2"/>
  <c r="AG2694" i="2"/>
  <c r="AH2694" i="2"/>
  <c r="AI2694" i="2"/>
  <c r="AJ2694" i="2"/>
  <c r="AK2694" i="2"/>
  <c r="A2695" i="2"/>
  <c r="B2695" i="2"/>
  <c r="C2695" i="2"/>
  <c r="D2695" i="2"/>
  <c r="E2695" i="2"/>
  <c r="F2695" i="2"/>
  <c r="G2695" i="2"/>
  <c r="H2695" i="2"/>
  <c r="I2695" i="2"/>
  <c r="J2695" i="2"/>
  <c r="K2695" i="2"/>
  <c r="L2695" i="2"/>
  <c r="M2695" i="2"/>
  <c r="N2695" i="2"/>
  <c r="O2695" i="2"/>
  <c r="P2695" i="2"/>
  <c r="Q2695" i="2"/>
  <c r="R2695" i="2"/>
  <c r="S2695" i="2"/>
  <c r="T2695" i="2"/>
  <c r="U2695" i="2"/>
  <c r="V2695" i="2"/>
  <c r="W2695" i="2"/>
  <c r="X2695" i="2"/>
  <c r="Y2695" i="2"/>
  <c r="Z2695" i="2"/>
  <c r="AA2695" i="2"/>
  <c r="AB2695" i="2"/>
  <c r="AC2695" i="2"/>
  <c r="AD2695" i="2"/>
  <c r="AE2695" i="2"/>
  <c r="AF2695" i="2"/>
  <c r="AG2695" i="2"/>
  <c r="AH2695" i="2"/>
  <c r="AI2695" i="2"/>
  <c r="AJ2695" i="2"/>
  <c r="AK2695" i="2"/>
  <c r="A2696" i="2"/>
  <c r="B2696" i="2"/>
  <c r="C2696" i="2"/>
  <c r="D2696" i="2"/>
  <c r="E2696" i="2"/>
  <c r="F2696" i="2"/>
  <c r="G2696" i="2"/>
  <c r="H2696" i="2"/>
  <c r="I2696" i="2"/>
  <c r="J2696" i="2"/>
  <c r="K2696" i="2"/>
  <c r="L2696" i="2"/>
  <c r="M2696" i="2"/>
  <c r="N2696" i="2"/>
  <c r="O2696" i="2"/>
  <c r="P2696" i="2"/>
  <c r="Q2696" i="2"/>
  <c r="R2696" i="2"/>
  <c r="S2696" i="2"/>
  <c r="T2696" i="2"/>
  <c r="U2696" i="2"/>
  <c r="V2696" i="2"/>
  <c r="W2696" i="2"/>
  <c r="X2696" i="2"/>
  <c r="Y2696" i="2"/>
  <c r="Z2696" i="2"/>
  <c r="AA2696" i="2"/>
  <c r="AB2696" i="2"/>
  <c r="AC2696" i="2"/>
  <c r="AD2696" i="2"/>
  <c r="AE2696" i="2"/>
  <c r="AF2696" i="2"/>
  <c r="AG2696" i="2"/>
  <c r="AH2696" i="2"/>
  <c r="AI2696" i="2"/>
  <c r="AJ2696" i="2"/>
  <c r="AK2696" i="2"/>
  <c r="A2697" i="2"/>
  <c r="B2697" i="2"/>
  <c r="C2697" i="2"/>
  <c r="D2697" i="2"/>
  <c r="E2697" i="2"/>
  <c r="F2697" i="2"/>
  <c r="G2697" i="2"/>
  <c r="H2697" i="2"/>
  <c r="I2697" i="2"/>
  <c r="J2697" i="2"/>
  <c r="K2697" i="2"/>
  <c r="L2697" i="2"/>
  <c r="M2697" i="2"/>
  <c r="N2697" i="2"/>
  <c r="O2697" i="2"/>
  <c r="P2697" i="2"/>
  <c r="Q2697" i="2"/>
  <c r="R2697" i="2"/>
  <c r="S2697" i="2"/>
  <c r="T2697" i="2"/>
  <c r="U2697" i="2"/>
  <c r="V2697" i="2"/>
  <c r="W2697" i="2"/>
  <c r="X2697" i="2"/>
  <c r="Y2697" i="2"/>
  <c r="Z2697" i="2"/>
  <c r="AA2697" i="2"/>
  <c r="AB2697" i="2"/>
  <c r="AC2697" i="2"/>
  <c r="AD2697" i="2"/>
  <c r="AE2697" i="2"/>
  <c r="AF2697" i="2"/>
  <c r="AG2697" i="2"/>
  <c r="AH2697" i="2"/>
  <c r="AI2697" i="2"/>
  <c r="AJ2697" i="2"/>
  <c r="AK2697" i="2"/>
  <c r="A2698" i="2"/>
  <c r="B2698" i="2"/>
  <c r="C2698" i="2"/>
  <c r="D2698" i="2"/>
  <c r="E2698" i="2"/>
  <c r="F2698" i="2"/>
  <c r="G2698" i="2"/>
  <c r="H2698" i="2"/>
  <c r="I2698" i="2"/>
  <c r="J2698" i="2"/>
  <c r="K2698" i="2"/>
  <c r="L2698" i="2"/>
  <c r="M2698" i="2"/>
  <c r="N2698" i="2"/>
  <c r="O2698" i="2"/>
  <c r="P2698" i="2"/>
  <c r="Q2698" i="2"/>
  <c r="R2698" i="2"/>
  <c r="S2698" i="2"/>
  <c r="T2698" i="2"/>
  <c r="U2698" i="2"/>
  <c r="V2698" i="2"/>
  <c r="W2698" i="2"/>
  <c r="X2698" i="2"/>
  <c r="Y2698" i="2"/>
  <c r="Z2698" i="2"/>
  <c r="AA2698" i="2"/>
  <c r="AB2698" i="2"/>
  <c r="AC2698" i="2"/>
  <c r="AD2698" i="2"/>
  <c r="AE2698" i="2"/>
  <c r="AF2698" i="2"/>
  <c r="AG2698" i="2"/>
  <c r="AH2698" i="2"/>
  <c r="AI2698" i="2"/>
  <c r="AJ2698" i="2"/>
  <c r="AK2698" i="2"/>
  <c r="A2699" i="2"/>
  <c r="B2699" i="2"/>
  <c r="C2699" i="2"/>
  <c r="D2699" i="2"/>
  <c r="E2699" i="2"/>
  <c r="F2699" i="2"/>
  <c r="G2699" i="2"/>
  <c r="H2699" i="2"/>
  <c r="I2699" i="2"/>
  <c r="J2699" i="2"/>
  <c r="K2699" i="2"/>
  <c r="L2699" i="2"/>
  <c r="M2699" i="2"/>
  <c r="N2699" i="2"/>
  <c r="O2699" i="2"/>
  <c r="P2699" i="2"/>
  <c r="Q2699" i="2"/>
  <c r="R2699" i="2"/>
  <c r="S2699" i="2"/>
  <c r="T2699" i="2"/>
  <c r="U2699" i="2"/>
  <c r="V2699" i="2"/>
  <c r="W2699" i="2"/>
  <c r="X2699" i="2"/>
  <c r="Y2699" i="2"/>
  <c r="Z2699" i="2"/>
  <c r="AA2699" i="2"/>
  <c r="AB2699" i="2"/>
  <c r="AC2699" i="2"/>
  <c r="AD2699" i="2"/>
  <c r="AE2699" i="2"/>
  <c r="AF2699" i="2"/>
  <c r="AG2699" i="2"/>
  <c r="AH2699" i="2"/>
  <c r="AI2699" i="2"/>
  <c r="AJ2699" i="2"/>
  <c r="AK2699" i="2"/>
  <c r="A2700" i="2"/>
  <c r="B2700" i="2"/>
  <c r="C2700" i="2"/>
  <c r="D2700" i="2"/>
  <c r="E2700" i="2"/>
  <c r="F2700" i="2"/>
  <c r="G2700" i="2"/>
  <c r="H2700" i="2"/>
  <c r="I2700" i="2"/>
  <c r="J2700" i="2"/>
  <c r="K2700" i="2"/>
  <c r="L2700" i="2"/>
  <c r="M2700" i="2"/>
  <c r="N2700" i="2"/>
  <c r="O2700" i="2"/>
  <c r="P2700" i="2"/>
  <c r="Q2700" i="2"/>
  <c r="R2700" i="2"/>
  <c r="S2700" i="2"/>
  <c r="T2700" i="2"/>
  <c r="U2700" i="2"/>
  <c r="V2700" i="2"/>
  <c r="W2700" i="2"/>
  <c r="X2700" i="2"/>
  <c r="Y2700" i="2"/>
  <c r="Z2700" i="2"/>
  <c r="AA2700" i="2"/>
  <c r="AB2700" i="2"/>
  <c r="AC2700" i="2"/>
  <c r="AD2700" i="2"/>
  <c r="AE2700" i="2"/>
  <c r="AF2700" i="2"/>
  <c r="AG2700" i="2"/>
  <c r="AH2700" i="2"/>
  <c r="AI2700" i="2"/>
  <c r="AJ2700" i="2"/>
  <c r="AK2700" i="2"/>
  <c r="A2701" i="2"/>
  <c r="B2701" i="2"/>
  <c r="C2701" i="2"/>
  <c r="D2701" i="2"/>
  <c r="E2701" i="2"/>
  <c r="F2701" i="2"/>
  <c r="G2701" i="2"/>
  <c r="H2701" i="2"/>
  <c r="I2701" i="2"/>
  <c r="J2701" i="2"/>
  <c r="K2701" i="2"/>
  <c r="L2701" i="2"/>
  <c r="M2701" i="2"/>
  <c r="N2701" i="2"/>
  <c r="O2701" i="2"/>
  <c r="P2701" i="2"/>
  <c r="Q2701" i="2"/>
  <c r="R2701" i="2"/>
  <c r="S2701" i="2"/>
  <c r="T2701" i="2"/>
  <c r="U2701" i="2"/>
  <c r="V2701" i="2"/>
  <c r="W2701" i="2"/>
  <c r="X2701" i="2"/>
  <c r="Y2701" i="2"/>
  <c r="Z2701" i="2"/>
  <c r="AA2701" i="2"/>
  <c r="AB2701" i="2"/>
  <c r="AC2701" i="2"/>
  <c r="AD2701" i="2"/>
  <c r="AE2701" i="2"/>
  <c r="AF2701" i="2"/>
  <c r="AG2701" i="2"/>
  <c r="AH2701" i="2"/>
  <c r="AI2701" i="2"/>
  <c r="AJ2701" i="2"/>
  <c r="AK2701" i="2"/>
  <c r="A2702" i="2"/>
  <c r="B2702" i="2"/>
  <c r="C2702" i="2"/>
  <c r="D2702" i="2"/>
  <c r="E2702" i="2"/>
  <c r="F2702" i="2"/>
  <c r="G2702" i="2"/>
  <c r="H2702" i="2"/>
  <c r="I2702" i="2"/>
  <c r="J2702" i="2"/>
  <c r="K2702" i="2"/>
  <c r="L2702" i="2"/>
  <c r="M2702" i="2"/>
  <c r="N2702" i="2"/>
  <c r="O2702" i="2"/>
  <c r="P2702" i="2"/>
  <c r="Q2702" i="2"/>
  <c r="R2702" i="2"/>
  <c r="S2702" i="2"/>
  <c r="T2702" i="2"/>
  <c r="U2702" i="2"/>
  <c r="V2702" i="2"/>
  <c r="W2702" i="2"/>
  <c r="X2702" i="2"/>
  <c r="Y2702" i="2"/>
  <c r="Z2702" i="2"/>
  <c r="AA2702" i="2"/>
  <c r="AB2702" i="2"/>
  <c r="AC2702" i="2"/>
  <c r="AD2702" i="2"/>
  <c r="AE2702" i="2"/>
  <c r="AF2702" i="2"/>
  <c r="AG2702" i="2"/>
  <c r="AH2702" i="2"/>
  <c r="AI2702" i="2"/>
  <c r="AJ2702" i="2"/>
  <c r="AK2702" i="2"/>
  <c r="A2703" i="2"/>
  <c r="B2703" i="2"/>
  <c r="C2703" i="2"/>
  <c r="D2703" i="2"/>
  <c r="E2703" i="2"/>
  <c r="F2703" i="2"/>
  <c r="G2703" i="2"/>
  <c r="H2703" i="2"/>
  <c r="I2703" i="2"/>
  <c r="J2703" i="2"/>
  <c r="K2703" i="2"/>
  <c r="L2703" i="2"/>
  <c r="M2703" i="2"/>
  <c r="N2703" i="2"/>
  <c r="O2703" i="2"/>
  <c r="P2703" i="2"/>
  <c r="Q2703" i="2"/>
  <c r="R2703" i="2"/>
  <c r="S2703" i="2"/>
  <c r="T2703" i="2"/>
  <c r="U2703" i="2"/>
  <c r="V2703" i="2"/>
  <c r="W2703" i="2"/>
  <c r="X2703" i="2"/>
  <c r="Y2703" i="2"/>
  <c r="Z2703" i="2"/>
  <c r="AA2703" i="2"/>
  <c r="AB2703" i="2"/>
  <c r="AC2703" i="2"/>
  <c r="AD2703" i="2"/>
  <c r="AE2703" i="2"/>
  <c r="AF2703" i="2"/>
  <c r="AG2703" i="2"/>
  <c r="AH2703" i="2"/>
  <c r="AI2703" i="2"/>
  <c r="AJ2703" i="2"/>
  <c r="AK2703" i="2"/>
  <c r="A2704" i="2"/>
  <c r="B2704" i="2"/>
  <c r="C2704" i="2"/>
  <c r="D2704" i="2"/>
  <c r="E2704" i="2"/>
  <c r="F2704" i="2"/>
  <c r="G2704" i="2"/>
  <c r="H2704" i="2"/>
  <c r="I2704" i="2"/>
  <c r="J2704" i="2"/>
  <c r="K2704" i="2"/>
  <c r="L2704" i="2"/>
  <c r="M2704" i="2"/>
  <c r="N2704" i="2"/>
  <c r="O2704" i="2"/>
  <c r="P2704" i="2"/>
  <c r="Q2704" i="2"/>
  <c r="R2704" i="2"/>
  <c r="S2704" i="2"/>
  <c r="T2704" i="2"/>
  <c r="U2704" i="2"/>
  <c r="V2704" i="2"/>
  <c r="W2704" i="2"/>
  <c r="X2704" i="2"/>
  <c r="Y2704" i="2"/>
  <c r="Z2704" i="2"/>
  <c r="AA2704" i="2"/>
  <c r="AB2704" i="2"/>
  <c r="AC2704" i="2"/>
  <c r="AD2704" i="2"/>
  <c r="AE2704" i="2"/>
  <c r="AF2704" i="2"/>
  <c r="AG2704" i="2"/>
  <c r="AH2704" i="2"/>
  <c r="AI2704" i="2"/>
  <c r="AJ2704" i="2"/>
  <c r="AK2704" i="2"/>
  <c r="A2705" i="2"/>
  <c r="B2705" i="2"/>
  <c r="C2705" i="2"/>
  <c r="D2705" i="2"/>
  <c r="E2705" i="2"/>
  <c r="F2705" i="2"/>
  <c r="G2705" i="2"/>
  <c r="H2705" i="2"/>
  <c r="I2705" i="2"/>
  <c r="J2705" i="2"/>
  <c r="K2705" i="2"/>
  <c r="L2705" i="2"/>
  <c r="M2705" i="2"/>
  <c r="N2705" i="2"/>
  <c r="O2705" i="2"/>
  <c r="P2705" i="2"/>
  <c r="Q2705" i="2"/>
  <c r="R2705" i="2"/>
  <c r="S2705" i="2"/>
  <c r="T2705" i="2"/>
  <c r="U2705" i="2"/>
  <c r="V2705" i="2"/>
  <c r="W2705" i="2"/>
  <c r="X2705" i="2"/>
  <c r="Y2705" i="2"/>
  <c r="Z2705" i="2"/>
  <c r="AA2705" i="2"/>
  <c r="AB2705" i="2"/>
  <c r="AC2705" i="2"/>
  <c r="AD2705" i="2"/>
  <c r="AE2705" i="2"/>
  <c r="AF2705" i="2"/>
  <c r="AG2705" i="2"/>
  <c r="AH2705" i="2"/>
  <c r="AI2705" i="2"/>
  <c r="AJ2705" i="2"/>
  <c r="AK2705" i="2"/>
  <c r="A2706" i="2"/>
  <c r="B2706" i="2"/>
  <c r="C2706" i="2"/>
  <c r="D2706" i="2"/>
  <c r="E2706" i="2"/>
  <c r="F2706" i="2"/>
  <c r="G2706" i="2"/>
  <c r="H2706" i="2"/>
  <c r="I2706" i="2"/>
  <c r="J2706" i="2"/>
  <c r="K2706" i="2"/>
  <c r="L2706" i="2"/>
  <c r="M2706" i="2"/>
  <c r="N2706" i="2"/>
  <c r="O2706" i="2"/>
  <c r="P2706" i="2"/>
  <c r="Q2706" i="2"/>
  <c r="R2706" i="2"/>
  <c r="S2706" i="2"/>
  <c r="T2706" i="2"/>
  <c r="U2706" i="2"/>
  <c r="V2706" i="2"/>
  <c r="W2706" i="2"/>
  <c r="X2706" i="2"/>
  <c r="Y2706" i="2"/>
  <c r="Z2706" i="2"/>
  <c r="AA2706" i="2"/>
  <c r="AB2706" i="2"/>
  <c r="AC2706" i="2"/>
  <c r="AD2706" i="2"/>
  <c r="AE2706" i="2"/>
  <c r="AF2706" i="2"/>
  <c r="AG2706" i="2"/>
  <c r="AH2706" i="2"/>
  <c r="AI2706" i="2"/>
  <c r="AJ2706" i="2"/>
  <c r="AK2706" i="2"/>
  <c r="A2707" i="2"/>
  <c r="B2707" i="2"/>
  <c r="C2707" i="2"/>
  <c r="D2707" i="2"/>
  <c r="E2707" i="2"/>
  <c r="F2707" i="2"/>
  <c r="G2707" i="2"/>
  <c r="H2707" i="2"/>
  <c r="I2707" i="2"/>
  <c r="J2707" i="2"/>
  <c r="K2707" i="2"/>
  <c r="L2707" i="2"/>
  <c r="M2707" i="2"/>
  <c r="N2707" i="2"/>
  <c r="O2707" i="2"/>
  <c r="P2707" i="2"/>
  <c r="Q2707" i="2"/>
  <c r="R2707" i="2"/>
  <c r="S2707" i="2"/>
  <c r="T2707" i="2"/>
  <c r="U2707" i="2"/>
  <c r="V2707" i="2"/>
  <c r="W2707" i="2"/>
  <c r="X2707" i="2"/>
  <c r="Y2707" i="2"/>
  <c r="Z2707" i="2"/>
  <c r="AA2707" i="2"/>
  <c r="AB2707" i="2"/>
  <c r="AC2707" i="2"/>
  <c r="AD2707" i="2"/>
  <c r="AE2707" i="2"/>
  <c r="AF2707" i="2"/>
  <c r="AG2707" i="2"/>
  <c r="AH2707" i="2"/>
  <c r="AI2707" i="2"/>
  <c r="AJ2707" i="2"/>
  <c r="AK2707" i="2"/>
  <c r="A2708" i="2"/>
  <c r="B2708" i="2"/>
  <c r="C2708" i="2"/>
  <c r="D2708" i="2"/>
  <c r="E2708" i="2"/>
  <c r="F2708" i="2"/>
  <c r="G2708" i="2"/>
  <c r="H2708" i="2"/>
  <c r="I2708" i="2"/>
  <c r="J2708" i="2"/>
  <c r="K2708" i="2"/>
  <c r="L2708" i="2"/>
  <c r="M2708" i="2"/>
  <c r="N2708" i="2"/>
  <c r="O2708" i="2"/>
  <c r="P2708" i="2"/>
  <c r="Q2708" i="2"/>
  <c r="R2708" i="2"/>
  <c r="S2708" i="2"/>
  <c r="T2708" i="2"/>
  <c r="U2708" i="2"/>
  <c r="V2708" i="2"/>
  <c r="W2708" i="2"/>
  <c r="X2708" i="2"/>
  <c r="Y2708" i="2"/>
  <c r="Z2708" i="2"/>
  <c r="AA2708" i="2"/>
  <c r="AB2708" i="2"/>
  <c r="AC2708" i="2"/>
  <c r="AD2708" i="2"/>
  <c r="AE2708" i="2"/>
  <c r="AF2708" i="2"/>
  <c r="AG2708" i="2"/>
  <c r="AH2708" i="2"/>
  <c r="AI2708" i="2"/>
  <c r="AJ2708" i="2"/>
  <c r="AK2708" i="2"/>
  <c r="A2709" i="2"/>
  <c r="B2709" i="2"/>
  <c r="C2709" i="2"/>
  <c r="D2709" i="2"/>
  <c r="E2709" i="2"/>
  <c r="F2709" i="2"/>
  <c r="G2709" i="2"/>
  <c r="H2709" i="2"/>
  <c r="I2709" i="2"/>
  <c r="J2709" i="2"/>
  <c r="K2709" i="2"/>
  <c r="L2709" i="2"/>
  <c r="M2709" i="2"/>
  <c r="N2709" i="2"/>
  <c r="O2709" i="2"/>
  <c r="P2709" i="2"/>
  <c r="Q2709" i="2"/>
  <c r="R2709" i="2"/>
  <c r="S2709" i="2"/>
  <c r="T2709" i="2"/>
  <c r="U2709" i="2"/>
  <c r="V2709" i="2"/>
  <c r="W2709" i="2"/>
  <c r="X2709" i="2"/>
  <c r="Y2709" i="2"/>
  <c r="Z2709" i="2"/>
  <c r="AA2709" i="2"/>
  <c r="AB2709" i="2"/>
  <c r="AC2709" i="2"/>
  <c r="AD2709" i="2"/>
  <c r="AE2709" i="2"/>
  <c r="AF2709" i="2"/>
  <c r="AG2709" i="2"/>
  <c r="AH2709" i="2"/>
  <c r="AI2709" i="2"/>
  <c r="AJ2709" i="2"/>
  <c r="AK2709" i="2"/>
  <c r="A2710" i="2"/>
  <c r="B2710" i="2"/>
  <c r="C2710" i="2"/>
  <c r="D2710" i="2"/>
  <c r="E2710" i="2"/>
  <c r="F2710" i="2"/>
  <c r="G2710" i="2"/>
  <c r="H2710" i="2"/>
  <c r="I2710" i="2"/>
  <c r="J2710" i="2"/>
  <c r="K2710" i="2"/>
  <c r="L2710" i="2"/>
  <c r="M2710" i="2"/>
  <c r="N2710" i="2"/>
  <c r="O2710" i="2"/>
  <c r="P2710" i="2"/>
  <c r="Q2710" i="2"/>
  <c r="R2710" i="2"/>
  <c r="S2710" i="2"/>
  <c r="T2710" i="2"/>
  <c r="U2710" i="2"/>
  <c r="V2710" i="2"/>
  <c r="W2710" i="2"/>
  <c r="X2710" i="2"/>
  <c r="Y2710" i="2"/>
  <c r="Z2710" i="2"/>
  <c r="AA2710" i="2"/>
  <c r="AB2710" i="2"/>
  <c r="AC2710" i="2"/>
  <c r="AD2710" i="2"/>
  <c r="AE2710" i="2"/>
  <c r="AF2710" i="2"/>
  <c r="AG2710" i="2"/>
  <c r="AH2710" i="2"/>
  <c r="AI2710" i="2"/>
  <c r="AJ2710" i="2"/>
  <c r="AK2710" i="2"/>
  <c r="A2711" i="2"/>
  <c r="B2711" i="2"/>
  <c r="C2711" i="2"/>
  <c r="D2711" i="2"/>
  <c r="E2711" i="2"/>
  <c r="F2711" i="2"/>
  <c r="G2711" i="2"/>
  <c r="H2711" i="2"/>
  <c r="I2711" i="2"/>
  <c r="J2711" i="2"/>
  <c r="K2711" i="2"/>
  <c r="L2711" i="2"/>
  <c r="M2711" i="2"/>
  <c r="N2711" i="2"/>
  <c r="O2711" i="2"/>
  <c r="P2711" i="2"/>
  <c r="Q2711" i="2"/>
  <c r="R2711" i="2"/>
  <c r="S2711" i="2"/>
  <c r="T2711" i="2"/>
  <c r="U2711" i="2"/>
  <c r="V2711" i="2"/>
  <c r="W2711" i="2"/>
  <c r="X2711" i="2"/>
  <c r="Y2711" i="2"/>
  <c r="Z2711" i="2"/>
  <c r="AA2711" i="2"/>
  <c r="AB2711" i="2"/>
  <c r="AC2711" i="2"/>
  <c r="AD2711" i="2"/>
  <c r="AE2711" i="2"/>
  <c r="AF2711" i="2"/>
  <c r="AG2711" i="2"/>
  <c r="AH2711" i="2"/>
  <c r="AI2711" i="2"/>
  <c r="AJ2711" i="2"/>
  <c r="AK2711" i="2"/>
  <c r="A2712" i="2"/>
  <c r="B2712" i="2"/>
  <c r="C2712" i="2"/>
  <c r="D2712" i="2"/>
  <c r="E2712" i="2"/>
  <c r="F2712" i="2"/>
  <c r="G2712" i="2"/>
  <c r="H2712" i="2"/>
  <c r="I2712" i="2"/>
  <c r="J2712" i="2"/>
  <c r="K2712" i="2"/>
  <c r="L2712" i="2"/>
  <c r="M2712" i="2"/>
  <c r="N2712" i="2"/>
  <c r="O2712" i="2"/>
  <c r="P2712" i="2"/>
  <c r="Q2712" i="2"/>
  <c r="R2712" i="2"/>
  <c r="S2712" i="2"/>
  <c r="T2712" i="2"/>
  <c r="U2712" i="2"/>
  <c r="V2712" i="2"/>
  <c r="W2712" i="2"/>
  <c r="X2712" i="2"/>
  <c r="Y2712" i="2"/>
  <c r="Z2712" i="2"/>
  <c r="AA2712" i="2"/>
  <c r="AB2712" i="2"/>
  <c r="AC2712" i="2"/>
  <c r="AD2712" i="2"/>
  <c r="AE2712" i="2"/>
  <c r="AF2712" i="2"/>
  <c r="AG2712" i="2"/>
  <c r="AH2712" i="2"/>
  <c r="AI2712" i="2"/>
  <c r="AJ2712" i="2"/>
  <c r="AK2712" i="2"/>
  <c r="A2713" i="2"/>
  <c r="B2713" i="2"/>
  <c r="C2713" i="2"/>
  <c r="D2713" i="2"/>
  <c r="E2713" i="2"/>
  <c r="F2713" i="2"/>
  <c r="G2713" i="2"/>
  <c r="H2713" i="2"/>
  <c r="I2713" i="2"/>
  <c r="J2713" i="2"/>
  <c r="K2713" i="2"/>
  <c r="L2713" i="2"/>
  <c r="M2713" i="2"/>
  <c r="N2713" i="2"/>
  <c r="O2713" i="2"/>
  <c r="P2713" i="2"/>
  <c r="Q2713" i="2"/>
  <c r="R2713" i="2"/>
  <c r="S2713" i="2"/>
  <c r="T2713" i="2"/>
  <c r="U2713" i="2"/>
  <c r="V2713" i="2"/>
  <c r="W2713" i="2"/>
  <c r="X2713" i="2"/>
  <c r="Y2713" i="2"/>
  <c r="Z2713" i="2"/>
  <c r="AA2713" i="2"/>
  <c r="AB2713" i="2"/>
  <c r="AC2713" i="2"/>
  <c r="AD2713" i="2"/>
  <c r="AE2713" i="2"/>
  <c r="AF2713" i="2"/>
  <c r="AG2713" i="2"/>
  <c r="AH2713" i="2"/>
  <c r="AI2713" i="2"/>
  <c r="AJ2713" i="2"/>
  <c r="AK2713" i="2"/>
  <c r="A2714" i="2"/>
  <c r="B2714" i="2"/>
  <c r="C2714" i="2"/>
  <c r="D2714" i="2"/>
  <c r="E2714" i="2"/>
  <c r="F2714" i="2"/>
  <c r="G2714" i="2"/>
  <c r="H2714" i="2"/>
  <c r="I2714" i="2"/>
  <c r="J2714" i="2"/>
  <c r="K2714" i="2"/>
  <c r="L2714" i="2"/>
  <c r="M2714" i="2"/>
  <c r="N2714" i="2"/>
  <c r="O2714" i="2"/>
  <c r="P2714" i="2"/>
  <c r="Q2714" i="2"/>
  <c r="R2714" i="2"/>
  <c r="S2714" i="2"/>
  <c r="T2714" i="2"/>
  <c r="U2714" i="2"/>
  <c r="V2714" i="2"/>
  <c r="W2714" i="2"/>
  <c r="X2714" i="2"/>
  <c r="Y2714" i="2"/>
  <c r="Z2714" i="2"/>
  <c r="AA2714" i="2"/>
  <c r="AB2714" i="2"/>
  <c r="AC2714" i="2"/>
  <c r="AD2714" i="2"/>
  <c r="AE2714" i="2"/>
  <c r="AF2714" i="2"/>
  <c r="AG2714" i="2"/>
  <c r="AH2714" i="2"/>
  <c r="AI2714" i="2"/>
  <c r="AJ2714" i="2"/>
  <c r="AK2714" i="2"/>
  <c r="A2715" i="2"/>
  <c r="B2715" i="2"/>
  <c r="C2715" i="2"/>
  <c r="D2715" i="2"/>
  <c r="E2715" i="2"/>
  <c r="F2715" i="2"/>
  <c r="G2715" i="2"/>
  <c r="H2715" i="2"/>
  <c r="I2715" i="2"/>
  <c r="J2715" i="2"/>
  <c r="K2715" i="2"/>
  <c r="L2715" i="2"/>
  <c r="M2715" i="2"/>
  <c r="N2715" i="2"/>
  <c r="O2715" i="2"/>
  <c r="P2715" i="2"/>
  <c r="Q2715" i="2"/>
  <c r="R2715" i="2"/>
  <c r="S2715" i="2"/>
  <c r="T2715" i="2"/>
  <c r="U2715" i="2"/>
  <c r="V2715" i="2"/>
  <c r="W2715" i="2"/>
  <c r="X2715" i="2"/>
  <c r="Y2715" i="2"/>
  <c r="Z2715" i="2"/>
  <c r="AA2715" i="2"/>
  <c r="AB2715" i="2"/>
  <c r="AC2715" i="2"/>
  <c r="AD2715" i="2"/>
  <c r="AE2715" i="2"/>
  <c r="AF2715" i="2"/>
  <c r="AG2715" i="2"/>
  <c r="AH2715" i="2"/>
  <c r="AI2715" i="2"/>
  <c r="AJ2715" i="2"/>
  <c r="AK2715" i="2"/>
  <c r="A2716" i="2"/>
  <c r="B2716" i="2"/>
  <c r="C2716" i="2"/>
  <c r="D2716" i="2"/>
  <c r="E2716" i="2"/>
  <c r="F2716" i="2"/>
  <c r="G2716" i="2"/>
  <c r="H2716" i="2"/>
  <c r="I2716" i="2"/>
  <c r="J2716" i="2"/>
  <c r="K2716" i="2"/>
  <c r="L2716" i="2"/>
  <c r="M2716" i="2"/>
  <c r="N2716" i="2"/>
  <c r="O2716" i="2"/>
  <c r="P2716" i="2"/>
  <c r="Q2716" i="2"/>
  <c r="R2716" i="2"/>
  <c r="S2716" i="2"/>
  <c r="T2716" i="2"/>
  <c r="U2716" i="2"/>
  <c r="V2716" i="2"/>
  <c r="W2716" i="2"/>
  <c r="X2716" i="2"/>
  <c r="Y2716" i="2"/>
  <c r="Z2716" i="2"/>
  <c r="AA2716" i="2"/>
  <c r="AB2716" i="2"/>
  <c r="AC2716" i="2"/>
  <c r="AD2716" i="2"/>
  <c r="AE2716" i="2"/>
  <c r="AF2716" i="2"/>
  <c r="AG2716" i="2"/>
  <c r="AH2716" i="2"/>
  <c r="AI2716" i="2"/>
  <c r="AJ2716" i="2"/>
  <c r="AK2716" i="2"/>
  <c r="A2717" i="2"/>
  <c r="B2717" i="2"/>
  <c r="C2717" i="2"/>
  <c r="D2717" i="2"/>
  <c r="E2717" i="2"/>
  <c r="F2717" i="2"/>
  <c r="G2717" i="2"/>
  <c r="H2717" i="2"/>
  <c r="I2717" i="2"/>
  <c r="J2717" i="2"/>
  <c r="K2717" i="2"/>
  <c r="L2717" i="2"/>
  <c r="M2717" i="2"/>
  <c r="N2717" i="2"/>
  <c r="O2717" i="2"/>
  <c r="P2717" i="2"/>
  <c r="Q2717" i="2"/>
  <c r="R2717" i="2"/>
  <c r="S2717" i="2"/>
  <c r="T2717" i="2"/>
  <c r="U2717" i="2"/>
  <c r="V2717" i="2"/>
  <c r="W2717" i="2"/>
  <c r="X2717" i="2"/>
  <c r="Y2717" i="2"/>
  <c r="Z2717" i="2"/>
  <c r="AA2717" i="2"/>
  <c r="AB2717" i="2"/>
  <c r="AC2717" i="2"/>
  <c r="AD2717" i="2"/>
  <c r="AE2717" i="2"/>
  <c r="AF2717" i="2"/>
  <c r="AG2717" i="2"/>
  <c r="AH2717" i="2"/>
  <c r="AI2717" i="2"/>
  <c r="AJ2717" i="2"/>
  <c r="AK2717" i="2"/>
  <c r="A2718" i="2"/>
  <c r="B2718" i="2"/>
  <c r="C2718" i="2"/>
  <c r="D2718" i="2"/>
  <c r="E2718" i="2"/>
  <c r="F2718" i="2"/>
  <c r="G2718" i="2"/>
  <c r="H2718" i="2"/>
  <c r="I2718" i="2"/>
  <c r="J2718" i="2"/>
  <c r="K2718" i="2"/>
  <c r="L2718" i="2"/>
  <c r="M2718" i="2"/>
  <c r="N2718" i="2"/>
  <c r="O2718" i="2"/>
  <c r="P2718" i="2"/>
  <c r="Q2718" i="2"/>
  <c r="R2718" i="2"/>
  <c r="S2718" i="2"/>
  <c r="T2718" i="2"/>
  <c r="U2718" i="2"/>
  <c r="V2718" i="2"/>
  <c r="W2718" i="2"/>
  <c r="X2718" i="2"/>
  <c r="Y2718" i="2"/>
  <c r="Z2718" i="2"/>
  <c r="AA2718" i="2"/>
  <c r="AB2718" i="2"/>
  <c r="AC2718" i="2"/>
  <c r="AD2718" i="2"/>
  <c r="AE2718" i="2"/>
  <c r="AF2718" i="2"/>
  <c r="AG2718" i="2"/>
  <c r="AH2718" i="2"/>
  <c r="AI2718" i="2"/>
  <c r="AJ2718" i="2"/>
  <c r="AK2718" i="2"/>
  <c r="A2719" i="2"/>
  <c r="B2719" i="2"/>
  <c r="C2719" i="2"/>
  <c r="D2719" i="2"/>
  <c r="E2719" i="2"/>
  <c r="F2719" i="2"/>
  <c r="G2719" i="2"/>
  <c r="H2719" i="2"/>
  <c r="I2719" i="2"/>
  <c r="J2719" i="2"/>
  <c r="K2719" i="2"/>
  <c r="L2719" i="2"/>
  <c r="M2719" i="2"/>
  <c r="N2719" i="2"/>
  <c r="O2719" i="2"/>
  <c r="P2719" i="2"/>
  <c r="Q2719" i="2"/>
  <c r="R2719" i="2"/>
  <c r="S2719" i="2"/>
  <c r="T2719" i="2"/>
  <c r="U2719" i="2"/>
  <c r="V2719" i="2"/>
  <c r="W2719" i="2"/>
  <c r="X2719" i="2"/>
  <c r="Y2719" i="2"/>
  <c r="Z2719" i="2"/>
  <c r="AA2719" i="2"/>
  <c r="AB2719" i="2"/>
  <c r="AC2719" i="2"/>
  <c r="AD2719" i="2"/>
  <c r="AE2719" i="2"/>
  <c r="AF2719" i="2"/>
  <c r="AG2719" i="2"/>
  <c r="AH2719" i="2"/>
  <c r="AI2719" i="2"/>
  <c r="AJ2719" i="2"/>
  <c r="AK2719" i="2"/>
  <c r="A2720" i="2"/>
  <c r="B2720" i="2"/>
  <c r="C2720" i="2"/>
  <c r="D2720" i="2"/>
  <c r="E2720" i="2"/>
  <c r="F2720" i="2"/>
  <c r="G2720" i="2"/>
  <c r="H2720" i="2"/>
  <c r="I2720" i="2"/>
  <c r="J2720" i="2"/>
  <c r="K2720" i="2"/>
  <c r="L2720" i="2"/>
  <c r="M2720" i="2"/>
  <c r="N2720" i="2"/>
  <c r="O2720" i="2"/>
  <c r="P2720" i="2"/>
  <c r="Q2720" i="2"/>
  <c r="R2720" i="2"/>
  <c r="S2720" i="2"/>
  <c r="T2720" i="2"/>
  <c r="U2720" i="2"/>
  <c r="V2720" i="2"/>
  <c r="W2720" i="2"/>
  <c r="X2720" i="2"/>
  <c r="Y2720" i="2"/>
  <c r="Z2720" i="2"/>
  <c r="AA2720" i="2"/>
  <c r="AB2720" i="2"/>
  <c r="AC2720" i="2"/>
  <c r="AD2720" i="2"/>
  <c r="AE2720" i="2"/>
  <c r="AF2720" i="2"/>
  <c r="AG2720" i="2"/>
  <c r="AH2720" i="2"/>
  <c r="AI2720" i="2"/>
  <c r="AJ2720" i="2"/>
  <c r="AK2720" i="2"/>
  <c r="A2721" i="2"/>
  <c r="B2721" i="2"/>
  <c r="C2721" i="2"/>
  <c r="D2721" i="2"/>
  <c r="E2721" i="2"/>
  <c r="F2721" i="2"/>
  <c r="G2721" i="2"/>
  <c r="H2721" i="2"/>
  <c r="I2721" i="2"/>
  <c r="J2721" i="2"/>
  <c r="K2721" i="2"/>
  <c r="L2721" i="2"/>
  <c r="M2721" i="2"/>
  <c r="N2721" i="2"/>
  <c r="O2721" i="2"/>
  <c r="P2721" i="2"/>
  <c r="Q2721" i="2"/>
  <c r="R2721" i="2"/>
  <c r="S2721" i="2"/>
  <c r="T2721" i="2"/>
  <c r="U2721" i="2"/>
  <c r="V2721" i="2"/>
  <c r="W2721" i="2"/>
  <c r="X2721" i="2"/>
  <c r="Y2721" i="2"/>
  <c r="Z2721" i="2"/>
  <c r="AA2721" i="2"/>
  <c r="AB2721" i="2"/>
  <c r="AC2721" i="2"/>
  <c r="AD2721" i="2"/>
  <c r="AE2721" i="2"/>
  <c r="AF2721" i="2"/>
  <c r="AG2721" i="2"/>
  <c r="AH2721" i="2"/>
  <c r="AI2721" i="2"/>
  <c r="AJ2721" i="2"/>
  <c r="AK2721" i="2"/>
  <c r="A2722" i="2"/>
  <c r="B2722" i="2"/>
  <c r="C2722" i="2"/>
  <c r="D2722" i="2"/>
  <c r="E2722" i="2"/>
  <c r="F2722" i="2"/>
  <c r="G2722" i="2"/>
  <c r="H2722" i="2"/>
  <c r="I2722" i="2"/>
  <c r="J2722" i="2"/>
  <c r="K2722" i="2"/>
  <c r="L2722" i="2"/>
  <c r="M2722" i="2"/>
  <c r="N2722" i="2"/>
  <c r="O2722" i="2"/>
  <c r="P2722" i="2"/>
  <c r="Q2722" i="2"/>
  <c r="R2722" i="2"/>
  <c r="S2722" i="2"/>
  <c r="T2722" i="2"/>
  <c r="U2722" i="2"/>
  <c r="V2722" i="2"/>
  <c r="W2722" i="2"/>
  <c r="X2722" i="2"/>
  <c r="Y2722" i="2"/>
  <c r="Z2722" i="2"/>
  <c r="AA2722" i="2"/>
  <c r="AB2722" i="2"/>
  <c r="AC2722" i="2"/>
  <c r="AD2722" i="2"/>
  <c r="AE2722" i="2"/>
  <c r="AF2722" i="2"/>
  <c r="AG2722" i="2"/>
  <c r="AH2722" i="2"/>
  <c r="AI2722" i="2"/>
  <c r="AJ2722" i="2"/>
  <c r="AK2722" i="2"/>
  <c r="A2723" i="2"/>
  <c r="B2723" i="2"/>
  <c r="C2723" i="2"/>
  <c r="D2723" i="2"/>
  <c r="E2723" i="2"/>
  <c r="F2723" i="2"/>
  <c r="G2723" i="2"/>
  <c r="H2723" i="2"/>
  <c r="I2723" i="2"/>
  <c r="J2723" i="2"/>
  <c r="K2723" i="2"/>
  <c r="L2723" i="2"/>
  <c r="M2723" i="2"/>
  <c r="N2723" i="2"/>
  <c r="O2723" i="2"/>
  <c r="P2723" i="2"/>
  <c r="Q2723" i="2"/>
  <c r="R2723" i="2"/>
  <c r="S2723" i="2"/>
  <c r="T2723" i="2"/>
  <c r="U2723" i="2"/>
  <c r="V2723" i="2"/>
  <c r="W2723" i="2"/>
  <c r="X2723" i="2"/>
  <c r="Y2723" i="2"/>
  <c r="Z2723" i="2"/>
  <c r="AA2723" i="2"/>
  <c r="AB2723" i="2"/>
  <c r="AC2723" i="2"/>
  <c r="AD2723" i="2"/>
  <c r="AE2723" i="2"/>
  <c r="AF2723" i="2"/>
  <c r="AG2723" i="2"/>
  <c r="AH2723" i="2"/>
  <c r="AI2723" i="2"/>
  <c r="AJ2723" i="2"/>
  <c r="AK2723" i="2"/>
  <c r="A2724" i="2"/>
  <c r="B2724" i="2"/>
  <c r="C2724" i="2"/>
  <c r="D2724" i="2"/>
  <c r="E2724" i="2"/>
  <c r="F2724" i="2"/>
  <c r="G2724" i="2"/>
  <c r="H2724" i="2"/>
  <c r="I2724" i="2"/>
  <c r="J2724" i="2"/>
  <c r="K2724" i="2"/>
  <c r="L2724" i="2"/>
  <c r="M2724" i="2"/>
  <c r="N2724" i="2"/>
  <c r="O2724" i="2"/>
  <c r="P2724" i="2"/>
  <c r="Q2724" i="2"/>
  <c r="R2724" i="2"/>
  <c r="S2724" i="2"/>
  <c r="T2724" i="2"/>
  <c r="U2724" i="2"/>
  <c r="V2724" i="2"/>
  <c r="W2724" i="2"/>
  <c r="X2724" i="2"/>
  <c r="Y2724" i="2"/>
  <c r="Z2724" i="2"/>
  <c r="AA2724" i="2"/>
  <c r="AB2724" i="2"/>
  <c r="AC2724" i="2"/>
  <c r="AD2724" i="2"/>
  <c r="AE2724" i="2"/>
  <c r="AF2724" i="2"/>
  <c r="AG2724" i="2"/>
  <c r="AH2724" i="2"/>
  <c r="AI2724" i="2"/>
  <c r="AJ2724" i="2"/>
  <c r="AK2724" i="2"/>
  <c r="A2725" i="2"/>
  <c r="B2725" i="2"/>
  <c r="C2725" i="2"/>
  <c r="D2725" i="2"/>
  <c r="E2725" i="2"/>
  <c r="F2725" i="2"/>
  <c r="G2725" i="2"/>
  <c r="H2725" i="2"/>
  <c r="I2725" i="2"/>
  <c r="J2725" i="2"/>
  <c r="K2725" i="2"/>
  <c r="L2725" i="2"/>
  <c r="M2725" i="2"/>
  <c r="N2725" i="2"/>
  <c r="O2725" i="2"/>
  <c r="P2725" i="2"/>
  <c r="Q2725" i="2"/>
  <c r="R2725" i="2"/>
  <c r="S2725" i="2"/>
  <c r="T2725" i="2"/>
  <c r="U2725" i="2"/>
  <c r="V2725" i="2"/>
  <c r="W2725" i="2"/>
  <c r="X2725" i="2"/>
  <c r="Y2725" i="2"/>
  <c r="Z2725" i="2"/>
  <c r="AA2725" i="2"/>
  <c r="AB2725" i="2"/>
  <c r="AC2725" i="2"/>
  <c r="AD2725" i="2"/>
  <c r="AE2725" i="2"/>
  <c r="AF2725" i="2"/>
  <c r="AG2725" i="2"/>
  <c r="AH2725" i="2"/>
  <c r="AI2725" i="2"/>
  <c r="AJ2725" i="2"/>
  <c r="AK2725" i="2"/>
  <c r="A2726" i="2"/>
  <c r="B2726" i="2"/>
  <c r="C2726" i="2"/>
  <c r="D2726" i="2"/>
  <c r="E2726" i="2"/>
  <c r="F2726" i="2"/>
  <c r="G2726" i="2"/>
  <c r="H2726" i="2"/>
  <c r="I2726" i="2"/>
  <c r="J2726" i="2"/>
  <c r="K2726" i="2"/>
  <c r="L2726" i="2"/>
  <c r="M2726" i="2"/>
  <c r="N2726" i="2"/>
  <c r="O2726" i="2"/>
  <c r="P2726" i="2"/>
  <c r="Q2726" i="2"/>
  <c r="R2726" i="2"/>
  <c r="S2726" i="2"/>
  <c r="T2726" i="2"/>
  <c r="U2726" i="2"/>
  <c r="V2726" i="2"/>
  <c r="W2726" i="2"/>
  <c r="X2726" i="2"/>
  <c r="Y2726" i="2"/>
  <c r="Z2726" i="2"/>
  <c r="AA2726" i="2"/>
  <c r="AB2726" i="2"/>
  <c r="AC2726" i="2"/>
  <c r="AD2726" i="2"/>
  <c r="AE2726" i="2"/>
  <c r="AF2726" i="2"/>
  <c r="AG2726" i="2"/>
  <c r="AH2726" i="2"/>
  <c r="AI2726" i="2"/>
  <c r="AJ2726" i="2"/>
  <c r="AK2726" i="2"/>
  <c r="A2727" i="2"/>
  <c r="B2727" i="2"/>
  <c r="C2727" i="2"/>
  <c r="D2727" i="2"/>
  <c r="E2727" i="2"/>
  <c r="F2727" i="2"/>
  <c r="G2727" i="2"/>
  <c r="H2727" i="2"/>
  <c r="I2727" i="2"/>
  <c r="J2727" i="2"/>
  <c r="K2727" i="2"/>
  <c r="L2727" i="2"/>
  <c r="M2727" i="2"/>
  <c r="N2727" i="2"/>
  <c r="O2727" i="2"/>
  <c r="P2727" i="2"/>
  <c r="Q2727" i="2"/>
  <c r="R2727" i="2"/>
  <c r="S2727" i="2"/>
  <c r="T2727" i="2"/>
  <c r="U2727" i="2"/>
  <c r="V2727" i="2"/>
  <c r="W2727" i="2"/>
  <c r="X2727" i="2"/>
  <c r="Y2727" i="2"/>
  <c r="Z2727" i="2"/>
  <c r="AA2727" i="2"/>
  <c r="AB2727" i="2"/>
  <c r="AC2727" i="2"/>
  <c r="AD2727" i="2"/>
  <c r="AE2727" i="2"/>
  <c r="AF2727" i="2"/>
  <c r="AG2727" i="2"/>
  <c r="AH2727" i="2"/>
  <c r="AI2727" i="2"/>
  <c r="AJ2727" i="2"/>
  <c r="AK2727" i="2"/>
  <c r="A2728" i="2"/>
  <c r="B2728" i="2"/>
  <c r="C2728" i="2"/>
  <c r="D2728" i="2"/>
  <c r="E2728" i="2"/>
  <c r="F2728" i="2"/>
  <c r="G2728" i="2"/>
  <c r="H2728" i="2"/>
  <c r="I2728" i="2"/>
  <c r="J2728" i="2"/>
  <c r="K2728" i="2"/>
  <c r="L2728" i="2"/>
  <c r="M2728" i="2"/>
  <c r="N2728" i="2"/>
  <c r="O2728" i="2"/>
  <c r="P2728" i="2"/>
  <c r="Q2728" i="2"/>
  <c r="R2728" i="2"/>
  <c r="S2728" i="2"/>
  <c r="T2728" i="2"/>
  <c r="U2728" i="2"/>
  <c r="V2728" i="2"/>
  <c r="W2728" i="2"/>
  <c r="X2728" i="2"/>
  <c r="Y2728" i="2"/>
  <c r="Z2728" i="2"/>
  <c r="AA2728" i="2"/>
  <c r="AB2728" i="2"/>
  <c r="AC2728" i="2"/>
  <c r="AD2728" i="2"/>
  <c r="AE2728" i="2"/>
  <c r="AF2728" i="2"/>
  <c r="AG2728" i="2"/>
  <c r="AH2728" i="2"/>
  <c r="AI2728" i="2"/>
  <c r="AJ2728" i="2"/>
  <c r="AK2728" i="2"/>
  <c r="A2729" i="2"/>
  <c r="B2729" i="2"/>
  <c r="C2729" i="2"/>
  <c r="D2729" i="2"/>
  <c r="E2729" i="2"/>
  <c r="F2729" i="2"/>
  <c r="G2729" i="2"/>
  <c r="H2729" i="2"/>
  <c r="I2729" i="2"/>
  <c r="J2729" i="2"/>
  <c r="K2729" i="2"/>
  <c r="L2729" i="2"/>
  <c r="M2729" i="2"/>
  <c r="N2729" i="2"/>
  <c r="O2729" i="2"/>
  <c r="P2729" i="2"/>
  <c r="Q2729" i="2"/>
  <c r="R2729" i="2"/>
  <c r="S2729" i="2"/>
  <c r="T2729" i="2"/>
  <c r="U2729" i="2"/>
  <c r="V2729" i="2"/>
  <c r="W2729" i="2"/>
  <c r="X2729" i="2"/>
  <c r="Y2729" i="2"/>
  <c r="Z2729" i="2"/>
  <c r="AA2729" i="2"/>
  <c r="AB2729" i="2"/>
  <c r="AC2729" i="2"/>
  <c r="AD2729" i="2"/>
  <c r="AE2729" i="2"/>
  <c r="AF2729" i="2"/>
  <c r="AG2729" i="2"/>
  <c r="AH2729" i="2"/>
  <c r="AI2729" i="2"/>
  <c r="AJ2729" i="2"/>
  <c r="AK2729" i="2"/>
  <c r="A2730" i="2"/>
  <c r="B2730" i="2"/>
  <c r="C2730" i="2"/>
  <c r="D2730" i="2"/>
  <c r="E2730" i="2"/>
  <c r="F2730" i="2"/>
  <c r="G2730" i="2"/>
  <c r="H2730" i="2"/>
  <c r="I2730" i="2"/>
  <c r="J2730" i="2"/>
  <c r="K2730" i="2"/>
  <c r="L2730" i="2"/>
  <c r="M2730" i="2"/>
  <c r="N2730" i="2"/>
  <c r="O2730" i="2"/>
  <c r="P2730" i="2"/>
  <c r="Q2730" i="2"/>
  <c r="R2730" i="2"/>
  <c r="S2730" i="2"/>
  <c r="T2730" i="2"/>
  <c r="U2730" i="2"/>
  <c r="V2730" i="2"/>
  <c r="W2730" i="2"/>
  <c r="X2730" i="2"/>
  <c r="Y2730" i="2"/>
  <c r="Z2730" i="2"/>
  <c r="AA2730" i="2"/>
  <c r="AB2730" i="2"/>
  <c r="AC2730" i="2"/>
  <c r="AD2730" i="2"/>
  <c r="AE2730" i="2"/>
  <c r="AF2730" i="2"/>
  <c r="AG2730" i="2"/>
  <c r="AH2730" i="2"/>
  <c r="AI2730" i="2"/>
  <c r="AJ2730" i="2"/>
  <c r="AK2730" i="2"/>
  <c r="A2731" i="2"/>
  <c r="B2731" i="2"/>
  <c r="C2731" i="2"/>
  <c r="D2731" i="2"/>
  <c r="E2731" i="2"/>
  <c r="F2731" i="2"/>
  <c r="G2731" i="2"/>
  <c r="H2731" i="2"/>
  <c r="I2731" i="2"/>
  <c r="J2731" i="2"/>
  <c r="K2731" i="2"/>
  <c r="L2731" i="2"/>
  <c r="M2731" i="2"/>
  <c r="N2731" i="2"/>
  <c r="O2731" i="2"/>
  <c r="P2731" i="2"/>
  <c r="Q2731" i="2"/>
  <c r="R2731" i="2"/>
  <c r="S2731" i="2"/>
  <c r="T2731" i="2"/>
  <c r="U2731" i="2"/>
  <c r="V2731" i="2"/>
  <c r="W2731" i="2"/>
  <c r="X2731" i="2"/>
  <c r="Y2731" i="2"/>
  <c r="Z2731" i="2"/>
  <c r="AA2731" i="2"/>
  <c r="AB2731" i="2"/>
  <c r="AC2731" i="2"/>
  <c r="AD2731" i="2"/>
  <c r="AE2731" i="2"/>
  <c r="AF2731" i="2"/>
  <c r="AG2731" i="2"/>
  <c r="AH2731" i="2"/>
  <c r="AI2731" i="2"/>
  <c r="AJ2731" i="2"/>
  <c r="AK2731" i="2"/>
  <c r="A2732" i="2"/>
  <c r="B2732" i="2"/>
  <c r="C2732" i="2"/>
  <c r="D2732" i="2"/>
  <c r="E2732" i="2"/>
  <c r="F2732" i="2"/>
  <c r="G2732" i="2"/>
  <c r="H2732" i="2"/>
  <c r="I2732" i="2"/>
  <c r="J2732" i="2"/>
  <c r="K2732" i="2"/>
  <c r="L2732" i="2"/>
  <c r="M2732" i="2"/>
  <c r="N2732" i="2"/>
  <c r="O2732" i="2"/>
  <c r="P2732" i="2"/>
  <c r="Q2732" i="2"/>
  <c r="R2732" i="2"/>
  <c r="S2732" i="2"/>
  <c r="T2732" i="2"/>
  <c r="U2732" i="2"/>
  <c r="V2732" i="2"/>
  <c r="W2732" i="2"/>
  <c r="X2732" i="2"/>
  <c r="Y2732" i="2"/>
  <c r="Z2732" i="2"/>
  <c r="AA2732" i="2"/>
  <c r="AB2732" i="2"/>
  <c r="AC2732" i="2"/>
  <c r="AD2732" i="2"/>
  <c r="AE2732" i="2"/>
  <c r="AF2732" i="2"/>
  <c r="AG2732" i="2"/>
  <c r="AH2732" i="2"/>
  <c r="AI2732" i="2"/>
  <c r="AJ2732" i="2"/>
  <c r="AK2732" i="2"/>
  <c r="A2733" i="2"/>
  <c r="B2733" i="2"/>
  <c r="C2733" i="2"/>
  <c r="D2733" i="2"/>
  <c r="E2733" i="2"/>
  <c r="F2733" i="2"/>
  <c r="G2733" i="2"/>
  <c r="H2733" i="2"/>
  <c r="I2733" i="2"/>
  <c r="J2733" i="2"/>
  <c r="K2733" i="2"/>
  <c r="L2733" i="2"/>
  <c r="M2733" i="2"/>
  <c r="N2733" i="2"/>
  <c r="O2733" i="2"/>
  <c r="P2733" i="2"/>
  <c r="Q2733" i="2"/>
  <c r="R2733" i="2"/>
  <c r="S2733" i="2"/>
  <c r="T2733" i="2"/>
  <c r="U2733" i="2"/>
  <c r="V2733" i="2"/>
  <c r="W2733" i="2"/>
  <c r="X2733" i="2"/>
  <c r="Y2733" i="2"/>
  <c r="Z2733" i="2"/>
  <c r="AA2733" i="2"/>
  <c r="AB2733" i="2"/>
  <c r="AC2733" i="2"/>
  <c r="AD2733" i="2"/>
  <c r="AE2733" i="2"/>
  <c r="AF2733" i="2"/>
  <c r="AG2733" i="2"/>
  <c r="AH2733" i="2"/>
  <c r="AI2733" i="2"/>
  <c r="AJ2733" i="2"/>
  <c r="AK2733" i="2"/>
  <c r="A2734" i="2"/>
  <c r="B2734" i="2"/>
  <c r="C2734" i="2"/>
  <c r="D2734" i="2"/>
  <c r="E2734" i="2"/>
  <c r="F2734" i="2"/>
  <c r="G2734" i="2"/>
  <c r="H2734" i="2"/>
  <c r="I2734" i="2"/>
  <c r="J2734" i="2"/>
  <c r="K2734" i="2"/>
  <c r="L2734" i="2"/>
  <c r="M2734" i="2"/>
  <c r="N2734" i="2"/>
  <c r="O2734" i="2"/>
  <c r="P2734" i="2"/>
  <c r="Q2734" i="2"/>
  <c r="R2734" i="2"/>
  <c r="S2734" i="2"/>
  <c r="T2734" i="2"/>
  <c r="U2734" i="2"/>
  <c r="V2734" i="2"/>
  <c r="W2734" i="2"/>
  <c r="X2734" i="2"/>
  <c r="Y2734" i="2"/>
  <c r="Z2734" i="2"/>
  <c r="AA2734" i="2"/>
  <c r="AB2734" i="2"/>
  <c r="AC2734" i="2"/>
  <c r="AD2734" i="2"/>
  <c r="AE2734" i="2"/>
  <c r="AF2734" i="2"/>
  <c r="AG2734" i="2"/>
  <c r="AH2734" i="2"/>
  <c r="AI2734" i="2"/>
  <c r="AJ2734" i="2"/>
  <c r="AK2734" i="2"/>
  <c r="A2735" i="2"/>
  <c r="B2735" i="2"/>
  <c r="C2735" i="2"/>
  <c r="D2735" i="2"/>
  <c r="E2735" i="2"/>
  <c r="F2735" i="2"/>
  <c r="G2735" i="2"/>
  <c r="H2735" i="2"/>
  <c r="I2735" i="2"/>
  <c r="J2735" i="2"/>
  <c r="K2735" i="2"/>
  <c r="L2735" i="2"/>
  <c r="M2735" i="2"/>
  <c r="N2735" i="2"/>
  <c r="O2735" i="2"/>
  <c r="P2735" i="2"/>
  <c r="Q2735" i="2"/>
  <c r="R2735" i="2"/>
  <c r="S2735" i="2"/>
  <c r="T2735" i="2"/>
  <c r="U2735" i="2"/>
  <c r="V2735" i="2"/>
  <c r="W2735" i="2"/>
  <c r="X2735" i="2"/>
  <c r="Y2735" i="2"/>
  <c r="Z2735" i="2"/>
  <c r="AA2735" i="2"/>
  <c r="AB2735" i="2"/>
  <c r="AC2735" i="2"/>
  <c r="AD2735" i="2"/>
  <c r="AE2735" i="2"/>
  <c r="AF2735" i="2"/>
  <c r="AG2735" i="2"/>
  <c r="AH2735" i="2"/>
  <c r="AI2735" i="2"/>
  <c r="AJ2735" i="2"/>
  <c r="AK2735" i="2"/>
  <c r="A2736" i="2"/>
  <c r="B2736" i="2"/>
  <c r="C2736" i="2"/>
  <c r="D2736" i="2"/>
  <c r="E2736" i="2"/>
  <c r="F2736" i="2"/>
  <c r="G2736" i="2"/>
  <c r="H2736" i="2"/>
  <c r="I2736" i="2"/>
  <c r="J2736" i="2"/>
  <c r="K2736" i="2"/>
  <c r="L2736" i="2"/>
  <c r="M2736" i="2"/>
  <c r="N2736" i="2"/>
  <c r="O2736" i="2"/>
  <c r="P2736" i="2"/>
  <c r="Q2736" i="2"/>
  <c r="R2736" i="2"/>
  <c r="S2736" i="2"/>
  <c r="T2736" i="2"/>
  <c r="U2736" i="2"/>
  <c r="V2736" i="2"/>
  <c r="W2736" i="2"/>
  <c r="X2736" i="2"/>
  <c r="Y2736" i="2"/>
  <c r="Z2736" i="2"/>
  <c r="AA2736" i="2"/>
  <c r="AB2736" i="2"/>
  <c r="AC2736" i="2"/>
  <c r="AD2736" i="2"/>
  <c r="AE2736" i="2"/>
  <c r="AF2736" i="2"/>
  <c r="AG2736" i="2"/>
  <c r="AH2736" i="2"/>
  <c r="AI2736" i="2"/>
  <c r="AJ2736" i="2"/>
  <c r="AK2736" i="2"/>
  <c r="A2737" i="2"/>
  <c r="B2737" i="2"/>
  <c r="C2737" i="2"/>
  <c r="D2737" i="2"/>
  <c r="E2737" i="2"/>
  <c r="F2737" i="2"/>
  <c r="G2737" i="2"/>
  <c r="H2737" i="2"/>
  <c r="I2737" i="2"/>
  <c r="J2737" i="2"/>
  <c r="K2737" i="2"/>
  <c r="L2737" i="2"/>
  <c r="M2737" i="2"/>
  <c r="N2737" i="2"/>
  <c r="O2737" i="2"/>
  <c r="P2737" i="2"/>
  <c r="Q2737" i="2"/>
  <c r="R2737" i="2"/>
  <c r="S2737" i="2"/>
  <c r="T2737" i="2"/>
  <c r="U2737" i="2"/>
  <c r="V2737" i="2"/>
  <c r="W2737" i="2"/>
  <c r="X2737" i="2"/>
  <c r="Y2737" i="2"/>
  <c r="Z2737" i="2"/>
  <c r="AA2737" i="2"/>
  <c r="AB2737" i="2"/>
  <c r="AC2737" i="2"/>
  <c r="AD2737" i="2"/>
  <c r="AE2737" i="2"/>
  <c r="AF2737" i="2"/>
  <c r="AG2737" i="2"/>
  <c r="AH2737" i="2"/>
  <c r="AI2737" i="2"/>
  <c r="AJ2737" i="2"/>
  <c r="AK2737" i="2"/>
  <c r="A2738" i="2"/>
  <c r="B2738" i="2"/>
  <c r="C2738" i="2"/>
  <c r="D2738" i="2"/>
  <c r="E2738" i="2"/>
  <c r="F2738" i="2"/>
  <c r="G2738" i="2"/>
  <c r="H2738" i="2"/>
  <c r="I2738" i="2"/>
  <c r="J2738" i="2"/>
  <c r="K2738" i="2"/>
  <c r="L2738" i="2"/>
  <c r="M2738" i="2"/>
  <c r="N2738" i="2"/>
  <c r="O2738" i="2"/>
  <c r="P2738" i="2"/>
  <c r="Q2738" i="2"/>
  <c r="R2738" i="2"/>
  <c r="S2738" i="2"/>
  <c r="T2738" i="2"/>
  <c r="U2738" i="2"/>
  <c r="V2738" i="2"/>
  <c r="W2738" i="2"/>
  <c r="X2738" i="2"/>
  <c r="Y2738" i="2"/>
  <c r="Z2738" i="2"/>
  <c r="AA2738" i="2"/>
  <c r="AB2738" i="2"/>
  <c r="AC2738" i="2"/>
  <c r="AD2738" i="2"/>
  <c r="AE2738" i="2"/>
  <c r="AF2738" i="2"/>
  <c r="AG2738" i="2"/>
  <c r="AH2738" i="2"/>
  <c r="AI2738" i="2"/>
  <c r="AJ2738" i="2"/>
  <c r="AK2738" i="2"/>
  <c r="A2739" i="2"/>
  <c r="B2739" i="2"/>
  <c r="C2739" i="2"/>
  <c r="D2739" i="2"/>
  <c r="E2739" i="2"/>
  <c r="F2739" i="2"/>
  <c r="G2739" i="2"/>
  <c r="H2739" i="2"/>
  <c r="I2739" i="2"/>
  <c r="J2739" i="2"/>
  <c r="K2739" i="2"/>
  <c r="L2739" i="2"/>
  <c r="M2739" i="2"/>
  <c r="N2739" i="2"/>
  <c r="O2739" i="2"/>
  <c r="P2739" i="2"/>
  <c r="Q2739" i="2"/>
  <c r="R2739" i="2"/>
  <c r="S2739" i="2"/>
  <c r="T2739" i="2"/>
  <c r="U2739" i="2"/>
  <c r="V2739" i="2"/>
  <c r="W2739" i="2"/>
  <c r="X2739" i="2"/>
  <c r="Y2739" i="2"/>
  <c r="Z2739" i="2"/>
  <c r="AA2739" i="2"/>
  <c r="AB2739" i="2"/>
  <c r="AC2739" i="2"/>
  <c r="AD2739" i="2"/>
  <c r="AE2739" i="2"/>
  <c r="AF2739" i="2"/>
  <c r="AG2739" i="2"/>
  <c r="AH2739" i="2"/>
  <c r="AI2739" i="2"/>
  <c r="AJ2739" i="2"/>
  <c r="AK2739" i="2"/>
  <c r="A2740" i="2"/>
  <c r="B2740" i="2"/>
  <c r="C2740" i="2"/>
  <c r="D2740" i="2"/>
  <c r="E2740" i="2"/>
  <c r="F2740" i="2"/>
  <c r="G2740" i="2"/>
  <c r="H2740" i="2"/>
  <c r="I2740" i="2"/>
  <c r="J2740" i="2"/>
  <c r="K2740" i="2"/>
  <c r="L2740" i="2"/>
  <c r="M2740" i="2"/>
  <c r="N2740" i="2"/>
  <c r="O2740" i="2"/>
  <c r="P2740" i="2"/>
  <c r="Q2740" i="2"/>
  <c r="R2740" i="2"/>
  <c r="S2740" i="2"/>
  <c r="T2740" i="2"/>
  <c r="U2740" i="2"/>
  <c r="V2740" i="2"/>
  <c r="W2740" i="2"/>
  <c r="X2740" i="2"/>
  <c r="Y2740" i="2"/>
  <c r="Z2740" i="2"/>
  <c r="AA2740" i="2"/>
  <c r="AB2740" i="2"/>
  <c r="AC2740" i="2"/>
  <c r="AD2740" i="2"/>
  <c r="AE2740" i="2"/>
  <c r="AF2740" i="2"/>
  <c r="AG2740" i="2"/>
  <c r="AH2740" i="2"/>
  <c r="AI2740" i="2"/>
  <c r="AJ2740" i="2"/>
  <c r="AK2740" i="2"/>
  <c r="A2741" i="2"/>
  <c r="B2741" i="2"/>
  <c r="C2741" i="2"/>
  <c r="D2741" i="2"/>
  <c r="E2741" i="2"/>
  <c r="F2741" i="2"/>
  <c r="G2741" i="2"/>
  <c r="H2741" i="2"/>
  <c r="I2741" i="2"/>
  <c r="J2741" i="2"/>
  <c r="K2741" i="2"/>
  <c r="L2741" i="2"/>
  <c r="M2741" i="2"/>
  <c r="N2741" i="2"/>
  <c r="O2741" i="2"/>
  <c r="P2741" i="2"/>
  <c r="Q2741" i="2"/>
  <c r="R2741" i="2"/>
  <c r="S2741" i="2"/>
  <c r="T2741" i="2"/>
  <c r="U2741" i="2"/>
  <c r="V2741" i="2"/>
  <c r="W2741" i="2"/>
  <c r="X2741" i="2"/>
  <c r="Y2741" i="2"/>
  <c r="Z2741" i="2"/>
  <c r="AA2741" i="2"/>
  <c r="AB2741" i="2"/>
  <c r="AC2741" i="2"/>
  <c r="AD2741" i="2"/>
  <c r="AE2741" i="2"/>
  <c r="AF2741" i="2"/>
  <c r="AG2741" i="2"/>
  <c r="AH2741" i="2"/>
  <c r="AI2741" i="2"/>
  <c r="AJ2741" i="2"/>
  <c r="AK2741" i="2"/>
  <c r="A2742" i="2"/>
  <c r="B2742" i="2"/>
  <c r="C2742" i="2"/>
  <c r="D2742" i="2"/>
  <c r="E2742" i="2"/>
  <c r="F2742" i="2"/>
  <c r="G2742" i="2"/>
  <c r="H2742" i="2"/>
  <c r="I2742" i="2"/>
  <c r="J2742" i="2"/>
  <c r="K2742" i="2"/>
  <c r="L2742" i="2"/>
  <c r="M2742" i="2"/>
  <c r="N2742" i="2"/>
  <c r="O2742" i="2"/>
  <c r="P2742" i="2"/>
  <c r="Q2742" i="2"/>
  <c r="R2742" i="2"/>
  <c r="S2742" i="2"/>
  <c r="T2742" i="2"/>
  <c r="U2742" i="2"/>
  <c r="V2742" i="2"/>
  <c r="W2742" i="2"/>
  <c r="X2742" i="2"/>
  <c r="Y2742" i="2"/>
  <c r="Z2742" i="2"/>
  <c r="AA2742" i="2"/>
  <c r="AB2742" i="2"/>
  <c r="AC2742" i="2"/>
  <c r="AD2742" i="2"/>
  <c r="AE2742" i="2"/>
  <c r="AF2742" i="2"/>
  <c r="AG2742" i="2"/>
  <c r="AH2742" i="2"/>
  <c r="AI2742" i="2"/>
  <c r="AJ2742" i="2"/>
  <c r="AK2742" i="2"/>
  <c r="A2743" i="2"/>
  <c r="B2743" i="2"/>
  <c r="C2743" i="2"/>
  <c r="D2743" i="2"/>
  <c r="E2743" i="2"/>
  <c r="F2743" i="2"/>
  <c r="G2743" i="2"/>
  <c r="H2743" i="2"/>
  <c r="I2743" i="2"/>
  <c r="J2743" i="2"/>
  <c r="K2743" i="2"/>
  <c r="L2743" i="2"/>
  <c r="M2743" i="2"/>
  <c r="N2743" i="2"/>
  <c r="O2743" i="2"/>
  <c r="P2743" i="2"/>
  <c r="Q2743" i="2"/>
  <c r="R2743" i="2"/>
  <c r="S2743" i="2"/>
  <c r="T2743" i="2"/>
  <c r="U2743" i="2"/>
  <c r="V2743" i="2"/>
  <c r="W2743" i="2"/>
  <c r="X2743" i="2"/>
  <c r="Y2743" i="2"/>
  <c r="Z2743" i="2"/>
  <c r="AA2743" i="2"/>
  <c r="AB2743" i="2"/>
  <c r="AC2743" i="2"/>
  <c r="AD2743" i="2"/>
  <c r="AE2743" i="2"/>
  <c r="AF2743" i="2"/>
  <c r="AG2743" i="2"/>
  <c r="AH2743" i="2"/>
  <c r="AI2743" i="2"/>
  <c r="AJ2743" i="2"/>
  <c r="AK2743" i="2"/>
  <c r="A2744" i="2"/>
  <c r="B2744" i="2"/>
  <c r="C2744" i="2"/>
  <c r="D2744" i="2"/>
  <c r="E2744" i="2"/>
  <c r="F2744" i="2"/>
  <c r="G2744" i="2"/>
  <c r="H2744" i="2"/>
  <c r="I2744" i="2"/>
  <c r="J2744" i="2"/>
  <c r="K2744" i="2"/>
  <c r="L2744" i="2"/>
  <c r="M2744" i="2"/>
  <c r="N2744" i="2"/>
  <c r="O2744" i="2"/>
  <c r="P2744" i="2"/>
  <c r="Q2744" i="2"/>
  <c r="R2744" i="2"/>
  <c r="S2744" i="2"/>
  <c r="T2744" i="2"/>
  <c r="U2744" i="2"/>
  <c r="V2744" i="2"/>
  <c r="W2744" i="2"/>
  <c r="X2744" i="2"/>
  <c r="Y2744" i="2"/>
  <c r="Z2744" i="2"/>
  <c r="AA2744" i="2"/>
  <c r="AB2744" i="2"/>
  <c r="AC2744" i="2"/>
  <c r="AD2744" i="2"/>
  <c r="AE2744" i="2"/>
  <c r="AF2744" i="2"/>
  <c r="AG2744" i="2"/>
  <c r="AH2744" i="2"/>
  <c r="AI2744" i="2"/>
  <c r="AJ2744" i="2"/>
  <c r="AK2744" i="2"/>
  <c r="A2745" i="2"/>
  <c r="B2745" i="2"/>
  <c r="C2745" i="2"/>
  <c r="D2745" i="2"/>
  <c r="E2745" i="2"/>
  <c r="F2745" i="2"/>
  <c r="G2745" i="2"/>
  <c r="H2745" i="2"/>
  <c r="I2745" i="2"/>
  <c r="J2745" i="2"/>
  <c r="K2745" i="2"/>
  <c r="L2745" i="2"/>
  <c r="M2745" i="2"/>
  <c r="N2745" i="2"/>
  <c r="O2745" i="2"/>
  <c r="P2745" i="2"/>
  <c r="Q2745" i="2"/>
  <c r="R2745" i="2"/>
  <c r="S2745" i="2"/>
  <c r="T2745" i="2"/>
  <c r="U2745" i="2"/>
  <c r="V2745" i="2"/>
  <c r="W2745" i="2"/>
  <c r="X2745" i="2"/>
  <c r="Y2745" i="2"/>
  <c r="Z2745" i="2"/>
  <c r="AA2745" i="2"/>
  <c r="AB2745" i="2"/>
  <c r="AC2745" i="2"/>
  <c r="AD2745" i="2"/>
  <c r="AE2745" i="2"/>
  <c r="AF2745" i="2"/>
  <c r="AG2745" i="2"/>
  <c r="AH2745" i="2"/>
  <c r="AI2745" i="2"/>
  <c r="AJ2745" i="2"/>
  <c r="AK2745" i="2"/>
  <c r="A2746" i="2"/>
  <c r="B2746" i="2"/>
  <c r="C2746" i="2"/>
  <c r="D2746" i="2"/>
  <c r="E2746" i="2"/>
  <c r="F2746" i="2"/>
  <c r="G2746" i="2"/>
  <c r="H2746" i="2"/>
  <c r="I2746" i="2"/>
  <c r="J2746" i="2"/>
  <c r="K2746" i="2"/>
  <c r="L2746" i="2"/>
  <c r="M2746" i="2"/>
  <c r="N2746" i="2"/>
  <c r="O2746" i="2"/>
  <c r="P2746" i="2"/>
  <c r="Q2746" i="2"/>
  <c r="R2746" i="2"/>
  <c r="S2746" i="2"/>
  <c r="T2746" i="2"/>
  <c r="U2746" i="2"/>
  <c r="V2746" i="2"/>
  <c r="W2746" i="2"/>
  <c r="X2746" i="2"/>
  <c r="Y2746" i="2"/>
  <c r="Z2746" i="2"/>
  <c r="AA2746" i="2"/>
  <c r="AB2746" i="2"/>
  <c r="AC2746" i="2"/>
  <c r="AD2746" i="2"/>
  <c r="AE2746" i="2"/>
  <c r="AF2746" i="2"/>
  <c r="AG2746" i="2"/>
  <c r="AH2746" i="2"/>
  <c r="AI2746" i="2"/>
  <c r="AJ2746" i="2"/>
  <c r="AK2746" i="2"/>
  <c r="A2747" i="2"/>
  <c r="B2747" i="2"/>
  <c r="C2747" i="2"/>
  <c r="D2747" i="2"/>
  <c r="E2747" i="2"/>
  <c r="F2747" i="2"/>
  <c r="G2747" i="2"/>
  <c r="H2747" i="2"/>
  <c r="I2747" i="2"/>
  <c r="J2747" i="2"/>
  <c r="K2747" i="2"/>
  <c r="L2747" i="2"/>
  <c r="M2747" i="2"/>
  <c r="N2747" i="2"/>
  <c r="O2747" i="2"/>
  <c r="P2747" i="2"/>
  <c r="Q2747" i="2"/>
  <c r="R2747" i="2"/>
  <c r="S2747" i="2"/>
  <c r="T2747" i="2"/>
  <c r="U2747" i="2"/>
  <c r="V2747" i="2"/>
  <c r="W2747" i="2"/>
  <c r="X2747" i="2"/>
  <c r="Y2747" i="2"/>
  <c r="Z2747" i="2"/>
  <c r="AA2747" i="2"/>
  <c r="AB2747" i="2"/>
  <c r="AC2747" i="2"/>
  <c r="AD2747" i="2"/>
  <c r="AE2747" i="2"/>
  <c r="AF2747" i="2"/>
  <c r="AG2747" i="2"/>
  <c r="AH2747" i="2"/>
  <c r="AI2747" i="2"/>
  <c r="AJ2747" i="2"/>
  <c r="AK2747" i="2"/>
  <c r="A2748" i="2"/>
  <c r="B2748" i="2"/>
  <c r="C2748" i="2"/>
  <c r="D2748" i="2"/>
  <c r="E2748" i="2"/>
  <c r="F2748" i="2"/>
  <c r="G2748" i="2"/>
  <c r="H2748" i="2"/>
  <c r="I2748" i="2"/>
  <c r="J2748" i="2"/>
  <c r="K2748" i="2"/>
  <c r="L2748" i="2"/>
  <c r="M2748" i="2"/>
  <c r="N2748" i="2"/>
  <c r="O2748" i="2"/>
  <c r="P2748" i="2"/>
  <c r="Q2748" i="2"/>
  <c r="R2748" i="2"/>
  <c r="S2748" i="2"/>
  <c r="T2748" i="2"/>
  <c r="U2748" i="2"/>
  <c r="V2748" i="2"/>
  <c r="W2748" i="2"/>
  <c r="X2748" i="2"/>
  <c r="Y2748" i="2"/>
  <c r="Z2748" i="2"/>
  <c r="AA2748" i="2"/>
  <c r="AB2748" i="2"/>
  <c r="AC2748" i="2"/>
  <c r="AD2748" i="2"/>
  <c r="AE2748" i="2"/>
  <c r="AF2748" i="2"/>
  <c r="AG2748" i="2"/>
  <c r="AH2748" i="2"/>
  <c r="AI2748" i="2"/>
  <c r="AJ2748" i="2"/>
  <c r="AK2748" i="2"/>
  <c r="A2749" i="2"/>
  <c r="B2749" i="2"/>
  <c r="C2749" i="2"/>
  <c r="D2749" i="2"/>
  <c r="E2749" i="2"/>
  <c r="F2749" i="2"/>
  <c r="G2749" i="2"/>
  <c r="H2749" i="2"/>
  <c r="I2749" i="2"/>
  <c r="J2749" i="2"/>
  <c r="K2749" i="2"/>
  <c r="L2749" i="2"/>
  <c r="M2749" i="2"/>
  <c r="N2749" i="2"/>
  <c r="O2749" i="2"/>
  <c r="P2749" i="2"/>
  <c r="Q2749" i="2"/>
  <c r="R2749" i="2"/>
  <c r="S2749" i="2"/>
  <c r="T2749" i="2"/>
  <c r="U2749" i="2"/>
  <c r="V2749" i="2"/>
  <c r="W2749" i="2"/>
  <c r="X2749" i="2"/>
  <c r="Y2749" i="2"/>
  <c r="Z2749" i="2"/>
  <c r="AA2749" i="2"/>
  <c r="AB2749" i="2"/>
  <c r="AC2749" i="2"/>
  <c r="AD2749" i="2"/>
  <c r="AE2749" i="2"/>
  <c r="AF2749" i="2"/>
  <c r="AG2749" i="2"/>
  <c r="AH2749" i="2"/>
  <c r="AI2749" i="2"/>
  <c r="AJ2749" i="2"/>
  <c r="AK2749" i="2"/>
  <c r="A2750" i="2"/>
  <c r="B2750" i="2"/>
  <c r="C2750" i="2"/>
  <c r="D2750" i="2"/>
  <c r="E2750" i="2"/>
  <c r="F2750" i="2"/>
  <c r="G2750" i="2"/>
  <c r="H2750" i="2"/>
  <c r="I2750" i="2"/>
  <c r="J2750" i="2"/>
  <c r="K2750" i="2"/>
  <c r="L2750" i="2"/>
  <c r="M2750" i="2"/>
  <c r="N2750" i="2"/>
  <c r="O2750" i="2"/>
  <c r="P2750" i="2"/>
  <c r="Q2750" i="2"/>
  <c r="R2750" i="2"/>
  <c r="S2750" i="2"/>
  <c r="T2750" i="2"/>
  <c r="U2750" i="2"/>
  <c r="V2750" i="2"/>
  <c r="W2750" i="2"/>
  <c r="X2750" i="2"/>
  <c r="Y2750" i="2"/>
  <c r="Z2750" i="2"/>
  <c r="AA2750" i="2"/>
  <c r="AB2750" i="2"/>
  <c r="AC2750" i="2"/>
  <c r="AD2750" i="2"/>
  <c r="AE2750" i="2"/>
  <c r="AF2750" i="2"/>
  <c r="AG2750" i="2"/>
  <c r="AH2750" i="2"/>
  <c r="AI2750" i="2"/>
  <c r="AJ2750" i="2"/>
  <c r="AK2750" i="2"/>
  <c r="A2751" i="2"/>
  <c r="B2751" i="2"/>
  <c r="C2751" i="2"/>
  <c r="D2751" i="2"/>
  <c r="E2751" i="2"/>
  <c r="F2751" i="2"/>
  <c r="G2751" i="2"/>
  <c r="H2751" i="2"/>
  <c r="I2751" i="2"/>
  <c r="J2751" i="2"/>
  <c r="K2751" i="2"/>
  <c r="L2751" i="2"/>
  <c r="M2751" i="2"/>
  <c r="N2751" i="2"/>
  <c r="O2751" i="2"/>
  <c r="P2751" i="2"/>
  <c r="Q2751" i="2"/>
  <c r="R2751" i="2"/>
  <c r="S2751" i="2"/>
  <c r="T2751" i="2"/>
  <c r="U2751" i="2"/>
  <c r="V2751" i="2"/>
  <c r="W2751" i="2"/>
  <c r="X2751" i="2"/>
  <c r="Y2751" i="2"/>
  <c r="Z2751" i="2"/>
  <c r="AA2751" i="2"/>
  <c r="AB2751" i="2"/>
  <c r="AC2751" i="2"/>
  <c r="AD2751" i="2"/>
  <c r="AE2751" i="2"/>
  <c r="AF2751" i="2"/>
  <c r="AG2751" i="2"/>
  <c r="AH2751" i="2"/>
  <c r="AI2751" i="2"/>
  <c r="AJ2751" i="2"/>
  <c r="AK2751" i="2"/>
  <c r="A2752" i="2"/>
  <c r="B2752" i="2"/>
  <c r="C2752" i="2"/>
  <c r="D2752" i="2"/>
  <c r="E2752" i="2"/>
  <c r="F2752" i="2"/>
  <c r="G2752" i="2"/>
  <c r="H2752" i="2"/>
  <c r="I2752" i="2"/>
  <c r="J2752" i="2"/>
  <c r="K2752" i="2"/>
  <c r="L2752" i="2"/>
  <c r="M2752" i="2"/>
  <c r="N2752" i="2"/>
  <c r="O2752" i="2"/>
  <c r="P2752" i="2"/>
  <c r="Q2752" i="2"/>
  <c r="R2752" i="2"/>
  <c r="S2752" i="2"/>
  <c r="T2752" i="2"/>
  <c r="U2752" i="2"/>
  <c r="V2752" i="2"/>
  <c r="W2752" i="2"/>
  <c r="X2752" i="2"/>
  <c r="Y2752" i="2"/>
  <c r="Z2752" i="2"/>
  <c r="AA2752" i="2"/>
  <c r="AB2752" i="2"/>
  <c r="AC2752" i="2"/>
  <c r="AD2752" i="2"/>
  <c r="AE2752" i="2"/>
  <c r="AF2752" i="2"/>
  <c r="AG2752" i="2"/>
  <c r="AH2752" i="2"/>
  <c r="AI2752" i="2"/>
  <c r="AJ2752" i="2"/>
  <c r="AK2752" i="2"/>
  <c r="A2753" i="2"/>
  <c r="B2753" i="2"/>
  <c r="C2753" i="2"/>
  <c r="D2753" i="2"/>
  <c r="E2753" i="2"/>
  <c r="F2753" i="2"/>
  <c r="G2753" i="2"/>
  <c r="H2753" i="2"/>
  <c r="I2753" i="2"/>
  <c r="J2753" i="2"/>
  <c r="K2753" i="2"/>
  <c r="L2753" i="2"/>
  <c r="M2753" i="2"/>
  <c r="N2753" i="2"/>
  <c r="O2753" i="2"/>
  <c r="P2753" i="2"/>
  <c r="Q2753" i="2"/>
  <c r="R2753" i="2"/>
  <c r="S2753" i="2"/>
  <c r="T2753" i="2"/>
  <c r="U2753" i="2"/>
  <c r="V2753" i="2"/>
  <c r="W2753" i="2"/>
  <c r="X2753" i="2"/>
  <c r="Y2753" i="2"/>
  <c r="Z2753" i="2"/>
  <c r="AA2753" i="2"/>
  <c r="AB2753" i="2"/>
  <c r="AC2753" i="2"/>
  <c r="AD2753" i="2"/>
  <c r="AE2753" i="2"/>
  <c r="AF2753" i="2"/>
  <c r="AG2753" i="2"/>
  <c r="AH2753" i="2"/>
  <c r="AI2753" i="2"/>
  <c r="AJ2753" i="2"/>
  <c r="AK2753" i="2"/>
  <c r="A2754" i="2"/>
  <c r="B2754" i="2"/>
  <c r="C2754" i="2"/>
  <c r="D2754" i="2"/>
  <c r="E2754" i="2"/>
  <c r="F2754" i="2"/>
  <c r="G2754" i="2"/>
  <c r="H2754" i="2"/>
  <c r="I2754" i="2"/>
  <c r="J2754" i="2"/>
  <c r="K2754" i="2"/>
  <c r="L2754" i="2"/>
  <c r="M2754" i="2"/>
  <c r="N2754" i="2"/>
  <c r="O2754" i="2"/>
  <c r="P2754" i="2"/>
  <c r="Q2754" i="2"/>
  <c r="R2754" i="2"/>
  <c r="S2754" i="2"/>
  <c r="T2754" i="2"/>
  <c r="U2754" i="2"/>
  <c r="V2754" i="2"/>
  <c r="W2754" i="2"/>
  <c r="X2754" i="2"/>
  <c r="Y2754" i="2"/>
  <c r="Z2754" i="2"/>
  <c r="AA2754" i="2"/>
  <c r="AB2754" i="2"/>
  <c r="AC2754" i="2"/>
  <c r="AD2754" i="2"/>
  <c r="AE2754" i="2"/>
  <c r="AF2754" i="2"/>
  <c r="AG2754" i="2"/>
  <c r="AH2754" i="2"/>
  <c r="AI2754" i="2"/>
  <c r="AJ2754" i="2"/>
  <c r="AK2754" i="2"/>
  <c r="A2755" i="2"/>
  <c r="B2755" i="2"/>
  <c r="C2755" i="2"/>
  <c r="D2755" i="2"/>
  <c r="E2755" i="2"/>
  <c r="F2755" i="2"/>
  <c r="G2755" i="2"/>
  <c r="H2755" i="2"/>
  <c r="I2755" i="2"/>
  <c r="J2755" i="2"/>
  <c r="K2755" i="2"/>
  <c r="L2755" i="2"/>
  <c r="M2755" i="2"/>
  <c r="N2755" i="2"/>
  <c r="O2755" i="2"/>
  <c r="P2755" i="2"/>
  <c r="Q2755" i="2"/>
  <c r="R2755" i="2"/>
  <c r="S2755" i="2"/>
  <c r="T2755" i="2"/>
  <c r="U2755" i="2"/>
  <c r="V2755" i="2"/>
  <c r="W2755" i="2"/>
  <c r="X2755" i="2"/>
  <c r="Y2755" i="2"/>
  <c r="Z2755" i="2"/>
  <c r="AA2755" i="2"/>
  <c r="AB2755" i="2"/>
  <c r="AC2755" i="2"/>
  <c r="AD2755" i="2"/>
  <c r="AE2755" i="2"/>
  <c r="AF2755" i="2"/>
  <c r="AG2755" i="2"/>
  <c r="AH2755" i="2"/>
  <c r="AI2755" i="2"/>
  <c r="AJ2755" i="2"/>
  <c r="AK2755" i="2"/>
  <c r="A2756" i="2"/>
  <c r="B2756" i="2"/>
  <c r="C2756" i="2"/>
  <c r="D2756" i="2"/>
  <c r="E2756" i="2"/>
  <c r="F2756" i="2"/>
  <c r="G2756" i="2"/>
  <c r="H2756" i="2"/>
  <c r="I2756" i="2"/>
  <c r="J2756" i="2"/>
  <c r="K2756" i="2"/>
  <c r="L2756" i="2"/>
  <c r="M2756" i="2"/>
  <c r="N2756" i="2"/>
  <c r="O2756" i="2"/>
  <c r="P2756" i="2"/>
  <c r="Q2756" i="2"/>
  <c r="R2756" i="2"/>
  <c r="S2756" i="2"/>
  <c r="T2756" i="2"/>
  <c r="U2756" i="2"/>
  <c r="V2756" i="2"/>
  <c r="W2756" i="2"/>
  <c r="X2756" i="2"/>
  <c r="Y2756" i="2"/>
  <c r="Z2756" i="2"/>
  <c r="AA2756" i="2"/>
  <c r="AB2756" i="2"/>
  <c r="AC2756" i="2"/>
  <c r="AD2756" i="2"/>
  <c r="AE2756" i="2"/>
  <c r="AF2756" i="2"/>
  <c r="AG2756" i="2"/>
  <c r="AH2756" i="2"/>
  <c r="AI2756" i="2"/>
  <c r="AJ2756" i="2"/>
  <c r="AK2756" i="2"/>
  <c r="A2757" i="2"/>
  <c r="B2757" i="2"/>
  <c r="C2757" i="2"/>
  <c r="D2757" i="2"/>
  <c r="E2757" i="2"/>
  <c r="F2757" i="2"/>
  <c r="G2757" i="2"/>
  <c r="H2757" i="2"/>
  <c r="I2757" i="2"/>
  <c r="J2757" i="2"/>
  <c r="K2757" i="2"/>
  <c r="L2757" i="2"/>
  <c r="M2757" i="2"/>
  <c r="N2757" i="2"/>
  <c r="O2757" i="2"/>
  <c r="P2757" i="2"/>
  <c r="Q2757" i="2"/>
  <c r="R2757" i="2"/>
  <c r="S2757" i="2"/>
  <c r="T2757" i="2"/>
  <c r="U2757" i="2"/>
  <c r="V2757" i="2"/>
  <c r="W2757" i="2"/>
  <c r="X2757" i="2"/>
  <c r="Y2757" i="2"/>
  <c r="Z2757" i="2"/>
  <c r="AA2757" i="2"/>
  <c r="AB2757" i="2"/>
  <c r="AC2757" i="2"/>
  <c r="AD2757" i="2"/>
  <c r="AE2757" i="2"/>
  <c r="AF2757" i="2"/>
  <c r="AG2757" i="2"/>
  <c r="AH2757" i="2"/>
  <c r="AI2757" i="2"/>
  <c r="AJ2757" i="2"/>
  <c r="AK2757" i="2"/>
  <c r="A2758" i="2"/>
  <c r="B2758" i="2"/>
  <c r="C2758" i="2"/>
  <c r="D2758" i="2"/>
  <c r="E2758" i="2"/>
  <c r="F2758" i="2"/>
  <c r="G2758" i="2"/>
  <c r="H2758" i="2"/>
  <c r="I2758" i="2"/>
  <c r="J2758" i="2"/>
  <c r="K2758" i="2"/>
  <c r="L2758" i="2"/>
  <c r="M2758" i="2"/>
  <c r="N2758" i="2"/>
  <c r="O2758" i="2"/>
  <c r="P2758" i="2"/>
  <c r="Q2758" i="2"/>
  <c r="R2758" i="2"/>
  <c r="S2758" i="2"/>
  <c r="T2758" i="2"/>
  <c r="U2758" i="2"/>
  <c r="V2758" i="2"/>
  <c r="W2758" i="2"/>
  <c r="X2758" i="2"/>
  <c r="Y2758" i="2"/>
  <c r="Z2758" i="2"/>
  <c r="AA2758" i="2"/>
  <c r="AB2758" i="2"/>
  <c r="AC2758" i="2"/>
  <c r="AD2758" i="2"/>
  <c r="AE2758" i="2"/>
  <c r="AF2758" i="2"/>
  <c r="AG2758" i="2"/>
  <c r="AH2758" i="2"/>
  <c r="AI2758" i="2"/>
  <c r="AJ2758" i="2"/>
  <c r="AK2758" i="2"/>
  <c r="A2759" i="2"/>
  <c r="B2759" i="2"/>
  <c r="C2759" i="2"/>
  <c r="D2759" i="2"/>
  <c r="E2759" i="2"/>
  <c r="F2759" i="2"/>
  <c r="G2759" i="2"/>
  <c r="H2759" i="2"/>
  <c r="I2759" i="2"/>
  <c r="J2759" i="2"/>
  <c r="K2759" i="2"/>
  <c r="L2759" i="2"/>
  <c r="M2759" i="2"/>
  <c r="N2759" i="2"/>
  <c r="O2759" i="2"/>
  <c r="P2759" i="2"/>
  <c r="Q2759" i="2"/>
  <c r="R2759" i="2"/>
  <c r="S2759" i="2"/>
  <c r="T2759" i="2"/>
  <c r="U2759" i="2"/>
  <c r="V2759" i="2"/>
  <c r="W2759" i="2"/>
  <c r="X2759" i="2"/>
  <c r="Y2759" i="2"/>
  <c r="Z2759" i="2"/>
  <c r="AA2759" i="2"/>
  <c r="AB2759" i="2"/>
  <c r="AC2759" i="2"/>
  <c r="AD2759" i="2"/>
  <c r="AE2759" i="2"/>
  <c r="AF2759" i="2"/>
  <c r="AG2759" i="2"/>
  <c r="AH2759" i="2"/>
  <c r="AI2759" i="2"/>
  <c r="AJ2759" i="2"/>
  <c r="AK2759" i="2"/>
  <c r="A2760" i="2"/>
  <c r="B2760" i="2"/>
  <c r="C2760" i="2"/>
  <c r="D2760" i="2"/>
  <c r="E2760" i="2"/>
  <c r="F2760" i="2"/>
  <c r="G2760" i="2"/>
  <c r="H2760" i="2"/>
  <c r="I2760" i="2"/>
  <c r="J2760" i="2"/>
  <c r="K2760" i="2"/>
  <c r="L2760" i="2"/>
  <c r="M2760" i="2"/>
  <c r="N2760" i="2"/>
  <c r="O2760" i="2"/>
  <c r="P2760" i="2"/>
  <c r="Q2760" i="2"/>
  <c r="R2760" i="2"/>
  <c r="S2760" i="2"/>
  <c r="T2760" i="2"/>
  <c r="U2760" i="2"/>
  <c r="V2760" i="2"/>
  <c r="W2760" i="2"/>
  <c r="X2760" i="2"/>
  <c r="Y2760" i="2"/>
  <c r="Z2760" i="2"/>
  <c r="AA2760" i="2"/>
  <c r="AB2760" i="2"/>
  <c r="AC2760" i="2"/>
  <c r="AD2760" i="2"/>
  <c r="AE2760" i="2"/>
  <c r="AF2760" i="2"/>
  <c r="AG2760" i="2"/>
  <c r="AH2760" i="2"/>
  <c r="AI2760" i="2"/>
  <c r="AJ2760" i="2"/>
  <c r="AK2760" i="2"/>
  <c r="A2761" i="2"/>
  <c r="B2761" i="2"/>
  <c r="C2761" i="2"/>
  <c r="D2761" i="2"/>
  <c r="E2761" i="2"/>
  <c r="F2761" i="2"/>
  <c r="G2761" i="2"/>
  <c r="H2761" i="2"/>
  <c r="I2761" i="2"/>
  <c r="J2761" i="2"/>
  <c r="K2761" i="2"/>
  <c r="L2761" i="2"/>
  <c r="M2761" i="2"/>
  <c r="N2761" i="2"/>
  <c r="O2761" i="2"/>
  <c r="P2761" i="2"/>
  <c r="Q2761" i="2"/>
  <c r="R2761" i="2"/>
  <c r="S2761" i="2"/>
  <c r="T2761" i="2"/>
  <c r="U2761" i="2"/>
  <c r="V2761" i="2"/>
  <c r="W2761" i="2"/>
  <c r="X2761" i="2"/>
  <c r="Y2761" i="2"/>
  <c r="Z2761" i="2"/>
  <c r="AA2761" i="2"/>
  <c r="AB2761" i="2"/>
  <c r="AC2761" i="2"/>
  <c r="AD2761" i="2"/>
  <c r="AE2761" i="2"/>
  <c r="AF2761" i="2"/>
  <c r="AG2761" i="2"/>
  <c r="AH2761" i="2"/>
  <c r="AI2761" i="2"/>
  <c r="AJ2761" i="2"/>
  <c r="AK2761" i="2"/>
  <c r="A2762" i="2"/>
  <c r="B2762" i="2"/>
  <c r="C2762" i="2"/>
  <c r="D2762" i="2"/>
  <c r="E2762" i="2"/>
  <c r="F2762" i="2"/>
  <c r="G2762" i="2"/>
  <c r="H2762" i="2"/>
  <c r="I2762" i="2"/>
  <c r="J2762" i="2"/>
  <c r="K2762" i="2"/>
  <c r="L2762" i="2"/>
  <c r="M2762" i="2"/>
  <c r="N2762" i="2"/>
  <c r="O2762" i="2"/>
  <c r="P2762" i="2"/>
  <c r="Q2762" i="2"/>
  <c r="R2762" i="2"/>
  <c r="S2762" i="2"/>
  <c r="T2762" i="2"/>
  <c r="U2762" i="2"/>
  <c r="V2762" i="2"/>
  <c r="W2762" i="2"/>
  <c r="X2762" i="2"/>
  <c r="Y2762" i="2"/>
  <c r="Z2762" i="2"/>
  <c r="AA2762" i="2"/>
  <c r="AB2762" i="2"/>
  <c r="AC2762" i="2"/>
  <c r="AD2762" i="2"/>
  <c r="AE2762" i="2"/>
  <c r="AF2762" i="2"/>
  <c r="AG2762" i="2"/>
  <c r="AH2762" i="2"/>
  <c r="AI2762" i="2"/>
  <c r="AJ2762" i="2"/>
  <c r="AK2762" i="2"/>
  <c r="A2763" i="2"/>
  <c r="B2763" i="2"/>
  <c r="C2763" i="2"/>
  <c r="D2763" i="2"/>
  <c r="E2763" i="2"/>
  <c r="F2763" i="2"/>
  <c r="G2763" i="2"/>
  <c r="H2763" i="2"/>
  <c r="I2763" i="2"/>
  <c r="J2763" i="2"/>
  <c r="K2763" i="2"/>
  <c r="L2763" i="2"/>
  <c r="M2763" i="2"/>
  <c r="N2763" i="2"/>
  <c r="O2763" i="2"/>
  <c r="P2763" i="2"/>
  <c r="Q2763" i="2"/>
  <c r="R2763" i="2"/>
  <c r="S2763" i="2"/>
  <c r="T2763" i="2"/>
  <c r="U2763" i="2"/>
  <c r="V2763" i="2"/>
  <c r="W2763" i="2"/>
  <c r="X2763" i="2"/>
  <c r="Y2763" i="2"/>
  <c r="Z2763" i="2"/>
  <c r="AA2763" i="2"/>
  <c r="AB2763" i="2"/>
  <c r="AC2763" i="2"/>
  <c r="AD2763" i="2"/>
  <c r="AE2763" i="2"/>
  <c r="AF2763" i="2"/>
  <c r="AG2763" i="2"/>
  <c r="AH2763" i="2"/>
  <c r="AI2763" i="2"/>
  <c r="AJ2763" i="2"/>
  <c r="AK2763" i="2"/>
  <c r="A2764" i="2"/>
  <c r="B2764" i="2"/>
  <c r="C2764" i="2"/>
  <c r="D2764" i="2"/>
  <c r="E2764" i="2"/>
  <c r="F2764" i="2"/>
  <c r="G2764" i="2"/>
  <c r="H2764" i="2"/>
  <c r="I2764" i="2"/>
  <c r="J2764" i="2"/>
  <c r="K2764" i="2"/>
  <c r="L2764" i="2"/>
  <c r="M2764" i="2"/>
  <c r="N2764" i="2"/>
  <c r="O2764" i="2"/>
  <c r="P2764" i="2"/>
  <c r="Q2764" i="2"/>
  <c r="R2764" i="2"/>
  <c r="S2764" i="2"/>
  <c r="T2764" i="2"/>
  <c r="U2764" i="2"/>
  <c r="V2764" i="2"/>
  <c r="W2764" i="2"/>
  <c r="X2764" i="2"/>
  <c r="Y2764" i="2"/>
  <c r="Z2764" i="2"/>
  <c r="AA2764" i="2"/>
  <c r="AB2764" i="2"/>
  <c r="AC2764" i="2"/>
  <c r="AD2764" i="2"/>
  <c r="AE2764" i="2"/>
  <c r="AF2764" i="2"/>
  <c r="AG2764" i="2"/>
  <c r="AH2764" i="2"/>
  <c r="AI2764" i="2"/>
  <c r="AJ2764" i="2"/>
  <c r="AK2764" i="2"/>
  <c r="A2765" i="2"/>
  <c r="B2765" i="2"/>
  <c r="C2765" i="2"/>
  <c r="D2765" i="2"/>
  <c r="E2765" i="2"/>
  <c r="F2765" i="2"/>
  <c r="G2765" i="2"/>
  <c r="H2765" i="2"/>
  <c r="I2765" i="2"/>
  <c r="J2765" i="2"/>
  <c r="K2765" i="2"/>
  <c r="L2765" i="2"/>
  <c r="M2765" i="2"/>
  <c r="N2765" i="2"/>
  <c r="O2765" i="2"/>
  <c r="P2765" i="2"/>
  <c r="Q2765" i="2"/>
  <c r="R2765" i="2"/>
  <c r="S2765" i="2"/>
  <c r="T2765" i="2"/>
  <c r="U2765" i="2"/>
  <c r="V2765" i="2"/>
  <c r="W2765" i="2"/>
  <c r="X2765" i="2"/>
  <c r="Y2765" i="2"/>
  <c r="Z2765" i="2"/>
  <c r="AA2765" i="2"/>
  <c r="AB2765" i="2"/>
  <c r="AC2765" i="2"/>
  <c r="AD2765" i="2"/>
  <c r="AE2765" i="2"/>
  <c r="AF2765" i="2"/>
  <c r="AG2765" i="2"/>
  <c r="AH2765" i="2"/>
  <c r="AI2765" i="2"/>
  <c r="AJ2765" i="2"/>
  <c r="AK2765" i="2"/>
  <c r="A2766" i="2"/>
  <c r="B2766" i="2"/>
  <c r="C2766" i="2"/>
  <c r="D2766" i="2"/>
  <c r="E2766" i="2"/>
  <c r="F2766" i="2"/>
  <c r="G2766" i="2"/>
  <c r="H2766" i="2"/>
  <c r="I2766" i="2"/>
  <c r="J2766" i="2"/>
  <c r="K2766" i="2"/>
  <c r="L2766" i="2"/>
  <c r="M2766" i="2"/>
  <c r="N2766" i="2"/>
  <c r="O2766" i="2"/>
  <c r="P2766" i="2"/>
  <c r="Q2766" i="2"/>
  <c r="R2766" i="2"/>
  <c r="S2766" i="2"/>
  <c r="T2766" i="2"/>
  <c r="U2766" i="2"/>
  <c r="V2766" i="2"/>
  <c r="W2766" i="2"/>
  <c r="X2766" i="2"/>
  <c r="Y2766" i="2"/>
  <c r="Z2766" i="2"/>
  <c r="AA2766" i="2"/>
  <c r="AB2766" i="2"/>
  <c r="AC2766" i="2"/>
  <c r="AD2766" i="2"/>
  <c r="AE2766" i="2"/>
  <c r="AF2766" i="2"/>
  <c r="AG2766" i="2"/>
  <c r="AH2766" i="2"/>
  <c r="AI2766" i="2"/>
  <c r="AJ2766" i="2"/>
  <c r="AK2766" i="2"/>
  <c r="A2767" i="2"/>
  <c r="B2767" i="2"/>
  <c r="C2767" i="2"/>
  <c r="D2767" i="2"/>
  <c r="E2767" i="2"/>
  <c r="F2767" i="2"/>
  <c r="G2767" i="2"/>
  <c r="H2767" i="2"/>
  <c r="I2767" i="2"/>
  <c r="J2767" i="2"/>
  <c r="K2767" i="2"/>
  <c r="L2767" i="2"/>
  <c r="M2767" i="2"/>
  <c r="N2767" i="2"/>
  <c r="O2767" i="2"/>
  <c r="P2767" i="2"/>
  <c r="Q2767" i="2"/>
  <c r="R2767" i="2"/>
  <c r="S2767" i="2"/>
  <c r="T2767" i="2"/>
  <c r="U2767" i="2"/>
  <c r="V2767" i="2"/>
  <c r="W2767" i="2"/>
  <c r="X2767" i="2"/>
  <c r="Y2767" i="2"/>
  <c r="Z2767" i="2"/>
  <c r="AA2767" i="2"/>
  <c r="AB2767" i="2"/>
  <c r="AC2767" i="2"/>
  <c r="AD2767" i="2"/>
  <c r="AE2767" i="2"/>
  <c r="AF2767" i="2"/>
  <c r="AG2767" i="2"/>
  <c r="AH2767" i="2"/>
  <c r="AI2767" i="2"/>
  <c r="AJ2767" i="2"/>
  <c r="AK2767" i="2"/>
  <c r="A2768" i="2"/>
  <c r="B2768" i="2"/>
  <c r="C2768" i="2"/>
  <c r="D2768" i="2"/>
  <c r="E2768" i="2"/>
  <c r="F2768" i="2"/>
  <c r="G2768" i="2"/>
  <c r="H2768" i="2"/>
  <c r="I2768" i="2"/>
  <c r="J2768" i="2"/>
  <c r="K2768" i="2"/>
  <c r="L2768" i="2"/>
  <c r="M2768" i="2"/>
  <c r="N2768" i="2"/>
  <c r="O2768" i="2"/>
  <c r="P2768" i="2"/>
  <c r="Q2768" i="2"/>
  <c r="R2768" i="2"/>
  <c r="S2768" i="2"/>
  <c r="T2768" i="2"/>
  <c r="U2768" i="2"/>
  <c r="V2768" i="2"/>
  <c r="W2768" i="2"/>
  <c r="X2768" i="2"/>
  <c r="Y2768" i="2"/>
  <c r="Z2768" i="2"/>
  <c r="AA2768" i="2"/>
  <c r="AB2768" i="2"/>
  <c r="AC2768" i="2"/>
  <c r="AD2768" i="2"/>
  <c r="AE2768" i="2"/>
  <c r="AF2768" i="2"/>
  <c r="AG2768" i="2"/>
  <c r="AH2768" i="2"/>
  <c r="AI2768" i="2"/>
  <c r="AJ2768" i="2"/>
  <c r="AK2768" i="2"/>
  <c r="A2769" i="2"/>
  <c r="B2769" i="2"/>
  <c r="C2769" i="2"/>
  <c r="D2769" i="2"/>
  <c r="E2769" i="2"/>
  <c r="F2769" i="2"/>
  <c r="G2769" i="2"/>
  <c r="H2769" i="2"/>
  <c r="I2769" i="2"/>
  <c r="J2769" i="2"/>
  <c r="K2769" i="2"/>
  <c r="L2769" i="2"/>
  <c r="M2769" i="2"/>
  <c r="N2769" i="2"/>
  <c r="O2769" i="2"/>
  <c r="P2769" i="2"/>
  <c r="Q2769" i="2"/>
  <c r="R2769" i="2"/>
  <c r="S2769" i="2"/>
  <c r="T2769" i="2"/>
  <c r="U2769" i="2"/>
  <c r="V2769" i="2"/>
  <c r="W2769" i="2"/>
  <c r="X2769" i="2"/>
  <c r="Y2769" i="2"/>
  <c r="Z2769" i="2"/>
  <c r="AA2769" i="2"/>
  <c r="AB2769" i="2"/>
  <c r="AC2769" i="2"/>
  <c r="AD2769" i="2"/>
  <c r="AE2769" i="2"/>
  <c r="AF2769" i="2"/>
  <c r="AG2769" i="2"/>
  <c r="AH2769" i="2"/>
  <c r="AI2769" i="2"/>
  <c r="AJ2769" i="2"/>
  <c r="AK2769" i="2"/>
  <c r="A2770" i="2"/>
  <c r="B2770" i="2"/>
  <c r="C2770" i="2"/>
  <c r="D2770" i="2"/>
  <c r="E2770" i="2"/>
  <c r="F2770" i="2"/>
  <c r="G2770" i="2"/>
  <c r="H2770" i="2"/>
  <c r="I2770" i="2"/>
  <c r="J2770" i="2"/>
  <c r="K2770" i="2"/>
  <c r="L2770" i="2"/>
  <c r="M2770" i="2"/>
  <c r="N2770" i="2"/>
  <c r="O2770" i="2"/>
  <c r="P2770" i="2"/>
  <c r="Q2770" i="2"/>
  <c r="R2770" i="2"/>
  <c r="S2770" i="2"/>
  <c r="T2770" i="2"/>
  <c r="U2770" i="2"/>
  <c r="V2770" i="2"/>
  <c r="W2770" i="2"/>
  <c r="X2770" i="2"/>
  <c r="Y2770" i="2"/>
  <c r="Z2770" i="2"/>
  <c r="AA2770" i="2"/>
  <c r="AB2770" i="2"/>
  <c r="AC2770" i="2"/>
  <c r="AD2770" i="2"/>
  <c r="AE2770" i="2"/>
  <c r="AF2770" i="2"/>
  <c r="AG2770" i="2"/>
  <c r="AH2770" i="2"/>
  <c r="AI2770" i="2"/>
  <c r="AJ2770" i="2"/>
  <c r="AK2770" i="2"/>
  <c r="A2771" i="2"/>
  <c r="B2771" i="2"/>
  <c r="C2771" i="2"/>
  <c r="D2771" i="2"/>
  <c r="E2771" i="2"/>
  <c r="F2771" i="2"/>
  <c r="G2771" i="2"/>
  <c r="H2771" i="2"/>
  <c r="I2771" i="2"/>
  <c r="J2771" i="2"/>
  <c r="K2771" i="2"/>
  <c r="L2771" i="2"/>
  <c r="M2771" i="2"/>
  <c r="N2771" i="2"/>
  <c r="O2771" i="2"/>
  <c r="P2771" i="2"/>
  <c r="Q2771" i="2"/>
  <c r="R2771" i="2"/>
  <c r="S2771" i="2"/>
  <c r="T2771" i="2"/>
  <c r="U2771" i="2"/>
  <c r="V2771" i="2"/>
  <c r="W2771" i="2"/>
  <c r="X2771" i="2"/>
  <c r="Y2771" i="2"/>
  <c r="Z2771" i="2"/>
  <c r="AA2771" i="2"/>
  <c r="AB2771" i="2"/>
  <c r="AC2771" i="2"/>
  <c r="AD2771" i="2"/>
  <c r="AE2771" i="2"/>
  <c r="AF2771" i="2"/>
  <c r="AG2771" i="2"/>
  <c r="AH2771" i="2"/>
  <c r="AI2771" i="2"/>
  <c r="AJ2771" i="2"/>
  <c r="AK2771" i="2"/>
  <c r="A2772" i="2"/>
  <c r="B2772" i="2"/>
  <c r="C2772" i="2"/>
  <c r="D2772" i="2"/>
  <c r="E2772" i="2"/>
  <c r="F2772" i="2"/>
  <c r="G2772" i="2"/>
  <c r="H2772" i="2"/>
  <c r="I2772" i="2"/>
  <c r="J2772" i="2"/>
  <c r="K2772" i="2"/>
  <c r="L2772" i="2"/>
  <c r="M2772" i="2"/>
  <c r="N2772" i="2"/>
  <c r="O2772" i="2"/>
  <c r="P2772" i="2"/>
  <c r="Q2772" i="2"/>
  <c r="R2772" i="2"/>
  <c r="S2772" i="2"/>
  <c r="T2772" i="2"/>
  <c r="U2772" i="2"/>
  <c r="V2772" i="2"/>
  <c r="W2772" i="2"/>
  <c r="X2772" i="2"/>
  <c r="Y2772" i="2"/>
  <c r="Z2772" i="2"/>
  <c r="AA2772" i="2"/>
  <c r="AB2772" i="2"/>
  <c r="AC2772" i="2"/>
  <c r="AD2772" i="2"/>
  <c r="AE2772" i="2"/>
  <c r="AF2772" i="2"/>
  <c r="AG2772" i="2"/>
  <c r="AH2772" i="2"/>
  <c r="AI2772" i="2"/>
  <c r="AJ2772" i="2"/>
  <c r="AK2772" i="2"/>
  <c r="A2773" i="2"/>
  <c r="B2773" i="2"/>
  <c r="C2773" i="2"/>
  <c r="D2773" i="2"/>
  <c r="E2773" i="2"/>
  <c r="F2773" i="2"/>
  <c r="G2773" i="2"/>
  <c r="H2773" i="2"/>
  <c r="I2773" i="2"/>
  <c r="J2773" i="2"/>
  <c r="K2773" i="2"/>
  <c r="L2773" i="2"/>
  <c r="M2773" i="2"/>
  <c r="N2773" i="2"/>
  <c r="O2773" i="2"/>
  <c r="P2773" i="2"/>
  <c r="Q2773" i="2"/>
  <c r="R2773" i="2"/>
  <c r="S2773" i="2"/>
  <c r="T2773" i="2"/>
  <c r="U2773" i="2"/>
  <c r="V2773" i="2"/>
  <c r="W2773" i="2"/>
  <c r="X2773" i="2"/>
  <c r="Y2773" i="2"/>
  <c r="Z2773" i="2"/>
  <c r="AA2773" i="2"/>
  <c r="AB2773" i="2"/>
  <c r="AC2773" i="2"/>
  <c r="AD2773" i="2"/>
  <c r="AE2773" i="2"/>
  <c r="AF2773" i="2"/>
  <c r="AG2773" i="2"/>
  <c r="AH2773" i="2"/>
  <c r="AI2773" i="2"/>
  <c r="AJ2773" i="2"/>
  <c r="AK2773" i="2"/>
  <c r="A2774" i="2"/>
  <c r="B2774" i="2"/>
  <c r="C2774" i="2"/>
  <c r="D2774" i="2"/>
  <c r="E2774" i="2"/>
  <c r="F2774" i="2"/>
  <c r="G2774" i="2"/>
  <c r="H2774" i="2"/>
  <c r="I2774" i="2"/>
  <c r="J2774" i="2"/>
  <c r="K2774" i="2"/>
  <c r="L2774" i="2"/>
  <c r="M2774" i="2"/>
  <c r="N2774" i="2"/>
  <c r="O2774" i="2"/>
  <c r="P2774" i="2"/>
  <c r="Q2774" i="2"/>
  <c r="R2774" i="2"/>
  <c r="S2774" i="2"/>
  <c r="T2774" i="2"/>
  <c r="U2774" i="2"/>
  <c r="V2774" i="2"/>
  <c r="W2774" i="2"/>
  <c r="X2774" i="2"/>
  <c r="Y2774" i="2"/>
  <c r="Z2774" i="2"/>
  <c r="AA2774" i="2"/>
  <c r="AB2774" i="2"/>
  <c r="AC2774" i="2"/>
  <c r="AD2774" i="2"/>
  <c r="AE2774" i="2"/>
  <c r="AF2774" i="2"/>
  <c r="AG2774" i="2"/>
  <c r="AH2774" i="2"/>
  <c r="AI2774" i="2"/>
  <c r="AJ2774" i="2"/>
  <c r="AK2774" i="2"/>
  <c r="A2775" i="2"/>
  <c r="B2775" i="2"/>
  <c r="C2775" i="2"/>
  <c r="D2775" i="2"/>
  <c r="E2775" i="2"/>
  <c r="F2775" i="2"/>
  <c r="G2775" i="2"/>
  <c r="H2775" i="2"/>
  <c r="I2775" i="2"/>
  <c r="J2775" i="2"/>
  <c r="K2775" i="2"/>
  <c r="L2775" i="2"/>
  <c r="M2775" i="2"/>
  <c r="N2775" i="2"/>
  <c r="O2775" i="2"/>
  <c r="P2775" i="2"/>
  <c r="Q2775" i="2"/>
  <c r="R2775" i="2"/>
  <c r="S2775" i="2"/>
  <c r="T2775" i="2"/>
  <c r="U2775" i="2"/>
  <c r="V2775" i="2"/>
  <c r="W2775" i="2"/>
  <c r="X2775" i="2"/>
  <c r="Y2775" i="2"/>
  <c r="Z2775" i="2"/>
  <c r="AA2775" i="2"/>
  <c r="AB2775" i="2"/>
  <c r="AC2775" i="2"/>
  <c r="AD2775" i="2"/>
  <c r="AE2775" i="2"/>
  <c r="AF2775" i="2"/>
  <c r="AG2775" i="2"/>
  <c r="AH2775" i="2"/>
  <c r="AI2775" i="2"/>
  <c r="AJ2775" i="2"/>
  <c r="AK2775" i="2"/>
  <c r="A2776" i="2"/>
  <c r="B2776" i="2"/>
  <c r="C2776" i="2"/>
  <c r="D2776" i="2"/>
  <c r="E2776" i="2"/>
  <c r="F2776" i="2"/>
  <c r="G2776" i="2"/>
  <c r="H2776" i="2"/>
  <c r="I2776" i="2"/>
  <c r="J2776" i="2"/>
  <c r="K2776" i="2"/>
  <c r="L2776" i="2"/>
  <c r="M2776" i="2"/>
  <c r="N2776" i="2"/>
  <c r="O2776" i="2"/>
  <c r="P2776" i="2"/>
  <c r="Q2776" i="2"/>
  <c r="R2776" i="2"/>
  <c r="S2776" i="2"/>
  <c r="T2776" i="2"/>
  <c r="U2776" i="2"/>
  <c r="V2776" i="2"/>
  <c r="W2776" i="2"/>
  <c r="X2776" i="2"/>
  <c r="Y2776" i="2"/>
  <c r="Z2776" i="2"/>
  <c r="AA2776" i="2"/>
  <c r="AB2776" i="2"/>
  <c r="AC2776" i="2"/>
  <c r="AD2776" i="2"/>
  <c r="AE2776" i="2"/>
  <c r="AF2776" i="2"/>
  <c r="AG2776" i="2"/>
  <c r="AH2776" i="2"/>
  <c r="AI2776" i="2"/>
  <c r="AJ2776" i="2"/>
  <c r="AK2776" i="2"/>
  <c r="A2777" i="2"/>
  <c r="B2777" i="2"/>
  <c r="C2777" i="2"/>
  <c r="D2777" i="2"/>
  <c r="E2777" i="2"/>
  <c r="F2777" i="2"/>
  <c r="G2777" i="2"/>
  <c r="H2777" i="2"/>
  <c r="I2777" i="2"/>
  <c r="J2777" i="2"/>
  <c r="K2777" i="2"/>
  <c r="L2777" i="2"/>
  <c r="M2777" i="2"/>
  <c r="N2777" i="2"/>
  <c r="O2777" i="2"/>
  <c r="P2777" i="2"/>
  <c r="Q2777" i="2"/>
  <c r="R2777" i="2"/>
  <c r="S2777" i="2"/>
  <c r="T2777" i="2"/>
  <c r="U2777" i="2"/>
  <c r="V2777" i="2"/>
  <c r="W2777" i="2"/>
  <c r="X2777" i="2"/>
  <c r="Y2777" i="2"/>
  <c r="Z2777" i="2"/>
  <c r="AA2777" i="2"/>
  <c r="AB2777" i="2"/>
  <c r="AC2777" i="2"/>
  <c r="AD2777" i="2"/>
  <c r="AE2777" i="2"/>
  <c r="AF2777" i="2"/>
  <c r="AG2777" i="2"/>
  <c r="AH2777" i="2"/>
  <c r="AI2777" i="2"/>
  <c r="AJ2777" i="2"/>
  <c r="AK2777" i="2"/>
  <c r="A2778" i="2"/>
  <c r="B2778" i="2"/>
  <c r="C2778" i="2"/>
  <c r="D2778" i="2"/>
  <c r="E2778" i="2"/>
  <c r="F2778" i="2"/>
  <c r="G2778" i="2"/>
  <c r="H2778" i="2"/>
  <c r="I2778" i="2"/>
  <c r="J2778" i="2"/>
  <c r="K2778" i="2"/>
  <c r="L2778" i="2"/>
  <c r="M2778" i="2"/>
  <c r="N2778" i="2"/>
  <c r="O2778" i="2"/>
  <c r="P2778" i="2"/>
  <c r="Q2778" i="2"/>
  <c r="R2778" i="2"/>
  <c r="S2778" i="2"/>
  <c r="T2778" i="2"/>
  <c r="U2778" i="2"/>
  <c r="V2778" i="2"/>
  <c r="W2778" i="2"/>
  <c r="X2778" i="2"/>
  <c r="Y2778" i="2"/>
  <c r="Z2778" i="2"/>
  <c r="AA2778" i="2"/>
  <c r="AB2778" i="2"/>
  <c r="AC2778" i="2"/>
  <c r="AD2778" i="2"/>
  <c r="AE2778" i="2"/>
  <c r="AF2778" i="2"/>
  <c r="AG2778" i="2"/>
  <c r="AH2778" i="2"/>
  <c r="AI2778" i="2"/>
  <c r="AJ2778" i="2"/>
  <c r="AK2778" i="2"/>
  <c r="A2779" i="2"/>
  <c r="B2779" i="2"/>
  <c r="C2779" i="2"/>
  <c r="D2779" i="2"/>
  <c r="E2779" i="2"/>
  <c r="F2779" i="2"/>
  <c r="G2779" i="2"/>
  <c r="H2779" i="2"/>
  <c r="I2779" i="2"/>
  <c r="J2779" i="2"/>
  <c r="K2779" i="2"/>
  <c r="L2779" i="2"/>
  <c r="M2779" i="2"/>
  <c r="N2779" i="2"/>
  <c r="O2779" i="2"/>
  <c r="P2779" i="2"/>
  <c r="Q2779" i="2"/>
  <c r="R2779" i="2"/>
  <c r="S2779" i="2"/>
  <c r="T2779" i="2"/>
  <c r="U2779" i="2"/>
  <c r="V2779" i="2"/>
  <c r="W2779" i="2"/>
  <c r="X2779" i="2"/>
  <c r="Y2779" i="2"/>
  <c r="Z2779" i="2"/>
  <c r="AA2779" i="2"/>
  <c r="AB2779" i="2"/>
  <c r="AC2779" i="2"/>
  <c r="AD2779" i="2"/>
  <c r="AE2779" i="2"/>
  <c r="AF2779" i="2"/>
  <c r="AG2779" i="2"/>
  <c r="AH2779" i="2"/>
  <c r="AI2779" i="2"/>
  <c r="AJ2779" i="2"/>
  <c r="AK2779" i="2"/>
  <c r="A2780" i="2"/>
  <c r="B2780" i="2"/>
  <c r="C2780" i="2"/>
  <c r="D2780" i="2"/>
  <c r="E2780" i="2"/>
  <c r="F2780" i="2"/>
  <c r="G2780" i="2"/>
  <c r="H2780" i="2"/>
  <c r="I2780" i="2"/>
  <c r="J2780" i="2"/>
  <c r="K2780" i="2"/>
  <c r="L2780" i="2"/>
  <c r="M2780" i="2"/>
  <c r="N2780" i="2"/>
  <c r="O2780" i="2"/>
  <c r="P2780" i="2"/>
  <c r="Q2780" i="2"/>
  <c r="R2780" i="2"/>
  <c r="S2780" i="2"/>
  <c r="T2780" i="2"/>
  <c r="U2780" i="2"/>
  <c r="V2780" i="2"/>
  <c r="W2780" i="2"/>
  <c r="X2780" i="2"/>
  <c r="Y2780" i="2"/>
  <c r="Z2780" i="2"/>
  <c r="AA2780" i="2"/>
  <c r="AB2780" i="2"/>
  <c r="AC2780" i="2"/>
  <c r="AD2780" i="2"/>
  <c r="AE2780" i="2"/>
  <c r="AF2780" i="2"/>
  <c r="AG2780" i="2"/>
  <c r="AH2780" i="2"/>
  <c r="AI2780" i="2"/>
  <c r="AJ2780" i="2"/>
  <c r="AK2780" i="2"/>
  <c r="A2781" i="2"/>
  <c r="B2781" i="2"/>
  <c r="C2781" i="2"/>
  <c r="D2781" i="2"/>
  <c r="E2781" i="2"/>
  <c r="F2781" i="2"/>
  <c r="G2781" i="2"/>
  <c r="H2781" i="2"/>
  <c r="I2781" i="2"/>
  <c r="J2781" i="2"/>
  <c r="K2781" i="2"/>
  <c r="L2781" i="2"/>
  <c r="M2781" i="2"/>
  <c r="N2781" i="2"/>
  <c r="O2781" i="2"/>
  <c r="P2781" i="2"/>
  <c r="Q2781" i="2"/>
  <c r="R2781" i="2"/>
  <c r="S2781" i="2"/>
  <c r="T2781" i="2"/>
  <c r="U2781" i="2"/>
  <c r="V2781" i="2"/>
  <c r="W2781" i="2"/>
  <c r="X2781" i="2"/>
  <c r="Y2781" i="2"/>
  <c r="Z2781" i="2"/>
  <c r="AA2781" i="2"/>
  <c r="AB2781" i="2"/>
  <c r="AC2781" i="2"/>
  <c r="AD2781" i="2"/>
  <c r="AE2781" i="2"/>
  <c r="AF2781" i="2"/>
  <c r="AG2781" i="2"/>
  <c r="AH2781" i="2"/>
  <c r="AI2781" i="2"/>
  <c r="AJ2781" i="2"/>
  <c r="AK2781" i="2"/>
  <c r="A2782" i="2"/>
  <c r="B2782" i="2"/>
  <c r="C2782" i="2"/>
  <c r="D2782" i="2"/>
  <c r="E2782" i="2"/>
  <c r="F2782" i="2"/>
  <c r="G2782" i="2"/>
  <c r="H2782" i="2"/>
  <c r="I2782" i="2"/>
  <c r="J2782" i="2"/>
  <c r="K2782" i="2"/>
  <c r="L2782" i="2"/>
  <c r="M2782" i="2"/>
  <c r="N2782" i="2"/>
  <c r="O2782" i="2"/>
  <c r="P2782" i="2"/>
  <c r="Q2782" i="2"/>
  <c r="R2782" i="2"/>
  <c r="S2782" i="2"/>
  <c r="T2782" i="2"/>
  <c r="U2782" i="2"/>
  <c r="V2782" i="2"/>
  <c r="W2782" i="2"/>
  <c r="X2782" i="2"/>
  <c r="Y2782" i="2"/>
  <c r="Z2782" i="2"/>
  <c r="AA2782" i="2"/>
  <c r="AB2782" i="2"/>
  <c r="AC2782" i="2"/>
  <c r="AD2782" i="2"/>
  <c r="AE2782" i="2"/>
  <c r="AF2782" i="2"/>
  <c r="AG2782" i="2"/>
  <c r="AH2782" i="2"/>
  <c r="AI2782" i="2"/>
  <c r="AJ2782" i="2"/>
  <c r="AK2782" i="2"/>
  <c r="A2783" i="2"/>
  <c r="B2783" i="2"/>
  <c r="C2783" i="2"/>
  <c r="D2783" i="2"/>
  <c r="E2783" i="2"/>
  <c r="F2783" i="2"/>
  <c r="G2783" i="2"/>
  <c r="H2783" i="2"/>
  <c r="I2783" i="2"/>
  <c r="J2783" i="2"/>
  <c r="K2783" i="2"/>
  <c r="L2783" i="2"/>
  <c r="M2783" i="2"/>
  <c r="N2783" i="2"/>
  <c r="O2783" i="2"/>
  <c r="P2783" i="2"/>
  <c r="Q2783" i="2"/>
  <c r="R2783" i="2"/>
  <c r="S2783" i="2"/>
  <c r="T2783" i="2"/>
  <c r="U2783" i="2"/>
  <c r="V2783" i="2"/>
  <c r="W2783" i="2"/>
  <c r="X2783" i="2"/>
  <c r="Y2783" i="2"/>
  <c r="Z2783" i="2"/>
  <c r="AA2783" i="2"/>
  <c r="AB2783" i="2"/>
  <c r="AC2783" i="2"/>
  <c r="AD2783" i="2"/>
  <c r="AE2783" i="2"/>
  <c r="AF2783" i="2"/>
  <c r="AG2783" i="2"/>
  <c r="AH2783" i="2"/>
  <c r="AI2783" i="2"/>
  <c r="AJ2783" i="2"/>
  <c r="AK2783" i="2"/>
  <c r="A2784" i="2"/>
  <c r="B2784" i="2"/>
  <c r="C2784" i="2"/>
  <c r="D2784" i="2"/>
  <c r="E2784" i="2"/>
  <c r="F2784" i="2"/>
  <c r="G2784" i="2"/>
  <c r="H2784" i="2"/>
  <c r="I2784" i="2"/>
  <c r="J2784" i="2"/>
  <c r="K2784" i="2"/>
  <c r="L2784" i="2"/>
  <c r="M2784" i="2"/>
  <c r="N2784" i="2"/>
  <c r="O2784" i="2"/>
  <c r="P2784" i="2"/>
  <c r="Q2784" i="2"/>
  <c r="R2784" i="2"/>
  <c r="S2784" i="2"/>
  <c r="T2784" i="2"/>
  <c r="U2784" i="2"/>
  <c r="V2784" i="2"/>
  <c r="W2784" i="2"/>
  <c r="X2784" i="2"/>
  <c r="Y2784" i="2"/>
  <c r="Z2784" i="2"/>
  <c r="AA2784" i="2"/>
  <c r="AB2784" i="2"/>
  <c r="AC2784" i="2"/>
  <c r="AD2784" i="2"/>
  <c r="AE2784" i="2"/>
  <c r="AF2784" i="2"/>
  <c r="AG2784" i="2"/>
  <c r="AH2784" i="2"/>
  <c r="AI2784" i="2"/>
  <c r="AJ2784" i="2"/>
  <c r="AK2784" i="2"/>
  <c r="A2785" i="2"/>
  <c r="B2785" i="2"/>
  <c r="C2785" i="2"/>
  <c r="D2785" i="2"/>
  <c r="E2785" i="2"/>
  <c r="F2785" i="2"/>
  <c r="G2785" i="2"/>
  <c r="H2785" i="2"/>
  <c r="I2785" i="2"/>
  <c r="J2785" i="2"/>
  <c r="K2785" i="2"/>
  <c r="L2785" i="2"/>
  <c r="M2785" i="2"/>
  <c r="N2785" i="2"/>
  <c r="O2785" i="2"/>
  <c r="P2785" i="2"/>
  <c r="Q2785" i="2"/>
  <c r="R2785" i="2"/>
  <c r="S2785" i="2"/>
  <c r="T2785" i="2"/>
  <c r="U2785" i="2"/>
  <c r="V2785" i="2"/>
  <c r="W2785" i="2"/>
  <c r="X2785" i="2"/>
  <c r="Y2785" i="2"/>
  <c r="Z2785" i="2"/>
  <c r="AA2785" i="2"/>
  <c r="AB2785" i="2"/>
  <c r="AC2785" i="2"/>
  <c r="AD2785" i="2"/>
  <c r="AE2785" i="2"/>
  <c r="AF2785" i="2"/>
  <c r="AG2785" i="2"/>
  <c r="AH2785" i="2"/>
  <c r="AI2785" i="2"/>
  <c r="AJ2785" i="2"/>
  <c r="AK2785" i="2"/>
  <c r="A2786" i="2"/>
  <c r="B2786" i="2"/>
  <c r="C2786" i="2"/>
  <c r="D2786" i="2"/>
  <c r="E2786" i="2"/>
  <c r="F2786" i="2"/>
  <c r="G2786" i="2"/>
  <c r="H2786" i="2"/>
  <c r="I2786" i="2"/>
  <c r="J2786" i="2"/>
  <c r="K2786" i="2"/>
  <c r="L2786" i="2"/>
  <c r="M2786" i="2"/>
  <c r="N2786" i="2"/>
  <c r="O2786" i="2"/>
  <c r="P2786" i="2"/>
  <c r="Q2786" i="2"/>
  <c r="R2786" i="2"/>
  <c r="S2786" i="2"/>
  <c r="T2786" i="2"/>
  <c r="U2786" i="2"/>
  <c r="V2786" i="2"/>
  <c r="W2786" i="2"/>
  <c r="X2786" i="2"/>
  <c r="Y2786" i="2"/>
  <c r="Z2786" i="2"/>
  <c r="AA2786" i="2"/>
  <c r="AB2786" i="2"/>
  <c r="AC2786" i="2"/>
  <c r="AD2786" i="2"/>
  <c r="AE2786" i="2"/>
  <c r="AF2786" i="2"/>
  <c r="AG2786" i="2"/>
  <c r="AH2786" i="2"/>
  <c r="AI2786" i="2"/>
  <c r="AJ2786" i="2"/>
  <c r="AK2786" i="2"/>
  <c r="A2787" i="2"/>
  <c r="B2787" i="2"/>
  <c r="C2787" i="2"/>
  <c r="D2787" i="2"/>
  <c r="E2787" i="2"/>
  <c r="F2787" i="2"/>
  <c r="G2787" i="2"/>
  <c r="H2787" i="2"/>
  <c r="I2787" i="2"/>
  <c r="J2787" i="2"/>
  <c r="K2787" i="2"/>
  <c r="L2787" i="2"/>
  <c r="M2787" i="2"/>
  <c r="N2787" i="2"/>
  <c r="O2787" i="2"/>
  <c r="P2787" i="2"/>
  <c r="Q2787" i="2"/>
  <c r="R2787" i="2"/>
  <c r="S2787" i="2"/>
  <c r="T2787" i="2"/>
  <c r="U2787" i="2"/>
  <c r="V2787" i="2"/>
  <c r="W2787" i="2"/>
  <c r="X2787" i="2"/>
  <c r="Y2787" i="2"/>
  <c r="Z2787" i="2"/>
  <c r="AA2787" i="2"/>
  <c r="AB2787" i="2"/>
  <c r="AC2787" i="2"/>
  <c r="AD2787" i="2"/>
  <c r="AE2787" i="2"/>
  <c r="AF2787" i="2"/>
  <c r="AG2787" i="2"/>
  <c r="AH2787" i="2"/>
  <c r="AI2787" i="2"/>
  <c r="AJ2787" i="2"/>
  <c r="AK2787" i="2"/>
  <c r="A2788" i="2"/>
  <c r="B2788" i="2"/>
  <c r="C2788" i="2"/>
  <c r="D2788" i="2"/>
  <c r="E2788" i="2"/>
  <c r="F2788" i="2"/>
  <c r="G2788" i="2"/>
  <c r="H2788" i="2"/>
  <c r="I2788" i="2"/>
  <c r="J2788" i="2"/>
  <c r="K2788" i="2"/>
  <c r="L2788" i="2"/>
  <c r="M2788" i="2"/>
  <c r="N2788" i="2"/>
  <c r="O2788" i="2"/>
  <c r="P2788" i="2"/>
  <c r="Q2788" i="2"/>
  <c r="R2788" i="2"/>
  <c r="S2788" i="2"/>
  <c r="T2788" i="2"/>
  <c r="U2788" i="2"/>
  <c r="V2788" i="2"/>
  <c r="W2788" i="2"/>
  <c r="X2788" i="2"/>
  <c r="Y2788" i="2"/>
  <c r="Z2788" i="2"/>
  <c r="AA2788" i="2"/>
  <c r="AB2788" i="2"/>
  <c r="AC2788" i="2"/>
  <c r="AD2788" i="2"/>
  <c r="AE2788" i="2"/>
  <c r="AF2788" i="2"/>
  <c r="AG2788" i="2"/>
  <c r="AH2788" i="2"/>
  <c r="AI2788" i="2"/>
  <c r="AJ2788" i="2"/>
  <c r="AK2788" i="2"/>
  <c r="A2789" i="2"/>
  <c r="B2789" i="2"/>
  <c r="C2789" i="2"/>
  <c r="D2789" i="2"/>
  <c r="E2789" i="2"/>
  <c r="F2789" i="2"/>
  <c r="G2789" i="2"/>
  <c r="H2789" i="2"/>
  <c r="I2789" i="2"/>
  <c r="J2789" i="2"/>
  <c r="K2789" i="2"/>
  <c r="L2789" i="2"/>
  <c r="M2789" i="2"/>
  <c r="N2789" i="2"/>
  <c r="O2789" i="2"/>
  <c r="P2789" i="2"/>
  <c r="Q2789" i="2"/>
  <c r="R2789" i="2"/>
  <c r="S2789" i="2"/>
  <c r="T2789" i="2"/>
  <c r="U2789" i="2"/>
  <c r="V2789" i="2"/>
  <c r="W2789" i="2"/>
  <c r="X2789" i="2"/>
  <c r="Y2789" i="2"/>
  <c r="Z2789" i="2"/>
  <c r="AA2789" i="2"/>
  <c r="AB2789" i="2"/>
  <c r="AC2789" i="2"/>
  <c r="AD2789" i="2"/>
  <c r="AE2789" i="2"/>
  <c r="AF2789" i="2"/>
  <c r="AG2789" i="2"/>
  <c r="AH2789" i="2"/>
  <c r="AI2789" i="2"/>
  <c r="AJ2789" i="2"/>
  <c r="AK2789" i="2"/>
  <c r="A2790" i="2"/>
  <c r="B2790" i="2"/>
  <c r="C2790" i="2"/>
  <c r="D2790" i="2"/>
  <c r="E2790" i="2"/>
  <c r="F2790" i="2"/>
  <c r="G2790" i="2"/>
  <c r="H2790" i="2"/>
  <c r="I2790" i="2"/>
  <c r="J2790" i="2"/>
  <c r="K2790" i="2"/>
  <c r="L2790" i="2"/>
  <c r="M2790" i="2"/>
  <c r="N2790" i="2"/>
  <c r="O2790" i="2"/>
  <c r="P2790" i="2"/>
  <c r="Q2790" i="2"/>
  <c r="R2790" i="2"/>
  <c r="S2790" i="2"/>
  <c r="T2790" i="2"/>
  <c r="U2790" i="2"/>
  <c r="V2790" i="2"/>
  <c r="W2790" i="2"/>
  <c r="X2790" i="2"/>
  <c r="Y2790" i="2"/>
  <c r="Z2790" i="2"/>
  <c r="AA2790" i="2"/>
  <c r="AB2790" i="2"/>
  <c r="AC2790" i="2"/>
  <c r="AD2790" i="2"/>
  <c r="AE2790" i="2"/>
  <c r="AF2790" i="2"/>
  <c r="AG2790" i="2"/>
  <c r="AH2790" i="2"/>
  <c r="AI2790" i="2"/>
  <c r="AJ2790" i="2"/>
  <c r="AK2790" i="2"/>
  <c r="A2791" i="2"/>
  <c r="B2791" i="2"/>
  <c r="C2791" i="2"/>
  <c r="D2791" i="2"/>
  <c r="E2791" i="2"/>
  <c r="F2791" i="2"/>
  <c r="G2791" i="2"/>
  <c r="H2791" i="2"/>
  <c r="I2791" i="2"/>
  <c r="J2791" i="2"/>
  <c r="K2791" i="2"/>
  <c r="L2791" i="2"/>
  <c r="M2791" i="2"/>
  <c r="N2791" i="2"/>
  <c r="O2791" i="2"/>
  <c r="P2791" i="2"/>
  <c r="Q2791" i="2"/>
  <c r="R2791" i="2"/>
  <c r="S2791" i="2"/>
  <c r="T2791" i="2"/>
  <c r="U2791" i="2"/>
  <c r="V2791" i="2"/>
  <c r="W2791" i="2"/>
  <c r="X2791" i="2"/>
  <c r="Y2791" i="2"/>
  <c r="Z2791" i="2"/>
  <c r="AA2791" i="2"/>
  <c r="AB2791" i="2"/>
  <c r="AC2791" i="2"/>
  <c r="AD2791" i="2"/>
  <c r="AE2791" i="2"/>
  <c r="AF2791" i="2"/>
  <c r="AG2791" i="2"/>
  <c r="AH2791" i="2"/>
  <c r="AI2791" i="2"/>
  <c r="AJ2791" i="2"/>
  <c r="AK2791" i="2"/>
  <c r="A2792" i="2"/>
  <c r="B2792" i="2"/>
  <c r="C2792" i="2"/>
  <c r="D2792" i="2"/>
  <c r="E2792" i="2"/>
  <c r="F2792" i="2"/>
  <c r="G2792" i="2"/>
  <c r="H2792" i="2"/>
  <c r="I2792" i="2"/>
  <c r="J2792" i="2"/>
  <c r="K2792" i="2"/>
  <c r="L2792" i="2"/>
  <c r="M2792" i="2"/>
  <c r="N2792" i="2"/>
  <c r="O2792" i="2"/>
  <c r="P2792" i="2"/>
  <c r="Q2792" i="2"/>
  <c r="R2792" i="2"/>
  <c r="S2792" i="2"/>
  <c r="T2792" i="2"/>
  <c r="U2792" i="2"/>
  <c r="V2792" i="2"/>
  <c r="W2792" i="2"/>
  <c r="X2792" i="2"/>
  <c r="Y2792" i="2"/>
  <c r="Z2792" i="2"/>
  <c r="AA2792" i="2"/>
  <c r="AB2792" i="2"/>
  <c r="AC2792" i="2"/>
  <c r="AD2792" i="2"/>
  <c r="AE2792" i="2"/>
  <c r="AF2792" i="2"/>
  <c r="AG2792" i="2"/>
  <c r="AH2792" i="2"/>
  <c r="AI2792" i="2"/>
  <c r="AJ2792" i="2"/>
  <c r="AK2792" i="2"/>
  <c r="A2793" i="2"/>
  <c r="B2793" i="2"/>
  <c r="C2793" i="2"/>
  <c r="D2793" i="2"/>
  <c r="E2793" i="2"/>
  <c r="F2793" i="2"/>
  <c r="G2793" i="2"/>
  <c r="H2793" i="2"/>
  <c r="I2793" i="2"/>
  <c r="J2793" i="2"/>
  <c r="K2793" i="2"/>
  <c r="L2793" i="2"/>
  <c r="M2793" i="2"/>
  <c r="N2793" i="2"/>
  <c r="O2793" i="2"/>
  <c r="P2793" i="2"/>
  <c r="Q2793" i="2"/>
  <c r="R2793" i="2"/>
  <c r="S2793" i="2"/>
  <c r="T2793" i="2"/>
  <c r="U2793" i="2"/>
  <c r="V2793" i="2"/>
  <c r="W2793" i="2"/>
  <c r="X2793" i="2"/>
  <c r="Y2793" i="2"/>
  <c r="Z2793" i="2"/>
  <c r="AA2793" i="2"/>
  <c r="AB2793" i="2"/>
  <c r="AC2793" i="2"/>
  <c r="AD2793" i="2"/>
  <c r="AE2793" i="2"/>
  <c r="AF2793" i="2"/>
  <c r="AG2793" i="2"/>
  <c r="AH2793" i="2"/>
  <c r="AI2793" i="2"/>
  <c r="AJ2793" i="2"/>
  <c r="AK2793" i="2"/>
  <c r="A2794" i="2"/>
  <c r="B2794" i="2"/>
  <c r="C2794" i="2"/>
  <c r="D2794" i="2"/>
  <c r="E2794" i="2"/>
  <c r="F2794" i="2"/>
  <c r="G2794" i="2"/>
  <c r="H2794" i="2"/>
  <c r="I2794" i="2"/>
  <c r="J2794" i="2"/>
  <c r="K2794" i="2"/>
  <c r="L2794" i="2"/>
  <c r="M2794" i="2"/>
  <c r="N2794" i="2"/>
  <c r="O2794" i="2"/>
  <c r="P2794" i="2"/>
  <c r="Q2794" i="2"/>
  <c r="R2794" i="2"/>
  <c r="S2794" i="2"/>
  <c r="T2794" i="2"/>
  <c r="U2794" i="2"/>
  <c r="V2794" i="2"/>
  <c r="W2794" i="2"/>
  <c r="X2794" i="2"/>
  <c r="Y2794" i="2"/>
  <c r="Z2794" i="2"/>
  <c r="AA2794" i="2"/>
  <c r="AB2794" i="2"/>
  <c r="AC2794" i="2"/>
  <c r="AD2794" i="2"/>
  <c r="AE2794" i="2"/>
  <c r="AF2794" i="2"/>
  <c r="AG2794" i="2"/>
  <c r="AH2794" i="2"/>
  <c r="AI2794" i="2"/>
  <c r="AJ2794" i="2"/>
  <c r="AK2794" i="2"/>
  <c r="A2795" i="2"/>
  <c r="B2795" i="2"/>
  <c r="C2795" i="2"/>
  <c r="D2795" i="2"/>
  <c r="E2795" i="2"/>
  <c r="F2795" i="2"/>
  <c r="G2795" i="2"/>
  <c r="H2795" i="2"/>
  <c r="I2795" i="2"/>
  <c r="J2795" i="2"/>
  <c r="K2795" i="2"/>
  <c r="L2795" i="2"/>
  <c r="M2795" i="2"/>
  <c r="N2795" i="2"/>
  <c r="O2795" i="2"/>
  <c r="P2795" i="2"/>
  <c r="Q2795" i="2"/>
  <c r="R2795" i="2"/>
  <c r="S2795" i="2"/>
  <c r="T2795" i="2"/>
  <c r="U2795" i="2"/>
  <c r="V2795" i="2"/>
  <c r="W2795" i="2"/>
  <c r="X2795" i="2"/>
  <c r="Y2795" i="2"/>
  <c r="Z2795" i="2"/>
  <c r="AA2795" i="2"/>
  <c r="AB2795" i="2"/>
  <c r="AC2795" i="2"/>
  <c r="AD2795" i="2"/>
  <c r="AE2795" i="2"/>
  <c r="AF2795" i="2"/>
  <c r="AG2795" i="2"/>
  <c r="AH2795" i="2"/>
  <c r="AI2795" i="2"/>
  <c r="AJ2795" i="2"/>
  <c r="AK2795" i="2"/>
  <c r="A2796" i="2"/>
  <c r="B2796" i="2"/>
  <c r="C2796" i="2"/>
  <c r="D2796" i="2"/>
  <c r="E2796" i="2"/>
  <c r="F2796" i="2"/>
  <c r="G2796" i="2"/>
  <c r="H2796" i="2"/>
  <c r="I2796" i="2"/>
  <c r="J2796" i="2"/>
  <c r="K2796" i="2"/>
  <c r="L2796" i="2"/>
  <c r="M2796" i="2"/>
  <c r="N2796" i="2"/>
  <c r="O2796" i="2"/>
  <c r="P2796" i="2"/>
  <c r="Q2796" i="2"/>
  <c r="R2796" i="2"/>
  <c r="S2796" i="2"/>
  <c r="T2796" i="2"/>
  <c r="U2796" i="2"/>
  <c r="V2796" i="2"/>
  <c r="W2796" i="2"/>
  <c r="X2796" i="2"/>
  <c r="Y2796" i="2"/>
  <c r="Z2796" i="2"/>
  <c r="AA2796" i="2"/>
  <c r="AB2796" i="2"/>
  <c r="AC2796" i="2"/>
  <c r="AD2796" i="2"/>
  <c r="AE2796" i="2"/>
  <c r="AF2796" i="2"/>
  <c r="AG2796" i="2"/>
  <c r="AH2796" i="2"/>
  <c r="AI2796" i="2"/>
  <c r="AJ2796" i="2"/>
  <c r="AK2796" i="2"/>
  <c r="A2797" i="2"/>
  <c r="B2797" i="2"/>
  <c r="C2797" i="2"/>
  <c r="D2797" i="2"/>
  <c r="E2797" i="2"/>
  <c r="F2797" i="2"/>
  <c r="G2797" i="2"/>
  <c r="H2797" i="2"/>
  <c r="I2797" i="2"/>
  <c r="J2797" i="2"/>
  <c r="K2797" i="2"/>
  <c r="L2797" i="2"/>
  <c r="M2797" i="2"/>
  <c r="N2797" i="2"/>
  <c r="O2797" i="2"/>
  <c r="P2797" i="2"/>
  <c r="Q2797" i="2"/>
  <c r="R2797" i="2"/>
  <c r="S2797" i="2"/>
  <c r="T2797" i="2"/>
  <c r="U2797" i="2"/>
  <c r="V2797" i="2"/>
  <c r="W2797" i="2"/>
  <c r="X2797" i="2"/>
  <c r="Y2797" i="2"/>
  <c r="Z2797" i="2"/>
  <c r="AA2797" i="2"/>
  <c r="AB2797" i="2"/>
  <c r="AC2797" i="2"/>
  <c r="AD2797" i="2"/>
  <c r="AE2797" i="2"/>
  <c r="AF2797" i="2"/>
  <c r="AG2797" i="2"/>
  <c r="AH2797" i="2"/>
  <c r="AI2797" i="2"/>
  <c r="AJ2797" i="2"/>
  <c r="AK2797" i="2"/>
  <c r="A2798" i="2"/>
  <c r="B2798" i="2"/>
  <c r="C2798" i="2"/>
  <c r="D2798" i="2"/>
  <c r="E2798" i="2"/>
  <c r="F2798" i="2"/>
  <c r="G2798" i="2"/>
  <c r="H2798" i="2"/>
  <c r="I2798" i="2"/>
  <c r="J2798" i="2"/>
  <c r="K2798" i="2"/>
  <c r="L2798" i="2"/>
  <c r="M2798" i="2"/>
  <c r="N2798" i="2"/>
  <c r="O2798" i="2"/>
  <c r="P2798" i="2"/>
  <c r="Q2798" i="2"/>
  <c r="R2798" i="2"/>
  <c r="S2798" i="2"/>
  <c r="T2798" i="2"/>
  <c r="U2798" i="2"/>
  <c r="V2798" i="2"/>
  <c r="W2798" i="2"/>
  <c r="X2798" i="2"/>
  <c r="Y2798" i="2"/>
  <c r="Z2798" i="2"/>
  <c r="AA2798" i="2"/>
  <c r="AB2798" i="2"/>
  <c r="AC2798" i="2"/>
  <c r="AD2798" i="2"/>
  <c r="AE2798" i="2"/>
  <c r="AF2798" i="2"/>
  <c r="AG2798" i="2"/>
  <c r="AH2798" i="2"/>
  <c r="AI2798" i="2"/>
  <c r="AJ2798" i="2"/>
  <c r="AK2798" i="2"/>
  <c r="A2799" i="2"/>
  <c r="B2799" i="2"/>
  <c r="C2799" i="2"/>
  <c r="D2799" i="2"/>
  <c r="E2799" i="2"/>
  <c r="F2799" i="2"/>
  <c r="G2799" i="2"/>
  <c r="H2799" i="2"/>
  <c r="I2799" i="2"/>
  <c r="J2799" i="2"/>
  <c r="K2799" i="2"/>
  <c r="L2799" i="2"/>
  <c r="M2799" i="2"/>
  <c r="N2799" i="2"/>
  <c r="O2799" i="2"/>
  <c r="P2799" i="2"/>
  <c r="Q2799" i="2"/>
  <c r="R2799" i="2"/>
  <c r="S2799" i="2"/>
  <c r="T2799" i="2"/>
  <c r="U2799" i="2"/>
  <c r="V2799" i="2"/>
  <c r="W2799" i="2"/>
  <c r="X2799" i="2"/>
  <c r="Y2799" i="2"/>
  <c r="Z2799" i="2"/>
  <c r="AA2799" i="2"/>
  <c r="AB2799" i="2"/>
  <c r="AC2799" i="2"/>
  <c r="AD2799" i="2"/>
  <c r="AE2799" i="2"/>
  <c r="AF2799" i="2"/>
  <c r="AG2799" i="2"/>
  <c r="AH2799" i="2"/>
  <c r="AI2799" i="2"/>
  <c r="AJ2799" i="2"/>
  <c r="AK2799" i="2"/>
  <c r="A2800" i="2"/>
  <c r="B2800" i="2"/>
  <c r="C2800" i="2"/>
  <c r="D2800" i="2"/>
  <c r="E2800" i="2"/>
  <c r="F2800" i="2"/>
  <c r="G2800" i="2"/>
  <c r="H2800" i="2"/>
  <c r="I2800" i="2"/>
  <c r="J2800" i="2"/>
  <c r="K2800" i="2"/>
  <c r="L2800" i="2"/>
  <c r="M2800" i="2"/>
  <c r="N2800" i="2"/>
  <c r="O2800" i="2"/>
  <c r="P2800" i="2"/>
  <c r="Q2800" i="2"/>
  <c r="R2800" i="2"/>
  <c r="S2800" i="2"/>
  <c r="T2800" i="2"/>
  <c r="U2800" i="2"/>
  <c r="V2800" i="2"/>
  <c r="W2800" i="2"/>
  <c r="X2800" i="2"/>
  <c r="Y2800" i="2"/>
  <c r="Z2800" i="2"/>
  <c r="AA2800" i="2"/>
  <c r="AB2800" i="2"/>
  <c r="AC2800" i="2"/>
  <c r="AD2800" i="2"/>
  <c r="AE2800" i="2"/>
  <c r="AF2800" i="2"/>
  <c r="AG2800" i="2"/>
  <c r="AH2800" i="2"/>
  <c r="AI2800" i="2"/>
  <c r="AJ2800" i="2"/>
  <c r="AK2800" i="2"/>
  <c r="A2801" i="2"/>
  <c r="B2801" i="2"/>
  <c r="C2801" i="2"/>
  <c r="D2801" i="2"/>
  <c r="E2801" i="2"/>
  <c r="F2801" i="2"/>
  <c r="G2801" i="2"/>
  <c r="H2801" i="2"/>
  <c r="I2801" i="2"/>
  <c r="J2801" i="2"/>
  <c r="K2801" i="2"/>
  <c r="L2801" i="2"/>
  <c r="M2801" i="2"/>
  <c r="N2801" i="2"/>
  <c r="O2801" i="2"/>
  <c r="P2801" i="2"/>
  <c r="Q2801" i="2"/>
  <c r="R2801" i="2"/>
  <c r="S2801" i="2"/>
  <c r="T2801" i="2"/>
  <c r="U2801" i="2"/>
  <c r="V2801" i="2"/>
  <c r="W2801" i="2"/>
  <c r="X2801" i="2"/>
  <c r="Y2801" i="2"/>
  <c r="Z2801" i="2"/>
  <c r="AA2801" i="2"/>
  <c r="AB2801" i="2"/>
  <c r="AC2801" i="2"/>
  <c r="AD2801" i="2"/>
  <c r="AE2801" i="2"/>
  <c r="AF2801" i="2"/>
  <c r="AG2801" i="2"/>
  <c r="AH2801" i="2"/>
  <c r="AI2801" i="2"/>
  <c r="AJ2801" i="2"/>
  <c r="AK2801" i="2"/>
  <c r="A2802" i="2"/>
  <c r="B2802" i="2"/>
  <c r="C2802" i="2"/>
  <c r="D2802" i="2"/>
  <c r="E2802" i="2"/>
  <c r="F2802" i="2"/>
  <c r="G2802" i="2"/>
  <c r="H2802" i="2"/>
  <c r="I2802" i="2"/>
  <c r="J2802" i="2"/>
  <c r="K2802" i="2"/>
  <c r="L2802" i="2"/>
  <c r="M2802" i="2"/>
  <c r="N2802" i="2"/>
  <c r="O2802" i="2"/>
  <c r="P2802" i="2"/>
  <c r="Q2802" i="2"/>
  <c r="R2802" i="2"/>
  <c r="S2802" i="2"/>
  <c r="T2802" i="2"/>
  <c r="U2802" i="2"/>
  <c r="V2802" i="2"/>
  <c r="W2802" i="2"/>
  <c r="X2802" i="2"/>
  <c r="Y2802" i="2"/>
  <c r="Z2802" i="2"/>
  <c r="AA2802" i="2"/>
  <c r="AB2802" i="2"/>
  <c r="AC2802" i="2"/>
  <c r="AD2802" i="2"/>
  <c r="AE2802" i="2"/>
  <c r="AF2802" i="2"/>
  <c r="AG2802" i="2"/>
  <c r="AH2802" i="2"/>
  <c r="AI2802" i="2"/>
  <c r="AJ2802" i="2"/>
  <c r="AK2802" i="2"/>
  <c r="A2803" i="2"/>
  <c r="B2803" i="2"/>
  <c r="C2803" i="2"/>
  <c r="D2803" i="2"/>
  <c r="E2803" i="2"/>
  <c r="F2803" i="2"/>
  <c r="G2803" i="2"/>
  <c r="H2803" i="2"/>
  <c r="I2803" i="2"/>
  <c r="J2803" i="2"/>
  <c r="K2803" i="2"/>
  <c r="L2803" i="2"/>
  <c r="M2803" i="2"/>
  <c r="N2803" i="2"/>
  <c r="O2803" i="2"/>
  <c r="P2803" i="2"/>
  <c r="Q2803" i="2"/>
  <c r="R2803" i="2"/>
  <c r="S2803" i="2"/>
  <c r="T2803" i="2"/>
  <c r="U2803" i="2"/>
  <c r="V2803" i="2"/>
  <c r="W2803" i="2"/>
  <c r="X2803" i="2"/>
  <c r="Y2803" i="2"/>
  <c r="Z2803" i="2"/>
  <c r="AA2803" i="2"/>
  <c r="AB2803" i="2"/>
  <c r="AC2803" i="2"/>
  <c r="AD2803" i="2"/>
  <c r="AE2803" i="2"/>
  <c r="AF2803" i="2"/>
  <c r="AG2803" i="2"/>
  <c r="AH2803" i="2"/>
  <c r="AI2803" i="2"/>
  <c r="AJ2803" i="2"/>
  <c r="AK2803" i="2"/>
  <c r="A2804" i="2"/>
  <c r="B2804" i="2"/>
  <c r="C2804" i="2"/>
  <c r="D2804" i="2"/>
  <c r="E2804" i="2"/>
  <c r="F2804" i="2"/>
  <c r="G2804" i="2"/>
  <c r="H2804" i="2"/>
  <c r="I2804" i="2"/>
  <c r="J2804" i="2"/>
  <c r="K2804" i="2"/>
  <c r="L2804" i="2"/>
  <c r="M2804" i="2"/>
  <c r="N2804" i="2"/>
  <c r="O2804" i="2"/>
  <c r="P2804" i="2"/>
  <c r="Q2804" i="2"/>
  <c r="R2804" i="2"/>
  <c r="S2804" i="2"/>
  <c r="T2804" i="2"/>
  <c r="U2804" i="2"/>
  <c r="V2804" i="2"/>
  <c r="W2804" i="2"/>
  <c r="X2804" i="2"/>
  <c r="Y2804" i="2"/>
  <c r="Z2804" i="2"/>
  <c r="AA2804" i="2"/>
  <c r="AB2804" i="2"/>
  <c r="AC2804" i="2"/>
  <c r="AD2804" i="2"/>
  <c r="AE2804" i="2"/>
  <c r="AF2804" i="2"/>
  <c r="AG2804" i="2"/>
  <c r="AH2804" i="2"/>
  <c r="AI2804" i="2"/>
  <c r="AJ2804" i="2"/>
  <c r="AK2804" i="2"/>
  <c r="A2805" i="2"/>
  <c r="B2805" i="2"/>
  <c r="C2805" i="2"/>
  <c r="D2805" i="2"/>
  <c r="E2805" i="2"/>
  <c r="F2805" i="2"/>
  <c r="G2805" i="2"/>
  <c r="H2805" i="2"/>
  <c r="I2805" i="2"/>
  <c r="J2805" i="2"/>
  <c r="K2805" i="2"/>
  <c r="L2805" i="2"/>
  <c r="M2805" i="2"/>
  <c r="N2805" i="2"/>
  <c r="O2805" i="2"/>
  <c r="P2805" i="2"/>
  <c r="Q2805" i="2"/>
  <c r="R2805" i="2"/>
  <c r="S2805" i="2"/>
  <c r="T2805" i="2"/>
  <c r="U2805" i="2"/>
  <c r="V2805" i="2"/>
  <c r="W2805" i="2"/>
  <c r="X2805" i="2"/>
  <c r="Y2805" i="2"/>
  <c r="Z2805" i="2"/>
  <c r="AA2805" i="2"/>
  <c r="AB2805" i="2"/>
  <c r="AC2805" i="2"/>
  <c r="AD2805" i="2"/>
  <c r="AE2805" i="2"/>
  <c r="AF2805" i="2"/>
  <c r="AG2805" i="2"/>
  <c r="AH2805" i="2"/>
  <c r="AI2805" i="2"/>
  <c r="AJ2805" i="2"/>
  <c r="AK2805" i="2"/>
  <c r="A2806" i="2"/>
  <c r="B2806" i="2"/>
  <c r="C2806" i="2"/>
  <c r="D2806" i="2"/>
  <c r="E2806" i="2"/>
  <c r="F2806" i="2"/>
  <c r="G2806" i="2"/>
  <c r="H2806" i="2"/>
  <c r="I2806" i="2"/>
  <c r="J2806" i="2"/>
  <c r="K2806" i="2"/>
  <c r="L2806" i="2"/>
  <c r="M2806" i="2"/>
  <c r="N2806" i="2"/>
  <c r="O2806" i="2"/>
  <c r="P2806" i="2"/>
  <c r="Q2806" i="2"/>
  <c r="R2806" i="2"/>
  <c r="S2806" i="2"/>
  <c r="T2806" i="2"/>
  <c r="U2806" i="2"/>
  <c r="V2806" i="2"/>
  <c r="W2806" i="2"/>
  <c r="X2806" i="2"/>
  <c r="Y2806" i="2"/>
  <c r="Z2806" i="2"/>
  <c r="AA2806" i="2"/>
  <c r="AB2806" i="2"/>
  <c r="AC2806" i="2"/>
  <c r="AD2806" i="2"/>
  <c r="AE2806" i="2"/>
  <c r="AF2806" i="2"/>
  <c r="AG2806" i="2"/>
  <c r="AH2806" i="2"/>
  <c r="AI2806" i="2"/>
  <c r="AJ2806" i="2"/>
  <c r="AK2806" i="2"/>
  <c r="A2807" i="2"/>
  <c r="B2807" i="2"/>
  <c r="C2807" i="2"/>
  <c r="D2807" i="2"/>
  <c r="E2807" i="2"/>
  <c r="F2807" i="2"/>
  <c r="G2807" i="2"/>
  <c r="H2807" i="2"/>
  <c r="I2807" i="2"/>
  <c r="J2807" i="2"/>
  <c r="K2807" i="2"/>
  <c r="L2807" i="2"/>
  <c r="M2807" i="2"/>
  <c r="N2807" i="2"/>
  <c r="O2807" i="2"/>
  <c r="P2807" i="2"/>
  <c r="Q2807" i="2"/>
  <c r="R2807" i="2"/>
  <c r="S2807" i="2"/>
  <c r="T2807" i="2"/>
  <c r="U2807" i="2"/>
  <c r="V2807" i="2"/>
  <c r="W2807" i="2"/>
  <c r="X2807" i="2"/>
  <c r="Y2807" i="2"/>
  <c r="Z2807" i="2"/>
  <c r="AA2807" i="2"/>
  <c r="AB2807" i="2"/>
  <c r="AC2807" i="2"/>
  <c r="AD2807" i="2"/>
  <c r="AE2807" i="2"/>
  <c r="AF2807" i="2"/>
  <c r="AG2807" i="2"/>
  <c r="AH2807" i="2"/>
  <c r="AI2807" i="2"/>
  <c r="AJ2807" i="2"/>
  <c r="AK2807" i="2"/>
  <c r="A2808" i="2"/>
  <c r="B2808" i="2"/>
  <c r="C2808" i="2"/>
  <c r="D2808" i="2"/>
  <c r="E2808" i="2"/>
  <c r="F2808" i="2"/>
  <c r="G2808" i="2"/>
  <c r="H2808" i="2"/>
  <c r="I2808" i="2"/>
  <c r="J2808" i="2"/>
  <c r="K2808" i="2"/>
  <c r="L2808" i="2"/>
  <c r="M2808" i="2"/>
  <c r="N2808" i="2"/>
  <c r="O2808" i="2"/>
  <c r="P2808" i="2"/>
  <c r="Q2808" i="2"/>
  <c r="R2808" i="2"/>
  <c r="S2808" i="2"/>
  <c r="T2808" i="2"/>
  <c r="U2808" i="2"/>
  <c r="V2808" i="2"/>
  <c r="W2808" i="2"/>
  <c r="X2808" i="2"/>
  <c r="Y2808" i="2"/>
  <c r="Z2808" i="2"/>
  <c r="AA2808" i="2"/>
  <c r="AB2808" i="2"/>
  <c r="AC2808" i="2"/>
  <c r="AD2808" i="2"/>
  <c r="AE2808" i="2"/>
  <c r="AF2808" i="2"/>
  <c r="AG2808" i="2"/>
  <c r="AH2808" i="2"/>
  <c r="AI2808" i="2"/>
  <c r="AJ2808" i="2"/>
  <c r="AK2808" i="2"/>
  <c r="A2809" i="2"/>
  <c r="B2809" i="2"/>
  <c r="C2809" i="2"/>
  <c r="D2809" i="2"/>
  <c r="E2809" i="2"/>
  <c r="F2809" i="2"/>
  <c r="G2809" i="2"/>
  <c r="H2809" i="2"/>
  <c r="I2809" i="2"/>
  <c r="J2809" i="2"/>
  <c r="K2809" i="2"/>
  <c r="L2809" i="2"/>
  <c r="M2809" i="2"/>
  <c r="N2809" i="2"/>
  <c r="O2809" i="2"/>
  <c r="P2809" i="2"/>
  <c r="Q2809" i="2"/>
  <c r="R2809" i="2"/>
  <c r="S2809" i="2"/>
  <c r="T2809" i="2"/>
  <c r="U2809" i="2"/>
  <c r="V2809" i="2"/>
  <c r="W2809" i="2"/>
  <c r="X2809" i="2"/>
  <c r="Y2809" i="2"/>
  <c r="Z2809" i="2"/>
  <c r="AA2809" i="2"/>
  <c r="AB2809" i="2"/>
  <c r="AC2809" i="2"/>
  <c r="AD2809" i="2"/>
  <c r="AE2809" i="2"/>
  <c r="AF2809" i="2"/>
  <c r="AG2809" i="2"/>
  <c r="AH2809" i="2"/>
  <c r="AI2809" i="2"/>
  <c r="AJ2809" i="2"/>
  <c r="AK2809" i="2"/>
  <c r="A2810" i="2"/>
  <c r="B2810" i="2"/>
  <c r="C2810" i="2"/>
  <c r="D2810" i="2"/>
  <c r="E2810" i="2"/>
  <c r="F2810" i="2"/>
  <c r="G2810" i="2"/>
  <c r="H2810" i="2"/>
  <c r="I2810" i="2"/>
  <c r="J2810" i="2"/>
  <c r="K2810" i="2"/>
  <c r="L2810" i="2"/>
  <c r="M2810" i="2"/>
  <c r="N2810" i="2"/>
  <c r="O2810" i="2"/>
  <c r="P2810" i="2"/>
  <c r="Q2810" i="2"/>
  <c r="R2810" i="2"/>
  <c r="S2810" i="2"/>
  <c r="T2810" i="2"/>
  <c r="U2810" i="2"/>
  <c r="V2810" i="2"/>
  <c r="W2810" i="2"/>
  <c r="X2810" i="2"/>
  <c r="Y2810" i="2"/>
  <c r="Z2810" i="2"/>
  <c r="AA2810" i="2"/>
  <c r="AB2810" i="2"/>
  <c r="AC2810" i="2"/>
  <c r="AD2810" i="2"/>
  <c r="AE2810" i="2"/>
  <c r="AF2810" i="2"/>
  <c r="AG2810" i="2"/>
  <c r="AH2810" i="2"/>
  <c r="AI2810" i="2"/>
  <c r="AJ2810" i="2"/>
  <c r="AK2810" i="2"/>
  <c r="A2811" i="2"/>
  <c r="B2811" i="2"/>
  <c r="C2811" i="2"/>
  <c r="D2811" i="2"/>
  <c r="E2811" i="2"/>
  <c r="F2811" i="2"/>
  <c r="G2811" i="2"/>
  <c r="H2811" i="2"/>
  <c r="I2811" i="2"/>
  <c r="J2811" i="2"/>
  <c r="K2811" i="2"/>
  <c r="L2811" i="2"/>
  <c r="M2811" i="2"/>
  <c r="N2811" i="2"/>
  <c r="O2811" i="2"/>
  <c r="P2811" i="2"/>
  <c r="Q2811" i="2"/>
  <c r="R2811" i="2"/>
  <c r="S2811" i="2"/>
  <c r="T2811" i="2"/>
  <c r="U2811" i="2"/>
  <c r="V2811" i="2"/>
  <c r="W2811" i="2"/>
  <c r="X2811" i="2"/>
  <c r="Y2811" i="2"/>
  <c r="Z2811" i="2"/>
  <c r="AA2811" i="2"/>
  <c r="AB2811" i="2"/>
  <c r="AC2811" i="2"/>
  <c r="AD2811" i="2"/>
  <c r="AE2811" i="2"/>
  <c r="AF2811" i="2"/>
  <c r="AG2811" i="2"/>
  <c r="AH2811" i="2"/>
  <c r="AI2811" i="2"/>
  <c r="AJ2811" i="2"/>
  <c r="AK2811" i="2"/>
  <c r="A2812" i="2"/>
  <c r="B2812" i="2"/>
  <c r="C2812" i="2"/>
  <c r="D2812" i="2"/>
  <c r="E2812" i="2"/>
  <c r="F2812" i="2"/>
  <c r="G2812" i="2"/>
  <c r="H2812" i="2"/>
  <c r="I2812" i="2"/>
  <c r="J2812" i="2"/>
  <c r="K2812" i="2"/>
  <c r="L2812" i="2"/>
  <c r="M2812" i="2"/>
  <c r="N2812" i="2"/>
  <c r="O2812" i="2"/>
  <c r="P2812" i="2"/>
  <c r="Q2812" i="2"/>
  <c r="R2812" i="2"/>
  <c r="S2812" i="2"/>
  <c r="T2812" i="2"/>
  <c r="U2812" i="2"/>
  <c r="V2812" i="2"/>
  <c r="W2812" i="2"/>
  <c r="X2812" i="2"/>
  <c r="Y2812" i="2"/>
  <c r="Z2812" i="2"/>
  <c r="AA2812" i="2"/>
  <c r="AB2812" i="2"/>
  <c r="AC2812" i="2"/>
  <c r="AD2812" i="2"/>
  <c r="AE2812" i="2"/>
  <c r="AF2812" i="2"/>
  <c r="AG2812" i="2"/>
  <c r="AH2812" i="2"/>
  <c r="AI2812" i="2"/>
  <c r="AJ2812" i="2"/>
  <c r="AK2812" i="2"/>
  <c r="A2813" i="2"/>
  <c r="B2813" i="2"/>
  <c r="C2813" i="2"/>
  <c r="D2813" i="2"/>
  <c r="E2813" i="2"/>
  <c r="F2813" i="2"/>
  <c r="G2813" i="2"/>
  <c r="H2813" i="2"/>
  <c r="I2813" i="2"/>
  <c r="J2813" i="2"/>
  <c r="K2813" i="2"/>
  <c r="L2813" i="2"/>
  <c r="M2813" i="2"/>
  <c r="N2813" i="2"/>
  <c r="O2813" i="2"/>
  <c r="P2813" i="2"/>
  <c r="Q2813" i="2"/>
  <c r="R2813" i="2"/>
  <c r="S2813" i="2"/>
  <c r="T2813" i="2"/>
  <c r="U2813" i="2"/>
  <c r="V2813" i="2"/>
  <c r="W2813" i="2"/>
  <c r="X2813" i="2"/>
  <c r="Y2813" i="2"/>
  <c r="Z2813" i="2"/>
  <c r="AA2813" i="2"/>
  <c r="AB2813" i="2"/>
  <c r="AC2813" i="2"/>
  <c r="AD2813" i="2"/>
  <c r="AE2813" i="2"/>
  <c r="AF2813" i="2"/>
  <c r="AG2813" i="2"/>
  <c r="AH2813" i="2"/>
  <c r="AI2813" i="2"/>
  <c r="AJ2813" i="2"/>
  <c r="AK2813" i="2"/>
  <c r="A2814" i="2"/>
  <c r="B2814" i="2"/>
  <c r="C2814" i="2"/>
  <c r="D2814" i="2"/>
  <c r="E2814" i="2"/>
  <c r="F2814" i="2"/>
  <c r="G2814" i="2"/>
  <c r="H2814" i="2"/>
  <c r="I2814" i="2"/>
  <c r="J2814" i="2"/>
  <c r="K2814" i="2"/>
  <c r="L2814" i="2"/>
  <c r="M2814" i="2"/>
  <c r="N2814" i="2"/>
  <c r="O2814" i="2"/>
  <c r="P2814" i="2"/>
  <c r="Q2814" i="2"/>
  <c r="R2814" i="2"/>
  <c r="S2814" i="2"/>
  <c r="T2814" i="2"/>
  <c r="U2814" i="2"/>
  <c r="V2814" i="2"/>
  <c r="W2814" i="2"/>
  <c r="X2814" i="2"/>
  <c r="Y2814" i="2"/>
  <c r="Z2814" i="2"/>
  <c r="AA2814" i="2"/>
  <c r="AB2814" i="2"/>
  <c r="AC2814" i="2"/>
  <c r="AD2814" i="2"/>
  <c r="AE2814" i="2"/>
  <c r="AF2814" i="2"/>
  <c r="AG2814" i="2"/>
  <c r="AH2814" i="2"/>
  <c r="AI2814" i="2"/>
  <c r="AJ2814" i="2"/>
  <c r="AK2814" i="2"/>
  <c r="A2815" i="2"/>
  <c r="B2815" i="2"/>
  <c r="C2815" i="2"/>
  <c r="D2815" i="2"/>
  <c r="E2815" i="2"/>
  <c r="F2815" i="2"/>
  <c r="G2815" i="2"/>
  <c r="H2815" i="2"/>
  <c r="I2815" i="2"/>
  <c r="J2815" i="2"/>
  <c r="K2815" i="2"/>
  <c r="L2815" i="2"/>
  <c r="M2815" i="2"/>
  <c r="N2815" i="2"/>
  <c r="O2815" i="2"/>
  <c r="P2815" i="2"/>
  <c r="Q2815" i="2"/>
  <c r="R2815" i="2"/>
  <c r="S2815" i="2"/>
  <c r="T2815" i="2"/>
  <c r="U2815" i="2"/>
  <c r="V2815" i="2"/>
  <c r="W2815" i="2"/>
  <c r="X2815" i="2"/>
  <c r="Y2815" i="2"/>
  <c r="Z2815" i="2"/>
  <c r="AA2815" i="2"/>
  <c r="AB2815" i="2"/>
  <c r="AC2815" i="2"/>
  <c r="AD2815" i="2"/>
  <c r="AE2815" i="2"/>
  <c r="AF2815" i="2"/>
  <c r="AG2815" i="2"/>
  <c r="AH2815" i="2"/>
  <c r="AI2815" i="2"/>
  <c r="AJ2815" i="2"/>
  <c r="AK2815" i="2"/>
  <c r="A2816" i="2"/>
  <c r="B2816" i="2"/>
  <c r="C2816" i="2"/>
  <c r="D2816" i="2"/>
  <c r="E2816" i="2"/>
  <c r="F2816" i="2"/>
  <c r="G2816" i="2"/>
  <c r="H2816" i="2"/>
  <c r="I2816" i="2"/>
  <c r="J2816" i="2"/>
  <c r="K2816" i="2"/>
  <c r="L2816" i="2"/>
  <c r="M2816" i="2"/>
  <c r="N2816" i="2"/>
  <c r="O2816" i="2"/>
  <c r="P2816" i="2"/>
  <c r="Q2816" i="2"/>
  <c r="R2816" i="2"/>
  <c r="S2816" i="2"/>
  <c r="T2816" i="2"/>
  <c r="U2816" i="2"/>
  <c r="V2816" i="2"/>
  <c r="W2816" i="2"/>
  <c r="X2816" i="2"/>
  <c r="Y2816" i="2"/>
  <c r="Z2816" i="2"/>
  <c r="AA2816" i="2"/>
  <c r="AB2816" i="2"/>
  <c r="AC2816" i="2"/>
  <c r="AD2816" i="2"/>
  <c r="AE2816" i="2"/>
  <c r="AF2816" i="2"/>
  <c r="AG2816" i="2"/>
  <c r="AH2816" i="2"/>
  <c r="AI2816" i="2"/>
  <c r="AJ2816" i="2"/>
  <c r="AK2816" i="2"/>
  <c r="A2817" i="2"/>
  <c r="B2817" i="2"/>
  <c r="C2817" i="2"/>
  <c r="D2817" i="2"/>
  <c r="E2817" i="2"/>
  <c r="F2817" i="2"/>
  <c r="G2817" i="2"/>
  <c r="H2817" i="2"/>
  <c r="I2817" i="2"/>
  <c r="J2817" i="2"/>
  <c r="K2817" i="2"/>
  <c r="L2817" i="2"/>
  <c r="M2817" i="2"/>
  <c r="N2817" i="2"/>
  <c r="O2817" i="2"/>
  <c r="P2817" i="2"/>
  <c r="Q2817" i="2"/>
  <c r="R2817" i="2"/>
  <c r="S2817" i="2"/>
  <c r="T2817" i="2"/>
  <c r="U2817" i="2"/>
  <c r="V2817" i="2"/>
  <c r="W2817" i="2"/>
  <c r="X2817" i="2"/>
  <c r="Y2817" i="2"/>
  <c r="Z2817" i="2"/>
  <c r="AA2817" i="2"/>
  <c r="AB2817" i="2"/>
  <c r="AC2817" i="2"/>
  <c r="AD2817" i="2"/>
  <c r="AE2817" i="2"/>
  <c r="AF2817" i="2"/>
  <c r="AG2817" i="2"/>
  <c r="AH2817" i="2"/>
  <c r="AI2817" i="2"/>
  <c r="AJ2817" i="2"/>
  <c r="AK2817" i="2"/>
  <c r="A2818" i="2"/>
  <c r="B2818" i="2"/>
  <c r="C2818" i="2"/>
  <c r="D2818" i="2"/>
  <c r="E2818" i="2"/>
  <c r="F2818" i="2"/>
  <c r="G2818" i="2"/>
  <c r="H2818" i="2"/>
  <c r="I2818" i="2"/>
  <c r="J2818" i="2"/>
  <c r="K2818" i="2"/>
  <c r="L2818" i="2"/>
  <c r="M2818" i="2"/>
  <c r="N2818" i="2"/>
  <c r="O2818" i="2"/>
  <c r="P2818" i="2"/>
  <c r="Q2818" i="2"/>
  <c r="R2818" i="2"/>
  <c r="S2818" i="2"/>
  <c r="T2818" i="2"/>
  <c r="U2818" i="2"/>
  <c r="V2818" i="2"/>
  <c r="W2818" i="2"/>
  <c r="X2818" i="2"/>
  <c r="Y2818" i="2"/>
  <c r="Z2818" i="2"/>
  <c r="AA2818" i="2"/>
  <c r="AB2818" i="2"/>
  <c r="AC2818" i="2"/>
  <c r="AD2818" i="2"/>
  <c r="AE2818" i="2"/>
  <c r="AF2818" i="2"/>
  <c r="AG2818" i="2"/>
  <c r="AH2818" i="2"/>
  <c r="AI2818" i="2"/>
  <c r="AJ2818" i="2"/>
  <c r="AK2818" i="2"/>
  <c r="A2819" i="2"/>
  <c r="B2819" i="2"/>
  <c r="C2819" i="2"/>
  <c r="D2819" i="2"/>
  <c r="E2819" i="2"/>
  <c r="F2819" i="2"/>
  <c r="G2819" i="2"/>
  <c r="H2819" i="2"/>
  <c r="I2819" i="2"/>
  <c r="J2819" i="2"/>
  <c r="K2819" i="2"/>
  <c r="L2819" i="2"/>
  <c r="M2819" i="2"/>
  <c r="N2819" i="2"/>
  <c r="O2819" i="2"/>
  <c r="P2819" i="2"/>
  <c r="Q2819" i="2"/>
  <c r="R2819" i="2"/>
  <c r="S2819" i="2"/>
  <c r="T2819" i="2"/>
  <c r="U2819" i="2"/>
  <c r="V2819" i="2"/>
  <c r="W2819" i="2"/>
  <c r="X2819" i="2"/>
  <c r="Y2819" i="2"/>
  <c r="Z2819" i="2"/>
  <c r="AA2819" i="2"/>
  <c r="AB2819" i="2"/>
  <c r="AC2819" i="2"/>
  <c r="AD2819" i="2"/>
  <c r="AE2819" i="2"/>
  <c r="AF2819" i="2"/>
  <c r="AG2819" i="2"/>
  <c r="AH2819" i="2"/>
  <c r="AI2819" i="2"/>
  <c r="AJ2819" i="2"/>
  <c r="AK2819" i="2"/>
  <c r="A2820" i="2"/>
  <c r="B2820" i="2"/>
  <c r="C2820" i="2"/>
  <c r="D2820" i="2"/>
  <c r="E2820" i="2"/>
  <c r="F2820" i="2"/>
  <c r="G2820" i="2"/>
  <c r="H2820" i="2"/>
  <c r="I2820" i="2"/>
  <c r="J2820" i="2"/>
  <c r="K2820" i="2"/>
  <c r="L2820" i="2"/>
  <c r="M2820" i="2"/>
  <c r="N2820" i="2"/>
  <c r="O2820" i="2"/>
  <c r="P2820" i="2"/>
  <c r="Q2820" i="2"/>
  <c r="R2820" i="2"/>
  <c r="S2820" i="2"/>
  <c r="T2820" i="2"/>
  <c r="U2820" i="2"/>
  <c r="V2820" i="2"/>
  <c r="W2820" i="2"/>
  <c r="X2820" i="2"/>
  <c r="Y2820" i="2"/>
  <c r="Z2820" i="2"/>
  <c r="AA2820" i="2"/>
  <c r="AB2820" i="2"/>
  <c r="AC2820" i="2"/>
  <c r="AD2820" i="2"/>
  <c r="AE2820" i="2"/>
  <c r="AF2820" i="2"/>
  <c r="AG2820" i="2"/>
  <c r="AH2820" i="2"/>
  <c r="AI2820" i="2"/>
  <c r="AJ2820" i="2"/>
  <c r="AK2820" i="2"/>
  <c r="A2821" i="2"/>
  <c r="B2821" i="2"/>
  <c r="C2821" i="2"/>
  <c r="D2821" i="2"/>
  <c r="E2821" i="2"/>
  <c r="F2821" i="2"/>
  <c r="G2821" i="2"/>
  <c r="H2821" i="2"/>
  <c r="I2821" i="2"/>
  <c r="J2821" i="2"/>
  <c r="K2821" i="2"/>
  <c r="L2821" i="2"/>
  <c r="M2821" i="2"/>
  <c r="N2821" i="2"/>
  <c r="O2821" i="2"/>
  <c r="P2821" i="2"/>
  <c r="Q2821" i="2"/>
  <c r="R2821" i="2"/>
  <c r="S2821" i="2"/>
  <c r="T2821" i="2"/>
  <c r="U2821" i="2"/>
  <c r="V2821" i="2"/>
  <c r="W2821" i="2"/>
  <c r="X2821" i="2"/>
  <c r="Y2821" i="2"/>
  <c r="Z2821" i="2"/>
  <c r="AA2821" i="2"/>
  <c r="AB2821" i="2"/>
  <c r="AC2821" i="2"/>
  <c r="AD2821" i="2"/>
  <c r="AE2821" i="2"/>
  <c r="AF2821" i="2"/>
  <c r="AG2821" i="2"/>
  <c r="AH2821" i="2"/>
  <c r="AI2821" i="2"/>
  <c r="AJ2821" i="2"/>
  <c r="AK2821" i="2"/>
  <c r="A2822" i="2"/>
  <c r="B2822" i="2"/>
  <c r="C2822" i="2"/>
  <c r="D2822" i="2"/>
  <c r="E2822" i="2"/>
  <c r="F2822" i="2"/>
  <c r="G2822" i="2"/>
  <c r="H2822" i="2"/>
  <c r="I2822" i="2"/>
  <c r="J2822" i="2"/>
  <c r="K2822" i="2"/>
  <c r="L2822" i="2"/>
  <c r="M2822" i="2"/>
  <c r="N2822" i="2"/>
  <c r="O2822" i="2"/>
  <c r="P2822" i="2"/>
  <c r="Q2822" i="2"/>
  <c r="R2822" i="2"/>
  <c r="S2822" i="2"/>
  <c r="T2822" i="2"/>
  <c r="U2822" i="2"/>
  <c r="V2822" i="2"/>
  <c r="W2822" i="2"/>
  <c r="X2822" i="2"/>
  <c r="Y2822" i="2"/>
  <c r="Z2822" i="2"/>
  <c r="AA2822" i="2"/>
  <c r="AB2822" i="2"/>
  <c r="AC2822" i="2"/>
  <c r="AD2822" i="2"/>
  <c r="AE2822" i="2"/>
  <c r="AF2822" i="2"/>
  <c r="AG2822" i="2"/>
  <c r="AH2822" i="2"/>
  <c r="AI2822" i="2"/>
  <c r="AJ2822" i="2"/>
  <c r="AK2822" i="2"/>
  <c r="A2823" i="2"/>
  <c r="B2823" i="2"/>
  <c r="C2823" i="2"/>
  <c r="D2823" i="2"/>
  <c r="E2823" i="2"/>
  <c r="F2823" i="2"/>
  <c r="G2823" i="2"/>
  <c r="H2823" i="2"/>
  <c r="I2823" i="2"/>
  <c r="J2823" i="2"/>
  <c r="K2823" i="2"/>
  <c r="L2823" i="2"/>
  <c r="M2823" i="2"/>
  <c r="N2823" i="2"/>
  <c r="O2823" i="2"/>
  <c r="P2823" i="2"/>
  <c r="Q2823" i="2"/>
  <c r="R2823" i="2"/>
  <c r="S2823" i="2"/>
  <c r="T2823" i="2"/>
  <c r="U2823" i="2"/>
  <c r="V2823" i="2"/>
  <c r="W2823" i="2"/>
  <c r="X2823" i="2"/>
  <c r="Y2823" i="2"/>
  <c r="Z2823" i="2"/>
  <c r="AA2823" i="2"/>
  <c r="AB2823" i="2"/>
  <c r="AC2823" i="2"/>
  <c r="AD2823" i="2"/>
  <c r="AE2823" i="2"/>
  <c r="AF2823" i="2"/>
  <c r="AG2823" i="2"/>
  <c r="AH2823" i="2"/>
  <c r="AI2823" i="2"/>
  <c r="AJ2823" i="2"/>
  <c r="AK2823" i="2"/>
  <c r="A2824" i="2"/>
  <c r="B2824" i="2"/>
  <c r="C2824" i="2"/>
  <c r="D2824" i="2"/>
  <c r="E2824" i="2"/>
  <c r="F2824" i="2"/>
  <c r="G2824" i="2"/>
  <c r="H2824" i="2"/>
  <c r="I2824" i="2"/>
  <c r="J2824" i="2"/>
  <c r="K2824" i="2"/>
  <c r="L2824" i="2"/>
  <c r="M2824" i="2"/>
  <c r="N2824" i="2"/>
  <c r="O2824" i="2"/>
  <c r="P2824" i="2"/>
  <c r="Q2824" i="2"/>
  <c r="R2824" i="2"/>
  <c r="S2824" i="2"/>
  <c r="T2824" i="2"/>
  <c r="U2824" i="2"/>
  <c r="V2824" i="2"/>
  <c r="W2824" i="2"/>
  <c r="X2824" i="2"/>
  <c r="Y2824" i="2"/>
  <c r="Z2824" i="2"/>
  <c r="AA2824" i="2"/>
  <c r="AB2824" i="2"/>
  <c r="AC2824" i="2"/>
  <c r="AD2824" i="2"/>
  <c r="AE2824" i="2"/>
  <c r="AF2824" i="2"/>
  <c r="AG2824" i="2"/>
  <c r="AH2824" i="2"/>
  <c r="AI2824" i="2"/>
  <c r="AJ2824" i="2"/>
  <c r="AK2824" i="2"/>
  <c r="A2825" i="2"/>
  <c r="B2825" i="2"/>
  <c r="C2825" i="2"/>
  <c r="D2825" i="2"/>
  <c r="E2825" i="2"/>
  <c r="F2825" i="2"/>
  <c r="G2825" i="2"/>
  <c r="H2825" i="2"/>
  <c r="I2825" i="2"/>
  <c r="J2825" i="2"/>
  <c r="K2825" i="2"/>
  <c r="L2825" i="2"/>
  <c r="M2825" i="2"/>
  <c r="N2825" i="2"/>
  <c r="O2825" i="2"/>
  <c r="P2825" i="2"/>
  <c r="Q2825" i="2"/>
  <c r="R2825" i="2"/>
  <c r="S2825" i="2"/>
  <c r="T2825" i="2"/>
  <c r="U2825" i="2"/>
  <c r="V2825" i="2"/>
  <c r="W2825" i="2"/>
  <c r="X2825" i="2"/>
  <c r="Y2825" i="2"/>
  <c r="Z2825" i="2"/>
  <c r="AA2825" i="2"/>
  <c r="AB2825" i="2"/>
  <c r="AC2825" i="2"/>
  <c r="AD2825" i="2"/>
  <c r="AE2825" i="2"/>
  <c r="AF2825" i="2"/>
  <c r="AG2825" i="2"/>
  <c r="AH2825" i="2"/>
  <c r="AI2825" i="2"/>
  <c r="AJ2825" i="2"/>
  <c r="AK2825" i="2"/>
  <c r="A2826" i="2"/>
  <c r="B2826" i="2"/>
  <c r="C2826" i="2"/>
  <c r="D2826" i="2"/>
  <c r="E2826" i="2"/>
  <c r="F2826" i="2"/>
  <c r="G2826" i="2"/>
  <c r="H2826" i="2"/>
  <c r="I2826" i="2"/>
  <c r="J2826" i="2"/>
  <c r="K2826" i="2"/>
  <c r="L2826" i="2"/>
  <c r="M2826" i="2"/>
  <c r="N2826" i="2"/>
  <c r="O2826" i="2"/>
  <c r="P2826" i="2"/>
  <c r="Q2826" i="2"/>
  <c r="R2826" i="2"/>
  <c r="S2826" i="2"/>
  <c r="T2826" i="2"/>
  <c r="U2826" i="2"/>
  <c r="V2826" i="2"/>
  <c r="W2826" i="2"/>
  <c r="X2826" i="2"/>
  <c r="Y2826" i="2"/>
  <c r="Z2826" i="2"/>
  <c r="AA2826" i="2"/>
  <c r="AB2826" i="2"/>
  <c r="AC2826" i="2"/>
  <c r="AD2826" i="2"/>
  <c r="AE2826" i="2"/>
  <c r="AF2826" i="2"/>
  <c r="AG2826" i="2"/>
  <c r="AH2826" i="2"/>
  <c r="AI2826" i="2"/>
  <c r="AJ2826" i="2"/>
  <c r="AK2826" i="2"/>
  <c r="A2827" i="2"/>
  <c r="B2827" i="2"/>
  <c r="C2827" i="2"/>
  <c r="D2827" i="2"/>
  <c r="E2827" i="2"/>
  <c r="F2827" i="2"/>
  <c r="G2827" i="2"/>
  <c r="H2827" i="2"/>
  <c r="I2827" i="2"/>
  <c r="J2827" i="2"/>
  <c r="K2827" i="2"/>
  <c r="L2827" i="2"/>
  <c r="M2827" i="2"/>
  <c r="N2827" i="2"/>
  <c r="O2827" i="2"/>
  <c r="P2827" i="2"/>
  <c r="Q2827" i="2"/>
  <c r="R2827" i="2"/>
  <c r="S2827" i="2"/>
  <c r="T2827" i="2"/>
  <c r="U2827" i="2"/>
  <c r="V2827" i="2"/>
  <c r="W2827" i="2"/>
  <c r="X2827" i="2"/>
  <c r="Y2827" i="2"/>
  <c r="Z2827" i="2"/>
  <c r="AA2827" i="2"/>
  <c r="AB2827" i="2"/>
  <c r="AC2827" i="2"/>
  <c r="AD2827" i="2"/>
  <c r="AE2827" i="2"/>
  <c r="AF2827" i="2"/>
  <c r="AG2827" i="2"/>
  <c r="AH2827" i="2"/>
  <c r="AI2827" i="2"/>
  <c r="AJ2827" i="2"/>
  <c r="AK2827" i="2"/>
  <c r="A2828" i="2"/>
  <c r="B2828" i="2"/>
  <c r="C2828" i="2"/>
  <c r="D2828" i="2"/>
  <c r="E2828" i="2"/>
  <c r="F2828" i="2"/>
  <c r="G2828" i="2"/>
  <c r="H2828" i="2"/>
  <c r="I2828" i="2"/>
  <c r="J2828" i="2"/>
  <c r="K2828" i="2"/>
  <c r="L2828" i="2"/>
  <c r="M2828" i="2"/>
  <c r="N2828" i="2"/>
  <c r="O2828" i="2"/>
  <c r="P2828" i="2"/>
  <c r="Q2828" i="2"/>
  <c r="R2828" i="2"/>
  <c r="S2828" i="2"/>
  <c r="T2828" i="2"/>
  <c r="U2828" i="2"/>
  <c r="V2828" i="2"/>
  <c r="W2828" i="2"/>
  <c r="X2828" i="2"/>
  <c r="Y2828" i="2"/>
  <c r="Z2828" i="2"/>
  <c r="AA2828" i="2"/>
  <c r="AB2828" i="2"/>
  <c r="AC2828" i="2"/>
  <c r="AD2828" i="2"/>
  <c r="AE2828" i="2"/>
  <c r="AF2828" i="2"/>
  <c r="AG2828" i="2"/>
  <c r="AH2828" i="2"/>
  <c r="AI2828" i="2"/>
  <c r="AJ2828" i="2"/>
  <c r="AK2828" i="2"/>
  <c r="A2829" i="2"/>
  <c r="B2829" i="2"/>
  <c r="C2829" i="2"/>
  <c r="D2829" i="2"/>
  <c r="E2829" i="2"/>
  <c r="F2829" i="2"/>
  <c r="G2829" i="2"/>
  <c r="H2829" i="2"/>
  <c r="I2829" i="2"/>
  <c r="J2829" i="2"/>
  <c r="K2829" i="2"/>
  <c r="L2829" i="2"/>
  <c r="M2829" i="2"/>
  <c r="N2829" i="2"/>
  <c r="O2829" i="2"/>
  <c r="P2829" i="2"/>
  <c r="Q2829" i="2"/>
  <c r="R2829" i="2"/>
  <c r="S2829" i="2"/>
  <c r="T2829" i="2"/>
  <c r="U2829" i="2"/>
  <c r="V2829" i="2"/>
  <c r="W2829" i="2"/>
  <c r="X2829" i="2"/>
  <c r="Y2829" i="2"/>
  <c r="Z2829" i="2"/>
  <c r="AA2829" i="2"/>
  <c r="AB2829" i="2"/>
  <c r="AC2829" i="2"/>
  <c r="AD2829" i="2"/>
  <c r="AE2829" i="2"/>
  <c r="AF2829" i="2"/>
  <c r="AG2829" i="2"/>
  <c r="AH2829" i="2"/>
  <c r="AI2829" i="2"/>
  <c r="AJ2829" i="2"/>
  <c r="AK2829" i="2"/>
  <c r="A2830" i="2"/>
  <c r="B2830" i="2"/>
  <c r="C2830" i="2"/>
  <c r="D2830" i="2"/>
  <c r="E2830" i="2"/>
  <c r="F2830" i="2"/>
  <c r="G2830" i="2"/>
  <c r="H2830" i="2"/>
  <c r="I2830" i="2"/>
  <c r="J2830" i="2"/>
  <c r="K2830" i="2"/>
  <c r="L2830" i="2"/>
  <c r="M2830" i="2"/>
  <c r="N2830" i="2"/>
  <c r="O2830" i="2"/>
  <c r="P2830" i="2"/>
  <c r="Q2830" i="2"/>
  <c r="R2830" i="2"/>
  <c r="S2830" i="2"/>
  <c r="T2830" i="2"/>
  <c r="U2830" i="2"/>
  <c r="V2830" i="2"/>
  <c r="W2830" i="2"/>
  <c r="X2830" i="2"/>
  <c r="Y2830" i="2"/>
  <c r="Z2830" i="2"/>
  <c r="AA2830" i="2"/>
  <c r="AB2830" i="2"/>
  <c r="AC2830" i="2"/>
  <c r="AD2830" i="2"/>
  <c r="AE2830" i="2"/>
  <c r="AF2830" i="2"/>
  <c r="AG2830" i="2"/>
  <c r="AH2830" i="2"/>
  <c r="AI2830" i="2"/>
  <c r="AJ2830" i="2"/>
  <c r="AK2830" i="2"/>
  <c r="A2831" i="2"/>
  <c r="B2831" i="2"/>
  <c r="C2831" i="2"/>
  <c r="D2831" i="2"/>
  <c r="E2831" i="2"/>
  <c r="F2831" i="2"/>
  <c r="G2831" i="2"/>
  <c r="H2831" i="2"/>
  <c r="I2831" i="2"/>
  <c r="J2831" i="2"/>
  <c r="K2831" i="2"/>
  <c r="L2831" i="2"/>
  <c r="M2831" i="2"/>
  <c r="N2831" i="2"/>
  <c r="O2831" i="2"/>
  <c r="P2831" i="2"/>
  <c r="Q2831" i="2"/>
  <c r="R2831" i="2"/>
  <c r="S2831" i="2"/>
  <c r="T2831" i="2"/>
  <c r="U2831" i="2"/>
  <c r="V2831" i="2"/>
  <c r="W2831" i="2"/>
  <c r="X2831" i="2"/>
  <c r="Y2831" i="2"/>
  <c r="Z2831" i="2"/>
  <c r="AA2831" i="2"/>
  <c r="AB2831" i="2"/>
  <c r="AC2831" i="2"/>
  <c r="AD2831" i="2"/>
  <c r="AE2831" i="2"/>
  <c r="AF2831" i="2"/>
  <c r="AG2831" i="2"/>
  <c r="AH2831" i="2"/>
  <c r="AI2831" i="2"/>
  <c r="AJ2831" i="2"/>
  <c r="AK2831" i="2"/>
  <c r="A2832" i="2"/>
  <c r="B2832" i="2"/>
  <c r="C2832" i="2"/>
  <c r="D2832" i="2"/>
  <c r="E2832" i="2"/>
  <c r="F2832" i="2"/>
  <c r="G2832" i="2"/>
  <c r="H2832" i="2"/>
  <c r="I2832" i="2"/>
  <c r="J2832" i="2"/>
  <c r="K2832" i="2"/>
  <c r="L2832" i="2"/>
  <c r="M2832" i="2"/>
  <c r="N2832" i="2"/>
  <c r="O2832" i="2"/>
  <c r="P2832" i="2"/>
  <c r="Q2832" i="2"/>
  <c r="R2832" i="2"/>
  <c r="S2832" i="2"/>
  <c r="T2832" i="2"/>
  <c r="U2832" i="2"/>
  <c r="V2832" i="2"/>
  <c r="W2832" i="2"/>
  <c r="X2832" i="2"/>
  <c r="Y2832" i="2"/>
  <c r="Z2832" i="2"/>
  <c r="AA2832" i="2"/>
  <c r="AB2832" i="2"/>
  <c r="AC2832" i="2"/>
  <c r="AD2832" i="2"/>
  <c r="AE2832" i="2"/>
  <c r="AF2832" i="2"/>
  <c r="AG2832" i="2"/>
  <c r="AH2832" i="2"/>
  <c r="AI2832" i="2"/>
  <c r="AJ2832" i="2"/>
  <c r="AK2832" i="2"/>
  <c r="A2833" i="2"/>
  <c r="B2833" i="2"/>
  <c r="C2833" i="2"/>
  <c r="D2833" i="2"/>
  <c r="E2833" i="2"/>
  <c r="F2833" i="2"/>
  <c r="G2833" i="2"/>
  <c r="H2833" i="2"/>
  <c r="I2833" i="2"/>
  <c r="J2833" i="2"/>
  <c r="K2833" i="2"/>
  <c r="L2833" i="2"/>
  <c r="M2833" i="2"/>
  <c r="N2833" i="2"/>
  <c r="O2833" i="2"/>
  <c r="P2833" i="2"/>
  <c r="Q2833" i="2"/>
  <c r="R2833" i="2"/>
  <c r="S2833" i="2"/>
  <c r="T2833" i="2"/>
  <c r="U2833" i="2"/>
  <c r="V2833" i="2"/>
  <c r="W2833" i="2"/>
  <c r="X2833" i="2"/>
  <c r="Y2833" i="2"/>
  <c r="Z2833" i="2"/>
  <c r="AA2833" i="2"/>
  <c r="AB2833" i="2"/>
  <c r="AC2833" i="2"/>
  <c r="AD2833" i="2"/>
  <c r="AE2833" i="2"/>
  <c r="AF2833" i="2"/>
  <c r="AG2833" i="2"/>
  <c r="AH2833" i="2"/>
  <c r="AI2833" i="2"/>
  <c r="AJ2833" i="2"/>
  <c r="AK2833" i="2"/>
  <c r="A2834" i="2"/>
  <c r="B2834" i="2"/>
  <c r="C2834" i="2"/>
  <c r="D2834" i="2"/>
  <c r="E2834" i="2"/>
  <c r="F2834" i="2"/>
  <c r="G2834" i="2"/>
  <c r="H2834" i="2"/>
  <c r="I2834" i="2"/>
  <c r="J2834" i="2"/>
  <c r="K2834" i="2"/>
  <c r="L2834" i="2"/>
  <c r="M2834" i="2"/>
  <c r="N2834" i="2"/>
  <c r="O2834" i="2"/>
  <c r="P2834" i="2"/>
  <c r="Q2834" i="2"/>
  <c r="R2834" i="2"/>
  <c r="S2834" i="2"/>
  <c r="T2834" i="2"/>
  <c r="U2834" i="2"/>
  <c r="V2834" i="2"/>
  <c r="W2834" i="2"/>
  <c r="X2834" i="2"/>
  <c r="Y2834" i="2"/>
  <c r="Z2834" i="2"/>
  <c r="AA2834" i="2"/>
  <c r="AB2834" i="2"/>
  <c r="AC2834" i="2"/>
  <c r="AD2834" i="2"/>
  <c r="AE2834" i="2"/>
  <c r="AF2834" i="2"/>
  <c r="AG2834" i="2"/>
  <c r="AH2834" i="2"/>
  <c r="AI2834" i="2"/>
  <c r="AJ2834" i="2"/>
  <c r="AK2834" i="2"/>
  <c r="A2835" i="2"/>
  <c r="B2835" i="2"/>
  <c r="C2835" i="2"/>
  <c r="D2835" i="2"/>
  <c r="E2835" i="2"/>
  <c r="F2835" i="2"/>
  <c r="G2835" i="2"/>
  <c r="H2835" i="2"/>
  <c r="I2835" i="2"/>
  <c r="J2835" i="2"/>
  <c r="K2835" i="2"/>
  <c r="L2835" i="2"/>
  <c r="M2835" i="2"/>
  <c r="N2835" i="2"/>
  <c r="O2835" i="2"/>
  <c r="P2835" i="2"/>
  <c r="Q2835" i="2"/>
  <c r="R2835" i="2"/>
  <c r="S2835" i="2"/>
  <c r="T2835" i="2"/>
  <c r="U2835" i="2"/>
  <c r="V2835" i="2"/>
  <c r="W2835" i="2"/>
  <c r="X2835" i="2"/>
  <c r="Y2835" i="2"/>
  <c r="Z2835" i="2"/>
  <c r="AA2835" i="2"/>
  <c r="AB2835" i="2"/>
  <c r="AC2835" i="2"/>
  <c r="AD2835" i="2"/>
  <c r="AE2835" i="2"/>
  <c r="AF2835" i="2"/>
  <c r="AG2835" i="2"/>
  <c r="AH2835" i="2"/>
  <c r="AI2835" i="2"/>
  <c r="AJ2835" i="2"/>
  <c r="AK2835" i="2"/>
  <c r="A2836" i="2"/>
  <c r="B2836" i="2"/>
  <c r="C2836" i="2"/>
  <c r="D2836" i="2"/>
  <c r="E2836" i="2"/>
  <c r="F2836" i="2"/>
  <c r="G2836" i="2"/>
  <c r="H2836" i="2"/>
  <c r="I2836" i="2"/>
  <c r="J2836" i="2"/>
  <c r="K2836" i="2"/>
  <c r="L2836" i="2"/>
  <c r="M2836" i="2"/>
  <c r="N2836" i="2"/>
  <c r="O2836" i="2"/>
  <c r="P2836" i="2"/>
  <c r="Q2836" i="2"/>
  <c r="R2836" i="2"/>
  <c r="S2836" i="2"/>
  <c r="T2836" i="2"/>
  <c r="U2836" i="2"/>
  <c r="V2836" i="2"/>
  <c r="W2836" i="2"/>
  <c r="X2836" i="2"/>
  <c r="Y2836" i="2"/>
  <c r="Z2836" i="2"/>
  <c r="AA2836" i="2"/>
  <c r="AB2836" i="2"/>
  <c r="AC2836" i="2"/>
  <c r="AD2836" i="2"/>
  <c r="AE2836" i="2"/>
  <c r="AF2836" i="2"/>
  <c r="AG2836" i="2"/>
  <c r="AH2836" i="2"/>
  <c r="AI2836" i="2"/>
  <c r="AJ2836" i="2"/>
  <c r="AK2836" i="2"/>
  <c r="A2837" i="2"/>
  <c r="B2837" i="2"/>
  <c r="C2837" i="2"/>
  <c r="D2837" i="2"/>
  <c r="E2837" i="2"/>
  <c r="F2837" i="2"/>
  <c r="G2837" i="2"/>
  <c r="H2837" i="2"/>
  <c r="I2837" i="2"/>
  <c r="J2837" i="2"/>
  <c r="K2837" i="2"/>
  <c r="L2837" i="2"/>
  <c r="M2837" i="2"/>
  <c r="N2837" i="2"/>
  <c r="O2837" i="2"/>
  <c r="P2837" i="2"/>
  <c r="Q2837" i="2"/>
  <c r="R2837" i="2"/>
  <c r="S2837" i="2"/>
  <c r="T2837" i="2"/>
  <c r="U2837" i="2"/>
  <c r="V2837" i="2"/>
  <c r="W2837" i="2"/>
  <c r="X2837" i="2"/>
  <c r="Y2837" i="2"/>
  <c r="Z2837" i="2"/>
  <c r="AA2837" i="2"/>
  <c r="AB2837" i="2"/>
  <c r="AC2837" i="2"/>
  <c r="AD2837" i="2"/>
  <c r="AE2837" i="2"/>
  <c r="AF2837" i="2"/>
  <c r="AG2837" i="2"/>
  <c r="AH2837" i="2"/>
  <c r="AI2837" i="2"/>
  <c r="AJ2837" i="2"/>
  <c r="AK2837" i="2"/>
  <c r="A2838" i="2"/>
  <c r="B2838" i="2"/>
  <c r="C2838" i="2"/>
  <c r="D2838" i="2"/>
  <c r="E2838" i="2"/>
  <c r="F2838" i="2"/>
  <c r="G2838" i="2"/>
  <c r="H2838" i="2"/>
  <c r="I2838" i="2"/>
  <c r="J2838" i="2"/>
  <c r="K2838" i="2"/>
  <c r="L2838" i="2"/>
  <c r="M2838" i="2"/>
  <c r="N2838" i="2"/>
  <c r="O2838" i="2"/>
  <c r="P2838" i="2"/>
  <c r="Q2838" i="2"/>
  <c r="R2838" i="2"/>
  <c r="S2838" i="2"/>
  <c r="T2838" i="2"/>
  <c r="U2838" i="2"/>
  <c r="V2838" i="2"/>
  <c r="W2838" i="2"/>
  <c r="X2838" i="2"/>
  <c r="Y2838" i="2"/>
  <c r="Z2838" i="2"/>
  <c r="AA2838" i="2"/>
  <c r="AB2838" i="2"/>
  <c r="AC2838" i="2"/>
  <c r="AD2838" i="2"/>
  <c r="AE2838" i="2"/>
  <c r="AF2838" i="2"/>
  <c r="AG2838" i="2"/>
  <c r="AH2838" i="2"/>
  <c r="AI2838" i="2"/>
  <c r="AJ2838" i="2"/>
  <c r="AK2838" i="2"/>
  <c r="A2839" i="2"/>
  <c r="B2839" i="2"/>
  <c r="C2839" i="2"/>
  <c r="D2839" i="2"/>
  <c r="E2839" i="2"/>
  <c r="F2839" i="2"/>
  <c r="G2839" i="2"/>
  <c r="H2839" i="2"/>
  <c r="I2839" i="2"/>
  <c r="J2839" i="2"/>
  <c r="K2839" i="2"/>
  <c r="L2839" i="2"/>
  <c r="M2839" i="2"/>
  <c r="N2839" i="2"/>
  <c r="O2839" i="2"/>
  <c r="P2839" i="2"/>
  <c r="Q2839" i="2"/>
  <c r="R2839" i="2"/>
  <c r="S2839" i="2"/>
  <c r="T2839" i="2"/>
  <c r="U2839" i="2"/>
  <c r="V2839" i="2"/>
  <c r="W2839" i="2"/>
  <c r="X2839" i="2"/>
  <c r="Y2839" i="2"/>
  <c r="Z2839" i="2"/>
  <c r="AA2839" i="2"/>
  <c r="AB2839" i="2"/>
  <c r="AC2839" i="2"/>
  <c r="AD2839" i="2"/>
  <c r="AE2839" i="2"/>
  <c r="AF2839" i="2"/>
  <c r="AG2839" i="2"/>
  <c r="AH2839" i="2"/>
  <c r="AI2839" i="2"/>
  <c r="AJ2839" i="2"/>
  <c r="AK2839" i="2"/>
  <c r="A2840" i="2"/>
  <c r="B2840" i="2"/>
  <c r="C2840" i="2"/>
  <c r="D2840" i="2"/>
  <c r="E2840" i="2"/>
  <c r="F2840" i="2"/>
  <c r="G2840" i="2"/>
  <c r="H2840" i="2"/>
  <c r="I2840" i="2"/>
  <c r="J2840" i="2"/>
  <c r="K2840" i="2"/>
  <c r="L2840" i="2"/>
  <c r="M2840" i="2"/>
  <c r="N2840" i="2"/>
  <c r="O2840" i="2"/>
  <c r="P2840" i="2"/>
  <c r="Q2840" i="2"/>
  <c r="R2840" i="2"/>
  <c r="S2840" i="2"/>
  <c r="T2840" i="2"/>
  <c r="U2840" i="2"/>
  <c r="V2840" i="2"/>
  <c r="W2840" i="2"/>
  <c r="X2840" i="2"/>
  <c r="Y2840" i="2"/>
  <c r="Z2840" i="2"/>
  <c r="AA2840" i="2"/>
  <c r="AB2840" i="2"/>
  <c r="AC2840" i="2"/>
  <c r="AD2840" i="2"/>
  <c r="AE2840" i="2"/>
  <c r="AF2840" i="2"/>
  <c r="AG2840" i="2"/>
  <c r="AH2840" i="2"/>
  <c r="AI2840" i="2"/>
  <c r="AJ2840" i="2"/>
  <c r="AK2840" i="2"/>
  <c r="A2841" i="2"/>
  <c r="B2841" i="2"/>
  <c r="C2841" i="2"/>
  <c r="D2841" i="2"/>
  <c r="E2841" i="2"/>
  <c r="F2841" i="2"/>
  <c r="G2841" i="2"/>
  <c r="H2841" i="2"/>
  <c r="I2841" i="2"/>
  <c r="J2841" i="2"/>
  <c r="K2841" i="2"/>
  <c r="L2841" i="2"/>
  <c r="M2841" i="2"/>
  <c r="N2841" i="2"/>
  <c r="O2841" i="2"/>
  <c r="P2841" i="2"/>
  <c r="Q2841" i="2"/>
  <c r="R2841" i="2"/>
  <c r="S2841" i="2"/>
  <c r="T2841" i="2"/>
  <c r="U2841" i="2"/>
  <c r="V2841" i="2"/>
  <c r="W2841" i="2"/>
  <c r="X2841" i="2"/>
  <c r="Y2841" i="2"/>
  <c r="Z2841" i="2"/>
  <c r="AA2841" i="2"/>
  <c r="AB2841" i="2"/>
  <c r="AC2841" i="2"/>
  <c r="AD2841" i="2"/>
  <c r="AE2841" i="2"/>
  <c r="AF2841" i="2"/>
  <c r="AG2841" i="2"/>
  <c r="AH2841" i="2"/>
  <c r="AI2841" i="2"/>
  <c r="AJ2841" i="2"/>
  <c r="AK2841" i="2"/>
  <c r="A2842" i="2"/>
  <c r="B2842" i="2"/>
  <c r="C2842" i="2"/>
  <c r="D2842" i="2"/>
  <c r="E2842" i="2"/>
  <c r="F2842" i="2"/>
  <c r="G2842" i="2"/>
  <c r="H2842" i="2"/>
  <c r="I2842" i="2"/>
  <c r="J2842" i="2"/>
  <c r="K2842" i="2"/>
  <c r="L2842" i="2"/>
  <c r="M2842" i="2"/>
  <c r="N2842" i="2"/>
  <c r="O2842" i="2"/>
  <c r="P2842" i="2"/>
  <c r="Q2842" i="2"/>
  <c r="R2842" i="2"/>
  <c r="S2842" i="2"/>
  <c r="T2842" i="2"/>
  <c r="U2842" i="2"/>
  <c r="V2842" i="2"/>
  <c r="W2842" i="2"/>
  <c r="X2842" i="2"/>
  <c r="Y2842" i="2"/>
  <c r="Z2842" i="2"/>
  <c r="AA2842" i="2"/>
  <c r="AB2842" i="2"/>
  <c r="AC2842" i="2"/>
  <c r="AD2842" i="2"/>
  <c r="AE2842" i="2"/>
  <c r="AF2842" i="2"/>
  <c r="AG2842" i="2"/>
  <c r="AH2842" i="2"/>
  <c r="AI2842" i="2"/>
  <c r="AJ2842" i="2"/>
  <c r="AK2842" i="2"/>
  <c r="A2843" i="2"/>
  <c r="B2843" i="2"/>
  <c r="C2843" i="2"/>
  <c r="D2843" i="2"/>
  <c r="E2843" i="2"/>
  <c r="F2843" i="2"/>
  <c r="G2843" i="2"/>
  <c r="H2843" i="2"/>
  <c r="I2843" i="2"/>
  <c r="J2843" i="2"/>
  <c r="K2843" i="2"/>
  <c r="L2843" i="2"/>
  <c r="M2843" i="2"/>
  <c r="N2843" i="2"/>
  <c r="O2843" i="2"/>
  <c r="P2843" i="2"/>
  <c r="Q2843" i="2"/>
  <c r="R2843" i="2"/>
  <c r="S2843" i="2"/>
  <c r="T2843" i="2"/>
  <c r="U2843" i="2"/>
  <c r="V2843" i="2"/>
  <c r="W2843" i="2"/>
  <c r="X2843" i="2"/>
  <c r="Y2843" i="2"/>
  <c r="Z2843" i="2"/>
  <c r="AA2843" i="2"/>
  <c r="AB2843" i="2"/>
  <c r="AC2843" i="2"/>
  <c r="AD2843" i="2"/>
  <c r="AE2843" i="2"/>
  <c r="AF2843" i="2"/>
  <c r="AG2843" i="2"/>
  <c r="AH2843" i="2"/>
  <c r="AI2843" i="2"/>
  <c r="AJ2843" i="2"/>
  <c r="AK2843" i="2"/>
  <c r="A2844" i="2"/>
  <c r="B2844" i="2"/>
  <c r="C2844" i="2"/>
  <c r="D2844" i="2"/>
  <c r="E2844" i="2"/>
  <c r="F2844" i="2"/>
  <c r="G2844" i="2"/>
  <c r="H2844" i="2"/>
  <c r="I2844" i="2"/>
  <c r="J2844" i="2"/>
  <c r="K2844" i="2"/>
  <c r="L2844" i="2"/>
  <c r="M2844" i="2"/>
  <c r="N2844" i="2"/>
  <c r="O2844" i="2"/>
  <c r="P2844" i="2"/>
  <c r="Q2844" i="2"/>
  <c r="R2844" i="2"/>
  <c r="S2844" i="2"/>
  <c r="T2844" i="2"/>
  <c r="U2844" i="2"/>
  <c r="V2844" i="2"/>
  <c r="W2844" i="2"/>
  <c r="X2844" i="2"/>
  <c r="Y2844" i="2"/>
  <c r="Z2844" i="2"/>
  <c r="AA2844" i="2"/>
  <c r="AB2844" i="2"/>
  <c r="AC2844" i="2"/>
  <c r="AD2844" i="2"/>
  <c r="AE2844" i="2"/>
  <c r="AF2844" i="2"/>
  <c r="AG2844" i="2"/>
  <c r="AH2844" i="2"/>
  <c r="AI2844" i="2"/>
  <c r="AJ2844" i="2"/>
  <c r="AK2844" i="2"/>
  <c r="A2845" i="2"/>
  <c r="B2845" i="2"/>
  <c r="C2845" i="2"/>
  <c r="D2845" i="2"/>
  <c r="E2845" i="2"/>
  <c r="F2845" i="2"/>
  <c r="G2845" i="2"/>
  <c r="H2845" i="2"/>
  <c r="I2845" i="2"/>
  <c r="J2845" i="2"/>
  <c r="K2845" i="2"/>
  <c r="L2845" i="2"/>
  <c r="M2845" i="2"/>
  <c r="N2845" i="2"/>
  <c r="O2845" i="2"/>
  <c r="P2845" i="2"/>
  <c r="Q2845" i="2"/>
  <c r="R2845" i="2"/>
  <c r="S2845" i="2"/>
  <c r="T2845" i="2"/>
  <c r="U2845" i="2"/>
  <c r="V2845" i="2"/>
  <c r="W2845" i="2"/>
  <c r="X2845" i="2"/>
  <c r="Y2845" i="2"/>
  <c r="Z2845" i="2"/>
  <c r="AA2845" i="2"/>
  <c r="AB2845" i="2"/>
  <c r="AC2845" i="2"/>
  <c r="AD2845" i="2"/>
  <c r="AE2845" i="2"/>
  <c r="AF2845" i="2"/>
  <c r="AG2845" i="2"/>
  <c r="AH2845" i="2"/>
  <c r="AI2845" i="2"/>
  <c r="AJ2845" i="2"/>
  <c r="AK2845" i="2"/>
  <c r="A2846" i="2"/>
  <c r="B2846" i="2"/>
  <c r="C2846" i="2"/>
  <c r="D2846" i="2"/>
  <c r="E2846" i="2"/>
  <c r="F2846" i="2"/>
  <c r="G2846" i="2"/>
  <c r="H2846" i="2"/>
  <c r="I2846" i="2"/>
  <c r="J2846" i="2"/>
  <c r="K2846" i="2"/>
  <c r="L2846" i="2"/>
  <c r="M2846" i="2"/>
  <c r="N2846" i="2"/>
  <c r="O2846" i="2"/>
  <c r="P2846" i="2"/>
  <c r="Q2846" i="2"/>
  <c r="R2846" i="2"/>
  <c r="S2846" i="2"/>
  <c r="T2846" i="2"/>
  <c r="U2846" i="2"/>
  <c r="V2846" i="2"/>
  <c r="W2846" i="2"/>
  <c r="X2846" i="2"/>
  <c r="Y2846" i="2"/>
  <c r="Z2846" i="2"/>
  <c r="AA2846" i="2"/>
  <c r="AB2846" i="2"/>
  <c r="AC2846" i="2"/>
  <c r="AD2846" i="2"/>
  <c r="AE2846" i="2"/>
  <c r="AF2846" i="2"/>
  <c r="AG2846" i="2"/>
  <c r="AH2846" i="2"/>
  <c r="AI2846" i="2"/>
  <c r="AJ2846" i="2"/>
  <c r="AK2846" i="2"/>
  <c r="A2847" i="2"/>
  <c r="B2847" i="2"/>
  <c r="C2847" i="2"/>
  <c r="D2847" i="2"/>
  <c r="E2847" i="2"/>
  <c r="F2847" i="2"/>
  <c r="G2847" i="2"/>
  <c r="H2847" i="2"/>
  <c r="I2847" i="2"/>
  <c r="J2847" i="2"/>
  <c r="K2847" i="2"/>
  <c r="L2847" i="2"/>
  <c r="M2847" i="2"/>
  <c r="N2847" i="2"/>
  <c r="O2847" i="2"/>
  <c r="P2847" i="2"/>
  <c r="Q2847" i="2"/>
  <c r="R2847" i="2"/>
  <c r="S2847" i="2"/>
  <c r="T2847" i="2"/>
  <c r="U2847" i="2"/>
  <c r="V2847" i="2"/>
  <c r="W2847" i="2"/>
  <c r="X2847" i="2"/>
  <c r="Y2847" i="2"/>
  <c r="Z2847" i="2"/>
  <c r="AA2847" i="2"/>
  <c r="AB2847" i="2"/>
  <c r="AC2847" i="2"/>
  <c r="AD2847" i="2"/>
  <c r="AE2847" i="2"/>
  <c r="AF2847" i="2"/>
  <c r="AG2847" i="2"/>
  <c r="AH2847" i="2"/>
  <c r="AI2847" i="2"/>
  <c r="AJ2847" i="2"/>
  <c r="AK2847" i="2"/>
  <c r="A2848" i="2"/>
  <c r="B2848" i="2"/>
  <c r="C2848" i="2"/>
  <c r="D2848" i="2"/>
  <c r="E2848" i="2"/>
  <c r="F2848" i="2"/>
  <c r="G2848" i="2"/>
  <c r="H2848" i="2"/>
  <c r="I2848" i="2"/>
  <c r="J2848" i="2"/>
  <c r="K2848" i="2"/>
  <c r="L2848" i="2"/>
  <c r="M2848" i="2"/>
  <c r="N2848" i="2"/>
  <c r="O2848" i="2"/>
  <c r="P2848" i="2"/>
  <c r="Q2848" i="2"/>
  <c r="R2848" i="2"/>
  <c r="S2848" i="2"/>
  <c r="T2848" i="2"/>
  <c r="U2848" i="2"/>
  <c r="V2848" i="2"/>
  <c r="W2848" i="2"/>
  <c r="X2848" i="2"/>
  <c r="Y2848" i="2"/>
  <c r="Z2848" i="2"/>
  <c r="AA2848" i="2"/>
  <c r="AB2848" i="2"/>
  <c r="AC2848" i="2"/>
  <c r="AD2848" i="2"/>
  <c r="AE2848" i="2"/>
  <c r="AF2848" i="2"/>
  <c r="AG2848" i="2"/>
  <c r="AH2848" i="2"/>
  <c r="AI2848" i="2"/>
  <c r="AJ2848" i="2"/>
  <c r="AK2848" i="2"/>
  <c r="A2849" i="2"/>
  <c r="B2849" i="2"/>
  <c r="C2849" i="2"/>
  <c r="D2849" i="2"/>
  <c r="E2849" i="2"/>
  <c r="F2849" i="2"/>
  <c r="G2849" i="2"/>
  <c r="H2849" i="2"/>
  <c r="I2849" i="2"/>
  <c r="J2849" i="2"/>
  <c r="K2849" i="2"/>
  <c r="L2849" i="2"/>
  <c r="M2849" i="2"/>
  <c r="N2849" i="2"/>
  <c r="O2849" i="2"/>
  <c r="P2849" i="2"/>
  <c r="Q2849" i="2"/>
  <c r="R2849" i="2"/>
  <c r="S2849" i="2"/>
  <c r="T2849" i="2"/>
  <c r="U2849" i="2"/>
  <c r="V2849" i="2"/>
  <c r="W2849" i="2"/>
  <c r="X2849" i="2"/>
  <c r="Y2849" i="2"/>
  <c r="Z2849" i="2"/>
  <c r="AA2849" i="2"/>
  <c r="AB2849" i="2"/>
  <c r="AC2849" i="2"/>
  <c r="AD2849" i="2"/>
  <c r="AE2849" i="2"/>
  <c r="AF2849" i="2"/>
  <c r="AG2849" i="2"/>
  <c r="AH2849" i="2"/>
  <c r="AI2849" i="2"/>
  <c r="AJ2849" i="2"/>
  <c r="AK2849" i="2"/>
  <c r="A2850" i="2"/>
  <c r="B2850" i="2"/>
  <c r="C2850" i="2"/>
  <c r="D2850" i="2"/>
  <c r="E2850" i="2"/>
  <c r="F2850" i="2"/>
  <c r="G2850" i="2"/>
  <c r="H2850" i="2"/>
  <c r="I2850" i="2"/>
  <c r="J2850" i="2"/>
  <c r="K2850" i="2"/>
  <c r="L2850" i="2"/>
  <c r="M2850" i="2"/>
  <c r="N2850" i="2"/>
  <c r="O2850" i="2"/>
  <c r="P2850" i="2"/>
  <c r="Q2850" i="2"/>
  <c r="R2850" i="2"/>
  <c r="S2850" i="2"/>
  <c r="T2850" i="2"/>
  <c r="U2850" i="2"/>
  <c r="V2850" i="2"/>
  <c r="W2850" i="2"/>
  <c r="X2850" i="2"/>
  <c r="Y2850" i="2"/>
  <c r="Z2850" i="2"/>
  <c r="AA2850" i="2"/>
  <c r="AB2850" i="2"/>
  <c r="AC2850" i="2"/>
  <c r="AD2850" i="2"/>
  <c r="AE2850" i="2"/>
  <c r="AF2850" i="2"/>
  <c r="AG2850" i="2"/>
  <c r="AH2850" i="2"/>
  <c r="AI2850" i="2"/>
  <c r="AJ2850" i="2"/>
  <c r="AK2850" i="2"/>
  <c r="A2851" i="2"/>
  <c r="B2851" i="2"/>
  <c r="C2851" i="2"/>
  <c r="D2851" i="2"/>
  <c r="E2851" i="2"/>
  <c r="F2851" i="2"/>
  <c r="G2851" i="2"/>
  <c r="H2851" i="2"/>
  <c r="I2851" i="2"/>
  <c r="J2851" i="2"/>
  <c r="K2851" i="2"/>
  <c r="L2851" i="2"/>
  <c r="M2851" i="2"/>
  <c r="N2851" i="2"/>
  <c r="O2851" i="2"/>
  <c r="P2851" i="2"/>
  <c r="Q2851" i="2"/>
  <c r="R2851" i="2"/>
  <c r="S2851" i="2"/>
  <c r="T2851" i="2"/>
  <c r="U2851" i="2"/>
  <c r="V2851" i="2"/>
  <c r="W2851" i="2"/>
  <c r="X2851" i="2"/>
  <c r="Y2851" i="2"/>
  <c r="Z2851" i="2"/>
  <c r="AA2851" i="2"/>
  <c r="AB2851" i="2"/>
  <c r="AC2851" i="2"/>
  <c r="AD2851" i="2"/>
  <c r="AE2851" i="2"/>
  <c r="AF2851" i="2"/>
  <c r="AG2851" i="2"/>
  <c r="AH2851" i="2"/>
  <c r="AI2851" i="2"/>
  <c r="AJ2851" i="2"/>
  <c r="AK2851" i="2"/>
  <c r="A2852" i="2"/>
  <c r="B2852" i="2"/>
  <c r="C2852" i="2"/>
  <c r="D2852" i="2"/>
  <c r="E2852" i="2"/>
  <c r="F2852" i="2"/>
  <c r="G2852" i="2"/>
  <c r="H2852" i="2"/>
  <c r="I2852" i="2"/>
  <c r="J2852" i="2"/>
  <c r="K2852" i="2"/>
  <c r="L2852" i="2"/>
  <c r="M2852" i="2"/>
  <c r="N2852" i="2"/>
  <c r="O2852" i="2"/>
  <c r="P2852" i="2"/>
  <c r="Q2852" i="2"/>
  <c r="R2852" i="2"/>
  <c r="S2852" i="2"/>
  <c r="T2852" i="2"/>
  <c r="U2852" i="2"/>
  <c r="V2852" i="2"/>
  <c r="W2852" i="2"/>
  <c r="X2852" i="2"/>
  <c r="Y2852" i="2"/>
  <c r="Z2852" i="2"/>
  <c r="AA2852" i="2"/>
  <c r="AB2852" i="2"/>
  <c r="AC2852" i="2"/>
  <c r="AD2852" i="2"/>
  <c r="AE2852" i="2"/>
  <c r="AF2852" i="2"/>
  <c r="AG2852" i="2"/>
  <c r="AH2852" i="2"/>
  <c r="AI2852" i="2"/>
  <c r="AJ2852" i="2"/>
  <c r="AK2852" i="2"/>
  <c r="A2853" i="2"/>
  <c r="B2853" i="2"/>
  <c r="C2853" i="2"/>
  <c r="D2853" i="2"/>
  <c r="E2853" i="2"/>
  <c r="F2853" i="2"/>
  <c r="G2853" i="2"/>
  <c r="H2853" i="2"/>
  <c r="I2853" i="2"/>
  <c r="J2853" i="2"/>
  <c r="K2853" i="2"/>
  <c r="L2853" i="2"/>
  <c r="M2853" i="2"/>
  <c r="N2853" i="2"/>
  <c r="O2853" i="2"/>
  <c r="P2853" i="2"/>
  <c r="Q2853" i="2"/>
  <c r="R2853" i="2"/>
  <c r="S2853" i="2"/>
  <c r="T2853" i="2"/>
  <c r="U2853" i="2"/>
  <c r="V2853" i="2"/>
  <c r="W2853" i="2"/>
  <c r="X2853" i="2"/>
  <c r="Y2853" i="2"/>
  <c r="Z2853" i="2"/>
  <c r="AA2853" i="2"/>
  <c r="AB2853" i="2"/>
  <c r="AC2853" i="2"/>
  <c r="AD2853" i="2"/>
  <c r="AE2853" i="2"/>
  <c r="AF2853" i="2"/>
  <c r="AG2853" i="2"/>
  <c r="AH2853" i="2"/>
  <c r="AI2853" i="2"/>
  <c r="AJ2853" i="2"/>
  <c r="AK2853" i="2"/>
  <c r="A2854" i="2"/>
  <c r="B2854" i="2"/>
  <c r="C2854" i="2"/>
  <c r="D2854" i="2"/>
  <c r="E2854" i="2"/>
  <c r="F2854" i="2"/>
  <c r="G2854" i="2"/>
  <c r="H2854" i="2"/>
  <c r="I2854" i="2"/>
  <c r="J2854" i="2"/>
  <c r="K2854" i="2"/>
  <c r="L2854" i="2"/>
  <c r="M2854" i="2"/>
  <c r="N2854" i="2"/>
  <c r="O2854" i="2"/>
  <c r="P2854" i="2"/>
  <c r="Q2854" i="2"/>
  <c r="R2854" i="2"/>
  <c r="S2854" i="2"/>
  <c r="T2854" i="2"/>
  <c r="U2854" i="2"/>
  <c r="V2854" i="2"/>
  <c r="W2854" i="2"/>
  <c r="X2854" i="2"/>
  <c r="Y2854" i="2"/>
  <c r="Z2854" i="2"/>
  <c r="AA2854" i="2"/>
  <c r="AB2854" i="2"/>
  <c r="AC2854" i="2"/>
  <c r="AD2854" i="2"/>
  <c r="AE2854" i="2"/>
  <c r="AF2854" i="2"/>
  <c r="AG2854" i="2"/>
  <c r="AH2854" i="2"/>
  <c r="AI2854" i="2"/>
  <c r="AJ2854" i="2"/>
  <c r="AK2854" i="2"/>
  <c r="A2855" i="2"/>
  <c r="B2855" i="2"/>
  <c r="C2855" i="2"/>
  <c r="D2855" i="2"/>
  <c r="E2855" i="2"/>
  <c r="F2855" i="2"/>
  <c r="G2855" i="2"/>
  <c r="H2855" i="2"/>
  <c r="I2855" i="2"/>
  <c r="J2855" i="2"/>
  <c r="K2855" i="2"/>
  <c r="L2855" i="2"/>
  <c r="M2855" i="2"/>
  <c r="N2855" i="2"/>
  <c r="O2855" i="2"/>
  <c r="P2855" i="2"/>
  <c r="Q2855" i="2"/>
  <c r="R2855" i="2"/>
  <c r="S2855" i="2"/>
  <c r="T2855" i="2"/>
  <c r="U2855" i="2"/>
  <c r="V2855" i="2"/>
  <c r="W2855" i="2"/>
  <c r="X2855" i="2"/>
  <c r="Y2855" i="2"/>
  <c r="Z2855" i="2"/>
  <c r="AA2855" i="2"/>
  <c r="AB2855" i="2"/>
  <c r="AC2855" i="2"/>
  <c r="AD2855" i="2"/>
  <c r="AE2855" i="2"/>
  <c r="AF2855" i="2"/>
  <c r="AG2855" i="2"/>
  <c r="AH2855" i="2"/>
  <c r="AI2855" i="2"/>
  <c r="AJ2855" i="2"/>
  <c r="AK2855" i="2"/>
  <c r="A2856" i="2"/>
  <c r="B2856" i="2"/>
  <c r="C2856" i="2"/>
  <c r="D2856" i="2"/>
  <c r="E2856" i="2"/>
  <c r="F2856" i="2"/>
  <c r="G2856" i="2"/>
  <c r="H2856" i="2"/>
  <c r="I2856" i="2"/>
  <c r="J2856" i="2"/>
  <c r="K2856" i="2"/>
  <c r="L2856" i="2"/>
  <c r="M2856" i="2"/>
  <c r="N2856" i="2"/>
  <c r="O2856" i="2"/>
  <c r="P2856" i="2"/>
  <c r="Q2856" i="2"/>
  <c r="R2856" i="2"/>
  <c r="S2856" i="2"/>
  <c r="T2856" i="2"/>
  <c r="U2856" i="2"/>
  <c r="V2856" i="2"/>
  <c r="W2856" i="2"/>
  <c r="X2856" i="2"/>
  <c r="Y2856" i="2"/>
  <c r="Z2856" i="2"/>
  <c r="AA2856" i="2"/>
  <c r="AB2856" i="2"/>
  <c r="AC2856" i="2"/>
  <c r="AD2856" i="2"/>
  <c r="AE2856" i="2"/>
  <c r="AF2856" i="2"/>
  <c r="AG2856" i="2"/>
  <c r="AH2856" i="2"/>
  <c r="AI2856" i="2"/>
  <c r="AJ2856" i="2"/>
  <c r="AK2856" i="2"/>
  <c r="A2857" i="2"/>
  <c r="B2857" i="2"/>
  <c r="C2857" i="2"/>
  <c r="D2857" i="2"/>
  <c r="E2857" i="2"/>
  <c r="F2857" i="2"/>
  <c r="G2857" i="2"/>
  <c r="H2857" i="2"/>
  <c r="I2857" i="2"/>
  <c r="J2857" i="2"/>
  <c r="K2857" i="2"/>
  <c r="L2857" i="2"/>
  <c r="M2857" i="2"/>
  <c r="N2857" i="2"/>
  <c r="O2857" i="2"/>
  <c r="P2857" i="2"/>
  <c r="Q2857" i="2"/>
  <c r="R2857" i="2"/>
  <c r="S2857" i="2"/>
  <c r="T2857" i="2"/>
  <c r="U2857" i="2"/>
  <c r="V2857" i="2"/>
  <c r="W2857" i="2"/>
  <c r="X2857" i="2"/>
  <c r="Y2857" i="2"/>
  <c r="Z2857" i="2"/>
  <c r="AA2857" i="2"/>
  <c r="AB2857" i="2"/>
  <c r="AC2857" i="2"/>
  <c r="AD2857" i="2"/>
  <c r="AE2857" i="2"/>
  <c r="AF2857" i="2"/>
  <c r="AG2857" i="2"/>
  <c r="AH2857" i="2"/>
  <c r="AI2857" i="2"/>
  <c r="AJ2857" i="2"/>
  <c r="AK2857" i="2"/>
  <c r="A2858" i="2"/>
  <c r="B2858" i="2"/>
  <c r="C2858" i="2"/>
  <c r="D2858" i="2"/>
  <c r="E2858" i="2"/>
  <c r="F2858" i="2"/>
  <c r="G2858" i="2"/>
  <c r="H2858" i="2"/>
  <c r="I2858" i="2"/>
  <c r="J2858" i="2"/>
  <c r="K2858" i="2"/>
  <c r="L2858" i="2"/>
  <c r="M2858" i="2"/>
  <c r="N2858" i="2"/>
  <c r="O2858" i="2"/>
  <c r="P2858" i="2"/>
  <c r="Q2858" i="2"/>
  <c r="R2858" i="2"/>
  <c r="S2858" i="2"/>
  <c r="T2858" i="2"/>
  <c r="U2858" i="2"/>
  <c r="V2858" i="2"/>
  <c r="W2858" i="2"/>
  <c r="X2858" i="2"/>
  <c r="Y2858" i="2"/>
  <c r="Z2858" i="2"/>
  <c r="AA2858" i="2"/>
  <c r="AB2858" i="2"/>
  <c r="AC2858" i="2"/>
  <c r="AD2858" i="2"/>
  <c r="AE2858" i="2"/>
  <c r="AF2858" i="2"/>
  <c r="AG2858" i="2"/>
  <c r="AH2858" i="2"/>
  <c r="AI2858" i="2"/>
  <c r="AJ2858" i="2"/>
  <c r="AK2858" i="2"/>
  <c r="A2859" i="2"/>
  <c r="B2859" i="2"/>
  <c r="C2859" i="2"/>
  <c r="D2859" i="2"/>
  <c r="E2859" i="2"/>
  <c r="F2859" i="2"/>
  <c r="G2859" i="2"/>
  <c r="H2859" i="2"/>
  <c r="I2859" i="2"/>
  <c r="J2859" i="2"/>
  <c r="K2859" i="2"/>
  <c r="L2859" i="2"/>
  <c r="M2859" i="2"/>
  <c r="N2859" i="2"/>
  <c r="O2859" i="2"/>
  <c r="P2859" i="2"/>
  <c r="Q2859" i="2"/>
  <c r="R2859" i="2"/>
  <c r="S2859" i="2"/>
  <c r="T2859" i="2"/>
  <c r="U2859" i="2"/>
  <c r="V2859" i="2"/>
  <c r="W2859" i="2"/>
  <c r="X2859" i="2"/>
  <c r="Y2859" i="2"/>
  <c r="Z2859" i="2"/>
  <c r="AA2859" i="2"/>
  <c r="AB2859" i="2"/>
  <c r="AC2859" i="2"/>
  <c r="AD2859" i="2"/>
  <c r="AE2859" i="2"/>
  <c r="AF2859" i="2"/>
  <c r="AG2859" i="2"/>
  <c r="AH2859" i="2"/>
  <c r="AI2859" i="2"/>
  <c r="AJ2859" i="2"/>
  <c r="AK2859" i="2"/>
  <c r="A2860" i="2"/>
  <c r="B2860" i="2"/>
  <c r="C2860" i="2"/>
  <c r="D2860" i="2"/>
  <c r="E2860" i="2"/>
  <c r="F2860" i="2"/>
  <c r="G2860" i="2"/>
  <c r="H2860" i="2"/>
  <c r="I2860" i="2"/>
  <c r="J2860" i="2"/>
  <c r="K2860" i="2"/>
  <c r="L2860" i="2"/>
  <c r="M2860" i="2"/>
  <c r="N2860" i="2"/>
  <c r="O2860" i="2"/>
  <c r="P2860" i="2"/>
  <c r="Q2860" i="2"/>
  <c r="R2860" i="2"/>
  <c r="S2860" i="2"/>
  <c r="T2860" i="2"/>
  <c r="U2860" i="2"/>
  <c r="V2860" i="2"/>
  <c r="W2860" i="2"/>
  <c r="X2860" i="2"/>
  <c r="Y2860" i="2"/>
  <c r="Z2860" i="2"/>
  <c r="AA2860" i="2"/>
  <c r="AB2860" i="2"/>
  <c r="AC2860" i="2"/>
  <c r="AD2860" i="2"/>
  <c r="AE2860" i="2"/>
  <c r="AF2860" i="2"/>
  <c r="AG2860" i="2"/>
  <c r="AH2860" i="2"/>
  <c r="AI2860" i="2"/>
  <c r="AJ2860" i="2"/>
  <c r="AK2860" i="2"/>
  <c r="A2861" i="2"/>
  <c r="B2861" i="2"/>
  <c r="C2861" i="2"/>
  <c r="D2861" i="2"/>
  <c r="E2861" i="2"/>
  <c r="F2861" i="2"/>
  <c r="G2861" i="2"/>
  <c r="H2861" i="2"/>
  <c r="I2861" i="2"/>
  <c r="J2861" i="2"/>
  <c r="K2861" i="2"/>
  <c r="L2861" i="2"/>
  <c r="M2861" i="2"/>
  <c r="N2861" i="2"/>
  <c r="O2861" i="2"/>
  <c r="P2861" i="2"/>
  <c r="Q2861" i="2"/>
  <c r="R2861" i="2"/>
  <c r="S2861" i="2"/>
  <c r="T2861" i="2"/>
  <c r="U2861" i="2"/>
  <c r="V2861" i="2"/>
  <c r="W2861" i="2"/>
  <c r="X2861" i="2"/>
  <c r="Y2861" i="2"/>
  <c r="Z2861" i="2"/>
  <c r="AA2861" i="2"/>
  <c r="AB2861" i="2"/>
  <c r="AC2861" i="2"/>
  <c r="AD2861" i="2"/>
  <c r="AE2861" i="2"/>
  <c r="AF2861" i="2"/>
  <c r="AG2861" i="2"/>
  <c r="AH2861" i="2"/>
  <c r="AI2861" i="2"/>
  <c r="AJ2861" i="2"/>
  <c r="AK2861" i="2"/>
  <c r="A2862" i="2"/>
  <c r="B2862" i="2"/>
  <c r="C2862" i="2"/>
  <c r="D2862" i="2"/>
  <c r="E2862" i="2"/>
  <c r="F2862" i="2"/>
  <c r="G2862" i="2"/>
  <c r="H2862" i="2"/>
  <c r="I2862" i="2"/>
  <c r="J2862" i="2"/>
  <c r="K2862" i="2"/>
  <c r="L2862" i="2"/>
  <c r="M2862" i="2"/>
  <c r="N2862" i="2"/>
  <c r="O2862" i="2"/>
  <c r="P2862" i="2"/>
  <c r="Q2862" i="2"/>
  <c r="R2862" i="2"/>
  <c r="S2862" i="2"/>
  <c r="T2862" i="2"/>
  <c r="U2862" i="2"/>
  <c r="V2862" i="2"/>
  <c r="W2862" i="2"/>
  <c r="X2862" i="2"/>
  <c r="Y2862" i="2"/>
  <c r="Z2862" i="2"/>
  <c r="AA2862" i="2"/>
  <c r="AB2862" i="2"/>
  <c r="AC2862" i="2"/>
  <c r="AD2862" i="2"/>
  <c r="AE2862" i="2"/>
  <c r="AF2862" i="2"/>
  <c r="AG2862" i="2"/>
  <c r="AH2862" i="2"/>
  <c r="AI2862" i="2"/>
  <c r="AJ2862" i="2"/>
  <c r="AK2862" i="2"/>
  <c r="A2863" i="2"/>
  <c r="B2863" i="2"/>
  <c r="C2863" i="2"/>
  <c r="D2863" i="2"/>
  <c r="E2863" i="2"/>
  <c r="F2863" i="2"/>
  <c r="G2863" i="2"/>
  <c r="H2863" i="2"/>
  <c r="I2863" i="2"/>
  <c r="J2863" i="2"/>
  <c r="K2863" i="2"/>
  <c r="L2863" i="2"/>
  <c r="M2863" i="2"/>
  <c r="N2863" i="2"/>
  <c r="O2863" i="2"/>
  <c r="P2863" i="2"/>
  <c r="Q2863" i="2"/>
  <c r="R2863" i="2"/>
  <c r="S2863" i="2"/>
  <c r="T2863" i="2"/>
  <c r="U2863" i="2"/>
  <c r="V2863" i="2"/>
  <c r="W2863" i="2"/>
  <c r="X2863" i="2"/>
  <c r="Y2863" i="2"/>
  <c r="Z2863" i="2"/>
  <c r="AA2863" i="2"/>
  <c r="AB2863" i="2"/>
  <c r="AC2863" i="2"/>
  <c r="AD2863" i="2"/>
  <c r="AE2863" i="2"/>
  <c r="AF2863" i="2"/>
  <c r="AG2863" i="2"/>
  <c r="AH2863" i="2"/>
  <c r="AI2863" i="2"/>
  <c r="AJ2863" i="2"/>
  <c r="AK2863" i="2"/>
  <c r="A2864" i="2"/>
  <c r="B2864" i="2"/>
  <c r="C2864" i="2"/>
  <c r="D2864" i="2"/>
  <c r="E2864" i="2"/>
  <c r="F2864" i="2"/>
  <c r="G2864" i="2"/>
  <c r="H2864" i="2"/>
  <c r="I2864" i="2"/>
  <c r="J2864" i="2"/>
  <c r="K2864" i="2"/>
  <c r="L2864" i="2"/>
  <c r="M2864" i="2"/>
  <c r="N2864" i="2"/>
  <c r="O2864" i="2"/>
  <c r="P2864" i="2"/>
  <c r="Q2864" i="2"/>
  <c r="R2864" i="2"/>
  <c r="S2864" i="2"/>
  <c r="T2864" i="2"/>
  <c r="U2864" i="2"/>
  <c r="V2864" i="2"/>
  <c r="W2864" i="2"/>
  <c r="X2864" i="2"/>
  <c r="Y2864" i="2"/>
  <c r="Z2864" i="2"/>
  <c r="AA2864" i="2"/>
  <c r="AB2864" i="2"/>
  <c r="AC2864" i="2"/>
  <c r="AD2864" i="2"/>
  <c r="AE2864" i="2"/>
  <c r="AF2864" i="2"/>
  <c r="AG2864" i="2"/>
  <c r="AH2864" i="2"/>
  <c r="AI2864" i="2"/>
  <c r="AJ2864" i="2"/>
  <c r="AK2864" i="2"/>
  <c r="A2865" i="2"/>
  <c r="B2865" i="2"/>
  <c r="C2865" i="2"/>
  <c r="D2865" i="2"/>
  <c r="E2865" i="2"/>
  <c r="F2865" i="2"/>
  <c r="G2865" i="2"/>
  <c r="H2865" i="2"/>
  <c r="I2865" i="2"/>
  <c r="J2865" i="2"/>
  <c r="K2865" i="2"/>
  <c r="L2865" i="2"/>
  <c r="M2865" i="2"/>
  <c r="N2865" i="2"/>
  <c r="O2865" i="2"/>
  <c r="P2865" i="2"/>
  <c r="Q2865" i="2"/>
  <c r="R2865" i="2"/>
  <c r="S2865" i="2"/>
  <c r="T2865" i="2"/>
  <c r="U2865" i="2"/>
  <c r="V2865" i="2"/>
  <c r="W2865" i="2"/>
  <c r="X2865" i="2"/>
  <c r="Y2865" i="2"/>
  <c r="Z2865" i="2"/>
  <c r="AA2865" i="2"/>
  <c r="AB2865" i="2"/>
  <c r="AC2865" i="2"/>
  <c r="AD2865" i="2"/>
  <c r="AE2865" i="2"/>
  <c r="AF2865" i="2"/>
  <c r="AG2865" i="2"/>
  <c r="AH2865" i="2"/>
  <c r="AI2865" i="2"/>
  <c r="AJ2865" i="2"/>
  <c r="AK2865" i="2"/>
  <c r="A2866" i="2"/>
  <c r="B2866" i="2"/>
  <c r="C2866" i="2"/>
  <c r="D2866" i="2"/>
  <c r="E2866" i="2"/>
  <c r="F2866" i="2"/>
  <c r="G2866" i="2"/>
  <c r="H2866" i="2"/>
  <c r="I2866" i="2"/>
  <c r="J2866" i="2"/>
  <c r="K2866" i="2"/>
  <c r="L2866" i="2"/>
  <c r="M2866" i="2"/>
  <c r="N2866" i="2"/>
  <c r="O2866" i="2"/>
  <c r="P2866" i="2"/>
  <c r="Q2866" i="2"/>
  <c r="R2866" i="2"/>
  <c r="S2866" i="2"/>
  <c r="T2866" i="2"/>
  <c r="U2866" i="2"/>
  <c r="V2866" i="2"/>
  <c r="W2866" i="2"/>
  <c r="X2866" i="2"/>
  <c r="Y2866" i="2"/>
  <c r="Z2866" i="2"/>
  <c r="AA2866" i="2"/>
  <c r="AB2866" i="2"/>
  <c r="AC2866" i="2"/>
  <c r="AD2866" i="2"/>
  <c r="AE2866" i="2"/>
  <c r="AF2866" i="2"/>
  <c r="AG2866" i="2"/>
  <c r="AH2866" i="2"/>
  <c r="AI2866" i="2"/>
  <c r="AJ2866" i="2"/>
  <c r="AK2866" i="2"/>
  <c r="A2867" i="2"/>
  <c r="B2867" i="2"/>
  <c r="C2867" i="2"/>
  <c r="D2867" i="2"/>
  <c r="E2867" i="2"/>
  <c r="F2867" i="2"/>
  <c r="G2867" i="2"/>
  <c r="H2867" i="2"/>
  <c r="I2867" i="2"/>
  <c r="J2867" i="2"/>
  <c r="K2867" i="2"/>
  <c r="L2867" i="2"/>
  <c r="M2867" i="2"/>
  <c r="N2867" i="2"/>
  <c r="O2867" i="2"/>
  <c r="P2867" i="2"/>
  <c r="Q2867" i="2"/>
  <c r="R2867" i="2"/>
  <c r="S2867" i="2"/>
  <c r="T2867" i="2"/>
  <c r="U2867" i="2"/>
  <c r="V2867" i="2"/>
  <c r="W2867" i="2"/>
  <c r="X2867" i="2"/>
  <c r="Y2867" i="2"/>
  <c r="Z2867" i="2"/>
  <c r="AA2867" i="2"/>
  <c r="AB2867" i="2"/>
  <c r="AC2867" i="2"/>
  <c r="AD2867" i="2"/>
  <c r="AE2867" i="2"/>
  <c r="AF2867" i="2"/>
  <c r="AG2867" i="2"/>
  <c r="AH2867" i="2"/>
  <c r="AI2867" i="2"/>
  <c r="AJ2867" i="2"/>
  <c r="AK2867" i="2"/>
  <c r="A2868" i="2"/>
  <c r="B2868" i="2"/>
  <c r="C2868" i="2"/>
  <c r="D2868" i="2"/>
  <c r="E2868" i="2"/>
  <c r="F2868" i="2"/>
  <c r="G2868" i="2"/>
  <c r="H2868" i="2"/>
  <c r="I2868" i="2"/>
  <c r="J2868" i="2"/>
  <c r="K2868" i="2"/>
  <c r="L2868" i="2"/>
  <c r="M2868" i="2"/>
  <c r="N2868" i="2"/>
  <c r="O2868" i="2"/>
  <c r="P2868" i="2"/>
  <c r="Q2868" i="2"/>
  <c r="R2868" i="2"/>
  <c r="S2868" i="2"/>
  <c r="T2868" i="2"/>
  <c r="U2868" i="2"/>
  <c r="V2868" i="2"/>
  <c r="W2868" i="2"/>
  <c r="X2868" i="2"/>
  <c r="Y2868" i="2"/>
  <c r="Z2868" i="2"/>
  <c r="AA2868" i="2"/>
  <c r="AB2868" i="2"/>
  <c r="AC2868" i="2"/>
  <c r="AD2868" i="2"/>
  <c r="AE2868" i="2"/>
  <c r="AF2868" i="2"/>
  <c r="AG2868" i="2"/>
  <c r="AH2868" i="2"/>
  <c r="AI2868" i="2"/>
  <c r="AJ2868" i="2"/>
  <c r="AK2868" i="2"/>
  <c r="A2869" i="2"/>
  <c r="B2869" i="2"/>
  <c r="C2869" i="2"/>
  <c r="D2869" i="2"/>
  <c r="E2869" i="2"/>
  <c r="F2869" i="2"/>
  <c r="G2869" i="2"/>
  <c r="H2869" i="2"/>
  <c r="I2869" i="2"/>
  <c r="J2869" i="2"/>
  <c r="K2869" i="2"/>
  <c r="L2869" i="2"/>
  <c r="M2869" i="2"/>
  <c r="N2869" i="2"/>
  <c r="O2869" i="2"/>
  <c r="P2869" i="2"/>
  <c r="Q2869" i="2"/>
  <c r="R2869" i="2"/>
  <c r="S2869" i="2"/>
  <c r="T2869" i="2"/>
  <c r="U2869" i="2"/>
  <c r="V2869" i="2"/>
  <c r="W2869" i="2"/>
  <c r="X2869" i="2"/>
  <c r="Y2869" i="2"/>
  <c r="Z2869" i="2"/>
  <c r="AA2869" i="2"/>
  <c r="AB2869" i="2"/>
  <c r="AC2869" i="2"/>
  <c r="AD2869" i="2"/>
  <c r="AE2869" i="2"/>
  <c r="AF2869" i="2"/>
  <c r="AG2869" i="2"/>
  <c r="AH2869" i="2"/>
  <c r="AI2869" i="2"/>
  <c r="AJ2869" i="2"/>
  <c r="AK2869" i="2"/>
  <c r="A2870" i="2"/>
  <c r="B2870" i="2"/>
  <c r="C2870" i="2"/>
  <c r="D2870" i="2"/>
  <c r="E2870" i="2"/>
  <c r="F2870" i="2"/>
  <c r="G2870" i="2"/>
  <c r="H2870" i="2"/>
  <c r="I2870" i="2"/>
  <c r="J2870" i="2"/>
  <c r="K2870" i="2"/>
  <c r="L2870" i="2"/>
  <c r="M2870" i="2"/>
  <c r="N2870" i="2"/>
  <c r="O2870" i="2"/>
  <c r="P2870" i="2"/>
  <c r="Q2870" i="2"/>
  <c r="R2870" i="2"/>
  <c r="S2870" i="2"/>
  <c r="T2870" i="2"/>
  <c r="U2870" i="2"/>
  <c r="V2870" i="2"/>
  <c r="W2870" i="2"/>
  <c r="X2870" i="2"/>
  <c r="Y2870" i="2"/>
  <c r="Z2870" i="2"/>
  <c r="AA2870" i="2"/>
  <c r="AB2870" i="2"/>
  <c r="AC2870" i="2"/>
  <c r="AD2870" i="2"/>
  <c r="AE2870" i="2"/>
  <c r="AF2870" i="2"/>
  <c r="AG2870" i="2"/>
  <c r="AH2870" i="2"/>
  <c r="AI2870" i="2"/>
  <c r="AJ2870" i="2"/>
  <c r="AK2870" i="2"/>
  <c r="A2871" i="2"/>
  <c r="B2871" i="2"/>
  <c r="C2871" i="2"/>
  <c r="D2871" i="2"/>
  <c r="E2871" i="2"/>
  <c r="F2871" i="2"/>
  <c r="G2871" i="2"/>
  <c r="H2871" i="2"/>
  <c r="I2871" i="2"/>
  <c r="J2871" i="2"/>
  <c r="K2871" i="2"/>
  <c r="L2871" i="2"/>
  <c r="M2871" i="2"/>
  <c r="N2871" i="2"/>
  <c r="O2871" i="2"/>
  <c r="P2871" i="2"/>
  <c r="Q2871" i="2"/>
  <c r="R2871" i="2"/>
  <c r="S2871" i="2"/>
  <c r="T2871" i="2"/>
  <c r="U2871" i="2"/>
  <c r="V2871" i="2"/>
  <c r="W2871" i="2"/>
  <c r="X2871" i="2"/>
  <c r="Y2871" i="2"/>
  <c r="Z2871" i="2"/>
  <c r="AA2871" i="2"/>
  <c r="AB2871" i="2"/>
  <c r="AC2871" i="2"/>
  <c r="AD2871" i="2"/>
  <c r="AE2871" i="2"/>
  <c r="AF2871" i="2"/>
  <c r="AG2871" i="2"/>
  <c r="AH2871" i="2"/>
  <c r="AI2871" i="2"/>
  <c r="AJ2871" i="2"/>
  <c r="AK2871" i="2"/>
  <c r="A2872" i="2"/>
  <c r="B2872" i="2"/>
  <c r="C2872" i="2"/>
  <c r="D2872" i="2"/>
  <c r="E2872" i="2"/>
  <c r="F2872" i="2"/>
  <c r="G2872" i="2"/>
  <c r="H2872" i="2"/>
  <c r="I2872" i="2"/>
  <c r="J2872" i="2"/>
  <c r="K2872" i="2"/>
  <c r="L2872" i="2"/>
  <c r="M2872" i="2"/>
  <c r="N2872" i="2"/>
  <c r="O2872" i="2"/>
  <c r="P2872" i="2"/>
  <c r="Q2872" i="2"/>
  <c r="R2872" i="2"/>
  <c r="S2872" i="2"/>
  <c r="T2872" i="2"/>
  <c r="U2872" i="2"/>
  <c r="V2872" i="2"/>
  <c r="W2872" i="2"/>
  <c r="X2872" i="2"/>
  <c r="Y2872" i="2"/>
  <c r="Z2872" i="2"/>
  <c r="AA2872" i="2"/>
  <c r="AB2872" i="2"/>
  <c r="AC2872" i="2"/>
  <c r="AD2872" i="2"/>
  <c r="AE2872" i="2"/>
  <c r="AF2872" i="2"/>
  <c r="AG2872" i="2"/>
  <c r="AH2872" i="2"/>
  <c r="AI2872" i="2"/>
  <c r="AJ2872" i="2"/>
  <c r="AK2872" i="2"/>
  <c r="A2873" i="2"/>
  <c r="B2873" i="2"/>
  <c r="C2873" i="2"/>
  <c r="D2873" i="2"/>
  <c r="E2873" i="2"/>
  <c r="F2873" i="2"/>
  <c r="G2873" i="2"/>
  <c r="H2873" i="2"/>
  <c r="I2873" i="2"/>
  <c r="J2873" i="2"/>
  <c r="K2873" i="2"/>
  <c r="L2873" i="2"/>
  <c r="M2873" i="2"/>
  <c r="N2873" i="2"/>
  <c r="O2873" i="2"/>
  <c r="P2873" i="2"/>
  <c r="Q2873" i="2"/>
  <c r="R2873" i="2"/>
  <c r="S2873" i="2"/>
  <c r="T2873" i="2"/>
  <c r="U2873" i="2"/>
  <c r="V2873" i="2"/>
  <c r="W2873" i="2"/>
  <c r="X2873" i="2"/>
  <c r="Y2873" i="2"/>
  <c r="Z2873" i="2"/>
  <c r="AA2873" i="2"/>
  <c r="AB2873" i="2"/>
  <c r="AC2873" i="2"/>
  <c r="AD2873" i="2"/>
  <c r="AE2873" i="2"/>
  <c r="AF2873" i="2"/>
  <c r="AG2873" i="2"/>
  <c r="AH2873" i="2"/>
  <c r="AI2873" i="2"/>
  <c r="AJ2873" i="2"/>
  <c r="AK2873" i="2"/>
  <c r="A2874" i="2"/>
  <c r="B2874" i="2"/>
  <c r="C2874" i="2"/>
  <c r="D2874" i="2"/>
  <c r="E2874" i="2"/>
  <c r="F2874" i="2"/>
  <c r="G2874" i="2"/>
  <c r="H2874" i="2"/>
  <c r="I2874" i="2"/>
  <c r="J2874" i="2"/>
  <c r="K2874" i="2"/>
  <c r="L2874" i="2"/>
  <c r="M2874" i="2"/>
  <c r="N2874" i="2"/>
  <c r="O2874" i="2"/>
  <c r="P2874" i="2"/>
  <c r="Q2874" i="2"/>
  <c r="R2874" i="2"/>
  <c r="S2874" i="2"/>
  <c r="T2874" i="2"/>
  <c r="U2874" i="2"/>
  <c r="V2874" i="2"/>
  <c r="W2874" i="2"/>
  <c r="X2874" i="2"/>
  <c r="Y2874" i="2"/>
  <c r="Z2874" i="2"/>
  <c r="AA2874" i="2"/>
  <c r="AB2874" i="2"/>
  <c r="AC2874" i="2"/>
  <c r="AD2874" i="2"/>
  <c r="AE2874" i="2"/>
  <c r="AF2874" i="2"/>
  <c r="AG2874" i="2"/>
  <c r="AH2874" i="2"/>
  <c r="AI2874" i="2"/>
  <c r="AJ2874" i="2"/>
  <c r="AK2874" i="2"/>
  <c r="A2875" i="2"/>
  <c r="B2875" i="2"/>
  <c r="C2875" i="2"/>
  <c r="D2875" i="2"/>
  <c r="E2875" i="2"/>
  <c r="F2875" i="2"/>
  <c r="G2875" i="2"/>
  <c r="H2875" i="2"/>
  <c r="I2875" i="2"/>
  <c r="J2875" i="2"/>
  <c r="K2875" i="2"/>
  <c r="L2875" i="2"/>
  <c r="M2875" i="2"/>
  <c r="N2875" i="2"/>
  <c r="O2875" i="2"/>
  <c r="P2875" i="2"/>
  <c r="Q2875" i="2"/>
  <c r="R2875" i="2"/>
  <c r="S2875" i="2"/>
  <c r="T2875" i="2"/>
  <c r="U2875" i="2"/>
  <c r="V2875" i="2"/>
  <c r="W2875" i="2"/>
  <c r="X2875" i="2"/>
  <c r="Y2875" i="2"/>
  <c r="Z2875" i="2"/>
  <c r="AA2875" i="2"/>
  <c r="AB2875" i="2"/>
  <c r="AC2875" i="2"/>
  <c r="AD2875" i="2"/>
  <c r="AE2875" i="2"/>
  <c r="AF2875" i="2"/>
  <c r="AG2875" i="2"/>
  <c r="AH2875" i="2"/>
  <c r="AI2875" i="2"/>
  <c r="AJ2875" i="2"/>
  <c r="AK2875" i="2"/>
  <c r="A2876" i="2"/>
  <c r="B2876" i="2"/>
  <c r="C2876" i="2"/>
  <c r="D2876" i="2"/>
  <c r="E2876" i="2"/>
  <c r="F2876" i="2"/>
  <c r="G2876" i="2"/>
  <c r="H2876" i="2"/>
  <c r="I2876" i="2"/>
  <c r="J2876" i="2"/>
  <c r="K2876" i="2"/>
  <c r="L2876" i="2"/>
  <c r="M2876" i="2"/>
  <c r="N2876" i="2"/>
  <c r="O2876" i="2"/>
  <c r="P2876" i="2"/>
  <c r="Q2876" i="2"/>
  <c r="R2876" i="2"/>
  <c r="S2876" i="2"/>
  <c r="T2876" i="2"/>
  <c r="U2876" i="2"/>
  <c r="V2876" i="2"/>
  <c r="W2876" i="2"/>
  <c r="X2876" i="2"/>
  <c r="Y2876" i="2"/>
  <c r="Z2876" i="2"/>
  <c r="AA2876" i="2"/>
  <c r="AB2876" i="2"/>
  <c r="AC2876" i="2"/>
  <c r="AD2876" i="2"/>
  <c r="AE2876" i="2"/>
  <c r="AF2876" i="2"/>
  <c r="AG2876" i="2"/>
  <c r="AH2876" i="2"/>
  <c r="AI2876" i="2"/>
  <c r="AJ2876" i="2"/>
  <c r="AK2876" i="2"/>
  <c r="A2877" i="2"/>
  <c r="B2877" i="2"/>
  <c r="C2877" i="2"/>
  <c r="D2877" i="2"/>
  <c r="E2877" i="2"/>
  <c r="F2877" i="2"/>
  <c r="G2877" i="2"/>
  <c r="H2877" i="2"/>
  <c r="I2877" i="2"/>
  <c r="J2877" i="2"/>
  <c r="K2877" i="2"/>
  <c r="L2877" i="2"/>
  <c r="M2877" i="2"/>
  <c r="N2877" i="2"/>
  <c r="O2877" i="2"/>
  <c r="P2877" i="2"/>
  <c r="Q2877" i="2"/>
  <c r="R2877" i="2"/>
  <c r="S2877" i="2"/>
  <c r="T2877" i="2"/>
  <c r="U2877" i="2"/>
  <c r="V2877" i="2"/>
  <c r="W2877" i="2"/>
  <c r="X2877" i="2"/>
  <c r="Y2877" i="2"/>
  <c r="Z2877" i="2"/>
  <c r="AA2877" i="2"/>
  <c r="AB2877" i="2"/>
  <c r="AC2877" i="2"/>
  <c r="AD2877" i="2"/>
  <c r="AE2877" i="2"/>
  <c r="AF2877" i="2"/>
  <c r="AG2877" i="2"/>
  <c r="AH2877" i="2"/>
  <c r="AI2877" i="2"/>
  <c r="AJ2877" i="2"/>
  <c r="AK2877" i="2"/>
  <c r="A2878" i="2"/>
  <c r="B2878" i="2"/>
  <c r="C2878" i="2"/>
  <c r="D2878" i="2"/>
  <c r="E2878" i="2"/>
  <c r="F2878" i="2"/>
  <c r="G2878" i="2"/>
  <c r="H2878" i="2"/>
  <c r="I2878" i="2"/>
  <c r="J2878" i="2"/>
  <c r="K2878" i="2"/>
  <c r="L2878" i="2"/>
  <c r="M2878" i="2"/>
  <c r="N2878" i="2"/>
  <c r="O2878" i="2"/>
  <c r="P2878" i="2"/>
  <c r="Q2878" i="2"/>
  <c r="R2878" i="2"/>
  <c r="S2878" i="2"/>
  <c r="T2878" i="2"/>
  <c r="U2878" i="2"/>
  <c r="V2878" i="2"/>
  <c r="W2878" i="2"/>
  <c r="X2878" i="2"/>
  <c r="Y2878" i="2"/>
  <c r="Z2878" i="2"/>
  <c r="AA2878" i="2"/>
  <c r="AB2878" i="2"/>
  <c r="AC2878" i="2"/>
  <c r="AD2878" i="2"/>
  <c r="AE2878" i="2"/>
  <c r="AF2878" i="2"/>
  <c r="AG2878" i="2"/>
  <c r="AH2878" i="2"/>
  <c r="AI2878" i="2"/>
  <c r="AJ2878" i="2"/>
  <c r="AK2878" i="2"/>
  <c r="A2879" i="2"/>
  <c r="B2879" i="2"/>
  <c r="C2879" i="2"/>
  <c r="D2879" i="2"/>
  <c r="E2879" i="2"/>
  <c r="F2879" i="2"/>
  <c r="G2879" i="2"/>
  <c r="H2879" i="2"/>
  <c r="I2879" i="2"/>
  <c r="J2879" i="2"/>
  <c r="K2879" i="2"/>
  <c r="L2879" i="2"/>
  <c r="M2879" i="2"/>
  <c r="N2879" i="2"/>
  <c r="O2879" i="2"/>
  <c r="P2879" i="2"/>
  <c r="Q2879" i="2"/>
  <c r="R2879" i="2"/>
  <c r="S2879" i="2"/>
  <c r="T2879" i="2"/>
  <c r="U2879" i="2"/>
  <c r="V2879" i="2"/>
  <c r="W2879" i="2"/>
  <c r="X2879" i="2"/>
  <c r="Y2879" i="2"/>
  <c r="Z2879" i="2"/>
  <c r="AA2879" i="2"/>
  <c r="AB2879" i="2"/>
  <c r="AC2879" i="2"/>
  <c r="AD2879" i="2"/>
  <c r="AE2879" i="2"/>
  <c r="AF2879" i="2"/>
  <c r="AG2879" i="2"/>
  <c r="AH2879" i="2"/>
  <c r="AI2879" i="2"/>
  <c r="AJ2879" i="2"/>
  <c r="AK2879" i="2"/>
  <c r="A2880" i="2"/>
  <c r="B2880" i="2"/>
  <c r="C2880" i="2"/>
  <c r="D2880" i="2"/>
  <c r="E2880" i="2"/>
  <c r="F2880" i="2"/>
  <c r="G2880" i="2"/>
  <c r="H2880" i="2"/>
  <c r="I2880" i="2"/>
  <c r="J2880" i="2"/>
  <c r="K2880" i="2"/>
  <c r="L2880" i="2"/>
  <c r="M2880" i="2"/>
  <c r="N2880" i="2"/>
  <c r="O2880" i="2"/>
  <c r="P2880" i="2"/>
  <c r="Q2880" i="2"/>
  <c r="R2880" i="2"/>
  <c r="S2880" i="2"/>
  <c r="T2880" i="2"/>
  <c r="U2880" i="2"/>
  <c r="V2880" i="2"/>
  <c r="W2880" i="2"/>
  <c r="X2880" i="2"/>
  <c r="Y2880" i="2"/>
  <c r="Z2880" i="2"/>
  <c r="AA2880" i="2"/>
  <c r="AB2880" i="2"/>
  <c r="AC2880" i="2"/>
  <c r="AD2880" i="2"/>
  <c r="AE2880" i="2"/>
  <c r="AF2880" i="2"/>
  <c r="AG2880" i="2"/>
  <c r="AH2880" i="2"/>
  <c r="AI2880" i="2"/>
  <c r="AJ2880" i="2"/>
  <c r="AK2880" i="2"/>
  <c r="A2881" i="2"/>
  <c r="B2881" i="2"/>
  <c r="C2881" i="2"/>
  <c r="D2881" i="2"/>
  <c r="E2881" i="2"/>
  <c r="F2881" i="2"/>
  <c r="G2881" i="2"/>
  <c r="H2881" i="2"/>
  <c r="I2881" i="2"/>
  <c r="J2881" i="2"/>
  <c r="K2881" i="2"/>
  <c r="L2881" i="2"/>
  <c r="M2881" i="2"/>
  <c r="N2881" i="2"/>
  <c r="O2881" i="2"/>
  <c r="P2881" i="2"/>
  <c r="Q2881" i="2"/>
  <c r="R2881" i="2"/>
  <c r="S2881" i="2"/>
  <c r="T2881" i="2"/>
  <c r="U2881" i="2"/>
  <c r="V2881" i="2"/>
  <c r="W2881" i="2"/>
  <c r="X2881" i="2"/>
  <c r="Y2881" i="2"/>
  <c r="Z2881" i="2"/>
  <c r="AA2881" i="2"/>
  <c r="AB2881" i="2"/>
  <c r="AC2881" i="2"/>
  <c r="AD2881" i="2"/>
  <c r="AE2881" i="2"/>
  <c r="AF2881" i="2"/>
  <c r="AG2881" i="2"/>
  <c r="AH2881" i="2"/>
  <c r="AI2881" i="2"/>
  <c r="AJ2881" i="2"/>
  <c r="AK2881" i="2"/>
  <c r="A2882" i="2"/>
  <c r="B2882" i="2"/>
  <c r="C2882" i="2"/>
  <c r="D2882" i="2"/>
  <c r="E2882" i="2"/>
  <c r="F2882" i="2"/>
  <c r="G2882" i="2"/>
  <c r="H2882" i="2"/>
  <c r="I2882" i="2"/>
  <c r="J2882" i="2"/>
  <c r="K2882" i="2"/>
  <c r="L2882" i="2"/>
  <c r="M2882" i="2"/>
  <c r="N2882" i="2"/>
  <c r="O2882" i="2"/>
  <c r="P2882" i="2"/>
  <c r="Q2882" i="2"/>
  <c r="R2882" i="2"/>
  <c r="S2882" i="2"/>
  <c r="T2882" i="2"/>
  <c r="U2882" i="2"/>
  <c r="V2882" i="2"/>
  <c r="W2882" i="2"/>
  <c r="X2882" i="2"/>
  <c r="Y2882" i="2"/>
  <c r="Z2882" i="2"/>
  <c r="AA2882" i="2"/>
  <c r="AB2882" i="2"/>
  <c r="AC2882" i="2"/>
  <c r="AD2882" i="2"/>
  <c r="AE2882" i="2"/>
  <c r="AF2882" i="2"/>
  <c r="AG2882" i="2"/>
  <c r="AH2882" i="2"/>
  <c r="AI2882" i="2"/>
  <c r="AJ2882" i="2"/>
  <c r="AK2882" i="2"/>
  <c r="A2883" i="2"/>
  <c r="B2883" i="2"/>
  <c r="C2883" i="2"/>
  <c r="D2883" i="2"/>
  <c r="E2883" i="2"/>
  <c r="F2883" i="2"/>
  <c r="G2883" i="2"/>
  <c r="H2883" i="2"/>
  <c r="I2883" i="2"/>
  <c r="J2883" i="2"/>
  <c r="K2883" i="2"/>
  <c r="L2883" i="2"/>
  <c r="M2883" i="2"/>
  <c r="N2883" i="2"/>
  <c r="O2883" i="2"/>
  <c r="P2883" i="2"/>
  <c r="Q2883" i="2"/>
  <c r="R2883" i="2"/>
  <c r="S2883" i="2"/>
  <c r="T2883" i="2"/>
  <c r="U2883" i="2"/>
  <c r="V2883" i="2"/>
  <c r="W2883" i="2"/>
  <c r="X2883" i="2"/>
  <c r="Y2883" i="2"/>
  <c r="Z2883" i="2"/>
  <c r="AA2883" i="2"/>
  <c r="AB2883" i="2"/>
  <c r="AC2883" i="2"/>
  <c r="AD2883" i="2"/>
  <c r="AE2883" i="2"/>
  <c r="AF2883" i="2"/>
  <c r="AG2883" i="2"/>
  <c r="AH2883" i="2"/>
  <c r="AI2883" i="2"/>
  <c r="AJ2883" i="2"/>
  <c r="AK2883" i="2"/>
  <c r="A2884" i="2"/>
  <c r="B2884" i="2"/>
  <c r="C2884" i="2"/>
  <c r="D2884" i="2"/>
  <c r="E2884" i="2"/>
  <c r="F2884" i="2"/>
  <c r="G2884" i="2"/>
  <c r="H2884" i="2"/>
  <c r="I2884" i="2"/>
  <c r="J2884" i="2"/>
  <c r="K2884" i="2"/>
  <c r="L2884" i="2"/>
  <c r="M2884" i="2"/>
  <c r="N2884" i="2"/>
  <c r="O2884" i="2"/>
  <c r="P2884" i="2"/>
  <c r="Q2884" i="2"/>
  <c r="R2884" i="2"/>
  <c r="S2884" i="2"/>
  <c r="T2884" i="2"/>
  <c r="U2884" i="2"/>
  <c r="V2884" i="2"/>
  <c r="W2884" i="2"/>
  <c r="X2884" i="2"/>
  <c r="Y2884" i="2"/>
  <c r="Z2884" i="2"/>
  <c r="AA2884" i="2"/>
  <c r="AB2884" i="2"/>
  <c r="AC2884" i="2"/>
  <c r="AD2884" i="2"/>
  <c r="AE2884" i="2"/>
  <c r="AF2884" i="2"/>
  <c r="AG2884" i="2"/>
  <c r="AH2884" i="2"/>
  <c r="AI2884" i="2"/>
  <c r="AJ2884" i="2"/>
  <c r="AK2884" i="2"/>
  <c r="A2885" i="2"/>
  <c r="B2885" i="2"/>
  <c r="C2885" i="2"/>
  <c r="D2885" i="2"/>
  <c r="E2885" i="2"/>
  <c r="F2885" i="2"/>
  <c r="G2885" i="2"/>
  <c r="H2885" i="2"/>
  <c r="I2885" i="2"/>
  <c r="J2885" i="2"/>
  <c r="K2885" i="2"/>
  <c r="L2885" i="2"/>
  <c r="M2885" i="2"/>
  <c r="N2885" i="2"/>
  <c r="O2885" i="2"/>
  <c r="P2885" i="2"/>
  <c r="Q2885" i="2"/>
  <c r="R2885" i="2"/>
  <c r="S2885" i="2"/>
  <c r="T2885" i="2"/>
  <c r="U2885" i="2"/>
  <c r="V2885" i="2"/>
  <c r="W2885" i="2"/>
  <c r="X2885" i="2"/>
  <c r="Y2885" i="2"/>
  <c r="Z2885" i="2"/>
  <c r="AA2885" i="2"/>
  <c r="AB2885" i="2"/>
  <c r="AC2885" i="2"/>
  <c r="AD2885" i="2"/>
  <c r="AE2885" i="2"/>
  <c r="AF2885" i="2"/>
  <c r="AG2885" i="2"/>
  <c r="AH2885" i="2"/>
  <c r="AI2885" i="2"/>
  <c r="AJ2885" i="2"/>
  <c r="AK2885" i="2"/>
  <c r="A2886" i="2"/>
  <c r="B2886" i="2"/>
  <c r="C2886" i="2"/>
  <c r="D2886" i="2"/>
  <c r="E2886" i="2"/>
  <c r="F2886" i="2"/>
  <c r="G2886" i="2"/>
  <c r="H2886" i="2"/>
  <c r="I2886" i="2"/>
  <c r="J2886" i="2"/>
  <c r="K2886" i="2"/>
  <c r="L2886" i="2"/>
  <c r="M2886" i="2"/>
  <c r="N2886" i="2"/>
  <c r="O2886" i="2"/>
  <c r="P2886" i="2"/>
  <c r="Q2886" i="2"/>
  <c r="R2886" i="2"/>
  <c r="S2886" i="2"/>
  <c r="T2886" i="2"/>
  <c r="U2886" i="2"/>
  <c r="V2886" i="2"/>
  <c r="W2886" i="2"/>
  <c r="X2886" i="2"/>
  <c r="Y2886" i="2"/>
  <c r="Z2886" i="2"/>
  <c r="AA2886" i="2"/>
  <c r="AB2886" i="2"/>
  <c r="AC2886" i="2"/>
  <c r="AD2886" i="2"/>
  <c r="AE2886" i="2"/>
  <c r="AF2886" i="2"/>
  <c r="AG2886" i="2"/>
  <c r="AH2886" i="2"/>
  <c r="AI2886" i="2"/>
  <c r="AJ2886" i="2"/>
  <c r="AK2886" i="2"/>
  <c r="A2887" i="2"/>
  <c r="B2887" i="2"/>
  <c r="C2887" i="2"/>
  <c r="D2887" i="2"/>
  <c r="E2887" i="2"/>
  <c r="F2887" i="2"/>
  <c r="G2887" i="2"/>
  <c r="H2887" i="2"/>
  <c r="I2887" i="2"/>
  <c r="J2887" i="2"/>
  <c r="K2887" i="2"/>
  <c r="L2887" i="2"/>
  <c r="M2887" i="2"/>
  <c r="N2887" i="2"/>
  <c r="O2887" i="2"/>
  <c r="P2887" i="2"/>
  <c r="Q2887" i="2"/>
  <c r="R2887" i="2"/>
  <c r="S2887" i="2"/>
  <c r="T2887" i="2"/>
  <c r="U2887" i="2"/>
  <c r="V2887" i="2"/>
  <c r="W2887" i="2"/>
  <c r="X2887" i="2"/>
  <c r="Y2887" i="2"/>
  <c r="Z2887" i="2"/>
  <c r="AA2887" i="2"/>
  <c r="AB2887" i="2"/>
  <c r="AC2887" i="2"/>
  <c r="AD2887" i="2"/>
  <c r="AE2887" i="2"/>
  <c r="AF2887" i="2"/>
  <c r="AG2887" i="2"/>
  <c r="AH2887" i="2"/>
  <c r="AI2887" i="2"/>
  <c r="AJ2887" i="2"/>
  <c r="AK2887" i="2"/>
  <c r="A2888" i="2"/>
  <c r="B2888" i="2"/>
  <c r="C2888" i="2"/>
  <c r="D2888" i="2"/>
  <c r="E2888" i="2"/>
  <c r="F2888" i="2"/>
  <c r="G2888" i="2"/>
  <c r="H2888" i="2"/>
  <c r="I2888" i="2"/>
  <c r="J2888" i="2"/>
  <c r="K2888" i="2"/>
  <c r="L2888" i="2"/>
  <c r="M2888" i="2"/>
  <c r="N2888" i="2"/>
  <c r="O2888" i="2"/>
  <c r="P2888" i="2"/>
  <c r="Q2888" i="2"/>
  <c r="R2888" i="2"/>
  <c r="S2888" i="2"/>
  <c r="T2888" i="2"/>
  <c r="U2888" i="2"/>
  <c r="V2888" i="2"/>
  <c r="W2888" i="2"/>
  <c r="X2888" i="2"/>
  <c r="Y2888" i="2"/>
  <c r="Z2888" i="2"/>
  <c r="AA2888" i="2"/>
  <c r="AB2888" i="2"/>
  <c r="AC2888" i="2"/>
  <c r="AD2888" i="2"/>
  <c r="AE2888" i="2"/>
  <c r="AF2888" i="2"/>
  <c r="AG2888" i="2"/>
  <c r="AH2888" i="2"/>
  <c r="AI2888" i="2"/>
  <c r="AJ2888" i="2"/>
  <c r="AK2888" i="2"/>
  <c r="A2889" i="2"/>
  <c r="B2889" i="2"/>
  <c r="C2889" i="2"/>
  <c r="D2889" i="2"/>
  <c r="E2889" i="2"/>
  <c r="F2889" i="2"/>
  <c r="G2889" i="2"/>
  <c r="H2889" i="2"/>
  <c r="I2889" i="2"/>
  <c r="J2889" i="2"/>
  <c r="K2889" i="2"/>
  <c r="L2889" i="2"/>
  <c r="M2889" i="2"/>
  <c r="N2889" i="2"/>
  <c r="O2889" i="2"/>
  <c r="P2889" i="2"/>
  <c r="Q2889" i="2"/>
  <c r="R2889" i="2"/>
  <c r="S2889" i="2"/>
  <c r="T2889" i="2"/>
  <c r="U2889" i="2"/>
  <c r="V2889" i="2"/>
  <c r="W2889" i="2"/>
  <c r="X2889" i="2"/>
  <c r="Y2889" i="2"/>
  <c r="Z2889" i="2"/>
  <c r="AA2889" i="2"/>
  <c r="AB2889" i="2"/>
  <c r="AC2889" i="2"/>
  <c r="AD2889" i="2"/>
  <c r="AE2889" i="2"/>
  <c r="AF2889" i="2"/>
  <c r="AG2889" i="2"/>
  <c r="AH2889" i="2"/>
  <c r="AI2889" i="2"/>
  <c r="AJ2889" i="2"/>
  <c r="AK2889" i="2"/>
  <c r="A2890" i="2"/>
  <c r="B2890" i="2"/>
  <c r="C2890" i="2"/>
  <c r="D2890" i="2"/>
  <c r="E2890" i="2"/>
  <c r="F2890" i="2"/>
  <c r="G2890" i="2"/>
  <c r="H2890" i="2"/>
  <c r="I2890" i="2"/>
  <c r="J2890" i="2"/>
  <c r="K2890" i="2"/>
  <c r="L2890" i="2"/>
  <c r="M2890" i="2"/>
  <c r="N2890" i="2"/>
  <c r="O2890" i="2"/>
  <c r="P2890" i="2"/>
  <c r="Q2890" i="2"/>
  <c r="R2890" i="2"/>
  <c r="S2890" i="2"/>
  <c r="T2890" i="2"/>
  <c r="U2890" i="2"/>
  <c r="V2890" i="2"/>
  <c r="W2890" i="2"/>
  <c r="X2890" i="2"/>
  <c r="Y2890" i="2"/>
  <c r="Z2890" i="2"/>
  <c r="AA2890" i="2"/>
  <c r="AB2890" i="2"/>
  <c r="AC2890" i="2"/>
  <c r="AD2890" i="2"/>
  <c r="AE2890" i="2"/>
  <c r="AF2890" i="2"/>
  <c r="AG2890" i="2"/>
  <c r="AH2890" i="2"/>
  <c r="AI2890" i="2"/>
  <c r="AJ2890" i="2"/>
  <c r="AK2890" i="2"/>
  <c r="A2891" i="2"/>
  <c r="B2891" i="2"/>
  <c r="C2891" i="2"/>
  <c r="D2891" i="2"/>
  <c r="E2891" i="2"/>
  <c r="F2891" i="2"/>
  <c r="G2891" i="2"/>
  <c r="H2891" i="2"/>
  <c r="I2891" i="2"/>
  <c r="J2891" i="2"/>
  <c r="K2891" i="2"/>
  <c r="L2891" i="2"/>
  <c r="M2891" i="2"/>
  <c r="N2891" i="2"/>
  <c r="O2891" i="2"/>
  <c r="P2891" i="2"/>
  <c r="Q2891" i="2"/>
  <c r="R2891" i="2"/>
  <c r="S2891" i="2"/>
  <c r="T2891" i="2"/>
  <c r="U2891" i="2"/>
  <c r="V2891" i="2"/>
  <c r="W2891" i="2"/>
  <c r="X2891" i="2"/>
  <c r="Y2891" i="2"/>
  <c r="Z2891" i="2"/>
  <c r="AA2891" i="2"/>
  <c r="AB2891" i="2"/>
  <c r="AC2891" i="2"/>
  <c r="AD2891" i="2"/>
  <c r="AE2891" i="2"/>
  <c r="AF2891" i="2"/>
  <c r="AG2891" i="2"/>
  <c r="AH2891" i="2"/>
  <c r="AI2891" i="2"/>
  <c r="AJ2891" i="2"/>
  <c r="AK2891" i="2"/>
  <c r="A2892" i="2"/>
  <c r="B2892" i="2"/>
  <c r="C2892" i="2"/>
  <c r="D2892" i="2"/>
  <c r="E2892" i="2"/>
  <c r="F2892" i="2"/>
  <c r="G2892" i="2"/>
  <c r="H2892" i="2"/>
  <c r="I2892" i="2"/>
  <c r="J2892" i="2"/>
  <c r="K2892" i="2"/>
  <c r="L2892" i="2"/>
  <c r="M2892" i="2"/>
  <c r="N2892" i="2"/>
  <c r="O2892" i="2"/>
  <c r="P2892" i="2"/>
  <c r="Q2892" i="2"/>
  <c r="R2892" i="2"/>
  <c r="S2892" i="2"/>
  <c r="T2892" i="2"/>
  <c r="U2892" i="2"/>
  <c r="V2892" i="2"/>
  <c r="W2892" i="2"/>
  <c r="X2892" i="2"/>
  <c r="Y2892" i="2"/>
  <c r="Z2892" i="2"/>
  <c r="AA2892" i="2"/>
  <c r="AB2892" i="2"/>
  <c r="AC2892" i="2"/>
  <c r="AD2892" i="2"/>
  <c r="AE2892" i="2"/>
  <c r="AF2892" i="2"/>
  <c r="AG2892" i="2"/>
  <c r="AH2892" i="2"/>
  <c r="AI2892" i="2"/>
  <c r="AJ2892" i="2"/>
  <c r="AK2892" i="2"/>
  <c r="A2893" i="2"/>
  <c r="B2893" i="2"/>
  <c r="C2893" i="2"/>
  <c r="D2893" i="2"/>
  <c r="E2893" i="2"/>
  <c r="F2893" i="2"/>
  <c r="G2893" i="2"/>
  <c r="H2893" i="2"/>
  <c r="I2893" i="2"/>
  <c r="J2893" i="2"/>
  <c r="K2893" i="2"/>
  <c r="L2893" i="2"/>
  <c r="M2893" i="2"/>
  <c r="N2893" i="2"/>
  <c r="O2893" i="2"/>
  <c r="P2893" i="2"/>
  <c r="Q2893" i="2"/>
  <c r="R2893" i="2"/>
  <c r="S2893" i="2"/>
  <c r="T2893" i="2"/>
  <c r="U2893" i="2"/>
  <c r="V2893" i="2"/>
  <c r="W2893" i="2"/>
  <c r="X2893" i="2"/>
  <c r="Y2893" i="2"/>
  <c r="Z2893" i="2"/>
  <c r="AA2893" i="2"/>
  <c r="AB2893" i="2"/>
  <c r="AC2893" i="2"/>
  <c r="AD2893" i="2"/>
  <c r="AE2893" i="2"/>
  <c r="AF2893" i="2"/>
  <c r="AG2893" i="2"/>
  <c r="AH2893" i="2"/>
  <c r="AI2893" i="2"/>
  <c r="AJ2893" i="2"/>
  <c r="AK2893" i="2"/>
  <c r="A2894" i="2"/>
  <c r="B2894" i="2"/>
  <c r="C2894" i="2"/>
  <c r="D2894" i="2"/>
  <c r="E2894" i="2"/>
  <c r="F2894" i="2"/>
  <c r="G2894" i="2"/>
  <c r="H2894" i="2"/>
  <c r="I2894" i="2"/>
  <c r="J2894" i="2"/>
  <c r="K2894" i="2"/>
  <c r="L2894" i="2"/>
  <c r="M2894" i="2"/>
  <c r="N2894" i="2"/>
  <c r="O2894" i="2"/>
  <c r="P2894" i="2"/>
  <c r="Q2894" i="2"/>
  <c r="R2894" i="2"/>
  <c r="S2894" i="2"/>
  <c r="T2894" i="2"/>
  <c r="U2894" i="2"/>
  <c r="V2894" i="2"/>
  <c r="W2894" i="2"/>
  <c r="X2894" i="2"/>
  <c r="Y2894" i="2"/>
  <c r="Z2894" i="2"/>
  <c r="AA2894" i="2"/>
  <c r="AB2894" i="2"/>
  <c r="AC2894" i="2"/>
  <c r="AD2894" i="2"/>
  <c r="AE2894" i="2"/>
  <c r="AF2894" i="2"/>
  <c r="AG2894" i="2"/>
  <c r="AH2894" i="2"/>
  <c r="AI2894" i="2"/>
  <c r="AJ2894" i="2"/>
  <c r="AK2894" i="2"/>
  <c r="A2895" i="2"/>
  <c r="B2895" i="2"/>
  <c r="C2895" i="2"/>
  <c r="D2895" i="2"/>
  <c r="E2895" i="2"/>
  <c r="F2895" i="2"/>
  <c r="G2895" i="2"/>
  <c r="H2895" i="2"/>
  <c r="I2895" i="2"/>
  <c r="J2895" i="2"/>
  <c r="K2895" i="2"/>
  <c r="L2895" i="2"/>
  <c r="M2895" i="2"/>
  <c r="N2895" i="2"/>
  <c r="O2895" i="2"/>
  <c r="P2895" i="2"/>
  <c r="Q2895" i="2"/>
  <c r="R2895" i="2"/>
  <c r="S2895" i="2"/>
  <c r="T2895" i="2"/>
  <c r="U2895" i="2"/>
  <c r="V2895" i="2"/>
  <c r="W2895" i="2"/>
  <c r="X2895" i="2"/>
  <c r="Y2895" i="2"/>
  <c r="Z2895" i="2"/>
  <c r="AA2895" i="2"/>
  <c r="AB2895" i="2"/>
  <c r="AC2895" i="2"/>
  <c r="AD2895" i="2"/>
  <c r="AE2895" i="2"/>
  <c r="AF2895" i="2"/>
  <c r="AG2895" i="2"/>
  <c r="AH2895" i="2"/>
  <c r="AI2895" i="2"/>
  <c r="AJ2895" i="2"/>
  <c r="AK2895" i="2"/>
  <c r="A2896" i="2"/>
  <c r="B2896" i="2"/>
  <c r="C2896" i="2"/>
  <c r="D2896" i="2"/>
  <c r="E2896" i="2"/>
  <c r="F2896" i="2"/>
  <c r="G2896" i="2"/>
  <c r="H2896" i="2"/>
  <c r="I2896" i="2"/>
  <c r="J2896" i="2"/>
  <c r="K2896" i="2"/>
  <c r="L2896" i="2"/>
  <c r="M2896" i="2"/>
  <c r="N2896" i="2"/>
  <c r="O2896" i="2"/>
  <c r="P2896" i="2"/>
  <c r="Q2896" i="2"/>
  <c r="R2896" i="2"/>
  <c r="S2896" i="2"/>
  <c r="T2896" i="2"/>
  <c r="U2896" i="2"/>
  <c r="V2896" i="2"/>
  <c r="W2896" i="2"/>
  <c r="X2896" i="2"/>
  <c r="Y2896" i="2"/>
  <c r="Z2896" i="2"/>
  <c r="AA2896" i="2"/>
  <c r="AB2896" i="2"/>
  <c r="AC2896" i="2"/>
  <c r="AD2896" i="2"/>
  <c r="AE2896" i="2"/>
  <c r="AF2896" i="2"/>
  <c r="AG2896" i="2"/>
  <c r="AH2896" i="2"/>
  <c r="AI2896" i="2"/>
  <c r="AJ2896" i="2"/>
  <c r="AK2896" i="2"/>
  <c r="A2897" i="2"/>
  <c r="B2897" i="2"/>
  <c r="C2897" i="2"/>
  <c r="D2897" i="2"/>
  <c r="E2897" i="2"/>
  <c r="F2897" i="2"/>
  <c r="G2897" i="2"/>
  <c r="H2897" i="2"/>
  <c r="I2897" i="2"/>
  <c r="J2897" i="2"/>
  <c r="K2897" i="2"/>
  <c r="L2897" i="2"/>
  <c r="M2897" i="2"/>
  <c r="N2897" i="2"/>
  <c r="O2897" i="2"/>
  <c r="P2897" i="2"/>
  <c r="Q2897" i="2"/>
  <c r="R2897" i="2"/>
  <c r="S2897" i="2"/>
  <c r="T2897" i="2"/>
  <c r="U2897" i="2"/>
  <c r="V2897" i="2"/>
  <c r="W2897" i="2"/>
  <c r="X2897" i="2"/>
  <c r="Y2897" i="2"/>
  <c r="Z2897" i="2"/>
  <c r="AA2897" i="2"/>
  <c r="AB2897" i="2"/>
  <c r="AC2897" i="2"/>
  <c r="AD2897" i="2"/>
  <c r="AE2897" i="2"/>
  <c r="AF2897" i="2"/>
  <c r="AG2897" i="2"/>
  <c r="AH2897" i="2"/>
  <c r="AI2897" i="2"/>
  <c r="AJ2897" i="2"/>
  <c r="AK2897" i="2"/>
  <c r="A2898" i="2"/>
  <c r="B2898" i="2"/>
  <c r="C2898" i="2"/>
  <c r="D2898" i="2"/>
  <c r="E2898" i="2"/>
  <c r="F2898" i="2"/>
  <c r="G2898" i="2"/>
  <c r="H2898" i="2"/>
  <c r="I2898" i="2"/>
  <c r="J2898" i="2"/>
  <c r="K2898" i="2"/>
  <c r="L2898" i="2"/>
  <c r="M2898" i="2"/>
  <c r="N2898" i="2"/>
  <c r="O2898" i="2"/>
  <c r="P2898" i="2"/>
  <c r="Q2898" i="2"/>
  <c r="R2898" i="2"/>
  <c r="S2898" i="2"/>
  <c r="T2898" i="2"/>
  <c r="U2898" i="2"/>
  <c r="V2898" i="2"/>
  <c r="W2898" i="2"/>
  <c r="X2898" i="2"/>
  <c r="Y2898" i="2"/>
  <c r="Z2898" i="2"/>
  <c r="AA2898" i="2"/>
  <c r="AB2898" i="2"/>
  <c r="AC2898" i="2"/>
  <c r="AD2898" i="2"/>
  <c r="AE2898" i="2"/>
  <c r="AF2898" i="2"/>
  <c r="AG2898" i="2"/>
  <c r="AH2898" i="2"/>
  <c r="AI2898" i="2"/>
  <c r="AJ2898" i="2"/>
  <c r="AK2898" i="2"/>
  <c r="A2899" i="2"/>
  <c r="B2899" i="2"/>
  <c r="C2899" i="2"/>
  <c r="D2899" i="2"/>
  <c r="E2899" i="2"/>
  <c r="F2899" i="2"/>
  <c r="G2899" i="2"/>
  <c r="H2899" i="2"/>
  <c r="I2899" i="2"/>
  <c r="J2899" i="2"/>
  <c r="K2899" i="2"/>
  <c r="L2899" i="2"/>
  <c r="M2899" i="2"/>
  <c r="N2899" i="2"/>
  <c r="O2899" i="2"/>
  <c r="P2899" i="2"/>
  <c r="Q2899" i="2"/>
  <c r="R2899" i="2"/>
  <c r="S2899" i="2"/>
  <c r="T2899" i="2"/>
  <c r="U2899" i="2"/>
  <c r="V2899" i="2"/>
  <c r="W2899" i="2"/>
  <c r="X2899" i="2"/>
  <c r="Y2899" i="2"/>
  <c r="Z2899" i="2"/>
  <c r="AA2899" i="2"/>
  <c r="AB2899" i="2"/>
  <c r="AC2899" i="2"/>
  <c r="AD2899" i="2"/>
  <c r="AE2899" i="2"/>
  <c r="AF2899" i="2"/>
  <c r="AG2899" i="2"/>
  <c r="AH2899" i="2"/>
  <c r="AI2899" i="2"/>
  <c r="AJ2899" i="2"/>
  <c r="AK2899" i="2"/>
  <c r="A2900" i="2"/>
  <c r="B2900" i="2"/>
  <c r="C2900" i="2"/>
  <c r="D2900" i="2"/>
  <c r="E2900" i="2"/>
  <c r="F2900" i="2"/>
  <c r="G2900" i="2"/>
  <c r="H2900" i="2"/>
  <c r="I2900" i="2"/>
  <c r="J2900" i="2"/>
  <c r="K2900" i="2"/>
  <c r="L2900" i="2"/>
  <c r="M2900" i="2"/>
  <c r="N2900" i="2"/>
  <c r="O2900" i="2"/>
  <c r="P2900" i="2"/>
  <c r="Q2900" i="2"/>
  <c r="R2900" i="2"/>
  <c r="S2900" i="2"/>
  <c r="T2900" i="2"/>
  <c r="U2900" i="2"/>
  <c r="V2900" i="2"/>
  <c r="W2900" i="2"/>
  <c r="X2900" i="2"/>
  <c r="Y2900" i="2"/>
  <c r="Z2900" i="2"/>
  <c r="AA2900" i="2"/>
  <c r="AB2900" i="2"/>
  <c r="AC2900" i="2"/>
  <c r="AD2900" i="2"/>
  <c r="AE2900" i="2"/>
  <c r="AF2900" i="2"/>
  <c r="AG2900" i="2"/>
  <c r="AH2900" i="2"/>
  <c r="AI2900" i="2"/>
  <c r="AJ2900" i="2"/>
  <c r="AK2900" i="2"/>
  <c r="A2901" i="2"/>
  <c r="B2901" i="2"/>
  <c r="C2901" i="2"/>
  <c r="D2901" i="2"/>
  <c r="E2901" i="2"/>
  <c r="F2901" i="2"/>
  <c r="G2901" i="2"/>
  <c r="H2901" i="2"/>
  <c r="I2901" i="2"/>
  <c r="J2901" i="2"/>
  <c r="K2901" i="2"/>
  <c r="L2901" i="2"/>
  <c r="M2901" i="2"/>
  <c r="N2901" i="2"/>
  <c r="O2901" i="2"/>
  <c r="P2901" i="2"/>
  <c r="Q2901" i="2"/>
  <c r="R2901" i="2"/>
  <c r="S2901" i="2"/>
  <c r="T2901" i="2"/>
  <c r="U2901" i="2"/>
  <c r="V2901" i="2"/>
  <c r="W2901" i="2"/>
  <c r="X2901" i="2"/>
  <c r="Y2901" i="2"/>
  <c r="Z2901" i="2"/>
  <c r="AA2901" i="2"/>
  <c r="AB2901" i="2"/>
  <c r="AC2901" i="2"/>
  <c r="AD2901" i="2"/>
  <c r="AE2901" i="2"/>
  <c r="AF2901" i="2"/>
  <c r="AG2901" i="2"/>
  <c r="AH2901" i="2"/>
  <c r="AI2901" i="2"/>
  <c r="AJ2901" i="2"/>
  <c r="AK2901" i="2"/>
  <c r="A2902" i="2"/>
  <c r="B2902" i="2"/>
  <c r="C2902" i="2"/>
  <c r="D2902" i="2"/>
  <c r="E2902" i="2"/>
  <c r="F2902" i="2"/>
  <c r="G2902" i="2"/>
  <c r="H2902" i="2"/>
  <c r="I2902" i="2"/>
  <c r="J2902" i="2"/>
  <c r="K2902" i="2"/>
  <c r="L2902" i="2"/>
  <c r="M2902" i="2"/>
  <c r="N2902" i="2"/>
  <c r="O2902" i="2"/>
  <c r="P2902" i="2"/>
  <c r="Q2902" i="2"/>
  <c r="R2902" i="2"/>
  <c r="S2902" i="2"/>
  <c r="T2902" i="2"/>
  <c r="U2902" i="2"/>
  <c r="V2902" i="2"/>
  <c r="W2902" i="2"/>
  <c r="X2902" i="2"/>
  <c r="Y2902" i="2"/>
  <c r="Z2902" i="2"/>
  <c r="AA2902" i="2"/>
  <c r="AB2902" i="2"/>
  <c r="AC2902" i="2"/>
  <c r="AD2902" i="2"/>
  <c r="AE2902" i="2"/>
  <c r="AF2902" i="2"/>
  <c r="AG2902" i="2"/>
  <c r="AH2902" i="2"/>
  <c r="AI2902" i="2"/>
  <c r="AJ2902" i="2"/>
  <c r="AK2902" i="2"/>
  <c r="A2903" i="2"/>
  <c r="B2903" i="2"/>
  <c r="C2903" i="2"/>
  <c r="D2903" i="2"/>
  <c r="E2903" i="2"/>
  <c r="F2903" i="2"/>
  <c r="G2903" i="2"/>
  <c r="H2903" i="2"/>
  <c r="I2903" i="2"/>
  <c r="J2903" i="2"/>
  <c r="K2903" i="2"/>
  <c r="L2903" i="2"/>
  <c r="M2903" i="2"/>
  <c r="N2903" i="2"/>
  <c r="O2903" i="2"/>
  <c r="P2903" i="2"/>
  <c r="Q2903" i="2"/>
  <c r="R2903" i="2"/>
  <c r="S2903" i="2"/>
  <c r="T2903" i="2"/>
  <c r="U2903" i="2"/>
  <c r="V2903" i="2"/>
  <c r="W2903" i="2"/>
  <c r="X2903" i="2"/>
  <c r="Y2903" i="2"/>
  <c r="Z2903" i="2"/>
  <c r="AA2903" i="2"/>
  <c r="AB2903" i="2"/>
  <c r="AC2903" i="2"/>
  <c r="AD2903" i="2"/>
  <c r="AE2903" i="2"/>
  <c r="AF2903" i="2"/>
  <c r="AG2903" i="2"/>
  <c r="AH2903" i="2"/>
  <c r="AI2903" i="2"/>
  <c r="AJ2903" i="2"/>
  <c r="AK2903" i="2"/>
  <c r="A2904" i="2"/>
  <c r="B2904" i="2"/>
  <c r="C2904" i="2"/>
  <c r="D2904" i="2"/>
  <c r="E2904" i="2"/>
  <c r="F2904" i="2"/>
  <c r="G2904" i="2"/>
  <c r="H2904" i="2"/>
  <c r="I2904" i="2"/>
  <c r="J2904" i="2"/>
  <c r="K2904" i="2"/>
  <c r="L2904" i="2"/>
  <c r="M2904" i="2"/>
  <c r="N2904" i="2"/>
  <c r="O2904" i="2"/>
  <c r="P2904" i="2"/>
  <c r="Q2904" i="2"/>
  <c r="R2904" i="2"/>
  <c r="S2904" i="2"/>
  <c r="T2904" i="2"/>
  <c r="U2904" i="2"/>
  <c r="V2904" i="2"/>
  <c r="W2904" i="2"/>
  <c r="X2904" i="2"/>
  <c r="Y2904" i="2"/>
  <c r="Z2904" i="2"/>
  <c r="AA2904" i="2"/>
  <c r="AB2904" i="2"/>
  <c r="AC2904" i="2"/>
  <c r="AD2904" i="2"/>
  <c r="AE2904" i="2"/>
  <c r="AF2904" i="2"/>
  <c r="AG2904" i="2"/>
  <c r="AH2904" i="2"/>
  <c r="AI2904" i="2"/>
  <c r="AJ2904" i="2"/>
  <c r="AK2904" i="2"/>
  <c r="A2905" i="2"/>
  <c r="B2905" i="2"/>
  <c r="C2905" i="2"/>
  <c r="D2905" i="2"/>
  <c r="E2905" i="2"/>
  <c r="F2905" i="2"/>
  <c r="G2905" i="2"/>
  <c r="H2905" i="2"/>
  <c r="I2905" i="2"/>
  <c r="J2905" i="2"/>
  <c r="K2905" i="2"/>
  <c r="L2905" i="2"/>
  <c r="M2905" i="2"/>
  <c r="N2905" i="2"/>
  <c r="O2905" i="2"/>
  <c r="P2905" i="2"/>
  <c r="Q2905" i="2"/>
  <c r="R2905" i="2"/>
  <c r="S2905" i="2"/>
  <c r="T2905" i="2"/>
  <c r="U2905" i="2"/>
  <c r="V2905" i="2"/>
  <c r="W2905" i="2"/>
  <c r="X2905" i="2"/>
  <c r="Y2905" i="2"/>
  <c r="Z2905" i="2"/>
  <c r="AA2905" i="2"/>
  <c r="AB2905" i="2"/>
  <c r="AC2905" i="2"/>
  <c r="AD2905" i="2"/>
  <c r="AE2905" i="2"/>
  <c r="AF2905" i="2"/>
  <c r="AG2905" i="2"/>
  <c r="AH2905" i="2"/>
  <c r="AI2905" i="2"/>
  <c r="AJ2905" i="2"/>
  <c r="AK2905" i="2"/>
  <c r="A2906" i="2"/>
  <c r="B2906" i="2"/>
  <c r="C2906" i="2"/>
  <c r="D2906" i="2"/>
  <c r="E2906" i="2"/>
  <c r="F2906" i="2"/>
  <c r="G2906" i="2"/>
  <c r="H2906" i="2"/>
  <c r="I2906" i="2"/>
  <c r="J2906" i="2"/>
  <c r="K2906" i="2"/>
  <c r="L2906" i="2"/>
  <c r="M2906" i="2"/>
  <c r="N2906" i="2"/>
  <c r="O2906" i="2"/>
  <c r="P2906" i="2"/>
  <c r="Q2906" i="2"/>
  <c r="R2906" i="2"/>
  <c r="S2906" i="2"/>
  <c r="T2906" i="2"/>
  <c r="U2906" i="2"/>
  <c r="V2906" i="2"/>
  <c r="W2906" i="2"/>
  <c r="X2906" i="2"/>
  <c r="Y2906" i="2"/>
  <c r="Z2906" i="2"/>
  <c r="AA2906" i="2"/>
  <c r="AB2906" i="2"/>
  <c r="AC2906" i="2"/>
  <c r="AD2906" i="2"/>
  <c r="AE2906" i="2"/>
  <c r="AF2906" i="2"/>
  <c r="AG2906" i="2"/>
  <c r="AH2906" i="2"/>
  <c r="AI2906" i="2"/>
  <c r="AJ2906" i="2"/>
  <c r="AK2906" i="2"/>
  <c r="A2907" i="2"/>
  <c r="B2907" i="2"/>
  <c r="C2907" i="2"/>
  <c r="D2907" i="2"/>
  <c r="E2907" i="2"/>
  <c r="F2907" i="2"/>
  <c r="G2907" i="2"/>
  <c r="H2907" i="2"/>
  <c r="I2907" i="2"/>
  <c r="J2907" i="2"/>
  <c r="K2907" i="2"/>
  <c r="L2907" i="2"/>
  <c r="M2907" i="2"/>
  <c r="N2907" i="2"/>
  <c r="O2907" i="2"/>
  <c r="P2907" i="2"/>
  <c r="Q2907" i="2"/>
  <c r="R2907" i="2"/>
  <c r="S2907" i="2"/>
  <c r="T2907" i="2"/>
  <c r="U2907" i="2"/>
  <c r="V2907" i="2"/>
  <c r="W2907" i="2"/>
  <c r="X2907" i="2"/>
  <c r="Y2907" i="2"/>
  <c r="Z2907" i="2"/>
  <c r="AA2907" i="2"/>
  <c r="AB2907" i="2"/>
  <c r="AC2907" i="2"/>
  <c r="AD2907" i="2"/>
  <c r="AE2907" i="2"/>
  <c r="AF2907" i="2"/>
  <c r="AG2907" i="2"/>
  <c r="AH2907" i="2"/>
  <c r="AI2907" i="2"/>
  <c r="AJ2907" i="2"/>
  <c r="AK2907" i="2"/>
  <c r="A2908" i="2"/>
  <c r="B2908" i="2"/>
  <c r="C2908" i="2"/>
  <c r="D2908" i="2"/>
  <c r="E2908" i="2"/>
  <c r="F2908" i="2"/>
  <c r="G2908" i="2"/>
  <c r="H2908" i="2"/>
  <c r="I2908" i="2"/>
  <c r="J2908" i="2"/>
  <c r="K2908" i="2"/>
  <c r="L2908" i="2"/>
  <c r="M2908" i="2"/>
  <c r="N2908" i="2"/>
  <c r="O2908" i="2"/>
  <c r="P2908" i="2"/>
  <c r="Q2908" i="2"/>
  <c r="R2908" i="2"/>
  <c r="S2908" i="2"/>
  <c r="T2908" i="2"/>
  <c r="U2908" i="2"/>
  <c r="V2908" i="2"/>
  <c r="W2908" i="2"/>
  <c r="X2908" i="2"/>
  <c r="Y2908" i="2"/>
  <c r="Z2908" i="2"/>
  <c r="AA2908" i="2"/>
  <c r="AB2908" i="2"/>
  <c r="AC2908" i="2"/>
  <c r="AD2908" i="2"/>
  <c r="AE2908" i="2"/>
  <c r="AF2908" i="2"/>
  <c r="AG2908" i="2"/>
  <c r="AH2908" i="2"/>
  <c r="AI2908" i="2"/>
  <c r="AJ2908" i="2"/>
  <c r="AK2908" i="2"/>
  <c r="A2909" i="2"/>
  <c r="B2909" i="2"/>
  <c r="C2909" i="2"/>
  <c r="D2909" i="2"/>
  <c r="E2909" i="2"/>
  <c r="F2909" i="2"/>
  <c r="G2909" i="2"/>
  <c r="H2909" i="2"/>
  <c r="I2909" i="2"/>
  <c r="J2909" i="2"/>
  <c r="K2909" i="2"/>
  <c r="L2909" i="2"/>
  <c r="M2909" i="2"/>
  <c r="N2909" i="2"/>
  <c r="O2909" i="2"/>
  <c r="P2909" i="2"/>
  <c r="Q2909" i="2"/>
  <c r="R2909" i="2"/>
  <c r="S2909" i="2"/>
  <c r="T2909" i="2"/>
  <c r="U2909" i="2"/>
  <c r="V2909" i="2"/>
  <c r="W2909" i="2"/>
  <c r="X2909" i="2"/>
  <c r="Y2909" i="2"/>
  <c r="Z2909" i="2"/>
  <c r="AA2909" i="2"/>
  <c r="AB2909" i="2"/>
  <c r="AC2909" i="2"/>
  <c r="AD2909" i="2"/>
  <c r="AE2909" i="2"/>
  <c r="AF2909" i="2"/>
  <c r="AG2909" i="2"/>
  <c r="AH2909" i="2"/>
  <c r="AI2909" i="2"/>
  <c r="AJ2909" i="2"/>
  <c r="AK2909" i="2"/>
  <c r="A2910" i="2"/>
  <c r="B2910" i="2"/>
  <c r="C2910" i="2"/>
  <c r="D2910" i="2"/>
  <c r="E2910" i="2"/>
  <c r="F2910" i="2"/>
  <c r="G2910" i="2"/>
  <c r="H2910" i="2"/>
  <c r="I2910" i="2"/>
  <c r="J2910" i="2"/>
  <c r="K2910" i="2"/>
  <c r="L2910" i="2"/>
  <c r="M2910" i="2"/>
  <c r="N2910" i="2"/>
  <c r="O2910" i="2"/>
  <c r="P2910" i="2"/>
  <c r="Q2910" i="2"/>
  <c r="R2910" i="2"/>
  <c r="S2910" i="2"/>
  <c r="T2910" i="2"/>
  <c r="U2910" i="2"/>
  <c r="V2910" i="2"/>
  <c r="W2910" i="2"/>
  <c r="X2910" i="2"/>
  <c r="Y2910" i="2"/>
  <c r="Z2910" i="2"/>
  <c r="AA2910" i="2"/>
  <c r="AB2910" i="2"/>
  <c r="AC2910" i="2"/>
  <c r="AD2910" i="2"/>
  <c r="AE2910" i="2"/>
  <c r="AF2910" i="2"/>
  <c r="AG2910" i="2"/>
  <c r="AH2910" i="2"/>
  <c r="AI2910" i="2"/>
  <c r="AJ2910" i="2"/>
  <c r="AK2910" i="2"/>
  <c r="A2911" i="2"/>
  <c r="B2911" i="2"/>
  <c r="C2911" i="2"/>
  <c r="D2911" i="2"/>
  <c r="E2911" i="2"/>
  <c r="F2911" i="2"/>
  <c r="G2911" i="2"/>
  <c r="H2911" i="2"/>
  <c r="I2911" i="2"/>
  <c r="J2911" i="2"/>
  <c r="K2911" i="2"/>
  <c r="L2911" i="2"/>
  <c r="M2911" i="2"/>
  <c r="N2911" i="2"/>
  <c r="O2911" i="2"/>
  <c r="P2911" i="2"/>
  <c r="Q2911" i="2"/>
  <c r="R2911" i="2"/>
  <c r="S2911" i="2"/>
  <c r="T2911" i="2"/>
  <c r="U2911" i="2"/>
  <c r="V2911" i="2"/>
  <c r="W2911" i="2"/>
  <c r="X2911" i="2"/>
  <c r="Y2911" i="2"/>
  <c r="Z2911" i="2"/>
  <c r="AA2911" i="2"/>
  <c r="AB2911" i="2"/>
  <c r="AC2911" i="2"/>
  <c r="AD2911" i="2"/>
  <c r="AE2911" i="2"/>
  <c r="AF2911" i="2"/>
  <c r="AG2911" i="2"/>
  <c r="AH2911" i="2"/>
  <c r="AI2911" i="2"/>
  <c r="AJ2911" i="2"/>
  <c r="AK2911" i="2"/>
  <c r="A2912" i="2"/>
  <c r="B2912" i="2"/>
  <c r="C2912" i="2"/>
  <c r="D2912" i="2"/>
  <c r="E2912" i="2"/>
  <c r="F2912" i="2"/>
  <c r="G2912" i="2"/>
  <c r="H2912" i="2"/>
  <c r="I2912" i="2"/>
  <c r="J2912" i="2"/>
  <c r="K2912" i="2"/>
  <c r="L2912" i="2"/>
  <c r="M2912" i="2"/>
  <c r="N2912" i="2"/>
  <c r="O2912" i="2"/>
  <c r="P2912" i="2"/>
  <c r="Q2912" i="2"/>
  <c r="R2912" i="2"/>
  <c r="S2912" i="2"/>
  <c r="T2912" i="2"/>
  <c r="U2912" i="2"/>
  <c r="V2912" i="2"/>
  <c r="W2912" i="2"/>
  <c r="X2912" i="2"/>
  <c r="Y2912" i="2"/>
  <c r="Z2912" i="2"/>
  <c r="AA2912" i="2"/>
  <c r="AB2912" i="2"/>
  <c r="AC2912" i="2"/>
  <c r="AD2912" i="2"/>
  <c r="AE2912" i="2"/>
  <c r="AF2912" i="2"/>
  <c r="AG2912" i="2"/>
  <c r="AH2912" i="2"/>
  <c r="AI2912" i="2"/>
  <c r="AJ2912" i="2"/>
  <c r="AK2912" i="2"/>
  <c r="A2913" i="2"/>
  <c r="B2913" i="2"/>
  <c r="C2913" i="2"/>
  <c r="D2913" i="2"/>
  <c r="E2913" i="2"/>
  <c r="F2913" i="2"/>
  <c r="G2913" i="2"/>
  <c r="H2913" i="2"/>
  <c r="I2913" i="2"/>
  <c r="J2913" i="2"/>
  <c r="K2913" i="2"/>
  <c r="L2913" i="2"/>
  <c r="M2913" i="2"/>
  <c r="N2913" i="2"/>
  <c r="O2913" i="2"/>
  <c r="P2913" i="2"/>
  <c r="Q2913" i="2"/>
  <c r="R2913" i="2"/>
  <c r="S2913" i="2"/>
  <c r="T2913" i="2"/>
  <c r="U2913" i="2"/>
  <c r="V2913" i="2"/>
  <c r="W2913" i="2"/>
  <c r="X2913" i="2"/>
  <c r="Y2913" i="2"/>
  <c r="Z2913" i="2"/>
  <c r="AA2913" i="2"/>
  <c r="AB2913" i="2"/>
  <c r="AC2913" i="2"/>
  <c r="AD2913" i="2"/>
  <c r="AE2913" i="2"/>
  <c r="AF2913" i="2"/>
  <c r="AG2913" i="2"/>
  <c r="AH2913" i="2"/>
  <c r="AI2913" i="2"/>
  <c r="AJ2913" i="2"/>
  <c r="AK2913" i="2"/>
  <c r="A2914" i="2"/>
  <c r="B2914" i="2"/>
  <c r="C2914" i="2"/>
  <c r="D2914" i="2"/>
  <c r="E2914" i="2"/>
  <c r="F2914" i="2"/>
  <c r="G2914" i="2"/>
  <c r="H2914" i="2"/>
  <c r="I2914" i="2"/>
  <c r="J2914" i="2"/>
  <c r="K2914" i="2"/>
  <c r="L2914" i="2"/>
  <c r="M2914" i="2"/>
  <c r="N2914" i="2"/>
  <c r="O2914" i="2"/>
  <c r="P2914" i="2"/>
  <c r="Q2914" i="2"/>
  <c r="R2914" i="2"/>
  <c r="S2914" i="2"/>
  <c r="T2914" i="2"/>
  <c r="U2914" i="2"/>
  <c r="V2914" i="2"/>
  <c r="W2914" i="2"/>
  <c r="X2914" i="2"/>
  <c r="Y2914" i="2"/>
  <c r="Z2914" i="2"/>
  <c r="AA2914" i="2"/>
  <c r="AB2914" i="2"/>
  <c r="AC2914" i="2"/>
  <c r="AD2914" i="2"/>
  <c r="AE2914" i="2"/>
  <c r="AF2914" i="2"/>
  <c r="AG2914" i="2"/>
  <c r="AH2914" i="2"/>
  <c r="AI2914" i="2"/>
  <c r="AJ2914" i="2"/>
  <c r="AK2914" i="2"/>
  <c r="A2915" i="2"/>
  <c r="B2915" i="2"/>
  <c r="C2915" i="2"/>
  <c r="D2915" i="2"/>
  <c r="E2915" i="2"/>
  <c r="F2915" i="2"/>
  <c r="G2915" i="2"/>
  <c r="H2915" i="2"/>
  <c r="I2915" i="2"/>
  <c r="J2915" i="2"/>
  <c r="K2915" i="2"/>
  <c r="L2915" i="2"/>
  <c r="M2915" i="2"/>
  <c r="N2915" i="2"/>
  <c r="O2915" i="2"/>
  <c r="P2915" i="2"/>
  <c r="Q2915" i="2"/>
  <c r="R2915" i="2"/>
  <c r="S2915" i="2"/>
  <c r="T2915" i="2"/>
  <c r="U2915" i="2"/>
  <c r="V2915" i="2"/>
  <c r="W2915" i="2"/>
  <c r="X2915" i="2"/>
  <c r="Y2915" i="2"/>
  <c r="Z2915" i="2"/>
  <c r="AA2915" i="2"/>
  <c r="AB2915" i="2"/>
  <c r="AC2915" i="2"/>
  <c r="AD2915" i="2"/>
  <c r="AE2915" i="2"/>
  <c r="AF2915" i="2"/>
  <c r="AG2915" i="2"/>
  <c r="AH2915" i="2"/>
  <c r="AI2915" i="2"/>
  <c r="AJ2915" i="2"/>
  <c r="AK2915" i="2"/>
  <c r="A2916" i="2"/>
  <c r="B2916" i="2"/>
  <c r="C2916" i="2"/>
  <c r="D2916" i="2"/>
  <c r="E2916" i="2"/>
  <c r="F2916" i="2"/>
  <c r="G2916" i="2"/>
  <c r="H2916" i="2"/>
  <c r="I2916" i="2"/>
  <c r="J2916" i="2"/>
  <c r="K2916" i="2"/>
  <c r="L2916" i="2"/>
  <c r="M2916" i="2"/>
  <c r="N2916" i="2"/>
  <c r="O2916" i="2"/>
  <c r="P2916" i="2"/>
  <c r="Q2916" i="2"/>
  <c r="R2916" i="2"/>
  <c r="S2916" i="2"/>
  <c r="T2916" i="2"/>
  <c r="U2916" i="2"/>
  <c r="V2916" i="2"/>
  <c r="W2916" i="2"/>
  <c r="X2916" i="2"/>
  <c r="Y2916" i="2"/>
  <c r="Z2916" i="2"/>
  <c r="AA2916" i="2"/>
  <c r="AB2916" i="2"/>
  <c r="AC2916" i="2"/>
  <c r="AD2916" i="2"/>
  <c r="AE2916" i="2"/>
  <c r="AF2916" i="2"/>
  <c r="AG2916" i="2"/>
  <c r="AH2916" i="2"/>
  <c r="AI2916" i="2"/>
  <c r="AJ2916" i="2"/>
  <c r="AK2916" i="2"/>
  <c r="A2917" i="2"/>
  <c r="B2917" i="2"/>
  <c r="C2917" i="2"/>
  <c r="D2917" i="2"/>
  <c r="E2917" i="2"/>
  <c r="F2917" i="2"/>
  <c r="G2917" i="2"/>
  <c r="H2917" i="2"/>
  <c r="I2917" i="2"/>
  <c r="J2917" i="2"/>
  <c r="K2917" i="2"/>
  <c r="L2917" i="2"/>
  <c r="M2917" i="2"/>
  <c r="N2917" i="2"/>
  <c r="O2917" i="2"/>
  <c r="P2917" i="2"/>
  <c r="Q2917" i="2"/>
  <c r="R2917" i="2"/>
  <c r="S2917" i="2"/>
  <c r="T2917" i="2"/>
  <c r="U2917" i="2"/>
  <c r="V2917" i="2"/>
  <c r="W2917" i="2"/>
  <c r="X2917" i="2"/>
  <c r="Y2917" i="2"/>
  <c r="Z2917" i="2"/>
  <c r="AA2917" i="2"/>
  <c r="AB2917" i="2"/>
  <c r="AC2917" i="2"/>
  <c r="AD2917" i="2"/>
  <c r="AE2917" i="2"/>
  <c r="AF2917" i="2"/>
  <c r="AG2917" i="2"/>
  <c r="AH2917" i="2"/>
  <c r="AI2917" i="2"/>
  <c r="AJ2917" i="2"/>
  <c r="AK2917" i="2"/>
  <c r="A2918" i="2"/>
  <c r="B2918" i="2"/>
  <c r="C2918" i="2"/>
  <c r="D2918" i="2"/>
  <c r="E2918" i="2"/>
  <c r="F2918" i="2"/>
  <c r="G2918" i="2"/>
  <c r="H2918" i="2"/>
  <c r="I2918" i="2"/>
  <c r="J2918" i="2"/>
  <c r="K2918" i="2"/>
  <c r="L2918" i="2"/>
  <c r="M2918" i="2"/>
  <c r="N2918" i="2"/>
  <c r="O2918" i="2"/>
  <c r="P2918" i="2"/>
  <c r="Q2918" i="2"/>
  <c r="R2918" i="2"/>
  <c r="S2918" i="2"/>
  <c r="T2918" i="2"/>
  <c r="U2918" i="2"/>
  <c r="V2918" i="2"/>
  <c r="W2918" i="2"/>
  <c r="X2918" i="2"/>
  <c r="Y2918" i="2"/>
  <c r="Z2918" i="2"/>
  <c r="AA2918" i="2"/>
  <c r="AB2918" i="2"/>
  <c r="AC2918" i="2"/>
  <c r="AD2918" i="2"/>
  <c r="AE2918" i="2"/>
  <c r="AF2918" i="2"/>
  <c r="AG2918" i="2"/>
  <c r="AH2918" i="2"/>
  <c r="AI2918" i="2"/>
  <c r="AJ2918" i="2"/>
  <c r="AK2918" i="2"/>
  <c r="A2919" i="2"/>
  <c r="B2919" i="2"/>
  <c r="C2919" i="2"/>
  <c r="D2919" i="2"/>
  <c r="E2919" i="2"/>
  <c r="F2919" i="2"/>
  <c r="G2919" i="2"/>
  <c r="H2919" i="2"/>
  <c r="I2919" i="2"/>
  <c r="J2919" i="2"/>
  <c r="K2919" i="2"/>
  <c r="L2919" i="2"/>
  <c r="M2919" i="2"/>
  <c r="N2919" i="2"/>
  <c r="O2919" i="2"/>
  <c r="P2919" i="2"/>
  <c r="Q2919" i="2"/>
  <c r="R2919" i="2"/>
  <c r="S2919" i="2"/>
  <c r="T2919" i="2"/>
  <c r="U2919" i="2"/>
  <c r="V2919" i="2"/>
  <c r="W2919" i="2"/>
  <c r="X2919" i="2"/>
  <c r="Y2919" i="2"/>
  <c r="Z2919" i="2"/>
  <c r="AA2919" i="2"/>
  <c r="AB2919" i="2"/>
  <c r="AC2919" i="2"/>
  <c r="AD2919" i="2"/>
  <c r="AE2919" i="2"/>
  <c r="AF2919" i="2"/>
  <c r="AG2919" i="2"/>
  <c r="AH2919" i="2"/>
  <c r="AI2919" i="2"/>
  <c r="AJ2919" i="2"/>
  <c r="AK2919" i="2"/>
  <c r="A2920" i="2"/>
  <c r="B2920" i="2"/>
  <c r="C2920" i="2"/>
  <c r="D2920" i="2"/>
  <c r="E2920" i="2"/>
  <c r="F2920" i="2"/>
  <c r="G2920" i="2"/>
  <c r="H2920" i="2"/>
  <c r="I2920" i="2"/>
  <c r="J2920" i="2"/>
  <c r="K2920" i="2"/>
  <c r="L2920" i="2"/>
  <c r="M2920" i="2"/>
  <c r="N2920" i="2"/>
  <c r="O2920" i="2"/>
  <c r="P2920" i="2"/>
  <c r="Q2920" i="2"/>
  <c r="R2920" i="2"/>
  <c r="S2920" i="2"/>
  <c r="T2920" i="2"/>
  <c r="U2920" i="2"/>
  <c r="V2920" i="2"/>
  <c r="W2920" i="2"/>
  <c r="X2920" i="2"/>
  <c r="Y2920" i="2"/>
  <c r="Z2920" i="2"/>
  <c r="AA2920" i="2"/>
  <c r="AB2920" i="2"/>
  <c r="AC2920" i="2"/>
  <c r="AD2920" i="2"/>
  <c r="AE2920" i="2"/>
  <c r="AF2920" i="2"/>
  <c r="AG2920" i="2"/>
  <c r="AH2920" i="2"/>
  <c r="AI2920" i="2"/>
  <c r="AJ2920" i="2"/>
  <c r="AK2920" i="2"/>
  <c r="A2921" i="2"/>
  <c r="B2921" i="2"/>
  <c r="C2921" i="2"/>
  <c r="D2921" i="2"/>
  <c r="E2921" i="2"/>
  <c r="F2921" i="2"/>
  <c r="G2921" i="2"/>
  <c r="H2921" i="2"/>
  <c r="I2921" i="2"/>
  <c r="J2921" i="2"/>
  <c r="K2921" i="2"/>
  <c r="L2921" i="2"/>
  <c r="M2921" i="2"/>
  <c r="N2921" i="2"/>
  <c r="O2921" i="2"/>
  <c r="P2921" i="2"/>
  <c r="Q2921" i="2"/>
  <c r="R2921" i="2"/>
  <c r="S2921" i="2"/>
  <c r="T2921" i="2"/>
  <c r="U2921" i="2"/>
  <c r="V2921" i="2"/>
  <c r="W2921" i="2"/>
  <c r="X2921" i="2"/>
  <c r="Y2921" i="2"/>
  <c r="Z2921" i="2"/>
  <c r="AA2921" i="2"/>
  <c r="AB2921" i="2"/>
  <c r="AC2921" i="2"/>
  <c r="AD2921" i="2"/>
  <c r="AE2921" i="2"/>
  <c r="AF2921" i="2"/>
  <c r="AG2921" i="2"/>
  <c r="AH2921" i="2"/>
  <c r="AI2921" i="2"/>
  <c r="AJ2921" i="2"/>
  <c r="AK2921" i="2"/>
  <c r="A2922" i="2"/>
  <c r="B2922" i="2"/>
  <c r="C2922" i="2"/>
  <c r="D2922" i="2"/>
  <c r="E2922" i="2"/>
  <c r="F2922" i="2"/>
  <c r="G2922" i="2"/>
  <c r="H2922" i="2"/>
  <c r="I2922" i="2"/>
  <c r="J2922" i="2"/>
  <c r="K2922" i="2"/>
  <c r="L2922" i="2"/>
  <c r="M2922" i="2"/>
  <c r="N2922" i="2"/>
  <c r="O2922" i="2"/>
  <c r="P2922" i="2"/>
  <c r="Q2922" i="2"/>
  <c r="R2922" i="2"/>
  <c r="S2922" i="2"/>
  <c r="T2922" i="2"/>
  <c r="U2922" i="2"/>
  <c r="V2922" i="2"/>
  <c r="W2922" i="2"/>
  <c r="X2922" i="2"/>
  <c r="Y2922" i="2"/>
  <c r="Z2922" i="2"/>
  <c r="AA2922" i="2"/>
  <c r="AB2922" i="2"/>
  <c r="AC2922" i="2"/>
  <c r="AD2922" i="2"/>
  <c r="AE2922" i="2"/>
  <c r="AF2922" i="2"/>
  <c r="AG2922" i="2"/>
  <c r="AH2922" i="2"/>
  <c r="AI2922" i="2"/>
  <c r="AJ2922" i="2"/>
  <c r="AK2922" i="2"/>
  <c r="A2923" i="2"/>
  <c r="B2923" i="2"/>
  <c r="C2923" i="2"/>
  <c r="D2923" i="2"/>
  <c r="E2923" i="2"/>
  <c r="F2923" i="2"/>
  <c r="G2923" i="2"/>
  <c r="H2923" i="2"/>
  <c r="I2923" i="2"/>
  <c r="J2923" i="2"/>
  <c r="K2923" i="2"/>
  <c r="L2923" i="2"/>
  <c r="M2923" i="2"/>
  <c r="N2923" i="2"/>
  <c r="O2923" i="2"/>
  <c r="P2923" i="2"/>
  <c r="Q2923" i="2"/>
  <c r="R2923" i="2"/>
  <c r="S2923" i="2"/>
  <c r="T2923" i="2"/>
  <c r="U2923" i="2"/>
  <c r="V2923" i="2"/>
  <c r="W2923" i="2"/>
  <c r="X2923" i="2"/>
  <c r="Y2923" i="2"/>
  <c r="Z2923" i="2"/>
  <c r="AA2923" i="2"/>
  <c r="AB2923" i="2"/>
  <c r="AC2923" i="2"/>
  <c r="AD2923" i="2"/>
  <c r="AE2923" i="2"/>
  <c r="AF2923" i="2"/>
  <c r="AG2923" i="2"/>
  <c r="AH2923" i="2"/>
  <c r="AI2923" i="2"/>
  <c r="AJ2923" i="2"/>
  <c r="AK2923" i="2"/>
  <c r="A2924" i="2"/>
  <c r="B2924" i="2"/>
  <c r="C2924" i="2"/>
  <c r="D2924" i="2"/>
  <c r="E2924" i="2"/>
  <c r="F2924" i="2"/>
  <c r="G2924" i="2"/>
  <c r="H2924" i="2"/>
  <c r="I2924" i="2"/>
  <c r="J2924" i="2"/>
  <c r="K2924" i="2"/>
  <c r="L2924" i="2"/>
  <c r="M2924" i="2"/>
  <c r="N2924" i="2"/>
  <c r="O2924" i="2"/>
  <c r="P2924" i="2"/>
  <c r="Q2924" i="2"/>
  <c r="R2924" i="2"/>
  <c r="S2924" i="2"/>
  <c r="T2924" i="2"/>
  <c r="U2924" i="2"/>
  <c r="V2924" i="2"/>
  <c r="W2924" i="2"/>
  <c r="X2924" i="2"/>
  <c r="Y2924" i="2"/>
  <c r="Z2924" i="2"/>
  <c r="AA2924" i="2"/>
  <c r="AB2924" i="2"/>
  <c r="AC2924" i="2"/>
  <c r="AD2924" i="2"/>
  <c r="AE2924" i="2"/>
  <c r="AF2924" i="2"/>
  <c r="AG2924" i="2"/>
  <c r="AH2924" i="2"/>
  <c r="AI2924" i="2"/>
  <c r="AJ2924" i="2"/>
  <c r="AK2924" i="2"/>
  <c r="A2925" i="2"/>
  <c r="B2925" i="2"/>
  <c r="C2925" i="2"/>
  <c r="D2925" i="2"/>
  <c r="E2925" i="2"/>
  <c r="F2925" i="2"/>
  <c r="G2925" i="2"/>
  <c r="H2925" i="2"/>
  <c r="I2925" i="2"/>
  <c r="J2925" i="2"/>
  <c r="K2925" i="2"/>
  <c r="L2925" i="2"/>
  <c r="M2925" i="2"/>
  <c r="N2925" i="2"/>
  <c r="O2925" i="2"/>
  <c r="P2925" i="2"/>
  <c r="Q2925" i="2"/>
  <c r="R2925" i="2"/>
  <c r="S2925" i="2"/>
  <c r="T2925" i="2"/>
  <c r="U2925" i="2"/>
  <c r="V2925" i="2"/>
  <c r="W2925" i="2"/>
  <c r="X2925" i="2"/>
  <c r="Y2925" i="2"/>
  <c r="Z2925" i="2"/>
  <c r="AA2925" i="2"/>
  <c r="AB2925" i="2"/>
  <c r="AC2925" i="2"/>
  <c r="AD2925" i="2"/>
  <c r="AE2925" i="2"/>
  <c r="AF2925" i="2"/>
  <c r="AG2925" i="2"/>
  <c r="AH2925" i="2"/>
  <c r="AI2925" i="2"/>
  <c r="AJ2925" i="2"/>
  <c r="AK2925" i="2"/>
  <c r="A2926" i="2"/>
  <c r="B2926" i="2"/>
  <c r="C2926" i="2"/>
  <c r="D2926" i="2"/>
  <c r="E2926" i="2"/>
  <c r="F2926" i="2"/>
  <c r="G2926" i="2"/>
  <c r="H2926" i="2"/>
  <c r="I2926" i="2"/>
  <c r="J2926" i="2"/>
  <c r="K2926" i="2"/>
  <c r="L2926" i="2"/>
  <c r="M2926" i="2"/>
  <c r="N2926" i="2"/>
  <c r="O2926" i="2"/>
  <c r="P2926" i="2"/>
  <c r="Q2926" i="2"/>
  <c r="R2926" i="2"/>
  <c r="S2926" i="2"/>
  <c r="T2926" i="2"/>
  <c r="U2926" i="2"/>
  <c r="V2926" i="2"/>
  <c r="W2926" i="2"/>
  <c r="X2926" i="2"/>
  <c r="Y2926" i="2"/>
  <c r="Z2926" i="2"/>
  <c r="AA2926" i="2"/>
  <c r="AB2926" i="2"/>
  <c r="AC2926" i="2"/>
  <c r="AD2926" i="2"/>
  <c r="AE2926" i="2"/>
  <c r="AF2926" i="2"/>
  <c r="AG2926" i="2"/>
  <c r="AH2926" i="2"/>
  <c r="AI2926" i="2"/>
  <c r="AJ2926" i="2"/>
  <c r="AK2926" i="2"/>
  <c r="A2927" i="2"/>
  <c r="B2927" i="2"/>
  <c r="C2927" i="2"/>
  <c r="D2927" i="2"/>
  <c r="E2927" i="2"/>
  <c r="F2927" i="2"/>
  <c r="G2927" i="2"/>
  <c r="H2927" i="2"/>
  <c r="I2927" i="2"/>
  <c r="J2927" i="2"/>
  <c r="K2927" i="2"/>
  <c r="L2927" i="2"/>
  <c r="M2927" i="2"/>
  <c r="N2927" i="2"/>
  <c r="O2927" i="2"/>
  <c r="P2927" i="2"/>
  <c r="Q2927" i="2"/>
  <c r="R2927" i="2"/>
  <c r="S2927" i="2"/>
  <c r="T2927" i="2"/>
  <c r="U2927" i="2"/>
  <c r="V2927" i="2"/>
  <c r="W2927" i="2"/>
  <c r="X2927" i="2"/>
  <c r="Y2927" i="2"/>
  <c r="Z2927" i="2"/>
  <c r="AA2927" i="2"/>
  <c r="AB2927" i="2"/>
  <c r="AC2927" i="2"/>
  <c r="AD2927" i="2"/>
  <c r="AE2927" i="2"/>
  <c r="AF2927" i="2"/>
  <c r="AG2927" i="2"/>
  <c r="AH2927" i="2"/>
  <c r="AI2927" i="2"/>
  <c r="AJ2927" i="2"/>
  <c r="AK2927" i="2"/>
  <c r="A2928" i="2"/>
  <c r="B2928" i="2"/>
  <c r="C2928" i="2"/>
  <c r="D2928" i="2"/>
  <c r="E2928" i="2"/>
  <c r="F2928" i="2"/>
  <c r="G2928" i="2"/>
  <c r="H2928" i="2"/>
  <c r="I2928" i="2"/>
  <c r="J2928" i="2"/>
  <c r="K2928" i="2"/>
  <c r="L2928" i="2"/>
  <c r="M2928" i="2"/>
  <c r="N2928" i="2"/>
  <c r="O2928" i="2"/>
  <c r="P2928" i="2"/>
  <c r="Q2928" i="2"/>
  <c r="R2928" i="2"/>
  <c r="S2928" i="2"/>
  <c r="T2928" i="2"/>
  <c r="U2928" i="2"/>
  <c r="V2928" i="2"/>
  <c r="W2928" i="2"/>
  <c r="X2928" i="2"/>
  <c r="Y2928" i="2"/>
  <c r="Z2928" i="2"/>
  <c r="AA2928" i="2"/>
  <c r="AB2928" i="2"/>
  <c r="AC2928" i="2"/>
  <c r="AD2928" i="2"/>
  <c r="AE2928" i="2"/>
  <c r="AF2928" i="2"/>
  <c r="AG2928" i="2"/>
  <c r="AH2928" i="2"/>
  <c r="AI2928" i="2"/>
  <c r="AJ2928" i="2"/>
  <c r="AK2928" i="2"/>
  <c r="A2929" i="2"/>
  <c r="B2929" i="2"/>
  <c r="C2929" i="2"/>
  <c r="D2929" i="2"/>
  <c r="E2929" i="2"/>
  <c r="F2929" i="2"/>
  <c r="G2929" i="2"/>
  <c r="H2929" i="2"/>
  <c r="I2929" i="2"/>
  <c r="J2929" i="2"/>
  <c r="K2929" i="2"/>
  <c r="L2929" i="2"/>
  <c r="M2929" i="2"/>
  <c r="N2929" i="2"/>
  <c r="O2929" i="2"/>
  <c r="P2929" i="2"/>
  <c r="Q2929" i="2"/>
  <c r="R2929" i="2"/>
  <c r="S2929" i="2"/>
  <c r="T2929" i="2"/>
  <c r="U2929" i="2"/>
  <c r="V2929" i="2"/>
  <c r="W2929" i="2"/>
  <c r="X2929" i="2"/>
  <c r="Y2929" i="2"/>
  <c r="Z2929" i="2"/>
  <c r="AA2929" i="2"/>
  <c r="AB2929" i="2"/>
  <c r="AC2929" i="2"/>
  <c r="AD2929" i="2"/>
  <c r="AE2929" i="2"/>
  <c r="AF2929" i="2"/>
  <c r="AG2929" i="2"/>
  <c r="AH2929" i="2"/>
  <c r="AI2929" i="2"/>
  <c r="AJ2929" i="2"/>
  <c r="AK2929" i="2"/>
  <c r="A2930" i="2"/>
  <c r="B2930" i="2"/>
  <c r="C2930" i="2"/>
  <c r="D2930" i="2"/>
  <c r="E2930" i="2"/>
  <c r="F2930" i="2"/>
  <c r="G2930" i="2"/>
  <c r="H2930" i="2"/>
  <c r="I2930" i="2"/>
  <c r="J2930" i="2"/>
  <c r="K2930" i="2"/>
  <c r="L2930" i="2"/>
  <c r="M2930" i="2"/>
  <c r="N2930" i="2"/>
  <c r="O2930" i="2"/>
  <c r="P2930" i="2"/>
  <c r="Q2930" i="2"/>
  <c r="R2930" i="2"/>
  <c r="S2930" i="2"/>
  <c r="T2930" i="2"/>
  <c r="U2930" i="2"/>
  <c r="V2930" i="2"/>
  <c r="W2930" i="2"/>
  <c r="X2930" i="2"/>
  <c r="Y2930" i="2"/>
  <c r="Z2930" i="2"/>
  <c r="AA2930" i="2"/>
  <c r="AB2930" i="2"/>
  <c r="AC2930" i="2"/>
  <c r="AD2930" i="2"/>
  <c r="AE2930" i="2"/>
  <c r="AF2930" i="2"/>
  <c r="AG2930" i="2"/>
  <c r="AH2930" i="2"/>
  <c r="AI2930" i="2"/>
  <c r="AJ2930" i="2"/>
  <c r="AK2930" i="2"/>
  <c r="A2931" i="2"/>
  <c r="B2931" i="2"/>
  <c r="C2931" i="2"/>
  <c r="D2931" i="2"/>
  <c r="E2931" i="2"/>
  <c r="F2931" i="2"/>
  <c r="G2931" i="2"/>
  <c r="H2931" i="2"/>
  <c r="I2931" i="2"/>
  <c r="J2931" i="2"/>
  <c r="K2931" i="2"/>
  <c r="L2931" i="2"/>
  <c r="M2931" i="2"/>
  <c r="N2931" i="2"/>
  <c r="O2931" i="2"/>
  <c r="P2931" i="2"/>
  <c r="Q2931" i="2"/>
  <c r="R2931" i="2"/>
  <c r="S2931" i="2"/>
  <c r="T2931" i="2"/>
  <c r="U2931" i="2"/>
  <c r="V2931" i="2"/>
  <c r="W2931" i="2"/>
  <c r="X2931" i="2"/>
  <c r="Y2931" i="2"/>
  <c r="Z2931" i="2"/>
  <c r="AA2931" i="2"/>
  <c r="AB2931" i="2"/>
  <c r="AC2931" i="2"/>
  <c r="AD2931" i="2"/>
  <c r="AE2931" i="2"/>
  <c r="AF2931" i="2"/>
  <c r="AG2931" i="2"/>
  <c r="AH2931" i="2"/>
  <c r="AI2931" i="2"/>
  <c r="AJ2931" i="2"/>
  <c r="AK2931" i="2"/>
  <c r="A2932" i="2"/>
  <c r="B2932" i="2"/>
  <c r="C2932" i="2"/>
  <c r="D2932" i="2"/>
  <c r="E2932" i="2"/>
  <c r="F2932" i="2"/>
  <c r="G2932" i="2"/>
  <c r="H2932" i="2"/>
  <c r="I2932" i="2"/>
  <c r="J2932" i="2"/>
  <c r="K2932" i="2"/>
  <c r="L2932" i="2"/>
  <c r="M2932" i="2"/>
  <c r="N2932" i="2"/>
  <c r="O2932" i="2"/>
  <c r="P2932" i="2"/>
  <c r="Q2932" i="2"/>
  <c r="R2932" i="2"/>
  <c r="S2932" i="2"/>
  <c r="T2932" i="2"/>
  <c r="U2932" i="2"/>
  <c r="V2932" i="2"/>
  <c r="W2932" i="2"/>
  <c r="X2932" i="2"/>
  <c r="Y2932" i="2"/>
  <c r="Z2932" i="2"/>
  <c r="AA2932" i="2"/>
  <c r="AB2932" i="2"/>
  <c r="AC2932" i="2"/>
  <c r="AD2932" i="2"/>
  <c r="AE2932" i="2"/>
  <c r="AF2932" i="2"/>
  <c r="AG2932" i="2"/>
  <c r="AH2932" i="2"/>
  <c r="AI2932" i="2"/>
  <c r="AJ2932" i="2"/>
  <c r="AK2932" i="2"/>
  <c r="A2933" i="2"/>
  <c r="B2933" i="2"/>
  <c r="C2933" i="2"/>
  <c r="D2933" i="2"/>
  <c r="E2933" i="2"/>
  <c r="F2933" i="2"/>
  <c r="G2933" i="2"/>
  <c r="H2933" i="2"/>
  <c r="I2933" i="2"/>
  <c r="J2933" i="2"/>
  <c r="K2933" i="2"/>
  <c r="L2933" i="2"/>
  <c r="M2933" i="2"/>
  <c r="N2933" i="2"/>
  <c r="O2933" i="2"/>
  <c r="P2933" i="2"/>
  <c r="Q2933" i="2"/>
  <c r="R2933" i="2"/>
  <c r="S2933" i="2"/>
  <c r="T2933" i="2"/>
  <c r="U2933" i="2"/>
  <c r="V2933" i="2"/>
  <c r="W2933" i="2"/>
  <c r="X2933" i="2"/>
  <c r="Y2933" i="2"/>
  <c r="Z2933" i="2"/>
  <c r="AA2933" i="2"/>
  <c r="AB2933" i="2"/>
  <c r="AC2933" i="2"/>
  <c r="AD2933" i="2"/>
  <c r="AE2933" i="2"/>
  <c r="AF2933" i="2"/>
  <c r="AG2933" i="2"/>
  <c r="AH2933" i="2"/>
  <c r="AI2933" i="2"/>
  <c r="AJ2933" i="2"/>
  <c r="AK2933" i="2"/>
  <c r="A2934" i="2"/>
  <c r="B2934" i="2"/>
  <c r="C2934" i="2"/>
  <c r="D2934" i="2"/>
  <c r="E2934" i="2"/>
  <c r="F2934" i="2"/>
  <c r="G2934" i="2"/>
  <c r="H2934" i="2"/>
  <c r="I2934" i="2"/>
  <c r="J2934" i="2"/>
  <c r="K2934" i="2"/>
  <c r="L2934" i="2"/>
  <c r="M2934" i="2"/>
  <c r="N2934" i="2"/>
  <c r="O2934" i="2"/>
  <c r="P2934" i="2"/>
  <c r="Q2934" i="2"/>
  <c r="R2934" i="2"/>
  <c r="S2934" i="2"/>
  <c r="T2934" i="2"/>
  <c r="U2934" i="2"/>
  <c r="V2934" i="2"/>
  <c r="W2934" i="2"/>
  <c r="X2934" i="2"/>
  <c r="Y2934" i="2"/>
  <c r="Z2934" i="2"/>
  <c r="AA2934" i="2"/>
  <c r="AB2934" i="2"/>
  <c r="AC2934" i="2"/>
  <c r="AD2934" i="2"/>
  <c r="AE2934" i="2"/>
  <c r="AF2934" i="2"/>
  <c r="AG2934" i="2"/>
  <c r="AH2934" i="2"/>
  <c r="AI2934" i="2"/>
  <c r="AJ2934" i="2"/>
  <c r="AK2934" i="2"/>
  <c r="A2935" i="2"/>
  <c r="B2935" i="2"/>
  <c r="C2935" i="2"/>
  <c r="D2935" i="2"/>
  <c r="E2935" i="2"/>
  <c r="F2935" i="2"/>
  <c r="G2935" i="2"/>
  <c r="H2935" i="2"/>
  <c r="I2935" i="2"/>
  <c r="J2935" i="2"/>
  <c r="K2935" i="2"/>
  <c r="L2935" i="2"/>
  <c r="M2935" i="2"/>
  <c r="N2935" i="2"/>
  <c r="O2935" i="2"/>
  <c r="P2935" i="2"/>
  <c r="Q2935" i="2"/>
  <c r="R2935" i="2"/>
  <c r="S2935" i="2"/>
  <c r="T2935" i="2"/>
  <c r="U2935" i="2"/>
  <c r="V2935" i="2"/>
  <c r="W2935" i="2"/>
  <c r="X2935" i="2"/>
  <c r="Y2935" i="2"/>
  <c r="Z2935" i="2"/>
  <c r="AA2935" i="2"/>
  <c r="AB2935" i="2"/>
  <c r="AC2935" i="2"/>
  <c r="AD2935" i="2"/>
  <c r="AE2935" i="2"/>
  <c r="AF2935" i="2"/>
  <c r="AG2935" i="2"/>
  <c r="AH2935" i="2"/>
  <c r="AI2935" i="2"/>
  <c r="AJ2935" i="2"/>
  <c r="AK2935" i="2"/>
  <c r="A2936" i="2"/>
  <c r="B2936" i="2"/>
  <c r="C2936" i="2"/>
  <c r="D2936" i="2"/>
  <c r="E2936" i="2"/>
  <c r="F2936" i="2"/>
  <c r="G2936" i="2"/>
  <c r="H2936" i="2"/>
  <c r="I2936" i="2"/>
  <c r="J2936" i="2"/>
  <c r="K2936" i="2"/>
  <c r="L2936" i="2"/>
  <c r="M2936" i="2"/>
  <c r="N2936" i="2"/>
  <c r="O2936" i="2"/>
  <c r="P2936" i="2"/>
  <c r="Q2936" i="2"/>
  <c r="R2936" i="2"/>
  <c r="S2936" i="2"/>
  <c r="T2936" i="2"/>
  <c r="U2936" i="2"/>
  <c r="V2936" i="2"/>
  <c r="W2936" i="2"/>
  <c r="X2936" i="2"/>
  <c r="Y2936" i="2"/>
  <c r="Z2936" i="2"/>
  <c r="AA2936" i="2"/>
  <c r="AB2936" i="2"/>
  <c r="AC2936" i="2"/>
  <c r="AD2936" i="2"/>
  <c r="AE2936" i="2"/>
  <c r="AF2936" i="2"/>
  <c r="AG2936" i="2"/>
  <c r="AH2936" i="2"/>
  <c r="AI2936" i="2"/>
  <c r="AJ2936" i="2"/>
  <c r="AK2936" i="2"/>
  <c r="A2937" i="2"/>
  <c r="B2937" i="2"/>
  <c r="C2937" i="2"/>
  <c r="D2937" i="2"/>
  <c r="E2937" i="2"/>
  <c r="F2937" i="2"/>
  <c r="G2937" i="2"/>
  <c r="H2937" i="2"/>
  <c r="I2937" i="2"/>
  <c r="J2937" i="2"/>
  <c r="K2937" i="2"/>
  <c r="L2937" i="2"/>
  <c r="M2937" i="2"/>
  <c r="N2937" i="2"/>
  <c r="O2937" i="2"/>
  <c r="P2937" i="2"/>
  <c r="Q2937" i="2"/>
  <c r="R2937" i="2"/>
  <c r="S2937" i="2"/>
  <c r="T2937" i="2"/>
  <c r="U2937" i="2"/>
  <c r="V2937" i="2"/>
  <c r="W2937" i="2"/>
  <c r="X2937" i="2"/>
  <c r="Y2937" i="2"/>
  <c r="Z2937" i="2"/>
  <c r="AA2937" i="2"/>
  <c r="AB2937" i="2"/>
  <c r="AC2937" i="2"/>
  <c r="AD2937" i="2"/>
  <c r="AE2937" i="2"/>
  <c r="AF2937" i="2"/>
  <c r="AG2937" i="2"/>
  <c r="AH2937" i="2"/>
  <c r="AI2937" i="2"/>
  <c r="AJ2937" i="2"/>
  <c r="AK2937" i="2"/>
  <c r="A2938" i="2"/>
  <c r="B2938" i="2"/>
  <c r="C2938" i="2"/>
  <c r="D2938" i="2"/>
  <c r="E2938" i="2"/>
  <c r="F2938" i="2"/>
  <c r="G2938" i="2"/>
  <c r="H2938" i="2"/>
  <c r="I2938" i="2"/>
  <c r="J2938" i="2"/>
  <c r="K2938" i="2"/>
  <c r="L2938" i="2"/>
  <c r="M2938" i="2"/>
  <c r="N2938" i="2"/>
  <c r="O2938" i="2"/>
  <c r="P2938" i="2"/>
  <c r="Q2938" i="2"/>
  <c r="R2938" i="2"/>
  <c r="S2938" i="2"/>
  <c r="T2938" i="2"/>
  <c r="U2938" i="2"/>
  <c r="V2938" i="2"/>
  <c r="W2938" i="2"/>
  <c r="X2938" i="2"/>
  <c r="Y2938" i="2"/>
  <c r="Z2938" i="2"/>
  <c r="AA2938" i="2"/>
  <c r="AB2938" i="2"/>
  <c r="AC2938" i="2"/>
  <c r="AD2938" i="2"/>
  <c r="AE2938" i="2"/>
  <c r="AF2938" i="2"/>
  <c r="AG2938" i="2"/>
  <c r="AH2938" i="2"/>
  <c r="AI2938" i="2"/>
  <c r="AJ2938" i="2"/>
  <c r="AK2938" i="2"/>
  <c r="A2939" i="2"/>
  <c r="B2939" i="2"/>
  <c r="C2939" i="2"/>
  <c r="D2939" i="2"/>
  <c r="E2939" i="2"/>
  <c r="F2939" i="2"/>
  <c r="G2939" i="2"/>
  <c r="H2939" i="2"/>
  <c r="I2939" i="2"/>
  <c r="J2939" i="2"/>
  <c r="K2939" i="2"/>
  <c r="L2939" i="2"/>
  <c r="M2939" i="2"/>
  <c r="N2939" i="2"/>
  <c r="O2939" i="2"/>
  <c r="P2939" i="2"/>
  <c r="Q2939" i="2"/>
  <c r="R2939" i="2"/>
  <c r="S2939" i="2"/>
  <c r="T2939" i="2"/>
  <c r="U2939" i="2"/>
  <c r="V2939" i="2"/>
  <c r="W2939" i="2"/>
  <c r="X2939" i="2"/>
  <c r="Y2939" i="2"/>
  <c r="Z2939" i="2"/>
  <c r="AA2939" i="2"/>
  <c r="AB2939" i="2"/>
  <c r="AC2939" i="2"/>
  <c r="AD2939" i="2"/>
  <c r="AE2939" i="2"/>
  <c r="AF2939" i="2"/>
  <c r="AG2939" i="2"/>
  <c r="AH2939" i="2"/>
  <c r="AI2939" i="2"/>
  <c r="AJ2939" i="2"/>
  <c r="AK2939" i="2"/>
  <c r="A2940" i="2"/>
  <c r="B2940" i="2"/>
  <c r="C2940" i="2"/>
  <c r="D2940" i="2"/>
  <c r="E2940" i="2"/>
  <c r="F2940" i="2"/>
  <c r="G2940" i="2"/>
  <c r="H2940" i="2"/>
  <c r="I2940" i="2"/>
  <c r="J2940" i="2"/>
  <c r="K2940" i="2"/>
  <c r="L2940" i="2"/>
  <c r="M2940" i="2"/>
  <c r="N2940" i="2"/>
  <c r="O2940" i="2"/>
  <c r="P2940" i="2"/>
  <c r="Q2940" i="2"/>
  <c r="R2940" i="2"/>
  <c r="S2940" i="2"/>
  <c r="T2940" i="2"/>
  <c r="U2940" i="2"/>
  <c r="V2940" i="2"/>
  <c r="W2940" i="2"/>
  <c r="X2940" i="2"/>
  <c r="Y2940" i="2"/>
  <c r="Z2940" i="2"/>
  <c r="AA2940" i="2"/>
  <c r="AB2940" i="2"/>
  <c r="AC2940" i="2"/>
  <c r="AD2940" i="2"/>
  <c r="AE2940" i="2"/>
  <c r="AF2940" i="2"/>
  <c r="AG2940" i="2"/>
  <c r="AH2940" i="2"/>
  <c r="AI2940" i="2"/>
  <c r="AJ2940" i="2"/>
  <c r="AK2940" i="2"/>
  <c r="A2941" i="2"/>
  <c r="B2941" i="2"/>
  <c r="C2941" i="2"/>
  <c r="D2941" i="2"/>
  <c r="E2941" i="2"/>
  <c r="F2941" i="2"/>
  <c r="G2941" i="2"/>
  <c r="H2941" i="2"/>
  <c r="I2941" i="2"/>
  <c r="J2941" i="2"/>
  <c r="K2941" i="2"/>
  <c r="L2941" i="2"/>
  <c r="M2941" i="2"/>
  <c r="N2941" i="2"/>
  <c r="O2941" i="2"/>
  <c r="P2941" i="2"/>
  <c r="Q2941" i="2"/>
  <c r="R2941" i="2"/>
  <c r="S2941" i="2"/>
  <c r="T2941" i="2"/>
  <c r="U2941" i="2"/>
  <c r="V2941" i="2"/>
  <c r="W2941" i="2"/>
  <c r="X2941" i="2"/>
  <c r="Y2941" i="2"/>
  <c r="Z2941" i="2"/>
  <c r="AA2941" i="2"/>
  <c r="AB2941" i="2"/>
  <c r="AC2941" i="2"/>
  <c r="AD2941" i="2"/>
  <c r="AE2941" i="2"/>
  <c r="AF2941" i="2"/>
  <c r="AG2941" i="2"/>
  <c r="AH2941" i="2"/>
  <c r="AI2941" i="2"/>
  <c r="AJ2941" i="2"/>
  <c r="AK2941" i="2"/>
  <c r="A2942" i="2"/>
  <c r="B2942" i="2"/>
  <c r="C2942" i="2"/>
  <c r="D2942" i="2"/>
  <c r="E2942" i="2"/>
  <c r="F2942" i="2"/>
  <c r="G2942" i="2"/>
  <c r="H2942" i="2"/>
  <c r="I2942" i="2"/>
  <c r="J2942" i="2"/>
  <c r="K2942" i="2"/>
  <c r="L2942" i="2"/>
  <c r="M2942" i="2"/>
  <c r="N2942" i="2"/>
  <c r="O2942" i="2"/>
  <c r="P2942" i="2"/>
  <c r="Q2942" i="2"/>
  <c r="R2942" i="2"/>
  <c r="S2942" i="2"/>
  <c r="T2942" i="2"/>
  <c r="U2942" i="2"/>
  <c r="V2942" i="2"/>
  <c r="W2942" i="2"/>
  <c r="X2942" i="2"/>
  <c r="Y2942" i="2"/>
  <c r="Z2942" i="2"/>
  <c r="AA2942" i="2"/>
  <c r="AB2942" i="2"/>
  <c r="AC2942" i="2"/>
  <c r="AD2942" i="2"/>
  <c r="AE2942" i="2"/>
  <c r="AF2942" i="2"/>
  <c r="AG2942" i="2"/>
  <c r="AH2942" i="2"/>
  <c r="AI2942" i="2"/>
  <c r="AJ2942" i="2"/>
  <c r="AK2942" i="2"/>
  <c r="A2943" i="2"/>
  <c r="B2943" i="2"/>
  <c r="C2943" i="2"/>
  <c r="D2943" i="2"/>
  <c r="E2943" i="2"/>
  <c r="F2943" i="2"/>
  <c r="G2943" i="2"/>
  <c r="H2943" i="2"/>
  <c r="I2943" i="2"/>
  <c r="J2943" i="2"/>
  <c r="K2943" i="2"/>
  <c r="L2943" i="2"/>
  <c r="M2943" i="2"/>
  <c r="N2943" i="2"/>
  <c r="O2943" i="2"/>
  <c r="P2943" i="2"/>
  <c r="Q2943" i="2"/>
  <c r="R2943" i="2"/>
  <c r="S2943" i="2"/>
  <c r="T2943" i="2"/>
  <c r="U2943" i="2"/>
  <c r="V2943" i="2"/>
  <c r="W2943" i="2"/>
  <c r="X2943" i="2"/>
  <c r="Y2943" i="2"/>
  <c r="Z2943" i="2"/>
  <c r="AA2943" i="2"/>
  <c r="AB2943" i="2"/>
  <c r="AC2943" i="2"/>
  <c r="AD2943" i="2"/>
  <c r="AE2943" i="2"/>
  <c r="AF2943" i="2"/>
  <c r="AG2943" i="2"/>
  <c r="AH2943" i="2"/>
  <c r="AI2943" i="2"/>
  <c r="AJ2943" i="2"/>
  <c r="AK2943" i="2"/>
  <c r="A2944" i="2"/>
  <c r="B2944" i="2"/>
  <c r="C2944" i="2"/>
  <c r="D2944" i="2"/>
  <c r="E2944" i="2"/>
  <c r="F2944" i="2"/>
  <c r="G2944" i="2"/>
  <c r="H2944" i="2"/>
  <c r="I2944" i="2"/>
  <c r="J2944" i="2"/>
  <c r="K2944" i="2"/>
  <c r="L2944" i="2"/>
  <c r="M2944" i="2"/>
  <c r="N2944" i="2"/>
  <c r="O2944" i="2"/>
  <c r="P2944" i="2"/>
  <c r="Q2944" i="2"/>
  <c r="R2944" i="2"/>
  <c r="S2944" i="2"/>
  <c r="T2944" i="2"/>
  <c r="U2944" i="2"/>
  <c r="V2944" i="2"/>
  <c r="W2944" i="2"/>
  <c r="X2944" i="2"/>
  <c r="Y2944" i="2"/>
  <c r="Z2944" i="2"/>
  <c r="AA2944" i="2"/>
  <c r="AB2944" i="2"/>
  <c r="AC2944" i="2"/>
  <c r="AD2944" i="2"/>
  <c r="AE2944" i="2"/>
  <c r="AF2944" i="2"/>
  <c r="AG2944" i="2"/>
  <c r="AH2944" i="2"/>
  <c r="AI2944" i="2"/>
  <c r="AJ2944" i="2"/>
  <c r="AK2944" i="2"/>
  <c r="A2945" i="2"/>
  <c r="B2945" i="2"/>
  <c r="C2945" i="2"/>
  <c r="D2945" i="2"/>
  <c r="E2945" i="2"/>
  <c r="F2945" i="2"/>
  <c r="G2945" i="2"/>
  <c r="H2945" i="2"/>
  <c r="I2945" i="2"/>
  <c r="J2945" i="2"/>
  <c r="K2945" i="2"/>
  <c r="L2945" i="2"/>
  <c r="M2945" i="2"/>
  <c r="N2945" i="2"/>
  <c r="O2945" i="2"/>
  <c r="P2945" i="2"/>
  <c r="Q2945" i="2"/>
  <c r="R2945" i="2"/>
  <c r="S2945" i="2"/>
  <c r="T2945" i="2"/>
  <c r="U2945" i="2"/>
  <c r="V2945" i="2"/>
  <c r="W2945" i="2"/>
  <c r="X2945" i="2"/>
  <c r="Y2945" i="2"/>
  <c r="Z2945" i="2"/>
  <c r="AA2945" i="2"/>
  <c r="AB2945" i="2"/>
  <c r="AC2945" i="2"/>
  <c r="AD2945" i="2"/>
  <c r="AE2945" i="2"/>
  <c r="AF2945" i="2"/>
  <c r="AG2945" i="2"/>
  <c r="AH2945" i="2"/>
  <c r="AI2945" i="2"/>
  <c r="AJ2945" i="2"/>
  <c r="AK2945" i="2"/>
  <c r="A2946" i="2"/>
  <c r="B2946" i="2"/>
  <c r="C2946" i="2"/>
  <c r="D2946" i="2"/>
  <c r="E2946" i="2"/>
  <c r="F2946" i="2"/>
  <c r="G2946" i="2"/>
  <c r="H2946" i="2"/>
  <c r="I2946" i="2"/>
  <c r="J2946" i="2"/>
  <c r="K2946" i="2"/>
  <c r="L2946" i="2"/>
  <c r="M2946" i="2"/>
  <c r="N2946" i="2"/>
  <c r="O2946" i="2"/>
  <c r="P2946" i="2"/>
  <c r="Q2946" i="2"/>
  <c r="R2946" i="2"/>
  <c r="S2946" i="2"/>
  <c r="T2946" i="2"/>
  <c r="U2946" i="2"/>
  <c r="V2946" i="2"/>
  <c r="W2946" i="2"/>
  <c r="X2946" i="2"/>
  <c r="Y2946" i="2"/>
  <c r="Z2946" i="2"/>
  <c r="AA2946" i="2"/>
  <c r="AB2946" i="2"/>
  <c r="AC2946" i="2"/>
  <c r="AD2946" i="2"/>
  <c r="AE2946" i="2"/>
  <c r="AF2946" i="2"/>
  <c r="AG2946" i="2"/>
  <c r="AH2946" i="2"/>
  <c r="AI2946" i="2"/>
  <c r="AJ2946" i="2"/>
  <c r="AK2946" i="2"/>
  <c r="A2947" i="2"/>
  <c r="B2947" i="2"/>
  <c r="C2947" i="2"/>
  <c r="D2947" i="2"/>
  <c r="E2947" i="2"/>
  <c r="F2947" i="2"/>
  <c r="G2947" i="2"/>
  <c r="H2947" i="2"/>
  <c r="I2947" i="2"/>
  <c r="J2947" i="2"/>
  <c r="K2947" i="2"/>
  <c r="L2947" i="2"/>
  <c r="M2947" i="2"/>
  <c r="N2947" i="2"/>
  <c r="O2947" i="2"/>
  <c r="P2947" i="2"/>
  <c r="Q2947" i="2"/>
  <c r="R2947" i="2"/>
  <c r="S2947" i="2"/>
  <c r="T2947" i="2"/>
  <c r="U2947" i="2"/>
  <c r="V2947" i="2"/>
  <c r="W2947" i="2"/>
  <c r="X2947" i="2"/>
  <c r="Y2947" i="2"/>
  <c r="Z2947" i="2"/>
  <c r="AA2947" i="2"/>
  <c r="AB2947" i="2"/>
  <c r="AC2947" i="2"/>
  <c r="AD2947" i="2"/>
  <c r="AE2947" i="2"/>
  <c r="AF2947" i="2"/>
  <c r="AG2947" i="2"/>
  <c r="AH2947" i="2"/>
  <c r="AI2947" i="2"/>
  <c r="AJ2947" i="2"/>
  <c r="AK2947" i="2"/>
  <c r="A2948" i="2"/>
  <c r="B2948" i="2"/>
  <c r="C2948" i="2"/>
  <c r="D2948" i="2"/>
  <c r="E2948" i="2"/>
  <c r="F2948" i="2"/>
  <c r="G2948" i="2"/>
  <c r="H2948" i="2"/>
  <c r="I2948" i="2"/>
  <c r="J2948" i="2"/>
  <c r="K2948" i="2"/>
  <c r="L2948" i="2"/>
  <c r="M2948" i="2"/>
  <c r="N2948" i="2"/>
  <c r="O2948" i="2"/>
  <c r="P2948" i="2"/>
  <c r="Q2948" i="2"/>
  <c r="R2948" i="2"/>
  <c r="S2948" i="2"/>
  <c r="T2948" i="2"/>
  <c r="U2948" i="2"/>
  <c r="V2948" i="2"/>
  <c r="W2948" i="2"/>
  <c r="X2948" i="2"/>
  <c r="Y2948" i="2"/>
  <c r="Z2948" i="2"/>
  <c r="AA2948" i="2"/>
  <c r="AB2948" i="2"/>
  <c r="AC2948" i="2"/>
  <c r="AD2948" i="2"/>
  <c r="AE2948" i="2"/>
  <c r="AF2948" i="2"/>
  <c r="AG2948" i="2"/>
  <c r="AH2948" i="2"/>
  <c r="AI2948" i="2"/>
  <c r="AJ2948" i="2"/>
  <c r="AK2948" i="2"/>
  <c r="A2949" i="2"/>
  <c r="B2949" i="2"/>
  <c r="C2949" i="2"/>
  <c r="D2949" i="2"/>
  <c r="E2949" i="2"/>
  <c r="F2949" i="2"/>
  <c r="G2949" i="2"/>
  <c r="H2949" i="2"/>
  <c r="I2949" i="2"/>
  <c r="J2949" i="2"/>
  <c r="K2949" i="2"/>
  <c r="L2949" i="2"/>
  <c r="M2949" i="2"/>
  <c r="N2949" i="2"/>
  <c r="O2949" i="2"/>
  <c r="P2949" i="2"/>
  <c r="Q2949" i="2"/>
  <c r="R2949" i="2"/>
  <c r="S2949" i="2"/>
  <c r="T2949" i="2"/>
  <c r="U2949" i="2"/>
  <c r="V2949" i="2"/>
  <c r="W2949" i="2"/>
  <c r="X2949" i="2"/>
  <c r="Y2949" i="2"/>
  <c r="Z2949" i="2"/>
  <c r="AA2949" i="2"/>
  <c r="AB2949" i="2"/>
  <c r="AC2949" i="2"/>
  <c r="AD2949" i="2"/>
  <c r="AE2949" i="2"/>
  <c r="AF2949" i="2"/>
  <c r="AG2949" i="2"/>
  <c r="AH2949" i="2"/>
  <c r="AI2949" i="2"/>
  <c r="AJ2949" i="2"/>
  <c r="AK2949" i="2"/>
  <c r="A2950" i="2"/>
  <c r="B2950" i="2"/>
  <c r="C2950" i="2"/>
  <c r="D2950" i="2"/>
  <c r="E2950" i="2"/>
  <c r="F2950" i="2"/>
  <c r="G2950" i="2"/>
  <c r="H2950" i="2"/>
  <c r="I2950" i="2"/>
  <c r="J2950" i="2"/>
  <c r="K2950" i="2"/>
  <c r="L2950" i="2"/>
  <c r="M2950" i="2"/>
  <c r="N2950" i="2"/>
  <c r="O2950" i="2"/>
  <c r="P2950" i="2"/>
  <c r="Q2950" i="2"/>
  <c r="R2950" i="2"/>
  <c r="S2950" i="2"/>
  <c r="T2950" i="2"/>
  <c r="U2950" i="2"/>
  <c r="V2950" i="2"/>
  <c r="W2950" i="2"/>
  <c r="X2950" i="2"/>
  <c r="Y2950" i="2"/>
  <c r="Z2950" i="2"/>
  <c r="AA2950" i="2"/>
  <c r="AB2950" i="2"/>
  <c r="AC2950" i="2"/>
  <c r="AD2950" i="2"/>
  <c r="AE2950" i="2"/>
  <c r="AF2950" i="2"/>
  <c r="AG2950" i="2"/>
  <c r="AH2950" i="2"/>
  <c r="AI2950" i="2"/>
  <c r="AJ2950" i="2"/>
  <c r="AK2950" i="2"/>
  <c r="A2951" i="2"/>
  <c r="B2951" i="2"/>
  <c r="C2951" i="2"/>
  <c r="D2951" i="2"/>
  <c r="E2951" i="2"/>
  <c r="F2951" i="2"/>
  <c r="G2951" i="2"/>
  <c r="H2951" i="2"/>
  <c r="I2951" i="2"/>
  <c r="J2951" i="2"/>
  <c r="K2951" i="2"/>
  <c r="L2951" i="2"/>
  <c r="M2951" i="2"/>
  <c r="N2951" i="2"/>
  <c r="O2951" i="2"/>
  <c r="P2951" i="2"/>
  <c r="Q2951" i="2"/>
  <c r="R2951" i="2"/>
  <c r="S2951" i="2"/>
  <c r="T2951" i="2"/>
  <c r="U2951" i="2"/>
  <c r="V2951" i="2"/>
  <c r="W2951" i="2"/>
  <c r="X2951" i="2"/>
  <c r="Y2951" i="2"/>
  <c r="Z2951" i="2"/>
  <c r="AA2951" i="2"/>
  <c r="AB2951" i="2"/>
  <c r="AC2951" i="2"/>
  <c r="AD2951" i="2"/>
  <c r="AE2951" i="2"/>
  <c r="AF2951" i="2"/>
  <c r="AG2951" i="2"/>
  <c r="AH2951" i="2"/>
  <c r="AI2951" i="2"/>
  <c r="AJ2951" i="2"/>
  <c r="AK2951" i="2"/>
  <c r="A2952" i="2"/>
  <c r="B2952" i="2"/>
  <c r="C2952" i="2"/>
  <c r="D2952" i="2"/>
  <c r="E2952" i="2"/>
  <c r="F2952" i="2"/>
  <c r="G2952" i="2"/>
  <c r="H2952" i="2"/>
  <c r="I2952" i="2"/>
  <c r="J2952" i="2"/>
  <c r="K2952" i="2"/>
  <c r="L2952" i="2"/>
  <c r="M2952" i="2"/>
  <c r="N2952" i="2"/>
  <c r="O2952" i="2"/>
  <c r="P2952" i="2"/>
  <c r="Q2952" i="2"/>
  <c r="R2952" i="2"/>
  <c r="S2952" i="2"/>
  <c r="T2952" i="2"/>
  <c r="U2952" i="2"/>
  <c r="V2952" i="2"/>
  <c r="W2952" i="2"/>
  <c r="X2952" i="2"/>
  <c r="Y2952" i="2"/>
  <c r="Z2952" i="2"/>
  <c r="AA2952" i="2"/>
  <c r="AB2952" i="2"/>
  <c r="AC2952" i="2"/>
  <c r="AD2952" i="2"/>
  <c r="AE2952" i="2"/>
  <c r="AF2952" i="2"/>
  <c r="AG2952" i="2"/>
  <c r="AH2952" i="2"/>
  <c r="AI2952" i="2"/>
  <c r="AJ2952" i="2"/>
  <c r="AK2952" i="2"/>
  <c r="A2953" i="2"/>
  <c r="B2953" i="2"/>
  <c r="C2953" i="2"/>
  <c r="D2953" i="2"/>
  <c r="E2953" i="2"/>
  <c r="F2953" i="2"/>
  <c r="G2953" i="2"/>
  <c r="H2953" i="2"/>
  <c r="I2953" i="2"/>
  <c r="J2953" i="2"/>
  <c r="K2953" i="2"/>
  <c r="L2953" i="2"/>
  <c r="M2953" i="2"/>
  <c r="N2953" i="2"/>
  <c r="O2953" i="2"/>
  <c r="P2953" i="2"/>
  <c r="Q2953" i="2"/>
  <c r="R2953" i="2"/>
  <c r="S2953" i="2"/>
  <c r="T2953" i="2"/>
  <c r="U2953" i="2"/>
  <c r="V2953" i="2"/>
  <c r="W2953" i="2"/>
  <c r="X2953" i="2"/>
  <c r="Y2953" i="2"/>
  <c r="Z2953" i="2"/>
  <c r="AA2953" i="2"/>
  <c r="AB2953" i="2"/>
  <c r="AC2953" i="2"/>
  <c r="AD2953" i="2"/>
  <c r="AE2953" i="2"/>
  <c r="AF2953" i="2"/>
  <c r="AG2953" i="2"/>
  <c r="AH2953" i="2"/>
  <c r="AI2953" i="2"/>
  <c r="AJ2953" i="2"/>
  <c r="AK2953" i="2"/>
  <c r="A2954" i="2"/>
  <c r="B2954" i="2"/>
  <c r="C2954" i="2"/>
  <c r="D2954" i="2"/>
  <c r="E2954" i="2"/>
  <c r="F2954" i="2"/>
  <c r="G2954" i="2"/>
  <c r="H2954" i="2"/>
  <c r="I2954" i="2"/>
  <c r="J2954" i="2"/>
  <c r="K2954" i="2"/>
  <c r="L2954" i="2"/>
  <c r="M2954" i="2"/>
  <c r="N2954" i="2"/>
  <c r="O2954" i="2"/>
  <c r="P2954" i="2"/>
  <c r="Q2954" i="2"/>
  <c r="R2954" i="2"/>
  <c r="S2954" i="2"/>
  <c r="T2954" i="2"/>
  <c r="U2954" i="2"/>
  <c r="V2954" i="2"/>
  <c r="W2954" i="2"/>
  <c r="X2954" i="2"/>
  <c r="Y2954" i="2"/>
  <c r="Z2954" i="2"/>
  <c r="AA2954" i="2"/>
  <c r="AB2954" i="2"/>
  <c r="AC2954" i="2"/>
  <c r="AD2954" i="2"/>
  <c r="AE2954" i="2"/>
  <c r="AF2954" i="2"/>
  <c r="AG2954" i="2"/>
  <c r="AH2954" i="2"/>
  <c r="AI2954" i="2"/>
  <c r="AJ2954" i="2"/>
  <c r="AK2954" i="2"/>
  <c r="A2955" i="2"/>
  <c r="B2955" i="2"/>
  <c r="C2955" i="2"/>
  <c r="D2955" i="2"/>
  <c r="E2955" i="2"/>
  <c r="F2955" i="2"/>
  <c r="G2955" i="2"/>
  <c r="H2955" i="2"/>
  <c r="I2955" i="2"/>
  <c r="J2955" i="2"/>
  <c r="K2955" i="2"/>
  <c r="L2955" i="2"/>
  <c r="M2955" i="2"/>
  <c r="N2955" i="2"/>
  <c r="O2955" i="2"/>
  <c r="P2955" i="2"/>
  <c r="Q2955" i="2"/>
  <c r="R2955" i="2"/>
  <c r="S2955" i="2"/>
  <c r="T2955" i="2"/>
  <c r="U2955" i="2"/>
  <c r="V2955" i="2"/>
  <c r="W2955" i="2"/>
  <c r="X2955" i="2"/>
  <c r="Y2955" i="2"/>
  <c r="Z2955" i="2"/>
  <c r="AA2955" i="2"/>
  <c r="AB2955" i="2"/>
  <c r="AC2955" i="2"/>
  <c r="AD2955" i="2"/>
  <c r="AE2955" i="2"/>
  <c r="AF2955" i="2"/>
  <c r="AG2955" i="2"/>
  <c r="AH2955" i="2"/>
  <c r="AI2955" i="2"/>
  <c r="AJ2955" i="2"/>
  <c r="AK2955" i="2"/>
  <c r="A2956" i="2"/>
  <c r="B2956" i="2"/>
  <c r="C2956" i="2"/>
  <c r="D2956" i="2"/>
  <c r="E2956" i="2"/>
  <c r="F2956" i="2"/>
  <c r="G2956" i="2"/>
  <c r="H2956" i="2"/>
  <c r="I2956" i="2"/>
  <c r="J2956" i="2"/>
  <c r="K2956" i="2"/>
  <c r="L2956" i="2"/>
  <c r="M2956" i="2"/>
  <c r="N2956" i="2"/>
  <c r="O2956" i="2"/>
  <c r="P2956" i="2"/>
  <c r="Q2956" i="2"/>
  <c r="R2956" i="2"/>
  <c r="S2956" i="2"/>
  <c r="T2956" i="2"/>
  <c r="U2956" i="2"/>
  <c r="V2956" i="2"/>
  <c r="W2956" i="2"/>
  <c r="X2956" i="2"/>
  <c r="Y2956" i="2"/>
  <c r="Z2956" i="2"/>
  <c r="AA2956" i="2"/>
  <c r="AB2956" i="2"/>
  <c r="AC2956" i="2"/>
  <c r="AD2956" i="2"/>
  <c r="AE2956" i="2"/>
  <c r="AF2956" i="2"/>
  <c r="AG2956" i="2"/>
  <c r="AH2956" i="2"/>
  <c r="AI2956" i="2"/>
  <c r="AJ2956" i="2"/>
  <c r="AK2956" i="2"/>
  <c r="A2957" i="2"/>
  <c r="B2957" i="2"/>
  <c r="C2957" i="2"/>
  <c r="D2957" i="2"/>
  <c r="E2957" i="2"/>
  <c r="F2957" i="2"/>
  <c r="G2957" i="2"/>
  <c r="H2957" i="2"/>
  <c r="I2957" i="2"/>
  <c r="J2957" i="2"/>
  <c r="K2957" i="2"/>
  <c r="L2957" i="2"/>
  <c r="M2957" i="2"/>
  <c r="N2957" i="2"/>
  <c r="O2957" i="2"/>
  <c r="P2957" i="2"/>
  <c r="Q2957" i="2"/>
  <c r="R2957" i="2"/>
  <c r="S2957" i="2"/>
  <c r="T2957" i="2"/>
  <c r="U2957" i="2"/>
  <c r="V2957" i="2"/>
  <c r="W2957" i="2"/>
  <c r="X2957" i="2"/>
  <c r="Y2957" i="2"/>
  <c r="Z2957" i="2"/>
  <c r="AA2957" i="2"/>
  <c r="AB2957" i="2"/>
  <c r="AC2957" i="2"/>
  <c r="AD2957" i="2"/>
  <c r="AE2957" i="2"/>
  <c r="AF2957" i="2"/>
  <c r="AG2957" i="2"/>
  <c r="AH2957" i="2"/>
  <c r="AI2957" i="2"/>
  <c r="AJ2957" i="2"/>
  <c r="AK2957" i="2"/>
  <c r="A2958" i="2"/>
  <c r="B2958" i="2"/>
  <c r="C2958" i="2"/>
  <c r="D2958" i="2"/>
  <c r="E2958" i="2"/>
  <c r="F2958" i="2"/>
  <c r="G2958" i="2"/>
  <c r="H2958" i="2"/>
  <c r="I2958" i="2"/>
  <c r="J2958" i="2"/>
  <c r="K2958" i="2"/>
  <c r="L2958" i="2"/>
  <c r="M2958" i="2"/>
  <c r="N2958" i="2"/>
  <c r="O2958" i="2"/>
  <c r="P2958" i="2"/>
  <c r="Q2958" i="2"/>
  <c r="R2958" i="2"/>
  <c r="S2958" i="2"/>
  <c r="T2958" i="2"/>
  <c r="U2958" i="2"/>
  <c r="V2958" i="2"/>
  <c r="W2958" i="2"/>
  <c r="X2958" i="2"/>
  <c r="Y2958" i="2"/>
  <c r="Z2958" i="2"/>
  <c r="AA2958" i="2"/>
  <c r="AB2958" i="2"/>
  <c r="AC2958" i="2"/>
  <c r="AD2958" i="2"/>
  <c r="AE2958" i="2"/>
  <c r="AF2958" i="2"/>
  <c r="AG2958" i="2"/>
  <c r="AH2958" i="2"/>
  <c r="AI2958" i="2"/>
  <c r="AJ2958" i="2"/>
  <c r="AK2958" i="2"/>
  <c r="A2959" i="2"/>
  <c r="B2959" i="2"/>
  <c r="C2959" i="2"/>
  <c r="D2959" i="2"/>
  <c r="E2959" i="2"/>
  <c r="F2959" i="2"/>
  <c r="G2959" i="2"/>
  <c r="H2959" i="2"/>
  <c r="I2959" i="2"/>
  <c r="J2959" i="2"/>
  <c r="K2959" i="2"/>
  <c r="L2959" i="2"/>
  <c r="M2959" i="2"/>
  <c r="N2959" i="2"/>
  <c r="O2959" i="2"/>
  <c r="P2959" i="2"/>
  <c r="Q2959" i="2"/>
  <c r="R2959" i="2"/>
  <c r="S2959" i="2"/>
  <c r="T2959" i="2"/>
  <c r="U2959" i="2"/>
  <c r="V2959" i="2"/>
  <c r="W2959" i="2"/>
  <c r="X2959" i="2"/>
  <c r="Y2959" i="2"/>
  <c r="Z2959" i="2"/>
  <c r="AA2959" i="2"/>
  <c r="AB2959" i="2"/>
  <c r="AC2959" i="2"/>
  <c r="AD2959" i="2"/>
  <c r="AE2959" i="2"/>
  <c r="AF2959" i="2"/>
  <c r="AG2959" i="2"/>
  <c r="AH2959" i="2"/>
  <c r="AI2959" i="2"/>
  <c r="AJ2959" i="2"/>
  <c r="AK2959" i="2"/>
  <c r="A2960" i="2"/>
  <c r="B2960" i="2"/>
  <c r="C2960" i="2"/>
  <c r="D2960" i="2"/>
  <c r="E2960" i="2"/>
  <c r="F2960" i="2"/>
  <c r="G2960" i="2"/>
  <c r="H2960" i="2"/>
  <c r="I2960" i="2"/>
  <c r="J2960" i="2"/>
  <c r="K2960" i="2"/>
  <c r="L2960" i="2"/>
  <c r="M2960" i="2"/>
  <c r="N2960" i="2"/>
  <c r="O2960" i="2"/>
  <c r="P2960" i="2"/>
  <c r="Q2960" i="2"/>
  <c r="R2960" i="2"/>
  <c r="S2960" i="2"/>
  <c r="T2960" i="2"/>
  <c r="U2960" i="2"/>
  <c r="V2960" i="2"/>
  <c r="W2960" i="2"/>
  <c r="X2960" i="2"/>
  <c r="Y2960" i="2"/>
  <c r="Z2960" i="2"/>
  <c r="AA2960" i="2"/>
  <c r="AB2960" i="2"/>
  <c r="AC2960" i="2"/>
  <c r="AD2960" i="2"/>
  <c r="AE2960" i="2"/>
  <c r="AF2960" i="2"/>
  <c r="AG2960" i="2"/>
  <c r="AH2960" i="2"/>
  <c r="AI2960" i="2"/>
  <c r="AJ2960" i="2"/>
  <c r="AK2960" i="2"/>
  <c r="A2961" i="2"/>
  <c r="B2961" i="2"/>
  <c r="C2961" i="2"/>
  <c r="D2961" i="2"/>
  <c r="E2961" i="2"/>
  <c r="F2961" i="2"/>
  <c r="G2961" i="2"/>
  <c r="H2961" i="2"/>
  <c r="I2961" i="2"/>
  <c r="J2961" i="2"/>
  <c r="K2961" i="2"/>
  <c r="L2961" i="2"/>
  <c r="M2961" i="2"/>
  <c r="N2961" i="2"/>
  <c r="O2961" i="2"/>
  <c r="P2961" i="2"/>
  <c r="Q2961" i="2"/>
  <c r="R2961" i="2"/>
  <c r="S2961" i="2"/>
  <c r="T2961" i="2"/>
  <c r="U2961" i="2"/>
  <c r="V2961" i="2"/>
  <c r="W2961" i="2"/>
  <c r="X2961" i="2"/>
  <c r="Y2961" i="2"/>
  <c r="Z2961" i="2"/>
  <c r="AA2961" i="2"/>
  <c r="AB2961" i="2"/>
  <c r="AC2961" i="2"/>
  <c r="AD2961" i="2"/>
  <c r="AE2961" i="2"/>
  <c r="AF2961" i="2"/>
  <c r="AG2961" i="2"/>
  <c r="AH2961" i="2"/>
  <c r="AI2961" i="2"/>
  <c r="AJ2961" i="2"/>
  <c r="AK2961" i="2"/>
  <c r="A2962" i="2"/>
  <c r="B2962" i="2"/>
  <c r="C2962" i="2"/>
  <c r="D2962" i="2"/>
  <c r="E2962" i="2"/>
  <c r="F2962" i="2"/>
  <c r="G2962" i="2"/>
  <c r="H2962" i="2"/>
  <c r="I2962" i="2"/>
  <c r="J2962" i="2"/>
  <c r="K2962" i="2"/>
  <c r="L2962" i="2"/>
  <c r="M2962" i="2"/>
  <c r="N2962" i="2"/>
  <c r="O2962" i="2"/>
  <c r="P2962" i="2"/>
  <c r="Q2962" i="2"/>
  <c r="R2962" i="2"/>
  <c r="S2962" i="2"/>
  <c r="T2962" i="2"/>
  <c r="U2962" i="2"/>
  <c r="V2962" i="2"/>
  <c r="W2962" i="2"/>
  <c r="X2962" i="2"/>
  <c r="Y2962" i="2"/>
  <c r="Z2962" i="2"/>
  <c r="AA2962" i="2"/>
  <c r="AB2962" i="2"/>
  <c r="AC2962" i="2"/>
  <c r="AD2962" i="2"/>
  <c r="AE2962" i="2"/>
  <c r="AF2962" i="2"/>
  <c r="AG2962" i="2"/>
  <c r="AH2962" i="2"/>
  <c r="AI2962" i="2"/>
  <c r="AJ2962" i="2"/>
  <c r="AK2962" i="2"/>
  <c r="A2963" i="2"/>
  <c r="B2963" i="2"/>
  <c r="C2963" i="2"/>
  <c r="D2963" i="2"/>
  <c r="E2963" i="2"/>
  <c r="F2963" i="2"/>
  <c r="G2963" i="2"/>
  <c r="H2963" i="2"/>
  <c r="I2963" i="2"/>
  <c r="J2963" i="2"/>
  <c r="K2963" i="2"/>
  <c r="L2963" i="2"/>
  <c r="M2963" i="2"/>
  <c r="N2963" i="2"/>
  <c r="O2963" i="2"/>
  <c r="P2963" i="2"/>
  <c r="Q2963" i="2"/>
  <c r="R2963" i="2"/>
  <c r="S2963" i="2"/>
  <c r="T2963" i="2"/>
  <c r="U2963" i="2"/>
  <c r="V2963" i="2"/>
  <c r="W2963" i="2"/>
  <c r="X2963" i="2"/>
  <c r="Y2963" i="2"/>
  <c r="Z2963" i="2"/>
  <c r="AA2963" i="2"/>
  <c r="AB2963" i="2"/>
  <c r="AC2963" i="2"/>
  <c r="AD2963" i="2"/>
  <c r="AE2963" i="2"/>
  <c r="AF2963" i="2"/>
  <c r="AG2963" i="2"/>
  <c r="AH2963" i="2"/>
  <c r="AI2963" i="2"/>
  <c r="AJ2963" i="2"/>
  <c r="AK2963" i="2"/>
  <c r="A2964" i="2"/>
  <c r="B2964" i="2"/>
  <c r="C2964" i="2"/>
  <c r="D2964" i="2"/>
  <c r="E2964" i="2"/>
  <c r="F2964" i="2"/>
  <c r="G2964" i="2"/>
  <c r="H2964" i="2"/>
  <c r="I2964" i="2"/>
  <c r="J2964" i="2"/>
  <c r="K2964" i="2"/>
  <c r="L2964" i="2"/>
  <c r="M2964" i="2"/>
  <c r="N2964" i="2"/>
  <c r="O2964" i="2"/>
  <c r="P2964" i="2"/>
  <c r="Q2964" i="2"/>
  <c r="R2964" i="2"/>
  <c r="S2964" i="2"/>
  <c r="T2964" i="2"/>
  <c r="U2964" i="2"/>
  <c r="V2964" i="2"/>
  <c r="W2964" i="2"/>
  <c r="X2964" i="2"/>
  <c r="Y2964" i="2"/>
  <c r="Z2964" i="2"/>
  <c r="AA2964" i="2"/>
  <c r="AB2964" i="2"/>
  <c r="AC2964" i="2"/>
  <c r="AD2964" i="2"/>
  <c r="AE2964" i="2"/>
  <c r="AF2964" i="2"/>
  <c r="AG2964" i="2"/>
  <c r="AH2964" i="2"/>
  <c r="AI2964" i="2"/>
  <c r="AJ2964" i="2"/>
  <c r="AK2964" i="2"/>
  <c r="A2965" i="2"/>
  <c r="B2965" i="2"/>
  <c r="C2965" i="2"/>
  <c r="D2965" i="2"/>
  <c r="E2965" i="2"/>
  <c r="F2965" i="2"/>
  <c r="G2965" i="2"/>
  <c r="H2965" i="2"/>
  <c r="I2965" i="2"/>
  <c r="J2965" i="2"/>
  <c r="K2965" i="2"/>
  <c r="L2965" i="2"/>
  <c r="M2965" i="2"/>
  <c r="N2965" i="2"/>
  <c r="O2965" i="2"/>
  <c r="P2965" i="2"/>
  <c r="Q2965" i="2"/>
  <c r="R2965" i="2"/>
  <c r="S2965" i="2"/>
  <c r="T2965" i="2"/>
  <c r="U2965" i="2"/>
  <c r="V2965" i="2"/>
  <c r="W2965" i="2"/>
  <c r="X2965" i="2"/>
  <c r="Y2965" i="2"/>
  <c r="Z2965" i="2"/>
  <c r="AA2965" i="2"/>
  <c r="AB2965" i="2"/>
  <c r="AC2965" i="2"/>
  <c r="AD2965" i="2"/>
  <c r="AE2965" i="2"/>
  <c r="AF2965" i="2"/>
  <c r="AG2965" i="2"/>
  <c r="AH2965" i="2"/>
  <c r="AI2965" i="2"/>
  <c r="AJ2965" i="2"/>
  <c r="AK2965" i="2"/>
  <c r="A2966" i="2"/>
  <c r="B2966" i="2"/>
  <c r="C2966" i="2"/>
  <c r="D2966" i="2"/>
  <c r="E2966" i="2"/>
  <c r="F2966" i="2"/>
  <c r="G2966" i="2"/>
  <c r="H2966" i="2"/>
  <c r="I2966" i="2"/>
  <c r="J2966" i="2"/>
  <c r="K2966" i="2"/>
  <c r="L2966" i="2"/>
  <c r="M2966" i="2"/>
  <c r="N2966" i="2"/>
  <c r="O2966" i="2"/>
  <c r="P2966" i="2"/>
  <c r="Q2966" i="2"/>
  <c r="R2966" i="2"/>
  <c r="S2966" i="2"/>
  <c r="T2966" i="2"/>
  <c r="U2966" i="2"/>
  <c r="V2966" i="2"/>
  <c r="W2966" i="2"/>
  <c r="X2966" i="2"/>
  <c r="Y2966" i="2"/>
  <c r="Z2966" i="2"/>
  <c r="AA2966" i="2"/>
  <c r="AB2966" i="2"/>
  <c r="AC2966" i="2"/>
  <c r="AD2966" i="2"/>
  <c r="AE2966" i="2"/>
  <c r="AF2966" i="2"/>
  <c r="AG2966" i="2"/>
  <c r="AH2966" i="2"/>
  <c r="AI2966" i="2"/>
  <c r="AJ2966" i="2"/>
  <c r="AK2966" i="2"/>
  <c r="A2967" i="2"/>
  <c r="B2967" i="2"/>
  <c r="C2967" i="2"/>
  <c r="D2967" i="2"/>
  <c r="E2967" i="2"/>
  <c r="F2967" i="2"/>
  <c r="G2967" i="2"/>
  <c r="H2967" i="2"/>
  <c r="I2967" i="2"/>
  <c r="J2967" i="2"/>
  <c r="K2967" i="2"/>
  <c r="L2967" i="2"/>
  <c r="M2967" i="2"/>
  <c r="N2967" i="2"/>
  <c r="O2967" i="2"/>
  <c r="P2967" i="2"/>
  <c r="Q2967" i="2"/>
  <c r="R2967" i="2"/>
  <c r="S2967" i="2"/>
  <c r="T2967" i="2"/>
  <c r="U2967" i="2"/>
  <c r="V2967" i="2"/>
  <c r="W2967" i="2"/>
  <c r="X2967" i="2"/>
  <c r="Y2967" i="2"/>
  <c r="Z2967" i="2"/>
  <c r="AA2967" i="2"/>
  <c r="AB2967" i="2"/>
  <c r="AC2967" i="2"/>
  <c r="AD2967" i="2"/>
  <c r="AE2967" i="2"/>
  <c r="AF2967" i="2"/>
  <c r="AG2967" i="2"/>
  <c r="AH2967" i="2"/>
  <c r="AI2967" i="2"/>
  <c r="AJ2967" i="2"/>
  <c r="AK2967" i="2"/>
  <c r="A2968" i="2"/>
  <c r="B2968" i="2"/>
  <c r="C2968" i="2"/>
  <c r="D2968" i="2"/>
  <c r="E2968" i="2"/>
  <c r="F2968" i="2"/>
  <c r="G2968" i="2"/>
  <c r="H2968" i="2"/>
  <c r="I2968" i="2"/>
  <c r="J2968" i="2"/>
  <c r="K2968" i="2"/>
  <c r="L2968" i="2"/>
  <c r="M2968" i="2"/>
  <c r="N2968" i="2"/>
  <c r="O2968" i="2"/>
  <c r="P2968" i="2"/>
  <c r="Q2968" i="2"/>
  <c r="R2968" i="2"/>
  <c r="S2968" i="2"/>
  <c r="T2968" i="2"/>
  <c r="U2968" i="2"/>
  <c r="V2968" i="2"/>
  <c r="W2968" i="2"/>
  <c r="X2968" i="2"/>
  <c r="Y2968" i="2"/>
  <c r="Z2968" i="2"/>
  <c r="AA2968" i="2"/>
  <c r="AB2968" i="2"/>
  <c r="AC2968" i="2"/>
  <c r="AD2968" i="2"/>
  <c r="AE2968" i="2"/>
  <c r="AF2968" i="2"/>
  <c r="AG2968" i="2"/>
  <c r="AH2968" i="2"/>
  <c r="AI2968" i="2"/>
  <c r="AJ2968" i="2"/>
  <c r="AK2968" i="2"/>
  <c r="A2969" i="2"/>
  <c r="B2969" i="2"/>
  <c r="C2969" i="2"/>
  <c r="D2969" i="2"/>
  <c r="E2969" i="2"/>
  <c r="F2969" i="2"/>
  <c r="G2969" i="2"/>
  <c r="H2969" i="2"/>
  <c r="I2969" i="2"/>
  <c r="J2969" i="2"/>
  <c r="K2969" i="2"/>
  <c r="L2969" i="2"/>
  <c r="M2969" i="2"/>
  <c r="N2969" i="2"/>
  <c r="O2969" i="2"/>
  <c r="P2969" i="2"/>
  <c r="Q2969" i="2"/>
  <c r="R2969" i="2"/>
  <c r="S2969" i="2"/>
  <c r="T2969" i="2"/>
  <c r="U2969" i="2"/>
  <c r="V2969" i="2"/>
  <c r="W2969" i="2"/>
  <c r="X2969" i="2"/>
  <c r="Y2969" i="2"/>
  <c r="Z2969" i="2"/>
  <c r="AA2969" i="2"/>
  <c r="AB2969" i="2"/>
  <c r="AC2969" i="2"/>
  <c r="AD2969" i="2"/>
  <c r="AE2969" i="2"/>
  <c r="AF2969" i="2"/>
  <c r="AG2969" i="2"/>
  <c r="AH2969" i="2"/>
  <c r="AI2969" i="2"/>
  <c r="AJ2969" i="2"/>
  <c r="AK2969" i="2"/>
  <c r="A2970" i="2"/>
  <c r="B2970" i="2"/>
  <c r="C2970" i="2"/>
  <c r="D2970" i="2"/>
  <c r="E2970" i="2"/>
  <c r="F2970" i="2"/>
  <c r="G2970" i="2"/>
  <c r="H2970" i="2"/>
  <c r="I2970" i="2"/>
  <c r="J2970" i="2"/>
  <c r="K2970" i="2"/>
  <c r="L2970" i="2"/>
  <c r="M2970" i="2"/>
  <c r="N2970" i="2"/>
  <c r="O2970" i="2"/>
  <c r="P2970" i="2"/>
  <c r="Q2970" i="2"/>
  <c r="R2970" i="2"/>
  <c r="S2970" i="2"/>
  <c r="T2970" i="2"/>
  <c r="U2970" i="2"/>
  <c r="V2970" i="2"/>
  <c r="W2970" i="2"/>
  <c r="X2970" i="2"/>
  <c r="Y2970" i="2"/>
  <c r="Z2970" i="2"/>
  <c r="AA2970" i="2"/>
  <c r="AB2970" i="2"/>
  <c r="AC2970" i="2"/>
  <c r="AD2970" i="2"/>
  <c r="AE2970" i="2"/>
  <c r="AF2970" i="2"/>
  <c r="AG2970" i="2"/>
  <c r="AH2970" i="2"/>
  <c r="AI2970" i="2"/>
  <c r="AJ2970" i="2"/>
  <c r="AK2970" i="2"/>
  <c r="A2971" i="2"/>
  <c r="B2971" i="2"/>
  <c r="C2971" i="2"/>
  <c r="D2971" i="2"/>
  <c r="E2971" i="2"/>
  <c r="F2971" i="2"/>
  <c r="G2971" i="2"/>
  <c r="H2971" i="2"/>
  <c r="I2971" i="2"/>
  <c r="J2971" i="2"/>
  <c r="K2971" i="2"/>
  <c r="L2971" i="2"/>
  <c r="M2971" i="2"/>
  <c r="N2971" i="2"/>
  <c r="O2971" i="2"/>
  <c r="P2971" i="2"/>
  <c r="Q2971" i="2"/>
  <c r="R2971" i="2"/>
  <c r="S2971" i="2"/>
  <c r="T2971" i="2"/>
  <c r="U2971" i="2"/>
  <c r="V2971" i="2"/>
  <c r="W2971" i="2"/>
  <c r="X2971" i="2"/>
  <c r="Y2971" i="2"/>
  <c r="Z2971" i="2"/>
  <c r="AA2971" i="2"/>
  <c r="AB2971" i="2"/>
  <c r="AC2971" i="2"/>
  <c r="AD2971" i="2"/>
  <c r="AE2971" i="2"/>
  <c r="AF2971" i="2"/>
  <c r="AG2971" i="2"/>
  <c r="AH2971" i="2"/>
  <c r="AI2971" i="2"/>
  <c r="AJ2971" i="2"/>
  <c r="AK2971" i="2"/>
  <c r="A2972" i="2"/>
  <c r="B2972" i="2"/>
  <c r="C2972" i="2"/>
  <c r="D2972" i="2"/>
  <c r="E2972" i="2"/>
  <c r="F2972" i="2"/>
  <c r="G2972" i="2"/>
  <c r="H2972" i="2"/>
  <c r="I2972" i="2"/>
  <c r="J2972" i="2"/>
  <c r="K2972" i="2"/>
  <c r="L2972" i="2"/>
  <c r="M2972" i="2"/>
  <c r="N2972" i="2"/>
  <c r="O2972" i="2"/>
  <c r="P2972" i="2"/>
  <c r="Q2972" i="2"/>
  <c r="R2972" i="2"/>
  <c r="S2972" i="2"/>
  <c r="T2972" i="2"/>
  <c r="U2972" i="2"/>
  <c r="V2972" i="2"/>
  <c r="W2972" i="2"/>
  <c r="X2972" i="2"/>
  <c r="Y2972" i="2"/>
  <c r="Z2972" i="2"/>
  <c r="AA2972" i="2"/>
  <c r="AB2972" i="2"/>
  <c r="AC2972" i="2"/>
  <c r="AD2972" i="2"/>
  <c r="AE2972" i="2"/>
  <c r="AF2972" i="2"/>
  <c r="AG2972" i="2"/>
  <c r="AH2972" i="2"/>
  <c r="AI2972" i="2"/>
  <c r="AJ2972" i="2"/>
  <c r="AK2972" i="2"/>
  <c r="A2973" i="2"/>
  <c r="B2973" i="2"/>
  <c r="C2973" i="2"/>
  <c r="D2973" i="2"/>
  <c r="E2973" i="2"/>
  <c r="F2973" i="2"/>
  <c r="G2973" i="2"/>
  <c r="H2973" i="2"/>
  <c r="I2973" i="2"/>
  <c r="J2973" i="2"/>
  <c r="K2973" i="2"/>
  <c r="L2973" i="2"/>
  <c r="M2973" i="2"/>
  <c r="N2973" i="2"/>
  <c r="O2973" i="2"/>
  <c r="P2973" i="2"/>
  <c r="Q2973" i="2"/>
  <c r="R2973" i="2"/>
  <c r="S2973" i="2"/>
  <c r="T2973" i="2"/>
  <c r="U2973" i="2"/>
  <c r="V2973" i="2"/>
  <c r="W2973" i="2"/>
  <c r="X2973" i="2"/>
  <c r="Y2973" i="2"/>
  <c r="Z2973" i="2"/>
  <c r="AA2973" i="2"/>
  <c r="AB2973" i="2"/>
  <c r="AC2973" i="2"/>
  <c r="AD2973" i="2"/>
  <c r="AE2973" i="2"/>
  <c r="AF2973" i="2"/>
  <c r="AG2973" i="2"/>
  <c r="AH2973" i="2"/>
  <c r="AI2973" i="2"/>
  <c r="AJ2973" i="2"/>
  <c r="AK2973" i="2"/>
  <c r="A2974" i="2"/>
  <c r="B2974" i="2"/>
  <c r="C2974" i="2"/>
  <c r="D2974" i="2"/>
  <c r="E2974" i="2"/>
  <c r="F2974" i="2"/>
  <c r="G2974" i="2"/>
  <c r="H2974" i="2"/>
  <c r="I2974" i="2"/>
  <c r="J2974" i="2"/>
  <c r="K2974" i="2"/>
  <c r="L2974" i="2"/>
  <c r="M2974" i="2"/>
  <c r="N2974" i="2"/>
  <c r="O2974" i="2"/>
  <c r="P2974" i="2"/>
  <c r="Q2974" i="2"/>
  <c r="R2974" i="2"/>
  <c r="S2974" i="2"/>
  <c r="T2974" i="2"/>
  <c r="U2974" i="2"/>
  <c r="V2974" i="2"/>
  <c r="W2974" i="2"/>
  <c r="X2974" i="2"/>
  <c r="Y2974" i="2"/>
  <c r="Z2974" i="2"/>
  <c r="AA2974" i="2"/>
  <c r="AB2974" i="2"/>
  <c r="AC2974" i="2"/>
  <c r="AD2974" i="2"/>
  <c r="AE2974" i="2"/>
  <c r="AF2974" i="2"/>
  <c r="AG2974" i="2"/>
  <c r="AH2974" i="2"/>
  <c r="AI2974" i="2"/>
  <c r="AJ2974" i="2"/>
  <c r="AK2974" i="2"/>
  <c r="A2975" i="2"/>
  <c r="B2975" i="2"/>
  <c r="C2975" i="2"/>
  <c r="D2975" i="2"/>
  <c r="E2975" i="2"/>
  <c r="F2975" i="2"/>
  <c r="G2975" i="2"/>
  <c r="H2975" i="2"/>
  <c r="I2975" i="2"/>
  <c r="J2975" i="2"/>
  <c r="K2975" i="2"/>
  <c r="L2975" i="2"/>
  <c r="M2975" i="2"/>
  <c r="N2975" i="2"/>
  <c r="O2975" i="2"/>
  <c r="P2975" i="2"/>
  <c r="Q2975" i="2"/>
  <c r="R2975" i="2"/>
  <c r="S2975" i="2"/>
  <c r="T2975" i="2"/>
  <c r="U2975" i="2"/>
  <c r="V2975" i="2"/>
  <c r="W2975" i="2"/>
  <c r="X2975" i="2"/>
  <c r="Y2975" i="2"/>
  <c r="Z2975" i="2"/>
  <c r="AA2975" i="2"/>
  <c r="AB2975" i="2"/>
  <c r="AC2975" i="2"/>
  <c r="AD2975" i="2"/>
  <c r="AE2975" i="2"/>
  <c r="AF2975" i="2"/>
  <c r="AG2975" i="2"/>
  <c r="AH2975" i="2"/>
  <c r="AI2975" i="2"/>
  <c r="AJ2975" i="2"/>
  <c r="AK2975" i="2"/>
  <c r="A2976" i="2"/>
  <c r="B2976" i="2"/>
  <c r="C2976" i="2"/>
  <c r="D2976" i="2"/>
  <c r="E2976" i="2"/>
  <c r="F2976" i="2"/>
  <c r="G2976" i="2"/>
  <c r="H2976" i="2"/>
  <c r="I2976" i="2"/>
  <c r="J2976" i="2"/>
  <c r="K2976" i="2"/>
  <c r="L2976" i="2"/>
  <c r="M2976" i="2"/>
  <c r="N2976" i="2"/>
  <c r="O2976" i="2"/>
  <c r="P2976" i="2"/>
  <c r="Q2976" i="2"/>
  <c r="R2976" i="2"/>
  <c r="S2976" i="2"/>
  <c r="T2976" i="2"/>
  <c r="U2976" i="2"/>
  <c r="V2976" i="2"/>
  <c r="W2976" i="2"/>
  <c r="X2976" i="2"/>
  <c r="Y2976" i="2"/>
  <c r="Z2976" i="2"/>
  <c r="AA2976" i="2"/>
  <c r="AB2976" i="2"/>
  <c r="AC2976" i="2"/>
  <c r="AD2976" i="2"/>
  <c r="AE2976" i="2"/>
  <c r="AF2976" i="2"/>
  <c r="AG2976" i="2"/>
  <c r="AH2976" i="2"/>
  <c r="AI2976" i="2"/>
  <c r="AJ2976" i="2"/>
  <c r="AK2976" i="2"/>
  <c r="A2977" i="2"/>
  <c r="B2977" i="2"/>
  <c r="C2977" i="2"/>
  <c r="D2977" i="2"/>
  <c r="E2977" i="2"/>
  <c r="F2977" i="2"/>
  <c r="G2977" i="2"/>
  <c r="H2977" i="2"/>
  <c r="I2977" i="2"/>
  <c r="J2977" i="2"/>
  <c r="K2977" i="2"/>
  <c r="L2977" i="2"/>
  <c r="M2977" i="2"/>
  <c r="N2977" i="2"/>
  <c r="O2977" i="2"/>
  <c r="P2977" i="2"/>
  <c r="Q2977" i="2"/>
  <c r="R2977" i="2"/>
  <c r="S2977" i="2"/>
  <c r="T2977" i="2"/>
  <c r="U2977" i="2"/>
  <c r="V2977" i="2"/>
  <c r="W2977" i="2"/>
  <c r="X2977" i="2"/>
  <c r="Y2977" i="2"/>
  <c r="Z2977" i="2"/>
  <c r="AA2977" i="2"/>
  <c r="AB2977" i="2"/>
  <c r="AC2977" i="2"/>
  <c r="AD2977" i="2"/>
  <c r="AE2977" i="2"/>
  <c r="AF2977" i="2"/>
  <c r="AG2977" i="2"/>
  <c r="AH2977" i="2"/>
  <c r="AI2977" i="2"/>
  <c r="AJ2977" i="2"/>
  <c r="AK2977" i="2"/>
  <c r="A2978" i="2"/>
  <c r="B2978" i="2"/>
  <c r="C2978" i="2"/>
  <c r="D2978" i="2"/>
  <c r="E2978" i="2"/>
  <c r="F2978" i="2"/>
  <c r="G2978" i="2"/>
  <c r="H2978" i="2"/>
  <c r="I2978" i="2"/>
  <c r="J2978" i="2"/>
  <c r="K2978" i="2"/>
  <c r="L2978" i="2"/>
  <c r="M2978" i="2"/>
  <c r="N2978" i="2"/>
  <c r="O2978" i="2"/>
  <c r="P2978" i="2"/>
  <c r="Q2978" i="2"/>
  <c r="R2978" i="2"/>
  <c r="S2978" i="2"/>
  <c r="T2978" i="2"/>
  <c r="U2978" i="2"/>
  <c r="V2978" i="2"/>
  <c r="W2978" i="2"/>
  <c r="X2978" i="2"/>
  <c r="Y2978" i="2"/>
  <c r="Z2978" i="2"/>
  <c r="AA2978" i="2"/>
  <c r="AB2978" i="2"/>
  <c r="AC2978" i="2"/>
  <c r="AD2978" i="2"/>
  <c r="AE2978" i="2"/>
  <c r="AF2978" i="2"/>
  <c r="AG2978" i="2"/>
  <c r="AH2978" i="2"/>
  <c r="AI2978" i="2"/>
  <c r="AJ2978" i="2"/>
  <c r="AK2978" i="2"/>
  <c r="A2979" i="2"/>
  <c r="B2979" i="2"/>
  <c r="C2979" i="2"/>
  <c r="D2979" i="2"/>
  <c r="E2979" i="2"/>
  <c r="F2979" i="2"/>
  <c r="G2979" i="2"/>
  <c r="H2979" i="2"/>
  <c r="I2979" i="2"/>
  <c r="J2979" i="2"/>
  <c r="K2979" i="2"/>
  <c r="L2979" i="2"/>
  <c r="M2979" i="2"/>
  <c r="N2979" i="2"/>
  <c r="O2979" i="2"/>
  <c r="P2979" i="2"/>
  <c r="Q2979" i="2"/>
  <c r="R2979" i="2"/>
  <c r="S2979" i="2"/>
  <c r="T2979" i="2"/>
  <c r="U2979" i="2"/>
  <c r="V2979" i="2"/>
  <c r="W2979" i="2"/>
  <c r="X2979" i="2"/>
  <c r="Y2979" i="2"/>
  <c r="Z2979" i="2"/>
  <c r="AA2979" i="2"/>
  <c r="AB2979" i="2"/>
  <c r="AC2979" i="2"/>
  <c r="AD2979" i="2"/>
  <c r="AE2979" i="2"/>
  <c r="AF2979" i="2"/>
  <c r="AG2979" i="2"/>
  <c r="AH2979" i="2"/>
  <c r="AI2979" i="2"/>
  <c r="AJ2979" i="2"/>
  <c r="AK2979" i="2"/>
  <c r="A2980" i="2"/>
  <c r="B2980" i="2"/>
  <c r="C2980" i="2"/>
  <c r="D2980" i="2"/>
  <c r="E2980" i="2"/>
  <c r="F2980" i="2"/>
  <c r="G2980" i="2"/>
  <c r="H2980" i="2"/>
  <c r="I2980" i="2"/>
  <c r="J2980" i="2"/>
  <c r="K2980" i="2"/>
  <c r="L2980" i="2"/>
  <c r="M2980" i="2"/>
  <c r="N2980" i="2"/>
  <c r="O2980" i="2"/>
  <c r="P2980" i="2"/>
  <c r="Q2980" i="2"/>
  <c r="R2980" i="2"/>
  <c r="S2980" i="2"/>
  <c r="T2980" i="2"/>
  <c r="U2980" i="2"/>
  <c r="V2980" i="2"/>
  <c r="W2980" i="2"/>
  <c r="X2980" i="2"/>
  <c r="Y2980" i="2"/>
  <c r="Z2980" i="2"/>
  <c r="AA2980" i="2"/>
  <c r="AB2980" i="2"/>
  <c r="AC2980" i="2"/>
  <c r="AD2980" i="2"/>
  <c r="AE2980" i="2"/>
  <c r="AF2980" i="2"/>
  <c r="AG2980" i="2"/>
  <c r="AH2980" i="2"/>
  <c r="AI2980" i="2"/>
  <c r="AJ2980" i="2"/>
  <c r="AK2980" i="2"/>
  <c r="A2981" i="2"/>
  <c r="B2981" i="2"/>
  <c r="C2981" i="2"/>
  <c r="D2981" i="2"/>
  <c r="E2981" i="2"/>
  <c r="F2981" i="2"/>
  <c r="G2981" i="2"/>
  <c r="H2981" i="2"/>
  <c r="I2981" i="2"/>
  <c r="J2981" i="2"/>
  <c r="K2981" i="2"/>
  <c r="L2981" i="2"/>
  <c r="M2981" i="2"/>
  <c r="N2981" i="2"/>
  <c r="O2981" i="2"/>
  <c r="P2981" i="2"/>
  <c r="Q2981" i="2"/>
  <c r="R2981" i="2"/>
  <c r="S2981" i="2"/>
  <c r="T2981" i="2"/>
  <c r="U2981" i="2"/>
  <c r="V2981" i="2"/>
  <c r="W2981" i="2"/>
  <c r="X2981" i="2"/>
  <c r="Y2981" i="2"/>
  <c r="Z2981" i="2"/>
  <c r="AA2981" i="2"/>
  <c r="AB2981" i="2"/>
  <c r="AC2981" i="2"/>
  <c r="AD2981" i="2"/>
  <c r="AE2981" i="2"/>
  <c r="AF2981" i="2"/>
  <c r="AG2981" i="2"/>
  <c r="AH2981" i="2"/>
  <c r="AI2981" i="2"/>
  <c r="AJ2981" i="2"/>
  <c r="AK2981" i="2"/>
  <c r="A2982" i="2"/>
  <c r="B2982" i="2"/>
  <c r="C2982" i="2"/>
  <c r="D2982" i="2"/>
  <c r="E2982" i="2"/>
  <c r="F2982" i="2"/>
  <c r="G2982" i="2"/>
  <c r="H2982" i="2"/>
  <c r="I2982" i="2"/>
  <c r="J2982" i="2"/>
  <c r="K2982" i="2"/>
  <c r="L2982" i="2"/>
  <c r="M2982" i="2"/>
  <c r="N2982" i="2"/>
  <c r="O2982" i="2"/>
  <c r="P2982" i="2"/>
  <c r="Q2982" i="2"/>
  <c r="R2982" i="2"/>
  <c r="S2982" i="2"/>
  <c r="T2982" i="2"/>
  <c r="U2982" i="2"/>
  <c r="V2982" i="2"/>
  <c r="W2982" i="2"/>
  <c r="X2982" i="2"/>
  <c r="Y2982" i="2"/>
  <c r="Z2982" i="2"/>
  <c r="AA2982" i="2"/>
  <c r="AB2982" i="2"/>
  <c r="AC2982" i="2"/>
  <c r="AD2982" i="2"/>
  <c r="AE2982" i="2"/>
  <c r="AF2982" i="2"/>
  <c r="AG2982" i="2"/>
  <c r="AH2982" i="2"/>
  <c r="AI2982" i="2"/>
  <c r="AJ2982" i="2"/>
  <c r="AK2982" i="2"/>
  <c r="A2983" i="2"/>
  <c r="B2983" i="2"/>
  <c r="C2983" i="2"/>
  <c r="D2983" i="2"/>
  <c r="E2983" i="2"/>
  <c r="F2983" i="2"/>
  <c r="G2983" i="2"/>
  <c r="H2983" i="2"/>
  <c r="I2983" i="2"/>
  <c r="J2983" i="2"/>
  <c r="K2983" i="2"/>
  <c r="L2983" i="2"/>
  <c r="M2983" i="2"/>
  <c r="N2983" i="2"/>
  <c r="O2983" i="2"/>
  <c r="P2983" i="2"/>
  <c r="Q2983" i="2"/>
  <c r="R2983" i="2"/>
  <c r="S2983" i="2"/>
  <c r="T2983" i="2"/>
  <c r="U2983" i="2"/>
  <c r="V2983" i="2"/>
  <c r="W2983" i="2"/>
  <c r="X2983" i="2"/>
  <c r="Y2983" i="2"/>
  <c r="Z2983" i="2"/>
  <c r="AA2983" i="2"/>
  <c r="AB2983" i="2"/>
  <c r="AC2983" i="2"/>
  <c r="AD2983" i="2"/>
  <c r="AE2983" i="2"/>
  <c r="AF2983" i="2"/>
  <c r="AG2983" i="2"/>
  <c r="AH2983" i="2"/>
  <c r="AI2983" i="2"/>
  <c r="AJ2983" i="2"/>
  <c r="AK2983" i="2"/>
  <c r="A2984" i="2"/>
  <c r="B2984" i="2"/>
  <c r="C2984" i="2"/>
  <c r="D2984" i="2"/>
  <c r="E2984" i="2"/>
  <c r="F2984" i="2"/>
  <c r="G2984" i="2"/>
  <c r="H2984" i="2"/>
  <c r="I2984" i="2"/>
  <c r="J2984" i="2"/>
  <c r="K2984" i="2"/>
  <c r="L2984" i="2"/>
  <c r="M2984" i="2"/>
  <c r="N2984" i="2"/>
  <c r="O2984" i="2"/>
  <c r="P2984" i="2"/>
  <c r="Q2984" i="2"/>
  <c r="R2984" i="2"/>
  <c r="S2984" i="2"/>
  <c r="T2984" i="2"/>
  <c r="U2984" i="2"/>
  <c r="V2984" i="2"/>
  <c r="W2984" i="2"/>
  <c r="X2984" i="2"/>
  <c r="Y2984" i="2"/>
  <c r="Z2984" i="2"/>
  <c r="AA2984" i="2"/>
  <c r="AB2984" i="2"/>
  <c r="AC2984" i="2"/>
  <c r="AD2984" i="2"/>
  <c r="AE2984" i="2"/>
  <c r="AF2984" i="2"/>
  <c r="AG2984" i="2"/>
  <c r="AH2984" i="2"/>
  <c r="AI2984" i="2"/>
  <c r="AJ2984" i="2"/>
  <c r="AK2984" i="2"/>
  <c r="A2985" i="2"/>
  <c r="B2985" i="2"/>
  <c r="C2985" i="2"/>
  <c r="D2985" i="2"/>
  <c r="E2985" i="2"/>
  <c r="F2985" i="2"/>
  <c r="G2985" i="2"/>
  <c r="H2985" i="2"/>
  <c r="I2985" i="2"/>
  <c r="J2985" i="2"/>
  <c r="K2985" i="2"/>
  <c r="L2985" i="2"/>
  <c r="M2985" i="2"/>
  <c r="N2985" i="2"/>
  <c r="O2985" i="2"/>
  <c r="P2985" i="2"/>
  <c r="Q2985" i="2"/>
  <c r="R2985" i="2"/>
  <c r="S2985" i="2"/>
  <c r="T2985" i="2"/>
  <c r="U2985" i="2"/>
  <c r="V2985" i="2"/>
  <c r="W2985" i="2"/>
  <c r="X2985" i="2"/>
  <c r="Y2985" i="2"/>
  <c r="Z2985" i="2"/>
  <c r="AA2985" i="2"/>
  <c r="AB2985" i="2"/>
  <c r="AC2985" i="2"/>
  <c r="AD2985" i="2"/>
  <c r="AE2985" i="2"/>
  <c r="AF2985" i="2"/>
  <c r="AG2985" i="2"/>
  <c r="AH2985" i="2"/>
  <c r="AI2985" i="2"/>
  <c r="AJ2985" i="2"/>
  <c r="AK2985" i="2"/>
  <c r="A2986" i="2"/>
  <c r="B2986" i="2"/>
  <c r="C2986" i="2"/>
  <c r="D2986" i="2"/>
  <c r="E2986" i="2"/>
  <c r="F2986" i="2"/>
  <c r="G2986" i="2"/>
  <c r="H2986" i="2"/>
  <c r="I2986" i="2"/>
  <c r="J2986" i="2"/>
  <c r="K2986" i="2"/>
  <c r="L2986" i="2"/>
  <c r="M2986" i="2"/>
  <c r="N2986" i="2"/>
  <c r="O2986" i="2"/>
  <c r="P2986" i="2"/>
  <c r="Q2986" i="2"/>
  <c r="R2986" i="2"/>
  <c r="S2986" i="2"/>
  <c r="T2986" i="2"/>
  <c r="U2986" i="2"/>
  <c r="V2986" i="2"/>
  <c r="W2986" i="2"/>
  <c r="X2986" i="2"/>
  <c r="Y2986" i="2"/>
  <c r="Z2986" i="2"/>
  <c r="AA2986" i="2"/>
  <c r="AB2986" i="2"/>
  <c r="AC2986" i="2"/>
  <c r="AD2986" i="2"/>
  <c r="AE2986" i="2"/>
  <c r="AF2986" i="2"/>
  <c r="AG2986" i="2"/>
  <c r="AH2986" i="2"/>
  <c r="AI2986" i="2"/>
  <c r="AJ2986" i="2"/>
  <c r="AK2986" i="2"/>
  <c r="A2987" i="2"/>
  <c r="B2987" i="2"/>
  <c r="C2987" i="2"/>
  <c r="D2987" i="2"/>
  <c r="E2987" i="2"/>
  <c r="F2987" i="2"/>
  <c r="G2987" i="2"/>
  <c r="H2987" i="2"/>
  <c r="I2987" i="2"/>
  <c r="J2987" i="2"/>
  <c r="K2987" i="2"/>
  <c r="L2987" i="2"/>
  <c r="M2987" i="2"/>
  <c r="N2987" i="2"/>
  <c r="O2987" i="2"/>
  <c r="P2987" i="2"/>
  <c r="Q2987" i="2"/>
  <c r="R2987" i="2"/>
  <c r="S2987" i="2"/>
  <c r="T2987" i="2"/>
  <c r="U2987" i="2"/>
  <c r="V2987" i="2"/>
  <c r="W2987" i="2"/>
  <c r="X2987" i="2"/>
  <c r="Y2987" i="2"/>
  <c r="Z2987" i="2"/>
  <c r="AA2987" i="2"/>
  <c r="AB2987" i="2"/>
  <c r="AC2987" i="2"/>
  <c r="AD2987" i="2"/>
  <c r="AE2987" i="2"/>
  <c r="AF2987" i="2"/>
  <c r="AG2987" i="2"/>
  <c r="AH2987" i="2"/>
  <c r="AI2987" i="2"/>
  <c r="AJ2987" i="2"/>
  <c r="AK2987" i="2"/>
  <c r="A2988" i="2"/>
  <c r="B2988" i="2"/>
  <c r="C2988" i="2"/>
  <c r="D2988" i="2"/>
  <c r="E2988" i="2"/>
  <c r="F2988" i="2"/>
  <c r="G2988" i="2"/>
  <c r="H2988" i="2"/>
  <c r="I2988" i="2"/>
  <c r="J2988" i="2"/>
  <c r="K2988" i="2"/>
  <c r="L2988" i="2"/>
  <c r="M2988" i="2"/>
  <c r="N2988" i="2"/>
  <c r="O2988" i="2"/>
  <c r="P2988" i="2"/>
  <c r="Q2988" i="2"/>
  <c r="R2988" i="2"/>
  <c r="S2988" i="2"/>
  <c r="T2988" i="2"/>
  <c r="U2988" i="2"/>
  <c r="V2988" i="2"/>
  <c r="W2988" i="2"/>
  <c r="X2988" i="2"/>
  <c r="Y2988" i="2"/>
  <c r="Z2988" i="2"/>
  <c r="AA2988" i="2"/>
  <c r="AB2988" i="2"/>
  <c r="AC2988" i="2"/>
  <c r="AD2988" i="2"/>
  <c r="AE2988" i="2"/>
  <c r="AF2988" i="2"/>
  <c r="AG2988" i="2"/>
  <c r="AH2988" i="2"/>
  <c r="AI2988" i="2"/>
  <c r="AJ2988" i="2"/>
  <c r="AK2988" i="2"/>
  <c r="A2989" i="2"/>
  <c r="B2989" i="2"/>
  <c r="C2989" i="2"/>
  <c r="D2989" i="2"/>
  <c r="E2989" i="2"/>
  <c r="F2989" i="2"/>
  <c r="G2989" i="2"/>
  <c r="H2989" i="2"/>
  <c r="I2989" i="2"/>
  <c r="J2989" i="2"/>
  <c r="K2989" i="2"/>
  <c r="L2989" i="2"/>
  <c r="M2989" i="2"/>
  <c r="N2989" i="2"/>
  <c r="O2989" i="2"/>
  <c r="P2989" i="2"/>
  <c r="Q2989" i="2"/>
  <c r="R2989" i="2"/>
  <c r="S2989" i="2"/>
  <c r="T2989" i="2"/>
  <c r="U2989" i="2"/>
  <c r="V2989" i="2"/>
  <c r="W2989" i="2"/>
  <c r="X2989" i="2"/>
  <c r="Y2989" i="2"/>
  <c r="Z2989" i="2"/>
  <c r="AA2989" i="2"/>
  <c r="AB2989" i="2"/>
  <c r="AC2989" i="2"/>
  <c r="AD2989" i="2"/>
  <c r="AE2989" i="2"/>
  <c r="AF2989" i="2"/>
  <c r="AG2989" i="2"/>
  <c r="AH2989" i="2"/>
  <c r="AI2989" i="2"/>
  <c r="AJ2989" i="2"/>
  <c r="AK2989" i="2"/>
  <c r="A2990" i="2"/>
  <c r="B2990" i="2"/>
  <c r="C2990" i="2"/>
  <c r="D2990" i="2"/>
  <c r="E2990" i="2"/>
  <c r="F2990" i="2"/>
  <c r="G2990" i="2"/>
  <c r="H2990" i="2"/>
  <c r="I2990" i="2"/>
  <c r="J2990" i="2"/>
  <c r="K2990" i="2"/>
  <c r="L2990" i="2"/>
  <c r="M2990" i="2"/>
  <c r="N2990" i="2"/>
  <c r="O2990" i="2"/>
  <c r="P2990" i="2"/>
  <c r="Q2990" i="2"/>
  <c r="R2990" i="2"/>
  <c r="S2990" i="2"/>
  <c r="T2990" i="2"/>
  <c r="U2990" i="2"/>
  <c r="V2990" i="2"/>
  <c r="W2990" i="2"/>
  <c r="X2990" i="2"/>
  <c r="Y2990" i="2"/>
  <c r="Z2990" i="2"/>
  <c r="AA2990" i="2"/>
  <c r="AB2990" i="2"/>
  <c r="AC2990" i="2"/>
  <c r="AD2990" i="2"/>
  <c r="AE2990" i="2"/>
  <c r="AF2990" i="2"/>
  <c r="AG2990" i="2"/>
  <c r="AH2990" i="2"/>
  <c r="AI2990" i="2"/>
  <c r="AJ2990" i="2"/>
  <c r="AK2990" i="2"/>
  <c r="A2991" i="2"/>
  <c r="B2991" i="2"/>
  <c r="C2991" i="2"/>
  <c r="D2991" i="2"/>
  <c r="E2991" i="2"/>
  <c r="F2991" i="2"/>
  <c r="G2991" i="2"/>
  <c r="H2991" i="2"/>
  <c r="I2991" i="2"/>
  <c r="J2991" i="2"/>
  <c r="K2991" i="2"/>
  <c r="L2991" i="2"/>
  <c r="M2991" i="2"/>
  <c r="N2991" i="2"/>
  <c r="O2991" i="2"/>
  <c r="P2991" i="2"/>
  <c r="Q2991" i="2"/>
  <c r="R2991" i="2"/>
  <c r="S2991" i="2"/>
  <c r="T2991" i="2"/>
  <c r="U2991" i="2"/>
  <c r="V2991" i="2"/>
  <c r="W2991" i="2"/>
  <c r="X2991" i="2"/>
  <c r="Y2991" i="2"/>
  <c r="Z2991" i="2"/>
  <c r="AA2991" i="2"/>
  <c r="AB2991" i="2"/>
  <c r="AC2991" i="2"/>
  <c r="AD2991" i="2"/>
  <c r="AE2991" i="2"/>
  <c r="AF2991" i="2"/>
  <c r="AG2991" i="2"/>
  <c r="AH2991" i="2"/>
  <c r="AI2991" i="2"/>
  <c r="AJ2991" i="2"/>
  <c r="AK2991" i="2"/>
  <c r="A2992" i="2"/>
  <c r="B2992" i="2"/>
  <c r="C2992" i="2"/>
  <c r="D2992" i="2"/>
  <c r="E2992" i="2"/>
  <c r="F2992" i="2"/>
  <c r="G2992" i="2"/>
  <c r="H2992" i="2"/>
  <c r="I2992" i="2"/>
  <c r="J2992" i="2"/>
  <c r="K2992" i="2"/>
  <c r="L2992" i="2"/>
  <c r="M2992" i="2"/>
  <c r="N2992" i="2"/>
  <c r="O2992" i="2"/>
  <c r="P2992" i="2"/>
  <c r="Q2992" i="2"/>
  <c r="R2992" i="2"/>
  <c r="S2992" i="2"/>
  <c r="T2992" i="2"/>
  <c r="U2992" i="2"/>
  <c r="V2992" i="2"/>
  <c r="W2992" i="2"/>
  <c r="X2992" i="2"/>
  <c r="Y2992" i="2"/>
  <c r="Z2992" i="2"/>
  <c r="AA2992" i="2"/>
  <c r="AB2992" i="2"/>
  <c r="AC2992" i="2"/>
  <c r="AD2992" i="2"/>
  <c r="AE2992" i="2"/>
  <c r="AF2992" i="2"/>
  <c r="AG2992" i="2"/>
  <c r="AH2992" i="2"/>
  <c r="AI2992" i="2"/>
  <c r="AJ2992" i="2"/>
  <c r="AK2992" i="2"/>
  <c r="A2993" i="2"/>
  <c r="B2993" i="2"/>
  <c r="C2993" i="2"/>
  <c r="D2993" i="2"/>
  <c r="E2993" i="2"/>
  <c r="F2993" i="2"/>
  <c r="G2993" i="2"/>
  <c r="H2993" i="2"/>
  <c r="I2993" i="2"/>
  <c r="J2993" i="2"/>
  <c r="K2993" i="2"/>
  <c r="L2993" i="2"/>
  <c r="M2993" i="2"/>
  <c r="N2993" i="2"/>
  <c r="O2993" i="2"/>
  <c r="P2993" i="2"/>
  <c r="Q2993" i="2"/>
  <c r="R2993" i="2"/>
  <c r="S2993" i="2"/>
  <c r="T2993" i="2"/>
  <c r="U2993" i="2"/>
  <c r="V2993" i="2"/>
  <c r="W2993" i="2"/>
  <c r="X2993" i="2"/>
  <c r="Y2993" i="2"/>
  <c r="Z2993" i="2"/>
  <c r="AA2993" i="2"/>
  <c r="AB2993" i="2"/>
  <c r="AC2993" i="2"/>
  <c r="AD2993" i="2"/>
  <c r="AE2993" i="2"/>
  <c r="AF2993" i="2"/>
  <c r="AG2993" i="2"/>
  <c r="AH2993" i="2"/>
  <c r="AI2993" i="2"/>
  <c r="AJ2993" i="2"/>
  <c r="AK2993" i="2"/>
  <c r="A2994" i="2"/>
  <c r="B2994" i="2"/>
  <c r="C2994" i="2"/>
  <c r="D2994" i="2"/>
  <c r="E2994" i="2"/>
  <c r="F2994" i="2"/>
  <c r="G2994" i="2"/>
  <c r="H2994" i="2"/>
  <c r="I2994" i="2"/>
  <c r="J2994" i="2"/>
  <c r="K2994" i="2"/>
  <c r="L2994" i="2"/>
  <c r="M2994" i="2"/>
  <c r="N2994" i="2"/>
  <c r="O2994" i="2"/>
  <c r="P2994" i="2"/>
  <c r="Q2994" i="2"/>
  <c r="R2994" i="2"/>
  <c r="S2994" i="2"/>
  <c r="T2994" i="2"/>
  <c r="U2994" i="2"/>
  <c r="V2994" i="2"/>
  <c r="W2994" i="2"/>
  <c r="X2994" i="2"/>
  <c r="Y2994" i="2"/>
  <c r="Z2994" i="2"/>
  <c r="AA2994" i="2"/>
  <c r="AB2994" i="2"/>
  <c r="AC2994" i="2"/>
  <c r="AD2994" i="2"/>
  <c r="AE2994" i="2"/>
  <c r="AF2994" i="2"/>
  <c r="AG2994" i="2"/>
  <c r="AH2994" i="2"/>
  <c r="AI2994" i="2"/>
  <c r="AJ2994" i="2"/>
  <c r="AK2994" i="2"/>
  <c r="A2995" i="2"/>
  <c r="B2995" i="2"/>
  <c r="C2995" i="2"/>
  <c r="D2995" i="2"/>
  <c r="E2995" i="2"/>
  <c r="F2995" i="2"/>
  <c r="G2995" i="2"/>
  <c r="H2995" i="2"/>
  <c r="I2995" i="2"/>
  <c r="J2995" i="2"/>
  <c r="K2995" i="2"/>
  <c r="L2995" i="2"/>
  <c r="M2995" i="2"/>
  <c r="N2995" i="2"/>
  <c r="O2995" i="2"/>
  <c r="P2995" i="2"/>
  <c r="Q2995" i="2"/>
  <c r="R2995" i="2"/>
  <c r="S2995" i="2"/>
  <c r="T2995" i="2"/>
  <c r="U2995" i="2"/>
  <c r="V2995" i="2"/>
  <c r="W2995" i="2"/>
  <c r="X2995" i="2"/>
  <c r="Y2995" i="2"/>
  <c r="Z2995" i="2"/>
  <c r="AA2995" i="2"/>
  <c r="AB2995" i="2"/>
  <c r="AC2995" i="2"/>
  <c r="AD2995" i="2"/>
  <c r="AE2995" i="2"/>
  <c r="AF2995" i="2"/>
  <c r="AG2995" i="2"/>
  <c r="AH2995" i="2"/>
  <c r="AI2995" i="2"/>
  <c r="AJ2995" i="2"/>
  <c r="AK2995" i="2"/>
  <c r="A2996" i="2"/>
  <c r="B2996" i="2"/>
  <c r="C2996" i="2"/>
  <c r="D2996" i="2"/>
  <c r="E2996" i="2"/>
  <c r="F2996" i="2"/>
  <c r="G2996" i="2"/>
  <c r="H2996" i="2"/>
  <c r="I2996" i="2"/>
  <c r="J2996" i="2"/>
  <c r="K2996" i="2"/>
  <c r="L2996" i="2"/>
  <c r="M2996" i="2"/>
  <c r="N2996" i="2"/>
  <c r="O2996" i="2"/>
  <c r="P2996" i="2"/>
  <c r="Q2996" i="2"/>
  <c r="R2996" i="2"/>
  <c r="S2996" i="2"/>
  <c r="T2996" i="2"/>
  <c r="U2996" i="2"/>
  <c r="V2996" i="2"/>
  <c r="W2996" i="2"/>
  <c r="X2996" i="2"/>
  <c r="Y2996" i="2"/>
  <c r="Z2996" i="2"/>
  <c r="AA2996" i="2"/>
  <c r="AB2996" i="2"/>
  <c r="AC2996" i="2"/>
  <c r="AD2996" i="2"/>
  <c r="AE2996" i="2"/>
  <c r="AF2996" i="2"/>
  <c r="AG2996" i="2"/>
  <c r="AH2996" i="2"/>
  <c r="AI2996" i="2"/>
  <c r="AJ2996" i="2"/>
  <c r="AK2996" i="2"/>
  <c r="A2997" i="2"/>
  <c r="B2997" i="2"/>
  <c r="C2997" i="2"/>
  <c r="D2997" i="2"/>
  <c r="E2997" i="2"/>
  <c r="F2997" i="2"/>
  <c r="G2997" i="2"/>
  <c r="H2997" i="2"/>
  <c r="I2997" i="2"/>
  <c r="J2997" i="2"/>
  <c r="K2997" i="2"/>
  <c r="L2997" i="2"/>
  <c r="M2997" i="2"/>
  <c r="N2997" i="2"/>
  <c r="O2997" i="2"/>
  <c r="P2997" i="2"/>
  <c r="Q2997" i="2"/>
  <c r="R2997" i="2"/>
  <c r="S2997" i="2"/>
  <c r="T2997" i="2"/>
  <c r="U2997" i="2"/>
  <c r="V2997" i="2"/>
  <c r="W2997" i="2"/>
  <c r="X2997" i="2"/>
  <c r="Y2997" i="2"/>
  <c r="Z2997" i="2"/>
  <c r="AA2997" i="2"/>
  <c r="AB2997" i="2"/>
  <c r="AC2997" i="2"/>
  <c r="AD2997" i="2"/>
  <c r="AE2997" i="2"/>
  <c r="AF2997" i="2"/>
  <c r="AG2997" i="2"/>
  <c r="AH2997" i="2"/>
  <c r="AI2997" i="2"/>
  <c r="AJ2997" i="2"/>
  <c r="AK2997" i="2"/>
  <c r="A2998" i="2"/>
  <c r="B2998" i="2"/>
  <c r="C2998" i="2"/>
  <c r="D2998" i="2"/>
  <c r="E2998" i="2"/>
  <c r="F2998" i="2"/>
  <c r="G2998" i="2"/>
  <c r="H2998" i="2"/>
  <c r="I2998" i="2"/>
  <c r="J2998" i="2"/>
  <c r="K2998" i="2"/>
  <c r="L2998" i="2"/>
  <c r="M2998" i="2"/>
  <c r="N2998" i="2"/>
  <c r="O2998" i="2"/>
  <c r="P2998" i="2"/>
  <c r="Q2998" i="2"/>
  <c r="R2998" i="2"/>
  <c r="S2998" i="2"/>
  <c r="T2998" i="2"/>
  <c r="U2998" i="2"/>
  <c r="V2998" i="2"/>
  <c r="W2998" i="2"/>
  <c r="X2998" i="2"/>
  <c r="Y2998" i="2"/>
  <c r="Z2998" i="2"/>
  <c r="AA2998" i="2"/>
  <c r="AB2998" i="2"/>
  <c r="AC2998" i="2"/>
  <c r="AD2998" i="2"/>
  <c r="AE2998" i="2"/>
  <c r="AF2998" i="2"/>
  <c r="AG2998" i="2"/>
  <c r="AH2998" i="2"/>
  <c r="AI2998" i="2"/>
  <c r="AJ2998" i="2"/>
  <c r="AK2998" i="2"/>
  <c r="A2999" i="2"/>
  <c r="B2999" i="2"/>
  <c r="C2999" i="2"/>
  <c r="D2999" i="2"/>
  <c r="E2999" i="2"/>
  <c r="F2999" i="2"/>
  <c r="G2999" i="2"/>
  <c r="H2999" i="2"/>
  <c r="I2999" i="2"/>
  <c r="J2999" i="2"/>
  <c r="K2999" i="2"/>
  <c r="L2999" i="2"/>
  <c r="M2999" i="2"/>
  <c r="N2999" i="2"/>
  <c r="O2999" i="2"/>
  <c r="P2999" i="2"/>
  <c r="Q2999" i="2"/>
  <c r="R2999" i="2"/>
  <c r="S2999" i="2"/>
  <c r="T2999" i="2"/>
  <c r="U2999" i="2"/>
  <c r="V2999" i="2"/>
  <c r="W2999" i="2"/>
  <c r="X2999" i="2"/>
  <c r="Y2999" i="2"/>
  <c r="Z2999" i="2"/>
  <c r="AA2999" i="2"/>
  <c r="AB2999" i="2"/>
  <c r="AC2999" i="2"/>
  <c r="AD2999" i="2"/>
  <c r="AE2999" i="2"/>
  <c r="AF2999" i="2"/>
  <c r="AG2999" i="2"/>
  <c r="AH2999" i="2"/>
  <c r="AI2999" i="2"/>
  <c r="AJ2999" i="2"/>
  <c r="AK2999" i="2"/>
  <c r="A3000" i="2"/>
  <c r="B3000" i="2"/>
  <c r="C3000" i="2"/>
  <c r="D3000" i="2"/>
  <c r="E3000" i="2"/>
  <c r="F3000" i="2"/>
  <c r="G3000" i="2"/>
  <c r="H3000" i="2"/>
  <c r="I3000" i="2"/>
  <c r="J3000" i="2"/>
  <c r="K3000" i="2"/>
  <c r="L3000" i="2"/>
  <c r="M3000" i="2"/>
  <c r="N3000" i="2"/>
  <c r="O3000" i="2"/>
  <c r="P3000" i="2"/>
  <c r="Q3000" i="2"/>
  <c r="R3000" i="2"/>
  <c r="S3000" i="2"/>
  <c r="T3000" i="2"/>
  <c r="U3000" i="2"/>
  <c r="V3000" i="2"/>
  <c r="W3000" i="2"/>
  <c r="X3000" i="2"/>
  <c r="Y3000" i="2"/>
  <c r="Z3000" i="2"/>
  <c r="AA3000" i="2"/>
  <c r="AB3000" i="2"/>
  <c r="AC3000" i="2"/>
  <c r="AD3000" i="2"/>
  <c r="AE3000" i="2"/>
  <c r="AF3000" i="2"/>
  <c r="AG3000" i="2"/>
  <c r="AH3000" i="2"/>
  <c r="AI3000" i="2"/>
  <c r="AJ3000" i="2"/>
  <c r="AK3000" i="2"/>
  <c r="A3001" i="2"/>
  <c r="B3001" i="2"/>
  <c r="C3001" i="2"/>
  <c r="D3001" i="2"/>
  <c r="E3001" i="2"/>
  <c r="F3001" i="2"/>
  <c r="G3001" i="2"/>
  <c r="H3001" i="2"/>
  <c r="I3001" i="2"/>
  <c r="J3001" i="2"/>
  <c r="K3001" i="2"/>
  <c r="L3001" i="2"/>
  <c r="M3001" i="2"/>
  <c r="N3001" i="2"/>
  <c r="O3001" i="2"/>
  <c r="P3001" i="2"/>
  <c r="Q3001" i="2"/>
  <c r="R3001" i="2"/>
  <c r="S3001" i="2"/>
  <c r="T3001" i="2"/>
  <c r="U3001" i="2"/>
  <c r="V3001" i="2"/>
  <c r="W3001" i="2"/>
  <c r="X3001" i="2"/>
  <c r="Y3001" i="2"/>
  <c r="Z3001" i="2"/>
  <c r="AA3001" i="2"/>
  <c r="AB3001" i="2"/>
  <c r="AC3001" i="2"/>
  <c r="AD3001" i="2"/>
  <c r="AE3001" i="2"/>
  <c r="AF3001" i="2"/>
  <c r="AG3001" i="2"/>
  <c r="AH3001" i="2"/>
  <c r="AI3001" i="2"/>
  <c r="AJ3001" i="2"/>
  <c r="AK3001" i="2"/>
  <c r="A3002" i="2"/>
  <c r="B3002" i="2"/>
  <c r="C3002" i="2"/>
  <c r="D3002" i="2"/>
  <c r="E3002" i="2"/>
  <c r="F3002" i="2"/>
  <c r="G3002" i="2"/>
  <c r="H3002" i="2"/>
  <c r="I3002" i="2"/>
  <c r="J3002" i="2"/>
  <c r="K3002" i="2"/>
  <c r="L3002" i="2"/>
  <c r="M3002" i="2"/>
  <c r="N3002" i="2"/>
  <c r="O3002" i="2"/>
  <c r="P3002" i="2"/>
  <c r="Q3002" i="2"/>
  <c r="R3002" i="2"/>
  <c r="S3002" i="2"/>
  <c r="T3002" i="2"/>
  <c r="U3002" i="2"/>
  <c r="V3002" i="2"/>
  <c r="W3002" i="2"/>
  <c r="X3002" i="2"/>
  <c r="Y3002" i="2"/>
  <c r="Z3002" i="2"/>
  <c r="AA3002" i="2"/>
  <c r="AB3002" i="2"/>
  <c r="AC3002" i="2"/>
  <c r="AD3002" i="2"/>
  <c r="AE3002" i="2"/>
  <c r="AF3002" i="2"/>
  <c r="AG3002" i="2"/>
  <c r="AH3002" i="2"/>
  <c r="AI3002" i="2"/>
  <c r="AJ3002" i="2"/>
  <c r="AK3002" i="2"/>
  <c r="A3003" i="2"/>
  <c r="B3003" i="2"/>
  <c r="C3003" i="2"/>
  <c r="D3003" i="2"/>
  <c r="E3003" i="2"/>
  <c r="F3003" i="2"/>
  <c r="G3003" i="2"/>
  <c r="H3003" i="2"/>
  <c r="I3003" i="2"/>
  <c r="J3003" i="2"/>
  <c r="K3003" i="2"/>
  <c r="L3003" i="2"/>
  <c r="M3003" i="2"/>
  <c r="N3003" i="2"/>
  <c r="O3003" i="2"/>
  <c r="P3003" i="2"/>
  <c r="Q3003" i="2"/>
  <c r="R3003" i="2"/>
  <c r="S3003" i="2"/>
  <c r="T3003" i="2"/>
  <c r="U3003" i="2"/>
  <c r="V3003" i="2"/>
  <c r="W3003" i="2"/>
  <c r="X3003" i="2"/>
  <c r="Y3003" i="2"/>
  <c r="Z3003" i="2"/>
  <c r="AA3003" i="2"/>
  <c r="AB3003" i="2"/>
  <c r="AC3003" i="2"/>
  <c r="AD3003" i="2"/>
  <c r="AE3003" i="2"/>
  <c r="AF3003" i="2"/>
  <c r="AG3003" i="2"/>
  <c r="AH3003" i="2"/>
  <c r="AI3003" i="2"/>
  <c r="AJ3003" i="2"/>
  <c r="AK3003" i="2"/>
  <c r="A3004" i="2"/>
  <c r="B3004" i="2"/>
  <c r="C3004" i="2"/>
  <c r="D3004" i="2"/>
  <c r="E3004" i="2"/>
  <c r="F3004" i="2"/>
  <c r="G3004" i="2"/>
  <c r="H3004" i="2"/>
  <c r="I3004" i="2"/>
  <c r="J3004" i="2"/>
  <c r="K3004" i="2"/>
  <c r="L3004" i="2"/>
  <c r="M3004" i="2"/>
  <c r="N3004" i="2"/>
  <c r="O3004" i="2"/>
  <c r="P3004" i="2"/>
  <c r="Q3004" i="2"/>
  <c r="R3004" i="2"/>
  <c r="S3004" i="2"/>
  <c r="T3004" i="2"/>
  <c r="U3004" i="2"/>
  <c r="V3004" i="2"/>
  <c r="W3004" i="2"/>
  <c r="X3004" i="2"/>
  <c r="Y3004" i="2"/>
  <c r="Z3004" i="2"/>
  <c r="AA3004" i="2"/>
  <c r="AB3004" i="2"/>
  <c r="AC3004" i="2"/>
  <c r="AD3004" i="2"/>
  <c r="AE3004" i="2"/>
  <c r="AF3004" i="2"/>
  <c r="AG3004" i="2"/>
  <c r="AH3004" i="2"/>
  <c r="AI3004" i="2"/>
  <c r="AJ3004" i="2"/>
  <c r="AK3004" i="2"/>
  <c r="A3005" i="2"/>
  <c r="B3005" i="2"/>
  <c r="C3005" i="2"/>
  <c r="D3005" i="2"/>
  <c r="E3005" i="2"/>
  <c r="F3005" i="2"/>
  <c r="G3005" i="2"/>
  <c r="H3005" i="2"/>
  <c r="I3005" i="2"/>
  <c r="J3005" i="2"/>
  <c r="K3005" i="2"/>
  <c r="L3005" i="2"/>
  <c r="M3005" i="2"/>
  <c r="N3005" i="2"/>
  <c r="O3005" i="2"/>
  <c r="P3005" i="2"/>
  <c r="Q3005" i="2"/>
  <c r="R3005" i="2"/>
  <c r="S3005" i="2"/>
  <c r="T3005" i="2"/>
  <c r="U3005" i="2"/>
  <c r="V3005" i="2"/>
  <c r="W3005" i="2"/>
  <c r="X3005" i="2"/>
  <c r="Y3005" i="2"/>
  <c r="Z3005" i="2"/>
  <c r="AA3005" i="2"/>
  <c r="AB3005" i="2"/>
  <c r="AC3005" i="2"/>
  <c r="AD3005" i="2"/>
  <c r="AE3005" i="2"/>
  <c r="AF3005" i="2"/>
  <c r="AG3005" i="2"/>
  <c r="AH3005" i="2"/>
  <c r="AI3005" i="2"/>
  <c r="AJ3005" i="2"/>
  <c r="AK3005" i="2"/>
  <c r="A3006" i="2"/>
  <c r="B3006" i="2"/>
  <c r="C3006" i="2"/>
  <c r="D3006" i="2"/>
  <c r="E3006" i="2"/>
  <c r="F3006" i="2"/>
  <c r="G3006" i="2"/>
  <c r="H3006" i="2"/>
  <c r="I3006" i="2"/>
  <c r="J3006" i="2"/>
  <c r="K3006" i="2"/>
  <c r="L3006" i="2"/>
  <c r="M3006" i="2"/>
  <c r="N3006" i="2"/>
  <c r="O3006" i="2"/>
  <c r="P3006" i="2"/>
  <c r="Q3006" i="2"/>
  <c r="R3006" i="2"/>
  <c r="S3006" i="2"/>
  <c r="T3006" i="2"/>
  <c r="U3006" i="2"/>
  <c r="V3006" i="2"/>
  <c r="W3006" i="2"/>
  <c r="X3006" i="2"/>
  <c r="Y3006" i="2"/>
  <c r="Z3006" i="2"/>
  <c r="AA3006" i="2"/>
  <c r="AB3006" i="2"/>
  <c r="AC3006" i="2"/>
  <c r="AD3006" i="2"/>
  <c r="AE3006" i="2"/>
  <c r="AF3006" i="2"/>
  <c r="AG3006" i="2"/>
  <c r="AH3006" i="2"/>
  <c r="AI3006" i="2"/>
  <c r="AJ3006" i="2"/>
  <c r="AK3006" i="2"/>
  <c r="A3007" i="2"/>
  <c r="B3007" i="2"/>
  <c r="C3007" i="2"/>
  <c r="D3007" i="2"/>
  <c r="E3007" i="2"/>
  <c r="F3007" i="2"/>
  <c r="G3007" i="2"/>
  <c r="H3007" i="2"/>
  <c r="I3007" i="2"/>
  <c r="J3007" i="2"/>
  <c r="K3007" i="2"/>
  <c r="L3007" i="2"/>
  <c r="M3007" i="2"/>
  <c r="N3007" i="2"/>
  <c r="O3007" i="2"/>
  <c r="P3007" i="2"/>
  <c r="Q3007" i="2"/>
  <c r="R3007" i="2"/>
  <c r="S3007" i="2"/>
  <c r="T3007" i="2"/>
  <c r="U3007" i="2"/>
  <c r="V3007" i="2"/>
  <c r="W3007" i="2"/>
  <c r="X3007" i="2"/>
  <c r="Y3007" i="2"/>
  <c r="Z3007" i="2"/>
  <c r="AA3007" i="2"/>
  <c r="AB3007" i="2"/>
  <c r="AC3007" i="2"/>
  <c r="AD3007" i="2"/>
  <c r="AE3007" i="2"/>
  <c r="AF3007" i="2"/>
  <c r="AG3007" i="2"/>
  <c r="AH3007" i="2"/>
  <c r="AI3007" i="2"/>
  <c r="AJ3007" i="2"/>
  <c r="AK3007" i="2"/>
  <c r="A3008" i="2"/>
  <c r="B3008" i="2"/>
  <c r="C3008" i="2"/>
  <c r="D3008" i="2"/>
  <c r="E3008" i="2"/>
  <c r="F3008" i="2"/>
  <c r="G3008" i="2"/>
  <c r="H3008" i="2"/>
  <c r="I3008" i="2"/>
  <c r="J3008" i="2"/>
  <c r="K3008" i="2"/>
  <c r="L3008" i="2"/>
  <c r="M3008" i="2"/>
  <c r="N3008" i="2"/>
  <c r="O3008" i="2"/>
  <c r="P3008" i="2"/>
  <c r="Q3008" i="2"/>
  <c r="R3008" i="2"/>
  <c r="S3008" i="2"/>
  <c r="T3008" i="2"/>
  <c r="U3008" i="2"/>
  <c r="V3008" i="2"/>
  <c r="W3008" i="2"/>
  <c r="X3008" i="2"/>
  <c r="Y3008" i="2"/>
  <c r="Z3008" i="2"/>
  <c r="AA3008" i="2"/>
  <c r="AB3008" i="2"/>
  <c r="AC3008" i="2"/>
  <c r="AD3008" i="2"/>
  <c r="AE3008" i="2"/>
  <c r="AF3008" i="2"/>
  <c r="AG3008" i="2"/>
  <c r="AH3008" i="2"/>
  <c r="AI3008" i="2"/>
  <c r="AJ3008" i="2"/>
  <c r="AK3008" i="2"/>
  <c r="A3009" i="2"/>
  <c r="B3009" i="2"/>
  <c r="C3009" i="2"/>
  <c r="D3009" i="2"/>
  <c r="E3009" i="2"/>
  <c r="F3009" i="2"/>
  <c r="G3009" i="2"/>
  <c r="H3009" i="2"/>
  <c r="I3009" i="2"/>
  <c r="J3009" i="2"/>
  <c r="K3009" i="2"/>
  <c r="L3009" i="2"/>
  <c r="M3009" i="2"/>
  <c r="N3009" i="2"/>
  <c r="O3009" i="2"/>
  <c r="P3009" i="2"/>
  <c r="Q3009" i="2"/>
  <c r="R3009" i="2"/>
  <c r="S3009" i="2"/>
  <c r="T3009" i="2"/>
  <c r="U3009" i="2"/>
  <c r="V3009" i="2"/>
  <c r="W3009" i="2"/>
  <c r="X3009" i="2"/>
  <c r="Y3009" i="2"/>
  <c r="Z3009" i="2"/>
  <c r="AA3009" i="2"/>
  <c r="AB3009" i="2"/>
  <c r="AC3009" i="2"/>
  <c r="AD3009" i="2"/>
  <c r="AE3009" i="2"/>
  <c r="AF3009" i="2"/>
  <c r="AG3009" i="2"/>
  <c r="AH3009" i="2"/>
  <c r="AI3009" i="2"/>
  <c r="AJ3009" i="2"/>
  <c r="AK3009" i="2"/>
  <c r="A3010" i="2"/>
  <c r="B3010" i="2"/>
  <c r="C3010" i="2"/>
  <c r="D3010" i="2"/>
  <c r="E3010" i="2"/>
  <c r="F3010" i="2"/>
  <c r="G3010" i="2"/>
  <c r="H3010" i="2"/>
  <c r="I3010" i="2"/>
  <c r="J3010" i="2"/>
  <c r="K3010" i="2"/>
  <c r="L3010" i="2"/>
  <c r="M3010" i="2"/>
  <c r="N3010" i="2"/>
  <c r="O3010" i="2"/>
  <c r="P3010" i="2"/>
  <c r="Q3010" i="2"/>
  <c r="R3010" i="2"/>
  <c r="S3010" i="2"/>
  <c r="T3010" i="2"/>
  <c r="U3010" i="2"/>
  <c r="V3010" i="2"/>
  <c r="W3010" i="2"/>
  <c r="X3010" i="2"/>
  <c r="Y3010" i="2"/>
  <c r="Z3010" i="2"/>
  <c r="AA3010" i="2"/>
  <c r="AB3010" i="2"/>
  <c r="AC3010" i="2"/>
  <c r="AD3010" i="2"/>
  <c r="AE3010" i="2"/>
  <c r="AF3010" i="2"/>
  <c r="AG3010" i="2"/>
  <c r="AH3010" i="2"/>
  <c r="AI3010" i="2"/>
  <c r="AJ3010" i="2"/>
  <c r="AK3010" i="2"/>
  <c r="A3011" i="2"/>
  <c r="B3011" i="2"/>
  <c r="C3011" i="2"/>
  <c r="D3011" i="2"/>
  <c r="E3011" i="2"/>
  <c r="F3011" i="2"/>
  <c r="G3011" i="2"/>
  <c r="H3011" i="2"/>
  <c r="I3011" i="2"/>
  <c r="J3011" i="2"/>
  <c r="K3011" i="2"/>
  <c r="L3011" i="2"/>
  <c r="M3011" i="2"/>
  <c r="N3011" i="2"/>
  <c r="O3011" i="2"/>
  <c r="P3011" i="2"/>
  <c r="Q3011" i="2"/>
  <c r="R3011" i="2"/>
  <c r="S3011" i="2"/>
  <c r="T3011" i="2"/>
  <c r="U3011" i="2"/>
  <c r="V3011" i="2"/>
  <c r="W3011" i="2"/>
  <c r="X3011" i="2"/>
  <c r="Y3011" i="2"/>
  <c r="Z3011" i="2"/>
  <c r="AA3011" i="2"/>
  <c r="AB3011" i="2"/>
  <c r="AC3011" i="2"/>
  <c r="AD3011" i="2"/>
  <c r="AE3011" i="2"/>
  <c r="AF3011" i="2"/>
  <c r="AG3011" i="2"/>
  <c r="AH3011" i="2"/>
  <c r="AI3011" i="2"/>
  <c r="AJ3011" i="2"/>
  <c r="AK3011" i="2"/>
  <c r="A3012" i="2"/>
  <c r="B3012" i="2"/>
  <c r="C3012" i="2"/>
  <c r="D3012" i="2"/>
  <c r="E3012" i="2"/>
  <c r="F3012" i="2"/>
  <c r="G3012" i="2"/>
  <c r="H3012" i="2"/>
  <c r="I3012" i="2"/>
  <c r="J3012" i="2"/>
  <c r="K3012" i="2"/>
  <c r="L3012" i="2"/>
  <c r="M3012" i="2"/>
  <c r="N3012" i="2"/>
  <c r="O3012" i="2"/>
  <c r="P3012" i="2"/>
  <c r="Q3012" i="2"/>
  <c r="R3012" i="2"/>
  <c r="S3012" i="2"/>
  <c r="T3012" i="2"/>
  <c r="U3012" i="2"/>
  <c r="V3012" i="2"/>
  <c r="W3012" i="2"/>
  <c r="X3012" i="2"/>
  <c r="Y3012" i="2"/>
  <c r="Z3012" i="2"/>
  <c r="AA3012" i="2"/>
  <c r="AB3012" i="2"/>
  <c r="AC3012" i="2"/>
  <c r="AD3012" i="2"/>
  <c r="AE3012" i="2"/>
  <c r="AF3012" i="2"/>
  <c r="AG3012" i="2"/>
  <c r="AH3012" i="2"/>
  <c r="AI3012" i="2"/>
  <c r="AJ3012" i="2"/>
  <c r="AK3012" i="2"/>
  <c r="A3013" i="2"/>
  <c r="B3013" i="2"/>
  <c r="C3013" i="2"/>
  <c r="D3013" i="2"/>
  <c r="E3013" i="2"/>
  <c r="F3013" i="2"/>
  <c r="G3013" i="2"/>
  <c r="H3013" i="2"/>
  <c r="I3013" i="2"/>
  <c r="J3013" i="2"/>
  <c r="K3013" i="2"/>
  <c r="L3013" i="2"/>
  <c r="M3013" i="2"/>
  <c r="N3013" i="2"/>
  <c r="O3013" i="2"/>
  <c r="P3013" i="2"/>
  <c r="Q3013" i="2"/>
  <c r="R3013" i="2"/>
  <c r="S3013" i="2"/>
  <c r="T3013" i="2"/>
  <c r="U3013" i="2"/>
  <c r="V3013" i="2"/>
  <c r="W3013" i="2"/>
  <c r="X3013" i="2"/>
  <c r="Y3013" i="2"/>
  <c r="Z3013" i="2"/>
  <c r="AA3013" i="2"/>
  <c r="AB3013" i="2"/>
  <c r="AC3013" i="2"/>
  <c r="AD3013" i="2"/>
  <c r="AE3013" i="2"/>
  <c r="AF3013" i="2"/>
  <c r="AG3013" i="2"/>
  <c r="AH3013" i="2"/>
  <c r="AI3013" i="2"/>
  <c r="AJ3013" i="2"/>
  <c r="AK3013" i="2"/>
  <c r="A3014" i="2"/>
  <c r="B3014" i="2"/>
  <c r="C3014" i="2"/>
  <c r="D3014" i="2"/>
  <c r="E3014" i="2"/>
  <c r="F3014" i="2"/>
  <c r="G3014" i="2"/>
  <c r="H3014" i="2"/>
  <c r="I3014" i="2"/>
  <c r="J3014" i="2"/>
  <c r="K3014" i="2"/>
  <c r="L3014" i="2"/>
  <c r="M3014" i="2"/>
  <c r="N3014" i="2"/>
  <c r="O3014" i="2"/>
  <c r="P3014" i="2"/>
  <c r="Q3014" i="2"/>
  <c r="R3014" i="2"/>
  <c r="S3014" i="2"/>
  <c r="T3014" i="2"/>
  <c r="U3014" i="2"/>
  <c r="V3014" i="2"/>
  <c r="W3014" i="2"/>
  <c r="X3014" i="2"/>
  <c r="Y3014" i="2"/>
  <c r="Z3014" i="2"/>
  <c r="AA3014" i="2"/>
  <c r="AB3014" i="2"/>
  <c r="AC3014" i="2"/>
  <c r="AD3014" i="2"/>
  <c r="AE3014" i="2"/>
  <c r="AF3014" i="2"/>
  <c r="AG3014" i="2"/>
  <c r="AH3014" i="2"/>
  <c r="AI3014" i="2"/>
  <c r="AJ3014" i="2"/>
  <c r="AK3014" i="2"/>
  <c r="A3015" i="2"/>
  <c r="B3015" i="2"/>
  <c r="C3015" i="2"/>
  <c r="D3015" i="2"/>
  <c r="E3015" i="2"/>
  <c r="F3015" i="2"/>
  <c r="G3015" i="2"/>
  <c r="H3015" i="2"/>
  <c r="I3015" i="2"/>
  <c r="J3015" i="2"/>
  <c r="K3015" i="2"/>
  <c r="L3015" i="2"/>
  <c r="M3015" i="2"/>
  <c r="N3015" i="2"/>
  <c r="O3015" i="2"/>
  <c r="P3015" i="2"/>
  <c r="Q3015" i="2"/>
  <c r="R3015" i="2"/>
  <c r="S3015" i="2"/>
  <c r="T3015" i="2"/>
  <c r="U3015" i="2"/>
  <c r="V3015" i="2"/>
  <c r="W3015" i="2"/>
  <c r="X3015" i="2"/>
  <c r="Y3015" i="2"/>
  <c r="Z3015" i="2"/>
  <c r="AA3015" i="2"/>
  <c r="AB3015" i="2"/>
  <c r="AC3015" i="2"/>
  <c r="AD3015" i="2"/>
  <c r="AE3015" i="2"/>
  <c r="AF3015" i="2"/>
  <c r="AG3015" i="2"/>
  <c r="AH3015" i="2"/>
  <c r="AI3015" i="2"/>
  <c r="AJ3015" i="2"/>
  <c r="AK3015" i="2"/>
  <c r="A3016" i="2"/>
  <c r="B3016" i="2"/>
  <c r="C3016" i="2"/>
  <c r="D3016" i="2"/>
  <c r="E3016" i="2"/>
  <c r="F3016" i="2"/>
  <c r="G3016" i="2"/>
  <c r="H3016" i="2"/>
  <c r="I3016" i="2"/>
  <c r="J3016" i="2"/>
  <c r="K3016" i="2"/>
  <c r="L3016" i="2"/>
  <c r="M3016" i="2"/>
  <c r="N3016" i="2"/>
  <c r="O3016" i="2"/>
  <c r="P3016" i="2"/>
  <c r="Q3016" i="2"/>
  <c r="R3016" i="2"/>
  <c r="S3016" i="2"/>
  <c r="T3016" i="2"/>
  <c r="U3016" i="2"/>
  <c r="V3016" i="2"/>
  <c r="W3016" i="2"/>
  <c r="X3016" i="2"/>
  <c r="Y3016" i="2"/>
  <c r="Z3016" i="2"/>
  <c r="AA3016" i="2"/>
  <c r="AB3016" i="2"/>
  <c r="AC3016" i="2"/>
  <c r="AD3016" i="2"/>
  <c r="AE3016" i="2"/>
  <c r="AF3016" i="2"/>
  <c r="AG3016" i="2"/>
  <c r="AH3016" i="2"/>
  <c r="AI3016" i="2"/>
  <c r="AJ3016" i="2"/>
  <c r="AK3016" i="2"/>
  <c r="A3017" i="2"/>
  <c r="B3017" i="2"/>
  <c r="C3017" i="2"/>
  <c r="D3017" i="2"/>
  <c r="E3017" i="2"/>
  <c r="F3017" i="2"/>
  <c r="G3017" i="2"/>
  <c r="H3017" i="2"/>
  <c r="I3017" i="2"/>
  <c r="J3017" i="2"/>
  <c r="K3017" i="2"/>
  <c r="L3017" i="2"/>
  <c r="M3017" i="2"/>
  <c r="N3017" i="2"/>
  <c r="O3017" i="2"/>
  <c r="P3017" i="2"/>
  <c r="Q3017" i="2"/>
  <c r="R3017" i="2"/>
  <c r="S3017" i="2"/>
  <c r="T3017" i="2"/>
  <c r="U3017" i="2"/>
  <c r="V3017" i="2"/>
  <c r="W3017" i="2"/>
  <c r="X3017" i="2"/>
  <c r="Y3017" i="2"/>
  <c r="Z3017" i="2"/>
  <c r="AA3017" i="2"/>
  <c r="AB3017" i="2"/>
  <c r="AC3017" i="2"/>
  <c r="AD3017" i="2"/>
  <c r="AE3017" i="2"/>
  <c r="AF3017" i="2"/>
  <c r="AG3017" i="2"/>
  <c r="AH3017" i="2"/>
  <c r="AI3017" i="2"/>
  <c r="AJ3017" i="2"/>
  <c r="AK3017" i="2"/>
  <c r="A3018" i="2"/>
  <c r="B3018" i="2"/>
  <c r="C3018" i="2"/>
  <c r="D3018" i="2"/>
  <c r="E3018" i="2"/>
  <c r="F3018" i="2"/>
  <c r="G3018" i="2"/>
  <c r="H3018" i="2"/>
  <c r="I3018" i="2"/>
  <c r="J3018" i="2"/>
  <c r="K3018" i="2"/>
  <c r="L3018" i="2"/>
  <c r="M3018" i="2"/>
  <c r="N3018" i="2"/>
  <c r="O3018" i="2"/>
  <c r="P3018" i="2"/>
  <c r="Q3018" i="2"/>
  <c r="R3018" i="2"/>
  <c r="S3018" i="2"/>
  <c r="T3018" i="2"/>
  <c r="U3018" i="2"/>
  <c r="V3018" i="2"/>
  <c r="W3018" i="2"/>
  <c r="X3018" i="2"/>
  <c r="Y3018" i="2"/>
  <c r="Z3018" i="2"/>
  <c r="AA3018" i="2"/>
  <c r="AB3018" i="2"/>
  <c r="AC3018" i="2"/>
  <c r="AD3018" i="2"/>
  <c r="AE3018" i="2"/>
  <c r="AF3018" i="2"/>
  <c r="AG3018" i="2"/>
  <c r="AH3018" i="2"/>
  <c r="AI3018" i="2"/>
  <c r="AJ3018" i="2"/>
  <c r="AK3018" i="2"/>
  <c r="A3019" i="2"/>
  <c r="B3019" i="2"/>
  <c r="C3019" i="2"/>
  <c r="D3019" i="2"/>
  <c r="E3019" i="2"/>
  <c r="F3019" i="2"/>
  <c r="G3019" i="2"/>
  <c r="H3019" i="2"/>
  <c r="I3019" i="2"/>
  <c r="J3019" i="2"/>
  <c r="K3019" i="2"/>
  <c r="L3019" i="2"/>
  <c r="M3019" i="2"/>
  <c r="N3019" i="2"/>
  <c r="O3019" i="2"/>
  <c r="P3019" i="2"/>
  <c r="Q3019" i="2"/>
  <c r="R3019" i="2"/>
  <c r="S3019" i="2"/>
  <c r="T3019" i="2"/>
  <c r="U3019" i="2"/>
  <c r="V3019" i="2"/>
  <c r="W3019" i="2"/>
  <c r="X3019" i="2"/>
  <c r="Y3019" i="2"/>
  <c r="Z3019" i="2"/>
  <c r="AA3019" i="2"/>
  <c r="AB3019" i="2"/>
  <c r="AC3019" i="2"/>
  <c r="AD3019" i="2"/>
  <c r="AE3019" i="2"/>
  <c r="AF3019" i="2"/>
  <c r="AG3019" i="2"/>
  <c r="AH3019" i="2"/>
  <c r="AI3019" i="2"/>
  <c r="AJ3019" i="2"/>
  <c r="AK3019" i="2"/>
  <c r="A3020" i="2"/>
  <c r="B3020" i="2"/>
  <c r="C3020" i="2"/>
  <c r="D3020" i="2"/>
  <c r="E3020" i="2"/>
  <c r="F3020" i="2"/>
  <c r="G3020" i="2"/>
  <c r="H3020" i="2"/>
  <c r="I3020" i="2"/>
  <c r="J3020" i="2"/>
  <c r="K3020" i="2"/>
  <c r="L3020" i="2"/>
  <c r="M3020" i="2"/>
  <c r="N3020" i="2"/>
  <c r="O3020" i="2"/>
  <c r="P3020" i="2"/>
  <c r="Q3020" i="2"/>
  <c r="R3020" i="2"/>
  <c r="S3020" i="2"/>
  <c r="T3020" i="2"/>
  <c r="U3020" i="2"/>
  <c r="V3020" i="2"/>
  <c r="W3020" i="2"/>
  <c r="X3020" i="2"/>
  <c r="Y3020" i="2"/>
  <c r="Z3020" i="2"/>
  <c r="AA3020" i="2"/>
  <c r="AB3020" i="2"/>
  <c r="AC3020" i="2"/>
  <c r="AD3020" i="2"/>
  <c r="AE3020" i="2"/>
  <c r="AF3020" i="2"/>
  <c r="AG3020" i="2"/>
  <c r="AH3020" i="2"/>
  <c r="AI3020" i="2"/>
  <c r="AJ3020" i="2"/>
  <c r="AK3020" i="2"/>
  <c r="A3021" i="2"/>
  <c r="B3021" i="2"/>
  <c r="C3021" i="2"/>
  <c r="D3021" i="2"/>
  <c r="E3021" i="2"/>
  <c r="F3021" i="2"/>
  <c r="G3021" i="2"/>
  <c r="H3021" i="2"/>
  <c r="I3021" i="2"/>
  <c r="J3021" i="2"/>
  <c r="K3021" i="2"/>
  <c r="L3021" i="2"/>
  <c r="M3021" i="2"/>
  <c r="N3021" i="2"/>
  <c r="O3021" i="2"/>
  <c r="P3021" i="2"/>
  <c r="Q3021" i="2"/>
  <c r="R3021" i="2"/>
  <c r="S3021" i="2"/>
  <c r="T3021" i="2"/>
  <c r="U3021" i="2"/>
  <c r="V3021" i="2"/>
  <c r="W3021" i="2"/>
  <c r="X3021" i="2"/>
  <c r="Y3021" i="2"/>
  <c r="Z3021" i="2"/>
  <c r="AA3021" i="2"/>
  <c r="AB3021" i="2"/>
  <c r="AC3021" i="2"/>
  <c r="AD3021" i="2"/>
  <c r="AE3021" i="2"/>
  <c r="AF3021" i="2"/>
  <c r="AG3021" i="2"/>
  <c r="AH3021" i="2"/>
  <c r="AI3021" i="2"/>
  <c r="AJ3021" i="2"/>
  <c r="AK3021" i="2"/>
  <c r="A3022" i="2"/>
  <c r="B3022" i="2"/>
  <c r="C3022" i="2"/>
  <c r="D3022" i="2"/>
  <c r="E3022" i="2"/>
  <c r="F3022" i="2"/>
  <c r="G3022" i="2"/>
  <c r="H3022" i="2"/>
  <c r="I3022" i="2"/>
  <c r="J3022" i="2"/>
  <c r="K3022" i="2"/>
  <c r="L3022" i="2"/>
  <c r="M3022" i="2"/>
  <c r="N3022" i="2"/>
  <c r="O3022" i="2"/>
  <c r="P3022" i="2"/>
  <c r="Q3022" i="2"/>
  <c r="R3022" i="2"/>
  <c r="S3022" i="2"/>
  <c r="T3022" i="2"/>
  <c r="U3022" i="2"/>
  <c r="V3022" i="2"/>
  <c r="W3022" i="2"/>
  <c r="X3022" i="2"/>
  <c r="Y3022" i="2"/>
  <c r="Z3022" i="2"/>
  <c r="AA3022" i="2"/>
  <c r="AB3022" i="2"/>
  <c r="AC3022" i="2"/>
  <c r="AD3022" i="2"/>
  <c r="AE3022" i="2"/>
  <c r="AF3022" i="2"/>
  <c r="AG3022" i="2"/>
  <c r="AH3022" i="2"/>
  <c r="AI3022" i="2"/>
  <c r="AJ3022" i="2"/>
  <c r="AK3022" i="2"/>
  <c r="A3023" i="2"/>
  <c r="B3023" i="2"/>
  <c r="C3023" i="2"/>
  <c r="D3023" i="2"/>
  <c r="E3023" i="2"/>
  <c r="F3023" i="2"/>
  <c r="G3023" i="2"/>
  <c r="H3023" i="2"/>
  <c r="I3023" i="2"/>
  <c r="J3023" i="2"/>
  <c r="K3023" i="2"/>
  <c r="L3023" i="2"/>
  <c r="M3023" i="2"/>
  <c r="N3023" i="2"/>
  <c r="O3023" i="2"/>
  <c r="P3023" i="2"/>
  <c r="Q3023" i="2"/>
  <c r="R3023" i="2"/>
  <c r="S3023" i="2"/>
  <c r="T3023" i="2"/>
  <c r="U3023" i="2"/>
  <c r="V3023" i="2"/>
  <c r="W3023" i="2"/>
  <c r="X3023" i="2"/>
  <c r="Y3023" i="2"/>
  <c r="Z3023" i="2"/>
  <c r="AA3023" i="2"/>
  <c r="AB3023" i="2"/>
  <c r="AC3023" i="2"/>
  <c r="AD3023" i="2"/>
  <c r="AE3023" i="2"/>
  <c r="AF3023" i="2"/>
  <c r="AG3023" i="2"/>
  <c r="AH3023" i="2"/>
  <c r="AI3023" i="2"/>
  <c r="AJ3023" i="2"/>
  <c r="AK3023" i="2"/>
  <c r="A3024" i="2"/>
  <c r="B3024" i="2"/>
  <c r="C3024" i="2"/>
  <c r="D3024" i="2"/>
  <c r="E3024" i="2"/>
  <c r="F3024" i="2"/>
  <c r="G3024" i="2"/>
  <c r="H3024" i="2"/>
  <c r="I3024" i="2"/>
  <c r="J3024" i="2"/>
  <c r="K3024" i="2"/>
  <c r="L3024" i="2"/>
  <c r="M3024" i="2"/>
  <c r="N3024" i="2"/>
  <c r="O3024" i="2"/>
  <c r="P3024" i="2"/>
  <c r="Q3024" i="2"/>
  <c r="R3024" i="2"/>
  <c r="S3024" i="2"/>
  <c r="T3024" i="2"/>
  <c r="U3024" i="2"/>
  <c r="V3024" i="2"/>
  <c r="W3024" i="2"/>
  <c r="X3024" i="2"/>
  <c r="Y3024" i="2"/>
  <c r="Z3024" i="2"/>
  <c r="AA3024" i="2"/>
  <c r="AB3024" i="2"/>
  <c r="AC3024" i="2"/>
  <c r="AD3024" i="2"/>
  <c r="AE3024" i="2"/>
  <c r="AF3024" i="2"/>
  <c r="AG3024" i="2"/>
  <c r="AH3024" i="2"/>
  <c r="AI3024" i="2"/>
  <c r="AJ3024" i="2"/>
  <c r="AK3024" i="2"/>
  <c r="A3025" i="2"/>
  <c r="B3025" i="2"/>
  <c r="C3025" i="2"/>
  <c r="D3025" i="2"/>
  <c r="E3025" i="2"/>
  <c r="F3025" i="2"/>
  <c r="G3025" i="2"/>
  <c r="H3025" i="2"/>
  <c r="I3025" i="2"/>
  <c r="J3025" i="2"/>
  <c r="K3025" i="2"/>
  <c r="L3025" i="2"/>
  <c r="M3025" i="2"/>
  <c r="N3025" i="2"/>
  <c r="O3025" i="2"/>
  <c r="P3025" i="2"/>
  <c r="Q3025" i="2"/>
  <c r="R3025" i="2"/>
  <c r="S3025" i="2"/>
  <c r="T3025" i="2"/>
  <c r="U3025" i="2"/>
  <c r="V3025" i="2"/>
  <c r="W3025" i="2"/>
  <c r="X3025" i="2"/>
  <c r="Y3025" i="2"/>
  <c r="Z3025" i="2"/>
  <c r="AA3025" i="2"/>
  <c r="AB3025" i="2"/>
  <c r="AC3025" i="2"/>
  <c r="AD3025" i="2"/>
  <c r="AE3025" i="2"/>
  <c r="AF3025" i="2"/>
  <c r="AG3025" i="2"/>
  <c r="AH3025" i="2"/>
  <c r="AI3025" i="2"/>
  <c r="AJ3025" i="2"/>
  <c r="AK3025" i="2"/>
  <c r="A3026" i="2"/>
  <c r="B3026" i="2"/>
  <c r="C3026" i="2"/>
  <c r="D3026" i="2"/>
  <c r="E3026" i="2"/>
  <c r="F3026" i="2"/>
  <c r="G3026" i="2"/>
  <c r="H3026" i="2"/>
  <c r="I3026" i="2"/>
  <c r="J3026" i="2"/>
  <c r="K3026" i="2"/>
  <c r="L3026" i="2"/>
  <c r="M3026" i="2"/>
  <c r="N3026" i="2"/>
  <c r="O3026" i="2"/>
  <c r="P3026" i="2"/>
  <c r="Q3026" i="2"/>
  <c r="R3026" i="2"/>
  <c r="S3026" i="2"/>
  <c r="T3026" i="2"/>
  <c r="U3026" i="2"/>
  <c r="V3026" i="2"/>
  <c r="W3026" i="2"/>
  <c r="X3026" i="2"/>
  <c r="Y3026" i="2"/>
  <c r="Z3026" i="2"/>
  <c r="AA3026" i="2"/>
  <c r="AB3026" i="2"/>
  <c r="AC3026" i="2"/>
  <c r="AD3026" i="2"/>
  <c r="AE3026" i="2"/>
  <c r="AF3026" i="2"/>
  <c r="AG3026" i="2"/>
  <c r="AH3026" i="2"/>
  <c r="AI3026" i="2"/>
  <c r="AJ3026" i="2"/>
  <c r="AK3026" i="2"/>
  <c r="A3027" i="2"/>
  <c r="B3027" i="2"/>
  <c r="C3027" i="2"/>
  <c r="D3027" i="2"/>
  <c r="E3027" i="2"/>
  <c r="F3027" i="2"/>
  <c r="G3027" i="2"/>
  <c r="H3027" i="2"/>
  <c r="I3027" i="2"/>
  <c r="J3027" i="2"/>
  <c r="K3027" i="2"/>
  <c r="L3027" i="2"/>
  <c r="M3027" i="2"/>
  <c r="N3027" i="2"/>
  <c r="O3027" i="2"/>
  <c r="P3027" i="2"/>
  <c r="Q3027" i="2"/>
  <c r="R3027" i="2"/>
  <c r="S3027" i="2"/>
  <c r="T3027" i="2"/>
  <c r="U3027" i="2"/>
  <c r="V3027" i="2"/>
  <c r="W3027" i="2"/>
  <c r="X3027" i="2"/>
  <c r="Y3027" i="2"/>
  <c r="Z3027" i="2"/>
  <c r="AA3027" i="2"/>
  <c r="AB3027" i="2"/>
  <c r="AC3027" i="2"/>
  <c r="AD3027" i="2"/>
  <c r="AE3027" i="2"/>
  <c r="AF3027" i="2"/>
  <c r="AG3027" i="2"/>
  <c r="AH3027" i="2"/>
  <c r="AI3027" i="2"/>
  <c r="AJ3027" i="2"/>
  <c r="AK3027" i="2"/>
  <c r="A3028" i="2"/>
  <c r="B3028" i="2"/>
  <c r="C3028" i="2"/>
  <c r="D3028" i="2"/>
  <c r="E3028" i="2"/>
  <c r="F3028" i="2"/>
  <c r="G3028" i="2"/>
  <c r="H3028" i="2"/>
  <c r="I3028" i="2"/>
  <c r="J3028" i="2"/>
  <c r="K3028" i="2"/>
  <c r="L3028" i="2"/>
  <c r="M3028" i="2"/>
  <c r="N3028" i="2"/>
  <c r="O3028" i="2"/>
  <c r="P3028" i="2"/>
  <c r="Q3028" i="2"/>
  <c r="R3028" i="2"/>
  <c r="S3028" i="2"/>
  <c r="T3028" i="2"/>
  <c r="U3028" i="2"/>
  <c r="V3028" i="2"/>
  <c r="W3028" i="2"/>
  <c r="X3028" i="2"/>
  <c r="Y3028" i="2"/>
  <c r="Z3028" i="2"/>
  <c r="AA3028" i="2"/>
  <c r="AB3028" i="2"/>
  <c r="AC3028" i="2"/>
  <c r="AD3028" i="2"/>
  <c r="AE3028" i="2"/>
  <c r="AF3028" i="2"/>
  <c r="AG3028" i="2"/>
  <c r="AH3028" i="2"/>
  <c r="AI3028" i="2"/>
  <c r="AJ3028" i="2"/>
  <c r="AK3028" i="2"/>
  <c r="A3029" i="2"/>
  <c r="B3029" i="2"/>
  <c r="C3029" i="2"/>
  <c r="D3029" i="2"/>
  <c r="E3029" i="2"/>
  <c r="F3029" i="2"/>
  <c r="G3029" i="2"/>
  <c r="H3029" i="2"/>
  <c r="I3029" i="2"/>
  <c r="J3029" i="2"/>
  <c r="K3029" i="2"/>
  <c r="L3029" i="2"/>
  <c r="M3029" i="2"/>
  <c r="N3029" i="2"/>
  <c r="O3029" i="2"/>
  <c r="P3029" i="2"/>
  <c r="Q3029" i="2"/>
  <c r="R3029" i="2"/>
  <c r="S3029" i="2"/>
  <c r="T3029" i="2"/>
  <c r="U3029" i="2"/>
  <c r="V3029" i="2"/>
  <c r="W3029" i="2"/>
  <c r="X3029" i="2"/>
  <c r="Y3029" i="2"/>
  <c r="Z3029" i="2"/>
  <c r="AA3029" i="2"/>
  <c r="AB3029" i="2"/>
  <c r="AC3029" i="2"/>
  <c r="AD3029" i="2"/>
  <c r="AE3029" i="2"/>
  <c r="AF3029" i="2"/>
  <c r="AG3029" i="2"/>
  <c r="AH3029" i="2"/>
  <c r="AI3029" i="2"/>
  <c r="AJ3029" i="2"/>
  <c r="AK3029" i="2"/>
  <c r="A3030" i="2"/>
  <c r="B3030" i="2"/>
  <c r="C3030" i="2"/>
  <c r="D3030" i="2"/>
  <c r="E3030" i="2"/>
  <c r="F3030" i="2"/>
  <c r="G3030" i="2"/>
  <c r="H3030" i="2"/>
  <c r="I3030" i="2"/>
  <c r="J3030" i="2"/>
  <c r="K3030" i="2"/>
  <c r="L3030" i="2"/>
  <c r="M3030" i="2"/>
  <c r="N3030" i="2"/>
  <c r="O3030" i="2"/>
  <c r="P3030" i="2"/>
  <c r="Q3030" i="2"/>
  <c r="R3030" i="2"/>
  <c r="S3030" i="2"/>
  <c r="T3030" i="2"/>
  <c r="U3030" i="2"/>
  <c r="V3030" i="2"/>
  <c r="W3030" i="2"/>
  <c r="X3030" i="2"/>
  <c r="Y3030" i="2"/>
  <c r="Z3030" i="2"/>
  <c r="AA3030" i="2"/>
  <c r="AB3030" i="2"/>
  <c r="AC3030" i="2"/>
  <c r="AD3030" i="2"/>
  <c r="AE3030" i="2"/>
  <c r="AF3030" i="2"/>
  <c r="AG3030" i="2"/>
  <c r="AH3030" i="2"/>
  <c r="AI3030" i="2"/>
  <c r="AJ3030" i="2"/>
  <c r="AK3030" i="2"/>
  <c r="A3031" i="2"/>
  <c r="B3031" i="2"/>
  <c r="C3031" i="2"/>
  <c r="D3031" i="2"/>
  <c r="E3031" i="2"/>
  <c r="F3031" i="2"/>
  <c r="G3031" i="2"/>
  <c r="H3031" i="2"/>
  <c r="I3031" i="2"/>
  <c r="J3031" i="2"/>
  <c r="K3031" i="2"/>
  <c r="L3031" i="2"/>
  <c r="M3031" i="2"/>
  <c r="N3031" i="2"/>
  <c r="O3031" i="2"/>
  <c r="P3031" i="2"/>
  <c r="Q3031" i="2"/>
  <c r="R3031" i="2"/>
  <c r="S3031" i="2"/>
  <c r="T3031" i="2"/>
  <c r="U3031" i="2"/>
  <c r="V3031" i="2"/>
  <c r="W3031" i="2"/>
  <c r="X3031" i="2"/>
  <c r="Y3031" i="2"/>
  <c r="Z3031" i="2"/>
  <c r="AA3031" i="2"/>
  <c r="AB3031" i="2"/>
  <c r="AC3031" i="2"/>
  <c r="AD3031" i="2"/>
  <c r="AE3031" i="2"/>
  <c r="AF3031" i="2"/>
  <c r="AG3031" i="2"/>
  <c r="AH3031" i="2"/>
  <c r="AI3031" i="2"/>
  <c r="AJ3031" i="2"/>
  <c r="AK3031" i="2"/>
  <c r="A3032" i="2"/>
  <c r="B3032" i="2"/>
  <c r="C3032" i="2"/>
  <c r="D3032" i="2"/>
  <c r="E3032" i="2"/>
  <c r="F3032" i="2"/>
  <c r="G3032" i="2"/>
  <c r="H3032" i="2"/>
  <c r="I3032" i="2"/>
  <c r="J3032" i="2"/>
  <c r="K3032" i="2"/>
  <c r="L3032" i="2"/>
  <c r="M3032" i="2"/>
  <c r="N3032" i="2"/>
  <c r="O3032" i="2"/>
  <c r="P3032" i="2"/>
  <c r="Q3032" i="2"/>
  <c r="R3032" i="2"/>
  <c r="S3032" i="2"/>
  <c r="T3032" i="2"/>
  <c r="U3032" i="2"/>
  <c r="V3032" i="2"/>
  <c r="W3032" i="2"/>
  <c r="X3032" i="2"/>
  <c r="Y3032" i="2"/>
  <c r="Z3032" i="2"/>
  <c r="AA3032" i="2"/>
  <c r="AB3032" i="2"/>
  <c r="AC3032" i="2"/>
  <c r="AD3032" i="2"/>
  <c r="AE3032" i="2"/>
  <c r="AF3032" i="2"/>
  <c r="AG3032" i="2"/>
  <c r="AH3032" i="2"/>
  <c r="AI3032" i="2"/>
  <c r="AJ3032" i="2"/>
  <c r="AK3032" i="2"/>
  <c r="A3033" i="2"/>
  <c r="B3033" i="2"/>
  <c r="C3033" i="2"/>
  <c r="D3033" i="2"/>
  <c r="E3033" i="2"/>
  <c r="F3033" i="2"/>
  <c r="G3033" i="2"/>
  <c r="H3033" i="2"/>
  <c r="I3033" i="2"/>
  <c r="J3033" i="2"/>
  <c r="K3033" i="2"/>
  <c r="L3033" i="2"/>
  <c r="M3033" i="2"/>
  <c r="N3033" i="2"/>
  <c r="O3033" i="2"/>
  <c r="P3033" i="2"/>
  <c r="Q3033" i="2"/>
  <c r="R3033" i="2"/>
  <c r="S3033" i="2"/>
  <c r="T3033" i="2"/>
  <c r="U3033" i="2"/>
  <c r="V3033" i="2"/>
  <c r="W3033" i="2"/>
  <c r="X3033" i="2"/>
  <c r="Y3033" i="2"/>
  <c r="Z3033" i="2"/>
  <c r="AA3033" i="2"/>
  <c r="AB3033" i="2"/>
  <c r="AC3033" i="2"/>
  <c r="AD3033" i="2"/>
  <c r="AE3033" i="2"/>
  <c r="AF3033" i="2"/>
  <c r="AG3033" i="2"/>
  <c r="AH3033" i="2"/>
  <c r="AI3033" i="2"/>
  <c r="AJ3033" i="2"/>
  <c r="AK3033" i="2"/>
  <c r="A3034" i="2"/>
  <c r="B3034" i="2"/>
  <c r="C3034" i="2"/>
  <c r="D3034" i="2"/>
  <c r="E3034" i="2"/>
  <c r="F3034" i="2"/>
  <c r="G3034" i="2"/>
  <c r="H3034" i="2"/>
  <c r="I3034" i="2"/>
  <c r="J3034" i="2"/>
  <c r="K3034" i="2"/>
  <c r="L3034" i="2"/>
  <c r="M3034" i="2"/>
  <c r="N3034" i="2"/>
  <c r="O3034" i="2"/>
  <c r="P3034" i="2"/>
  <c r="Q3034" i="2"/>
  <c r="R3034" i="2"/>
  <c r="S3034" i="2"/>
  <c r="T3034" i="2"/>
  <c r="U3034" i="2"/>
  <c r="V3034" i="2"/>
  <c r="W3034" i="2"/>
  <c r="X3034" i="2"/>
  <c r="Y3034" i="2"/>
  <c r="Z3034" i="2"/>
  <c r="AA3034" i="2"/>
  <c r="AB3034" i="2"/>
  <c r="AC3034" i="2"/>
  <c r="AD3034" i="2"/>
  <c r="AE3034" i="2"/>
  <c r="AF3034" i="2"/>
  <c r="AG3034" i="2"/>
  <c r="AH3034" i="2"/>
  <c r="AI3034" i="2"/>
  <c r="AJ3034" i="2"/>
  <c r="AK3034" i="2"/>
  <c r="A3035" i="2"/>
  <c r="B3035" i="2"/>
  <c r="C3035" i="2"/>
  <c r="D3035" i="2"/>
  <c r="E3035" i="2"/>
  <c r="F3035" i="2"/>
  <c r="G3035" i="2"/>
  <c r="H3035" i="2"/>
  <c r="I3035" i="2"/>
  <c r="J3035" i="2"/>
  <c r="K3035" i="2"/>
  <c r="L3035" i="2"/>
  <c r="M3035" i="2"/>
  <c r="N3035" i="2"/>
  <c r="O3035" i="2"/>
  <c r="P3035" i="2"/>
  <c r="Q3035" i="2"/>
  <c r="R3035" i="2"/>
  <c r="S3035" i="2"/>
  <c r="T3035" i="2"/>
  <c r="U3035" i="2"/>
  <c r="V3035" i="2"/>
  <c r="W3035" i="2"/>
  <c r="X3035" i="2"/>
  <c r="Y3035" i="2"/>
  <c r="Z3035" i="2"/>
  <c r="AA3035" i="2"/>
  <c r="AB3035" i="2"/>
  <c r="AC3035" i="2"/>
  <c r="AD3035" i="2"/>
  <c r="AE3035" i="2"/>
  <c r="AF3035" i="2"/>
  <c r="AG3035" i="2"/>
  <c r="AH3035" i="2"/>
  <c r="AI3035" i="2"/>
  <c r="AJ3035" i="2"/>
  <c r="AK3035" i="2"/>
  <c r="A3036" i="2"/>
  <c r="B3036" i="2"/>
  <c r="C3036" i="2"/>
  <c r="D3036" i="2"/>
  <c r="E3036" i="2"/>
  <c r="F3036" i="2"/>
  <c r="G3036" i="2"/>
  <c r="H3036" i="2"/>
  <c r="I3036" i="2"/>
  <c r="J3036" i="2"/>
  <c r="K3036" i="2"/>
  <c r="L3036" i="2"/>
  <c r="M3036" i="2"/>
  <c r="N3036" i="2"/>
  <c r="O3036" i="2"/>
  <c r="P3036" i="2"/>
  <c r="Q3036" i="2"/>
  <c r="R3036" i="2"/>
  <c r="S3036" i="2"/>
  <c r="T3036" i="2"/>
  <c r="U3036" i="2"/>
  <c r="V3036" i="2"/>
  <c r="W3036" i="2"/>
  <c r="X3036" i="2"/>
  <c r="Y3036" i="2"/>
  <c r="Z3036" i="2"/>
  <c r="AA3036" i="2"/>
  <c r="AB3036" i="2"/>
  <c r="AC3036" i="2"/>
  <c r="AD3036" i="2"/>
  <c r="AE3036" i="2"/>
  <c r="AF3036" i="2"/>
  <c r="AG3036" i="2"/>
  <c r="AH3036" i="2"/>
  <c r="AI3036" i="2"/>
  <c r="AJ3036" i="2"/>
  <c r="AK3036" i="2"/>
  <c r="A3037" i="2"/>
  <c r="B3037" i="2"/>
  <c r="C3037" i="2"/>
  <c r="D3037" i="2"/>
  <c r="E3037" i="2"/>
  <c r="F3037" i="2"/>
  <c r="G3037" i="2"/>
  <c r="H3037" i="2"/>
  <c r="I3037" i="2"/>
  <c r="J3037" i="2"/>
  <c r="K3037" i="2"/>
  <c r="L3037" i="2"/>
  <c r="M3037" i="2"/>
  <c r="N3037" i="2"/>
  <c r="O3037" i="2"/>
  <c r="P3037" i="2"/>
  <c r="Q3037" i="2"/>
  <c r="R3037" i="2"/>
  <c r="S3037" i="2"/>
  <c r="T3037" i="2"/>
  <c r="U3037" i="2"/>
  <c r="V3037" i="2"/>
  <c r="W3037" i="2"/>
  <c r="X3037" i="2"/>
  <c r="Y3037" i="2"/>
  <c r="Z3037" i="2"/>
  <c r="AA3037" i="2"/>
  <c r="AB3037" i="2"/>
  <c r="AC3037" i="2"/>
  <c r="AD3037" i="2"/>
  <c r="AE3037" i="2"/>
  <c r="AF3037" i="2"/>
  <c r="AG3037" i="2"/>
  <c r="AH3037" i="2"/>
  <c r="AI3037" i="2"/>
  <c r="AJ3037" i="2"/>
  <c r="AK3037" i="2"/>
  <c r="A3038" i="2"/>
  <c r="B3038" i="2"/>
  <c r="C3038" i="2"/>
  <c r="D3038" i="2"/>
  <c r="E3038" i="2"/>
  <c r="F3038" i="2"/>
  <c r="G3038" i="2"/>
  <c r="H3038" i="2"/>
  <c r="I3038" i="2"/>
  <c r="J3038" i="2"/>
  <c r="K3038" i="2"/>
  <c r="L3038" i="2"/>
  <c r="M3038" i="2"/>
  <c r="N3038" i="2"/>
  <c r="O3038" i="2"/>
  <c r="P3038" i="2"/>
  <c r="Q3038" i="2"/>
  <c r="R3038" i="2"/>
  <c r="S3038" i="2"/>
  <c r="T3038" i="2"/>
  <c r="U3038" i="2"/>
  <c r="V3038" i="2"/>
  <c r="W3038" i="2"/>
  <c r="X3038" i="2"/>
  <c r="Y3038" i="2"/>
  <c r="Z3038" i="2"/>
  <c r="AA3038" i="2"/>
  <c r="AB3038" i="2"/>
  <c r="AC3038" i="2"/>
  <c r="AD3038" i="2"/>
  <c r="AE3038" i="2"/>
  <c r="AF3038" i="2"/>
  <c r="AG3038" i="2"/>
  <c r="AH3038" i="2"/>
  <c r="AI3038" i="2"/>
  <c r="AJ3038" i="2"/>
  <c r="AK3038" i="2"/>
  <c r="A3039" i="2"/>
  <c r="B3039" i="2"/>
  <c r="C3039" i="2"/>
  <c r="D3039" i="2"/>
  <c r="E3039" i="2"/>
  <c r="F3039" i="2"/>
  <c r="G3039" i="2"/>
  <c r="H3039" i="2"/>
  <c r="I3039" i="2"/>
  <c r="J3039" i="2"/>
  <c r="K3039" i="2"/>
  <c r="L3039" i="2"/>
  <c r="M3039" i="2"/>
  <c r="N3039" i="2"/>
  <c r="O3039" i="2"/>
  <c r="P3039" i="2"/>
  <c r="Q3039" i="2"/>
  <c r="R3039" i="2"/>
  <c r="S3039" i="2"/>
  <c r="T3039" i="2"/>
  <c r="U3039" i="2"/>
  <c r="V3039" i="2"/>
  <c r="W3039" i="2"/>
  <c r="X3039" i="2"/>
  <c r="Y3039" i="2"/>
  <c r="Z3039" i="2"/>
  <c r="AA3039" i="2"/>
  <c r="AB3039" i="2"/>
  <c r="AC3039" i="2"/>
  <c r="AD3039" i="2"/>
  <c r="AE3039" i="2"/>
  <c r="AF3039" i="2"/>
  <c r="AG3039" i="2"/>
  <c r="AH3039" i="2"/>
  <c r="AI3039" i="2"/>
  <c r="AJ3039" i="2"/>
  <c r="AK3039" i="2"/>
  <c r="A3040" i="2"/>
  <c r="B3040" i="2"/>
  <c r="C3040" i="2"/>
  <c r="D3040" i="2"/>
  <c r="E3040" i="2"/>
  <c r="F3040" i="2"/>
  <c r="G3040" i="2"/>
  <c r="H3040" i="2"/>
  <c r="I3040" i="2"/>
  <c r="J3040" i="2"/>
  <c r="K3040" i="2"/>
  <c r="L3040" i="2"/>
  <c r="M3040" i="2"/>
  <c r="N3040" i="2"/>
  <c r="O3040" i="2"/>
  <c r="P3040" i="2"/>
  <c r="Q3040" i="2"/>
  <c r="R3040" i="2"/>
  <c r="S3040" i="2"/>
  <c r="T3040" i="2"/>
  <c r="U3040" i="2"/>
  <c r="V3040" i="2"/>
  <c r="W3040" i="2"/>
  <c r="X3040" i="2"/>
  <c r="Y3040" i="2"/>
  <c r="Z3040" i="2"/>
  <c r="AA3040" i="2"/>
  <c r="AB3040" i="2"/>
  <c r="AC3040" i="2"/>
  <c r="AD3040" i="2"/>
  <c r="AE3040" i="2"/>
  <c r="AF3040" i="2"/>
  <c r="AG3040" i="2"/>
  <c r="AH3040" i="2"/>
  <c r="AI3040" i="2"/>
  <c r="AJ3040" i="2"/>
  <c r="AK3040" i="2"/>
  <c r="A3041" i="2"/>
  <c r="B3041" i="2"/>
  <c r="C3041" i="2"/>
  <c r="D3041" i="2"/>
  <c r="E3041" i="2"/>
  <c r="F3041" i="2"/>
  <c r="G3041" i="2"/>
  <c r="H3041" i="2"/>
  <c r="I3041" i="2"/>
  <c r="J3041" i="2"/>
  <c r="K3041" i="2"/>
  <c r="L3041" i="2"/>
  <c r="M3041" i="2"/>
  <c r="N3041" i="2"/>
  <c r="O3041" i="2"/>
  <c r="P3041" i="2"/>
  <c r="Q3041" i="2"/>
  <c r="R3041" i="2"/>
  <c r="S3041" i="2"/>
  <c r="T3041" i="2"/>
  <c r="U3041" i="2"/>
  <c r="V3041" i="2"/>
  <c r="W3041" i="2"/>
  <c r="X3041" i="2"/>
  <c r="Y3041" i="2"/>
  <c r="Z3041" i="2"/>
  <c r="AA3041" i="2"/>
  <c r="AB3041" i="2"/>
  <c r="AC3041" i="2"/>
  <c r="AD3041" i="2"/>
  <c r="AE3041" i="2"/>
  <c r="AF3041" i="2"/>
  <c r="AG3041" i="2"/>
  <c r="AH3041" i="2"/>
  <c r="AI3041" i="2"/>
  <c r="AJ3041" i="2"/>
  <c r="AK3041" i="2"/>
  <c r="A3042" i="2"/>
  <c r="B3042" i="2"/>
  <c r="C3042" i="2"/>
  <c r="D3042" i="2"/>
  <c r="E3042" i="2"/>
  <c r="F3042" i="2"/>
  <c r="G3042" i="2"/>
  <c r="H3042" i="2"/>
  <c r="I3042" i="2"/>
  <c r="J3042" i="2"/>
  <c r="K3042" i="2"/>
  <c r="L3042" i="2"/>
  <c r="M3042" i="2"/>
  <c r="N3042" i="2"/>
  <c r="O3042" i="2"/>
  <c r="P3042" i="2"/>
  <c r="Q3042" i="2"/>
  <c r="R3042" i="2"/>
  <c r="S3042" i="2"/>
  <c r="T3042" i="2"/>
  <c r="U3042" i="2"/>
  <c r="V3042" i="2"/>
  <c r="W3042" i="2"/>
  <c r="X3042" i="2"/>
  <c r="Y3042" i="2"/>
  <c r="Z3042" i="2"/>
  <c r="AA3042" i="2"/>
  <c r="AB3042" i="2"/>
  <c r="AC3042" i="2"/>
  <c r="AD3042" i="2"/>
  <c r="AE3042" i="2"/>
  <c r="AF3042" i="2"/>
  <c r="AG3042" i="2"/>
  <c r="AH3042" i="2"/>
  <c r="AI3042" i="2"/>
  <c r="AJ3042" i="2"/>
  <c r="AK3042" i="2"/>
  <c r="A3043" i="2"/>
  <c r="B3043" i="2"/>
  <c r="C3043" i="2"/>
  <c r="D3043" i="2"/>
  <c r="E3043" i="2"/>
  <c r="F3043" i="2"/>
  <c r="G3043" i="2"/>
  <c r="H3043" i="2"/>
  <c r="I3043" i="2"/>
  <c r="J3043" i="2"/>
  <c r="K3043" i="2"/>
  <c r="L3043" i="2"/>
  <c r="M3043" i="2"/>
  <c r="N3043" i="2"/>
  <c r="O3043" i="2"/>
  <c r="P3043" i="2"/>
  <c r="Q3043" i="2"/>
  <c r="R3043" i="2"/>
  <c r="S3043" i="2"/>
  <c r="T3043" i="2"/>
  <c r="U3043" i="2"/>
  <c r="V3043" i="2"/>
  <c r="W3043" i="2"/>
  <c r="X3043" i="2"/>
  <c r="Y3043" i="2"/>
  <c r="Z3043" i="2"/>
  <c r="AA3043" i="2"/>
  <c r="AB3043" i="2"/>
  <c r="AC3043" i="2"/>
  <c r="AD3043" i="2"/>
  <c r="AE3043" i="2"/>
  <c r="AF3043" i="2"/>
  <c r="AG3043" i="2"/>
  <c r="AH3043" i="2"/>
  <c r="AI3043" i="2"/>
  <c r="AJ3043" i="2"/>
  <c r="AK3043" i="2"/>
  <c r="A3044" i="2"/>
  <c r="B3044" i="2"/>
  <c r="C3044" i="2"/>
  <c r="D3044" i="2"/>
  <c r="E3044" i="2"/>
  <c r="F3044" i="2"/>
  <c r="G3044" i="2"/>
  <c r="H3044" i="2"/>
  <c r="I3044" i="2"/>
  <c r="J3044" i="2"/>
  <c r="K3044" i="2"/>
  <c r="L3044" i="2"/>
  <c r="M3044" i="2"/>
  <c r="N3044" i="2"/>
  <c r="O3044" i="2"/>
  <c r="P3044" i="2"/>
  <c r="Q3044" i="2"/>
  <c r="R3044" i="2"/>
  <c r="S3044" i="2"/>
  <c r="T3044" i="2"/>
  <c r="U3044" i="2"/>
  <c r="V3044" i="2"/>
  <c r="W3044" i="2"/>
  <c r="X3044" i="2"/>
  <c r="Y3044" i="2"/>
  <c r="Z3044" i="2"/>
  <c r="AA3044" i="2"/>
  <c r="AB3044" i="2"/>
  <c r="AC3044" i="2"/>
  <c r="AD3044" i="2"/>
  <c r="AE3044" i="2"/>
  <c r="AF3044" i="2"/>
  <c r="AG3044" i="2"/>
  <c r="AH3044" i="2"/>
  <c r="AI3044" i="2"/>
  <c r="AJ3044" i="2"/>
  <c r="AK3044" i="2"/>
  <c r="A3045" i="2"/>
  <c r="B3045" i="2"/>
  <c r="C3045" i="2"/>
  <c r="D3045" i="2"/>
  <c r="E3045" i="2"/>
  <c r="F3045" i="2"/>
  <c r="G3045" i="2"/>
  <c r="H3045" i="2"/>
  <c r="I3045" i="2"/>
  <c r="J3045" i="2"/>
  <c r="K3045" i="2"/>
  <c r="L3045" i="2"/>
  <c r="M3045" i="2"/>
  <c r="N3045" i="2"/>
  <c r="O3045" i="2"/>
  <c r="P3045" i="2"/>
  <c r="Q3045" i="2"/>
  <c r="R3045" i="2"/>
  <c r="S3045" i="2"/>
  <c r="T3045" i="2"/>
  <c r="U3045" i="2"/>
  <c r="V3045" i="2"/>
  <c r="W3045" i="2"/>
  <c r="X3045" i="2"/>
  <c r="Y3045" i="2"/>
  <c r="Z3045" i="2"/>
  <c r="AA3045" i="2"/>
  <c r="AB3045" i="2"/>
  <c r="AC3045" i="2"/>
  <c r="AD3045" i="2"/>
  <c r="AE3045" i="2"/>
  <c r="AF3045" i="2"/>
  <c r="AG3045" i="2"/>
  <c r="AH3045" i="2"/>
  <c r="AI3045" i="2"/>
  <c r="AJ3045" i="2"/>
  <c r="AK3045" i="2"/>
  <c r="A3046" i="2"/>
  <c r="B3046" i="2"/>
  <c r="C3046" i="2"/>
  <c r="D3046" i="2"/>
  <c r="E3046" i="2"/>
  <c r="F3046" i="2"/>
  <c r="G3046" i="2"/>
  <c r="H3046" i="2"/>
  <c r="I3046" i="2"/>
  <c r="J3046" i="2"/>
  <c r="K3046" i="2"/>
  <c r="L3046" i="2"/>
  <c r="M3046" i="2"/>
  <c r="N3046" i="2"/>
  <c r="O3046" i="2"/>
  <c r="P3046" i="2"/>
  <c r="Q3046" i="2"/>
  <c r="R3046" i="2"/>
  <c r="S3046" i="2"/>
  <c r="T3046" i="2"/>
  <c r="U3046" i="2"/>
  <c r="V3046" i="2"/>
  <c r="W3046" i="2"/>
  <c r="X3046" i="2"/>
  <c r="Y3046" i="2"/>
  <c r="Z3046" i="2"/>
  <c r="AA3046" i="2"/>
  <c r="AB3046" i="2"/>
  <c r="AC3046" i="2"/>
  <c r="AD3046" i="2"/>
  <c r="AE3046" i="2"/>
  <c r="AF3046" i="2"/>
  <c r="AG3046" i="2"/>
  <c r="AH3046" i="2"/>
  <c r="AI3046" i="2"/>
  <c r="AJ3046" i="2"/>
  <c r="AK3046" i="2"/>
  <c r="A3047" i="2"/>
  <c r="B3047" i="2"/>
  <c r="C3047" i="2"/>
  <c r="D3047" i="2"/>
  <c r="E3047" i="2"/>
  <c r="F3047" i="2"/>
  <c r="G3047" i="2"/>
  <c r="H3047" i="2"/>
  <c r="I3047" i="2"/>
  <c r="J3047" i="2"/>
  <c r="K3047" i="2"/>
  <c r="L3047" i="2"/>
  <c r="M3047" i="2"/>
  <c r="N3047" i="2"/>
  <c r="O3047" i="2"/>
  <c r="P3047" i="2"/>
  <c r="Q3047" i="2"/>
  <c r="R3047" i="2"/>
  <c r="S3047" i="2"/>
  <c r="T3047" i="2"/>
  <c r="U3047" i="2"/>
  <c r="V3047" i="2"/>
  <c r="W3047" i="2"/>
  <c r="X3047" i="2"/>
  <c r="Y3047" i="2"/>
  <c r="Z3047" i="2"/>
  <c r="AA3047" i="2"/>
  <c r="AB3047" i="2"/>
  <c r="AC3047" i="2"/>
  <c r="AD3047" i="2"/>
  <c r="AE3047" i="2"/>
  <c r="AF3047" i="2"/>
  <c r="AG3047" i="2"/>
  <c r="AH3047" i="2"/>
  <c r="AI3047" i="2"/>
  <c r="AJ3047" i="2"/>
  <c r="AK3047" i="2"/>
  <c r="A3048" i="2"/>
  <c r="B3048" i="2"/>
  <c r="C3048" i="2"/>
  <c r="D3048" i="2"/>
  <c r="E3048" i="2"/>
  <c r="F3048" i="2"/>
  <c r="G3048" i="2"/>
  <c r="H3048" i="2"/>
  <c r="I3048" i="2"/>
  <c r="J3048" i="2"/>
  <c r="K3048" i="2"/>
  <c r="L3048" i="2"/>
  <c r="M3048" i="2"/>
  <c r="N3048" i="2"/>
  <c r="O3048" i="2"/>
  <c r="P3048" i="2"/>
  <c r="Q3048" i="2"/>
  <c r="R3048" i="2"/>
  <c r="S3048" i="2"/>
  <c r="T3048" i="2"/>
  <c r="U3048" i="2"/>
  <c r="V3048" i="2"/>
  <c r="W3048" i="2"/>
  <c r="X3048" i="2"/>
  <c r="Y3048" i="2"/>
  <c r="Z3048" i="2"/>
  <c r="AA3048" i="2"/>
  <c r="AB3048" i="2"/>
  <c r="AC3048" i="2"/>
  <c r="AD3048" i="2"/>
  <c r="AE3048" i="2"/>
  <c r="AF3048" i="2"/>
  <c r="AG3048" i="2"/>
  <c r="AH3048" i="2"/>
  <c r="AI3048" i="2"/>
  <c r="AJ3048" i="2"/>
  <c r="AK3048" i="2"/>
  <c r="A3049" i="2"/>
  <c r="B3049" i="2"/>
  <c r="C3049" i="2"/>
  <c r="D3049" i="2"/>
  <c r="E3049" i="2"/>
  <c r="F3049" i="2"/>
  <c r="G3049" i="2"/>
  <c r="H3049" i="2"/>
  <c r="I3049" i="2"/>
  <c r="J3049" i="2"/>
  <c r="K3049" i="2"/>
  <c r="L3049" i="2"/>
  <c r="M3049" i="2"/>
  <c r="N3049" i="2"/>
  <c r="O3049" i="2"/>
  <c r="P3049" i="2"/>
  <c r="Q3049" i="2"/>
  <c r="R3049" i="2"/>
  <c r="S3049" i="2"/>
  <c r="T3049" i="2"/>
  <c r="U3049" i="2"/>
  <c r="V3049" i="2"/>
  <c r="W3049" i="2"/>
  <c r="X3049" i="2"/>
  <c r="Y3049" i="2"/>
  <c r="Z3049" i="2"/>
  <c r="AA3049" i="2"/>
  <c r="AB3049" i="2"/>
  <c r="AC3049" i="2"/>
  <c r="AD3049" i="2"/>
  <c r="AE3049" i="2"/>
  <c r="AF3049" i="2"/>
  <c r="AG3049" i="2"/>
  <c r="AH3049" i="2"/>
  <c r="AI3049" i="2"/>
  <c r="AJ3049" i="2"/>
  <c r="AK3049" i="2"/>
  <c r="A3050" i="2"/>
  <c r="B3050" i="2"/>
  <c r="C3050" i="2"/>
  <c r="D3050" i="2"/>
  <c r="E3050" i="2"/>
  <c r="F3050" i="2"/>
  <c r="G3050" i="2"/>
  <c r="H3050" i="2"/>
  <c r="I3050" i="2"/>
  <c r="J3050" i="2"/>
  <c r="K3050" i="2"/>
  <c r="L3050" i="2"/>
  <c r="M3050" i="2"/>
  <c r="N3050" i="2"/>
  <c r="O3050" i="2"/>
  <c r="P3050" i="2"/>
  <c r="Q3050" i="2"/>
  <c r="R3050" i="2"/>
  <c r="S3050" i="2"/>
  <c r="T3050" i="2"/>
  <c r="U3050" i="2"/>
  <c r="V3050" i="2"/>
  <c r="W3050" i="2"/>
  <c r="X3050" i="2"/>
  <c r="Y3050" i="2"/>
  <c r="Z3050" i="2"/>
  <c r="AA3050" i="2"/>
  <c r="AB3050" i="2"/>
  <c r="AC3050" i="2"/>
  <c r="AD3050" i="2"/>
  <c r="AE3050" i="2"/>
  <c r="AF3050" i="2"/>
  <c r="AG3050" i="2"/>
  <c r="AH3050" i="2"/>
  <c r="AI3050" i="2"/>
  <c r="AJ3050" i="2"/>
  <c r="AK3050" i="2"/>
  <c r="A3051" i="2"/>
  <c r="B3051" i="2"/>
  <c r="C3051" i="2"/>
  <c r="D3051" i="2"/>
  <c r="E3051" i="2"/>
  <c r="F3051" i="2"/>
  <c r="G3051" i="2"/>
  <c r="H3051" i="2"/>
  <c r="I3051" i="2"/>
  <c r="J3051" i="2"/>
  <c r="K3051" i="2"/>
  <c r="L3051" i="2"/>
  <c r="M3051" i="2"/>
  <c r="N3051" i="2"/>
  <c r="O3051" i="2"/>
  <c r="P3051" i="2"/>
  <c r="Q3051" i="2"/>
  <c r="R3051" i="2"/>
  <c r="S3051" i="2"/>
  <c r="T3051" i="2"/>
  <c r="U3051" i="2"/>
  <c r="V3051" i="2"/>
  <c r="W3051" i="2"/>
  <c r="X3051" i="2"/>
  <c r="Y3051" i="2"/>
  <c r="Z3051" i="2"/>
  <c r="AA3051" i="2"/>
  <c r="AB3051" i="2"/>
  <c r="AC3051" i="2"/>
  <c r="AD3051" i="2"/>
  <c r="AE3051" i="2"/>
  <c r="AF3051" i="2"/>
  <c r="AG3051" i="2"/>
  <c r="AH3051" i="2"/>
  <c r="AI3051" i="2"/>
  <c r="AJ3051" i="2"/>
  <c r="AK3051" i="2"/>
  <c r="A3052" i="2"/>
  <c r="B3052" i="2"/>
  <c r="C3052" i="2"/>
  <c r="D3052" i="2"/>
  <c r="E3052" i="2"/>
  <c r="F3052" i="2"/>
  <c r="G3052" i="2"/>
  <c r="H3052" i="2"/>
  <c r="I3052" i="2"/>
  <c r="J3052" i="2"/>
  <c r="K3052" i="2"/>
  <c r="L3052" i="2"/>
  <c r="M3052" i="2"/>
  <c r="N3052" i="2"/>
  <c r="O3052" i="2"/>
  <c r="P3052" i="2"/>
  <c r="Q3052" i="2"/>
  <c r="R3052" i="2"/>
  <c r="S3052" i="2"/>
  <c r="T3052" i="2"/>
  <c r="U3052" i="2"/>
  <c r="V3052" i="2"/>
  <c r="W3052" i="2"/>
  <c r="X3052" i="2"/>
  <c r="Y3052" i="2"/>
  <c r="Z3052" i="2"/>
  <c r="AA3052" i="2"/>
  <c r="AB3052" i="2"/>
  <c r="AC3052" i="2"/>
  <c r="AD3052" i="2"/>
  <c r="AE3052" i="2"/>
  <c r="AF3052" i="2"/>
  <c r="AG3052" i="2"/>
  <c r="AH3052" i="2"/>
  <c r="AI3052" i="2"/>
  <c r="AJ3052" i="2"/>
  <c r="AK3052" i="2"/>
  <c r="A3053" i="2"/>
  <c r="B3053" i="2"/>
  <c r="C3053" i="2"/>
  <c r="D3053" i="2"/>
  <c r="E3053" i="2"/>
  <c r="F3053" i="2"/>
  <c r="G3053" i="2"/>
  <c r="H3053" i="2"/>
  <c r="I3053" i="2"/>
  <c r="J3053" i="2"/>
  <c r="K3053" i="2"/>
  <c r="L3053" i="2"/>
  <c r="M3053" i="2"/>
  <c r="N3053" i="2"/>
  <c r="O3053" i="2"/>
  <c r="P3053" i="2"/>
  <c r="Q3053" i="2"/>
  <c r="R3053" i="2"/>
  <c r="S3053" i="2"/>
  <c r="T3053" i="2"/>
  <c r="U3053" i="2"/>
  <c r="V3053" i="2"/>
  <c r="W3053" i="2"/>
  <c r="X3053" i="2"/>
  <c r="Y3053" i="2"/>
  <c r="Z3053" i="2"/>
  <c r="AA3053" i="2"/>
  <c r="AB3053" i="2"/>
  <c r="AC3053" i="2"/>
  <c r="AD3053" i="2"/>
  <c r="AE3053" i="2"/>
  <c r="AF3053" i="2"/>
  <c r="AG3053" i="2"/>
  <c r="AH3053" i="2"/>
  <c r="AI3053" i="2"/>
  <c r="AJ3053" i="2"/>
  <c r="AK3053" i="2"/>
  <c r="A3054" i="2"/>
  <c r="B3054" i="2"/>
  <c r="C3054" i="2"/>
  <c r="D3054" i="2"/>
  <c r="E3054" i="2"/>
  <c r="F3054" i="2"/>
  <c r="G3054" i="2"/>
  <c r="H3054" i="2"/>
  <c r="I3054" i="2"/>
  <c r="J3054" i="2"/>
  <c r="K3054" i="2"/>
  <c r="L3054" i="2"/>
  <c r="M3054" i="2"/>
  <c r="N3054" i="2"/>
  <c r="O3054" i="2"/>
  <c r="P3054" i="2"/>
  <c r="Q3054" i="2"/>
  <c r="R3054" i="2"/>
  <c r="S3054" i="2"/>
  <c r="T3054" i="2"/>
  <c r="U3054" i="2"/>
  <c r="V3054" i="2"/>
  <c r="W3054" i="2"/>
  <c r="X3054" i="2"/>
  <c r="Y3054" i="2"/>
  <c r="Z3054" i="2"/>
  <c r="AA3054" i="2"/>
  <c r="AB3054" i="2"/>
  <c r="AC3054" i="2"/>
  <c r="AD3054" i="2"/>
  <c r="AE3054" i="2"/>
  <c r="AF3054" i="2"/>
  <c r="AG3054" i="2"/>
  <c r="AH3054" i="2"/>
  <c r="AI3054" i="2"/>
  <c r="AJ3054" i="2"/>
  <c r="AK3054" i="2"/>
  <c r="A3055" i="2"/>
  <c r="B3055" i="2"/>
  <c r="C3055" i="2"/>
  <c r="D3055" i="2"/>
  <c r="E3055" i="2"/>
  <c r="F3055" i="2"/>
  <c r="G3055" i="2"/>
  <c r="H3055" i="2"/>
  <c r="I3055" i="2"/>
  <c r="J3055" i="2"/>
  <c r="K3055" i="2"/>
  <c r="L3055" i="2"/>
  <c r="M3055" i="2"/>
  <c r="N3055" i="2"/>
  <c r="O3055" i="2"/>
  <c r="P3055" i="2"/>
  <c r="Q3055" i="2"/>
  <c r="R3055" i="2"/>
  <c r="S3055" i="2"/>
  <c r="T3055" i="2"/>
  <c r="U3055" i="2"/>
  <c r="V3055" i="2"/>
  <c r="W3055" i="2"/>
  <c r="X3055" i="2"/>
  <c r="Y3055" i="2"/>
  <c r="Z3055" i="2"/>
  <c r="AA3055" i="2"/>
  <c r="AB3055" i="2"/>
  <c r="AC3055" i="2"/>
  <c r="AD3055" i="2"/>
  <c r="AE3055" i="2"/>
  <c r="AF3055" i="2"/>
  <c r="AG3055" i="2"/>
  <c r="AH3055" i="2"/>
  <c r="AI3055" i="2"/>
  <c r="AJ3055" i="2"/>
  <c r="AK3055" i="2"/>
  <c r="A3056" i="2"/>
  <c r="B3056" i="2"/>
  <c r="C3056" i="2"/>
  <c r="D3056" i="2"/>
  <c r="E3056" i="2"/>
  <c r="F3056" i="2"/>
  <c r="G3056" i="2"/>
  <c r="H3056" i="2"/>
  <c r="I3056" i="2"/>
  <c r="J3056" i="2"/>
  <c r="K3056" i="2"/>
  <c r="L3056" i="2"/>
  <c r="M3056" i="2"/>
  <c r="N3056" i="2"/>
  <c r="O3056" i="2"/>
  <c r="P3056" i="2"/>
  <c r="Q3056" i="2"/>
  <c r="R3056" i="2"/>
  <c r="S3056" i="2"/>
  <c r="T3056" i="2"/>
  <c r="U3056" i="2"/>
  <c r="V3056" i="2"/>
  <c r="W3056" i="2"/>
  <c r="X3056" i="2"/>
  <c r="Y3056" i="2"/>
  <c r="Z3056" i="2"/>
  <c r="AA3056" i="2"/>
  <c r="AB3056" i="2"/>
  <c r="AC3056" i="2"/>
  <c r="AD3056" i="2"/>
  <c r="AE3056" i="2"/>
  <c r="AF3056" i="2"/>
  <c r="AG3056" i="2"/>
  <c r="AH3056" i="2"/>
  <c r="AI3056" i="2"/>
  <c r="AJ3056" i="2"/>
  <c r="AK3056" i="2"/>
  <c r="A3057" i="2"/>
  <c r="B3057" i="2"/>
  <c r="C3057" i="2"/>
  <c r="D3057" i="2"/>
  <c r="E3057" i="2"/>
  <c r="F3057" i="2"/>
  <c r="G3057" i="2"/>
  <c r="H3057" i="2"/>
  <c r="I3057" i="2"/>
  <c r="J3057" i="2"/>
  <c r="K3057" i="2"/>
  <c r="L3057" i="2"/>
  <c r="M3057" i="2"/>
  <c r="N3057" i="2"/>
  <c r="O3057" i="2"/>
  <c r="P3057" i="2"/>
  <c r="Q3057" i="2"/>
  <c r="R3057" i="2"/>
  <c r="S3057" i="2"/>
  <c r="T3057" i="2"/>
  <c r="U3057" i="2"/>
  <c r="V3057" i="2"/>
  <c r="W3057" i="2"/>
  <c r="X3057" i="2"/>
  <c r="Y3057" i="2"/>
  <c r="Z3057" i="2"/>
  <c r="AA3057" i="2"/>
  <c r="AB3057" i="2"/>
  <c r="AC3057" i="2"/>
  <c r="AD3057" i="2"/>
  <c r="AE3057" i="2"/>
  <c r="AF3057" i="2"/>
  <c r="AG3057" i="2"/>
  <c r="AH3057" i="2"/>
  <c r="AI3057" i="2"/>
  <c r="AJ3057" i="2"/>
  <c r="AK3057" i="2"/>
  <c r="A3058" i="2"/>
  <c r="B3058" i="2"/>
  <c r="C3058" i="2"/>
  <c r="D3058" i="2"/>
  <c r="E3058" i="2"/>
  <c r="F3058" i="2"/>
  <c r="G3058" i="2"/>
  <c r="H3058" i="2"/>
  <c r="I3058" i="2"/>
  <c r="J3058" i="2"/>
  <c r="K3058" i="2"/>
  <c r="L3058" i="2"/>
  <c r="M3058" i="2"/>
  <c r="N3058" i="2"/>
  <c r="O3058" i="2"/>
  <c r="P3058" i="2"/>
  <c r="Q3058" i="2"/>
  <c r="R3058" i="2"/>
  <c r="S3058" i="2"/>
  <c r="T3058" i="2"/>
  <c r="U3058" i="2"/>
  <c r="V3058" i="2"/>
  <c r="W3058" i="2"/>
  <c r="X3058" i="2"/>
  <c r="Y3058" i="2"/>
  <c r="Z3058" i="2"/>
  <c r="AA3058" i="2"/>
  <c r="AB3058" i="2"/>
  <c r="AC3058" i="2"/>
  <c r="AD3058" i="2"/>
  <c r="AE3058" i="2"/>
  <c r="AF3058" i="2"/>
  <c r="AG3058" i="2"/>
  <c r="AH3058" i="2"/>
  <c r="AI3058" i="2"/>
  <c r="AJ3058" i="2"/>
  <c r="AK3058" i="2"/>
  <c r="A3059" i="2"/>
  <c r="B3059" i="2"/>
  <c r="C3059" i="2"/>
  <c r="D3059" i="2"/>
  <c r="E3059" i="2"/>
  <c r="F3059" i="2"/>
  <c r="G3059" i="2"/>
  <c r="H3059" i="2"/>
  <c r="I3059" i="2"/>
  <c r="J3059" i="2"/>
  <c r="K3059" i="2"/>
  <c r="L3059" i="2"/>
  <c r="M3059" i="2"/>
  <c r="N3059" i="2"/>
  <c r="O3059" i="2"/>
  <c r="P3059" i="2"/>
  <c r="Q3059" i="2"/>
  <c r="R3059" i="2"/>
  <c r="S3059" i="2"/>
  <c r="T3059" i="2"/>
  <c r="U3059" i="2"/>
  <c r="V3059" i="2"/>
  <c r="W3059" i="2"/>
  <c r="X3059" i="2"/>
  <c r="Y3059" i="2"/>
  <c r="Z3059" i="2"/>
  <c r="AA3059" i="2"/>
  <c r="AB3059" i="2"/>
  <c r="AC3059" i="2"/>
  <c r="AD3059" i="2"/>
  <c r="AE3059" i="2"/>
  <c r="AF3059" i="2"/>
  <c r="AG3059" i="2"/>
  <c r="AH3059" i="2"/>
  <c r="AI3059" i="2"/>
  <c r="AJ3059" i="2"/>
  <c r="AK3059" i="2"/>
  <c r="A3060" i="2"/>
  <c r="B3060" i="2"/>
  <c r="C3060" i="2"/>
  <c r="D3060" i="2"/>
  <c r="E3060" i="2"/>
  <c r="F3060" i="2"/>
  <c r="G3060" i="2"/>
  <c r="H3060" i="2"/>
  <c r="I3060" i="2"/>
  <c r="J3060" i="2"/>
  <c r="K3060" i="2"/>
  <c r="L3060" i="2"/>
  <c r="M3060" i="2"/>
  <c r="N3060" i="2"/>
  <c r="O3060" i="2"/>
  <c r="P3060" i="2"/>
  <c r="Q3060" i="2"/>
  <c r="R3060" i="2"/>
  <c r="S3060" i="2"/>
  <c r="T3060" i="2"/>
  <c r="U3060" i="2"/>
  <c r="V3060" i="2"/>
  <c r="W3060" i="2"/>
  <c r="X3060" i="2"/>
  <c r="Y3060" i="2"/>
  <c r="Z3060" i="2"/>
  <c r="AA3060" i="2"/>
  <c r="AB3060" i="2"/>
  <c r="AC3060" i="2"/>
  <c r="AD3060" i="2"/>
  <c r="AE3060" i="2"/>
  <c r="AF3060" i="2"/>
  <c r="AG3060" i="2"/>
  <c r="AH3060" i="2"/>
  <c r="AI3060" i="2"/>
  <c r="AJ3060" i="2"/>
  <c r="AK3060" i="2"/>
  <c r="A3061" i="2"/>
  <c r="B3061" i="2"/>
  <c r="C3061" i="2"/>
  <c r="D3061" i="2"/>
  <c r="E3061" i="2"/>
  <c r="F3061" i="2"/>
  <c r="G3061" i="2"/>
  <c r="H3061" i="2"/>
  <c r="I3061" i="2"/>
  <c r="J3061" i="2"/>
  <c r="K3061" i="2"/>
  <c r="L3061" i="2"/>
  <c r="M3061" i="2"/>
  <c r="N3061" i="2"/>
  <c r="O3061" i="2"/>
  <c r="P3061" i="2"/>
  <c r="Q3061" i="2"/>
  <c r="R3061" i="2"/>
  <c r="S3061" i="2"/>
  <c r="T3061" i="2"/>
  <c r="U3061" i="2"/>
  <c r="V3061" i="2"/>
  <c r="W3061" i="2"/>
  <c r="X3061" i="2"/>
  <c r="Y3061" i="2"/>
  <c r="Z3061" i="2"/>
  <c r="AA3061" i="2"/>
  <c r="AB3061" i="2"/>
  <c r="AC3061" i="2"/>
  <c r="AD3061" i="2"/>
  <c r="AE3061" i="2"/>
  <c r="AF3061" i="2"/>
  <c r="AG3061" i="2"/>
  <c r="AH3061" i="2"/>
  <c r="AI3061" i="2"/>
  <c r="AJ3061" i="2"/>
  <c r="AK3061" i="2"/>
  <c r="A3062" i="2"/>
  <c r="B3062" i="2"/>
  <c r="C3062" i="2"/>
  <c r="D3062" i="2"/>
  <c r="E3062" i="2"/>
  <c r="F3062" i="2"/>
  <c r="G3062" i="2"/>
  <c r="H3062" i="2"/>
  <c r="I3062" i="2"/>
  <c r="J3062" i="2"/>
  <c r="K3062" i="2"/>
  <c r="L3062" i="2"/>
  <c r="M3062" i="2"/>
  <c r="N3062" i="2"/>
  <c r="O3062" i="2"/>
  <c r="P3062" i="2"/>
  <c r="Q3062" i="2"/>
  <c r="R3062" i="2"/>
  <c r="S3062" i="2"/>
  <c r="T3062" i="2"/>
  <c r="U3062" i="2"/>
  <c r="V3062" i="2"/>
  <c r="W3062" i="2"/>
  <c r="X3062" i="2"/>
  <c r="Y3062" i="2"/>
  <c r="Z3062" i="2"/>
  <c r="AA3062" i="2"/>
  <c r="AB3062" i="2"/>
  <c r="AC3062" i="2"/>
  <c r="AD3062" i="2"/>
  <c r="AE3062" i="2"/>
  <c r="AF3062" i="2"/>
  <c r="AG3062" i="2"/>
  <c r="AH3062" i="2"/>
  <c r="AI3062" i="2"/>
  <c r="AJ3062" i="2"/>
  <c r="AK3062" i="2"/>
  <c r="A3063" i="2"/>
  <c r="B3063" i="2"/>
  <c r="C3063" i="2"/>
  <c r="D3063" i="2"/>
  <c r="E3063" i="2"/>
  <c r="F3063" i="2"/>
  <c r="G3063" i="2"/>
  <c r="H3063" i="2"/>
  <c r="I3063" i="2"/>
  <c r="J3063" i="2"/>
  <c r="K3063" i="2"/>
  <c r="L3063" i="2"/>
  <c r="M3063" i="2"/>
  <c r="N3063" i="2"/>
  <c r="O3063" i="2"/>
  <c r="P3063" i="2"/>
  <c r="Q3063" i="2"/>
  <c r="R3063" i="2"/>
  <c r="S3063" i="2"/>
  <c r="T3063" i="2"/>
  <c r="U3063" i="2"/>
  <c r="V3063" i="2"/>
  <c r="W3063" i="2"/>
  <c r="X3063" i="2"/>
  <c r="Y3063" i="2"/>
  <c r="Z3063" i="2"/>
  <c r="AA3063" i="2"/>
  <c r="AB3063" i="2"/>
  <c r="AC3063" i="2"/>
  <c r="AD3063" i="2"/>
  <c r="AE3063" i="2"/>
  <c r="AF3063" i="2"/>
  <c r="AG3063" i="2"/>
  <c r="AH3063" i="2"/>
  <c r="AI3063" i="2"/>
  <c r="AJ3063" i="2"/>
  <c r="AK3063" i="2"/>
  <c r="A3064" i="2"/>
  <c r="B3064" i="2"/>
  <c r="C3064" i="2"/>
  <c r="D3064" i="2"/>
  <c r="E3064" i="2"/>
  <c r="F3064" i="2"/>
  <c r="G3064" i="2"/>
  <c r="H3064" i="2"/>
  <c r="I3064" i="2"/>
  <c r="J3064" i="2"/>
  <c r="K3064" i="2"/>
  <c r="L3064" i="2"/>
  <c r="M3064" i="2"/>
  <c r="N3064" i="2"/>
  <c r="O3064" i="2"/>
  <c r="P3064" i="2"/>
  <c r="Q3064" i="2"/>
  <c r="R3064" i="2"/>
  <c r="S3064" i="2"/>
  <c r="T3064" i="2"/>
  <c r="U3064" i="2"/>
  <c r="V3064" i="2"/>
  <c r="W3064" i="2"/>
  <c r="X3064" i="2"/>
  <c r="Y3064" i="2"/>
  <c r="Z3064" i="2"/>
  <c r="AA3064" i="2"/>
  <c r="AB3064" i="2"/>
  <c r="AC3064" i="2"/>
  <c r="AD3064" i="2"/>
  <c r="AE3064" i="2"/>
  <c r="AF3064" i="2"/>
  <c r="AG3064" i="2"/>
  <c r="AH3064" i="2"/>
  <c r="AI3064" i="2"/>
  <c r="AJ3064" i="2"/>
  <c r="AK3064" i="2"/>
  <c r="A3065" i="2"/>
  <c r="B3065" i="2"/>
  <c r="C3065" i="2"/>
  <c r="D3065" i="2"/>
  <c r="E3065" i="2"/>
  <c r="F3065" i="2"/>
  <c r="G3065" i="2"/>
  <c r="H3065" i="2"/>
  <c r="I3065" i="2"/>
  <c r="J3065" i="2"/>
  <c r="K3065" i="2"/>
  <c r="L3065" i="2"/>
  <c r="M3065" i="2"/>
  <c r="N3065" i="2"/>
  <c r="O3065" i="2"/>
  <c r="P3065" i="2"/>
  <c r="Q3065" i="2"/>
  <c r="R3065" i="2"/>
  <c r="S3065" i="2"/>
  <c r="T3065" i="2"/>
  <c r="U3065" i="2"/>
  <c r="V3065" i="2"/>
  <c r="W3065" i="2"/>
  <c r="X3065" i="2"/>
  <c r="Y3065" i="2"/>
  <c r="Z3065" i="2"/>
  <c r="AA3065" i="2"/>
  <c r="AB3065" i="2"/>
  <c r="AC3065" i="2"/>
  <c r="AD3065" i="2"/>
  <c r="AE3065" i="2"/>
  <c r="AF3065" i="2"/>
  <c r="AG3065" i="2"/>
  <c r="AH3065" i="2"/>
  <c r="AI3065" i="2"/>
  <c r="AJ3065" i="2"/>
  <c r="AK3065" i="2"/>
  <c r="A3066" i="2"/>
  <c r="B3066" i="2"/>
  <c r="C3066" i="2"/>
  <c r="D3066" i="2"/>
  <c r="E3066" i="2"/>
  <c r="F3066" i="2"/>
  <c r="G3066" i="2"/>
  <c r="H3066" i="2"/>
  <c r="I3066" i="2"/>
  <c r="J3066" i="2"/>
  <c r="K3066" i="2"/>
  <c r="L3066" i="2"/>
  <c r="M3066" i="2"/>
  <c r="N3066" i="2"/>
  <c r="O3066" i="2"/>
  <c r="P3066" i="2"/>
  <c r="Q3066" i="2"/>
  <c r="R3066" i="2"/>
  <c r="S3066" i="2"/>
  <c r="T3066" i="2"/>
  <c r="U3066" i="2"/>
  <c r="V3066" i="2"/>
  <c r="W3066" i="2"/>
  <c r="X3066" i="2"/>
  <c r="Y3066" i="2"/>
  <c r="Z3066" i="2"/>
  <c r="AA3066" i="2"/>
  <c r="AB3066" i="2"/>
  <c r="AC3066" i="2"/>
  <c r="AD3066" i="2"/>
  <c r="AE3066" i="2"/>
  <c r="AF3066" i="2"/>
  <c r="AG3066" i="2"/>
  <c r="AH3066" i="2"/>
  <c r="AI3066" i="2"/>
  <c r="AJ3066" i="2"/>
  <c r="AK3066" i="2"/>
  <c r="A3067" i="2"/>
  <c r="B3067" i="2"/>
  <c r="C3067" i="2"/>
  <c r="D3067" i="2"/>
  <c r="E3067" i="2"/>
  <c r="F3067" i="2"/>
  <c r="G3067" i="2"/>
  <c r="H3067" i="2"/>
  <c r="I3067" i="2"/>
  <c r="J3067" i="2"/>
  <c r="K3067" i="2"/>
  <c r="L3067" i="2"/>
  <c r="M3067" i="2"/>
  <c r="N3067" i="2"/>
  <c r="O3067" i="2"/>
  <c r="P3067" i="2"/>
  <c r="Q3067" i="2"/>
  <c r="R3067" i="2"/>
  <c r="S3067" i="2"/>
  <c r="T3067" i="2"/>
  <c r="U3067" i="2"/>
  <c r="V3067" i="2"/>
  <c r="W3067" i="2"/>
  <c r="X3067" i="2"/>
  <c r="Y3067" i="2"/>
  <c r="Z3067" i="2"/>
  <c r="AA3067" i="2"/>
  <c r="AB3067" i="2"/>
  <c r="AC3067" i="2"/>
  <c r="AD3067" i="2"/>
  <c r="AE3067" i="2"/>
  <c r="AF3067" i="2"/>
  <c r="AG3067" i="2"/>
  <c r="AH3067" i="2"/>
  <c r="AI3067" i="2"/>
  <c r="AJ3067" i="2"/>
  <c r="AK3067" i="2"/>
  <c r="A3068" i="2"/>
  <c r="B3068" i="2"/>
  <c r="C3068" i="2"/>
  <c r="D3068" i="2"/>
  <c r="E3068" i="2"/>
  <c r="F3068" i="2"/>
  <c r="G3068" i="2"/>
  <c r="H3068" i="2"/>
  <c r="I3068" i="2"/>
  <c r="J3068" i="2"/>
  <c r="K3068" i="2"/>
  <c r="L3068" i="2"/>
  <c r="M3068" i="2"/>
  <c r="N3068" i="2"/>
  <c r="O3068" i="2"/>
  <c r="P3068" i="2"/>
  <c r="Q3068" i="2"/>
  <c r="R3068" i="2"/>
  <c r="S3068" i="2"/>
  <c r="T3068" i="2"/>
  <c r="U3068" i="2"/>
  <c r="V3068" i="2"/>
  <c r="W3068" i="2"/>
  <c r="X3068" i="2"/>
  <c r="Y3068" i="2"/>
  <c r="Z3068" i="2"/>
  <c r="AA3068" i="2"/>
  <c r="AB3068" i="2"/>
  <c r="AC3068" i="2"/>
  <c r="AD3068" i="2"/>
  <c r="AE3068" i="2"/>
  <c r="AF3068" i="2"/>
  <c r="AG3068" i="2"/>
  <c r="AH3068" i="2"/>
  <c r="AI3068" i="2"/>
  <c r="AJ3068" i="2"/>
  <c r="AK3068" i="2"/>
  <c r="A3069" i="2"/>
  <c r="B3069" i="2"/>
  <c r="C3069" i="2"/>
  <c r="D3069" i="2"/>
  <c r="E3069" i="2"/>
  <c r="F3069" i="2"/>
  <c r="G3069" i="2"/>
  <c r="H3069" i="2"/>
  <c r="I3069" i="2"/>
  <c r="J3069" i="2"/>
  <c r="K3069" i="2"/>
  <c r="L3069" i="2"/>
  <c r="M3069" i="2"/>
  <c r="N3069" i="2"/>
  <c r="O3069" i="2"/>
  <c r="P3069" i="2"/>
  <c r="Q3069" i="2"/>
  <c r="R3069" i="2"/>
  <c r="S3069" i="2"/>
  <c r="T3069" i="2"/>
  <c r="U3069" i="2"/>
  <c r="V3069" i="2"/>
  <c r="W3069" i="2"/>
  <c r="X3069" i="2"/>
  <c r="Y3069" i="2"/>
  <c r="Z3069" i="2"/>
  <c r="AA3069" i="2"/>
  <c r="AB3069" i="2"/>
  <c r="AC3069" i="2"/>
  <c r="AD3069" i="2"/>
  <c r="AE3069" i="2"/>
  <c r="AF3069" i="2"/>
  <c r="AG3069" i="2"/>
  <c r="AH3069" i="2"/>
  <c r="AI3069" i="2"/>
  <c r="AJ3069" i="2"/>
  <c r="AK3069" i="2"/>
  <c r="A3070" i="2"/>
  <c r="B3070" i="2"/>
  <c r="C3070" i="2"/>
  <c r="D3070" i="2"/>
  <c r="E3070" i="2"/>
  <c r="F3070" i="2"/>
  <c r="G3070" i="2"/>
  <c r="H3070" i="2"/>
  <c r="I3070" i="2"/>
  <c r="J3070" i="2"/>
  <c r="K3070" i="2"/>
  <c r="L3070" i="2"/>
  <c r="M3070" i="2"/>
  <c r="N3070" i="2"/>
  <c r="O3070" i="2"/>
  <c r="P3070" i="2"/>
  <c r="Q3070" i="2"/>
  <c r="R3070" i="2"/>
  <c r="S3070" i="2"/>
  <c r="T3070" i="2"/>
  <c r="U3070" i="2"/>
  <c r="V3070" i="2"/>
  <c r="W3070" i="2"/>
  <c r="X3070" i="2"/>
  <c r="Y3070" i="2"/>
  <c r="Z3070" i="2"/>
  <c r="AA3070" i="2"/>
  <c r="AB3070" i="2"/>
  <c r="AC3070" i="2"/>
  <c r="AD3070" i="2"/>
  <c r="AE3070" i="2"/>
  <c r="AF3070" i="2"/>
  <c r="AG3070" i="2"/>
  <c r="AH3070" i="2"/>
  <c r="AI3070" i="2"/>
  <c r="AJ3070" i="2"/>
  <c r="AK3070" i="2"/>
  <c r="A3071" i="2"/>
  <c r="B3071" i="2"/>
  <c r="C3071" i="2"/>
  <c r="D3071" i="2"/>
  <c r="E3071" i="2"/>
  <c r="F3071" i="2"/>
  <c r="G3071" i="2"/>
  <c r="H3071" i="2"/>
  <c r="I3071" i="2"/>
  <c r="J3071" i="2"/>
  <c r="K3071" i="2"/>
  <c r="L3071" i="2"/>
  <c r="M3071" i="2"/>
  <c r="N3071" i="2"/>
  <c r="O3071" i="2"/>
  <c r="P3071" i="2"/>
  <c r="Q3071" i="2"/>
  <c r="R3071" i="2"/>
  <c r="S3071" i="2"/>
  <c r="T3071" i="2"/>
  <c r="U3071" i="2"/>
  <c r="V3071" i="2"/>
  <c r="W3071" i="2"/>
  <c r="X3071" i="2"/>
  <c r="Y3071" i="2"/>
  <c r="Z3071" i="2"/>
  <c r="AA3071" i="2"/>
  <c r="AB3071" i="2"/>
  <c r="AC3071" i="2"/>
  <c r="AD3071" i="2"/>
  <c r="AE3071" i="2"/>
  <c r="AF3071" i="2"/>
  <c r="AG3071" i="2"/>
  <c r="AH3071" i="2"/>
  <c r="AI3071" i="2"/>
  <c r="AJ3071" i="2"/>
  <c r="AK3071" i="2"/>
  <c r="A3072" i="2"/>
  <c r="B3072" i="2"/>
  <c r="C3072" i="2"/>
  <c r="D3072" i="2"/>
  <c r="E3072" i="2"/>
  <c r="F3072" i="2"/>
  <c r="G3072" i="2"/>
  <c r="H3072" i="2"/>
  <c r="I3072" i="2"/>
  <c r="J3072" i="2"/>
  <c r="K3072" i="2"/>
  <c r="L3072" i="2"/>
  <c r="M3072" i="2"/>
  <c r="N3072" i="2"/>
  <c r="O3072" i="2"/>
  <c r="P3072" i="2"/>
  <c r="Q3072" i="2"/>
  <c r="R3072" i="2"/>
  <c r="S3072" i="2"/>
  <c r="T3072" i="2"/>
  <c r="U3072" i="2"/>
  <c r="V3072" i="2"/>
  <c r="W3072" i="2"/>
  <c r="X3072" i="2"/>
  <c r="Y3072" i="2"/>
  <c r="Z3072" i="2"/>
  <c r="AA3072" i="2"/>
  <c r="AB3072" i="2"/>
  <c r="AC3072" i="2"/>
  <c r="AD3072" i="2"/>
  <c r="AE3072" i="2"/>
  <c r="AF3072" i="2"/>
  <c r="AG3072" i="2"/>
  <c r="AH3072" i="2"/>
  <c r="AI3072" i="2"/>
  <c r="AJ3072" i="2"/>
  <c r="AK3072" i="2"/>
  <c r="A3073" i="2"/>
  <c r="B3073" i="2"/>
  <c r="C3073" i="2"/>
  <c r="D3073" i="2"/>
  <c r="E3073" i="2"/>
  <c r="F3073" i="2"/>
  <c r="G3073" i="2"/>
  <c r="H3073" i="2"/>
  <c r="I3073" i="2"/>
  <c r="J3073" i="2"/>
  <c r="K3073" i="2"/>
  <c r="L3073" i="2"/>
  <c r="M3073" i="2"/>
  <c r="N3073" i="2"/>
  <c r="O3073" i="2"/>
  <c r="P3073" i="2"/>
  <c r="Q3073" i="2"/>
  <c r="R3073" i="2"/>
  <c r="S3073" i="2"/>
  <c r="T3073" i="2"/>
  <c r="U3073" i="2"/>
  <c r="V3073" i="2"/>
  <c r="W3073" i="2"/>
  <c r="X3073" i="2"/>
  <c r="Y3073" i="2"/>
  <c r="Z3073" i="2"/>
  <c r="AA3073" i="2"/>
  <c r="AB3073" i="2"/>
  <c r="AC3073" i="2"/>
  <c r="AD3073" i="2"/>
  <c r="AE3073" i="2"/>
  <c r="AF3073" i="2"/>
  <c r="AG3073" i="2"/>
  <c r="AH3073" i="2"/>
  <c r="AI3073" i="2"/>
  <c r="AJ3073" i="2"/>
  <c r="AK3073" i="2"/>
  <c r="A3074" i="2"/>
  <c r="B3074" i="2"/>
  <c r="C3074" i="2"/>
  <c r="D3074" i="2"/>
  <c r="E3074" i="2"/>
  <c r="F3074" i="2"/>
  <c r="G3074" i="2"/>
  <c r="H3074" i="2"/>
  <c r="I3074" i="2"/>
  <c r="J3074" i="2"/>
  <c r="K3074" i="2"/>
  <c r="L3074" i="2"/>
  <c r="M3074" i="2"/>
  <c r="N3074" i="2"/>
  <c r="O3074" i="2"/>
  <c r="P3074" i="2"/>
  <c r="Q3074" i="2"/>
  <c r="R3074" i="2"/>
  <c r="S3074" i="2"/>
  <c r="T3074" i="2"/>
  <c r="U3074" i="2"/>
  <c r="V3074" i="2"/>
  <c r="W3074" i="2"/>
  <c r="X3074" i="2"/>
  <c r="Y3074" i="2"/>
  <c r="Z3074" i="2"/>
  <c r="AA3074" i="2"/>
  <c r="AB3074" i="2"/>
  <c r="AC3074" i="2"/>
  <c r="AD3074" i="2"/>
  <c r="AE3074" i="2"/>
  <c r="AF3074" i="2"/>
  <c r="AG3074" i="2"/>
  <c r="AH3074" i="2"/>
  <c r="AI3074" i="2"/>
  <c r="AJ3074" i="2"/>
  <c r="AK3074" i="2"/>
  <c r="A3075" i="2"/>
  <c r="B3075" i="2"/>
  <c r="C3075" i="2"/>
  <c r="D3075" i="2"/>
  <c r="E3075" i="2"/>
  <c r="F3075" i="2"/>
  <c r="G3075" i="2"/>
  <c r="H3075" i="2"/>
  <c r="I3075" i="2"/>
  <c r="J3075" i="2"/>
  <c r="K3075" i="2"/>
  <c r="L3075" i="2"/>
  <c r="M3075" i="2"/>
  <c r="N3075" i="2"/>
  <c r="O3075" i="2"/>
  <c r="P3075" i="2"/>
  <c r="Q3075" i="2"/>
  <c r="R3075" i="2"/>
  <c r="S3075" i="2"/>
  <c r="T3075" i="2"/>
  <c r="U3075" i="2"/>
  <c r="V3075" i="2"/>
  <c r="W3075" i="2"/>
  <c r="X3075" i="2"/>
  <c r="Y3075" i="2"/>
  <c r="Z3075" i="2"/>
  <c r="AA3075" i="2"/>
  <c r="AB3075" i="2"/>
  <c r="AC3075" i="2"/>
  <c r="AD3075" i="2"/>
  <c r="AE3075" i="2"/>
  <c r="AF3075" i="2"/>
  <c r="AG3075" i="2"/>
  <c r="AH3075" i="2"/>
  <c r="AI3075" i="2"/>
  <c r="AJ3075" i="2"/>
  <c r="AK3075" i="2"/>
  <c r="A3076" i="2"/>
  <c r="B3076" i="2"/>
  <c r="C3076" i="2"/>
  <c r="D3076" i="2"/>
  <c r="E3076" i="2"/>
  <c r="F3076" i="2"/>
  <c r="G3076" i="2"/>
  <c r="H3076" i="2"/>
  <c r="I3076" i="2"/>
  <c r="J3076" i="2"/>
  <c r="K3076" i="2"/>
  <c r="L3076" i="2"/>
  <c r="M3076" i="2"/>
  <c r="N3076" i="2"/>
  <c r="O3076" i="2"/>
  <c r="P3076" i="2"/>
  <c r="Q3076" i="2"/>
  <c r="R3076" i="2"/>
  <c r="S3076" i="2"/>
  <c r="T3076" i="2"/>
  <c r="U3076" i="2"/>
  <c r="V3076" i="2"/>
  <c r="W3076" i="2"/>
  <c r="X3076" i="2"/>
  <c r="Y3076" i="2"/>
  <c r="Z3076" i="2"/>
  <c r="AA3076" i="2"/>
  <c r="AB3076" i="2"/>
  <c r="AC3076" i="2"/>
  <c r="AD3076" i="2"/>
  <c r="AE3076" i="2"/>
  <c r="AF3076" i="2"/>
  <c r="AG3076" i="2"/>
  <c r="AH3076" i="2"/>
  <c r="AI3076" i="2"/>
  <c r="AJ3076" i="2"/>
  <c r="AK3076" i="2"/>
  <c r="A3077" i="2"/>
  <c r="B3077" i="2"/>
  <c r="C3077" i="2"/>
  <c r="D3077" i="2"/>
  <c r="E3077" i="2"/>
  <c r="F3077" i="2"/>
  <c r="G3077" i="2"/>
  <c r="H3077" i="2"/>
  <c r="I3077" i="2"/>
  <c r="J3077" i="2"/>
  <c r="K3077" i="2"/>
  <c r="L3077" i="2"/>
  <c r="M3077" i="2"/>
  <c r="N3077" i="2"/>
  <c r="O3077" i="2"/>
  <c r="P3077" i="2"/>
  <c r="Q3077" i="2"/>
  <c r="R3077" i="2"/>
  <c r="S3077" i="2"/>
  <c r="T3077" i="2"/>
  <c r="U3077" i="2"/>
  <c r="V3077" i="2"/>
  <c r="W3077" i="2"/>
  <c r="X3077" i="2"/>
  <c r="Y3077" i="2"/>
  <c r="Z3077" i="2"/>
  <c r="AA3077" i="2"/>
  <c r="AB3077" i="2"/>
  <c r="AC3077" i="2"/>
  <c r="AD3077" i="2"/>
  <c r="AE3077" i="2"/>
  <c r="AF3077" i="2"/>
  <c r="AG3077" i="2"/>
  <c r="AH3077" i="2"/>
  <c r="AI3077" i="2"/>
  <c r="AJ3077" i="2"/>
  <c r="AK3077" i="2"/>
  <c r="A3078" i="2"/>
  <c r="B3078" i="2"/>
  <c r="C3078" i="2"/>
  <c r="D3078" i="2"/>
  <c r="E3078" i="2"/>
  <c r="F3078" i="2"/>
  <c r="G3078" i="2"/>
  <c r="H3078" i="2"/>
  <c r="I3078" i="2"/>
  <c r="J3078" i="2"/>
  <c r="K3078" i="2"/>
  <c r="L3078" i="2"/>
  <c r="M3078" i="2"/>
  <c r="N3078" i="2"/>
  <c r="O3078" i="2"/>
  <c r="P3078" i="2"/>
  <c r="Q3078" i="2"/>
  <c r="R3078" i="2"/>
  <c r="S3078" i="2"/>
  <c r="T3078" i="2"/>
  <c r="U3078" i="2"/>
  <c r="V3078" i="2"/>
  <c r="W3078" i="2"/>
  <c r="X3078" i="2"/>
  <c r="Y3078" i="2"/>
  <c r="Z3078" i="2"/>
  <c r="AA3078" i="2"/>
  <c r="AB3078" i="2"/>
  <c r="AC3078" i="2"/>
  <c r="AD3078" i="2"/>
  <c r="AE3078" i="2"/>
  <c r="AF3078" i="2"/>
  <c r="AG3078" i="2"/>
  <c r="AH3078" i="2"/>
  <c r="AI3078" i="2"/>
  <c r="AJ3078" i="2"/>
  <c r="AK3078" i="2"/>
  <c r="A3079" i="2"/>
  <c r="B3079" i="2"/>
  <c r="C3079" i="2"/>
  <c r="D3079" i="2"/>
  <c r="E3079" i="2"/>
  <c r="F3079" i="2"/>
  <c r="G3079" i="2"/>
  <c r="H3079" i="2"/>
  <c r="I3079" i="2"/>
  <c r="J3079" i="2"/>
  <c r="K3079" i="2"/>
  <c r="L3079" i="2"/>
  <c r="M3079" i="2"/>
  <c r="N3079" i="2"/>
  <c r="O3079" i="2"/>
  <c r="P3079" i="2"/>
  <c r="Q3079" i="2"/>
  <c r="R3079" i="2"/>
  <c r="S3079" i="2"/>
  <c r="T3079" i="2"/>
  <c r="U3079" i="2"/>
  <c r="V3079" i="2"/>
  <c r="W3079" i="2"/>
  <c r="X3079" i="2"/>
  <c r="Y3079" i="2"/>
  <c r="Z3079" i="2"/>
  <c r="AA3079" i="2"/>
  <c r="AB3079" i="2"/>
  <c r="AC3079" i="2"/>
  <c r="AD3079" i="2"/>
  <c r="AE3079" i="2"/>
  <c r="AF3079" i="2"/>
  <c r="AG3079" i="2"/>
  <c r="AH3079" i="2"/>
  <c r="AI3079" i="2"/>
  <c r="AJ3079" i="2"/>
  <c r="AK3079" i="2"/>
  <c r="A3080" i="2"/>
  <c r="B3080" i="2"/>
  <c r="C3080" i="2"/>
  <c r="D3080" i="2"/>
  <c r="E3080" i="2"/>
  <c r="F3080" i="2"/>
  <c r="G3080" i="2"/>
  <c r="H3080" i="2"/>
  <c r="I3080" i="2"/>
  <c r="J3080" i="2"/>
  <c r="K3080" i="2"/>
  <c r="L3080" i="2"/>
  <c r="M3080" i="2"/>
  <c r="N3080" i="2"/>
  <c r="O3080" i="2"/>
  <c r="P3080" i="2"/>
  <c r="Q3080" i="2"/>
  <c r="R3080" i="2"/>
  <c r="S3080" i="2"/>
  <c r="T3080" i="2"/>
  <c r="U3080" i="2"/>
  <c r="V3080" i="2"/>
  <c r="W3080" i="2"/>
  <c r="X3080" i="2"/>
  <c r="Y3080" i="2"/>
  <c r="Z3080" i="2"/>
  <c r="AA3080" i="2"/>
  <c r="AB3080" i="2"/>
  <c r="AC3080" i="2"/>
  <c r="AD3080" i="2"/>
  <c r="AE3080" i="2"/>
  <c r="AF3080" i="2"/>
  <c r="AG3080" i="2"/>
  <c r="AH3080" i="2"/>
  <c r="AI3080" i="2"/>
  <c r="AJ3080" i="2"/>
  <c r="AK3080" i="2"/>
  <c r="A3081" i="2"/>
  <c r="B3081" i="2"/>
  <c r="C3081" i="2"/>
  <c r="D3081" i="2"/>
  <c r="E3081" i="2"/>
  <c r="F3081" i="2"/>
  <c r="G3081" i="2"/>
  <c r="H3081" i="2"/>
  <c r="I3081" i="2"/>
  <c r="J3081" i="2"/>
  <c r="K3081" i="2"/>
  <c r="L3081" i="2"/>
  <c r="M3081" i="2"/>
  <c r="N3081" i="2"/>
  <c r="O3081" i="2"/>
  <c r="P3081" i="2"/>
  <c r="Q3081" i="2"/>
  <c r="R3081" i="2"/>
  <c r="S3081" i="2"/>
  <c r="T3081" i="2"/>
  <c r="U3081" i="2"/>
  <c r="V3081" i="2"/>
  <c r="W3081" i="2"/>
  <c r="X3081" i="2"/>
  <c r="Y3081" i="2"/>
  <c r="Z3081" i="2"/>
  <c r="AA3081" i="2"/>
  <c r="AB3081" i="2"/>
  <c r="AC3081" i="2"/>
  <c r="AD3081" i="2"/>
  <c r="AE3081" i="2"/>
  <c r="AF3081" i="2"/>
  <c r="AG3081" i="2"/>
  <c r="AH3081" i="2"/>
  <c r="AI3081" i="2"/>
  <c r="AJ3081" i="2"/>
  <c r="AK3081" i="2"/>
  <c r="A3082" i="2"/>
  <c r="B3082" i="2"/>
  <c r="C3082" i="2"/>
  <c r="D3082" i="2"/>
  <c r="E3082" i="2"/>
  <c r="F3082" i="2"/>
  <c r="G3082" i="2"/>
  <c r="H3082" i="2"/>
  <c r="I3082" i="2"/>
  <c r="J3082" i="2"/>
  <c r="K3082" i="2"/>
  <c r="L3082" i="2"/>
  <c r="M3082" i="2"/>
  <c r="N3082" i="2"/>
  <c r="O3082" i="2"/>
  <c r="P3082" i="2"/>
  <c r="Q3082" i="2"/>
  <c r="R3082" i="2"/>
  <c r="S3082" i="2"/>
  <c r="T3082" i="2"/>
  <c r="U3082" i="2"/>
  <c r="V3082" i="2"/>
  <c r="W3082" i="2"/>
  <c r="X3082" i="2"/>
  <c r="Y3082" i="2"/>
  <c r="Z3082" i="2"/>
  <c r="AA3082" i="2"/>
  <c r="AB3082" i="2"/>
  <c r="AC3082" i="2"/>
  <c r="AD3082" i="2"/>
  <c r="AE3082" i="2"/>
  <c r="AF3082" i="2"/>
  <c r="AG3082" i="2"/>
  <c r="AH3082" i="2"/>
  <c r="AI3082" i="2"/>
  <c r="AJ3082" i="2"/>
  <c r="AK3082" i="2"/>
  <c r="A3083" i="2"/>
  <c r="B3083" i="2"/>
  <c r="C3083" i="2"/>
  <c r="D3083" i="2"/>
  <c r="E3083" i="2"/>
  <c r="F3083" i="2"/>
  <c r="G3083" i="2"/>
  <c r="H3083" i="2"/>
  <c r="I3083" i="2"/>
  <c r="J3083" i="2"/>
  <c r="K3083" i="2"/>
  <c r="L3083" i="2"/>
  <c r="M3083" i="2"/>
  <c r="N3083" i="2"/>
  <c r="O3083" i="2"/>
  <c r="P3083" i="2"/>
  <c r="Q3083" i="2"/>
  <c r="R3083" i="2"/>
  <c r="S3083" i="2"/>
  <c r="T3083" i="2"/>
  <c r="U3083" i="2"/>
  <c r="V3083" i="2"/>
  <c r="W3083" i="2"/>
  <c r="X3083" i="2"/>
  <c r="Y3083" i="2"/>
  <c r="Z3083" i="2"/>
  <c r="AA3083" i="2"/>
  <c r="AB3083" i="2"/>
  <c r="AC3083" i="2"/>
  <c r="AD3083" i="2"/>
  <c r="AE3083" i="2"/>
  <c r="AF3083" i="2"/>
  <c r="AG3083" i="2"/>
  <c r="AH3083" i="2"/>
  <c r="AI3083" i="2"/>
  <c r="AJ3083" i="2"/>
  <c r="AK3083" i="2"/>
  <c r="A3084" i="2"/>
  <c r="B3084" i="2"/>
  <c r="C3084" i="2"/>
  <c r="D3084" i="2"/>
  <c r="E3084" i="2"/>
  <c r="F3084" i="2"/>
  <c r="G3084" i="2"/>
  <c r="H3084" i="2"/>
  <c r="I3084" i="2"/>
  <c r="J3084" i="2"/>
  <c r="K3084" i="2"/>
  <c r="L3084" i="2"/>
  <c r="M3084" i="2"/>
  <c r="N3084" i="2"/>
  <c r="O3084" i="2"/>
  <c r="P3084" i="2"/>
  <c r="Q3084" i="2"/>
  <c r="R3084" i="2"/>
  <c r="S3084" i="2"/>
  <c r="T3084" i="2"/>
  <c r="U3084" i="2"/>
  <c r="V3084" i="2"/>
  <c r="W3084" i="2"/>
  <c r="X3084" i="2"/>
  <c r="Y3084" i="2"/>
  <c r="Z3084" i="2"/>
  <c r="AA3084" i="2"/>
  <c r="AB3084" i="2"/>
  <c r="AC3084" i="2"/>
  <c r="AD3084" i="2"/>
  <c r="AE3084" i="2"/>
  <c r="AF3084" i="2"/>
  <c r="AG3084" i="2"/>
  <c r="AH3084" i="2"/>
  <c r="AI3084" i="2"/>
  <c r="AJ3084" i="2"/>
  <c r="AK3084" i="2"/>
  <c r="A3085" i="2"/>
  <c r="B3085" i="2"/>
  <c r="C3085" i="2"/>
  <c r="D3085" i="2"/>
  <c r="E3085" i="2"/>
  <c r="F3085" i="2"/>
  <c r="G3085" i="2"/>
  <c r="H3085" i="2"/>
  <c r="I3085" i="2"/>
  <c r="J3085" i="2"/>
  <c r="K3085" i="2"/>
  <c r="L3085" i="2"/>
  <c r="M3085" i="2"/>
  <c r="N3085" i="2"/>
  <c r="O3085" i="2"/>
  <c r="P3085" i="2"/>
  <c r="Q3085" i="2"/>
  <c r="R3085" i="2"/>
  <c r="S3085" i="2"/>
  <c r="T3085" i="2"/>
  <c r="U3085" i="2"/>
  <c r="V3085" i="2"/>
  <c r="W3085" i="2"/>
  <c r="X3085" i="2"/>
  <c r="Y3085" i="2"/>
  <c r="Z3085" i="2"/>
  <c r="AA3085" i="2"/>
  <c r="AB3085" i="2"/>
  <c r="AC3085" i="2"/>
  <c r="AD3085" i="2"/>
  <c r="AE3085" i="2"/>
  <c r="AF3085" i="2"/>
  <c r="AG3085" i="2"/>
  <c r="AH3085" i="2"/>
  <c r="AI3085" i="2"/>
  <c r="AJ3085" i="2"/>
  <c r="AK3085" i="2"/>
  <c r="A3086" i="2"/>
  <c r="B3086" i="2"/>
  <c r="C3086" i="2"/>
  <c r="D3086" i="2"/>
  <c r="E3086" i="2"/>
  <c r="F3086" i="2"/>
  <c r="G3086" i="2"/>
  <c r="H3086" i="2"/>
  <c r="I3086" i="2"/>
  <c r="J3086" i="2"/>
  <c r="K3086" i="2"/>
  <c r="L3086" i="2"/>
  <c r="M3086" i="2"/>
  <c r="N3086" i="2"/>
  <c r="O3086" i="2"/>
  <c r="P3086" i="2"/>
  <c r="Q3086" i="2"/>
  <c r="R3086" i="2"/>
  <c r="S3086" i="2"/>
  <c r="T3086" i="2"/>
  <c r="U3086" i="2"/>
  <c r="V3086" i="2"/>
  <c r="W3086" i="2"/>
  <c r="X3086" i="2"/>
  <c r="Y3086" i="2"/>
  <c r="Z3086" i="2"/>
  <c r="AA3086" i="2"/>
  <c r="AB3086" i="2"/>
  <c r="AC3086" i="2"/>
  <c r="AD3086" i="2"/>
  <c r="AE3086" i="2"/>
  <c r="AF3086" i="2"/>
  <c r="AG3086" i="2"/>
  <c r="AH3086" i="2"/>
  <c r="AI3086" i="2"/>
  <c r="AJ3086" i="2"/>
  <c r="AK3086" i="2"/>
  <c r="A3087" i="2"/>
  <c r="B3087" i="2"/>
  <c r="C3087" i="2"/>
  <c r="D3087" i="2"/>
  <c r="E3087" i="2"/>
  <c r="F3087" i="2"/>
  <c r="G3087" i="2"/>
  <c r="H3087" i="2"/>
  <c r="I3087" i="2"/>
  <c r="J3087" i="2"/>
  <c r="K3087" i="2"/>
  <c r="L3087" i="2"/>
  <c r="M3087" i="2"/>
  <c r="N3087" i="2"/>
  <c r="O3087" i="2"/>
  <c r="P3087" i="2"/>
  <c r="Q3087" i="2"/>
  <c r="R3087" i="2"/>
  <c r="S3087" i="2"/>
  <c r="T3087" i="2"/>
  <c r="U3087" i="2"/>
  <c r="V3087" i="2"/>
  <c r="W3087" i="2"/>
  <c r="X3087" i="2"/>
  <c r="Y3087" i="2"/>
  <c r="Z3087" i="2"/>
  <c r="AA3087" i="2"/>
  <c r="AB3087" i="2"/>
  <c r="AC3087" i="2"/>
  <c r="AD3087" i="2"/>
  <c r="AE3087" i="2"/>
  <c r="AF3087" i="2"/>
  <c r="AG3087" i="2"/>
  <c r="AH3087" i="2"/>
  <c r="AI3087" i="2"/>
  <c r="AJ3087" i="2"/>
  <c r="AK3087" i="2"/>
  <c r="A3088" i="2"/>
  <c r="B3088" i="2"/>
  <c r="C3088" i="2"/>
  <c r="D3088" i="2"/>
  <c r="E3088" i="2"/>
  <c r="F3088" i="2"/>
  <c r="G3088" i="2"/>
  <c r="H3088" i="2"/>
  <c r="I3088" i="2"/>
  <c r="J3088" i="2"/>
  <c r="K3088" i="2"/>
  <c r="L3088" i="2"/>
  <c r="M3088" i="2"/>
  <c r="N3088" i="2"/>
  <c r="O3088" i="2"/>
  <c r="P3088" i="2"/>
  <c r="Q3088" i="2"/>
  <c r="R3088" i="2"/>
  <c r="S3088" i="2"/>
  <c r="T3088" i="2"/>
  <c r="U3088" i="2"/>
  <c r="V3088" i="2"/>
  <c r="W3088" i="2"/>
  <c r="X3088" i="2"/>
  <c r="Y3088" i="2"/>
  <c r="Z3088" i="2"/>
  <c r="AA3088" i="2"/>
  <c r="AB3088" i="2"/>
  <c r="AC3088" i="2"/>
  <c r="AD3088" i="2"/>
  <c r="AE3088" i="2"/>
  <c r="AF3088" i="2"/>
  <c r="AG3088" i="2"/>
  <c r="AH3088" i="2"/>
  <c r="AI3088" i="2"/>
  <c r="AJ3088" i="2"/>
  <c r="AK3088" i="2"/>
  <c r="A3089" i="2"/>
  <c r="B3089" i="2"/>
  <c r="C3089" i="2"/>
  <c r="D3089" i="2"/>
  <c r="E3089" i="2"/>
  <c r="F3089" i="2"/>
  <c r="G3089" i="2"/>
  <c r="H3089" i="2"/>
  <c r="I3089" i="2"/>
  <c r="J3089" i="2"/>
  <c r="K3089" i="2"/>
  <c r="L3089" i="2"/>
  <c r="M3089" i="2"/>
  <c r="N3089" i="2"/>
  <c r="O3089" i="2"/>
  <c r="P3089" i="2"/>
  <c r="Q3089" i="2"/>
  <c r="R3089" i="2"/>
  <c r="S3089" i="2"/>
  <c r="T3089" i="2"/>
  <c r="U3089" i="2"/>
  <c r="V3089" i="2"/>
  <c r="W3089" i="2"/>
  <c r="X3089" i="2"/>
  <c r="Y3089" i="2"/>
  <c r="Z3089" i="2"/>
  <c r="AA3089" i="2"/>
  <c r="AB3089" i="2"/>
  <c r="AC3089" i="2"/>
  <c r="AD3089" i="2"/>
  <c r="AE3089" i="2"/>
  <c r="AF3089" i="2"/>
  <c r="AG3089" i="2"/>
  <c r="AH3089" i="2"/>
  <c r="AI3089" i="2"/>
  <c r="AJ3089" i="2"/>
  <c r="AK3089" i="2"/>
  <c r="A3090" i="2"/>
  <c r="B3090" i="2"/>
  <c r="C3090" i="2"/>
  <c r="D3090" i="2"/>
  <c r="E3090" i="2"/>
  <c r="F3090" i="2"/>
  <c r="G3090" i="2"/>
  <c r="H3090" i="2"/>
  <c r="I3090" i="2"/>
  <c r="J3090" i="2"/>
  <c r="K3090" i="2"/>
  <c r="L3090" i="2"/>
  <c r="M3090" i="2"/>
  <c r="N3090" i="2"/>
  <c r="O3090" i="2"/>
  <c r="P3090" i="2"/>
  <c r="Q3090" i="2"/>
  <c r="R3090" i="2"/>
  <c r="S3090" i="2"/>
  <c r="T3090" i="2"/>
  <c r="U3090" i="2"/>
  <c r="V3090" i="2"/>
  <c r="W3090" i="2"/>
  <c r="X3090" i="2"/>
  <c r="Y3090" i="2"/>
  <c r="Z3090" i="2"/>
  <c r="AA3090" i="2"/>
  <c r="AB3090" i="2"/>
  <c r="AC3090" i="2"/>
  <c r="AD3090" i="2"/>
  <c r="AE3090" i="2"/>
  <c r="AF3090" i="2"/>
  <c r="AG3090" i="2"/>
  <c r="AH3090" i="2"/>
  <c r="AI3090" i="2"/>
  <c r="AJ3090" i="2"/>
  <c r="AK3090" i="2"/>
  <c r="A3091" i="2"/>
  <c r="B3091" i="2"/>
  <c r="C3091" i="2"/>
  <c r="D3091" i="2"/>
  <c r="E3091" i="2"/>
  <c r="F3091" i="2"/>
  <c r="G3091" i="2"/>
  <c r="H3091" i="2"/>
  <c r="I3091" i="2"/>
  <c r="J3091" i="2"/>
  <c r="K3091" i="2"/>
  <c r="L3091" i="2"/>
  <c r="M3091" i="2"/>
  <c r="N3091" i="2"/>
  <c r="O3091" i="2"/>
  <c r="P3091" i="2"/>
  <c r="Q3091" i="2"/>
  <c r="R3091" i="2"/>
  <c r="S3091" i="2"/>
  <c r="T3091" i="2"/>
  <c r="U3091" i="2"/>
  <c r="V3091" i="2"/>
  <c r="W3091" i="2"/>
  <c r="X3091" i="2"/>
  <c r="Y3091" i="2"/>
  <c r="Z3091" i="2"/>
  <c r="AA3091" i="2"/>
  <c r="AB3091" i="2"/>
  <c r="AC3091" i="2"/>
  <c r="AD3091" i="2"/>
  <c r="AE3091" i="2"/>
  <c r="AF3091" i="2"/>
  <c r="AG3091" i="2"/>
  <c r="AH3091" i="2"/>
  <c r="AI3091" i="2"/>
  <c r="AJ3091" i="2"/>
  <c r="AK3091" i="2"/>
  <c r="A3092" i="2"/>
  <c r="B3092" i="2"/>
  <c r="C3092" i="2"/>
  <c r="D3092" i="2"/>
  <c r="E3092" i="2"/>
  <c r="F3092" i="2"/>
  <c r="G3092" i="2"/>
  <c r="H3092" i="2"/>
  <c r="I3092" i="2"/>
  <c r="J3092" i="2"/>
  <c r="K3092" i="2"/>
  <c r="L3092" i="2"/>
  <c r="M3092" i="2"/>
  <c r="N3092" i="2"/>
  <c r="O3092" i="2"/>
  <c r="P3092" i="2"/>
  <c r="Q3092" i="2"/>
  <c r="R3092" i="2"/>
  <c r="S3092" i="2"/>
  <c r="T3092" i="2"/>
  <c r="U3092" i="2"/>
  <c r="V3092" i="2"/>
  <c r="W3092" i="2"/>
  <c r="X3092" i="2"/>
  <c r="Y3092" i="2"/>
  <c r="Z3092" i="2"/>
  <c r="AA3092" i="2"/>
  <c r="AB3092" i="2"/>
  <c r="AC3092" i="2"/>
  <c r="AD3092" i="2"/>
  <c r="AE3092" i="2"/>
  <c r="AF3092" i="2"/>
  <c r="AG3092" i="2"/>
  <c r="AH3092" i="2"/>
  <c r="AI3092" i="2"/>
  <c r="AJ3092" i="2"/>
  <c r="AK3092" i="2"/>
  <c r="A3093" i="2"/>
  <c r="B3093" i="2"/>
  <c r="C3093" i="2"/>
  <c r="D3093" i="2"/>
  <c r="E3093" i="2"/>
  <c r="F3093" i="2"/>
  <c r="G3093" i="2"/>
  <c r="H3093" i="2"/>
  <c r="I3093" i="2"/>
  <c r="J3093" i="2"/>
  <c r="K3093" i="2"/>
  <c r="L3093" i="2"/>
  <c r="M3093" i="2"/>
  <c r="N3093" i="2"/>
  <c r="O3093" i="2"/>
  <c r="P3093" i="2"/>
  <c r="Q3093" i="2"/>
  <c r="R3093" i="2"/>
  <c r="S3093" i="2"/>
  <c r="T3093" i="2"/>
  <c r="U3093" i="2"/>
  <c r="V3093" i="2"/>
  <c r="W3093" i="2"/>
  <c r="X3093" i="2"/>
  <c r="Y3093" i="2"/>
  <c r="Z3093" i="2"/>
  <c r="AA3093" i="2"/>
  <c r="AB3093" i="2"/>
  <c r="AC3093" i="2"/>
  <c r="AD3093" i="2"/>
  <c r="AE3093" i="2"/>
  <c r="AF3093" i="2"/>
  <c r="AG3093" i="2"/>
  <c r="AH3093" i="2"/>
  <c r="AI3093" i="2"/>
  <c r="AJ3093" i="2"/>
  <c r="AK3093" i="2"/>
  <c r="A3094" i="2"/>
  <c r="B3094" i="2"/>
  <c r="C3094" i="2"/>
  <c r="D3094" i="2"/>
  <c r="E3094" i="2"/>
  <c r="F3094" i="2"/>
  <c r="G3094" i="2"/>
  <c r="H3094" i="2"/>
  <c r="I3094" i="2"/>
  <c r="J3094" i="2"/>
  <c r="K3094" i="2"/>
  <c r="L3094" i="2"/>
  <c r="M3094" i="2"/>
  <c r="N3094" i="2"/>
  <c r="O3094" i="2"/>
  <c r="P3094" i="2"/>
  <c r="Q3094" i="2"/>
  <c r="R3094" i="2"/>
  <c r="S3094" i="2"/>
  <c r="T3094" i="2"/>
  <c r="U3094" i="2"/>
  <c r="V3094" i="2"/>
  <c r="W3094" i="2"/>
  <c r="X3094" i="2"/>
  <c r="Y3094" i="2"/>
  <c r="Z3094" i="2"/>
  <c r="AA3094" i="2"/>
  <c r="AB3094" i="2"/>
  <c r="AC3094" i="2"/>
  <c r="AD3094" i="2"/>
  <c r="AE3094" i="2"/>
  <c r="AF3094" i="2"/>
  <c r="AG3094" i="2"/>
  <c r="AH3094" i="2"/>
  <c r="AI3094" i="2"/>
  <c r="AJ3094" i="2"/>
  <c r="AK3094" i="2"/>
  <c r="A3095" i="2"/>
  <c r="B3095" i="2"/>
  <c r="C3095" i="2"/>
  <c r="D3095" i="2"/>
  <c r="E3095" i="2"/>
  <c r="F3095" i="2"/>
  <c r="G3095" i="2"/>
  <c r="H3095" i="2"/>
  <c r="I3095" i="2"/>
  <c r="J3095" i="2"/>
  <c r="K3095" i="2"/>
  <c r="L3095" i="2"/>
  <c r="M3095" i="2"/>
  <c r="N3095" i="2"/>
  <c r="O3095" i="2"/>
  <c r="P3095" i="2"/>
  <c r="Q3095" i="2"/>
  <c r="R3095" i="2"/>
  <c r="S3095" i="2"/>
  <c r="T3095" i="2"/>
  <c r="U3095" i="2"/>
  <c r="V3095" i="2"/>
  <c r="W3095" i="2"/>
  <c r="X3095" i="2"/>
  <c r="Y3095" i="2"/>
  <c r="Z3095" i="2"/>
  <c r="AA3095" i="2"/>
  <c r="AB3095" i="2"/>
  <c r="AC3095" i="2"/>
  <c r="AD3095" i="2"/>
  <c r="AE3095" i="2"/>
  <c r="AF3095" i="2"/>
  <c r="AG3095" i="2"/>
  <c r="AH3095" i="2"/>
  <c r="AI3095" i="2"/>
  <c r="AJ3095" i="2"/>
  <c r="AK3095" i="2"/>
  <c r="A3096" i="2"/>
  <c r="B3096" i="2"/>
  <c r="C3096" i="2"/>
  <c r="D3096" i="2"/>
  <c r="E3096" i="2"/>
  <c r="F3096" i="2"/>
  <c r="G3096" i="2"/>
  <c r="H3096" i="2"/>
  <c r="I3096" i="2"/>
  <c r="J3096" i="2"/>
  <c r="K3096" i="2"/>
  <c r="L3096" i="2"/>
  <c r="M3096" i="2"/>
  <c r="N3096" i="2"/>
  <c r="O3096" i="2"/>
  <c r="P3096" i="2"/>
  <c r="Q3096" i="2"/>
  <c r="R3096" i="2"/>
  <c r="S3096" i="2"/>
  <c r="T3096" i="2"/>
  <c r="U3096" i="2"/>
  <c r="V3096" i="2"/>
  <c r="W3096" i="2"/>
  <c r="X3096" i="2"/>
  <c r="Y3096" i="2"/>
  <c r="Z3096" i="2"/>
  <c r="AA3096" i="2"/>
  <c r="AB3096" i="2"/>
  <c r="AC3096" i="2"/>
  <c r="AD3096" i="2"/>
  <c r="AE3096" i="2"/>
  <c r="AF3096" i="2"/>
  <c r="AG3096" i="2"/>
  <c r="AH3096" i="2"/>
  <c r="AI3096" i="2"/>
  <c r="AJ3096" i="2"/>
  <c r="AK3096" i="2"/>
  <c r="A3097" i="2"/>
  <c r="B3097" i="2"/>
  <c r="C3097" i="2"/>
  <c r="D3097" i="2"/>
  <c r="E3097" i="2"/>
  <c r="F3097" i="2"/>
  <c r="G3097" i="2"/>
  <c r="H3097" i="2"/>
  <c r="I3097" i="2"/>
  <c r="J3097" i="2"/>
  <c r="K3097" i="2"/>
  <c r="L3097" i="2"/>
  <c r="M3097" i="2"/>
  <c r="N3097" i="2"/>
  <c r="O3097" i="2"/>
  <c r="P3097" i="2"/>
  <c r="Q3097" i="2"/>
  <c r="R3097" i="2"/>
  <c r="S3097" i="2"/>
  <c r="T3097" i="2"/>
  <c r="U3097" i="2"/>
  <c r="V3097" i="2"/>
  <c r="W3097" i="2"/>
  <c r="X3097" i="2"/>
  <c r="Y3097" i="2"/>
  <c r="Z3097" i="2"/>
  <c r="AA3097" i="2"/>
  <c r="AB3097" i="2"/>
  <c r="AC3097" i="2"/>
  <c r="AD3097" i="2"/>
  <c r="AE3097" i="2"/>
  <c r="AF3097" i="2"/>
  <c r="AG3097" i="2"/>
  <c r="AH3097" i="2"/>
  <c r="AI3097" i="2"/>
  <c r="AJ3097" i="2"/>
  <c r="AK3097" i="2"/>
  <c r="A3098" i="2"/>
  <c r="B3098" i="2"/>
  <c r="C3098" i="2"/>
  <c r="D3098" i="2"/>
  <c r="E3098" i="2"/>
  <c r="F3098" i="2"/>
  <c r="G3098" i="2"/>
  <c r="H3098" i="2"/>
  <c r="I3098" i="2"/>
  <c r="J3098" i="2"/>
  <c r="K3098" i="2"/>
  <c r="L3098" i="2"/>
  <c r="M3098" i="2"/>
  <c r="N3098" i="2"/>
  <c r="O3098" i="2"/>
  <c r="P3098" i="2"/>
  <c r="Q3098" i="2"/>
  <c r="R3098" i="2"/>
  <c r="S3098" i="2"/>
  <c r="T3098" i="2"/>
  <c r="U3098" i="2"/>
  <c r="V3098" i="2"/>
  <c r="W3098" i="2"/>
  <c r="X3098" i="2"/>
  <c r="Y3098" i="2"/>
  <c r="Z3098" i="2"/>
  <c r="AA3098" i="2"/>
  <c r="AB3098" i="2"/>
  <c r="AC3098" i="2"/>
  <c r="AD3098" i="2"/>
  <c r="AE3098" i="2"/>
  <c r="AF3098" i="2"/>
  <c r="AG3098" i="2"/>
  <c r="AH3098" i="2"/>
  <c r="AI3098" i="2"/>
  <c r="AJ3098" i="2"/>
  <c r="AK3098" i="2"/>
  <c r="A3099" i="2"/>
  <c r="B3099" i="2"/>
  <c r="C3099" i="2"/>
  <c r="D3099" i="2"/>
  <c r="E3099" i="2"/>
  <c r="F3099" i="2"/>
  <c r="G3099" i="2"/>
  <c r="H3099" i="2"/>
  <c r="I3099" i="2"/>
  <c r="J3099" i="2"/>
  <c r="K3099" i="2"/>
  <c r="L3099" i="2"/>
  <c r="M3099" i="2"/>
  <c r="N3099" i="2"/>
  <c r="O3099" i="2"/>
  <c r="P3099" i="2"/>
  <c r="Q3099" i="2"/>
  <c r="R3099" i="2"/>
  <c r="S3099" i="2"/>
  <c r="T3099" i="2"/>
  <c r="U3099" i="2"/>
  <c r="V3099" i="2"/>
  <c r="W3099" i="2"/>
  <c r="X3099" i="2"/>
  <c r="Y3099" i="2"/>
  <c r="Z3099" i="2"/>
  <c r="AA3099" i="2"/>
  <c r="AB3099" i="2"/>
  <c r="AC3099" i="2"/>
  <c r="AD3099" i="2"/>
  <c r="AE3099" i="2"/>
  <c r="AF3099" i="2"/>
  <c r="AG3099" i="2"/>
  <c r="AH3099" i="2"/>
  <c r="AI3099" i="2"/>
  <c r="AJ3099" i="2"/>
  <c r="AK3099" i="2"/>
  <c r="A3100" i="2"/>
  <c r="B3100" i="2"/>
  <c r="C3100" i="2"/>
  <c r="D3100" i="2"/>
  <c r="E3100" i="2"/>
  <c r="F3100" i="2"/>
  <c r="G3100" i="2"/>
  <c r="H3100" i="2"/>
  <c r="I3100" i="2"/>
  <c r="J3100" i="2"/>
  <c r="K3100" i="2"/>
  <c r="L3100" i="2"/>
  <c r="M3100" i="2"/>
  <c r="N3100" i="2"/>
  <c r="O3100" i="2"/>
  <c r="P3100" i="2"/>
  <c r="Q3100" i="2"/>
  <c r="R3100" i="2"/>
  <c r="S3100" i="2"/>
  <c r="T3100" i="2"/>
  <c r="U3100" i="2"/>
  <c r="V3100" i="2"/>
  <c r="W3100" i="2"/>
  <c r="X3100" i="2"/>
  <c r="Y3100" i="2"/>
  <c r="Z3100" i="2"/>
  <c r="AA3100" i="2"/>
  <c r="AB3100" i="2"/>
  <c r="AC3100" i="2"/>
  <c r="AD3100" i="2"/>
  <c r="AE3100" i="2"/>
  <c r="AF3100" i="2"/>
  <c r="AG3100" i="2"/>
  <c r="AH3100" i="2"/>
  <c r="AI3100" i="2"/>
  <c r="AJ3100" i="2"/>
  <c r="AK3100" i="2"/>
  <c r="A3101" i="2"/>
  <c r="B3101" i="2"/>
  <c r="C3101" i="2"/>
  <c r="D3101" i="2"/>
  <c r="E3101" i="2"/>
  <c r="F3101" i="2"/>
  <c r="G3101" i="2"/>
  <c r="H3101" i="2"/>
  <c r="I3101" i="2"/>
  <c r="J3101" i="2"/>
  <c r="K3101" i="2"/>
  <c r="L3101" i="2"/>
  <c r="M3101" i="2"/>
  <c r="N3101" i="2"/>
  <c r="O3101" i="2"/>
  <c r="P3101" i="2"/>
  <c r="Q3101" i="2"/>
  <c r="R3101" i="2"/>
  <c r="S3101" i="2"/>
  <c r="T3101" i="2"/>
  <c r="U3101" i="2"/>
  <c r="V3101" i="2"/>
  <c r="W3101" i="2"/>
  <c r="X3101" i="2"/>
  <c r="Y3101" i="2"/>
  <c r="Z3101" i="2"/>
  <c r="AA3101" i="2"/>
  <c r="AB3101" i="2"/>
  <c r="AC3101" i="2"/>
  <c r="AD3101" i="2"/>
  <c r="AE3101" i="2"/>
  <c r="AF3101" i="2"/>
  <c r="AG3101" i="2"/>
  <c r="AH3101" i="2"/>
  <c r="AI3101" i="2"/>
  <c r="AJ3101" i="2"/>
  <c r="AK3101" i="2"/>
  <c r="A4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A5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A6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A7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A9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A10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A11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A13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A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A15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A16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A17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A18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A19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A20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A21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A22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A23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A3" i="2"/>
  <c r="A2" i="1"/>
  <c r="AK2381" i="1"/>
  <c r="AJ2380" i="1"/>
  <c r="AI2379" i="1"/>
  <c r="AH2378" i="1"/>
  <c r="AG2377" i="1"/>
  <c r="AF2376" i="1"/>
  <c r="AE2375" i="1"/>
  <c r="AD2375" i="1"/>
  <c r="AC2375" i="1"/>
  <c r="AB2375" i="1"/>
  <c r="AA2375" i="1"/>
  <c r="Z2374" i="1"/>
  <c r="Y2374" i="1"/>
  <c r="X2374" i="1"/>
  <c r="W2374" i="1"/>
  <c r="V2374" i="1"/>
  <c r="U2374" i="1"/>
  <c r="T2374" i="1"/>
  <c r="S2374" i="1"/>
  <c r="R2374" i="1"/>
  <c r="Q2374" i="1"/>
  <c r="P2374" i="1"/>
  <c r="O2374" i="1"/>
  <c r="N2374" i="1"/>
  <c r="M2374" i="1"/>
  <c r="L2374" i="1"/>
  <c r="K2374" i="1"/>
  <c r="J2374" i="1"/>
  <c r="I2374" i="1"/>
  <c r="H2374" i="1"/>
  <c r="G2374" i="1"/>
  <c r="F2374" i="1"/>
  <c r="E2374" i="1"/>
  <c r="D2374" i="1"/>
  <c r="C2374" i="1"/>
  <c r="B2374" i="1"/>
  <c r="N2" i="1"/>
  <c r="AK4" i="1"/>
  <c r="AK2382" i="1"/>
  <c r="AJ2381" i="1"/>
  <c r="AI2380" i="1"/>
  <c r="AH2379" i="1"/>
  <c r="AG2378" i="1"/>
  <c r="AF2377" i="1"/>
  <c r="AE2376" i="1"/>
  <c r="AD2376" i="1"/>
  <c r="AC2376" i="1"/>
  <c r="AB2376" i="1"/>
  <c r="AA2376" i="1"/>
  <c r="Z2375" i="1"/>
  <c r="Y2375" i="1"/>
  <c r="X2375" i="1"/>
  <c r="W2375" i="1"/>
  <c r="V2375" i="1"/>
  <c r="U2375" i="1"/>
  <c r="T2375" i="1"/>
  <c r="S2375" i="1"/>
  <c r="R2375" i="1"/>
  <c r="Q2375" i="1"/>
  <c r="P2375" i="1"/>
  <c r="O2375" i="1"/>
  <c r="N2375" i="1"/>
  <c r="M2375" i="1"/>
  <c r="L2375" i="1"/>
  <c r="K2375" i="1"/>
  <c r="J2375" i="1"/>
  <c r="I2375" i="1"/>
  <c r="H2375" i="1"/>
  <c r="G2375" i="1"/>
  <c r="F2375" i="1"/>
  <c r="E2375" i="1"/>
  <c r="D2375" i="1"/>
  <c r="C2375" i="1"/>
  <c r="B2375" i="1"/>
  <c r="O2" i="1"/>
  <c r="AE2" i="1"/>
  <c r="AK2367" i="1"/>
  <c r="AJ4" i="1"/>
  <c r="AJ2382" i="1"/>
  <c r="AI2381" i="1"/>
  <c r="AH2380" i="1"/>
  <c r="AG2379" i="1"/>
  <c r="AF2378" i="1"/>
  <c r="AE2377" i="1"/>
  <c r="AD2377" i="1"/>
  <c r="AC2377" i="1"/>
  <c r="AB2377" i="1"/>
  <c r="AA2377" i="1"/>
  <c r="Z2376" i="1"/>
  <c r="Y2376" i="1"/>
  <c r="X2376" i="1"/>
  <c r="W2376" i="1"/>
  <c r="V2376" i="1"/>
  <c r="U2376" i="1"/>
  <c r="T2376" i="1"/>
  <c r="S2376" i="1"/>
  <c r="R2376" i="1"/>
  <c r="Q2376" i="1"/>
  <c r="AK2368" i="1"/>
  <c r="AJ2367" i="1"/>
  <c r="AI4" i="1"/>
  <c r="AI2382" i="1"/>
  <c r="AH2381" i="1"/>
  <c r="AG2380" i="1"/>
  <c r="AF2379" i="1"/>
  <c r="AE2378" i="1"/>
  <c r="AD2378" i="1"/>
  <c r="AC2378" i="1"/>
  <c r="AB2378" i="1"/>
  <c r="AA2378" i="1"/>
  <c r="Z2377" i="1"/>
  <c r="Y2377" i="1"/>
  <c r="X2377" i="1"/>
  <c r="W2377" i="1"/>
  <c r="V2377" i="1"/>
  <c r="U2377" i="1"/>
  <c r="T2377" i="1"/>
  <c r="S2377" i="1"/>
  <c r="R2377" i="1"/>
  <c r="Q2377" i="1"/>
  <c r="P2377" i="1"/>
  <c r="O2377" i="1"/>
  <c r="N2377" i="1"/>
  <c r="M2377" i="1"/>
  <c r="L2377" i="1"/>
  <c r="K2377" i="1"/>
  <c r="J2377" i="1"/>
  <c r="I2377" i="1"/>
  <c r="H2377" i="1"/>
  <c r="G2377" i="1"/>
  <c r="F2377" i="1"/>
  <c r="E2377" i="1"/>
  <c r="D2377" i="1"/>
  <c r="C2377" i="1"/>
  <c r="B2377" i="1"/>
  <c r="Q2" i="1"/>
  <c r="AG2" i="1"/>
  <c r="AK2369" i="1"/>
  <c r="AJ2368" i="1"/>
  <c r="AI2367" i="1"/>
  <c r="AH4" i="1"/>
  <c r="AH2382" i="1"/>
  <c r="AG2381" i="1"/>
  <c r="AF2380" i="1"/>
  <c r="AE2379" i="1"/>
  <c r="AD2379" i="1"/>
  <c r="AC2379" i="1"/>
  <c r="AB2379" i="1"/>
  <c r="AA2379" i="1"/>
  <c r="Z2378" i="1"/>
  <c r="Y2378" i="1"/>
  <c r="X2378" i="1"/>
  <c r="W2378" i="1"/>
  <c r="V2378" i="1"/>
  <c r="U2378" i="1"/>
  <c r="T2378" i="1"/>
  <c r="S2378" i="1"/>
  <c r="R2378" i="1"/>
  <c r="Q2378" i="1"/>
  <c r="P2378" i="1"/>
  <c r="O2378" i="1"/>
  <c r="N2378" i="1"/>
  <c r="M2378" i="1"/>
  <c r="L2378" i="1"/>
  <c r="K2378" i="1"/>
  <c r="J2378" i="1"/>
  <c r="I2378" i="1"/>
  <c r="H2378" i="1"/>
  <c r="G2378" i="1"/>
  <c r="F2378" i="1"/>
  <c r="E2378" i="1"/>
  <c r="D2378" i="1"/>
  <c r="C2378" i="1"/>
  <c r="B2378" i="1"/>
  <c r="B2" i="1"/>
  <c r="R2" i="1"/>
  <c r="AH2" i="1"/>
  <c r="AK2370" i="1"/>
  <c r="AJ2369" i="1"/>
  <c r="AI2368" i="1"/>
  <c r="AH2367" i="1"/>
  <c r="AG4" i="1"/>
  <c r="AG2382" i="1"/>
  <c r="AF2381" i="1"/>
  <c r="AE2380" i="1"/>
  <c r="AD2380" i="1"/>
  <c r="AC2380" i="1"/>
  <c r="AB2380" i="1"/>
  <c r="AA2380" i="1"/>
  <c r="Z2379" i="1"/>
  <c r="Y2379" i="1"/>
  <c r="X2379" i="1"/>
  <c r="W2379" i="1"/>
  <c r="V2379" i="1"/>
  <c r="U2379" i="1"/>
  <c r="T2379" i="1"/>
  <c r="S2379" i="1"/>
  <c r="R2379" i="1"/>
  <c r="Q2379" i="1"/>
  <c r="P2379" i="1"/>
  <c r="O2379" i="1"/>
  <c r="N2379" i="1"/>
  <c r="M2379" i="1"/>
  <c r="L2379" i="1"/>
  <c r="K2379" i="1"/>
  <c r="J2379" i="1"/>
  <c r="I2379" i="1"/>
  <c r="H2379" i="1"/>
  <c r="G2379" i="1"/>
  <c r="F2379" i="1"/>
  <c r="E2379" i="1"/>
  <c r="D2379" i="1"/>
  <c r="C2379" i="1"/>
  <c r="B2379" i="1"/>
  <c r="C2" i="1"/>
  <c r="S2" i="1"/>
  <c r="AI2" i="1"/>
  <c r="AK2371" i="1"/>
  <c r="AJ2370" i="1"/>
  <c r="AI2369" i="1"/>
  <c r="AH2368" i="1"/>
  <c r="AG2367" i="1"/>
  <c r="AF4" i="1"/>
  <c r="AF2382" i="1"/>
  <c r="AE2381" i="1"/>
  <c r="AD2381" i="1"/>
  <c r="AC2381" i="1"/>
  <c r="AB2381" i="1"/>
  <c r="AA2381" i="1"/>
  <c r="Z2380" i="1"/>
  <c r="Y2380" i="1"/>
  <c r="X2380" i="1"/>
  <c r="W2380" i="1"/>
  <c r="V2380" i="1"/>
  <c r="U2380" i="1"/>
  <c r="T2380" i="1"/>
  <c r="S2380" i="1"/>
  <c r="R2380" i="1"/>
  <c r="Q2380" i="1"/>
  <c r="P2380" i="1"/>
  <c r="O2380" i="1"/>
  <c r="N2380" i="1"/>
  <c r="M2380" i="1"/>
  <c r="L2380" i="1"/>
  <c r="K2380" i="1"/>
  <c r="J2380" i="1"/>
  <c r="I2380" i="1"/>
  <c r="H2380" i="1"/>
  <c r="G2380" i="1"/>
  <c r="F2380" i="1"/>
  <c r="E2380" i="1"/>
  <c r="D2380" i="1"/>
  <c r="C2380" i="1"/>
  <c r="B2380" i="1"/>
  <c r="D2" i="1"/>
  <c r="T2" i="1"/>
  <c r="AJ2" i="1"/>
  <c r="AK2372" i="1"/>
  <c r="AJ2371" i="1"/>
  <c r="AI2370" i="1"/>
  <c r="AH2369" i="1"/>
  <c r="AG2368" i="1"/>
  <c r="AF2367" i="1"/>
  <c r="AE4" i="1"/>
  <c r="AE2382" i="1"/>
  <c r="AD2382" i="1"/>
  <c r="AC2382" i="1"/>
  <c r="AB2382" i="1"/>
  <c r="AA2382" i="1"/>
  <c r="Z2381" i="1"/>
  <c r="Y2381" i="1"/>
  <c r="X2381" i="1"/>
  <c r="W2381" i="1"/>
  <c r="V2381" i="1"/>
  <c r="U2381" i="1"/>
  <c r="T2381" i="1"/>
  <c r="S2381" i="1"/>
  <c r="R2381" i="1"/>
  <c r="Q2381" i="1"/>
  <c r="P2381" i="1"/>
  <c r="O2381" i="1"/>
  <c r="N2381" i="1"/>
  <c r="M2381" i="1"/>
  <c r="L2381" i="1"/>
  <c r="K2381" i="1"/>
  <c r="J2381" i="1"/>
  <c r="I2381" i="1"/>
  <c r="H2381" i="1"/>
  <c r="G2381" i="1"/>
  <c r="F2381" i="1"/>
  <c r="E2381" i="1"/>
  <c r="D2381" i="1"/>
  <c r="C2381" i="1"/>
  <c r="B2381" i="1"/>
  <c r="E2" i="1"/>
  <c r="U2" i="1"/>
  <c r="AK2" i="1"/>
  <c r="AK2375" i="1"/>
  <c r="AJ2374" i="1"/>
  <c r="AI2373" i="1"/>
  <c r="AH2372" i="1"/>
  <c r="AG2371" i="1"/>
  <c r="AF2370" i="1"/>
  <c r="AE2369" i="1"/>
  <c r="AD2369" i="1"/>
  <c r="AC2369" i="1"/>
  <c r="AB2369" i="1"/>
  <c r="AA2369" i="1"/>
  <c r="Z2368" i="1"/>
  <c r="Y2368" i="1"/>
  <c r="X2368" i="1"/>
  <c r="W2368" i="1"/>
  <c r="V2368" i="1"/>
  <c r="U2368" i="1"/>
  <c r="T2368" i="1"/>
  <c r="S2368" i="1"/>
  <c r="R2368" i="1"/>
  <c r="Q2368" i="1"/>
  <c r="P2368" i="1"/>
  <c r="O2368" i="1"/>
  <c r="N2368" i="1"/>
  <c r="AK2376" i="1"/>
  <c r="AJ2375" i="1"/>
  <c r="AI2374" i="1"/>
  <c r="AH2373" i="1"/>
  <c r="AG2372" i="1"/>
  <c r="AF2371" i="1"/>
  <c r="AE2370" i="1"/>
  <c r="AD2370" i="1"/>
  <c r="AC2370" i="1"/>
  <c r="AB2370" i="1"/>
  <c r="AA2370" i="1"/>
  <c r="Z2369" i="1"/>
  <c r="Y2369" i="1"/>
  <c r="X2369" i="1"/>
  <c r="W2369" i="1"/>
  <c r="V2369" i="1"/>
  <c r="U2369" i="1"/>
  <c r="T2369" i="1"/>
  <c r="S2369" i="1"/>
  <c r="R2369" i="1"/>
  <c r="Q2369" i="1"/>
  <c r="P2369" i="1"/>
  <c r="O2369" i="1"/>
  <c r="N2369" i="1"/>
  <c r="M2369" i="1"/>
  <c r="L2369" i="1"/>
  <c r="K2369" i="1"/>
  <c r="J2369" i="1"/>
  <c r="I2369" i="1"/>
  <c r="H2369" i="1"/>
  <c r="G2369" i="1"/>
  <c r="F2369" i="1"/>
  <c r="E2369" i="1"/>
  <c r="D2369" i="1"/>
  <c r="C2369" i="1"/>
  <c r="B2369" i="1"/>
  <c r="I2" i="1"/>
  <c r="Y2" i="1"/>
  <c r="AK2373" i="1"/>
  <c r="AI2377" i="1"/>
  <c r="AF2372" i="1"/>
  <c r="AC4" i="1"/>
  <c r="AA2373" i="1"/>
  <c r="X2370" i="1"/>
  <c r="V2382" i="1"/>
  <c r="S2372" i="1"/>
  <c r="P2370" i="1"/>
  <c r="N2372" i="1"/>
  <c r="L2372" i="1"/>
  <c r="J2372" i="1"/>
  <c r="H2372" i="1"/>
  <c r="F2372" i="1"/>
  <c r="D2372" i="1"/>
  <c r="B2372" i="1"/>
  <c r="G2" i="1"/>
  <c r="AK2374" i="1"/>
  <c r="AI2378" i="1"/>
  <c r="AF2373" i="1"/>
  <c r="AC2368" i="1"/>
  <c r="AA2374" i="1"/>
  <c r="X2371" i="1"/>
  <c r="U4" i="1"/>
  <c r="S2373" i="1"/>
  <c r="P2371" i="1"/>
  <c r="N2373" i="1"/>
  <c r="L2373" i="1"/>
  <c r="J2373" i="1"/>
  <c r="H2373" i="1"/>
  <c r="F2373" i="1"/>
  <c r="D2373" i="1"/>
  <c r="B2373" i="1"/>
  <c r="H2" i="1"/>
  <c r="AK2377" i="1"/>
  <c r="AH2370" i="1"/>
  <c r="AF2374" i="1"/>
  <c r="AC2371" i="1"/>
  <c r="Z4" i="1"/>
  <c r="X2372" i="1"/>
  <c r="U2370" i="1"/>
  <c r="S2382" i="1"/>
  <c r="P2372" i="1"/>
  <c r="N2376" i="1"/>
  <c r="L2376" i="1"/>
  <c r="J2376" i="1"/>
  <c r="H2376" i="1"/>
  <c r="F2376" i="1"/>
  <c r="D2376" i="1"/>
  <c r="B2376" i="1"/>
  <c r="J2" i="1"/>
  <c r="AK2378" i="1"/>
  <c r="AH2371" i="1"/>
  <c r="AF2375" i="1"/>
  <c r="AC2372" i="1"/>
  <c r="Z2367" i="1"/>
  <c r="X2373" i="1"/>
  <c r="U2371" i="1"/>
  <c r="R4" i="1"/>
  <c r="P2373" i="1"/>
  <c r="N2382" i="1"/>
  <c r="L2382" i="1"/>
  <c r="J2382" i="1"/>
  <c r="H2382" i="1"/>
  <c r="F2382" i="1"/>
  <c r="D2382" i="1"/>
  <c r="B2382" i="1"/>
  <c r="K2" i="1"/>
  <c r="AK2379" i="1"/>
  <c r="AH2374" i="1"/>
  <c r="AE2367" i="1"/>
  <c r="AC2373" i="1"/>
  <c r="Z2370" i="1"/>
  <c r="X2382" i="1"/>
  <c r="U2372" i="1"/>
  <c r="R2370" i="1"/>
  <c r="P2376" i="1"/>
  <c r="M4" i="1"/>
  <c r="K4" i="1"/>
  <c r="I4" i="1"/>
  <c r="G4" i="1"/>
  <c r="E4" i="1"/>
  <c r="C4" i="1"/>
  <c r="L2" i="1"/>
  <c r="AK2380" i="1"/>
  <c r="AH2375" i="1"/>
  <c r="AE2368" i="1"/>
  <c r="AC2374" i="1"/>
  <c r="Z2371" i="1"/>
  <c r="W4" i="1"/>
  <c r="U2373" i="1"/>
  <c r="R2371" i="1"/>
  <c r="P2382" i="1"/>
  <c r="M2368" i="1"/>
  <c r="K2368" i="1"/>
  <c r="I2368" i="1"/>
  <c r="G2368" i="1"/>
  <c r="E2368" i="1"/>
  <c r="C2368" i="1"/>
  <c r="M2" i="1"/>
  <c r="AJ2378" i="1"/>
  <c r="AG2373" i="1"/>
  <c r="AD4" i="1"/>
  <c r="AB2373" i="1"/>
  <c r="Y2370" i="1"/>
  <c r="W2382" i="1"/>
  <c r="T2372" i="1"/>
  <c r="Q2370" i="1"/>
  <c r="O2373" i="1"/>
  <c r="M2376" i="1"/>
  <c r="K2376" i="1"/>
  <c r="I2376" i="1"/>
  <c r="G2376" i="1"/>
  <c r="E2376" i="1"/>
  <c r="C2376" i="1"/>
  <c r="Z2" i="1"/>
  <c r="AJ2379" i="1"/>
  <c r="AG2374" i="1"/>
  <c r="AD2368" i="1"/>
  <c r="AB2374" i="1"/>
  <c r="Y2371" i="1"/>
  <c r="V4" i="1"/>
  <c r="T2373" i="1"/>
  <c r="Q2371" i="1"/>
  <c r="O2376" i="1"/>
  <c r="M2382" i="1"/>
  <c r="K2382" i="1"/>
  <c r="I2382" i="1"/>
  <c r="G2382" i="1"/>
  <c r="E2382" i="1"/>
  <c r="C2382" i="1"/>
  <c r="AA2" i="1"/>
  <c r="AJ2372" i="1"/>
  <c r="AE2371" i="1"/>
  <c r="Z2372" i="1"/>
  <c r="U2382" i="1"/>
  <c r="O4" i="1"/>
  <c r="K2370" i="1"/>
  <c r="G2370" i="1"/>
  <c r="C2370" i="1"/>
  <c r="AD2374" i="1"/>
  <c r="S2371" i="1"/>
  <c r="N2371" i="1"/>
  <c r="J2371" i="1"/>
  <c r="F2371" i="1"/>
  <c r="B2371" i="1"/>
  <c r="AJ2373" i="1"/>
  <c r="AE2372" i="1"/>
  <c r="Z2373" i="1"/>
  <c r="T4" i="1"/>
  <c r="O2370" i="1"/>
  <c r="K2371" i="1"/>
  <c r="G2371" i="1"/>
  <c r="C2371" i="1"/>
  <c r="AJ2376" i="1"/>
  <c r="AE2373" i="1"/>
  <c r="Z2382" i="1"/>
  <c r="T2370" i="1"/>
  <c r="O2371" i="1"/>
  <c r="K2372" i="1"/>
  <c r="G2372" i="1"/>
  <c r="C2372" i="1"/>
  <c r="AJ2377" i="1"/>
  <c r="AE2374" i="1"/>
  <c r="Y4" i="1"/>
  <c r="T2371" i="1"/>
  <c r="O2372" i="1"/>
  <c r="K2373" i="1"/>
  <c r="G2373" i="1"/>
  <c r="C2373" i="1"/>
  <c r="F2" i="1"/>
  <c r="X4" i="1"/>
  <c r="X2" i="1"/>
  <c r="AI2371" i="1"/>
  <c r="AD2371" i="1"/>
  <c r="Y2372" i="1"/>
  <c r="T2382" i="1"/>
  <c r="O2382" i="1"/>
  <c r="J4" i="1"/>
  <c r="F4" i="1"/>
  <c r="B4" i="1"/>
  <c r="P2" i="1"/>
  <c r="AI2372" i="1"/>
  <c r="AD2372" i="1"/>
  <c r="Y2373" i="1"/>
  <c r="S4" i="1"/>
  <c r="N4" i="1"/>
  <c r="J2368" i="1"/>
  <c r="F2368" i="1"/>
  <c r="B2368" i="1"/>
  <c r="V2" i="1"/>
  <c r="AI2375" i="1"/>
  <c r="AD2373" i="1"/>
  <c r="Y2382" i="1"/>
  <c r="S2370" i="1"/>
  <c r="N2370" i="1"/>
  <c r="J2370" i="1"/>
  <c r="F2370" i="1"/>
  <c r="B2370" i="1"/>
  <c r="W2" i="1"/>
  <c r="AI2376" i="1"/>
  <c r="AG2369" i="1"/>
  <c r="AB2371" i="1"/>
  <c r="W2372" i="1"/>
  <c r="R2382" i="1"/>
  <c r="M2372" i="1"/>
  <c r="I2372" i="1"/>
  <c r="E2372" i="1"/>
  <c r="AD2" i="1"/>
  <c r="AG2376" i="1"/>
  <c r="Q2373" i="1"/>
  <c r="H2368" i="1"/>
  <c r="AG2370" i="1"/>
  <c r="AB2372" i="1"/>
  <c r="W2373" i="1"/>
  <c r="Q4" i="1"/>
  <c r="M2373" i="1"/>
  <c r="I2373" i="1"/>
  <c r="E2373" i="1"/>
  <c r="AF2" i="1"/>
  <c r="V2371" i="1"/>
  <c r="AG2375" i="1"/>
  <c r="AA4" i="1"/>
  <c r="V2370" i="1"/>
  <c r="Q2372" i="1"/>
  <c r="L4" i="1"/>
  <c r="H4" i="1"/>
  <c r="D4" i="1"/>
  <c r="AA2368" i="1"/>
  <c r="L2368" i="1"/>
  <c r="D2368" i="1"/>
  <c r="AH2376" i="1"/>
  <c r="M2370" i="1"/>
  <c r="AH2377" i="1"/>
  <c r="M2371" i="1"/>
  <c r="AF2368" i="1"/>
  <c r="L2370" i="1"/>
  <c r="AF2369" i="1"/>
  <c r="L2371" i="1"/>
  <c r="AB4" i="1"/>
  <c r="I2370" i="1"/>
  <c r="AB2368" i="1"/>
  <c r="I2371" i="1"/>
  <c r="AA2371" i="1"/>
  <c r="H2370" i="1"/>
  <c r="AA2372" i="1"/>
  <c r="H2371" i="1"/>
  <c r="AB2" i="1"/>
  <c r="W2370" i="1"/>
  <c r="E2370" i="1"/>
  <c r="AC2" i="1"/>
  <c r="W2371" i="1"/>
  <c r="E2371" i="1"/>
  <c r="V2372" i="1"/>
  <c r="D2370" i="1"/>
  <c r="V2373" i="1"/>
  <c r="D2371" i="1"/>
  <c r="R2372" i="1"/>
  <c r="R2373" i="1"/>
  <c r="Q2382" i="1"/>
  <c r="P4" i="1"/>
  <c r="AB2381" i="2" l="1"/>
  <c r="AC2381" i="2"/>
  <c r="AD2381" i="2"/>
  <c r="R2372" i="2"/>
  <c r="R2371" i="2"/>
  <c r="D2370" i="2"/>
  <c r="V2372" i="2"/>
  <c r="D2369" i="2"/>
  <c r="V2371" i="2"/>
  <c r="E2370" i="2"/>
  <c r="W2370" i="2"/>
  <c r="E2369" i="2"/>
  <c r="W2369" i="2"/>
  <c r="H2370" i="2"/>
  <c r="H2369" i="2"/>
  <c r="I2370" i="2"/>
  <c r="I2369" i="2"/>
  <c r="L2370" i="2"/>
  <c r="L2369" i="2"/>
  <c r="M2370" i="2"/>
  <c r="M2369" i="2"/>
  <c r="D2367" i="2"/>
  <c r="L2367" i="2"/>
  <c r="Q2371" i="2"/>
  <c r="V2369" i="2"/>
  <c r="V2370" i="2"/>
  <c r="E2372" i="2"/>
  <c r="I2372" i="2"/>
  <c r="M2372" i="2"/>
  <c r="W2372" i="2"/>
  <c r="H2367" i="2"/>
  <c r="Q2372" i="2"/>
  <c r="E2371" i="2"/>
  <c r="I2371" i="2"/>
  <c r="M2371" i="2"/>
  <c r="W2371" i="2"/>
  <c r="B2369" i="2"/>
  <c r="F2369" i="2"/>
  <c r="J2369" i="2"/>
  <c r="N2369" i="2"/>
  <c r="S2369" i="2"/>
  <c r="B2367" i="2"/>
  <c r="F2367" i="2"/>
  <c r="J2367" i="2"/>
  <c r="Y2372" i="2"/>
  <c r="T2381" i="2"/>
  <c r="Y2371" i="2"/>
  <c r="C2372" i="2"/>
  <c r="G2372" i="2"/>
  <c r="K2372" i="2"/>
  <c r="O2371" i="2"/>
  <c r="T2370" i="2"/>
  <c r="C2371" i="2"/>
  <c r="G2371" i="2"/>
  <c r="K2371" i="2"/>
  <c r="O2370" i="2"/>
  <c r="T2369" i="2"/>
  <c r="C2370" i="2"/>
  <c r="G2370" i="2"/>
  <c r="K2370" i="2"/>
  <c r="O2369" i="2"/>
  <c r="B2370" i="2"/>
  <c r="F2370" i="2"/>
  <c r="J2370" i="2"/>
  <c r="N2370" i="2"/>
  <c r="S2370" i="2"/>
  <c r="C2369" i="2"/>
  <c r="G2369" i="2"/>
  <c r="K2369" i="2"/>
  <c r="U2381" i="2"/>
  <c r="M2381" i="2"/>
  <c r="O2375" i="2"/>
  <c r="Q2370" i="2"/>
  <c r="T2372" i="2"/>
  <c r="Y2370" i="2"/>
  <c r="C2375" i="2"/>
  <c r="E2375" i="2"/>
  <c r="G2375" i="2"/>
  <c r="I2375" i="2"/>
  <c r="K2375" i="2"/>
  <c r="M2375" i="2"/>
  <c r="O2372" i="2"/>
  <c r="Q2369" i="2"/>
  <c r="T2371" i="2"/>
  <c r="W2381" i="2"/>
  <c r="Y2369" i="2"/>
  <c r="C2367" i="2"/>
  <c r="E2367" i="2"/>
  <c r="G2367" i="2"/>
  <c r="I2367" i="2"/>
  <c r="K2367" i="2"/>
  <c r="M2367" i="2"/>
  <c r="R2370" i="2"/>
  <c r="U2372" i="2"/>
  <c r="P2375" i="2"/>
  <c r="R2369" i="2"/>
  <c r="U2371" i="2"/>
  <c r="X2381" i="2"/>
  <c r="N2381" i="2"/>
  <c r="P2372" i="2"/>
  <c r="U2370" i="2"/>
  <c r="X2372" i="2"/>
  <c r="B2375" i="2"/>
  <c r="D2375" i="2"/>
  <c r="F2375" i="2"/>
  <c r="H2375" i="2"/>
  <c r="J2375" i="2"/>
  <c r="L2375" i="2"/>
  <c r="N2375" i="2"/>
  <c r="P2371" i="2"/>
  <c r="U2369" i="2"/>
  <c r="X2371" i="2"/>
  <c r="Z3" i="2"/>
  <c r="B2372" i="2"/>
  <c r="D2372" i="2"/>
  <c r="F2372" i="2"/>
  <c r="H2372" i="2"/>
  <c r="J2372" i="2"/>
  <c r="L2372" i="2"/>
  <c r="N2372" i="2"/>
  <c r="P2370" i="2"/>
  <c r="S2372" i="2"/>
  <c r="X2370" i="2"/>
  <c r="B2371" i="2"/>
  <c r="D2371" i="2"/>
  <c r="F2371" i="2"/>
  <c r="H2371" i="2"/>
  <c r="J2371" i="2"/>
  <c r="L2371" i="2"/>
  <c r="N2371" i="2"/>
  <c r="P2369" i="2"/>
  <c r="S2371" i="2"/>
  <c r="X2369" i="2"/>
  <c r="B2368" i="2"/>
  <c r="C2368" i="2"/>
  <c r="D2368" i="2"/>
  <c r="E2368" i="2"/>
  <c r="F2368" i="2"/>
  <c r="G2368" i="2"/>
  <c r="H2368" i="2"/>
  <c r="I2368" i="2"/>
  <c r="J2368" i="2"/>
  <c r="K2368" i="2"/>
  <c r="L2368" i="2"/>
  <c r="M2368" i="2"/>
  <c r="N2368" i="2"/>
  <c r="O2368" i="2"/>
  <c r="P2368" i="2"/>
  <c r="Q2368" i="2"/>
  <c r="R2368" i="2"/>
  <c r="S2368" i="2"/>
  <c r="T2368" i="2"/>
  <c r="U2368" i="2"/>
  <c r="V2368" i="2"/>
  <c r="W2368" i="2"/>
  <c r="X2368" i="2"/>
  <c r="Y2368" i="2"/>
  <c r="N2367" i="2"/>
  <c r="O2367" i="2"/>
  <c r="P2367" i="2"/>
  <c r="Q2367" i="2"/>
  <c r="R2367" i="2"/>
  <c r="S2367" i="2"/>
  <c r="T2367" i="2"/>
  <c r="U2367" i="2"/>
  <c r="V2367" i="2"/>
  <c r="W2367" i="2"/>
  <c r="X2367" i="2"/>
  <c r="Y2367" i="2"/>
  <c r="B2380" i="2"/>
  <c r="C2380" i="2"/>
  <c r="D2380" i="2"/>
  <c r="E2380" i="2"/>
  <c r="F2380" i="2"/>
  <c r="G2380" i="2"/>
  <c r="H2380" i="2"/>
  <c r="I2380" i="2"/>
  <c r="J2380" i="2"/>
  <c r="K2380" i="2"/>
  <c r="L2380" i="2"/>
  <c r="M2380" i="2"/>
  <c r="N2380" i="2"/>
  <c r="O2380" i="2"/>
  <c r="P2380" i="2"/>
  <c r="Q2380" i="2"/>
  <c r="R2380" i="2"/>
  <c r="S2380" i="2"/>
  <c r="T2380" i="2"/>
  <c r="U2380" i="2"/>
  <c r="V2380" i="2"/>
  <c r="W2380" i="2"/>
  <c r="X2380" i="2"/>
  <c r="Y2380" i="2"/>
  <c r="B2379" i="2"/>
  <c r="C2379" i="2"/>
  <c r="D2379" i="2"/>
  <c r="E2379" i="2"/>
  <c r="F2379" i="2"/>
  <c r="G2379" i="2"/>
  <c r="H2379" i="2"/>
  <c r="I2379" i="2"/>
  <c r="J2379" i="2"/>
  <c r="K2379" i="2"/>
  <c r="L2379" i="2"/>
  <c r="M2379" i="2"/>
  <c r="N2379" i="2"/>
  <c r="O2379" i="2"/>
  <c r="P2379" i="2"/>
  <c r="Q2379" i="2"/>
  <c r="R2379" i="2"/>
  <c r="S2379" i="2"/>
  <c r="T2379" i="2"/>
  <c r="U2379" i="2"/>
  <c r="V2379" i="2"/>
  <c r="W2379" i="2"/>
  <c r="X2379" i="2"/>
  <c r="Y2379" i="2"/>
  <c r="B2378" i="2"/>
  <c r="C2378" i="2"/>
  <c r="D2378" i="2"/>
  <c r="E2378" i="2"/>
  <c r="F2378" i="2"/>
  <c r="G2378" i="2"/>
  <c r="H2378" i="2"/>
  <c r="I2378" i="2"/>
  <c r="J2378" i="2"/>
  <c r="K2378" i="2"/>
  <c r="L2378" i="2"/>
  <c r="M2378" i="2"/>
  <c r="N2378" i="2"/>
  <c r="O2378" i="2"/>
  <c r="P2378" i="2"/>
  <c r="Q2378" i="2"/>
  <c r="R2378" i="2"/>
  <c r="S2378" i="2"/>
  <c r="T2378" i="2"/>
  <c r="U2378" i="2"/>
  <c r="V2378" i="2"/>
  <c r="W2378" i="2"/>
  <c r="X2378" i="2"/>
  <c r="Y2378" i="2"/>
  <c r="B2377" i="2"/>
  <c r="C2377" i="2"/>
  <c r="D2377" i="2"/>
  <c r="E2377" i="2"/>
  <c r="F2377" i="2"/>
  <c r="G2377" i="2"/>
  <c r="H2377" i="2"/>
  <c r="I2377" i="2"/>
  <c r="J2377" i="2"/>
  <c r="K2377" i="2"/>
  <c r="L2377" i="2"/>
  <c r="M2377" i="2"/>
  <c r="N2377" i="2"/>
  <c r="O2377" i="2"/>
  <c r="P2377" i="2"/>
  <c r="Q2377" i="2"/>
  <c r="R2377" i="2"/>
  <c r="S2377" i="2"/>
  <c r="T2377" i="2"/>
  <c r="U2377" i="2"/>
  <c r="V2377" i="2"/>
  <c r="W2377" i="2"/>
  <c r="X2377" i="2"/>
  <c r="Y2377" i="2"/>
  <c r="B2376" i="2"/>
  <c r="C2376" i="2"/>
  <c r="D2376" i="2"/>
  <c r="E2376" i="2"/>
  <c r="F2376" i="2"/>
  <c r="G2376" i="2"/>
  <c r="H2376" i="2"/>
  <c r="I2376" i="2"/>
  <c r="J2376" i="2"/>
  <c r="K2376" i="2"/>
  <c r="L2376" i="2"/>
  <c r="M2376" i="2"/>
  <c r="N2376" i="2"/>
  <c r="O2376" i="2"/>
  <c r="P2376" i="2"/>
  <c r="Q2376" i="2"/>
  <c r="R2376" i="2"/>
  <c r="S2376" i="2"/>
  <c r="T2376" i="2"/>
  <c r="U2376" i="2"/>
  <c r="V2376" i="2"/>
  <c r="W2376" i="2"/>
  <c r="X2376" i="2"/>
  <c r="Y2376" i="2"/>
  <c r="Q2375" i="2"/>
  <c r="R2375" i="2"/>
  <c r="S2375" i="2"/>
  <c r="T2375" i="2"/>
  <c r="U2375" i="2"/>
  <c r="V2375" i="2"/>
  <c r="W2375" i="2"/>
  <c r="X2375" i="2"/>
  <c r="Y2375" i="2"/>
  <c r="B2374" i="2"/>
  <c r="C2374" i="2"/>
  <c r="D2374" i="2"/>
  <c r="E2374" i="2"/>
  <c r="F2374" i="2"/>
  <c r="G2374" i="2"/>
  <c r="H2374" i="2"/>
  <c r="I2374" i="2"/>
  <c r="J2374" i="2"/>
  <c r="K2374" i="2"/>
  <c r="L2374" i="2"/>
  <c r="M2374" i="2"/>
  <c r="N2374" i="2"/>
  <c r="O2374" i="2"/>
  <c r="P2374" i="2"/>
  <c r="Q2374" i="2"/>
  <c r="R2374" i="2"/>
  <c r="S2374" i="2"/>
  <c r="T2374" i="2"/>
  <c r="U2374" i="2"/>
  <c r="V2374" i="2"/>
  <c r="W2374" i="2"/>
  <c r="X2374" i="2"/>
  <c r="Y2374" i="2"/>
  <c r="B2373" i="2"/>
  <c r="C2373" i="2"/>
  <c r="D2373" i="2"/>
  <c r="E2373" i="2"/>
  <c r="F2373" i="2"/>
  <c r="G2373" i="2"/>
  <c r="H2373" i="2"/>
  <c r="I2373" i="2"/>
  <c r="J2373" i="2"/>
  <c r="K2373" i="2"/>
  <c r="L2373" i="2"/>
  <c r="M2373" i="2"/>
  <c r="N2373" i="2"/>
  <c r="O2373" i="2"/>
  <c r="P2373" i="2"/>
  <c r="Q2373" i="2"/>
  <c r="R2373" i="2"/>
  <c r="S2373" i="2"/>
  <c r="T2373" i="2"/>
  <c r="U2373" i="2"/>
  <c r="V2373" i="2"/>
  <c r="W2373" i="2"/>
  <c r="X2373" i="2"/>
  <c r="Y2373" i="2"/>
  <c r="Y2381" i="2"/>
  <c r="H2381" i="2"/>
  <c r="S2381" i="2"/>
  <c r="B2381" i="2"/>
  <c r="G2381" i="2"/>
  <c r="L2381" i="2"/>
  <c r="O2381" i="2"/>
  <c r="R2381" i="2"/>
  <c r="C2381" i="2"/>
  <c r="I2381" i="2"/>
  <c r="P2381" i="2"/>
  <c r="V2381" i="2"/>
  <c r="D2381" i="2"/>
  <c r="E2381" i="2"/>
  <c r="K2381" i="2"/>
  <c r="Q2381" i="2"/>
  <c r="F2381" i="2"/>
  <c r="J2381" i="2"/>
  <c r="C3" i="2"/>
  <c r="H3" i="2"/>
  <c r="M3" i="2"/>
  <c r="P3" i="2"/>
  <c r="U3" i="2"/>
  <c r="X3" i="2"/>
  <c r="B3" i="2"/>
  <c r="F3" i="2"/>
  <c r="I3" i="2"/>
  <c r="Q3" i="2"/>
  <c r="S3" i="2"/>
  <c r="V3" i="2"/>
  <c r="Y3" i="2"/>
  <c r="L3" i="2"/>
  <c r="N3" i="2"/>
  <c r="R3" i="2"/>
  <c r="T3" i="2"/>
  <c r="W3" i="2"/>
  <c r="E3" i="2"/>
  <c r="K3" i="2"/>
  <c r="D3" i="2"/>
  <c r="G3" i="2"/>
  <c r="J3" i="2"/>
  <c r="O3" i="2"/>
</calcChain>
</file>

<file path=xl/sharedStrings.xml><?xml version="1.0" encoding="utf-8"?>
<sst xmlns="http://schemas.openxmlformats.org/spreadsheetml/2006/main" count="74" uniqueCount="38">
  <si>
    <t>Date</t>
  </si>
  <si>
    <t>Close</t>
  </si>
  <si>
    <t>ICE BRENT CRUDE M1</t>
  </si>
  <si>
    <t>ICE BRENT CRUDE M2</t>
  </si>
  <si>
    <t>ICE BRENT CRUDE M3</t>
  </si>
  <si>
    <t>ICE BRENT CRUDE M4</t>
  </si>
  <si>
    <t>ICE BRENT CRUDE M5</t>
  </si>
  <si>
    <t>ICE BRENT CRUDE M6</t>
  </si>
  <si>
    <t>ICE BRENT CRUDE M7</t>
  </si>
  <si>
    <t>ICE BRENT CRUDE M8</t>
  </si>
  <si>
    <t>ICE BRENT CRUDE M9</t>
  </si>
  <si>
    <t>ICE BRENT CRUDE M10</t>
  </si>
  <si>
    <t>ICE BRENT CRUDE M11</t>
  </si>
  <si>
    <t>ICE BRENT CRUDE M12</t>
  </si>
  <si>
    <t>NYMEX WTI CRUDE M1</t>
  </si>
  <si>
    <t>NYMEX WTI CRUDE M2</t>
  </si>
  <si>
    <t>NYMEX WTI CRUDE M3</t>
  </si>
  <si>
    <t>NYMEX WTI CRUDE M4</t>
  </si>
  <si>
    <t>NYMEX WTI CRUDE M5</t>
  </si>
  <si>
    <t>NYMEX WTI CRUDE M6</t>
  </si>
  <si>
    <t>NYMEX WTI CRUDE M7</t>
  </si>
  <si>
    <t>NYMEX WTI CRUDE M8</t>
  </si>
  <si>
    <t>NYMEX WTI CRUDE M9</t>
  </si>
  <si>
    <t>NYMEX WTI CRUDE M10</t>
  </si>
  <si>
    <t>NYMEX WTI CRUDE M11</t>
  </si>
  <si>
    <t>NYMEX WTI CRUDE M12</t>
  </si>
  <si>
    <t>ICE DUBAI CRUDE M1</t>
  </si>
  <si>
    <t>ICE DUBAI CRUDE M2</t>
  </si>
  <si>
    <t>ICE DUBAI CRUDE M3</t>
  </si>
  <si>
    <t>ICE DUBAI CRUDE M4</t>
  </si>
  <si>
    <t>ICE DUBAI CRUDE M5</t>
  </si>
  <si>
    <t>ICE DUBAI CRUDE M6</t>
  </si>
  <si>
    <t>ICE DUBAI CRUDE M7</t>
  </si>
  <si>
    <t>ICE DUBAI CRUDE M8</t>
  </si>
  <si>
    <t>ICE DUBAI CRUDE M9</t>
  </si>
  <si>
    <t>ICE DUBAI CRUDE M10</t>
  </si>
  <si>
    <t>ICE DUBAI CRUDE M11</t>
  </si>
  <si>
    <t>ICE DUBAI CRUDE 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</si>
</sst>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0.0000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2" fontId="2" fillId="0" borderId="0" xfId="0" applyNumberFormat="1" applyFont="1"/>
    <xf numFmtId="166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0" fontId="1" fillId="0" borderId="0" xfId="0" applyNumberFormat="1" applyFont="1"/>
    <xf numFmtId="0" fontId="1" fillId="0" borderId="0" xfId="0" applyNumberFormat="1" applyFont="1" applyAlignment="1">
      <alignment horizontal="center" wrapText="1"/>
    </xf>
    <xf numFmtId="0" fontId="2" fillId="0" borderId="0" xfId="0" applyNumberFormat="1" applyFont="1" applyAlignment="1">
      <alignment horizontal="center" vertical="center"/>
    </xf>
    <xf numFmtId="0" fontId="1" fillId="0" borderId="0" xfId="0" applyNumberFormat="1" applyFont="1" applyAlignment="1"/>
    <xf numFmtId="164" fontId="2" fillId="0" borderId="0" xfId="0" applyNumberFormat="1" applyFont="1" applyAlignment="1"/>
    <xf numFmtId="2" fontId="2" fillId="0" borderId="0" xfId="0" applyNumberFormat="1" applyFont="1" applyAlignment="1"/>
    <xf numFmtId="166" fontId="2" fillId="0" borderId="0" xfId="0" applyNumberFormat="1" applyFont="1" applyAlignmen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  <xf numFmtId="0" fontId="0" fillId="2" borderId="0" xfId="0" applyFill="1" applyAlignment="1">
      <alignment wrapText="1"/>
    </xf>
    <xf numFmtId="0" fontId="0" fillId="2" borderId="0" xfId="0" applyFill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storm.rtd">
      <tp t="s">
        <v>NYMEX Light Sweet Crude Oil (WTI) Futures Electronic (10th Month)</v>
        <stp>spmg94039268h</stp>
        <stp>quote</stp>
        <stp>/GCL&lt;9&gt;</stp>
        <stp>Description</stp>
        <stp>2</stp>
        <stp>daily</stp>
        <stp>Close</stp>
        <stp/>
        <stp/>
        <stp/>
        <stp>p</stp>
        <stp/>
        <stp/>
        <stp/>
        <stp/>
        <stp/>
        <stp>Hundredths</stp>
        <stp/>
        <stp>False</stp>
        <tr r="W2" s="1"/>
      </tp>
      <tp t="s">
        <v>NYMEX Light Sweet Crude Oil (WTI) Futures Electronic (9th Month)</v>
        <stp>spmg94039268h</stp>
        <stp>quote</stp>
        <stp>/GCL&lt;8&gt;</stp>
        <stp>Description</stp>
        <stp>2</stp>
        <stp>daily</stp>
        <stp>Close</stp>
        <stp/>
        <stp/>
        <stp/>
        <stp>p</stp>
        <stp/>
        <stp/>
        <stp/>
        <stp/>
        <stp/>
        <stp>Hundredths</stp>
        <stp/>
        <stp>False</stp>
        <tr r="V2" s="1"/>
      </tp>
      <tp t="s">
        <v>NYMEX Light Sweet Crude Oil (WTI) Futures Electronic (4th Month)</v>
        <stp>spmg94039268h</stp>
        <stp>quote</stp>
        <stp>/GCL&lt;3&gt;</stp>
        <stp>Description</stp>
        <stp>2</stp>
        <stp>daily</stp>
        <stp>Close</stp>
        <stp/>
        <stp/>
        <stp/>
        <stp>p</stp>
        <stp/>
        <stp/>
        <stp/>
        <stp/>
        <stp/>
        <stp>Hundredths</stp>
        <stp/>
        <stp>False</stp>
        <tr r="Q2" s="1"/>
      </tp>
      <tp t="s">
        <v>NYMEX Light Sweet Crude Oil (WTI) Futures Electronic (3rd Month)</v>
        <stp>spmg94039268h</stp>
        <stp>quote</stp>
        <stp>/GCL&lt;2&gt;</stp>
        <stp>Description</stp>
        <stp>2</stp>
        <stp>daily</stp>
        <stp>Close</stp>
        <stp/>
        <stp/>
        <stp/>
        <stp>p</stp>
        <stp/>
        <stp/>
        <stp/>
        <stp/>
        <stp/>
        <stp>Hundredths</stp>
        <stp/>
        <stp>False</stp>
        <tr r="P2" s="1"/>
      </tp>
      <tp t="s">
        <v>NYMEX Light Sweet Crude Oil (WTI) Futures Electronic (2nd Month)</v>
        <stp>spmg94039268h</stp>
        <stp>quote</stp>
        <stp>/GCL&lt;1&gt;</stp>
        <stp>Description</stp>
        <stp>2</stp>
        <stp>daily</stp>
        <stp>Close</stp>
        <stp/>
        <stp/>
        <stp/>
        <stp>p</stp>
        <stp/>
        <stp/>
        <stp/>
        <stp/>
        <stp/>
        <stp>Hundredths</stp>
        <stp/>
        <stp>False</stp>
        <tr r="O2" s="1"/>
      </tp>
      <tp t="s">
        <v>NYMEX Light Sweet Crude Oil (WTI) Futures Electronic (Front Month)</v>
        <stp>spmg94039268h</stp>
        <stp>quote</stp>
        <stp>/GCL&lt;0&gt;</stp>
        <stp>Description</stp>
        <stp>2</stp>
        <stp>daily</stp>
        <stp>Close</stp>
        <stp/>
        <stp/>
        <stp/>
        <stp>p</stp>
        <stp/>
        <stp/>
        <stp/>
        <stp/>
        <stp/>
        <stp>Hundredths</stp>
        <stp/>
        <stp>False</stp>
        <tr r="N2" s="1"/>
      </tp>
      <tp t="s">
        <v>NYMEX Light Sweet Crude Oil (WTI) Futures Electronic (8th Month)</v>
        <stp>spmg94039268h</stp>
        <stp>quote</stp>
        <stp>/GCL&lt;7&gt;</stp>
        <stp>Description</stp>
        <stp>2</stp>
        <stp>daily</stp>
        <stp>Close</stp>
        <stp/>
        <stp/>
        <stp/>
        <stp>p</stp>
        <stp/>
        <stp/>
        <stp/>
        <stp/>
        <stp/>
        <stp>Hundredths</stp>
        <stp/>
        <stp>False</stp>
        <tr r="U2" s="1"/>
      </tp>
      <tp t="s">
        <v>NYMEX Light Sweet Crude Oil (WTI) Futures Electronic (7th Month)</v>
        <stp>spmg94039268h</stp>
        <stp>quote</stp>
        <stp>/GCL&lt;6&gt;</stp>
        <stp>Description</stp>
        <stp>2</stp>
        <stp>daily</stp>
        <stp>Close</stp>
        <stp/>
        <stp/>
        <stp/>
        <stp>p</stp>
        <stp/>
        <stp/>
        <stp/>
        <stp/>
        <stp/>
        <stp>Hundredths</stp>
        <stp/>
        <stp>False</stp>
        <tr r="T2" s="1"/>
      </tp>
      <tp t="s">
        <v>NYMEX Light Sweet Crude Oil (WTI) Futures Electronic (6th Month)</v>
        <stp>spmg94039268h</stp>
        <stp>quote</stp>
        <stp>/GCL&lt;5&gt;</stp>
        <stp>Description</stp>
        <stp>2</stp>
        <stp>daily</stp>
        <stp>Close</stp>
        <stp/>
        <stp/>
        <stp/>
        <stp>p</stp>
        <stp/>
        <stp/>
        <stp/>
        <stp/>
        <stp/>
        <stp>Hundredths</stp>
        <stp/>
        <stp>False</stp>
        <tr r="S2" s="1"/>
      </tp>
      <tp t="s">
        <v>NYMEX Light Sweet Crude Oil (WTI) Futures Electronic (5th Month)</v>
        <stp>spmg94039268h</stp>
        <stp>quote</stp>
        <stp>/GCL&lt;4&gt;</stp>
        <stp>Description</stp>
        <stp>2</stp>
        <stp>daily</stp>
        <stp>Close</stp>
        <stp/>
        <stp/>
        <stp/>
        <stp>p</stp>
        <stp/>
        <stp/>
        <stp/>
        <stp/>
        <stp/>
        <stp>Hundredths</stp>
        <stp/>
        <stp>False</stp>
        <tr r="R2" s="1"/>
      </tp>
      <tp>
        <v>75.768000000000001</v>
        <stp>spmg94039268h</stp>
        <stp>daily</stp>
        <stp>/DBI&lt;10&gt;</stp>
        <stp>Close</stp>
        <stp>3/9/2026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J2373" s="1"/>
        <tr r="AJ2373" s="1"/>
      </tp>
      <tp>
        <v>75.125</v>
        <stp>spmg94039268h</stp>
        <stp>daily</stp>
        <stp>/DBI&lt;11&gt;</stp>
        <stp>Close</stp>
        <stp>3/9/2026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K2373" s="1"/>
        <tr r="AK2373" s="1"/>
      </tp>
      <tp>
        <v>68.131</v>
        <stp>spmg94039268h</stp>
        <stp>daily</stp>
        <stp>/DBI&lt;10&gt;</stp>
        <stp>Close</stp>
        <stp>3/3/2026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J2369" s="1"/>
        <tr r="AJ2369" s="1"/>
      </tp>
      <tp>
        <v>67.804000000000002</v>
        <stp>spmg94039268h</stp>
        <stp>daily</stp>
        <stp>/DBI&lt;11&gt;</stp>
        <stp>Close</stp>
        <stp>3/3/2026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K2369" s="1"/>
        <tr r="AK2369" s="1"/>
      </tp>
      <tp>
        <v>68.397999999999996</v>
        <stp>spmg94039268h</stp>
        <stp>daily</stp>
        <stp>/DBI&lt;10&gt;</stp>
        <stp>Close</stp>
        <stp>3/2/2026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J2368" s="1"/>
        <tr r="AJ2368" s="1"/>
      </tp>
      <tp>
        <v>68.055999999999997</v>
        <stp>spmg94039268h</stp>
        <stp>daily</stp>
        <stp>/DBI&lt;11&gt;</stp>
        <stp>Close</stp>
        <stp>3/2/2026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K2368" s="1"/>
        <tr r="AK2368" s="1"/>
      </tp>
      <tp t="s">
        <v/>
        <stp>spmg94039268h</stp>
        <stp>daily</stp>
        <stp>/DBI&lt;11&gt;</stp>
        <stp>Close</stp>
        <stp>1/3/2017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K4" s="1"/>
        <tr r="AK4" s="1"/>
      </tp>
      <tp t="s">
        <v/>
        <stp>spmg94039268h</stp>
        <stp>daily</stp>
        <stp>/DBI&lt;10&gt;</stp>
        <stp>Close</stp>
        <stp>1/3/2017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J4" s="1"/>
        <tr r="AJ4" s="1"/>
      </tp>
      <tp>
        <v>72.736000000000004</v>
        <stp>spmg94039268h</stp>
        <stp>daily</stp>
        <stp>/DBI&lt;10&gt;</stp>
        <stp>Close</stp>
        <stp>3/6/2026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J2372" s="1"/>
        <tr r="AJ2372" s="1"/>
      </tp>
      <tp>
        <v>72.242000000000004</v>
        <stp>spmg94039268h</stp>
        <stp>daily</stp>
        <stp>/DBI&lt;11&gt;</stp>
        <stp>Close</stp>
        <stp>3/6/2026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K2372" s="1"/>
        <tr r="AK2372" s="1"/>
      </tp>
      <tp>
        <v>69.983000000000004</v>
        <stp>spmg94039268h</stp>
        <stp>daily</stp>
        <stp>/DBI&lt;10&gt;</stp>
        <stp>Close</stp>
        <stp>3/5/2026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J2371" s="1"/>
        <tr r="AJ2371" s="1"/>
      </tp>
      <tp>
        <v>69.686999999999998</v>
        <stp>spmg94039268h</stp>
        <stp>daily</stp>
        <stp>/DBI&lt;11&gt;</stp>
        <stp>Close</stp>
        <stp>3/5/2026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K2371" s="1"/>
        <tr r="AK2371" s="1"/>
      </tp>
      <tp>
        <v>68.754000000000005</v>
        <stp>spmg94039268h</stp>
        <stp>daily</stp>
        <stp>/DBI&lt;10&gt;</stp>
        <stp>Close</stp>
        <stp>3/4/2026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J2370" s="1"/>
        <tr r="AJ2370" s="1"/>
      </tp>
      <tp>
        <v>68.468000000000004</v>
        <stp>spmg94039268h</stp>
        <stp>daily</stp>
        <stp>/DBI&lt;11&gt;</stp>
        <stp>Close</stp>
        <stp>3/4/2026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K2370" s="1"/>
        <tr r="AK2370" s="1"/>
      </tp>
      <tp t="s">
        <v>ICE Dubai 1st Line Futures (12th Month)</v>
        <stp>spmg94039268h</stp>
        <stp>quote</stp>
        <stp>/DBI&lt;11&gt;</stp>
        <stp>Description</stp>
        <stp>2</stp>
        <stp>daily</stp>
        <stp>Close</stp>
        <stp/>
        <stp/>
        <stp/>
        <stp>p</stp>
        <stp/>
        <stp/>
        <stp/>
        <stp/>
        <stp/>
        <stp>Thousandths</stp>
        <stp/>
        <stp>False</stp>
        <tr r="AK2" s="1"/>
      </tp>
      <tp t="s">
        <v>ICE Dubai 1st Line Futures (11th Month)</v>
        <stp>spmg94039268h</stp>
        <stp>quote</stp>
        <stp>/DBI&lt;10&gt;</stp>
        <stp>Description</stp>
        <stp>2</stp>
        <stp>daily</stp>
        <stp>Close</stp>
        <stp/>
        <stp/>
        <stp/>
        <stp>p</stp>
        <stp/>
        <stp/>
        <stp/>
        <stp/>
        <stp/>
        <stp>Thousandths</stp>
        <stp/>
        <stp>False</stp>
        <tr r="AJ2" s="1"/>
      </tp>
      <tp t="s">
        <v>ICE Brent Crude Oil Futures (9th Month)</v>
        <stp>spmg94039268h</stp>
        <stp>quote</stp>
        <stp>/BRN&lt;8&gt;</stp>
        <stp>Description</stp>
        <stp>2</stp>
        <stp>daily</stp>
        <stp>Close</stp>
        <stp/>
        <stp/>
        <stp/>
        <stp>p</stp>
        <stp/>
        <stp/>
        <stp/>
        <stp/>
        <stp/>
        <stp>Hundredths</stp>
        <stp/>
        <stp>False</stp>
        <tr r="J2" s="1"/>
      </tp>
      <tp t="s">
        <v>ICE Brent Crude Oil Futures (10th Month)</v>
        <stp>spmg94039268h</stp>
        <stp>quote</stp>
        <stp>/BRN&lt;9&gt;</stp>
        <stp>Description</stp>
        <stp>2</stp>
        <stp>daily</stp>
        <stp>Close</stp>
        <stp/>
        <stp/>
        <stp/>
        <stp>p</stp>
        <stp/>
        <stp/>
        <stp/>
        <stp/>
        <stp/>
        <stp>Hundredths</stp>
        <stp/>
        <stp>False</stp>
        <tr r="K2" s="1"/>
      </tp>
      <tp t="s">
        <v>ICE Brent Crude Oil Futures (7th Month)</v>
        <stp>spmg94039268h</stp>
        <stp>quote</stp>
        <stp>/BRN&lt;6&gt;</stp>
        <stp>Description</stp>
        <stp>2</stp>
        <stp>daily</stp>
        <stp>Close</stp>
        <stp/>
        <stp/>
        <stp/>
        <stp>p</stp>
        <stp/>
        <stp/>
        <stp/>
        <stp/>
        <stp/>
        <stp>Hundredths</stp>
        <stp/>
        <stp>False</stp>
        <tr r="H2" s="1"/>
      </tp>
      <tp t="s">
        <v>ICE Brent Crude Oil Futures (8th Month)</v>
        <stp>spmg94039268h</stp>
        <stp>quote</stp>
        <stp>/BRN&lt;7&gt;</stp>
        <stp>Description</stp>
        <stp>2</stp>
        <stp>daily</stp>
        <stp>Close</stp>
        <stp/>
        <stp/>
        <stp/>
        <stp>p</stp>
        <stp/>
        <stp/>
        <stp/>
        <stp/>
        <stp/>
        <stp>Hundredths</stp>
        <stp/>
        <stp>False</stp>
        <tr r="I2" s="1"/>
      </tp>
      <tp t="s">
        <v>ICE Brent Crude Oil Futures (5th Month)</v>
        <stp>spmg94039268h</stp>
        <stp>quote</stp>
        <stp>/BRN&lt;4&gt;</stp>
        <stp>Description</stp>
        <stp>2</stp>
        <stp>daily</stp>
        <stp>Close</stp>
        <stp/>
        <stp/>
        <stp/>
        <stp>p</stp>
        <stp/>
        <stp/>
        <stp/>
        <stp/>
        <stp/>
        <stp>Hundredths</stp>
        <stp/>
        <stp>False</stp>
        <tr r="F2" s="1"/>
      </tp>
      <tp t="s">
        <v>ICE Brent Crude Oil Futures (6th Month)</v>
        <stp>spmg94039268h</stp>
        <stp>quote</stp>
        <stp>/BRN&lt;5&gt;</stp>
        <stp>Description</stp>
        <stp>2</stp>
        <stp>daily</stp>
        <stp>Close</stp>
        <stp/>
        <stp/>
        <stp/>
        <stp>p</stp>
        <stp/>
        <stp/>
        <stp/>
        <stp/>
        <stp/>
        <stp>Hundredths</stp>
        <stp/>
        <stp>False</stp>
        <tr r="G2" s="1"/>
      </tp>
      <tp t="s">
        <v>ICE Brent Crude Oil Futures (3rd Month)</v>
        <stp>spmg94039268h</stp>
        <stp>quote</stp>
        <stp>/BRN&lt;2&gt;</stp>
        <stp>Description</stp>
        <stp>2</stp>
        <stp>daily</stp>
        <stp>Close</stp>
        <stp/>
        <stp/>
        <stp/>
        <stp>p</stp>
        <stp/>
        <stp/>
        <stp/>
        <stp/>
        <stp/>
        <stp>Hundredths</stp>
        <stp/>
        <stp>False</stp>
        <tr r="D2" s="1"/>
      </tp>
      <tp t="s">
        <v>ICE Brent Crude Oil Futures (4th Month)</v>
        <stp>spmg94039268h</stp>
        <stp>quote</stp>
        <stp>/BRN&lt;3&gt;</stp>
        <stp>Description</stp>
        <stp>2</stp>
        <stp>daily</stp>
        <stp>Close</stp>
        <stp/>
        <stp/>
        <stp/>
        <stp>p</stp>
        <stp/>
        <stp/>
        <stp/>
        <stp/>
        <stp/>
        <stp>Hundredths</stp>
        <stp/>
        <stp>False</stp>
        <tr r="E2" s="1"/>
      </tp>
      <tp t="s">
        <v>ICE Brent Crude Oil Futures (Front Month)</v>
        <stp>spmg94039268h</stp>
        <stp>quote</stp>
        <stp>/BRN&lt;0&gt;</stp>
        <stp>Description</stp>
        <stp>2</stp>
        <stp>daily</stp>
        <stp>Close</stp>
        <stp/>
        <stp/>
        <stp/>
        <stp>p</stp>
        <stp/>
        <stp/>
        <stp/>
        <stp/>
        <stp/>
        <stp>Hundredths</stp>
        <stp/>
        <stp>False</stp>
        <tr r="B2" s="1"/>
      </tp>
      <tp t="s">
        <v>ICE Brent Crude Oil Futures (2nd Month)</v>
        <stp>spmg94039268h</stp>
        <stp>quote</stp>
        <stp>/BRN&lt;1&gt;</stp>
        <stp>Description</stp>
        <stp>2</stp>
        <stp>daily</stp>
        <stp>Close</stp>
        <stp/>
        <stp/>
        <stp/>
        <stp>p</stp>
        <stp/>
        <stp/>
        <stp/>
        <stp/>
        <stp/>
        <stp>Hundredths</stp>
        <stp/>
        <stp>False</stp>
        <tr r="C2" s="1"/>
      </tp>
      <tp>
        <v>74.11</v>
        <stp>spmg94039268h</stp>
        <stp>daily</stp>
        <stp>/BRN&lt;10&gt;</stp>
        <stp>Close</stp>
        <stp>3/9/2026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L2373" s="1"/>
        <tr r="L2373" s="1"/>
      </tp>
      <tp>
        <v>73.47</v>
        <stp>spmg94039268h</stp>
        <stp>daily</stp>
        <stp>/BRN&lt;11&gt;</stp>
        <stp>Close</stp>
        <stp>3/9/2026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M2373" s="1"/>
        <tr r="M2373" s="1"/>
      </tp>
      <tp>
        <v>68.52</v>
        <stp>spmg94039268h</stp>
        <stp>daily</stp>
        <stp>/BRN&lt;10&gt;</stp>
        <stp>Close</stp>
        <stp>3/2/2026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L2368" s="1"/>
        <tr r="L2368" s="1"/>
      </tp>
      <tp>
        <v>68.180000000000007</v>
        <stp>spmg94039268h</stp>
        <stp>daily</stp>
        <stp>/BRN&lt;11&gt;</stp>
        <stp>Close</stp>
        <stp>3/2/2026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M2368" s="1"/>
        <tr r="M2368" s="1"/>
      </tp>
      <tp>
        <v>68.72</v>
        <stp>spmg94039268h</stp>
        <stp>daily</stp>
        <stp>/BRN&lt;10&gt;</stp>
        <stp>Close</stp>
        <stp>3/3/2026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L2369" s="1"/>
        <tr r="L2369" s="1"/>
      </tp>
      <tp>
        <v>68.34</v>
        <stp>spmg94039268h</stp>
        <stp>daily</stp>
        <stp>/BRN&lt;11&gt;</stp>
        <stp>Close</stp>
        <stp>3/3/2026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M2369" s="1"/>
        <tr r="M2369" s="1"/>
      </tp>
      <tp>
        <v>69.12</v>
        <stp>spmg94039268h</stp>
        <stp>daily</stp>
        <stp>/BRN&lt;10&gt;</stp>
        <stp>Close</stp>
        <stp>3/4/2026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L2370" s="1"/>
        <tr r="L2370" s="1"/>
      </tp>
      <tp>
        <v>68.8</v>
        <stp>spmg94039268h</stp>
        <stp>daily</stp>
        <stp>/BRN&lt;11&gt;</stp>
        <stp>Close</stp>
        <stp>3/4/2026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M2370" s="1"/>
        <tr r="M2370" s="1"/>
      </tp>
      <tp>
        <v>70.239999999999995</v>
        <stp>spmg94039268h</stp>
        <stp>daily</stp>
        <stp>/BRN&lt;10&gt;</stp>
        <stp>Close</stp>
        <stp>3/5/2026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L2371" s="1"/>
        <tr r="L2371" s="1"/>
      </tp>
      <tp>
        <v>69.89</v>
        <stp>spmg94039268h</stp>
        <stp>daily</stp>
        <stp>/BRN&lt;11&gt;</stp>
        <stp>Close</stp>
        <stp>3/5/2026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M2371" s="1"/>
        <tr r="M2371" s="1"/>
      </tp>
      <tp>
        <v>56.06</v>
        <stp>spmg94039268h</stp>
        <stp>daily</stp>
        <stp>/GCL&lt;10&gt;</stp>
        <stp>Close</stp>
        <stp>1/3/2017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X4" s="1"/>
        <tr r="X4" s="1"/>
      </tp>
      <tp>
        <v>56</v>
        <stp>spmg94039268h</stp>
        <stp>daily</stp>
        <stp>/GCL&lt;11&gt;</stp>
        <stp>Close</stp>
        <stp>1/3/2017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Y4" s="1"/>
        <tr r="Y4" s="1"/>
      </tp>
      <tp>
        <v>71.960000000000008</v>
        <stp>spmg94039268h</stp>
        <stp>daily</stp>
        <stp>/BRN&lt;10&gt;</stp>
        <stp>Close</stp>
        <stp>3/6/2026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L2372" s="1"/>
        <tr r="L2372" s="1"/>
      </tp>
      <tp>
        <v>71.48</v>
        <stp>spmg94039268h</stp>
        <stp>daily</stp>
        <stp>/BRN&lt;11&gt;</stp>
        <stp>Close</stp>
        <stp>3/6/2026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M2372" s="1"/>
        <tr r="M2372" s="1"/>
      </tp>
      <tp>
        <v>68.489999999999995</v>
        <stp>spmg94039268h</stp>
        <stp>daily</stp>
        <stp>/GCL&lt;11&gt;</stp>
        <stp>Close</stp>
        <stp>3/9/2026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Y2373" s="1"/>
        <tr r="Y2373" s="1"/>
      </tp>
      <tp>
        <v>69.19</v>
        <stp>spmg94039268h</stp>
        <stp>daily</stp>
        <stp>/GCL&lt;10&gt;</stp>
        <stp>Close</stp>
        <stp>3/9/2026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X2373" s="1"/>
        <tr r="X2373" s="1"/>
      </tp>
      <tp>
        <v>57.52</v>
        <stp>spmg94039268h</stp>
        <stp>daily</stp>
        <stp>/BRN&lt;11&gt;</stp>
        <stp>Close</stp>
        <stp>1/3/2017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M4" s="1"/>
        <tr r="M4" s="1"/>
      </tp>
      <tp>
        <v>57.56</v>
        <stp>spmg94039268h</stp>
        <stp>daily</stp>
        <stp>/BRN&lt;10&gt;</stp>
        <stp>Close</stp>
        <stp>1/3/2017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L4" s="1"/>
        <tr r="L4" s="1"/>
      </tp>
      <tp>
        <v>65.599999999999994</v>
        <stp>spmg94039268h</stp>
        <stp>daily</stp>
        <stp>/GCL&lt;11&gt;</stp>
        <stp>Close</stp>
        <stp>3/5/2026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Y2371" s="1"/>
        <tr r="Y2371" s="1"/>
      </tp>
      <tp>
        <v>66.03</v>
        <stp>spmg94039268h</stp>
        <stp>daily</stp>
        <stp>/GCL&lt;10&gt;</stp>
        <stp>Close</stp>
        <stp>3/5/2026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X2371" s="1"/>
        <tr r="X2371" s="1"/>
      </tp>
      <tp>
        <v>64.27</v>
        <stp>spmg94039268h</stp>
        <stp>daily</stp>
        <stp>/GCL&lt;11&gt;</stp>
        <stp>Close</stp>
        <stp>3/4/2026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Y2370" s="1"/>
        <tr r="Y2370" s="1"/>
      </tp>
      <tp>
        <v>64.63</v>
        <stp>spmg94039268h</stp>
        <stp>daily</stp>
        <stp>/GCL&lt;10&gt;</stp>
        <stp>Close</stp>
        <stp>3/4/2026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X2370" s="1"/>
        <tr r="X2370" s="1"/>
      </tp>
      <tp>
        <v>66.98</v>
        <stp>spmg94039268h</stp>
        <stp>daily</stp>
        <stp>/GCL&lt;11&gt;</stp>
        <stp>Close</stp>
        <stp>3/6/2026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Y2372" s="1"/>
        <tr r="Y2372" s="1"/>
      </tp>
      <tp>
        <v>67.59</v>
        <stp>spmg94039268h</stp>
        <stp>daily</stp>
        <stp>/GCL&lt;10&gt;</stp>
        <stp>Close</stp>
        <stp>3/6/2026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X2372" s="1"/>
        <tr r="X2372" s="1"/>
      </tp>
      <tp>
        <v>63.6</v>
        <stp>spmg94039268h</stp>
        <stp>daily</stp>
        <stp>/GCL&lt;11&gt;</stp>
        <stp>Close</stp>
        <stp>3/3/2026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Y2369" s="1"/>
        <tr r="Y2369" s="1"/>
      </tp>
      <tp>
        <v>64.03</v>
        <stp>spmg94039268h</stp>
        <stp>daily</stp>
        <stp>/GCL&lt;10&gt;</stp>
        <stp>Close</stp>
        <stp>3/3/2026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X2369" s="1"/>
        <tr r="X2369" s="1"/>
      </tp>
      <tp>
        <v>63.410000000000004</v>
        <stp>spmg94039268h</stp>
        <stp>daily</stp>
        <stp>/GCL&lt;11&gt;</stp>
        <stp>Close</stp>
        <stp>3/2/2026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Y2368" s="1"/>
        <tr r="Y2368" s="1"/>
      </tp>
      <tp>
        <v>63.77</v>
        <stp>spmg94039268h</stp>
        <stp>daily</stp>
        <stp>/GCL&lt;10&gt;</stp>
        <stp>Close</stp>
        <stp>3/2/2026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X2368" s="1"/>
        <tr r="X2368" s="1"/>
      </tp>
      <tp>
        <v>100.21000000000001</v>
        <stp>spmg94039268h</stp>
        <stp>daily</stp>
        <stp>/BRN&lt;0&gt;</stp>
        <stp>Close</stp>
        <stp>3/16/2026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B2378" s="1"/>
        <tr r="B2378" s="1"/>
      </tp>
      <tp>
        <v>99.39</v>
        <stp>spmg94039268h</stp>
        <stp>daily</stp>
        <stp>/BRN&lt;1&gt;</stp>
        <stp>Close</stp>
        <stp>3/17/2026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C2379" s="1"/>
        <tr r="C2379" s="1"/>
      </tp>
      <tp>
        <v>86.8</v>
        <stp>spmg94039268h</stp>
        <stp>daily</stp>
        <stp>/BRN&lt;4&gt;</stp>
        <stp>Close</stp>
        <stp>3/12/2026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F2376" s="1"/>
        <tr r="F2376" s="1"/>
      </tp>
      <tp>
        <v>85.66</v>
        <stp>spmg94039268h</stp>
        <stp>daily</stp>
        <stp>/BRN&lt;5&gt;</stp>
        <stp>Close</stp>
        <stp>3/13/2026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G2377" s="1"/>
        <tr r="G2377" s="1"/>
      </tp>
      <tp>
        <v>75.69</v>
        <stp>spmg94039268h</stp>
        <stp>daily</stp>
        <stp>/BRN&lt;6&gt;</stp>
        <stp>Close</stp>
        <stp>3/10/2026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H2374" s="1"/>
        <tr r="H2374" s="1"/>
      </tp>
      <tp>
        <v>77.77</v>
        <stp>spmg94039268h</stp>
        <stp>daily</stp>
        <stp>/BRN&lt;7&gt;</stp>
        <stp>Close</stp>
        <stp>3/11/2026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I2375" s="1"/>
        <tr r="I2375" s="1"/>
      </tp>
      <tp>
        <v>103.42</v>
        <stp>spmg94039268h</stp>
        <stp>daily</stp>
        <stp>/BRN&lt;0&gt;</stp>
        <stp>Close</stp>
        <stp>3/17/2026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B2379" s="1"/>
        <tr r="B2379" s="1"/>
      </tp>
      <tp>
        <v>96.04</v>
        <stp>spmg94039268h</stp>
        <stp>daily</stp>
        <stp>/BRN&lt;1&gt;</stp>
        <stp>Close</stp>
        <stp>3/16/2026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C2378" s="1"/>
        <tr r="C2378" s="1"/>
      </tp>
      <tp>
        <v>88.11</v>
        <stp>spmg94039268h</stp>
        <stp>daily</stp>
        <stp>/BRN&lt;4&gt;</stp>
        <stp>Close</stp>
        <stp>3/13/2026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F2377" s="1"/>
        <tr r="F2377" s="1"/>
      </tp>
      <tp>
        <v>84.42</v>
        <stp>spmg94039268h</stp>
        <stp>daily</stp>
        <stp>/BRN&lt;5&gt;</stp>
        <stp>Close</stp>
        <stp>3/12/2026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G2376" s="1"/>
        <tr r="G2376" s="1"/>
      </tp>
      <tp>
        <v>79.03</v>
        <stp>spmg94039268h</stp>
        <stp>daily</stp>
        <stp>/BRN&lt;6&gt;</stp>
        <stp>Close</stp>
        <stp>3/11/2026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H2375" s="1"/>
        <tr r="H2375" s="1"/>
      </tp>
      <tp>
        <v>74.7</v>
        <stp>spmg94039268h</stp>
        <stp>daily</stp>
        <stp>/BRN&lt;7&gt;</stp>
        <stp>Close</stp>
        <stp>3/10/2026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I2374" s="1"/>
        <tr r="I2374" s="1"/>
      </tp>
      <tp>
        <v>91.76</v>
        <stp>spmg94039268h</stp>
        <stp>daily</stp>
        <stp>/BRN&lt;2&gt;</stp>
        <stp>Close</stp>
        <stp>3/16/2026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D2378" s="1"/>
        <tr r="D2378" s="1"/>
      </tp>
      <tp>
        <v>91.210000000000008</v>
        <stp>spmg94039268h</stp>
        <stp>daily</stp>
        <stp>/BRN&lt;3&gt;</stp>
        <stp>Close</stp>
        <stp>3/17/2026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E2379" s="1"/>
        <tr r="E2379" s="1"/>
      </tp>
      <tp>
        <v>78.44</v>
        <stp>spmg94039268h</stp>
        <stp>daily</stp>
        <stp>/BRN&lt;4&gt;</stp>
        <stp>Close</stp>
        <stp>3/10/2026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F2374" s="1"/>
        <tr r="F2374" s="1"/>
      </tp>
      <tp>
        <v>80.510000000000005</v>
        <stp>spmg94039268h</stp>
        <stp>daily</stp>
        <stp>/BRN&lt;5&gt;</stp>
        <stp>Close</stp>
        <stp>3/11/2026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G2375" s="1"/>
        <tr r="G2375" s="1"/>
      </tp>
      <tp>
        <v>82.41</v>
        <stp>spmg94039268h</stp>
        <stp>daily</stp>
        <stp>/BRN&lt;6&gt;</stp>
        <stp>Close</stp>
        <stp>3/12/2026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H2376" s="1"/>
        <tr r="H2376" s="1"/>
      </tp>
      <tp>
        <v>81.97</v>
        <stp>spmg94039268h</stp>
        <stp>daily</stp>
        <stp>/BRN&lt;7&gt;</stp>
        <stp>Close</stp>
        <stp>3/13/2026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I2377" s="1"/>
        <tr r="I2377" s="1"/>
      </tp>
      <tp>
        <v>95.02</v>
        <stp>spmg94039268h</stp>
        <stp>daily</stp>
        <stp>/BRN&lt;2&gt;</stp>
        <stp>Close</stp>
        <stp>3/17/2026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D2379" s="1"/>
        <tr r="D2379" s="1"/>
      </tp>
      <tp>
        <v>88.22</v>
        <stp>spmg94039268h</stp>
        <stp>daily</stp>
        <stp>/BRN&lt;3&gt;</stp>
        <stp>Close</stp>
        <stp>3/16/2026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E2378" s="1"/>
        <tr r="E2378" s="1"/>
      </tp>
      <tp>
        <v>82.28</v>
        <stp>spmg94039268h</stp>
        <stp>daily</stp>
        <stp>/BRN&lt;4&gt;</stp>
        <stp>Close</stp>
        <stp>3/11/2026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F2375" s="1"/>
        <tr r="F2375" s="1"/>
      </tp>
      <tp>
        <v>76.91</v>
        <stp>spmg94039268h</stp>
        <stp>daily</stp>
        <stp>/BRN&lt;5&gt;</stp>
        <stp>Close</stp>
        <stp>3/10/2026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G2374" s="1"/>
        <tr r="G2374" s="1"/>
      </tp>
      <tp>
        <v>83.64</v>
        <stp>spmg94039268h</stp>
        <stp>daily</stp>
        <stp>/BRN&lt;6&gt;</stp>
        <stp>Close</stp>
        <stp>3/13/2026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H2377" s="1"/>
        <tr r="H2377" s="1"/>
      </tp>
      <tp>
        <v>80.72</v>
        <stp>spmg94039268h</stp>
        <stp>daily</stp>
        <stp>/BRN&lt;7&gt;</stp>
        <stp>Close</stp>
        <stp>3/12/2026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I2376" s="1"/>
        <tr r="I2376" s="1"/>
      </tp>
      <tp>
        <v>100.46000000000001</v>
        <stp>spmg94039268h</stp>
        <stp>daily</stp>
        <stp>/BRN&lt;0&gt;</stp>
        <stp>Close</stp>
        <stp>3/12/2026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B2376" s="1"/>
        <tr r="B2376" s="1"/>
      </tp>
      <tp>
        <v>98.91</v>
        <stp>spmg94039268h</stp>
        <stp>daily</stp>
        <stp>/BRN&lt;1&gt;</stp>
        <stp>Close</stp>
        <stp>3/13/2026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C2377" s="1"/>
        <tr r="C2377" s="1"/>
      </tp>
      <tp>
        <v>82.600000000000009</v>
        <stp>spmg94039268h</stp>
        <stp>daily</stp>
        <stp>/BRN&lt;2&gt;</stp>
        <stp>Close</stp>
        <stp>3/10/2026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D2374" s="1"/>
        <tr r="D2374" s="1"/>
      </tp>
      <tp>
        <v>84.320000000000007</v>
        <stp>spmg94039268h</stp>
        <stp>daily</stp>
        <stp>/BRN&lt;3&gt;</stp>
        <stp>Close</stp>
        <stp>3/11/2026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E2375" s="1"/>
        <tr r="E2375" s="1"/>
      </tp>
      <tp>
        <v>85.52</v>
        <stp>spmg94039268h</stp>
        <stp>daily</stp>
        <stp>/BRN&lt;4&gt;</stp>
        <stp>Close</stp>
        <stp>3/16/2026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F2378" s="1"/>
        <tr r="F2378" s="1"/>
      </tp>
      <tp>
        <v>85.79</v>
        <stp>spmg94039268h</stp>
        <stp>daily</stp>
        <stp>/BRN&lt;5&gt;</stp>
        <stp>Close</stp>
        <stp>3/17/2026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G2379" s="1"/>
        <tr r="G2379" s="1"/>
      </tp>
      <tp>
        <v>103.14</v>
        <stp>spmg94039268h</stp>
        <stp>daily</stp>
        <stp>/BRN&lt;0&gt;</stp>
        <stp>Close</stp>
        <stp>3/13/2026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B2377" s="1"/>
        <tr r="B2377" s="1"/>
      </tp>
      <tp>
        <v>96.63</v>
        <stp>spmg94039268h</stp>
        <stp>daily</stp>
        <stp>/BRN&lt;1&gt;</stp>
        <stp>Close</stp>
        <stp>3/12/2026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C2376" s="1"/>
        <tr r="C2376" s="1"/>
      </tp>
      <tp>
        <v>86.710000000000008</v>
        <stp>spmg94039268h</stp>
        <stp>daily</stp>
        <stp>/BRN&lt;2&gt;</stp>
        <stp>Close</stp>
        <stp>3/11/2026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D2375" s="1"/>
        <tr r="D2375" s="1"/>
      </tp>
      <tp>
        <v>80.290000000000006</v>
        <stp>spmg94039268h</stp>
        <stp>daily</stp>
        <stp>/BRN&lt;3&gt;</stp>
        <stp>Close</stp>
        <stp>3/10/2026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E2374" s="1"/>
        <tr r="E2374" s="1"/>
      </tp>
      <tp>
        <v>88.210000000000008</v>
        <stp>spmg94039268h</stp>
        <stp>daily</stp>
        <stp>/BRN&lt;4&gt;</stp>
        <stp>Close</stp>
        <stp>3/17/2026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F2379" s="1"/>
        <tr r="F2379" s="1"/>
      </tp>
      <tp>
        <v>83.4</v>
        <stp>spmg94039268h</stp>
        <stp>daily</stp>
        <stp>/BRN&lt;5&gt;</stp>
        <stp>Close</stp>
        <stp>3/16/2026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G2378" s="1"/>
        <tr r="G2378" s="1"/>
      </tp>
      <tp>
        <v>87.8</v>
        <stp>spmg94039268h</stp>
        <stp>daily</stp>
        <stp>/BRN&lt;0&gt;</stp>
        <stp>Close</stp>
        <stp>3/10/2026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B2374" s="1"/>
        <tr r="B2374" s="1"/>
      </tp>
      <tp>
        <v>89.350000000000009</v>
        <stp>spmg94039268h</stp>
        <stp>daily</stp>
        <stp>/BRN&lt;1&gt;</stp>
        <stp>Close</stp>
        <stp>3/11/2026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C2375" s="1"/>
        <tr r="C2375" s="1"/>
      </tp>
      <tp>
        <v>92.88</v>
        <stp>spmg94039268h</stp>
        <stp>daily</stp>
        <stp>/BRN&lt;2&gt;</stp>
        <stp>Close</stp>
        <stp>3/12/2026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D2376" s="1"/>
        <tr r="D2376" s="1"/>
      </tp>
      <tp>
        <v>91.03</v>
        <stp>spmg94039268h</stp>
        <stp>daily</stp>
        <stp>/BRN&lt;3&gt;</stp>
        <stp>Close</stp>
        <stp>3/13/2026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E2377" s="1"/>
        <tr r="E2377" s="1"/>
      </tp>
      <tp>
        <v>81.75</v>
        <stp>spmg94039268h</stp>
        <stp>daily</stp>
        <stp>/BRN&lt;6&gt;</stp>
        <stp>Close</stp>
        <stp>3/16/2026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H2378" s="1"/>
        <tr r="H2378" s="1"/>
      </tp>
      <tp>
        <v>82.47</v>
        <stp>spmg94039268h</stp>
        <stp>daily</stp>
        <stp>/BRN&lt;7&gt;</stp>
        <stp>Close</stp>
        <stp>3/17/2026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I2379" s="1"/>
        <tr r="I2379" s="1"/>
      </tp>
      <tp>
        <v>83.39</v>
        <stp>spmg94039268h</stp>
        <stp>daily</stp>
        <stp>/BRN&lt;8&gt;</stp>
        <stp>Close</stp>
        <stp>3/18/2026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J2380" s="1"/>
        <tr r="J2380" s="1"/>
      </tp>
      <tp>
        <v>82.92</v>
        <stp>spmg94039268h</stp>
        <stp>daily</stp>
        <stp>/BRN&lt;9&gt;</stp>
        <stp>Close</stp>
        <stp>3/19/2026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K2381" s="1"/>
        <tr r="K2381" s="1"/>
      </tp>
      <tp>
        <v>91.98</v>
        <stp>spmg94039268h</stp>
        <stp>daily</stp>
        <stp>/BRN&lt;0&gt;</stp>
        <stp>Close</stp>
        <stp>3/11/2026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B2375" s="1"/>
        <tr r="B2375" s="1"/>
      </tp>
      <tp>
        <v>85.27</v>
        <stp>spmg94039268h</stp>
        <stp>daily</stp>
        <stp>/BRN&lt;1&gt;</stp>
        <stp>Close</stp>
        <stp>3/10/2026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C2374" s="1"/>
        <tr r="C2374" s="1"/>
      </tp>
      <tp>
        <v>94.67</v>
        <stp>spmg94039268h</stp>
        <stp>daily</stp>
        <stp>/BRN&lt;2&gt;</stp>
        <stp>Close</stp>
        <stp>3/13/2026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D2377" s="1"/>
        <tr r="D2377" s="1"/>
      </tp>
      <tp>
        <v>89.55</v>
        <stp>spmg94039268h</stp>
        <stp>daily</stp>
        <stp>/BRN&lt;3&gt;</stp>
        <stp>Close</stp>
        <stp>3/12/2026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E2376" s="1"/>
        <tr r="E2376" s="1"/>
      </tp>
      <tp>
        <v>83.95</v>
        <stp>spmg94039268h</stp>
        <stp>daily</stp>
        <stp>/BRN&lt;6&gt;</stp>
        <stp>Close</stp>
        <stp>3/17/2026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H2379" s="1"/>
        <tr r="H2379" s="1"/>
      </tp>
      <tp>
        <v>80.42</v>
        <stp>spmg94039268h</stp>
        <stp>daily</stp>
        <stp>/BRN&lt;7&gt;</stp>
        <stp>Close</stp>
        <stp>3/16/2026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I2378" s="1"/>
        <tr r="I2378" s="1"/>
      </tp>
      <tp>
        <v>83.960000000000008</v>
        <stp>spmg94039268h</stp>
        <stp>daily</stp>
        <stp>/BRN&lt;8&gt;</stp>
        <stp>Close</stp>
        <stp>3/19/2026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J2381" s="1"/>
        <tr r="J2381" s="1"/>
      </tp>
      <tp>
        <v>82.210000000000008</v>
        <stp>spmg94039268h</stp>
        <stp>daily</stp>
        <stp>/BRN&lt;9&gt;</stp>
        <stp>Close</stp>
        <stp>3/18/2026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K2380" s="1"/>
        <tr r="K2380" s="1"/>
      </tp>
      <tp>
        <v>86.26</v>
        <stp>spmg94039268h</stp>
        <stp>daily</stp>
        <stp>/BRN&lt;6&gt;</stp>
        <stp>Close</stp>
        <stp>3/18/2026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H2380" s="1"/>
        <tr r="H2380" s="1"/>
      </tp>
      <tp>
        <v>85.18</v>
        <stp>spmg94039268h</stp>
        <stp>daily</stp>
        <stp>/BRN&lt;7&gt;</stp>
        <stp>Close</stp>
        <stp>3/19/2026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I2381" s="1"/>
        <tr r="I2381" s="1"/>
      </tp>
      <tp>
        <v>79.23</v>
        <stp>spmg94039268h</stp>
        <stp>daily</stp>
        <stp>/BRN&lt;8&gt;</stp>
        <stp>Close</stp>
        <stp>3/16/2026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J2378" s="1"/>
        <tr r="J2378" s="1"/>
      </tp>
      <tp>
        <v>79.960000000000008</v>
        <stp>spmg94039268h</stp>
        <stp>daily</stp>
        <stp>/BRN&lt;9&gt;</stp>
        <stp>Close</stp>
        <stp>3/17/2026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K2379" s="1"/>
        <tr r="K2379" s="1"/>
      </tp>
      <tp>
        <v>86.570000000000007</v>
        <stp>spmg94039268h</stp>
        <stp>daily</stp>
        <stp>/BRN&lt;6&gt;</stp>
        <stp>Close</stp>
        <stp>3/19/2026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H2381" s="1"/>
        <tr r="H2381" s="1"/>
      </tp>
      <tp>
        <v>84.74</v>
        <stp>spmg94039268h</stp>
        <stp>daily</stp>
        <stp>/BRN&lt;7&gt;</stp>
        <stp>Close</stp>
        <stp>3/18/2026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I2380" s="1"/>
        <tr r="I2380" s="1"/>
      </tp>
      <tp>
        <v>81.14</v>
        <stp>spmg94039268h</stp>
        <stp>daily</stp>
        <stp>/BRN&lt;8&gt;</stp>
        <stp>Close</stp>
        <stp>3/17/2026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J2379" s="1"/>
        <tr r="J2379" s="1"/>
      </tp>
      <tp>
        <v>78.19</v>
        <stp>spmg94039268h</stp>
        <stp>daily</stp>
        <stp>/BRN&lt;9&gt;</stp>
        <stp>Close</stp>
        <stp>3/16/2026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K2378" s="1"/>
        <tr r="K2378" s="1"/>
      </tp>
      <tp>
        <v>90.76</v>
        <stp>spmg94039268h</stp>
        <stp>daily</stp>
        <stp>/BRN&lt;4&gt;</stp>
        <stp>Close</stp>
        <stp>3/18/2026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F2380" s="1"/>
        <tr r="F2380" s="1"/>
      </tp>
      <tp>
        <v>88.39</v>
        <stp>spmg94039268h</stp>
        <stp>daily</stp>
        <stp>/BRN&lt;5&gt;</stp>
        <stp>Close</stp>
        <stp>3/19/2026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G2381" s="1"/>
        <tr r="G2381" s="1"/>
      </tp>
      <tp>
        <v>90.89</v>
        <stp>spmg94039268h</stp>
        <stp>daily</stp>
        <stp>/BRN&lt;4&gt;</stp>
        <stp>Close</stp>
        <stp>3/19/2026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F2381" s="1"/>
        <tr r="F2381" s="1"/>
      </tp>
      <tp>
        <v>88.19</v>
        <stp>spmg94039268h</stp>
        <stp>daily</stp>
        <stp>/BRN&lt;5&gt;</stp>
        <stp>Close</stp>
        <stp>3/18/2026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G2380" s="1"/>
        <tr r="G2380" s="1"/>
      </tp>
      <tp>
        <v>98.16</v>
        <stp>spmg94039268h</stp>
        <stp>daily</stp>
        <stp>/BRN&lt;2&gt;</stp>
        <stp>Close</stp>
        <stp>3/18/2026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D2380" s="1"/>
        <tr r="D2380" s="1"/>
      </tp>
      <tp>
        <v>94.05</v>
        <stp>spmg94039268h</stp>
        <stp>daily</stp>
        <stp>/BRN&lt;3&gt;</stp>
        <stp>Close</stp>
        <stp>3/19/2026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E2381" s="1"/>
        <tr r="E2381" s="1"/>
      </tp>
      <tp>
        <v>79.239999999999995</v>
        <stp>spmg94039268h</stp>
        <stp>daily</stp>
        <stp>/BRN&lt;8&gt;</stp>
        <stp>Close</stp>
        <stp>3/12/2026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J2376" s="1"/>
        <tr r="J2376" s="1"/>
      </tp>
      <tp>
        <v>79.210000000000008</v>
        <stp>spmg94039268h</stp>
        <stp>daily</stp>
        <stp>/BRN&lt;9&gt;</stp>
        <stp>Close</stp>
        <stp>3/13/2026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K2377" s="1"/>
        <tr r="K2377" s="1"/>
      </tp>
      <tp>
        <v>98.460000000000008</v>
        <stp>spmg94039268h</stp>
        <stp>daily</stp>
        <stp>/BRN&lt;2&gt;</stp>
        <stp>Close</stp>
        <stp>3/19/2026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D2381" s="1"/>
        <tr r="D2381" s="1"/>
      </tp>
      <tp>
        <v>94.01</v>
        <stp>spmg94039268h</stp>
        <stp>daily</stp>
        <stp>/BRN&lt;3&gt;</stp>
        <stp>Close</stp>
        <stp>3/18/2026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E2380" s="1"/>
        <tr r="E2380" s="1"/>
      </tp>
      <tp>
        <v>80.48</v>
        <stp>spmg94039268h</stp>
        <stp>daily</stp>
        <stp>/BRN&lt;8&gt;</stp>
        <stp>Close</stp>
        <stp>3/13/2026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J2377" s="1"/>
        <tr r="J2377" s="1"/>
      </tp>
      <tp>
        <v>77.98</v>
        <stp>spmg94039268h</stp>
        <stp>daily</stp>
        <stp>/BRN&lt;9&gt;</stp>
        <stp>Close</stp>
        <stp>3/12/2026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K2376" s="1"/>
        <tr r="K2376" s="1"/>
      </tp>
      <tp>
        <v>107.38</v>
        <stp>spmg94039268h</stp>
        <stp>daily</stp>
        <stp>/BRN&lt;0&gt;</stp>
        <stp>Close</stp>
        <stp>3/18/2026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B2380" s="1"/>
        <tr r="B2380" s="1"/>
      </tp>
      <tp>
        <v>103.78</v>
        <stp>spmg94039268h</stp>
        <stp>daily</stp>
        <stp>/BRN&lt;1&gt;</stp>
        <stp>Close</stp>
        <stp>3/19/2026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C2381" s="1"/>
        <tr r="C2381" s="1"/>
      </tp>
      <tp>
        <v>73.820000000000007</v>
        <stp>spmg94039268h</stp>
        <stp>daily</stp>
        <stp>/BRN&lt;8&gt;</stp>
        <stp>Close</stp>
        <stp>3/10/2026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J2374" s="1"/>
        <tr r="J2374" s="1"/>
      </tp>
      <tp>
        <v>75.64</v>
        <stp>spmg94039268h</stp>
        <stp>daily</stp>
        <stp>/BRN&lt;9&gt;</stp>
        <stp>Close</stp>
        <stp>3/11/2026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K2375" s="1"/>
        <tr r="K2375" s="1"/>
      </tp>
      <tp>
        <v>108.65</v>
        <stp>spmg94039268h</stp>
        <stp>daily</stp>
        <stp>/BRN&lt;0&gt;</stp>
        <stp>Close</stp>
        <stp>3/19/2026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B2381" s="1"/>
        <tr r="B2381" s="1"/>
      </tp>
      <tp>
        <v>102.92</v>
        <stp>spmg94039268h</stp>
        <stp>daily</stp>
        <stp>/BRN&lt;1&gt;</stp>
        <stp>Close</stp>
        <stp>3/18/2026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C2380" s="1"/>
        <tr r="C2380" s="1"/>
      </tp>
      <tp>
        <v>76.63</v>
        <stp>spmg94039268h</stp>
        <stp>daily</stp>
        <stp>/BRN&lt;8&gt;</stp>
        <stp>Close</stp>
        <stp>3/11/2026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J2375" s="1"/>
        <tr r="J2375" s="1"/>
      </tp>
      <tp>
        <v>73.09</v>
        <stp>spmg94039268h</stp>
        <stp>daily</stp>
        <stp>/BRN&lt;9&gt;</stp>
        <stp>Close</stp>
        <stp>3/10/2026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K2374" s="1"/>
        <tr r="K2374" s="1"/>
      </tp>
      <tp>
        <v>86.78</v>
        <stp>spmg94039268h</stp>
        <stp>daily</stp>
        <stp>/BRN&lt;6&gt;</stp>
        <stp>Close</stp>
        <stp>3/20/2026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H2382" s="1"/>
        <tr r="H2382" s="1"/>
      </tp>
      <tp>
        <v>85.39</v>
        <stp>spmg94039268h</stp>
        <stp>daily</stp>
        <stp>/BRN&lt;7&gt;</stp>
        <stp>Close</stp>
        <stp>3/20/2026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I2382" s="1"/>
        <tr r="I2382" s="1"/>
      </tp>
      <tp>
        <v>91.100000000000009</v>
        <stp>spmg94039268h</stp>
        <stp>daily</stp>
        <stp>/BRN&lt;4&gt;</stp>
        <stp>Close</stp>
        <stp>3/20/2026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F2382" s="1"/>
        <tr r="F2382" s="1"/>
      </tp>
      <tp>
        <v>88.570000000000007</v>
        <stp>spmg94039268h</stp>
        <stp>daily</stp>
        <stp>/BRN&lt;5&gt;</stp>
        <stp>Close</stp>
        <stp>3/20/2026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G2382" s="1"/>
        <tr r="G2382" s="1"/>
      </tp>
      <tp>
        <v>98.97</v>
        <stp>spmg94039268h</stp>
        <stp>daily</stp>
        <stp>/BRN&lt;2&gt;</stp>
        <stp>Close</stp>
        <stp>3/20/2026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D2382" s="1"/>
        <tr r="D2382" s="1"/>
      </tp>
      <tp>
        <v>94.36</v>
        <stp>spmg94039268h</stp>
        <stp>daily</stp>
        <stp>/BRN&lt;3&gt;</stp>
        <stp>Close</stp>
        <stp>3/20/2026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E2382" s="1"/>
        <tr r="E2382" s="1"/>
      </tp>
      <tp>
        <v>108.62</v>
        <stp>spmg94039268h</stp>
        <stp>daily</stp>
        <stp>/BRN&lt;0&gt;</stp>
        <stp>Close</stp>
        <stp>3/20/2026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B2382" s="1"/>
        <tr r="B2382" s="1"/>
      </tp>
      <tp>
        <v>104.42</v>
        <stp>spmg94039268h</stp>
        <stp>daily</stp>
        <stp>/BRN&lt;1&gt;</stp>
        <stp>Close</stp>
        <stp>3/20/2026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C2382" s="1"/>
        <tr r="C2382" s="1"/>
      </tp>
      <tp>
        <v>84.24</v>
        <stp>spmg94039268h</stp>
        <stp>daily</stp>
        <stp>/BRN&lt;8&gt;</stp>
        <stp>Close</stp>
        <stp>3/20/2026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J2382" s="1"/>
        <tr r="J2382" s="1"/>
      </tp>
      <tp>
        <v>83.23</v>
        <stp>spmg94039268h</stp>
        <stp>daily</stp>
        <stp>/BRN&lt;9&gt;</stp>
        <stp>Close</stp>
        <stp>3/20/2026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K2382" s="1"/>
        <tr r="K2382" s="1"/>
      </tp>
      <tp>
        <v>98.710000000000008</v>
        <stp>spmg94039268h</stp>
        <stp>daily</stp>
        <stp>/GCL&lt;0&gt;</stp>
        <stp>Close</stp>
        <stp>3/13/2026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N2377" s="1"/>
        <tr r="N2377" s="1"/>
      </tp>
      <tp>
        <v>94.43</v>
        <stp>spmg94039268h</stp>
        <stp>daily</stp>
        <stp>/GCL&lt;1&gt;</stp>
        <stp>Close</stp>
        <stp>3/12/2026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O2376" s="1"/>
        <tr r="O2376" s="1"/>
      </tp>
      <tp>
        <v>83.48</v>
        <stp>spmg94039268h</stp>
        <stp>daily</stp>
        <stp>/GCL&lt;2&gt;</stp>
        <stp>Close</stp>
        <stp>3/11/2026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P2375" s="1"/>
        <tr r="P2375" s="1"/>
      </tp>
      <tp>
        <v>76.930000000000007</v>
        <stp>spmg94039268h</stp>
        <stp>daily</stp>
        <stp>/GCL&lt;3&gt;</stp>
        <stp>Close</stp>
        <stp>3/10/2026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Q2374" s="1"/>
        <tr r="Q2374" s="1"/>
      </tp>
      <tp>
        <v>84.42</v>
        <stp>spmg94039268h</stp>
        <stp>daily</stp>
        <stp>/GCL&lt;4&gt;</stp>
        <stp>Close</stp>
        <stp>3/17/2026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R2379" s="1"/>
        <tr r="R2379" s="1"/>
      </tp>
      <tp>
        <v>79.67</v>
        <stp>spmg94039268h</stp>
        <stp>daily</stp>
        <stp>/GCL&lt;5&gt;</stp>
        <stp>Close</stp>
        <stp>3/16/2026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S2378" s="1"/>
        <tr r="S2378" s="1"/>
      </tp>
      <tp>
        <v>95.73</v>
        <stp>spmg94039268h</stp>
        <stp>daily</stp>
        <stp>/GCL&lt;0&gt;</stp>
        <stp>Close</stp>
        <stp>3/12/2026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N2376" s="1"/>
        <tr r="N2376" s="1"/>
      </tp>
      <tp>
        <v>96.84</v>
        <stp>spmg94039268h</stp>
        <stp>daily</stp>
        <stp>/GCL&lt;1&gt;</stp>
        <stp>Close</stp>
        <stp>3/13/2026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O2377" s="1"/>
        <tr r="O2377" s="1"/>
      </tp>
      <tp>
        <v>79.44</v>
        <stp>spmg94039268h</stp>
        <stp>daily</stp>
        <stp>/GCL&lt;2&gt;</stp>
        <stp>Close</stp>
        <stp>3/10/2026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P2374" s="1"/>
        <tr r="P2374" s="1"/>
      </tp>
      <tp>
        <v>81.040000000000006</v>
        <stp>spmg94039268h</stp>
        <stp>daily</stp>
        <stp>/GCL&lt;3&gt;</stp>
        <stp>Close</stp>
        <stp>3/11/2026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Q2375" s="1"/>
        <tr r="Q2375" s="1"/>
      </tp>
      <tp>
        <v>82.04</v>
        <stp>spmg94039268h</stp>
        <stp>daily</stp>
        <stp>/GCL&lt;4&gt;</stp>
        <stp>Close</stp>
        <stp>3/16/2026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R2378" s="1"/>
        <tr r="R2378" s="1"/>
      </tp>
      <tp>
        <v>81.69</v>
        <stp>spmg94039268h</stp>
        <stp>daily</stp>
        <stp>/GCL&lt;5&gt;</stp>
        <stp>Close</stp>
        <stp>3/17/2026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S2379" s="1"/>
        <tr r="S2379" s="1"/>
      </tp>
      <tp>
        <v>87.25</v>
        <stp>spmg94039268h</stp>
        <stp>daily</stp>
        <stp>/GCL&lt;0&gt;</stp>
        <stp>Close</stp>
        <stp>3/11/2026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N2375" s="1"/>
        <tr r="N2375" s="1"/>
      </tp>
      <tp>
        <v>82.100000000000009</v>
        <stp>spmg94039268h</stp>
        <stp>daily</stp>
        <stp>/GCL&lt;1&gt;</stp>
        <stp>Close</stp>
        <stp>3/10/2026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O2374" s="1"/>
        <tr r="O2374" s="1"/>
      </tp>
      <tp>
        <v>92.48</v>
        <stp>spmg94039268h</stp>
        <stp>daily</stp>
        <stp>/GCL&lt;2&gt;</stp>
        <stp>Close</stp>
        <stp>3/13/2026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P2377" s="1"/>
        <tr r="P2377" s="1"/>
      </tp>
      <tp>
        <v>86.97</v>
        <stp>spmg94039268h</stp>
        <stp>daily</stp>
        <stp>/GCL&lt;3&gt;</stp>
        <stp>Close</stp>
        <stp>3/12/2026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Q2376" s="1"/>
        <tr r="Q2376" s="1"/>
      </tp>
      <tp>
        <v>79.47</v>
        <stp>spmg94039268h</stp>
        <stp>daily</stp>
        <stp>/GCL&lt;6&gt;</stp>
        <stp>Close</stp>
        <stp>3/17/2026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T2379" s="1"/>
        <tr r="T2379" s="1"/>
      </tp>
      <tp>
        <v>76.08</v>
        <stp>spmg94039268h</stp>
        <stp>daily</stp>
        <stp>/GCL&lt;7&gt;</stp>
        <stp>Close</stp>
        <stp>3/16/2026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U2378" s="1"/>
        <tr r="U2378" s="1"/>
      </tp>
      <tp>
        <v>78.41</v>
        <stp>spmg94039268h</stp>
        <stp>daily</stp>
        <stp>/GCL&lt;8&gt;</stp>
        <stp>Close</stp>
        <stp>3/19/2026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V2381" s="1"/>
        <tr r="V2381" s="1"/>
      </tp>
      <tp>
        <v>76.69</v>
        <stp>spmg94039268h</stp>
        <stp>daily</stp>
        <stp>/GCL&lt;9&gt;</stp>
        <stp>Close</stp>
        <stp>3/18/2026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W2380" s="1"/>
        <tr r="W2380" s="1"/>
      </tp>
      <tp>
        <v>83.45</v>
        <stp>spmg94039268h</stp>
        <stp>daily</stp>
        <stp>/GCL&lt;0&gt;</stp>
        <stp>Close</stp>
        <stp>3/10/2026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N2374" s="1"/>
        <tr r="N2374" s="1"/>
      </tp>
      <tp>
        <v>86.070000000000007</v>
        <stp>spmg94039268h</stp>
        <stp>daily</stp>
        <stp>/GCL&lt;1&gt;</stp>
        <stp>Close</stp>
        <stp>3/11/2026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O2375" s="1"/>
        <tr r="O2375" s="1"/>
      </tp>
      <tp>
        <v>90.48</v>
        <stp>spmg94039268h</stp>
        <stp>daily</stp>
        <stp>/GCL&lt;2&gt;</stp>
        <stp>Close</stp>
        <stp>3/12/2026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P2376" s="1"/>
        <tr r="P2376" s="1"/>
      </tp>
      <tp>
        <v>88.55</v>
        <stp>spmg94039268h</stp>
        <stp>daily</stp>
        <stp>/GCL&lt;3&gt;</stp>
        <stp>Close</stp>
        <stp>3/13/2026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Q2377" s="1"/>
        <tr r="Q2377" s="1"/>
      </tp>
      <tp>
        <v>77.67</v>
        <stp>spmg94039268h</stp>
        <stp>daily</stp>
        <stp>/GCL&lt;6&gt;</stp>
        <stp>Close</stp>
        <stp>3/16/2026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T2378" s="1"/>
        <tr r="T2378" s="1"/>
      </tp>
      <tp>
        <v>77.760000000000005</v>
        <stp>spmg94039268h</stp>
        <stp>daily</stp>
        <stp>/GCL&lt;7&gt;</stp>
        <stp>Close</stp>
        <stp>3/17/2026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U2379" s="1"/>
        <tr r="U2379" s="1"/>
      </tp>
      <tp>
        <v>77.86</v>
        <stp>spmg94039268h</stp>
        <stp>daily</stp>
        <stp>/GCL&lt;8&gt;</stp>
        <stp>Close</stp>
        <stp>3/18/2026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V2380" s="1"/>
        <tr r="V2380" s="1"/>
      </tp>
      <tp>
        <v>77.350000000000009</v>
        <stp>spmg94039268h</stp>
        <stp>daily</stp>
        <stp>/GCL&lt;9&gt;</stp>
        <stp>Close</stp>
        <stp>3/19/2026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W2381" s="1"/>
        <tr r="W2381" s="1"/>
      </tp>
      <tp>
        <v>96.210000000000008</v>
        <stp>spmg94039268h</stp>
        <stp>daily</stp>
        <stp>/GCL&lt;0&gt;</stp>
        <stp>Close</stp>
        <stp>3/17/2026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N2379" s="1"/>
        <tr r="N2379" s="1"/>
      </tp>
      <tp>
        <v>92.460000000000008</v>
        <stp>spmg94039268h</stp>
        <stp>daily</stp>
        <stp>/GCL&lt;1&gt;</stp>
        <stp>Close</stp>
        <stp>3/16/2026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O2378" s="1"/>
        <tr r="O2378" s="1"/>
      </tp>
      <tp>
        <v>85.25</v>
        <stp>spmg94039268h</stp>
        <stp>daily</stp>
        <stp>/GCL&lt;4&gt;</stp>
        <stp>Close</stp>
        <stp>3/13/2026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R2377" s="1"/>
        <tr r="R2377" s="1"/>
      </tp>
      <tp>
        <v>81.28</v>
        <stp>spmg94039268h</stp>
        <stp>daily</stp>
        <stp>/GCL&lt;5&gt;</stp>
        <stp>Close</stp>
        <stp>3/12/2026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S2376" s="1"/>
        <tr r="S2376" s="1"/>
      </tp>
      <tp>
        <v>75.040000000000006</v>
        <stp>spmg94039268h</stp>
        <stp>daily</stp>
        <stp>/GCL&lt;6&gt;</stp>
        <stp>Close</stp>
        <stp>3/11/2026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T2375" s="1"/>
        <tr r="T2375" s="1"/>
      </tp>
      <tp>
        <v>70.320000000000007</v>
        <stp>spmg94039268h</stp>
        <stp>daily</stp>
        <stp>/GCL&lt;7&gt;</stp>
        <stp>Close</stp>
        <stp>3/10/2026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U2374" s="1"/>
        <tr r="U2374" s="1"/>
      </tp>
      <tp>
        <v>93.5</v>
        <stp>spmg94039268h</stp>
        <stp>daily</stp>
        <stp>/GCL&lt;0&gt;</stp>
        <stp>Close</stp>
        <stp>3/16/2026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N2378" s="1"/>
        <tr r="N2378" s="1"/>
      </tp>
      <tp>
        <v>95.53</v>
        <stp>spmg94039268h</stp>
        <stp>daily</stp>
        <stp>/GCL&lt;1&gt;</stp>
        <stp>Close</stp>
        <stp>3/17/2026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O2379" s="1"/>
        <tr r="O2379" s="1"/>
      </tp>
      <tp>
        <v>83.93</v>
        <stp>spmg94039268h</stp>
        <stp>daily</stp>
        <stp>/GCL&lt;4&gt;</stp>
        <stp>Close</stp>
        <stp>3/12/2026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R2376" s="1"/>
        <tr r="R2376" s="1"/>
      </tp>
      <tp>
        <v>82.52</v>
        <stp>spmg94039268h</stp>
        <stp>daily</stp>
        <stp>/GCL&lt;5&gt;</stp>
        <stp>Close</stp>
        <stp>3/13/2026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S2377" s="1"/>
        <tr r="S2377" s="1"/>
      </tp>
      <tp>
        <v>71.460000000000008</v>
        <stp>spmg94039268h</stp>
        <stp>daily</stp>
        <stp>/GCL&lt;6&gt;</stp>
        <stp>Close</stp>
        <stp>3/10/2026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T2374" s="1"/>
        <tr r="T2374" s="1"/>
      </tp>
      <tp>
        <v>73.58</v>
        <stp>spmg94039268h</stp>
        <stp>daily</stp>
        <stp>/GCL&lt;7&gt;</stp>
        <stp>Close</stp>
        <stp>3/11/2026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U2375" s="1"/>
        <tr r="U2375" s="1"/>
      </tp>
      <tp>
        <v>91.64</v>
        <stp>spmg94039268h</stp>
        <stp>daily</stp>
        <stp>/GCL&lt;2&gt;</stp>
        <stp>Close</stp>
        <stp>3/17/2026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P2379" s="1"/>
        <tr r="P2379" s="1"/>
      </tp>
      <tp>
        <v>84.99</v>
        <stp>spmg94039268h</stp>
        <stp>daily</stp>
        <stp>/GCL&lt;3&gt;</stp>
        <stp>Close</stp>
        <stp>3/16/2026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Q2378" s="1"/>
        <tr r="Q2378" s="1"/>
      </tp>
      <tp>
        <v>78.820000000000007</v>
        <stp>spmg94039268h</stp>
        <stp>daily</stp>
        <stp>/GCL&lt;4&gt;</stp>
        <stp>Close</stp>
        <stp>3/11/2026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R2375" s="1"/>
        <tr r="R2375" s="1"/>
      </tp>
      <tp>
        <v>72.95</v>
        <stp>spmg94039268h</stp>
        <stp>daily</stp>
        <stp>/GCL&lt;5&gt;</stp>
        <stp>Close</stp>
        <stp>3/10/2026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S2374" s="1"/>
        <tr r="S2374" s="1"/>
      </tp>
      <tp>
        <v>80.08</v>
        <stp>spmg94039268h</stp>
        <stp>daily</stp>
        <stp>/GCL&lt;6&gt;</stp>
        <stp>Close</stp>
        <stp>3/13/2026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T2377" s="1"/>
        <tr r="T2377" s="1"/>
      </tp>
      <tp>
        <v>76.88</v>
        <stp>spmg94039268h</stp>
        <stp>daily</stp>
        <stp>/GCL&lt;7&gt;</stp>
        <stp>Close</stp>
        <stp>3/12/2026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U2376" s="1"/>
        <tr r="U2376" s="1"/>
      </tp>
      <tp>
        <v>88.54</v>
        <stp>spmg94039268h</stp>
        <stp>daily</stp>
        <stp>/GCL&lt;2&gt;</stp>
        <stp>Close</stp>
        <stp>3/16/2026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P2378" s="1"/>
        <tr r="P2378" s="1"/>
      </tp>
      <tp>
        <v>87.8</v>
        <stp>spmg94039268h</stp>
        <stp>daily</stp>
        <stp>/GCL&lt;3&gt;</stp>
        <stp>Close</stp>
        <stp>3/17/2026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Q2379" s="1"/>
        <tr r="Q2379" s="1"/>
      </tp>
      <tp>
        <v>74.75</v>
        <stp>spmg94039268h</stp>
        <stp>daily</stp>
        <stp>/GCL&lt;4&gt;</stp>
        <stp>Close</stp>
        <stp>3/10/2026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R2374" s="1"/>
        <tr r="R2374" s="1"/>
      </tp>
      <tp>
        <v>76.820000000000007</v>
        <stp>spmg94039268h</stp>
        <stp>daily</stp>
        <stp>/GCL&lt;5&gt;</stp>
        <stp>Close</stp>
        <stp>3/11/2026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S2375" s="1"/>
        <tr r="S2375" s="1"/>
      </tp>
      <tp>
        <v>78.89</v>
        <stp>spmg94039268h</stp>
        <stp>daily</stp>
        <stp>/GCL&lt;6&gt;</stp>
        <stp>Close</stp>
        <stp>3/12/2026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T2376" s="1"/>
        <tr r="T2376" s="1"/>
      </tp>
      <tp>
        <v>78.03</v>
        <stp>spmg94039268h</stp>
        <stp>daily</stp>
        <stp>/GCL&lt;7&gt;</stp>
        <stp>Close</stp>
        <stp>3/13/2026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U2377" s="1"/>
        <tr r="U2377" s="1"/>
      </tp>
      <tp>
        <v>92.960000000000008</v>
        <stp>spmg94039268h</stp>
        <stp>daily</stp>
        <stp>/GCL&lt;2&gt;</stp>
        <stp>Close</stp>
        <stp>3/19/2026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P2381" s="1"/>
        <tr r="P2381" s="1"/>
      </tp>
      <tp>
        <v>89.08</v>
        <stp>spmg94039268h</stp>
        <stp>daily</stp>
        <stp>/GCL&lt;3&gt;</stp>
        <stp>Close</stp>
        <stp>3/18/2026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Q2380" s="1"/>
        <tr r="Q2380" s="1"/>
      </tp>
      <tp>
        <v>76.320000000000007</v>
        <stp>spmg94039268h</stp>
        <stp>daily</stp>
        <stp>/GCL&lt;8&gt;</stp>
        <stp>Close</stp>
        <stp>3/13/2026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V2377" s="1"/>
        <tr r="V2377" s="1"/>
      </tp>
      <tp>
        <v>73.710000000000008</v>
        <stp>spmg94039268h</stp>
        <stp>daily</stp>
        <stp>/GCL&lt;9&gt;</stp>
        <stp>Close</stp>
        <stp>3/12/2026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W2376" s="1"/>
        <tr r="W2376" s="1"/>
      </tp>
      <tp>
        <v>92.43</v>
        <stp>spmg94039268h</stp>
        <stp>daily</stp>
        <stp>/GCL&lt;2&gt;</stp>
        <stp>Close</stp>
        <stp>3/18/2026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P2380" s="1"/>
        <tr r="P2380" s="1"/>
      </tp>
      <tp>
        <v>89.97</v>
        <stp>spmg94039268h</stp>
        <stp>daily</stp>
        <stp>/GCL&lt;3&gt;</stp>
        <stp>Close</stp>
        <stp>3/19/2026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Q2381" s="1"/>
        <tr r="Q2381" s="1"/>
      </tp>
      <tp>
        <v>75.17</v>
        <stp>spmg94039268h</stp>
        <stp>daily</stp>
        <stp>/GCL&lt;8&gt;</stp>
        <stp>Close</stp>
        <stp>3/12/2026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V2376" s="1"/>
        <tr r="V2376" s="1"/>
      </tp>
      <tp>
        <v>74.84</v>
        <stp>spmg94039268h</stp>
        <stp>daily</stp>
        <stp>/GCL&lt;9&gt;</stp>
        <stp>Close</stp>
        <stp>3/13/2026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W2377" s="1"/>
        <tr r="W2377" s="1"/>
      </tp>
      <tp>
        <v>96.14</v>
        <stp>spmg94039268h</stp>
        <stp>daily</stp>
        <stp>/GCL&lt;0&gt;</stp>
        <stp>Close</stp>
        <stp>3/19/2026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N2381" s="1"/>
        <tr r="N2381" s="1"/>
      </tp>
      <tp>
        <v>95.460000000000008</v>
        <stp>spmg94039268h</stp>
        <stp>daily</stp>
        <stp>/GCL&lt;1&gt;</stp>
        <stp>Close</stp>
        <stp>3/18/2026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O2380" s="1"/>
        <tr r="O2380" s="1"/>
      </tp>
      <tp>
        <v>72.31</v>
        <stp>spmg94039268h</stp>
        <stp>daily</stp>
        <stp>/GCL&lt;8&gt;</stp>
        <stp>Close</stp>
        <stp>3/11/2026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V2375" s="1"/>
        <tr r="V2375" s="1"/>
      </tp>
      <tp>
        <v>68.55</v>
        <stp>spmg94039268h</stp>
        <stp>daily</stp>
        <stp>/GCL&lt;9&gt;</stp>
        <stp>Close</stp>
        <stp>3/10/2026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W2374" s="1"/>
        <tr r="W2374" s="1"/>
      </tp>
      <tp>
        <v>96.320000000000007</v>
        <stp>spmg94039268h</stp>
        <stp>daily</stp>
        <stp>/GCL&lt;0&gt;</stp>
        <stp>Close</stp>
        <stp>3/18/2026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N2380" s="1"/>
        <tr r="N2380" s="1"/>
      </tp>
      <tp>
        <v>95.55</v>
        <stp>spmg94039268h</stp>
        <stp>daily</stp>
        <stp>/GCL&lt;1&gt;</stp>
        <stp>Close</stp>
        <stp>3/19/2026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O2381" s="1"/>
        <tr r="O2381" s="1"/>
      </tp>
      <tp>
        <v>69.37</v>
        <stp>spmg94039268h</stp>
        <stp>daily</stp>
        <stp>/GCL&lt;8&gt;</stp>
        <stp>Close</stp>
        <stp>3/10/2026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V2374" s="1"/>
        <tr r="V2374" s="1"/>
      </tp>
      <tp>
        <v>71.2</v>
        <stp>spmg94039268h</stp>
        <stp>daily</stp>
        <stp>/GCL&lt;9&gt;</stp>
        <stp>Close</stp>
        <stp>3/11/2026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W2375" s="1"/>
        <tr r="W2375" s="1"/>
      </tp>
      <tp>
        <v>81.37</v>
        <stp>spmg94039268h</stp>
        <stp>daily</stp>
        <stp>/GCL&lt;6&gt;</stp>
        <stp>Close</stp>
        <stp>3/19/2026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T2381" s="1"/>
        <tr r="T2381" s="1"/>
      </tp>
      <tp>
        <v>79.239999999999995</v>
        <stp>spmg94039268h</stp>
        <stp>daily</stp>
        <stp>/GCL&lt;7&gt;</stp>
        <stp>Close</stp>
        <stp>3/18/2026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U2380" s="1"/>
        <tr r="U2380" s="1"/>
      </tp>
      <tp>
        <v>76.36</v>
        <stp>spmg94039268h</stp>
        <stp>daily</stp>
        <stp>/GCL&lt;8&gt;</stp>
        <stp>Close</stp>
        <stp>3/17/2026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V2379" s="1"/>
        <tr r="V2379" s="1"/>
      </tp>
      <tp>
        <v>73.63</v>
        <stp>spmg94039268h</stp>
        <stp>daily</stp>
        <stp>/GCL&lt;9&gt;</stp>
        <stp>Close</stp>
        <stp>3/16/2026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W2378" s="1"/>
        <tr r="W2378" s="1"/>
      </tp>
      <tp>
        <v>80.97</v>
        <stp>spmg94039268h</stp>
        <stp>daily</stp>
        <stp>/GCL&lt;6&gt;</stp>
        <stp>Close</stp>
        <stp>3/18/2026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T2380" s="1"/>
        <tr r="T2380" s="1"/>
      </tp>
      <tp>
        <v>79.680000000000007</v>
        <stp>spmg94039268h</stp>
        <stp>daily</stp>
        <stp>/GCL&lt;7&gt;</stp>
        <stp>Close</stp>
        <stp>3/19/2026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U2381" s="1"/>
        <tr r="U2381" s="1"/>
      </tp>
      <tp>
        <v>74.77</v>
        <stp>spmg94039268h</stp>
        <stp>daily</stp>
        <stp>/GCL&lt;8&gt;</stp>
        <stp>Close</stp>
        <stp>3/16/2026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V2378" s="1"/>
        <tr r="V2378" s="1"/>
      </tp>
      <tp>
        <v>75.12</v>
        <stp>spmg94039268h</stp>
        <stp>daily</stp>
        <stp>/GCL&lt;9&gt;</stp>
        <stp>Close</stp>
        <stp>3/17/2026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W2379" s="1"/>
        <tr r="W2379" s="1"/>
      </tp>
      <tp>
        <v>86.64</v>
        <stp>spmg94039268h</stp>
        <stp>daily</stp>
        <stp>/GCL&lt;4&gt;</stp>
        <stp>Close</stp>
        <stp>3/19/2026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R2381" s="1"/>
        <tr r="R2381" s="1"/>
      </tp>
      <tp>
        <v>83.25</v>
        <stp>spmg94039268h</stp>
        <stp>daily</stp>
        <stp>/GCL&lt;5&gt;</stp>
        <stp>Close</stp>
        <stp>3/18/2026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S2380" s="1"/>
        <tr r="S2380" s="1"/>
      </tp>
      <tp>
        <v>85.93</v>
        <stp>spmg94039268h</stp>
        <stp>daily</stp>
        <stp>/GCL&lt;4&gt;</stp>
        <stp>Close</stp>
        <stp>3/18/2026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R2380" s="1"/>
        <tr r="R2380" s="1"/>
      </tp>
      <tp>
        <v>83.76</v>
        <stp>spmg94039268h</stp>
        <stp>daily</stp>
        <stp>/GCL&lt;5&gt;</stp>
        <stp>Close</stp>
        <stp>3/19/2026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S2381" s="1"/>
        <tr r="S2381" s="1"/>
      </tp>
      <tp>
        <v>89.42</v>
        <stp>spmg94039268h</stp>
        <stp>daily</stp>
        <stp>/GCL&lt;3&gt;</stp>
        <stp>Close</stp>
        <stp>3/20/2026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Q2382" s="1"/>
        <tr r="Q2382" s="1"/>
      </tp>
      <tp>
        <v>92.570000000000007</v>
        <stp>spmg94039268h</stp>
        <stp>daily</stp>
        <stp>/GCL&lt;2&gt;</stp>
        <stp>Close</stp>
        <stp>3/20/2026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P2382" s="1"/>
        <tr r="P2382" s="1"/>
      </tp>
      <tp>
        <v>95.09</v>
        <stp>spmg94039268h</stp>
        <stp>daily</stp>
        <stp>/GCL&lt;1&gt;</stp>
        <stp>Close</stp>
        <stp>3/20/2026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O2382" s="1"/>
        <tr r="O2382" s="1"/>
      </tp>
      <tp>
        <v>96</v>
        <stp>spmg94039268h</stp>
        <stp>daily</stp>
        <stp>/GCL&lt;0&gt;</stp>
        <stp>Close</stp>
        <stp>3/20/2026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N2382" s="1"/>
        <tr r="N2382" s="1"/>
      </tp>
      <tp>
        <v>79.53</v>
        <stp>spmg94039268h</stp>
        <stp>daily</stp>
        <stp>/GCL&lt;7&gt;</stp>
        <stp>Close</stp>
        <stp>3/20/2026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U2382" s="1"/>
        <tr r="U2382" s="1"/>
      </tp>
      <tp>
        <v>81.09</v>
        <stp>spmg94039268h</stp>
        <stp>daily</stp>
        <stp>/GCL&lt;6&gt;</stp>
        <stp>Close</stp>
        <stp>3/20/2026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T2382" s="1"/>
        <tr r="T2382" s="1"/>
      </tp>
      <tp>
        <v>83.3</v>
        <stp>spmg94039268h</stp>
        <stp>daily</stp>
        <stp>/GCL&lt;5&gt;</stp>
        <stp>Close</stp>
        <stp>3/20/2026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S2382" s="1"/>
        <tr r="S2382" s="1"/>
      </tp>
      <tp>
        <v>86.06</v>
        <stp>spmg94039268h</stp>
        <stp>daily</stp>
        <stp>/GCL&lt;4&gt;</stp>
        <stp>Close</stp>
        <stp>3/20/2026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R2382" s="1"/>
        <tr r="R2382" s="1"/>
      </tp>
      <tp>
        <v>77.36</v>
        <stp>spmg94039268h</stp>
        <stp>daily</stp>
        <stp>/GCL&lt;9&gt;</stp>
        <stp>Close</stp>
        <stp>3/20/2026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W2382" s="1"/>
        <tr r="W2382" s="1"/>
      </tp>
      <tp>
        <v>78.3</v>
        <stp>spmg94039268h</stp>
        <stp>daily</stp>
        <stp>/GCL&lt;8&gt;</stp>
        <stp>Close</stp>
        <stp>3/20/2026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V2382" s="1"/>
        <tr r="V2382" s="1"/>
      </tp>
      <tp>
        <v>75.98</v>
        <stp>spmg94039268h</stp>
        <stp>daily</stp>
        <stp>/GCL&lt;11&gt;</stp>
        <stp>Close</stp>
        <stp>3/20/2026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Y2382" s="1"/>
        <tr r="Y2382" s="1"/>
      </tp>
      <tp>
        <v>76.59</v>
        <stp>spmg94039268h</stp>
        <stp>daily</stp>
        <stp>/GCL&lt;10&gt;</stp>
        <stp>Close</stp>
        <stp>3/20/2026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X2382" s="1"/>
        <tr r="X2382" s="1"/>
      </tp>
      <tp>
        <v>76.5</v>
        <stp>spmg94039268h</stp>
        <stp>daily</stp>
        <stp>/GCL&lt;10&gt;</stp>
        <stp>Close</stp>
        <stp>3/19/2026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X2381" s="1"/>
        <tr r="X2381" s="1"/>
      </tp>
      <tp>
        <v>74.88</v>
        <stp>spmg94039268h</stp>
        <stp>daily</stp>
        <stp>/GCL&lt;11&gt;</stp>
        <stp>Close</stp>
        <stp>3/18/2026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Y2380" s="1"/>
        <tr r="Y2380" s="1"/>
      </tp>
      <tp>
        <v>75.69</v>
        <stp>spmg94039268h</stp>
        <stp>daily</stp>
        <stp>/GCL&lt;10&gt;</stp>
        <stp>Close</stp>
        <stp>3/18/2026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X2380" s="1"/>
        <tr r="X2380" s="1"/>
      </tp>
      <tp>
        <v>75.83</v>
        <stp>spmg94039268h</stp>
        <stp>daily</stp>
        <stp>/GCL&lt;11&gt;</stp>
        <stp>Close</stp>
        <stp>3/19/2026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Y2381" s="1"/>
        <tr r="Y2381" s="1"/>
      </tp>
      <tp>
        <v>73.61</v>
        <stp>spmg94039268h</stp>
        <stp>daily</stp>
        <stp>/GCL&lt;10&gt;</stp>
        <stp>Close</stp>
        <stp>3/13/2026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X2377" s="1"/>
        <tr r="X2377" s="1"/>
      </tp>
      <tp>
        <v>71.53</v>
        <stp>spmg94039268h</stp>
        <stp>daily</stp>
        <stp>/GCL&lt;11&gt;</stp>
        <stp>Close</stp>
        <stp>3/12/2026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Y2376" s="1"/>
        <tr r="Y2376" s="1"/>
      </tp>
      <tp>
        <v>72.5</v>
        <stp>spmg94039268h</stp>
        <stp>daily</stp>
        <stp>/GCL&lt;10&gt;</stp>
        <stp>Close</stp>
        <stp>3/12/2026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X2376" s="1"/>
        <tr r="X2376" s="1"/>
      </tp>
      <tp>
        <v>72.62</v>
        <stp>spmg94039268h</stp>
        <stp>daily</stp>
        <stp>/GCL&lt;11&gt;</stp>
        <stp>Close</stp>
        <stp>3/13/2026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Y2377" s="1"/>
        <tr r="Y2377" s="1"/>
      </tp>
      <tp>
        <v>70.25</v>
        <stp>spmg94039268h</stp>
        <stp>daily</stp>
        <stp>/GCL&lt;10&gt;</stp>
        <stp>Close</stp>
        <stp>3/11/2026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X2375" s="1"/>
        <tr r="X2375" s="1"/>
      </tp>
      <tp>
        <v>67.349999999999994</v>
        <stp>spmg94039268h</stp>
        <stp>daily</stp>
        <stp>/GCL&lt;11&gt;</stp>
        <stp>Close</stp>
        <stp>3/10/2026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Y2374" s="1"/>
        <tr r="Y2374" s="1"/>
      </tp>
      <tp>
        <v>67.88</v>
        <stp>spmg94039268h</stp>
        <stp>daily</stp>
        <stp>/GCL&lt;10&gt;</stp>
        <stp>Close</stp>
        <stp>3/10/2026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X2374" s="1"/>
        <tr r="X2374" s="1"/>
      </tp>
      <tp>
        <v>69.489999999999995</v>
        <stp>spmg94039268h</stp>
        <stp>daily</stp>
        <stp>/GCL&lt;11&gt;</stp>
        <stp>Close</stp>
        <stp>3/11/2026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Y2375" s="1"/>
        <tr r="Y2375" s="1"/>
      </tp>
      <tp>
        <v>74.06</v>
        <stp>spmg94039268h</stp>
        <stp>daily</stp>
        <stp>/GCL&lt;10&gt;</stp>
        <stp>Close</stp>
        <stp>3/17/2026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X2379" s="1"/>
        <tr r="X2379" s="1"/>
      </tp>
      <tp>
        <v>71.91</v>
        <stp>spmg94039268h</stp>
        <stp>daily</stp>
        <stp>/GCL&lt;11&gt;</stp>
        <stp>Close</stp>
        <stp>3/16/2026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Y2378" s="1"/>
        <tr r="Y2378" s="1"/>
      </tp>
      <tp>
        <v>72.67</v>
        <stp>spmg94039268h</stp>
        <stp>daily</stp>
        <stp>/GCL&lt;10&gt;</stp>
        <stp>Close</stp>
        <stp>3/16/2026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X2378" s="1"/>
        <tr r="X2378" s="1"/>
      </tp>
      <tp>
        <v>73.17</v>
        <stp>spmg94039268h</stp>
        <stp>daily</stp>
        <stp>/GCL&lt;11&gt;</stp>
        <stp>Close</stp>
        <stp>3/17/2026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Y2379" s="1"/>
        <tr r="Y2379" s="1"/>
      </tp>
      <tp>
        <v>82.31</v>
        <stp>spmg94039268h</stp>
        <stp>daily</stp>
        <stp>/BRN&lt;10&gt;</stp>
        <stp>Close</stp>
        <stp>3/20/2026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L2382" s="1"/>
        <tr r="L2382" s="1"/>
      </tp>
      <tp>
        <v>81.69</v>
        <stp>spmg94039268h</stp>
        <stp>daily</stp>
        <stp>/BRN&lt;11&gt;</stp>
        <stp>Close</stp>
        <stp>3/20/2026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M2382" s="1"/>
        <tr r="M2382" s="1"/>
      </tp>
      <tp>
        <v>81.23</v>
        <stp>spmg94039268h</stp>
        <stp>daily</stp>
        <stp>/BRN&lt;10&gt;</stp>
        <stp>Close</stp>
        <stp>3/18/2026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L2380" s="1"/>
        <tr r="L2380" s="1"/>
      </tp>
      <tp>
        <v>81.320000000000007</v>
        <stp>spmg94039268h</stp>
        <stp>daily</stp>
        <stp>/BRN&lt;11&gt;</stp>
        <stp>Close</stp>
        <stp>3/19/2026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M2381" s="1"/>
        <tr r="M2381" s="1"/>
      </tp>
      <tp>
        <v>82.070000000000007</v>
        <stp>spmg94039268h</stp>
        <stp>daily</stp>
        <stp>/BRN&lt;10&gt;</stp>
        <stp>Close</stp>
        <stp>3/19/2026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L2381" s="1"/>
        <tr r="L2381" s="1"/>
      </tp>
      <tp>
        <v>80.39</v>
        <stp>spmg94039268h</stp>
        <stp>daily</stp>
        <stp>/BRN&lt;11&gt;</stp>
        <stp>Close</stp>
        <stp>3/18/2026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M2380" s="1"/>
        <tr r="M2380" s="1"/>
      </tp>
      <tp>
        <v>76.97</v>
        <stp>spmg94039268h</stp>
        <stp>daily</stp>
        <stp>/BRN&lt;10&gt;</stp>
        <stp>Close</stp>
        <stp>3/12/2026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L2376" s="1"/>
        <tr r="L2376" s="1"/>
      </tp>
      <tp>
        <v>77.27</v>
        <stp>spmg94039268h</stp>
        <stp>daily</stp>
        <stp>/BRN&lt;11&gt;</stp>
        <stp>Close</stp>
        <stp>3/13/2026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M2377" s="1"/>
        <tr r="M2377" s="1"/>
      </tp>
      <tp>
        <v>78.150000000000006</v>
        <stp>spmg94039268h</stp>
        <stp>daily</stp>
        <stp>/BRN&lt;10&gt;</stp>
        <stp>Close</stp>
        <stp>3/13/2026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L2377" s="1"/>
        <tr r="L2377" s="1"/>
      </tp>
      <tp>
        <v>76.150000000000006</v>
        <stp>spmg94039268h</stp>
        <stp>daily</stp>
        <stp>/BRN&lt;11&gt;</stp>
        <stp>Close</stp>
        <stp>3/12/2026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M2376" s="1"/>
        <tr r="M2376" s="1"/>
      </tp>
      <tp>
        <v>72.52</v>
        <stp>spmg94039268h</stp>
        <stp>daily</stp>
        <stp>/BRN&lt;10&gt;</stp>
        <stp>Close</stp>
        <stp>3/10/2026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L2374" s="1"/>
        <tr r="L2374" s="1"/>
      </tp>
      <tp>
        <v>74.17</v>
        <stp>spmg94039268h</stp>
        <stp>daily</stp>
        <stp>/BRN&lt;11&gt;</stp>
        <stp>Close</stp>
        <stp>3/11/2026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M2375" s="1"/>
        <tr r="M2375" s="1"/>
      </tp>
      <tp>
        <v>74.83</v>
        <stp>spmg94039268h</stp>
        <stp>daily</stp>
        <stp>/BRN&lt;10&gt;</stp>
        <stp>Close</stp>
        <stp>3/11/2026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L2375" s="1"/>
        <tr r="L2375" s="1"/>
      </tp>
      <tp>
        <v>72.05</v>
        <stp>spmg94039268h</stp>
        <stp>daily</stp>
        <stp>/BRN&lt;11&gt;</stp>
        <stp>Close</stp>
        <stp>3/10/2026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M2374" s="1"/>
        <tr r="M2374" s="1"/>
      </tp>
      <tp>
        <v>77.320000000000007</v>
        <stp>spmg94039268h</stp>
        <stp>daily</stp>
        <stp>/BRN&lt;10&gt;</stp>
        <stp>Close</stp>
        <stp>3/16/2026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L2378" s="1"/>
        <tr r="L2378" s="1"/>
      </tp>
      <tp>
        <v>78.11</v>
        <stp>spmg94039268h</stp>
        <stp>daily</stp>
        <stp>/BRN&lt;11&gt;</stp>
        <stp>Close</stp>
        <stp>3/17/2026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M2379" s="1"/>
        <tr r="M2379" s="1"/>
      </tp>
      <tp>
        <v>78.95</v>
        <stp>spmg94039268h</stp>
        <stp>daily</stp>
        <stp>/BRN&lt;10&gt;</stp>
        <stp>Close</stp>
        <stp>3/17/2026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L2379" s="1"/>
        <tr r="L2379" s="1"/>
      </tp>
      <tp>
        <v>76.59</v>
        <stp>spmg94039268h</stp>
        <stp>daily</stp>
        <stp>/BRN&lt;11&gt;</stp>
        <stp>Close</stp>
        <stp>3/16/2026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M2378" s="1"/>
        <tr r="M2378" s="1"/>
      </tp>
      <tp>
        <v>93.099000000000004</v>
        <stp>spmg94039268h</stp>
        <stp>daily</stp>
        <stp>/DBI&lt;2&gt;</stp>
        <stp>Close</stp>
        <stp>3/17/2026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B2379" s="1"/>
        <tr r="AB2379" s="1"/>
      </tp>
      <tp>
        <v>88.528000000000006</v>
        <stp>spmg94039268h</stp>
        <stp>daily</stp>
        <stp>/DBI&lt;3&gt;</stp>
        <stp>Close</stp>
        <stp>3/16/2026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C2378" s="1"/>
        <tr r="AC2378" s="1"/>
      </tp>
      <tp>
        <v>81.739000000000004</v>
        <stp>spmg94039268h</stp>
        <stp>daily</stp>
        <stp>/DBI&lt;4&gt;</stp>
        <stp>Close</stp>
        <stp>3/11/2026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D2375" s="1"/>
        <tr r="AD2375" s="1"/>
      </tp>
      <tp>
        <v>77.02</v>
        <stp>spmg94039268h</stp>
        <stp>daily</stp>
        <stp>/DBI&lt;5&gt;</stp>
        <stp>Close</stp>
        <stp>3/10/2026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E2374" s="1"/>
        <tr r="AE2374" s="1"/>
      </tp>
      <tp>
        <v>85.084000000000003</v>
        <stp>spmg94039268h</stp>
        <stp>daily</stp>
        <stp>/DBI&lt;6&gt;</stp>
        <stp>Close</stp>
        <stp>3/13/2026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F2377" s="1"/>
        <tr r="AF2377" s="1"/>
      </tp>
      <tp>
        <v>81.483000000000004</v>
        <stp>spmg94039268h</stp>
        <stp>daily</stp>
        <stp>/DBI&lt;7&gt;</stp>
        <stp>Close</stp>
        <stp>3/12/2026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G2376" s="1"/>
        <tr r="AG2376" s="1"/>
      </tp>
      <tp>
        <v>92.411000000000001</v>
        <stp>spmg94039268h</stp>
        <stp>daily</stp>
        <stp>/DBI&lt;2&gt;</stp>
        <stp>Close</stp>
        <stp>3/16/2026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B2378" s="1"/>
        <tr r="AB2378" s="1"/>
      </tp>
      <tp>
        <v>89.941000000000003</v>
        <stp>spmg94039268h</stp>
        <stp>daily</stp>
        <stp>/DBI&lt;3&gt;</stp>
        <stp>Close</stp>
        <stp>3/17/2026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C2379" s="1"/>
        <tr r="AC2379" s="1"/>
      </tp>
      <tp>
        <v>78.242999999999995</v>
        <stp>spmg94039268h</stp>
        <stp>daily</stp>
        <stp>/DBI&lt;4&gt;</stp>
        <stp>Close</stp>
        <stp>3/10/2026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D2374" s="1"/>
        <tr r="AD2374" s="1"/>
      </tp>
      <tp>
        <v>80.388000000000005</v>
        <stp>spmg94039268h</stp>
        <stp>daily</stp>
        <stp>/DBI&lt;5&gt;</stp>
        <stp>Close</stp>
        <stp>3/11/2026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E2375" s="1"/>
        <tr r="AE2375" s="1"/>
      </tp>
      <tp>
        <v>83.162000000000006</v>
        <stp>spmg94039268h</stp>
        <stp>daily</stp>
        <stp>/DBI&lt;6&gt;</stp>
        <stp>Close</stp>
        <stp>3/12/2026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F2376" s="1"/>
        <tr r="AF2376" s="1"/>
      </tp>
      <tp>
        <v>83.483999999999995</v>
        <stp>spmg94039268h</stp>
        <stp>daily</stp>
        <stp>/DBI&lt;7&gt;</stp>
        <stp>Close</stp>
        <stp>3/13/2026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G2377" s="1"/>
        <tr r="AG2377" s="1"/>
      </tp>
      <tp>
        <v>132.66300000000001</v>
        <stp>spmg94039268h</stp>
        <stp>daily</stp>
        <stp>/DBI&lt;0&gt;</stp>
        <stp>Close</stp>
        <stp>3/17/2026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Z2379" s="1"/>
        <tr r="Z2379" s="1"/>
      </tp>
      <tp>
        <v>102.386</v>
        <stp>spmg94039268h</stp>
        <stp>daily</stp>
        <stp>/DBI&lt;1&gt;</stp>
        <stp>Close</stp>
        <stp>3/16/2026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A2378" s="1"/>
        <tr r="AA2378" s="1"/>
      </tp>
      <tp>
        <v>89.111999999999995</v>
        <stp>spmg94039268h</stp>
        <stp>daily</stp>
        <stp>/DBI&lt;4&gt;</stp>
        <stp>Close</stp>
        <stp>3/13/2026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D2377" s="1"/>
        <tr r="AD2377" s="1"/>
      </tp>
      <tp>
        <v>84.992000000000004</v>
        <stp>spmg94039268h</stp>
        <stp>daily</stp>
        <stp>/DBI&lt;5&gt;</stp>
        <stp>Close</stp>
        <stp>3/12/2026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E2376" s="1"/>
        <tr r="AE2376" s="1"/>
      </tp>
      <tp>
        <v>79.174999999999997</v>
        <stp>spmg94039268h</stp>
        <stp>daily</stp>
        <stp>/DBI&lt;6&gt;</stp>
        <stp>Close</stp>
        <stp>3/11/2026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F2375" s="1"/>
        <tr r="AF2375" s="1"/>
      </tp>
      <tp>
        <v>74.975000000000009</v>
        <stp>spmg94039268h</stp>
        <stp>daily</stp>
        <stp>/DBI&lt;7&gt;</stp>
        <stp>Close</stp>
        <stp>3/10/2026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G2374" s="1"/>
        <tr r="AG2374" s="1"/>
      </tp>
      <tp>
        <v>131.95699999999999</v>
        <stp>spmg94039268h</stp>
        <stp>daily</stp>
        <stp>/DBI&lt;0&gt;</stp>
        <stp>Close</stp>
        <stp>3/16/2026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Z2378" s="1"/>
        <tr r="Z2378" s="1"/>
      </tp>
      <tp>
        <v>102.312</v>
        <stp>spmg94039268h</stp>
        <stp>daily</stp>
        <stp>/DBI&lt;1&gt;</stp>
        <stp>Close</stp>
        <stp>3/17/2026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A2379" s="1"/>
        <tr r="AA2379" s="1"/>
      </tp>
      <tp>
        <v>87.234999999999999</v>
        <stp>spmg94039268h</stp>
        <stp>daily</stp>
        <stp>/DBI&lt;4&gt;</stp>
        <stp>Close</stp>
        <stp>3/12/2026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D2376" s="1"/>
        <tr r="AD2376" s="1"/>
      </tp>
      <tp>
        <v>86.894999999999996</v>
        <stp>spmg94039268h</stp>
        <stp>daily</stp>
        <stp>/DBI&lt;5&gt;</stp>
        <stp>Close</stp>
        <stp>3/13/2026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E2377" s="1"/>
        <tr r="AE2377" s="1"/>
      </tp>
      <tp>
        <v>75.951999999999998</v>
        <stp>spmg94039268h</stp>
        <stp>daily</stp>
        <stp>/DBI&lt;6&gt;</stp>
        <stp>Close</stp>
        <stp>3/10/2026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F2374" s="1"/>
        <tr r="AF2374" s="1"/>
      </tp>
      <tp>
        <v>78.016999999999996</v>
        <stp>spmg94039268h</stp>
        <stp>daily</stp>
        <stp>/DBI&lt;7&gt;</stp>
        <stp>Close</stp>
        <stp>3/11/2026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G2375" s="1"/>
        <tr r="AG2375" s="1"/>
      </tp>
      <tp>
        <v>114.578</v>
        <stp>spmg94039268h</stp>
        <stp>daily</stp>
        <stp>/DBI&lt;0&gt;</stp>
        <stp>Close</stp>
        <stp>3/11/2026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Z2375" s="1"/>
        <tr r="Z2375" s="1"/>
      </tp>
      <tp>
        <v>85.123000000000005</v>
        <stp>spmg94039268h</stp>
        <stp>daily</stp>
        <stp>/DBI&lt;1&gt;</stp>
        <stp>Close</stp>
        <stp>3/10/2026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A2374" s="1"/>
        <tr r="AA2374" s="1"/>
      </tp>
      <tp>
        <v>95.466999999999999</v>
        <stp>spmg94039268h</stp>
        <stp>daily</stp>
        <stp>/DBI&lt;2&gt;</stp>
        <stp>Close</stp>
        <stp>3/13/2026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B2377" s="1"/>
        <tr r="AB2377" s="1"/>
      </tp>
      <tp>
        <v>89.754000000000005</v>
        <stp>spmg94039268h</stp>
        <stp>daily</stp>
        <stp>/DBI&lt;3&gt;</stp>
        <stp>Close</stp>
        <stp>3/12/2026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C2376" s="1"/>
        <tr r="AC2376" s="1"/>
      </tp>
      <tp>
        <v>84.465000000000003</v>
        <stp>spmg94039268h</stp>
        <stp>daily</stp>
        <stp>/DBI&lt;6&gt;</stp>
        <stp>Close</stp>
        <stp>3/17/2026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F2379" s="1"/>
        <tr r="AF2379" s="1"/>
      </tp>
      <tp>
        <v>81.837000000000003</v>
        <stp>spmg94039268h</stp>
        <stp>daily</stp>
        <stp>/DBI&lt;7&gt;</stp>
        <stp>Close</stp>
        <stp>3/16/2026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G2378" s="1"/>
        <tr r="AG2378" s="1"/>
      </tp>
      <tp>
        <v>85.09</v>
        <stp>spmg94039268h</stp>
        <stp>daily</stp>
        <stp>/DBI&lt;8&gt;</stp>
        <stp>Close</stp>
        <stp>3/19/2026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H2381" s="1"/>
        <tr r="AH2381" s="1"/>
      </tp>
      <tp>
        <v>82.820999999999998</v>
        <stp>spmg94039268h</stp>
        <stp>daily</stp>
        <stp>/DBI&lt;9&gt;</stp>
        <stp>Close</stp>
        <stp>3/18/2026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I2380" s="1"/>
        <tr r="AI2380" s="1"/>
      </tp>
      <tp>
        <v>105.884</v>
        <stp>spmg94039268h</stp>
        <stp>daily</stp>
        <stp>/DBI&lt;0&gt;</stp>
        <stp>Close</stp>
        <stp>3/10/2026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Z2374" s="1"/>
        <tr r="Z2374" s="1"/>
      </tp>
      <tp>
        <v>89.873999999999995</v>
        <stp>spmg94039268h</stp>
        <stp>daily</stp>
        <stp>/DBI&lt;1&gt;</stp>
        <stp>Close</stp>
        <stp>3/11/2026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A2375" s="1"/>
        <tr r="AA2375" s="1"/>
      </tp>
      <tp>
        <v>93.260999999999996</v>
        <stp>spmg94039268h</stp>
        <stp>daily</stp>
        <stp>/DBI&lt;2&gt;</stp>
        <stp>Close</stp>
        <stp>3/12/2026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B2376" s="1"/>
        <tr r="AB2376" s="1"/>
      </tp>
      <tp>
        <v>91.644000000000005</v>
        <stp>spmg94039268h</stp>
        <stp>daily</stp>
        <stp>/DBI&lt;3&gt;</stp>
        <stp>Close</stp>
        <stp>3/13/2026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C2377" s="1"/>
        <tr r="AC2377" s="1"/>
      </tp>
      <tp>
        <v>83.087000000000003</v>
        <stp>spmg94039268h</stp>
        <stp>daily</stp>
        <stp>/DBI&lt;6&gt;</stp>
        <stp>Close</stp>
        <stp>3/16/2026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F2378" s="1"/>
        <tr r="AF2378" s="1"/>
      </tp>
      <tp>
        <v>83.135000000000005</v>
        <stp>spmg94039268h</stp>
        <stp>daily</stp>
        <stp>/DBI&lt;7&gt;</stp>
        <stp>Close</stp>
        <stp>3/17/2026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G2379" s="1"/>
        <tr r="AG2379" s="1"/>
      </tp>
      <tp>
        <v>84.013999999999996</v>
        <stp>spmg94039268h</stp>
        <stp>daily</stp>
        <stp>/DBI&lt;8&gt;</stp>
        <stp>Close</stp>
        <stp>3/18/2026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H2380" s="1"/>
        <tr r="AH2380" s="1"/>
      </tp>
      <tp>
        <v>84.022999999999996</v>
        <stp>spmg94039268h</stp>
        <stp>daily</stp>
        <stp>/DBI&lt;9&gt;</stp>
        <stp>Close</stp>
        <stp>3/19/2026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I2381" s="1"/>
        <tr r="AI2381" s="1"/>
      </tp>
      <tp>
        <v>127.598</v>
        <stp>spmg94039268h</stp>
        <stp>daily</stp>
        <stp>/DBI&lt;0&gt;</stp>
        <stp>Close</stp>
        <stp>3/13/2026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Z2377" s="1"/>
        <tr r="Z2377" s="1"/>
      </tp>
      <tp>
        <v>101.211</v>
        <stp>spmg94039268h</stp>
        <stp>daily</stp>
        <stp>/DBI&lt;1&gt;</stp>
        <stp>Close</stp>
        <stp>3/12/2026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A2376" s="1"/>
        <tr r="AA2376" s="1"/>
      </tp>
      <tp>
        <v>85.424000000000007</v>
        <stp>spmg94039268h</stp>
        <stp>daily</stp>
        <stp>/DBI&lt;2&gt;</stp>
        <stp>Close</stp>
        <stp>3/11/2026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B2375" s="1"/>
        <tr r="AB2375" s="1"/>
      </tp>
      <tp>
        <v>79.486000000000004</v>
        <stp>spmg94039268h</stp>
        <stp>daily</stp>
        <stp>/DBI&lt;3&gt;</stp>
        <stp>Close</stp>
        <stp>3/10/2026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C2374" s="1"/>
        <tr r="AC2374" s="1"/>
      </tp>
      <tp>
        <v>87.795000000000002</v>
        <stp>spmg94039268h</stp>
        <stp>daily</stp>
        <stp>/DBI&lt;4&gt;</stp>
        <stp>Close</stp>
        <stp>3/17/2026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D2379" s="1"/>
        <tr r="AD2379" s="1"/>
      </tp>
      <tp>
        <v>84.546999999999997</v>
        <stp>spmg94039268h</stp>
        <stp>daily</stp>
        <stp>/DBI&lt;5&gt;</stp>
        <stp>Close</stp>
        <stp>3/16/2026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E2378" s="1"/>
        <tr r="AE2378" s="1"/>
      </tp>
      <tp>
        <v>124.768</v>
        <stp>spmg94039268h</stp>
        <stp>daily</stp>
        <stp>/DBI&lt;0&gt;</stp>
        <stp>Close</stp>
        <stp>3/12/2026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Z2376" s="1"/>
        <tr r="Z2376" s="1"/>
      </tp>
      <tp>
        <v>104.298</v>
        <stp>spmg94039268h</stp>
        <stp>daily</stp>
        <stp>/DBI&lt;1&gt;</stp>
        <stp>Close</stp>
        <stp>3/13/2026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A2377" s="1"/>
        <tr r="AA2377" s="1"/>
      </tp>
      <tp>
        <v>80.87</v>
        <stp>spmg94039268h</stp>
        <stp>daily</stp>
        <stp>/DBI&lt;2&gt;</stp>
        <stp>Close</stp>
        <stp>3/10/2026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B2374" s="1"/>
        <tr r="AB2374" s="1"/>
      </tp>
      <tp>
        <v>83.164000000000001</v>
        <stp>spmg94039268h</stp>
        <stp>daily</stp>
        <stp>/DBI&lt;3&gt;</stp>
        <stp>Close</stp>
        <stp>3/11/2026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C2375" s="1"/>
        <tr r="AC2375" s="1"/>
      </tp>
      <tp>
        <v>86.376999999999995</v>
        <stp>spmg94039268h</stp>
        <stp>daily</stp>
        <stp>/DBI&lt;4&gt;</stp>
        <stp>Close</stp>
        <stp>3/16/2026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D2378" s="1"/>
        <tr r="AD2378" s="1"/>
      </tp>
      <tp>
        <v>85.945000000000007</v>
        <stp>spmg94039268h</stp>
        <stp>daily</stp>
        <stp>/DBI&lt;5&gt;</stp>
        <stp>Close</stp>
        <stp>3/17/2026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E2379" s="1"/>
        <tr r="AE2379" s="1"/>
      </tp>
      <tp>
        <v>91.231000000000009</v>
        <stp>spmg94039268h</stp>
        <stp>daily</stp>
        <stp>/DBI&lt;4&gt;</stp>
        <stp>Close</stp>
        <stp>3/19/2026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D2381" s="1"/>
        <tr r="AD2381" s="1"/>
      </tp>
      <tp>
        <v>88.376000000000005</v>
        <stp>spmg94039268h</stp>
        <stp>daily</stp>
        <stp>/DBI&lt;5&gt;</stp>
        <stp>Close</stp>
        <stp>3/18/2026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E2380" s="1"/>
        <tr r="AE2380" s="1"/>
      </tp>
      <tp>
        <v>90.591999999999999</v>
        <stp>spmg94039268h</stp>
        <stp>daily</stp>
        <stp>/DBI&lt;4&gt;</stp>
        <stp>Close</stp>
        <stp>3/18/2026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D2380" s="1"/>
        <tr r="AD2380" s="1"/>
      </tp>
      <tp>
        <v>89.117000000000004</v>
        <stp>spmg94039268h</stp>
        <stp>daily</stp>
        <stp>/DBI&lt;5&gt;</stp>
        <stp>Close</stp>
        <stp>3/19/2026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E2381" s="1"/>
        <tr r="AE2381" s="1"/>
      </tp>
      <tp>
        <v>87.606999999999999</v>
        <stp>spmg94039268h</stp>
        <stp>daily</stp>
        <stp>/DBI&lt;6&gt;</stp>
        <stp>Close</stp>
        <stp>3/19/2026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F2381" s="1"/>
        <tr r="AF2381" s="1"/>
      </tp>
      <tp>
        <v>85.319000000000003</v>
        <stp>spmg94039268h</stp>
        <stp>daily</stp>
        <stp>/DBI&lt;7&gt;</stp>
        <stp>Close</stp>
        <stp>3/18/2026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G2380" s="1"/>
        <tr r="AG2380" s="1"/>
      </tp>
      <tp>
        <v>81.905000000000001</v>
        <stp>spmg94039268h</stp>
        <stp>daily</stp>
        <stp>/DBI&lt;8&gt;</stp>
        <stp>Close</stp>
        <stp>3/17/2026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H2379" s="1"/>
        <tr r="AH2379" s="1"/>
      </tp>
      <tp>
        <v>79.466000000000008</v>
        <stp>spmg94039268h</stp>
        <stp>daily</stp>
        <stp>/DBI&lt;9&gt;</stp>
        <stp>Close</stp>
        <stp>3/16/2026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I2378" s="1"/>
        <tr r="AI2378" s="1"/>
      </tp>
      <tp>
        <v>86.731000000000009</v>
        <stp>spmg94039268h</stp>
        <stp>daily</stp>
        <stp>/DBI&lt;6&gt;</stp>
        <stp>Close</stp>
        <stp>3/18/2026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F2380" s="1"/>
        <tr r="AF2380" s="1"/>
      </tp>
      <tp>
        <v>86.284999999999997</v>
        <stp>spmg94039268h</stp>
        <stp>daily</stp>
        <stp>/DBI&lt;7&gt;</stp>
        <stp>Close</stp>
        <stp>3/19/2026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G2381" s="1"/>
        <tr r="AG2381" s="1"/>
      </tp>
      <tp>
        <v>80.677000000000007</v>
        <stp>spmg94039268h</stp>
        <stp>daily</stp>
        <stp>/DBI&lt;8&gt;</stp>
        <stp>Close</stp>
        <stp>3/16/2026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H2378" s="1"/>
        <tr r="AH2378" s="1"/>
      </tp>
      <tp>
        <v>80.689000000000007</v>
        <stp>spmg94039268h</stp>
        <stp>daily</stp>
        <stp>/DBI&lt;9&gt;</stp>
        <stp>Close</stp>
        <stp>3/17/2026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I2379" s="1"/>
        <tr r="AI2379" s="1"/>
      </tp>
      <tp>
        <v>136.321</v>
        <stp>spmg94039268h</stp>
        <stp>daily</stp>
        <stp>/DBI&lt;0&gt;</stp>
        <stp>Close</stp>
        <stp>3/19/2026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Z2381" s="1"/>
        <tr r="Z2381" s="1"/>
      </tp>
      <tp>
        <v>107.11800000000001</v>
        <stp>spmg94039268h</stp>
        <stp>daily</stp>
        <stp>/DBI&lt;1&gt;</stp>
        <stp>Close</stp>
        <stp>3/18/2026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A2380" s="1"/>
        <tr r="AA2380" s="1"/>
      </tp>
      <tp>
        <v>76.947000000000003</v>
        <stp>spmg94039268h</stp>
        <stp>daily</stp>
        <stp>/DBI&lt;8&gt;</stp>
        <stp>Close</stp>
        <stp>3/11/2026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H2375" s="1"/>
        <tr r="AH2375" s="1"/>
      </tp>
      <tp>
        <v>73.388000000000005</v>
        <stp>spmg94039268h</stp>
        <stp>daily</stp>
        <stp>/DBI&lt;9&gt;</stp>
        <stp>Close</stp>
        <stp>3/10/2026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I2374" s="1"/>
        <tr r="AI2374" s="1"/>
      </tp>
      <tp>
        <v>136.41200000000001</v>
        <stp>spmg94039268h</stp>
        <stp>daily</stp>
        <stp>/DBI&lt;0&gt;</stp>
        <stp>Close</stp>
        <stp>3/18/2026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Z2380" s="1"/>
        <tr r="Z2380" s="1"/>
      </tp>
      <tp>
        <v>108.157</v>
        <stp>spmg94039268h</stp>
        <stp>daily</stp>
        <stp>/DBI&lt;1&gt;</stp>
        <stp>Close</stp>
        <stp>3/19/2026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A2381" s="1"/>
        <tr r="AA2381" s="1"/>
      </tp>
      <tp>
        <v>74.105000000000004</v>
        <stp>spmg94039268h</stp>
        <stp>daily</stp>
        <stp>/DBI&lt;8&gt;</stp>
        <stp>Close</stp>
        <stp>3/10/2026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H2374" s="1"/>
        <tr r="AH2374" s="1"/>
      </tp>
      <tp>
        <v>75.94</v>
        <stp>spmg94039268h</stp>
        <stp>daily</stp>
        <stp>/DBI&lt;9&gt;</stp>
        <stp>Close</stp>
        <stp>3/11/2026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I2375" s="1"/>
        <tr r="AI2375" s="1"/>
      </tp>
      <tp>
        <v>97.54</v>
        <stp>spmg94039268h</stp>
        <stp>daily</stp>
        <stp>/DBI&lt;2&gt;</stp>
        <stp>Close</stp>
        <stp>3/19/2026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B2381" s="1"/>
        <tr r="AB2381" s="1"/>
      </tp>
      <tp>
        <v>93.266000000000005</v>
        <stp>spmg94039268h</stp>
        <stp>daily</stp>
        <stp>/DBI&lt;3&gt;</stp>
        <stp>Close</stp>
        <stp>3/18/2026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C2380" s="1"/>
        <tr r="AC2380" s="1"/>
      </tp>
      <tp>
        <v>81.994</v>
        <stp>spmg94039268h</stp>
        <stp>daily</stp>
        <stp>/DBI&lt;8&gt;</stp>
        <stp>Close</stp>
        <stp>3/13/2026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H2377" s="1"/>
        <tr r="AH2377" s="1"/>
      </tp>
      <tp>
        <v>78.677999999999997</v>
        <stp>spmg94039268h</stp>
        <stp>daily</stp>
        <stp>/DBI&lt;9&gt;</stp>
        <stp>Close</stp>
        <stp>3/12/2026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I2376" s="1"/>
        <tr r="AI2376" s="1"/>
      </tp>
      <tp>
        <v>96.783000000000001</v>
        <stp>spmg94039268h</stp>
        <stp>daily</stp>
        <stp>/DBI&lt;2&gt;</stp>
        <stp>Close</stp>
        <stp>3/18/2026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B2380" s="1"/>
        <tr r="AB2380" s="1"/>
      </tp>
      <tp>
        <v>93.820999999999998</v>
        <stp>spmg94039268h</stp>
        <stp>daily</stp>
        <stp>/DBI&lt;3&gt;</stp>
        <stp>Close</stp>
        <stp>3/19/2026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C2381" s="1"/>
        <tr r="AC2381" s="1"/>
      </tp>
      <tp>
        <v>80.007999999999996</v>
        <stp>spmg94039268h</stp>
        <stp>daily</stp>
        <stp>/DBI&lt;8&gt;</stp>
        <stp>Close</stp>
        <stp>3/12/2026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H2376" s="1"/>
        <tr r="AH2376" s="1"/>
      </tp>
      <tp>
        <v>80.683999999999997</v>
        <stp>spmg94039268h</stp>
        <stp>daily</stp>
        <stp>/DBI&lt;9&gt;</stp>
        <stp>Close</stp>
        <stp>3/13/2026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I2377" s="1"/>
        <tr r="AI2377" s="1"/>
      </tp>
      <tp t="s">
        <v/>
        <stp>spmg94039268h</stp>
        <stp>daily</stp>
        <stp>/DBI&lt;5&gt;</stp>
        <stp>Close</stp>
        <stp>3/20/2026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E2382" s="1"/>
        <tr r="AE2382" s="1"/>
      </tp>
      <tp>
        <v>91.67</v>
        <stp>spmg94039268h</stp>
        <stp>daily</stp>
        <stp>/DBI&lt;4&gt;</stp>
        <stp>Close</stp>
        <stp>3/20/2026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D2382" s="1"/>
        <tr r="AD2382" s="1"/>
      </tp>
      <tp t="s">
        <v/>
        <stp>spmg94039268h</stp>
        <stp>daily</stp>
        <stp>/DBI&lt;7&gt;</stp>
        <stp>Close</stp>
        <stp>3/20/2026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G2382" s="1"/>
        <tr r="AG2382" s="1"/>
      </tp>
      <tp>
        <v>68.403999999999996</v>
        <stp>spmg94039268h</stp>
        <stp>daily</stp>
        <stp>/DBI&lt;0&gt;</stp>
        <stp>Close</stp>
        <stp>2/27/2026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Z2367" s="1"/>
        <tr r="Z2367" s="1"/>
      </tp>
      <tp t="s">
        <v/>
        <stp>spmg94039268h</stp>
        <stp>daily</stp>
        <stp>/DBI&lt;6&gt;</stp>
        <stp>Close</stp>
        <stp>3/20/2026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F2382" s="1"/>
        <tr r="AF2382" s="1"/>
      </tp>
      <tp>
        <v>109.45</v>
        <stp>spmg94039268h</stp>
        <stp>daily</stp>
        <stp>/DBI&lt;1&gt;</stp>
        <stp>Close</stp>
        <stp>3/20/2026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A2382" s="1"/>
        <tr r="AA2382" s="1"/>
      </tp>
      <tp>
        <v>68.872</v>
        <stp>spmg94039268h</stp>
        <stp>daily</stp>
        <stp>/DBI&lt;6&gt;</stp>
        <stp>Close</stp>
        <stp>2/27/2026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F2367" s="1"/>
        <tr r="AF2367" s="1"/>
      </tp>
      <tp t="s">
        <v/>
        <stp>spmg94039268h</stp>
        <stp>daily</stp>
        <stp>/DBI&lt;0&gt;</stp>
        <stp>Close</stp>
        <stp>3/20/2026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Z2382" s="1"/>
        <tr r="Z2382" s="1"/>
      </tp>
      <tp>
        <v>68.462000000000003</v>
        <stp>spmg94039268h</stp>
        <stp>daily</stp>
        <stp>/DBI&lt;7&gt;</stp>
        <stp>Close</stp>
        <stp>2/27/2026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G2367" s="1"/>
        <tr r="AG2367" s="1"/>
      </tp>
      <tp>
        <v>94.49</v>
        <stp>spmg94039268h</stp>
        <stp>daily</stp>
        <stp>/DBI&lt;3&gt;</stp>
        <stp>Close</stp>
        <stp>3/20/2026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C2382" s="1"/>
        <tr r="AC2382" s="1"/>
      </tp>
      <tp>
        <v>98.86</v>
        <stp>spmg94039268h</stp>
        <stp>daily</stp>
        <stp>/DBI&lt;2&gt;</stp>
        <stp>Close</stp>
        <stp>3/20/2026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B2382" s="1"/>
        <tr r="AB2382" s="1"/>
      </tp>
      <tp>
        <v>69.370999999999995</v>
        <stp>spmg94039268h</stp>
        <stp>daily</stp>
        <stp>/DBI&lt;5&gt;</stp>
        <stp>Close</stp>
        <stp>2/27/2026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E2367" s="1"/>
        <tr r="AE2367" s="1"/>
      </tp>
      <tp>
        <v>68.06</v>
        <stp>spmg94039268h</stp>
        <stp>daily</stp>
        <stp>/DBI&lt;8&gt;</stp>
        <stp>Close</stp>
        <stp>2/27/2026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H2367" s="1"/>
        <tr r="AH2367" s="1"/>
      </tp>
      <tp>
        <v>67.692000000000007</v>
        <stp>spmg94039268h</stp>
        <stp>daily</stp>
        <stp>/DBI&lt;9&gt;</stp>
        <stp>Close</stp>
        <stp>2/27/2026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I2367" s="1"/>
        <tr r="AI2367" s="1"/>
      </tp>
      <tp t="s">
        <v/>
        <stp>spmg94039268h</stp>
        <stp>daily</stp>
        <stp>/DBI&lt;9&gt;</stp>
        <stp>Close</stp>
        <stp>3/20/2026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I2382" s="1"/>
        <tr r="AI2382" s="1"/>
      </tp>
      <tp t="s">
        <v/>
        <stp>spmg94039268h</stp>
        <stp>daily</stp>
        <stp>/DBI&lt;8&gt;</stp>
        <stp>Close</stp>
        <stp>3/20/2026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H2382" s="1"/>
        <tr r="AH2382" s="1"/>
      </tp>
      <tp t="s">
        <v>NYMEX Light Sweet Crude Oil (WTI) Futures Electronic (11th Month)</v>
        <stp>spmg94039268h</stp>
        <stp>quote</stp>
        <stp>/GCL&lt;10&gt;</stp>
        <stp>Description</stp>
        <stp>2</stp>
        <stp>daily</stp>
        <stp>Close</stp>
        <stp/>
        <stp/>
        <stp/>
        <stp>p</stp>
        <stp/>
        <stp/>
        <stp/>
        <stp/>
        <stp/>
        <stp>Hundredths</stp>
        <stp/>
        <stp>False</stp>
        <tr r="X2" s="1"/>
      </tp>
      <tp t="s">
        <v>NYMEX Light Sweet Crude Oil (WTI) Futures Electronic (12th Month)</v>
        <stp>spmg94039268h</stp>
        <stp>quote</stp>
        <stp>/GCL&lt;11&gt;</stp>
        <stp>Description</stp>
        <stp>2</stp>
        <stp>daily</stp>
        <stp>Close</stp>
        <stp/>
        <stp/>
        <stp/>
        <stp>p</stp>
        <stp/>
        <stp/>
        <stp/>
        <stp/>
        <stp/>
        <stp>Hundredths</stp>
        <stp/>
        <stp>False</stp>
        <tr r="Y2" s="1"/>
      </tp>
      <tp>
        <v>56.01</v>
        <stp>spmg94039268h</stp>
        <stp>daily</stp>
        <stp>/GCL&lt;8&gt;</stp>
        <stp>Close</stp>
        <stp>1/3/2017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V4" s="1"/>
        <tr r="V4" s="1"/>
      </tp>
      <tp>
        <v>56.04</v>
        <stp>spmg94039268h</stp>
        <stp>daily</stp>
        <stp>/GCL&lt;9&gt;</stp>
        <stp>Close</stp>
        <stp>1/3/2017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W4" s="1"/>
        <tr r="W4" s="1"/>
      </tp>
      <tp>
        <v>55.32</v>
        <stp>spmg94039268h</stp>
        <stp>daily</stp>
        <stp>/GCL&lt;4&gt;</stp>
        <stp>Close</stp>
        <stp>1/3/2017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R4" s="1"/>
        <tr r="R4" s="1"/>
      </tp>
      <tp>
        <v>55.65</v>
        <stp>spmg94039268h</stp>
        <stp>daily</stp>
        <stp>/GCL&lt;5&gt;</stp>
        <stp>Close</stp>
        <stp>1/3/2017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S4" s="1"/>
        <tr r="S4" s="1"/>
      </tp>
      <tp>
        <v>55.84</v>
        <stp>spmg94039268h</stp>
        <stp>daily</stp>
        <stp>/GCL&lt;6&gt;</stp>
        <stp>Close</stp>
        <stp>1/3/2017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T4" s="1"/>
        <tr r="T4" s="1"/>
      </tp>
      <tp>
        <v>55.95</v>
        <stp>spmg94039268h</stp>
        <stp>daily</stp>
        <stp>/GCL&lt;7&gt;</stp>
        <stp>Close</stp>
        <stp>1/3/2017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U4" s="1"/>
        <tr r="U4" s="1"/>
      </tp>
      <tp>
        <v>52.33</v>
        <stp>spmg94039268h</stp>
        <stp>daily</stp>
        <stp>/GCL&lt;0&gt;</stp>
        <stp>Close</stp>
        <stp>1/3/2017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N4" s="1"/>
        <tr r="N4" s="1"/>
      </tp>
      <tp>
        <v>53.29</v>
        <stp>spmg94039268h</stp>
        <stp>daily</stp>
        <stp>/GCL&lt;1&gt;</stp>
        <stp>Close</stp>
        <stp>1/3/2017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O4" s="1"/>
        <tr r="O4" s="1"/>
      </tp>
      <tp>
        <v>54.120000000000005</v>
        <stp>spmg94039268h</stp>
        <stp>daily</stp>
        <stp>/GCL&lt;2&gt;</stp>
        <stp>Close</stp>
        <stp>1/3/2017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P4" s="1"/>
        <tr r="P4" s="1"/>
      </tp>
      <tp>
        <v>54.81</v>
        <stp>spmg94039268h</stp>
        <stp>daily</stp>
        <stp>/GCL&lt;3&gt;</stp>
        <stp>Close</stp>
        <stp>1/3/2017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Q4" s="1"/>
        <tr r="Q4" s="1"/>
      </tp>
      <tp t="s">
        <v>ICE Brent Crude Oil Futures (12th Month)</v>
        <stp>spmg94039268h</stp>
        <stp>quote</stp>
        <stp>/BRN&lt;11&gt;</stp>
        <stp>Description</stp>
        <stp>2</stp>
        <stp>daily</stp>
        <stp>Close</stp>
        <stp/>
        <stp/>
        <stp/>
        <stp>p</stp>
        <stp/>
        <stp/>
        <stp/>
        <stp/>
        <stp/>
        <stp>Hundredths</stp>
        <stp/>
        <stp>False</stp>
        <tr r="M2" s="1"/>
      </tp>
      <tp t="s">
        <v>ICE Brent Crude Oil Futures (11th Month)</v>
        <stp>spmg94039268h</stp>
        <stp>quote</stp>
        <stp>/BRN&lt;10&gt;</stp>
        <stp>Description</stp>
        <stp>2</stp>
        <stp>daily</stp>
        <stp>Close</stp>
        <stp/>
        <stp/>
        <stp/>
        <stp>p</stp>
        <stp/>
        <stp/>
        <stp/>
        <stp/>
        <stp/>
        <stp>Hundredths</stp>
        <stp/>
        <stp>False</stp>
        <tr r="L2" s="1"/>
      </tp>
      <tp>
        <v>68.36</v>
        <stp>spmg94039268h</stp>
        <stp>daily</stp>
        <stp>/GCL&lt;9&gt;</stp>
        <stp>Close</stp>
        <stp>3/6/2026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W2372" s="1"/>
        <tr r="W2372" s="1"/>
      </tp>
      <tp>
        <v>69.239999999999995</v>
        <stp>spmg94039268h</stp>
        <stp>daily</stp>
        <stp>/GCL&lt;8&gt;</stp>
        <stp>Close</stp>
        <stp>3/6/2026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V2372" s="1"/>
        <tr r="V2372" s="1"/>
      </tp>
      <tp>
        <v>72.98</v>
        <stp>spmg94039268h</stp>
        <stp>daily</stp>
        <stp>/GCL&lt;5&gt;</stp>
        <stp>Close</stp>
        <stp>3/6/2026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S2372" s="1"/>
        <tr r="S2372" s="1"/>
      </tp>
      <tp>
        <v>75.02</v>
        <stp>spmg94039268h</stp>
        <stp>daily</stp>
        <stp>/GCL&lt;4&gt;</stp>
        <stp>Close</stp>
        <stp>3/6/2026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R2372" s="1"/>
        <tr r="R2372" s="1"/>
      </tp>
      <tp>
        <v>70.23</v>
        <stp>spmg94039268h</stp>
        <stp>daily</stp>
        <stp>/GCL&lt;7&gt;</stp>
        <stp>Close</stp>
        <stp>3/6/2026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U2372" s="1"/>
        <tr r="U2372" s="1"/>
      </tp>
      <tp>
        <v>71.41</v>
        <stp>spmg94039268h</stp>
        <stp>daily</stp>
        <stp>/GCL&lt;6&gt;</stp>
        <stp>Close</stp>
        <stp>3/6/2026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T2372" s="1"/>
        <tr r="T2372" s="1"/>
      </tp>
      <tp>
        <v>87.52</v>
        <stp>spmg94039268h</stp>
        <stp>daily</stp>
        <stp>/GCL&lt;1&gt;</stp>
        <stp>Close</stp>
        <stp>3/6/2026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O2372" s="1"/>
        <tr r="O2372" s="1"/>
      </tp>
      <tp>
        <v>90.9</v>
        <stp>spmg94039268h</stp>
        <stp>daily</stp>
        <stp>/GCL&lt;0&gt;</stp>
        <stp>Close</stp>
        <stp>3/6/2026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N2372" s="1"/>
        <tr r="N2372" s="1"/>
      </tp>
      <tp>
        <v>77.94</v>
        <stp>spmg94039268h</stp>
        <stp>daily</stp>
        <stp>/GCL&lt;3&gt;</stp>
        <stp>Close</stp>
        <stp>3/6/2026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Q2372" s="1"/>
        <tr r="Q2372" s="1"/>
      </tp>
      <tp>
        <v>82.19</v>
        <stp>spmg94039268h</stp>
        <stp>daily</stp>
        <stp>/GCL&lt;2&gt;</stp>
        <stp>Close</stp>
        <stp>3/6/2026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P2372" s="1"/>
        <tr r="P2372" s="1"/>
      </tp>
      <tp>
        <v>66.59</v>
        <stp>spmg94039268h</stp>
        <stp>daily</stp>
        <stp>/GCL&lt;9&gt;</stp>
        <stp>Close</stp>
        <stp>3/5/2026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W2371" s="1"/>
        <tr r="W2371" s="1"/>
      </tp>
      <tp>
        <v>67.31</v>
        <stp>spmg94039268h</stp>
        <stp>daily</stp>
        <stp>/GCL&lt;8&gt;</stp>
        <stp>Close</stp>
        <stp>3/5/2026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V2371" s="1"/>
        <tr r="V2371" s="1"/>
      </tp>
      <tp>
        <v>70.16</v>
        <stp>spmg94039268h</stp>
        <stp>daily</stp>
        <stp>/GCL&lt;5&gt;</stp>
        <stp>Close</stp>
        <stp>3/5/2026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S2371" s="1"/>
        <tr r="S2371" s="1"/>
      </tp>
      <tp>
        <v>71.460000000000008</v>
        <stp>spmg94039268h</stp>
        <stp>daily</stp>
        <stp>/GCL&lt;4&gt;</stp>
        <stp>Close</stp>
        <stp>3/5/2026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R2371" s="1"/>
        <tr r="R2371" s="1"/>
      </tp>
      <tp>
        <v>68.11</v>
        <stp>spmg94039268h</stp>
        <stp>daily</stp>
        <stp>/GCL&lt;7&gt;</stp>
        <stp>Close</stp>
        <stp>3/5/2026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U2371" s="1"/>
        <tr r="U2371" s="1"/>
      </tp>
      <tp>
        <v>69.040000000000006</v>
        <stp>spmg94039268h</stp>
        <stp>daily</stp>
        <stp>/GCL&lt;6&gt;</stp>
        <stp>Close</stp>
        <stp>3/5/2026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T2371" s="1"/>
        <tr r="T2371" s="1"/>
      </tp>
      <tp>
        <v>78.64</v>
        <stp>spmg94039268h</stp>
        <stp>daily</stp>
        <stp>/GCL&lt;1&gt;</stp>
        <stp>Close</stp>
        <stp>3/5/2026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O2371" s="1"/>
        <tr r="O2371" s="1"/>
      </tp>
      <tp>
        <v>81.010000000000005</v>
        <stp>spmg94039268h</stp>
        <stp>daily</stp>
        <stp>/GCL&lt;0&gt;</stp>
        <stp>Close</stp>
        <stp>3/5/2026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N2371" s="1"/>
        <tr r="N2371" s="1"/>
      </tp>
      <tp>
        <v>73.180000000000007</v>
        <stp>spmg94039268h</stp>
        <stp>daily</stp>
        <stp>/GCL&lt;3&gt;</stp>
        <stp>Close</stp>
        <stp>3/5/2026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Q2371" s="1"/>
        <tr r="Q2371" s="1"/>
      </tp>
      <tp>
        <v>75.52</v>
        <stp>spmg94039268h</stp>
        <stp>daily</stp>
        <stp>/GCL&lt;2&gt;</stp>
        <stp>Close</stp>
        <stp>3/5/2026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P2371" s="1"/>
        <tr r="P2371" s="1"/>
      </tp>
      <tp>
        <v>65.099999999999994</v>
        <stp>spmg94039268h</stp>
        <stp>daily</stp>
        <stp>/GCL&lt;9&gt;</stp>
        <stp>Close</stp>
        <stp>3/4/2026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W2370" s="1"/>
        <tr r="W2370" s="1"/>
      </tp>
      <tp>
        <v>65.7</v>
        <stp>spmg94039268h</stp>
        <stp>daily</stp>
        <stp>/GCL&lt;8&gt;</stp>
        <stp>Close</stp>
        <stp>3/4/2026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V2370" s="1"/>
        <tr r="V2370" s="1"/>
      </tp>
      <tp>
        <v>68.19</v>
        <stp>spmg94039268h</stp>
        <stp>daily</stp>
        <stp>/GCL&lt;5&gt;</stp>
        <stp>Close</stp>
        <stp>3/4/2026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S2370" s="1"/>
        <tr r="S2370" s="1"/>
      </tp>
      <tp>
        <v>69.239999999999995</v>
        <stp>spmg94039268h</stp>
        <stp>daily</stp>
        <stp>/GCL&lt;4&gt;</stp>
        <stp>Close</stp>
        <stp>3/4/2026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R2370" s="1"/>
        <tr r="R2370" s="1"/>
      </tp>
      <tp>
        <v>66.400000000000006</v>
        <stp>spmg94039268h</stp>
        <stp>daily</stp>
        <stp>/GCL&lt;7&gt;</stp>
        <stp>Close</stp>
        <stp>3/4/2026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U2370" s="1"/>
        <tr r="U2370" s="1"/>
      </tp>
      <tp>
        <v>67.22</v>
        <stp>spmg94039268h</stp>
        <stp>daily</stp>
        <stp>/GCL&lt;6&gt;</stp>
        <stp>Close</stp>
        <stp>3/4/2026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T2370" s="1"/>
        <tr r="T2370" s="1"/>
      </tp>
      <tp>
        <v>73.460000000000008</v>
        <stp>spmg94039268h</stp>
        <stp>daily</stp>
        <stp>/GCL&lt;1&gt;</stp>
        <stp>Close</stp>
        <stp>3/4/2026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O2370" s="1"/>
        <tr r="O2370" s="1"/>
      </tp>
      <tp>
        <v>74.66</v>
        <stp>spmg94039268h</stp>
        <stp>daily</stp>
        <stp>/GCL&lt;0&gt;</stp>
        <stp>Close</stp>
        <stp>3/4/2026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N2370" s="1"/>
        <tr r="N2370" s="1"/>
      </tp>
      <tp>
        <v>70.41</v>
        <stp>spmg94039268h</stp>
        <stp>daily</stp>
        <stp>/GCL&lt;3&gt;</stp>
        <stp>Close</stp>
        <stp>3/4/2026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Q2370" s="1"/>
        <tr r="Q2370" s="1"/>
      </tp>
      <tp>
        <v>71.760000000000005</v>
        <stp>spmg94039268h</stp>
        <stp>daily</stp>
        <stp>/GCL&lt;2&gt;</stp>
        <stp>Close</stp>
        <stp>3/4/2026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P2370" s="1"/>
        <tr r="P2370" s="1"/>
      </tp>
      <tp>
        <v>64.59</v>
        <stp>spmg94039268h</stp>
        <stp>daily</stp>
        <stp>/GCL&lt;9&gt;</stp>
        <stp>Close</stp>
        <stp>3/3/2026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W2369" s="1"/>
        <tr r="W2369" s="1"/>
      </tp>
      <tp>
        <v>65.290000000000006</v>
        <stp>spmg94039268h</stp>
        <stp>daily</stp>
        <stp>/GCL&lt;8&gt;</stp>
        <stp>Close</stp>
        <stp>3/3/2026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V2369" s="1"/>
        <tr r="V2369" s="1"/>
      </tp>
      <tp>
        <v>68.11</v>
        <stp>spmg94039268h</stp>
        <stp>daily</stp>
        <stp>/GCL&lt;5&gt;</stp>
        <stp>Close</stp>
        <stp>3/3/2026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S2369" s="1"/>
        <tr r="S2369" s="1"/>
      </tp>
      <tp>
        <v>69.25</v>
        <stp>spmg94039268h</stp>
        <stp>daily</stp>
        <stp>/GCL&lt;4&gt;</stp>
        <stp>Close</stp>
        <stp>3/3/2026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R2369" s="1"/>
        <tr r="R2369" s="1"/>
      </tp>
      <tp>
        <v>66.09</v>
        <stp>spmg94039268h</stp>
        <stp>daily</stp>
        <stp>/GCL&lt;7&gt;</stp>
        <stp>Close</stp>
        <stp>3/3/2026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U2369" s="1"/>
        <tr r="U2369" s="1"/>
      </tp>
      <tp>
        <v>67.03</v>
        <stp>spmg94039268h</stp>
        <stp>daily</stp>
        <stp>/GCL&lt;6&gt;</stp>
        <stp>Close</stp>
        <stp>3/3/2026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T2369" s="1"/>
        <tr r="T2369" s="1"/>
      </tp>
      <tp>
        <v>73.55</v>
        <stp>spmg94039268h</stp>
        <stp>daily</stp>
        <stp>/GCL&lt;1&gt;</stp>
        <stp>Close</stp>
        <stp>3/3/2026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O2369" s="1"/>
        <tr r="O2369" s="1"/>
      </tp>
      <tp>
        <v>74.56</v>
        <stp>spmg94039268h</stp>
        <stp>daily</stp>
        <stp>/GCL&lt;0&gt;</stp>
        <stp>Close</stp>
        <stp>3/3/2026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N2369" s="1"/>
        <tr r="N2369" s="1"/>
      </tp>
      <tp>
        <v>70.489999999999995</v>
        <stp>spmg94039268h</stp>
        <stp>daily</stp>
        <stp>/GCL&lt;3&gt;</stp>
        <stp>Close</stp>
        <stp>3/3/2026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Q2369" s="1"/>
        <tr r="Q2369" s="1"/>
      </tp>
      <tp>
        <v>71.88</v>
        <stp>spmg94039268h</stp>
        <stp>daily</stp>
        <stp>/GCL&lt;2&gt;</stp>
        <stp>Close</stp>
        <stp>3/3/2026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P2369" s="1"/>
        <tr r="P2369" s="1"/>
      </tp>
      <tp>
        <v>64.23</v>
        <stp>spmg94039268h</stp>
        <stp>daily</stp>
        <stp>/GCL&lt;9&gt;</stp>
        <stp>Close</stp>
        <stp>3/2/2026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W2368" s="1"/>
        <tr r="W2368" s="1"/>
      </tp>
      <tp>
        <v>64.78</v>
        <stp>spmg94039268h</stp>
        <stp>daily</stp>
        <stp>/GCL&lt;8&gt;</stp>
        <stp>Close</stp>
        <stp>3/2/2026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V2368" s="1"/>
        <tr r="V2368" s="1"/>
      </tp>
      <tp>
        <v>67.070000000000007</v>
        <stp>spmg94039268h</stp>
        <stp>daily</stp>
        <stp>/GCL&lt;5&gt;</stp>
        <stp>Close</stp>
        <stp>3/2/2026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S2368" s="1"/>
        <tr r="S2368" s="1"/>
      </tp>
      <tp>
        <v>68.010000000000005</v>
        <stp>spmg94039268h</stp>
        <stp>daily</stp>
        <stp>/GCL&lt;4&gt;</stp>
        <stp>Close</stp>
        <stp>3/2/2026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R2368" s="1"/>
        <tr r="R2368" s="1"/>
      </tp>
      <tp>
        <v>65.430000000000007</v>
        <stp>spmg94039268h</stp>
        <stp>daily</stp>
        <stp>/GCL&lt;7&gt;</stp>
        <stp>Close</stp>
        <stp>3/2/2026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U2368" s="1"/>
        <tr r="U2368" s="1"/>
      </tp>
      <tp>
        <v>66.180000000000007</v>
        <stp>spmg94039268h</stp>
        <stp>daily</stp>
        <stp>/GCL&lt;6&gt;</stp>
        <stp>Close</stp>
        <stp>3/2/2026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T2368" s="1"/>
        <tr r="T2368" s="1"/>
      </tp>
      <tp>
        <v>70.72</v>
        <stp>spmg94039268h</stp>
        <stp>daily</stp>
        <stp>/GCL&lt;1&gt;</stp>
        <stp>Close</stp>
        <stp>3/2/2026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O2368" s="1"/>
        <tr r="O2368" s="1"/>
      </tp>
      <tp>
        <v>71.23</v>
        <stp>spmg94039268h</stp>
        <stp>daily</stp>
        <stp>/GCL&lt;0&gt;</stp>
        <stp>Close</stp>
        <stp>3/2/2026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N2368" s="1"/>
        <tr r="N2368" s="1"/>
      </tp>
      <tp>
        <v>68.930000000000007</v>
        <stp>spmg94039268h</stp>
        <stp>daily</stp>
        <stp>/GCL&lt;3&gt;</stp>
        <stp>Close</stp>
        <stp>3/2/2026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Q2368" s="1"/>
        <tr r="Q2368" s="1"/>
      </tp>
      <tp>
        <v>69.81</v>
        <stp>spmg94039268h</stp>
        <stp>daily</stp>
        <stp>/GCL&lt;2&gt;</stp>
        <stp>Close</stp>
        <stp>3/2/2026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P2368" s="1"/>
        <tr r="P2368" s="1"/>
      </tp>
      <tp>
        <v>70.08</v>
        <stp>spmg94039268h</stp>
        <stp>daily</stp>
        <stp>/GCL&lt;9&gt;</stp>
        <stp>Close</stp>
        <stp>3/9/2026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W2373" s="1"/>
        <tr r="W2373" s="1"/>
      </tp>
      <tp>
        <v>71.17</v>
        <stp>spmg94039268h</stp>
        <stp>daily</stp>
        <stp>/GCL&lt;8&gt;</stp>
        <stp>Close</stp>
        <stp>3/9/2026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V2373" s="1"/>
        <tr r="V2373" s="1"/>
      </tp>
      <tp>
        <v>76.14</v>
        <stp>spmg94039268h</stp>
        <stp>daily</stp>
        <stp>/GCL&lt;5&gt;</stp>
        <stp>Close</stp>
        <stp>3/9/2026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S2373" s="1"/>
        <tr r="S2373" s="1"/>
      </tp>
      <tp>
        <v>78.78</v>
        <stp>spmg94039268h</stp>
        <stp>daily</stp>
        <stp>/GCL&lt;4&gt;</stp>
        <stp>Close</stp>
        <stp>3/9/2026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R2373" s="1"/>
        <tr r="R2373" s="1"/>
      </tp>
      <tp>
        <v>72.44</v>
        <stp>spmg94039268h</stp>
        <stp>daily</stp>
        <stp>/GCL&lt;7&gt;</stp>
        <stp>Close</stp>
        <stp>3/9/2026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U2373" s="1"/>
        <tr r="U2373" s="1"/>
      </tp>
      <tp>
        <v>74.02</v>
        <stp>spmg94039268h</stp>
        <stp>daily</stp>
        <stp>/GCL&lt;6&gt;</stp>
        <stp>Close</stp>
        <stp>3/9/2026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T2373" s="1"/>
        <tr r="T2373" s="1"/>
      </tp>
      <tp>
        <v>91.48</v>
        <stp>spmg94039268h</stp>
        <stp>daily</stp>
        <stp>/GCL&lt;1&gt;</stp>
        <stp>Close</stp>
        <stp>3/9/2026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O2373" s="1"/>
        <tr r="O2373" s="1"/>
      </tp>
      <tp>
        <v>94.77</v>
        <stp>spmg94039268h</stp>
        <stp>daily</stp>
        <stp>/GCL&lt;0&gt;</stp>
        <stp>Close</stp>
        <stp>3/9/2026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N2373" s="1"/>
        <tr r="N2373" s="1"/>
      </tp>
      <tp>
        <v>82.25</v>
        <stp>spmg94039268h</stp>
        <stp>daily</stp>
        <stp>/GCL&lt;3&gt;</stp>
        <stp>Close</stp>
        <stp>3/9/2026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Q2373" s="1"/>
        <tr r="Q2373" s="1"/>
      </tp>
      <tp>
        <v>86.67</v>
        <stp>spmg94039268h</stp>
        <stp>daily</stp>
        <stp>/GCL&lt;2&gt;</stp>
        <stp>Close</stp>
        <stp>3/9/2026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P2373" s="1"/>
        <tr r="P2373" s="1"/>
      </tp>
      <tp>
        <v>83.213000000000008</v>
        <stp>spmg94039268h</stp>
        <stp>daily</stp>
        <stp>/DBI&lt;10&gt;</stp>
        <stp>Close</stp>
        <stp>3/19/2026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J2381" s="1"/>
        <tr r="AJ2381" s="1"/>
      </tp>
      <tp>
        <v>81.055000000000007</v>
        <stp>spmg94039268h</stp>
        <stp>daily</stp>
        <stp>/DBI&lt;11&gt;</stp>
        <stp>Close</stp>
        <stp>3/18/2026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K2380" s="1"/>
        <tr r="AK2380" s="1"/>
      </tp>
      <tp>
        <v>81.888000000000005</v>
        <stp>spmg94039268h</stp>
        <stp>daily</stp>
        <stp>/DBI&lt;10&gt;</stp>
        <stp>Close</stp>
        <stp>3/18/2026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J2380" s="1"/>
        <tr r="AJ2380" s="1"/>
      </tp>
      <tp>
        <v>82.469000000000008</v>
        <stp>spmg94039268h</stp>
        <stp>daily</stp>
        <stp>/DBI&lt;11&gt;</stp>
        <stp>Close</stp>
        <stp>3/19/2026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K2381" s="1"/>
        <tr r="AK2381" s="1"/>
      </tp>
      <tp>
        <v>79.728999999999999</v>
        <stp>spmg94039268h</stp>
        <stp>daily</stp>
        <stp>/DBI&lt;10&gt;</stp>
        <stp>Close</stp>
        <stp>3/17/2026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J2379" s="1"/>
        <tr r="AJ2379" s="1"/>
      </tp>
      <tp>
        <v>77.881</v>
        <stp>spmg94039268h</stp>
        <stp>daily</stp>
        <stp>/DBI&lt;11&gt;</stp>
        <stp>Close</stp>
        <stp>3/16/2026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K2378" s="1"/>
        <tr r="AK2378" s="1"/>
      </tp>
      <tp>
        <v>78.623999999999995</v>
        <stp>spmg94039268h</stp>
        <stp>daily</stp>
        <stp>/DBI&lt;10&gt;</stp>
        <stp>Close</stp>
        <stp>3/16/2026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J2378" s="1"/>
        <tr r="AJ2378" s="1"/>
      </tp>
      <tp>
        <v>78.897000000000006</v>
        <stp>spmg94039268h</stp>
        <stp>daily</stp>
        <stp>/DBI&lt;11&gt;</stp>
        <stp>Close</stp>
        <stp>3/17/2026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K2379" s="1"/>
        <tr r="AK2379" s="1"/>
      </tp>
      <tp>
        <v>79.626000000000005</v>
        <stp>spmg94039268h</stp>
        <stp>daily</stp>
        <stp>/DBI&lt;10&gt;</stp>
        <stp>Close</stp>
        <stp>3/13/2026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J2377" s="1"/>
        <tr r="AJ2377" s="1"/>
      </tp>
      <tp>
        <v>76.838999999999999</v>
        <stp>spmg94039268h</stp>
        <stp>daily</stp>
        <stp>/DBI&lt;11&gt;</stp>
        <stp>Close</stp>
        <stp>3/12/2026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K2376" s="1"/>
        <tr r="AK2376" s="1"/>
      </tp>
      <tp>
        <v>77.679000000000002</v>
        <stp>spmg94039268h</stp>
        <stp>daily</stp>
        <stp>/DBI&lt;10&gt;</stp>
        <stp>Close</stp>
        <stp>3/12/2026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J2376" s="1"/>
        <tr r="AJ2376" s="1"/>
      </tp>
      <tp>
        <v>78.730999999999995</v>
        <stp>spmg94039268h</stp>
        <stp>daily</stp>
        <stp>/DBI&lt;11&gt;</stp>
        <stp>Close</stp>
        <stp>3/13/2026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K2377" s="1"/>
        <tr r="AK2377" s="1"/>
      </tp>
      <tp>
        <v>75.182000000000002</v>
        <stp>spmg94039268h</stp>
        <stp>daily</stp>
        <stp>/DBI&lt;10&gt;</stp>
        <stp>Close</stp>
        <stp>3/11/2026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J2375" s="1"/>
        <tr r="AJ2375" s="1"/>
      </tp>
      <tp>
        <v>72.436999999999998</v>
        <stp>spmg94039268h</stp>
        <stp>daily</stp>
        <stp>/DBI&lt;11&gt;</stp>
        <stp>Close</stp>
        <stp>3/10/2026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K2374" s="1"/>
        <tr r="AK2374" s="1"/>
      </tp>
      <tp>
        <v>72.872</v>
        <stp>spmg94039268h</stp>
        <stp>daily</stp>
        <stp>/DBI&lt;10&gt;</stp>
        <stp>Close</stp>
        <stp>3/10/2026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J2374" s="1"/>
        <tr r="AJ2374" s="1"/>
      </tp>
      <tp>
        <v>74.564000000000007</v>
        <stp>spmg94039268h</stp>
        <stp>daily</stp>
        <stp>/DBI&lt;11&gt;</stp>
        <stp>Close</stp>
        <stp>3/11/2026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K2375" s="1"/>
        <tr r="AK2375" s="1"/>
      </tp>
      <tp>
        <v>67.356999999999999</v>
        <stp>spmg94039268h</stp>
        <stp>daily</stp>
        <stp>/DBI&lt;10&gt;</stp>
        <stp>Close</stp>
        <stp>2/27/2026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J2367" s="1"/>
        <tr r="AJ2367" s="1"/>
      </tp>
      <tp>
        <v>67.120999999999995</v>
        <stp>spmg94039268h</stp>
        <stp>daily</stp>
        <stp>/DBI&lt;11&gt;</stp>
        <stp>Close</stp>
        <stp>2/27/2026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K2367" s="1"/>
        <tr r="AK2367" s="1"/>
      </tp>
      <tp t="s">
        <v/>
        <stp>spmg94039268h</stp>
        <stp>daily</stp>
        <stp>/DBI&lt;11&gt;</stp>
        <stp>Close</stp>
        <stp>3/20/2026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K2382" s="1"/>
        <tr r="AK2382" s="1"/>
      </tp>
      <tp t="s">
        <v/>
        <stp>spmg94039268h</stp>
        <stp>daily</stp>
        <stp>/DBI&lt;10&gt;</stp>
        <stp>Close</stp>
        <stp>3/20/2026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J2382" s="1"/>
        <tr r="AJ2382" s="1"/>
      </tp>
      <tp t="s">
        <v/>
        <stp>spmg94039268h</stp>
        <stp>tableinfo</stp>
        <stp>$A$2</stp>
        <stp>0ba98b51-5af0-433c-9343-89b36dc76315</stp>
        <stp>0</stp>
        <stp/>
        <stp/>
        <tr r="A2" s="1"/>
      </tp>
      <tp>
        <v>57.6</v>
        <stp>spmg94039268h</stp>
        <stp>daily</stp>
        <stp>/BRN&lt;9&gt;</stp>
        <stp>Close</stp>
        <stp>1/3/2017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K4" s="1"/>
        <tr r="K4" s="1"/>
      </tp>
      <tp>
        <v>57.64</v>
        <stp>spmg94039268h</stp>
        <stp>daily</stp>
        <stp>/BRN&lt;8&gt;</stp>
        <stp>Close</stp>
        <stp>1/3/2017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J4" s="1"/>
        <tr r="J4" s="1"/>
      </tp>
      <tp>
        <v>56.14</v>
        <stp>spmg94039268h</stp>
        <stp>daily</stp>
        <stp>/BRN&lt;1&gt;</stp>
        <stp>Close</stp>
        <stp>1/3/2017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C4" s="1"/>
        <tr r="C4" s="1"/>
      </tp>
      <tp>
        <v>55.47</v>
        <stp>spmg94039268h</stp>
        <stp>daily</stp>
        <stp>/BRN&lt;0&gt;</stp>
        <stp>Close</stp>
        <stp>1/3/2017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B4" s="1"/>
        <tr r="B4" s="1"/>
      </tp>
      <tp>
        <v>57.15</v>
        <stp>spmg94039268h</stp>
        <stp>daily</stp>
        <stp>/BRN&lt;3&gt;</stp>
        <stp>Close</stp>
        <stp>1/3/2017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E4" s="1"/>
        <tr r="E4" s="1"/>
      </tp>
      <tp>
        <v>56.71</v>
        <stp>spmg94039268h</stp>
        <stp>daily</stp>
        <stp>/BRN&lt;2&gt;</stp>
        <stp>Close</stp>
        <stp>1/3/2017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D4" s="1"/>
        <tr r="D4" s="1"/>
      </tp>
      <tp>
        <v>57.6</v>
        <stp>spmg94039268h</stp>
        <stp>daily</stp>
        <stp>/BRN&lt;5&gt;</stp>
        <stp>Close</stp>
        <stp>1/3/2017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G4" s="1"/>
        <tr r="G4" s="1"/>
      </tp>
      <tp>
        <v>57.44</v>
        <stp>spmg94039268h</stp>
        <stp>daily</stp>
        <stp>/BRN&lt;4&gt;</stp>
        <stp>Close</stp>
        <stp>1/3/2017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F4" s="1"/>
        <tr r="F4" s="1"/>
      </tp>
      <tp>
        <v>57.660000000000004</v>
        <stp>spmg94039268h</stp>
        <stp>daily</stp>
        <stp>/BRN&lt;7&gt;</stp>
        <stp>Close</stp>
        <stp>1/3/2017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I4" s="1"/>
        <tr r="I4" s="1"/>
      </tp>
      <tp>
        <v>57.660000000000004</v>
        <stp>spmg94039268h</stp>
        <stp>daily</stp>
        <stp>/BRN&lt;6&gt;</stp>
        <stp>Close</stp>
        <stp>1/3/2017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H4" s="1"/>
        <tr r="H4" s="1"/>
      </tp>
      <tp>
        <v>73.31</v>
        <stp>spmg94039268h</stp>
        <stp>daily</stp>
        <stp>/BRN&lt;8&gt;</stp>
        <stp>Close</stp>
        <stp>3/6/2026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J2372" s="1"/>
        <tr r="J2372" s="1"/>
      </tp>
      <tp>
        <v>72.56</v>
        <stp>spmg94039268h</stp>
        <stp>daily</stp>
        <stp>/BRN&lt;9&gt;</stp>
        <stp>Close</stp>
        <stp>3/6/2026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K2372" s="1"/>
        <tr r="K2372" s="1"/>
      </tp>
      <tp>
        <v>92.69</v>
        <stp>spmg94039268h</stp>
        <stp>daily</stp>
        <stp>/BRN&lt;0&gt;</stp>
        <stp>Close</stp>
        <stp>3/6/2026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B2372" s="1"/>
        <tr r="B2372" s="1"/>
      </tp>
      <tp>
        <v>87.2</v>
        <stp>spmg94039268h</stp>
        <stp>daily</stp>
        <stp>/BRN&lt;1&gt;</stp>
        <stp>Close</stp>
        <stp>3/6/2026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C2372" s="1"/>
        <tr r="C2372" s="1"/>
      </tp>
      <tp>
        <v>82.88</v>
        <stp>spmg94039268h</stp>
        <stp>daily</stp>
        <stp>/BRN&lt;2&gt;</stp>
        <stp>Close</stp>
        <stp>3/6/2026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D2372" s="1"/>
        <tr r="D2372" s="1"/>
      </tp>
      <tp>
        <v>79.86</v>
        <stp>spmg94039268h</stp>
        <stp>daily</stp>
        <stp>/BRN&lt;3&gt;</stp>
        <stp>Close</stp>
        <stp>3/6/2026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E2372" s="1"/>
        <tr r="E2372" s="1"/>
      </tp>
      <tp>
        <v>77.820000000000007</v>
        <stp>spmg94039268h</stp>
        <stp>daily</stp>
        <stp>/BRN&lt;4&gt;</stp>
        <stp>Close</stp>
        <stp>3/6/2026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F2372" s="1"/>
        <tr r="F2372" s="1"/>
      </tp>
      <tp>
        <v>76.27</v>
        <stp>spmg94039268h</stp>
        <stp>daily</stp>
        <stp>/BRN&lt;5&gt;</stp>
        <stp>Close</stp>
        <stp>3/6/2026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G2372" s="1"/>
        <tr r="G2372" s="1"/>
      </tp>
      <tp>
        <v>75.11</v>
        <stp>spmg94039268h</stp>
        <stp>daily</stp>
        <stp>/BRN&lt;6&gt;</stp>
        <stp>Close</stp>
        <stp>3/6/2026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H2372" s="1"/>
        <tr r="H2372" s="1"/>
      </tp>
      <tp>
        <v>74.17</v>
        <stp>spmg94039268h</stp>
        <stp>daily</stp>
        <stp>/BRN&lt;7&gt;</stp>
        <stp>Close</stp>
        <stp>3/6/2026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I2372" s="1"/>
        <tr r="I2372" s="1"/>
      </tp>
      <tp>
        <v>71.25</v>
        <stp>spmg94039268h</stp>
        <stp>daily</stp>
        <stp>/BRN&lt;8&gt;</stp>
        <stp>Close</stp>
        <stp>3/5/2026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J2371" s="1"/>
        <tr r="J2371" s="1"/>
      </tp>
      <tp>
        <v>70.680000000000007</v>
        <stp>spmg94039268h</stp>
        <stp>daily</stp>
        <stp>/BRN&lt;9&gt;</stp>
        <stp>Close</stp>
        <stp>3/5/2026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K2371" s="1"/>
        <tr r="K2371" s="1"/>
      </tp>
      <tp>
        <v>85.41</v>
        <stp>spmg94039268h</stp>
        <stp>daily</stp>
        <stp>/BRN&lt;0&gt;</stp>
        <stp>Close</stp>
        <stp>3/5/2026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B2371" s="1"/>
        <tr r="B2371" s="1"/>
      </tp>
      <tp>
        <v>81.040000000000006</v>
        <stp>spmg94039268h</stp>
        <stp>daily</stp>
        <stp>/BRN&lt;1&gt;</stp>
        <stp>Close</stp>
        <stp>3/5/2026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C2371" s="1"/>
        <tr r="C2371" s="1"/>
      </tp>
      <tp>
        <v>77.92</v>
        <stp>spmg94039268h</stp>
        <stp>daily</stp>
        <stp>/BRN&lt;2&gt;</stp>
        <stp>Close</stp>
        <stp>3/5/2026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D2371" s="1"/>
        <tr r="D2371" s="1"/>
      </tp>
      <tp>
        <v>75.960000000000008</v>
        <stp>spmg94039268h</stp>
        <stp>daily</stp>
        <stp>/BRN&lt;3&gt;</stp>
        <stp>Close</stp>
        <stp>3/5/2026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E2371" s="1"/>
        <tr r="E2371" s="1"/>
      </tp>
      <tp>
        <v>74.66</v>
        <stp>spmg94039268h</stp>
        <stp>daily</stp>
        <stp>/BRN&lt;4&gt;</stp>
        <stp>Close</stp>
        <stp>3/5/2026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F2371" s="1"/>
        <tr r="F2371" s="1"/>
      </tp>
      <tp>
        <v>73.59</v>
        <stp>spmg94039268h</stp>
        <stp>daily</stp>
        <stp>/BRN&lt;5&gt;</stp>
        <stp>Close</stp>
        <stp>3/5/2026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G2371" s="1"/>
        <tr r="G2371" s="1"/>
      </tp>
      <tp>
        <v>72.7</v>
        <stp>spmg94039268h</stp>
        <stp>daily</stp>
        <stp>/BRN&lt;6&gt;</stp>
        <stp>Close</stp>
        <stp>3/5/2026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H2371" s="1"/>
        <tr r="H2371" s="1"/>
      </tp>
      <tp>
        <v>71.930000000000007</v>
        <stp>spmg94039268h</stp>
        <stp>daily</stp>
        <stp>/BRN&lt;7&gt;</stp>
        <stp>Close</stp>
        <stp>3/5/2026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I2371" s="1"/>
        <tr r="I2371" s="1"/>
      </tp>
      <tp>
        <v>70.040000000000006</v>
        <stp>spmg94039268h</stp>
        <stp>daily</stp>
        <stp>/BRN&lt;8&gt;</stp>
        <stp>Close</stp>
        <stp>3/4/2026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J2370" s="1"/>
        <tr r="J2370" s="1"/>
      </tp>
      <tp>
        <v>69.52</v>
        <stp>spmg94039268h</stp>
        <stp>daily</stp>
        <stp>/BRN&lt;9&gt;</stp>
        <stp>Close</stp>
        <stp>3/4/2026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K2370" s="1"/>
        <tr r="K2370" s="1"/>
      </tp>
      <tp>
        <v>81.400000000000006</v>
        <stp>spmg94039268h</stp>
        <stp>daily</stp>
        <stp>/BRN&lt;0&gt;</stp>
        <stp>Close</stp>
        <stp>3/4/2026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B2370" s="1"/>
        <tr r="B2370" s="1"/>
      </tp>
      <tp>
        <v>78.010000000000005</v>
        <stp>spmg94039268h</stp>
        <stp>daily</stp>
        <stp>/BRN&lt;1&gt;</stp>
        <stp>Close</stp>
        <stp>3/4/2026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C2370" s="1"/>
        <tr r="C2370" s="1"/>
      </tp>
      <tp>
        <v>75.930000000000007</v>
        <stp>spmg94039268h</stp>
        <stp>daily</stp>
        <stp>/BRN&lt;2&gt;</stp>
        <stp>Close</stp>
        <stp>3/4/2026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D2370" s="1"/>
        <tr r="D2370" s="1"/>
      </tp>
      <tp>
        <v>74.39</v>
        <stp>spmg94039268h</stp>
        <stp>daily</stp>
        <stp>/BRN&lt;3&gt;</stp>
        <stp>Close</stp>
        <stp>3/4/2026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E2370" s="1"/>
        <tr r="E2370" s="1"/>
      </tp>
      <tp>
        <v>73.2</v>
        <stp>spmg94039268h</stp>
        <stp>daily</stp>
        <stp>/BRN&lt;4&gt;</stp>
        <stp>Close</stp>
        <stp>3/4/2026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F2370" s="1"/>
        <tr r="F2370" s="1"/>
      </tp>
      <tp>
        <v>72.2</v>
        <stp>spmg94039268h</stp>
        <stp>daily</stp>
        <stp>/BRN&lt;5&gt;</stp>
        <stp>Close</stp>
        <stp>3/4/2026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G2370" s="1"/>
        <tr r="G2370" s="1"/>
      </tp>
      <tp>
        <v>71.37</v>
        <stp>spmg94039268h</stp>
        <stp>daily</stp>
        <stp>/BRN&lt;6&gt;</stp>
        <stp>Close</stp>
        <stp>3/4/2026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H2370" s="1"/>
        <tr r="H2370" s="1"/>
      </tp>
      <tp>
        <v>70.66</v>
        <stp>spmg94039268h</stp>
        <stp>daily</stp>
        <stp>/BRN&lt;7&gt;</stp>
        <stp>Close</stp>
        <stp>3/4/2026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I2370" s="1"/>
        <tr r="I2370" s="1"/>
      </tp>
      <tp>
        <v>69.77</v>
        <stp>spmg94039268h</stp>
        <stp>daily</stp>
        <stp>/BRN&lt;8&gt;</stp>
        <stp>Close</stp>
        <stp>3/3/2026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J2369" s="1"/>
        <tr r="J2369" s="1"/>
      </tp>
      <tp>
        <v>69.180000000000007</v>
        <stp>spmg94039268h</stp>
        <stp>daily</stp>
        <stp>/BRN&lt;9&gt;</stp>
        <stp>Close</stp>
        <stp>3/3/2026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K2369" s="1"/>
        <tr r="K2369" s="1"/>
      </tp>
      <tp>
        <v>81.400000000000006</v>
        <stp>spmg94039268h</stp>
        <stp>daily</stp>
        <stp>/BRN&lt;0&gt;</stp>
        <stp>Close</stp>
        <stp>3/3/2026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B2369" s="1"/>
        <tr r="B2369" s="1"/>
      </tp>
      <tp>
        <v>78.38</v>
        <stp>spmg94039268h</stp>
        <stp>daily</stp>
        <stp>/BRN&lt;1&gt;</stp>
        <stp>Close</stp>
        <stp>3/3/2026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C2369" s="1"/>
        <tr r="C2369" s="1"/>
      </tp>
      <tp>
        <v>76.28</v>
        <stp>spmg94039268h</stp>
        <stp>daily</stp>
        <stp>/BRN&lt;2&gt;</stp>
        <stp>Close</stp>
        <stp>3/3/2026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D2369" s="1"/>
        <tr r="D2369" s="1"/>
      </tp>
      <tp>
        <v>74.67</v>
        <stp>spmg94039268h</stp>
        <stp>daily</stp>
        <stp>/BRN&lt;3&gt;</stp>
        <stp>Close</stp>
        <stp>3/3/2026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E2369" s="1"/>
        <tr r="E2369" s="1"/>
      </tp>
      <tp>
        <v>73.37</v>
        <stp>spmg94039268h</stp>
        <stp>daily</stp>
        <stp>/BRN&lt;4&gt;</stp>
        <stp>Close</stp>
        <stp>3/3/2026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F2369" s="1"/>
        <tr r="F2369" s="1"/>
      </tp>
      <tp>
        <v>72.25</v>
        <stp>spmg94039268h</stp>
        <stp>daily</stp>
        <stp>/BRN&lt;5&gt;</stp>
        <stp>Close</stp>
        <stp>3/3/2026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G2369" s="1"/>
        <tr r="G2369" s="1"/>
      </tp>
      <tp>
        <v>71.3</v>
        <stp>spmg94039268h</stp>
        <stp>daily</stp>
        <stp>/BRN&lt;6&gt;</stp>
        <stp>Close</stp>
        <stp>3/3/2026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H2369" s="1"/>
        <tr r="H2369" s="1"/>
      </tp>
      <tp>
        <v>70.489999999999995</v>
        <stp>spmg94039268h</stp>
        <stp>daily</stp>
        <stp>/BRN&lt;7&gt;</stp>
        <stp>Close</stp>
        <stp>3/3/2026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I2369" s="1"/>
        <tr r="I2369" s="1"/>
      </tp>
      <tp>
        <v>69.42</v>
        <stp>spmg94039268h</stp>
        <stp>daily</stp>
        <stp>/BRN&lt;8&gt;</stp>
        <stp>Close</stp>
        <stp>3/2/2026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J2368" s="1"/>
        <tr r="J2368" s="1"/>
      </tp>
      <tp>
        <v>68.92</v>
        <stp>spmg94039268h</stp>
        <stp>daily</stp>
        <stp>/BRN&lt;9&gt;</stp>
        <stp>Close</stp>
        <stp>3/2/2026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K2368" s="1"/>
        <tr r="K2368" s="1"/>
      </tp>
      <tp>
        <v>77.739999999999995</v>
        <stp>spmg94039268h</stp>
        <stp>daily</stp>
        <stp>/BRN&lt;0&gt;</stp>
        <stp>Close</stp>
        <stp>3/2/2026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B2368" s="1"/>
        <tr r="B2368" s="1"/>
      </tp>
      <tp>
        <v>76.16</v>
        <stp>spmg94039268h</stp>
        <stp>daily</stp>
        <stp>/BRN&lt;1&gt;</stp>
        <stp>Close</stp>
        <stp>3/2/2026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C2368" s="1"/>
        <tr r="C2368" s="1"/>
      </tp>
      <tp>
        <v>74.81</v>
        <stp>spmg94039268h</stp>
        <stp>daily</stp>
        <stp>/BRN&lt;2&gt;</stp>
        <stp>Close</stp>
        <stp>3/2/2026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D2368" s="1"/>
        <tr r="D2368" s="1"/>
      </tp>
      <tp>
        <v>73.58</v>
        <stp>spmg94039268h</stp>
        <stp>daily</stp>
        <stp>/BRN&lt;3&gt;</stp>
        <stp>Close</stp>
        <stp>3/2/2026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E2368" s="1"/>
        <tr r="E2368" s="1"/>
      </tp>
      <tp>
        <v>72.48</v>
        <stp>spmg94039268h</stp>
        <stp>daily</stp>
        <stp>/BRN&lt;4&gt;</stp>
        <stp>Close</stp>
        <stp>3/2/2026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F2368" s="1"/>
        <tr r="F2368" s="1"/>
      </tp>
      <tp>
        <v>71.52</v>
        <stp>spmg94039268h</stp>
        <stp>daily</stp>
        <stp>/BRN&lt;5&gt;</stp>
        <stp>Close</stp>
        <stp>3/2/2026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G2368" s="1"/>
        <tr r="G2368" s="1"/>
      </tp>
      <tp>
        <v>70.710000000000008</v>
        <stp>spmg94039268h</stp>
        <stp>daily</stp>
        <stp>/BRN&lt;6&gt;</stp>
        <stp>Close</stp>
        <stp>3/2/2026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H2368" s="1"/>
        <tr r="H2368" s="1"/>
      </tp>
      <tp>
        <v>70.02</v>
        <stp>spmg94039268h</stp>
        <stp>daily</stp>
        <stp>/BRN&lt;7&gt;</stp>
        <stp>Close</stp>
        <stp>3/2/2026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I2368" s="1"/>
        <tr r="I2368" s="1"/>
      </tp>
      <tp>
        <v>75.88</v>
        <stp>spmg94039268h</stp>
        <stp>daily</stp>
        <stp>/BRN&lt;8&gt;</stp>
        <stp>Close</stp>
        <stp>3/9/2026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J2373" s="1"/>
        <tr r="J2373" s="1"/>
      </tp>
      <tp>
        <v>74.900000000000006</v>
        <stp>spmg94039268h</stp>
        <stp>daily</stp>
        <stp>/BRN&lt;9&gt;</stp>
        <stp>Close</stp>
        <stp>3/9/2026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K2373" s="1"/>
        <tr r="K2373" s="1"/>
      </tp>
      <tp>
        <v>98.960000000000008</v>
        <stp>spmg94039268h</stp>
        <stp>daily</stp>
        <stp>/BRN&lt;0&gt;</stp>
        <stp>Close</stp>
        <stp>3/9/2026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B2373" s="1"/>
        <tr r="B2373" s="1"/>
      </tp>
      <tp>
        <v>93.72</v>
        <stp>spmg94039268h</stp>
        <stp>daily</stp>
        <stp>/BRN&lt;1&gt;</stp>
        <stp>Close</stp>
        <stp>3/9/2026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C2373" s="1"/>
        <tr r="C2373" s="1"/>
      </tp>
      <tp>
        <v>88.95</v>
        <stp>spmg94039268h</stp>
        <stp>daily</stp>
        <stp>/BRN&lt;2&gt;</stp>
        <stp>Close</stp>
        <stp>3/9/2026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D2373" s="1"/>
        <tr r="D2373" s="1"/>
      </tp>
      <tp>
        <v>85.23</v>
        <stp>spmg94039268h</stp>
        <stp>daily</stp>
        <stp>/BRN&lt;3&gt;</stp>
        <stp>Close</stp>
        <stp>3/9/2026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E2373" s="1"/>
        <tr r="E2373" s="1"/>
      </tp>
      <tp>
        <v>82.4</v>
        <stp>spmg94039268h</stp>
        <stp>daily</stp>
        <stp>/BRN&lt;4&gt;</stp>
        <stp>Close</stp>
        <stp>3/9/2026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F2373" s="1"/>
        <tr r="F2373" s="1"/>
      </tp>
      <tp>
        <v>80.150000000000006</v>
        <stp>spmg94039268h</stp>
        <stp>daily</stp>
        <stp>/BRN&lt;5&gt;</stp>
        <stp>Close</stp>
        <stp>3/9/2026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G2373" s="1"/>
        <tr r="G2373" s="1"/>
      </tp>
      <tp>
        <v>78.41</v>
        <stp>spmg94039268h</stp>
        <stp>daily</stp>
        <stp>/BRN&lt;6&gt;</stp>
        <stp>Close</stp>
        <stp>3/9/2026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H2373" s="1"/>
        <tr r="H2373" s="1"/>
      </tp>
      <tp>
        <v>77.06</v>
        <stp>spmg94039268h</stp>
        <stp>daily</stp>
        <stp>/BRN&lt;7&gt;</stp>
        <stp>Close</stp>
        <stp>3/9/2026 12:00:00 AM</stp>
        <stp/>
        <stp/>
        <stp/>
        <stp/>
        <stp>p</stp>
        <stp/>
        <stp/>
        <stp/>
        <stp/>
        <stp/>
        <stp>Hundredths</stp>
        <stp/>
        <stp>False</stp>
        <stp/>
        <stp/>
        <tr r="I2373" s="1"/>
        <tr r="I2373" s="1"/>
      </tp>
      <tp>
        <v>71.855000000000004</v>
        <stp>spmg94039268h</stp>
        <stp>daily</stp>
        <stp>/DBI&lt;4&gt;</stp>
        <stp>Close</stp>
        <stp>3/2/2026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D2368" s="1"/>
        <tr r="AD2368" s="1"/>
      </tp>
      <tp>
        <v>71.123999999999995</v>
        <stp>spmg94039268h</stp>
        <stp>daily</stp>
        <stp>/DBI&lt;5&gt;</stp>
        <stp>Close</stp>
        <stp>3/2/2026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E2368" s="1"/>
        <tr r="AE2368" s="1"/>
      </tp>
      <tp>
        <v>70.453000000000003</v>
        <stp>spmg94039268h</stp>
        <stp>daily</stp>
        <stp>/DBI&lt;6&gt;</stp>
        <stp>Close</stp>
        <stp>3/2/2026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F2368" s="1"/>
        <tr r="AF2368" s="1"/>
      </tp>
      <tp>
        <v>69.882000000000005</v>
        <stp>spmg94039268h</stp>
        <stp>daily</stp>
        <stp>/DBI&lt;7&gt;</stp>
        <stp>Close</stp>
        <stp>3/2/2026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G2368" s="1"/>
        <tr r="AG2368" s="1"/>
      </tp>
      <tp>
        <v>68.403999999999996</v>
        <stp>spmg94039268h</stp>
        <stp>daily</stp>
        <stp>/DBI&lt;0&gt;</stp>
        <stp>Close</stp>
        <stp>3/2/2026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Z2368" s="1"/>
        <tr r="Z2368" s="1"/>
      </tp>
      <tp>
        <v>77.602000000000004</v>
        <stp>spmg94039268h</stp>
        <stp>daily</stp>
        <stp>/DBI&lt;1&gt;</stp>
        <stp>Close</stp>
        <stp>3/2/2026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A2368" s="1"/>
        <tr r="AA2368" s="1"/>
      </tp>
      <tp>
        <v>73.8</v>
        <stp>spmg94039268h</stp>
        <stp>daily</stp>
        <stp>/DBI&lt;2&gt;</stp>
        <stp>Close</stp>
        <stp>3/2/2026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B2368" s="1"/>
        <tr r="AB2368" s="1"/>
      </tp>
      <tp>
        <v>72.768000000000001</v>
        <stp>spmg94039268h</stp>
        <stp>daily</stp>
        <stp>/DBI&lt;3&gt;</stp>
        <stp>Close</stp>
        <stp>3/2/2026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C2368" s="1"/>
        <tr r="AC2368" s="1"/>
      </tp>
      <tp>
        <v>69.331000000000003</v>
        <stp>spmg94039268h</stp>
        <stp>daily</stp>
        <stp>/DBI&lt;8&gt;</stp>
        <stp>Close</stp>
        <stp>3/2/2026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H2368" s="1"/>
        <tr r="AH2368" s="1"/>
      </tp>
      <tp>
        <v>68.798000000000002</v>
        <stp>spmg94039268h</stp>
        <stp>daily</stp>
        <stp>/DBI&lt;9&gt;</stp>
        <stp>Close</stp>
        <stp>3/2/2026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I2368" s="1"/>
        <tr r="AI2368" s="1"/>
      </tp>
      <tp>
        <v>71.36</v>
        <stp>spmg94039268h</stp>
        <stp>daily</stp>
        <stp>/DBI&lt;4&gt;</stp>
        <stp>Close</stp>
        <stp>3/3/2026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D2369" s="1"/>
        <tr r="AD2369" s="1"/>
      </tp>
      <tp>
        <v>70.649000000000001</v>
        <stp>spmg94039268h</stp>
        <stp>daily</stp>
        <stp>/DBI&lt;5&gt;</stp>
        <stp>Close</stp>
        <stp>3/3/2026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E2369" s="1"/>
        <tr r="AE2369" s="1"/>
      </tp>
      <tp>
        <v>70.039000000000001</v>
        <stp>spmg94039268h</stp>
        <stp>daily</stp>
        <stp>/DBI&lt;6&gt;</stp>
        <stp>Close</stp>
        <stp>3/3/2026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F2369" s="1"/>
        <tr r="AF2369" s="1"/>
      </tp>
      <tp>
        <v>69.477999999999994</v>
        <stp>spmg94039268h</stp>
        <stp>daily</stp>
        <stp>/DBI&lt;7&gt;</stp>
        <stp>Close</stp>
        <stp>3/3/2026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G2369" s="1"/>
        <tr r="AG2369" s="1"/>
      </tp>
      <tp>
        <v>79.689000000000007</v>
        <stp>spmg94039268h</stp>
        <stp>daily</stp>
        <stp>/DBI&lt;0&gt;</stp>
        <stp>Close</stp>
        <stp>3/3/2026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Z2369" s="1"/>
        <tr r="Z2369" s="1"/>
      </tp>
      <tp>
        <v>74.543999999999997</v>
        <stp>spmg94039268h</stp>
        <stp>daily</stp>
        <stp>/DBI&lt;1&gt;</stp>
        <stp>Close</stp>
        <stp>3/3/2026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A2369" s="1"/>
        <tr r="AA2369" s="1"/>
      </tp>
      <tp>
        <v>73.150000000000006</v>
        <stp>spmg94039268h</stp>
        <stp>daily</stp>
        <stp>/DBI&lt;2&gt;</stp>
        <stp>Close</stp>
        <stp>3/3/2026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B2369" s="1"/>
        <tr r="AB2369" s="1"/>
      </tp>
      <tp>
        <v>72.171000000000006</v>
        <stp>spmg94039268h</stp>
        <stp>daily</stp>
        <stp>/DBI&lt;3&gt;</stp>
        <stp>Close</stp>
        <stp>3/3/2026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C2369" s="1"/>
        <tr r="AC2369" s="1"/>
      </tp>
      <tp>
        <v>68.957000000000008</v>
        <stp>spmg94039268h</stp>
        <stp>daily</stp>
        <stp>/DBI&lt;8&gt;</stp>
        <stp>Close</stp>
        <stp>3/3/2026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H2369" s="1"/>
        <tr r="AH2369" s="1"/>
      </tp>
      <tp>
        <v>68.513999999999996</v>
        <stp>spmg94039268h</stp>
        <stp>daily</stp>
        <stp>/DBI&lt;9&gt;</stp>
        <stp>Close</stp>
        <stp>3/3/2026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I2369" s="1"/>
        <tr r="AI2369" s="1"/>
      </tp>
      <tp t="s">
        <v/>
        <stp>spmg94039268h</stp>
        <stp>daily</stp>
        <stp>/DBI&lt;5&gt;</stp>
        <stp>Close</stp>
        <stp>1/3/2017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E4" s="1"/>
        <tr r="AE4" s="1"/>
      </tp>
      <tp t="s">
        <v/>
        <stp>spmg94039268h</stp>
        <stp>daily</stp>
        <stp>/DBI&lt;4&gt;</stp>
        <stp>Close</stp>
        <stp>1/3/2017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D4" s="1"/>
        <tr r="AD4" s="1"/>
      </tp>
      <tp t="s">
        <v/>
        <stp>spmg94039268h</stp>
        <stp>daily</stp>
        <stp>/DBI&lt;7&gt;</stp>
        <stp>Close</stp>
        <stp>1/3/2017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G4" s="1"/>
        <tr r="AG4" s="1"/>
      </tp>
      <tp t="s">
        <v/>
        <stp>spmg94039268h</stp>
        <stp>daily</stp>
        <stp>/DBI&lt;6&gt;</stp>
        <stp>Close</stp>
        <stp>1/3/2017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F4" s="1"/>
        <tr r="AF4" s="1"/>
      </tp>
      <tp t="s">
        <v/>
        <stp>spmg94039268h</stp>
        <stp>daily</stp>
        <stp>/DBI&lt;1&gt;</stp>
        <stp>Close</stp>
        <stp>1/3/2017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A4" s="1"/>
        <tr r="AA4" s="1"/>
      </tp>
      <tp t="s">
        <v/>
        <stp>spmg94039268h</stp>
        <stp>daily</stp>
        <stp>/DBI&lt;0&gt;</stp>
        <stp>Close</stp>
        <stp>1/3/2017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Z4" s="1"/>
        <tr r="Z4" s="1"/>
      </tp>
      <tp t="s">
        <v/>
        <stp>spmg94039268h</stp>
        <stp>daily</stp>
        <stp>/DBI&lt;3&gt;</stp>
        <stp>Close</stp>
        <stp>1/3/2017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C4" s="1"/>
        <tr r="AC4" s="1"/>
      </tp>
      <tp t="s">
        <v/>
        <stp>spmg94039268h</stp>
        <stp>daily</stp>
        <stp>/DBI&lt;2&gt;</stp>
        <stp>Close</stp>
        <stp>1/3/2017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B4" s="1"/>
        <tr r="AB4" s="1"/>
      </tp>
      <tp t="s">
        <v/>
        <stp>spmg94039268h</stp>
        <stp>daily</stp>
        <stp>/DBI&lt;9&gt;</stp>
        <stp>Close</stp>
        <stp>1/3/2017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I4" s="1"/>
        <tr r="AI4" s="1"/>
      </tp>
      <tp t="s">
        <v/>
        <stp>spmg94039268h</stp>
        <stp>daily</stp>
        <stp>/DBI&lt;8&gt;</stp>
        <stp>Close</stp>
        <stp>1/3/2017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H4" s="1"/>
        <tr r="AH4" s="1"/>
      </tp>
      <tp>
        <v>78.168000000000006</v>
        <stp>spmg94039268h</stp>
        <stp>daily</stp>
        <stp>/DBI&lt;4&gt;</stp>
        <stp>Close</stp>
        <stp>3/6/2026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D2372" s="1"/>
        <tr r="AD2372" s="1"/>
      </tp>
      <tp>
        <v>76.905000000000001</v>
        <stp>spmg94039268h</stp>
        <stp>daily</stp>
        <stp>/DBI&lt;5&gt;</stp>
        <stp>Close</stp>
        <stp>3/6/2026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E2372" s="1"/>
        <tr r="AE2372" s="1"/>
      </tp>
      <tp>
        <v>75.932000000000002</v>
        <stp>spmg94039268h</stp>
        <stp>daily</stp>
        <stp>/DBI&lt;6&gt;</stp>
        <stp>Close</stp>
        <stp>3/6/2026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F2372" s="1"/>
        <tr r="AF2372" s="1"/>
      </tp>
      <tp>
        <v>74.992000000000004</v>
        <stp>spmg94039268h</stp>
        <stp>daily</stp>
        <stp>/DBI&lt;7&gt;</stp>
        <stp>Close</stp>
        <stp>3/6/2026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G2372" s="1"/>
        <tr r="AG2372" s="1"/>
      </tp>
      <tp>
        <v>99.814000000000007</v>
        <stp>spmg94039268h</stp>
        <stp>daily</stp>
        <stp>/DBI&lt;0&gt;</stp>
        <stp>Close</stp>
        <stp>3/6/2026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Z2372" s="1"/>
        <tr r="Z2372" s="1"/>
      </tp>
      <tp>
        <v>86.741</v>
        <stp>spmg94039268h</stp>
        <stp>daily</stp>
        <stp>/DBI&lt;1&gt;</stp>
        <stp>Close</stp>
        <stp>3/6/2026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A2372" s="1"/>
        <tr r="AA2372" s="1"/>
      </tp>
      <tp>
        <v>81.951999999999998</v>
        <stp>spmg94039268h</stp>
        <stp>daily</stp>
        <stp>/DBI&lt;2&gt;</stp>
        <stp>Close</stp>
        <stp>3/6/2026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B2372" s="1"/>
        <tr r="AB2372" s="1"/>
      </tp>
      <tp>
        <v>79.668999999999997</v>
        <stp>spmg94039268h</stp>
        <stp>daily</stp>
        <stp>/DBI&lt;3&gt;</stp>
        <stp>Close</stp>
        <stp>3/6/2026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C2372" s="1"/>
        <tr r="AC2372" s="1"/>
      </tp>
      <tp>
        <v>74.114000000000004</v>
        <stp>spmg94039268h</stp>
        <stp>daily</stp>
        <stp>/DBI&lt;8&gt;</stp>
        <stp>Close</stp>
        <stp>3/6/2026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H2372" s="1"/>
        <tr r="AH2372" s="1"/>
      </tp>
      <tp>
        <v>73.325000000000003</v>
        <stp>spmg94039268h</stp>
        <stp>daily</stp>
        <stp>/DBI&lt;9&gt;</stp>
        <stp>Close</stp>
        <stp>3/6/2026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I2372" s="1"/>
        <tr r="AI2372" s="1"/>
      </tp>
      <tp>
        <v>71.016000000000005</v>
        <stp>spmg94039268h</stp>
        <stp>daily</stp>
        <stp>/DBI&lt;4&gt;</stp>
        <stp>Close</stp>
        <stp>3/4/2026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D2370" s="1"/>
        <tr r="AD2370" s="1"/>
      </tp>
      <tp>
        <v>70.531000000000006</v>
        <stp>spmg94039268h</stp>
        <stp>daily</stp>
        <stp>/DBI&lt;5&gt;</stp>
        <stp>Close</stp>
        <stp>3/4/2026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E2370" s="1"/>
        <tr r="AE2370" s="1"/>
      </tp>
      <tp>
        <v>70.105000000000004</v>
        <stp>spmg94039268h</stp>
        <stp>daily</stp>
        <stp>/DBI&lt;6&gt;</stp>
        <stp>Close</stp>
        <stp>3/4/2026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F2370" s="1"/>
        <tr r="AF2370" s="1"/>
      </tp>
      <tp>
        <v>69.716999999999999</v>
        <stp>spmg94039268h</stp>
        <stp>daily</stp>
        <stp>/DBI&lt;7&gt;</stp>
        <stp>Close</stp>
        <stp>3/4/2026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G2370" s="1"/>
        <tr r="AG2370" s="1"/>
      </tp>
      <tp>
        <v>81.569000000000003</v>
        <stp>spmg94039268h</stp>
        <stp>daily</stp>
        <stp>/DBI&lt;0&gt;</stp>
        <stp>Close</stp>
        <stp>3/4/2026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Z2370" s="1"/>
        <tr r="Z2370" s="1"/>
      </tp>
      <tp>
        <v>74.117000000000004</v>
        <stp>spmg94039268h</stp>
        <stp>daily</stp>
        <stp>/DBI&lt;1&gt;</stp>
        <stp>Close</stp>
        <stp>3/4/2026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A2370" s="1"/>
        <tr r="AA2370" s="1"/>
      </tp>
      <tp>
        <v>72.474000000000004</v>
        <stp>spmg94039268h</stp>
        <stp>daily</stp>
        <stp>/DBI&lt;2&gt;</stp>
        <stp>Close</stp>
        <stp>3/4/2026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B2370" s="1"/>
        <tr r="AB2370" s="1"/>
      </tp>
      <tp>
        <v>71.62</v>
        <stp>spmg94039268h</stp>
        <stp>daily</stp>
        <stp>/DBI&lt;3&gt;</stp>
        <stp>Close</stp>
        <stp>3/4/2026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C2370" s="1"/>
        <tr r="AC2370" s="1"/>
      </tp>
      <tp>
        <v>69.350000000000009</v>
        <stp>spmg94039268h</stp>
        <stp>daily</stp>
        <stp>/DBI&lt;8&gt;</stp>
        <stp>Close</stp>
        <stp>3/4/2026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H2370" s="1"/>
        <tr r="AH2370" s="1"/>
      </tp>
      <tp>
        <v>69.064000000000007</v>
        <stp>spmg94039268h</stp>
        <stp>daily</stp>
        <stp>/DBI&lt;9&gt;</stp>
        <stp>Close</stp>
        <stp>3/4/2026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I2370" s="1"/>
        <tr r="AI2370" s="1"/>
      </tp>
      <tp>
        <v>73.448000000000008</v>
        <stp>spmg94039268h</stp>
        <stp>daily</stp>
        <stp>/DBI&lt;4&gt;</stp>
        <stp>Close</stp>
        <stp>3/5/2026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D2371" s="1"/>
        <tr r="AD2371" s="1"/>
      </tp>
      <tp>
        <v>72.608000000000004</v>
        <stp>spmg94039268h</stp>
        <stp>daily</stp>
        <stp>/DBI&lt;5&gt;</stp>
        <stp>Close</stp>
        <stp>3/5/2026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E2371" s="1"/>
        <tr r="AE2371" s="1"/>
      </tp>
      <tp>
        <v>71.977999999999994</v>
        <stp>spmg94039268h</stp>
        <stp>daily</stp>
        <stp>/DBI&lt;6&gt;</stp>
        <stp>Close</stp>
        <stp>3/5/2026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F2371" s="1"/>
        <tr r="AF2371" s="1"/>
      </tp>
      <tp>
        <v>71.402000000000001</v>
        <stp>spmg94039268h</stp>
        <stp>daily</stp>
        <stp>/DBI&lt;7&gt;</stp>
        <stp>Close</stp>
        <stp>3/5/2026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G2371" s="1"/>
        <tr r="AG2371" s="1"/>
      </tp>
      <tp>
        <v>92.612000000000009</v>
        <stp>spmg94039268h</stp>
        <stp>daily</stp>
        <stp>/DBI&lt;0&gt;</stp>
        <stp>Close</stp>
        <stp>3/5/2026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Z2371" s="1"/>
        <tr r="Z2371" s="1"/>
      </tp>
      <tp>
        <v>80.055999999999997</v>
        <stp>spmg94039268h</stp>
        <stp>daily</stp>
        <stp>/DBI&lt;1&gt;</stp>
        <stp>Close</stp>
        <stp>3/5/2026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A2371" s="1"/>
        <tr r="AA2371" s="1"/>
      </tp>
      <tp>
        <v>76.347000000000008</v>
        <stp>spmg94039268h</stp>
        <stp>daily</stp>
        <stp>/DBI&lt;2&gt;</stp>
        <stp>Close</stp>
        <stp>3/5/2026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B2371" s="1"/>
        <tr r="AB2371" s="1"/>
      </tp>
      <tp>
        <v>74.483999999999995</v>
        <stp>spmg94039268h</stp>
        <stp>daily</stp>
        <stp>/DBI&lt;3&gt;</stp>
        <stp>Close</stp>
        <stp>3/5/2026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C2371" s="1"/>
        <tr r="AC2371" s="1"/>
      </tp>
      <tp>
        <v>70.861000000000004</v>
        <stp>spmg94039268h</stp>
        <stp>daily</stp>
        <stp>/DBI&lt;8&gt;</stp>
        <stp>Close</stp>
        <stp>3/5/2026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H2371" s="1"/>
        <tr r="AH2371" s="1"/>
      </tp>
      <tp>
        <v>70.328000000000003</v>
        <stp>spmg94039268h</stp>
        <stp>daily</stp>
        <stp>/DBI&lt;9&gt;</stp>
        <stp>Close</stp>
        <stp>3/5/2026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I2371" s="1"/>
        <tr r="AI2371" s="1"/>
      </tp>
      <tp>
        <v>83.451999999999998</v>
        <stp>spmg94039268h</stp>
        <stp>daily</stp>
        <stp>/DBI&lt;4&gt;</stp>
        <stp>Close</stp>
        <stp>3/9/2026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D2373" s="1"/>
        <tr r="AD2373" s="1"/>
      </tp>
      <tp>
        <v>81.543999999999997</v>
        <stp>spmg94039268h</stp>
        <stp>daily</stp>
        <stp>/DBI&lt;5&gt;</stp>
        <stp>Close</stp>
        <stp>3/9/2026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E2373" s="1"/>
        <tr r="AE2373" s="1"/>
      </tp>
      <tp>
        <v>80.073999999999998</v>
        <stp>spmg94039268h</stp>
        <stp>daily</stp>
        <stp>/DBI&lt;6&gt;</stp>
        <stp>Close</stp>
        <stp>3/9/2026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F2373" s="1"/>
        <tr r="AF2373" s="1"/>
      </tp>
      <tp>
        <v>78.707999999999998</v>
        <stp>spmg94039268h</stp>
        <stp>daily</stp>
        <stp>/DBI&lt;7&gt;</stp>
        <stp>Close</stp>
        <stp>3/9/2026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G2373" s="1"/>
        <tr r="AG2373" s="1"/>
      </tp>
      <tp>
        <v>109.05</v>
        <stp>spmg94039268h</stp>
        <stp>daily</stp>
        <stp>/DBI&lt;0&gt;</stp>
        <stp>Close</stp>
        <stp>3/9/2026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Z2373" s="1"/>
        <tr r="Z2373" s="1"/>
      </tp>
      <tp>
        <v>93.423000000000002</v>
        <stp>spmg94039268h</stp>
        <stp>daily</stp>
        <stp>/DBI&lt;1&gt;</stp>
        <stp>Close</stp>
        <stp>3/9/2026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A2373" s="1"/>
        <tr r="AA2373" s="1"/>
      </tp>
      <tp>
        <v>88.233000000000004</v>
        <stp>spmg94039268h</stp>
        <stp>daily</stp>
        <stp>/DBI&lt;2&gt;</stp>
        <stp>Close</stp>
        <stp>3/9/2026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B2373" s="1"/>
        <tr r="AB2373" s="1"/>
      </tp>
      <tp>
        <v>85.531000000000006</v>
        <stp>spmg94039268h</stp>
        <stp>daily</stp>
        <stp>/DBI&lt;3&gt;</stp>
        <stp>Close</stp>
        <stp>3/9/2026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C2373" s="1"/>
        <tr r="AC2373" s="1"/>
      </tp>
      <tp>
        <v>77.522999999999996</v>
        <stp>spmg94039268h</stp>
        <stp>daily</stp>
        <stp>/DBI&lt;8&gt;</stp>
        <stp>Close</stp>
        <stp>3/9/2026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H2373" s="1"/>
        <tr r="AH2373" s="1"/>
      </tp>
      <tp>
        <v>76.518000000000001</v>
        <stp>spmg94039268h</stp>
        <stp>daily</stp>
        <stp>/DBI&lt;9&gt;</stp>
        <stp>Close</stp>
        <stp>3/9/2026 12:00:00 AM</stp>
        <stp/>
        <stp/>
        <stp/>
        <stp/>
        <stp>p</stp>
        <stp/>
        <stp/>
        <stp/>
        <stp/>
        <stp/>
        <stp>Thousandths</stp>
        <stp/>
        <stp>False</stp>
        <stp/>
        <stp/>
        <tr r="AI2373" s="1"/>
        <tr r="AI2373" s="1"/>
      </tp>
      <tp t="s">
        <v>ICE Dubai 1st Line Futures (9th Month)</v>
        <stp>spmg94039268h</stp>
        <stp>quote</stp>
        <stp>/DBI&lt;8&gt;</stp>
        <stp>Description</stp>
        <stp>2</stp>
        <stp>daily</stp>
        <stp>Close</stp>
        <stp/>
        <stp/>
        <stp/>
        <stp>p</stp>
        <stp/>
        <stp/>
        <stp/>
        <stp/>
        <stp/>
        <stp>Thousandths</stp>
        <stp/>
        <stp>False</stp>
        <tr r="AH2" s="1"/>
      </tp>
      <tp t="s">
        <v>ICE Dubai 1st Line Futures (10th Month)</v>
        <stp>spmg94039268h</stp>
        <stp>quote</stp>
        <stp>/DBI&lt;9&gt;</stp>
        <stp>Description</stp>
        <stp>2</stp>
        <stp>daily</stp>
        <stp>Close</stp>
        <stp/>
        <stp/>
        <stp/>
        <stp>p</stp>
        <stp/>
        <stp/>
        <stp/>
        <stp/>
        <stp/>
        <stp>Thousandths</stp>
        <stp/>
        <stp>False</stp>
        <tr r="AI2" s="1"/>
      </tp>
      <tp t="s">
        <v>ICE Dubai 1st Line Futures (Front Month)</v>
        <stp>spmg94039268h</stp>
        <stp>quote</stp>
        <stp>/DBI&lt;0&gt;</stp>
        <stp>Description</stp>
        <stp>2</stp>
        <stp>daily</stp>
        <stp>Close</stp>
        <stp/>
        <stp/>
        <stp/>
        <stp>p</stp>
        <stp/>
        <stp/>
        <stp/>
        <stp/>
        <stp/>
        <stp>Thousandths</stp>
        <stp/>
        <stp>False</stp>
        <tr r="Z2" s="1"/>
      </tp>
      <tp t="s">
        <v>ICE Dubai 1st Line Futures (2nd Month)</v>
        <stp>spmg94039268h</stp>
        <stp>quote</stp>
        <stp>/DBI&lt;1&gt;</stp>
        <stp>Description</stp>
        <stp>2</stp>
        <stp>daily</stp>
        <stp>Close</stp>
        <stp/>
        <stp/>
        <stp/>
        <stp>p</stp>
        <stp/>
        <stp/>
        <stp/>
        <stp/>
        <stp/>
        <stp>Thousandths</stp>
        <stp/>
        <stp>False</stp>
        <tr r="AA2" s="1"/>
      </tp>
      <tp t="s">
        <v>ICE Dubai 1st Line Futures (3rd Month)</v>
        <stp>spmg94039268h</stp>
        <stp>quote</stp>
        <stp>/DBI&lt;2&gt;</stp>
        <stp>Description</stp>
        <stp>2</stp>
        <stp>daily</stp>
        <stp>Close</stp>
        <stp/>
        <stp/>
        <stp/>
        <stp>p</stp>
        <stp/>
        <stp/>
        <stp/>
        <stp/>
        <stp/>
        <stp>Thousandths</stp>
        <stp/>
        <stp>False</stp>
        <tr r="AB2" s="1"/>
      </tp>
      <tp t="s">
        <v>ICE Dubai 1st Line Futures (4th Month)</v>
        <stp>spmg94039268h</stp>
        <stp>quote</stp>
        <stp>/DBI&lt;3&gt;</stp>
        <stp>Description</stp>
        <stp>2</stp>
        <stp>daily</stp>
        <stp>Close</stp>
        <stp/>
        <stp/>
        <stp/>
        <stp>p</stp>
        <stp/>
        <stp/>
        <stp/>
        <stp/>
        <stp/>
        <stp>Thousandths</stp>
        <stp/>
        <stp>False</stp>
        <tr r="AC2" s="1"/>
      </tp>
      <tp t="s">
        <v>ICE Dubai 1st Line Futures (5th Month)</v>
        <stp>spmg94039268h</stp>
        <stp>quote</stp>
        <stp>/DBI&lt;4&gt;</stp>
        <stp>Description</stp>
        <stp>2</stp>
        <stp>daily</stp>
        <stp>Close</stp>
        <stp/>
        <stp/>
        <stp/>
        <stp>p</stp>
        <stp/>
        <stp/>
        <stp/>
        <stp/>
        <stp/>
        <stp>Thousandths</stp>
        <stp/>
        <stp>False</stp>
        <tr r="AD2" s="1"/>
      </tp>
      <tp t="s">
        <v>ICE Dubai 1st Line Futures (6th Month)</v>
        <stp>spmg94039268h</stp>
        <stp>quote</stp>
        <stp>/DBI&lt;5&gt;</stp>
        <stp>Description</stp>
        <stp>2</stp>
        <stp>daily</stp>
        <stp>Close</stp>
        <stp/>
        <stp/>
        <stp/>
        <stp>p</stp>
        <stp/>
        <stp/>
        <stp/>
        <stp/>
        <stp/>
        <stp>Thousandths</stp>
        <stp/>
        <stp>False</stp>
        <tr r="AE2" s="1"/>
      </tp>
      <tp t="s">
        <v>ICE Dubai 1st Line Futures (7th Month)</v>
        <stp>spmg94039268h</stp>
        <stp>quote</stp>
        <stp>/DBI&lt;6&gt;</stp>
        <stp>Description</stp>
        <stp>2</stp>
        <stp>daily</stp>
        <stp>Close</stp>
        <stp/>
        <stp/>
        <stp/>
        <stp>p</stp>
        <stp/>
        <stp/>
        <stp/>
        <stp/>
        <stp/>
        <stp>Thousandths</stp>
        <stp/>
        <stp>False</stp>
        <tr r="AF2" s="1"/>
      </tp>
      <tp t="s">
        <v>ICE Dubai 1st Line Futures (8th Month)</v>
        <stp>spmg94039268h</stp>
        <stp>quote</stp>
        <stp>/DBI&lt;7&gt;</stp>
        <stp>Description</stp>
        <stp>2</stp>
        <stp>daily</stp>
        <stp>Close</stp>
        <stp/>
        <stp/>
        <stp/>
        <stp>p</stp>
        <stp/>
        <stp/>
        <stp/>
        <stp/>
        <stp/>
        <stp>Thousandths</stp>
        <stp/>
        <stp>False</stp>
        <tr r="AG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8F70-7255-4C9C-8AC4-2B3944E1CA78}">
  <sheetPr codeName="Sheet2"/>
  <dimension ref="A1:AL3131"/>
  <sheetViews>
    <sheetView tabSelected="1" zoomScale="55" zoomScaleNormal="55" workbookViewId="0">
      <selection activeCell="R10" sqref="R10"/>
    </sheetView>
  </sheetViews>
  <sheetFormatPr defaultRowHeight="14.4" x14ac:dyDescent="0.3"/>
  <cols>
    <col min="1" max="1" width="12.77734375" style="18" bestFit="1" customWidth="1"/>
    <col min="2" max="2" width="10.88671875" customWidth="1"/>
    <col min="3" max="3" width="12" customWidth="1"/>
    <col min="4" max="4" width="10.21875" customWidth="1"/>
    <col min="5" max="5" width="12" customWidth="1"/>
    <col min="6" max="6" width="11.109375" customWidth="1"/>
    <col min="7" max="8" width="13.109375" customWidth="1"/>
    <col min="9" max="9" width="13.5546875" customWidth="1"/>
    <col min="10" max="10" width="12.5546875" customWidth="1"/>
    <col min="11" max="11" width="12.44140625" customWidth="1"/>
    <col min="12" max="12" width="11.21875" customWidth="1"/>
    <col min="13" max="13" width="12.33203125" customWidth="1"/>
    <col min="14" max="14" width="8.88671875" customWidth="1"/>
    <col min="25" max="25" width="8.33203125" customWidth="1"/>
    <col min="37" max="37" width="8.88671875" style="14"/>
    <col min="38" max="38" width="8.88671875" style="16"/>
  </cols>
  <sheetData>
    <row r="1" spans="1:38" s="12" customFormat="1" x14ac:dyDescent="0.3">
      <c r="A1" s="17"/>
      <c r="AK1" s="13"/>
      <c r="AL1" s="15"/>
    </row>
    <row r="2" spans="1:38" s="12" customFormat="1" ht="57.6" x14ac:dyDescent="0.3">
      <c r="A2" s="17" t="s">
        <v>0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2" t="s">
        <v>24</v>
      </c>
      <c r="Y2" s="12" t="s">
        <v>25</v>
      </c>
      <c r="Z2" s="12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2" t="s">
        <v>34</v>
      </c>
      <c r="AI2" s="12" t="s">
        <v>35</v>
      </c>
      <c r="AJ2" s="12" t="s">
        <v>36</v>
      </c>
      <c r="AK2" s="12" t="s">
        <v>37</v>
      </c>
      <c r="AL2" s="15"/>
    </row>
    <row r="3" spans="1:38" x14ac:dyDescent="0.3">
      <c r="A3" s="18">
        <f>'raw data Crude oil'!A4</f>
        <v>42738</v>
      </c>
      <c r="B3">
        <f>'raw data Crude oil'!B4</f>
        <v>55.47</v>
      </c>
      <c r="C3">
        <f>'raw data Crude oil'!C4</f>
        <v>56.14</v>
      </c>
      <c r="D3">
        <f>'raw data Crude oil'!D4</f>
        <v>56.71</v>
      </c>
      <c r="E3">
        <f>'raw data Crude oil'!E4</f>
        <v>57.15</v>
      </c>
      <c r="F3">
        <f>'raw data Crude oil'!F4</f>
        <v>57.44</v>
      </c>
      <c r="G3">
        <f>'raw data Crude oil'!G4</f>
        <v>57.6</v>
      </c>
      <c r="H3">
        <f>'raw data Crude oil'!H4</f>
        <v>57.660000000000004</v>
      </c>
      <c r="I3">
        <f>'raw data Crude oil'!I4</f>
        <v>57.660000000000004</v>
      </c>
      <c r="J3">
        <f>'raw data Crude oil'!J4</f>
        <v>57.64</v>
      </c>
      <c r="K3">
        <f>'raw data Crude oil'!K4</f>
        <v>57.6</v>
      </c>
      <c r="L3">
        <f>'raw data Crude oil'!L4</f>
        <v>57.56</v>
      </c>
      <c r="M3">
        <f>'raw data Crude oil'!M4</f>
        <v>57.52</v>
      </c>
      <c r="N3">
        <f>'raw data Crude oil'!N4</f>
        <v>52.33</v>
      </c>
      <c r="O3">
        <f>'raw data Crude oil'!O4</f>
        <v>53.29</v>
      </c>
      <c r="P3">
        <f>'raw data Crude oil'!P4</f>
        <v>54.120000000000005</v>
      </c>
      <c r="Q3">
        <f>'raw data Crude oil'!Q4</f>
        <v>54.81</v>
      </c>
      <c r="R3">
        <f>'raw data Crude oil'!R4</f>
        <v>55.32</v>
      </c>
      <c r="S3">
        <f>'raw data Crude oil'!S4</f>
        <v>55.65</v>
      </c>
      <c r="T3">
        <f>'raw data Crude oil'!T4</f>
        <v>55.84</v>
      </c>
      <c r="U3">
        <f>'raw data Crude oil'!U4</f>
        <v>55.95</v>
      </c>
      <c r="V3">
        <f>'raw data Crude oil'!V4</f>
        <v>56.01</v>
      </c>
      <c r="W3">
        <f>'raw data Crude oil'!W4</f>
        <v>56.04</v>
      </c>
      <c r="X3">
        <f>'raw data Crude oil'!X4</f>
        <v>56.06</v>
      </c>
      <c r="Y3">
        <f>'raw data Crude oil'!Y4</f>
        <v>56</v>
      </c>
      <c r="Z3" t="str">
        <f>'raw data Crude oil'!Z4</f>
        <v/>
      </c>
      <c r="AA3" t="str">
        <f>'raw data Crude oil'!AA4</f>
        <v/>
      </c>
      <c r="AB3" t="str">
        <f>'raw data Crude oil'!AB4</f>
        <v/>
      </c>
      <c r="AC3" t="str">
        <f>'raw data Crude oil'!AC4</f>
        <v/>
      </c>
      <c r="AD3" t="str">
        <f>'raw data Crude oil'!AD4</f>
        <v/>
      </c>
      <c r="AE3" t="str">
        <f>'raw data Crude oil'!AE4</f>
        <v/>
      </c>
      <c r="AF3" t="str">
        <f>'raw data Crude oil'!AF4</f>
        <v/>
      </c>
      <c r="AG3" t="str">
        <f>'raw data Crude oil'!AG4</f>
        <v/>
      </c>
      <c r="AH3" t="str">
        <f>'raw data Crude oil'!AH4</f>
        <v/>
      </c>
      <c r="AI3" t="str">
        <f>'raw data Crude oil'!AI4</f>
        <v/>
      </c>
      <c r="AJ3" t="str">
        <f>'raw data Crude oil'!AJ4</f>
        <v/>
      </c>
      <c r="AK3" t="str">
        <f>'raw data Crude oil'!AK4</f>
        <v/>
      </c>
    </row>
    <row r="4" spans="1:38" x14ac:dyDescent="0.3">
      <c r="A4" s="18">
        <f>'raw data Crude oil'!A5</f>
        <v>42739</v>
      </c>
      <c r="B4">
        <f>'raw data Crude oil'!B5</f>
        <v>56.46</v>
      </c>
      <c r="C4">
        <f>'raw data Crude oil'!C5</f>
        <v>57.09</v>
      </c>
      <c r="D4">
        <f>'raw data Crude oil'!D5</f>
        <v>57.63</v>
      </c>
      <c r="E4">
        <f>'raw data Crude oil'!E5</f>
        <v>58.07</v>
      </c>
      <c r="F4">
        <f>'raw data Crude oil'!F5</f>
        <v>58.36</v>
      </c>
      <c r="G4">
        <f>'raw data Crude oil'!G5</f>
        <v>58.51</v>
      </c>
      <c r="H4">
        <f>'raw data Crude oil'!H5</f>
        <v>58.57</v>
      </c>
      <c r="I4">
        <f>'raw data Crude oil'!I5</f>
        <v>58.56</v>
      </c>
      <c r="J4">
        <f>'raw data Crude oil'!J5</f>
        <v>58.53</v>
      </c>
      <c r="K4">
        <f>'raw data Crude oil'!K5</f>
        <v>58.49</v>
      </c>
      <c r="L4">
        <f>'raw data Crude oil'!L5</f>
        <v>58.44</v>
      </c>
      <c r="M4">
        <f>'raw data Crude oil'!M5</f>
        <v>58.4</v>
      </c>
      <c r="N4">
        <f>'raw data Crude oil'!N5</f>
        <v>53.26</v>
      </c>
      <c r="O4">
        <f>'raw data Crude oil'!O5</f>
        <v>54.22</v>
      </c>
      <c r="P4">
        <f>'raw data Crude oil'!P5</f>
        <v>55.05</v>
      </c>
      <c r="Q4">
        <f>'raw data Crude oil'!Q5</f>
        <v>55.75</v>
      </c>
      <c r="R4">
        <f>'raw data Crude oil'!R5</f>
        <v>56.29</v>
      </c>
      <c r="S4">
        <f>'raw data Crude oil'!S5</f>
        <v>56.63</v>
      </c>
      <c r="T4">
        <f>'raw data Crude oil'!T5</f>
        <v>56.82</v>
      </c>
      <c r="U4">
        <f>'raw data Crude oil'!U5</f>
        <v>56.94</v>
      </c>
      <c r="V4">
        <f>'raw data Crude oil'!V5</f>
        <v>57</v>
      </c>
      <c r="W4">
        <f>'raw data Crude oil'!W5</f>
        <v>57.03</v>
      </c>
      <c r="X4">
        <f>'raw data Crude oil'!X5</f>
        <v>57.06</v>
      </c>
      <c r="Y4">
        <f>'raw data Crude oil'!Y5</f>
        <v>57.01</v>
      </c>
      <c r="Z4">
        <f>'raw data Crude oil'!Z5</f>
        <v>0</v>
      </c>
      <c r="AA4">
        <f>'raw data Crude oil'!AA5</f>
        <v>0</v>
      </c>
      <c r="AB4">
        <f>'raw data Crude oil'!AB5</f>
        <v>0</v>
      </c>
      <c r="AC4">
        <f>'raw data Crude oil'!AC5</f>
        <v>0</v>
      </c>
      <c r="AD4">
        <f>'raw data Crude oil'!AD5</f>
        <v>0</v>
      </c>
      <c r="AE4">
        <f>'raw data Crude oil'!AE5</f>
        <v>0</v>
      </c>
      <c r="AF4">
        <f>'raw data Crude oil'!AF5</f>
        <v>0</v>
      </c>
      <c r="AG4">
        <f>'raw data Crude oil'!AG5</f>
        <v>0</v>
      </c>
      <c r="AH4">
        <f>'raw data Crude oil'!AH5</f>
        <v>0</v>
      </c>
      <c r="AI4">
        <f>'raw data Crude oil'!AI5</f>
        <v>0</v>
      </c>
      <c r="AJ4">
        <f>'raw data Crude oil'!AJ5</f>
        <v>0</v>
      </c>
      <c r="AK4">
        <f>'raw data Crude oil'!AK5</f>
        <v>0</v>
      </c>
    </row>
    <row r="5" spans="1:38" x14ac:dyDescent="0.3">
      <c r="A5" s="18">
        <f>'raw data Crude oil'!A6</f>
        <v>42740</v>
      </c>
      <c r="B5">
        <f>'raw data Crude oil'!B6</f>
        <v>56.89</v>
      </c>
      <c r="C5">
        <f>'raw data Crude oil'!C6</f>
        <v>57.48</v>
      </c>
      <c r="D5">
        <f>'raw data Crude oil'!D6</f>
        <v>57.98</v>
      </c>
      <c r="E5">
        <f>'raw data Crude oil'!E6</f>
        <v>58.39</v>
      </c>
      <c r="F5">
        <f>'raw data Crude oil'!F6</f>
        <v>58.66</v>
      </c>
      <c r="G5">
        <f>'raw data Crude oil'!G6</f>
        <v>58.81</v>
      </c>
      <c r="H5">
        <f>'raw data Crude oil'!H6</f>
        <v>58.86</v>
      </c>
      <c r="I5">
        <f>'raw data Crude oil'!I6</f>
        <v>58.85</v>
      </c>
      <c r="J5">
        <f>'raw data Crude oil'!J6</f>
        <v>58.82</v>
      </c>
      <c r="K5">
        <f>'raw data Crude oil'!K6</f>
        <v>58.77</v>
      </c>
      <c r="L5">
        <f>'raw data Crude oil'!L6</f>
        <v>58.71</v>
      </c>
      <c r="M5">
        <f>'raw data Crude oil'!M6</f>
        <v>58.67</v>
      </c>
      <c r="N5">
        <f>'raw data Crude oil'!N6</f>
        <v>53.76</v>
      </c>
      <c r="O5">
        <f>'raw data Crude oil'!O6</f>
        <v>54.68</v>
      </c>
      <c r="P5">
        <f>'raw data Crude oil'!P6</f>
        <v>55.49</v>
      </c>
      <c r="Q5">
        <f>'raw data Crude oil'!Q6</f>
        <v>56.17</v>
      </c>
      <c r="R5">
        <f>'raw data Crude oil'!R6</f>
        <v>56.68</v>
      </c>
      <c r="S5">
        <f>'raw data Crude oil'!S6</f>
        <v>57.01</v>
      </c>
      <c r="T5">
        <f>'raw data Crude oil'!T6</f>
        <v>57.19</v>
      </c>
      <c r="U5">
        <f>'raw data Crude oil'!U6</f>
        <v>57.3</v>
      </c>
      <c r="V5">
        <f>'raw data Crude oil'!V6</f>
        <v>57.35</v>
      </c>
      <c r="W5">
        <f>'raw data Crude oil'!W6</f>
        <v>57.39</v>
      </c>
      <c r="X5">
        <f>'raw data Crude oil'!X6</f>
        <v>57.43</v>
      </c>
      <c r="Y5">
        <f>'raw data Crude oil'!Y6</f>
        <v>57.39</v>
      </c>
      <c r="Z5">
        <f>'raw data Crude oil'!Z6</f>
        <v>0</v>
      </c>
      <c r="AA5">
        <f>'raw data Crude oil'!AA6</f>
        <v>0</v>
      </c>
      <c r="AB5">
        <f>'raw data Crude oil'!AB6</f>
        <v>0</v>
      </c>
      <c r="AC5">
        <f>'raw data Crude oil'!AC6</f>
        <v>0</v>
      </c>
      <c r="AD5">
        <f>'raw data Crude oil'!AD6</f>
        <v>0</v>
      </c>
      <c r="AE5">
        <f>'raw data Crude oil'!AE6</f>
        <v>0</v>
      </c>
      <c r="AF5">
        <f>'raw data Crude oil'!AF6</f>
        <v>0</v>
      </c>
      <c r="AG5">
        <f>'raw data Crude oil'!AG6</f>
        <v>0</v>
      </c>
      <c r="AH5">
        <f>'raw data Crude oil'!AH6</f>
        <v>0</v>
      </c>
      <c r="AI5">
        <f>'raw data Crude oil'!AI6</f>
        <v>0</v>
      </c>
      <c r="AJ5">
        <f>'raw data Crude oil'!AJ6</f>
        <v>0</v>
      </c>
      <c r="AK5">
        <f>'raw data Crude oil'!AK6</f>
        <v>0</v>
      </c>
    </row>
    <row r="6" spans="1:38" x14ac:dyDescent="0.3">
      <c r="A6" s="18">
        <f>'raw data Crude oil'!A7</f>
        <v>42741</v>
      </c>
      <c r="B6">
        <f>'raw data Crude oil'!B7</f>
        <v>57.1</v>
      </c>
      <c r="C6">
        <f>'raw data Crude oil'!C7</f>
        <v>57.68</v>
      </c>
      <c r="D6">
        <f>'raw data Crude oil'!D7</f>
        <v>58.17</v>
      </c>
      <c r="E6">
        <f>'raw data Crude oil'!E7</f>
        <v>58.57</v>
      </c>
      <c r="F6">
        <f>'raw data Crude oil'!F7</f>
        <v>58.84</v>
      </c>
      <c r="G6">
        <f>'raw data Crude oil'!G7</f>
        <v>58.98</v>
      </c>
      <c r="H6">
        <f>'raw data Crude oil'!H7</f>
        <v>59.03</v>
      </c>
      <c r="I6">
        <f>'raw data Crude oil'!I7</f>
        <v>59.02</v>
      </c>
      <c r="J6">
        <f>'raw data Crude oil'!J7</f>
        <v>59</v>
      </c>
      <c r="K6">
        <f>'raw data Crude oil'!K7</f>
        <v>58.94</v>
      </c>
      <c r="L6">
        <f>'raw data Crude oil'!L7</f>
        <v>58.89</v>
      </c>
      <c r="M6">
        <f>'raw data Crude oil'!M7</f>
        <v>58.84</v>
      </c>
      <c r="N6">
        <f>'raw data Crude oil'!N7</f>
        <v>53.99</v>
      </c>
      <c r="O6">
        <f>'raw data Crude oil'!O7</f>
        <v>54.87</v>
      </c>
      <c r="P6">
        <f>'raw data Crude oil'!P7</f>
        <v>55.68</v>
      </c>
      <c r="Q6">
        <f>'raw data Crude oil'!Q7</f>
        <v>56.37</v>
      </c>
      <c r="R6">
        <f>'raw data Crude oil'!R7</f>
        <v>56.88</v>
      </c>
      <c r="S6">
        <f>'raw data Crude oil'!S7</f>
        <v>57.21</v>
      </c>
      <c r="T6">
        <f>'raw data Crude oil'!T7</f>
        <v>57.4</v>
      </c>
      <c r="U6">
        <f>'raw data Crude oil'!U7</f>
        <v>57.51</v>
      </c>
      <c r="V6">
        <f>'raw data Crude oil'!V7</f>
        <v>57.57</v>
      </c>
      <c r="W6">
        <f>'raw data Crude oil'!W7</f>
        <v>57.62</v>
      </c>
      <c r="X6">
        <f>'raw data Crude oil'!X7</f>
        <v>57.66</v>
      </c>
      <c r="Y6">
        <f>'raw data Crude oil'!Y7</f>
        <v>57.63</v>
      </c>
      <c r="Z6">
        <f>'raw data Crude oil'!Z7</f>
        <v>0</v>
      </c>
      <c r="AA6">
        <f>'raw data Crude oil'!AA7</f>
        <v>0</v>
      </c>
      <c r="AB6">
        <f>'raw data Crude oil'!AB7</f>
        <v>0</v>
      </c>
      <c r="AC6">
        <f>'raw data Crude oil'!AC7</f>
        <v>0</v>
      </c>
      <c r="AD6">
        <f>'raw data Crude oil'!AD7</f>
        <v>0</v>
      </c>
      <c r="AE6">
        <f>'raw data Crude oil'!AE7</f>
        <v>0</v>
      </c>
      <c r="AF6">
        <f>'raw data Crude oil'!AF7</f>
        <v>0</v>
      </c>
      <c r="AG6">
        <f>'raw data Crude oil'!AG7</f>
        <v>0</v>
      </c>
      <c r="AH6">
        <f>'raw data Crude oil'!AH7</f>
        <v>0</v>
      </c>
      <c r="AI6">
        <f>'raw data Crude oil'!AI7</f>
        <v>0</v>
      </c>
      <c r="AJ6">
        <f>'raw data Crude oil'!AJ7</f>
        <v>0</v>
      </c>
      <c r="AK6">
        <f>'raw data Crude oil'!AK7</f>
        <v>0</v>
      </c>
    </row>
    <row r="7" spans="1:38" x14ac:dyDescent="0.3">
      <c r="A7" s="18">
        <f>'raw data Crude oil'!A8</f>
        <v>42744</v>
      </c>
      <c r="B7">
        <f>'raw data Crude oil'!B8</f>
        <v>54.94</v>
      </c>
      <c r="C7">
        <f>'raw data Crude oil'!C8</f>
        <v>55.56</v>
      </c>
      <c r="D7">
        <f>'raw data Crude oil'!D8</f>
        <v>56.09</v>
      </c>
      <c r="E7">
        <f>'raw data Crude oil'!E8</f>
        <v>56.53</v>
      </c>
      <c r="F7">
        <f>'raw data Crude oil'!F8</f>
        <v>56.83</v>
      </c>
      <c r="G7">
        <f>'raw data Crude oil'!G8</f>
        <v>57.01</v>
      </c>
      <c r="H7">
        <f>'raw data Crude oil'!H8</f>
        <v>57.08</v>
      </c>
      <c r="I7">
        <f>'raw data Crude oil'!I8</f>
        <v>57.1</v>
      </c>
      <c r="J7">
        <f>'raw data Crude oil'!J8</f>
        <v>57.09</v>
      </c>
      <c r="K7">
        <f>'raw data Crude oil'!K8</f>
        <v>57.07</v>
      </c>
      <c r="L7">
        <f>'raw data Crude oil'!L8</f>
        <v>57.04</v>
      </c>
      <c r="M7">
        <f>'raw data Crude oil'!M8</f>
        <v>57.01</v>
      </c>
      <c r="N7">
        <f>'raw data Crude oil'!N8</f>
        <v>51.96</v>
      </c>
      <c r="O7">
        <f>'raw data Crude oil'!O8</f>
        <v>52.87</v>
      </c>
      <c r="P7">
        <f>'raw data Crude oil'!P8</f>
        <v>53.72</v>
      </c>
      <c r="Q7">
        <f>'raw data Crude oil'!Q8</f>
        <v>54.47</v>
      </c>
      <c r="R7">
        <f>'raw data Crude oil'!R8</f>
        <v>55.05</v>
      </c>
      <c r="S7">
        <f>'raw data Crude oil'!S8</f>
        <v>55.43</v>
      </c>
      <c r="T7">
        <f>'raw data Crude oil'!T8</f>
        <v>55.67</v>
      </c>
      <c r="U7">
        <f>'raw data Crude oil'!U8</f>
        <v>55.83</v>
      </c>
      <c r="V7">
        <f>'raw data Crude oil'!V8</f>
        <v>55.94</v>
      </c>
      <c r="W7">
        <f>'raw data Crude oil'!W8</f>
        <v>56.02</v>
      </c>
      <c r="X7">
        <f>'raw data Crude oil'!X8</f>
        <v>56.09</v>
      </c>
      <c r="Y7">
        <f>'raw data Crude oil'!Y8</f>
        <v>56.09</v>
      </c>
      <c r="Z7">
        <f>'raw data Crude oil'!Z8</f>
        <v>0</v>
      </c>
      <c r="AA7">
        <f>'raw data Crude oil'!AA8</f>
        <v>0</v>
      </c>
      <c r="AB7">
        <f>'raw data Crude oil'!AB8</f>
        <v>0</v>
      </c>
      <c r="AC7">
        <f>'raw data Crude oil'!AC8</f>
        <v>0</v>
      </c>
      <c r="AD7">
        <f>'raw data Crude oil'!AD8</f>
        <v>0</v>
      </c>
      <c r="AE7">
        <f>'raw data Crude oil'!AE8</f>
        <v>0</v>
      </c>
      <c r="AF7">
        <f>'raw data Crude oil'!AF8</f>
        <v>0</v>
      </c>
      <c r="AG7">
        <f>'raw data Crude oil'!AG8</f>
        <v>0</v>
      </c>
      <c r="AH7">
        <f>'raw data Crude oil'!AH8</f>
        <v>0</v>
      </c>
      <c r="AI7">
        <f>'raw data Crude oil'!AI8</f>
        <v>0</v>
      </c>
      <c r="AJ7">
        <f>'raw data Crude oil'!AJ8</f>
        <v>0</v>
      </c>
      <c r="AK7">
        <f>'raw data Crude oil'!AK8</f>
        <v>0</v>
      </c>
    </row>
    <row r="8" spans="1:38" x14ac:dyDescent="0.3">
      <c r="A8" s="18">
        <f>'raw data Crude oil'!A9</f>
        <v>42745</v>
      </c>
      <c r="B8">
        <f>'raw data Crude oil'!B9</f>
        <v>53.64</v>
      </c>
      <c r="C8">
        <f>'raw data Crude oil'!C9</f>
        <v>54.26</v>
      </c>
      <c r="D8">
        <f>'raw data Crude oil'!D9</f>
        <v>54.79</v>
      </c>
      <c r="E8">
        <f>'raw data Crude oil'!E9</f>
        <v>55.25</v>
      </c>
      <c r="F8">
        <f>'raw data Crude oil'!F9</f>
        <v>55.58</v>
      </c>
      <c r="G8">
        <f>'raw data Crude oil'!G9</f>
        <v>55.79</v>
      </c>
      <c r="H8">
        <f>'raw data Crude oil'!H9</f>
        <v>55.89</v>
      </c>
      <c r="I8">
        <f>'raw data Crude oil'!I9</f>
        <v>55.94</v>
      </c>
      <c r="J8">
        <f>'raw data Crude oil'!J9</f>
        <v>55.96</v>
      </c>
      <c r="K8">
        <f>'raw data Crude oil'!K9</f>
        <v>55.95</v>
      </c>
      <c r="L8">
        <f>'raw data Crude oil'!L9</f>
        <v>55.94</v>
      </c>
      <c r="M8">
        <f>'raw data Crude oil'!M9</f>
        <v>55.92</v>
      </c>
      <c r="N8">
        <f>'raw data Crude oil'!N9</f>
        <v>50.82</v>
      </c>
      <c r="O8">
        <f>'raw data Crude oil'!O9</f>
        <v>51.7</v>
      </c>
      <c r="P8">
        <f>'raw data Crude oil'!P9</f>
        <v>52.53</v>
      </c>
      <c r="Q8">
        <f>'raw data Crude oil'!Q9</f>
        <v>53.28</v>
      </c>
      <c r="R8">
        <f>'raw data Crude oil'!R9</f>
        <v>53.87</v>
      </c>
      <c r="S8">
        <f>'raw data Crude oil'!S9</f>
        <v>54.27</v>
      </c>
      <c r="T8">
        <f>'raw data Crude oil'!T9</f>
        <v>54.53</v>
      </c>
      <c r="U8">
        <f>'raw data Crude oil'!U9</f>
        <v>54.72</v>
      </c>
      <c r="V8">
        <f>'raw data Crude oil'!V9</f>
        <v>54.87</v>
      </c>
      <c r="W8">
        <f>'raw data Crude oil'!W9</f>
        <v>54.99</v>
      </c>
      <c r="X8">
        <f>'raw data Crude oil'!X9</f>
        <v>55.1</v>
      </c>
      <c r="Y8">
        <f>'raw data Crude oil'!Y9</f>
        <v>55.15</v>
      </c>
      <c r="Z8">
        <f>'raw data Crude oil'!Z9</f>
        <v>0</v>
      </c>
      <c r="AA8">
        <f>'raw data Crude oil'!AA9</f>
        <v>0</v>
      </c>
      <c r="AB8">
        <f>'raw data Crude oil'!AB9</f>
        <v>0</v>
      </c>
      <c r="AC8">
        <f>'raw data Crude oil'!AC9</f>
        <v>0</v>
      </c>
      <c r="AD8">
        <f>'raw data Crude oil'!AD9</f>
        <v>0</v>
      </c>
      <c r="AE8">
        <f>'raw data Crude oil'!AE9</f>
        <v>0</v>
      </c>
      <c r="AF8">
        <f>'raw data Crude oil'!AF9</f>
        <v>0</v>
      </c>
      <c r="AG8">
        <f>'raw data Crude oil'!AG9</f>
        <v>0</v>
      </c>
      <c r="AH8">
        <f>'raw data Crude oil'!AH9</f>
        <v>0</v>
      </c>
      <c r="AI8">
        <f>'raw data Crude oil'!AI9</f>
        <v>0</v>
      </c>
      <c r="AJ8">
        <f>'raw data Crude oil'!AJ9</f>
        <v>0</v>
      </c>
      <c r="AK8">
        <f>'raw data Crude oil'!AK9</f>
        <v>0</v>
      </c>
    </row>
    <row r="9" spans="1:38" x14ac:dyDescent="0.3">
      <c r="A9" s="18">
        <f>'raw data Crude oil'!A10</f>
        <v>42746</v>
      </c>
      <c r="B9">
        <f>'raw data Crude oil'!B10</f>
        <v>55.1</v>
      </c>
      <c r="C9">
        <f>'raw data Crude oil'!C10</f>
        <v>55.6</v>
      </c>
      <c r="D9">
        <f>'raw data Crude oil'!D10</f>
        <v>56.09</v>
      </c>
      <c r="E9">
        <f>'raw data Crude oil'!E10</f>
        <v>56.51</v>
      </c>
      <c r="F9">
        <f>'raw data Crude oil'!F10</f>
        <v>56.78</v>
      </c>
      <c r="G9">
        <f>'raw data Crude oil'!G10</f>
        <v>56.94</v>
      </c>
      <c r="H9">
        <f>'raw data Crude oil'!H10</f>
        <v>57.02</v>
      </c>
      <c r="I9">
        <f>'raw data Crude oil'!I10</f>
        <v>57.05</v>
      </c>
      <c r="J9">
        <f>'raw data Crude oil'!J10</f>
        <v>57.06</v>
      </c>
      <c r="K9">
        <f>'raw data Crude oil'!K10</f>
        <v>57.04</v>
      </c>
      <c r="L9">
        <f>'raw data Crude oil'!L10</f>
        <v>57.02</v>
      </c>
      <c r="M9">
        <f>'raw data Crude oil'!M10</f>
        <v>56.99</v>
      </c>
      <c r="N9">
        <f>'raw data Crude oil'!N10</f>
        <v>52.25</v>
      </c>
      <c r="O9">
        <f>'raw data Crude oil'!O10</f>
        <v>53.06</v>
      </c>
      <c r="P9">
        <f>'raw data Crude oil'!P10</f>
        <v>53.87</v>
      </c>
      <c r="Q9">
        <f>'raw data Crude oil'!Q10</f>
        <v>54.59</v>
      </c>
      <c r="R9">
        <f>'raw data Crude oil'!R10</f>
        <v>55.17</v>
      </c>
      <c r="S9">
        <f>'raw data Crude oil'!S10</f>
        <v>55.56</v>
      </c>
      <c r="T9">
        <f>'raw data Crude oil'!T10</f>
        <v>55.81</v>
      </c>
      <c r="U9">
        <f>'raw data Crude oil'!U10</f>
        <v>55.99</v>
      </c>
      <c r="V9">
        <f>'raw data Crude oil'!V10</f>
        <v>56.12</v>
      </c>
      <c r="W9">
        <f>'raw data Crude oil'!W10</f>
        <v>56.21</v>
      </c>
      <c r="X9">
        <f>'raw data Crude oil'!X10</f>
        <v>56.29</v>
      </c>
      <c r="Y9">
        <f>'raw data Crude oil'!Y10</f>
        <v>56.31</v>
      </c>
      <c r="Z9">
        <f>'raw data Crude oil'!Z10</f>
        <v>0</v>
      </c>
      <c r="AA9">
        <f>'raw data Crude oil'!AA10</f>
        <v>0</v>
      </c>
      <c r="AB9">
        <f>'raw data Crude oil'!AB10</f>
        <v>0</v>
      </c>
      <c r="AC9">
        <f>'raw data Crude oil'!AC10</f>
        <v>0</v>
      </c>
      <c r="AD9">
        <f>'raw data Crude oil'!AD10</f>
        <v>0</v>
      </c>
      <c r="AE9">
        <f>'raw data Crude oil'!AE10</f>
        <v>0</v>
      </c>
      <c r="AF9">
        <f>'raw data Crude oil'!AF10</f>
        <v>0</v>
      </c>
      <c r="AG9">
        <f>'raw data Crude oil'!AG10</f>
        <v>0</v>
      </c>
      <c r="AH9">
        <f>'raw data Crude oil'!AH10</f>
        <v>0</v>
      </c>
      <c r="AI9">
        <f>'raw data Crude oil'!AI10</f>
        <v>0</v>
      </c>
      <c r="AJ9">
        <f>'raw data Crude oil'!AJ10</f>
        <v>0</v>
      </c>
      <c r="AK9">
        <f>'raw data Crude oil'!AK10</f>
        <v>0</v>
      </c>
    </row>
    <row r="10" spans="1:38" x14ac:dyDescent="0.3">
      <c r="A10" s="18">
        <f>'raw data Crude oil'!A11</f>
        <v>42747</v>
      </c>
      <c r="B10">
        <f>'raw data Crude oil'!B11</f>
        <v>56.01</v>
      </c>
      <c r="C10">
        <f>'raw data Crude oil'!C11</f>
        <v>56.49</v>
      </c>
      <c r="D10">
        <f>'raw data Crude oil'!D11</f>
        <v>56.98</v>
      </c>
      <c r="E10">
        <f>'raw data Crude oil'!E11</f>
        <v>57.42</v>
      </c>
      <c r="F10">
        <f>'raw data Crude oil'!F11</f>
        <v>57.7</v>
      </c>
      <c r="G10">
        <f>'raw data Crude oil'!G11</f>
        <v>57.85</v>
      </c>
      <c r="H10">
        <f>'raw data Crude oil'!H11</f>
        <v>57.9</v>
      </c>
      <c r="I10">
        <f>'raw data Crude oil'!I11</f>
        <v>57.92</v>
      </c>
      <c r="J10">
        <f>'raw data Crude oil'!J11</f>
        <v>57.92</v>
      </c>
      <c r="K10">
        <f>'raw data Crude oil'!K11</f>
        <v>57.89</v>
      </c>
      <c r="L10">
        <f>'raw data Crude oil'!L11</f>
        <v>57.86</v>
      </c>
      <c r="M10">
        <f>'raw data Crude oil'!M11</f>
        <v>57.82</v>
      </c>
      <c r="N10">
        <f>'raw data Crude oil'!N11</f>
        <v>53.01</v>
      </c>
      <c r="O10">
        <f>'raw data Crude oil'!O11</f>
        <v>53.84</v>
      </c>
      <c r="P10">
        <f>'raw data Crude oil'!P11</f>
        <v>54.65</v>
      </c>
      <c r="Q10">
        <f>'raw data Crude oil'!Q11</f>
        <v>55.39</v>
      </c>
      <c r="R10">
        <f>'raw data Crude oil'!R11</f>
        <v>55.99</v>
      </c>
      <c r="S10">
        <f>'raw data Crude oil'!S11</f>
        <v>56.4</v>
      </c>
      <c r="T10">
        <f>'raw data Crude oil'!T11</f>
        <v>56.64</v>
      </c>
      <c r="U10">
        <f>'raw data Crude oil'!U11</f>
        <v>56.81</v>
      </c>
      <c r="V10">
        <f>'raw data Crude oil'!V11</f>
        <v>56.92</v>
      </c>
      <c r="W10">
        <f>'raw data Crude oil'!W11</f>
        <v>56.99</v>
      </c>
      <c r="X10">
        <f>'raw data Crude oil'!X11</f>
        <v>57.05</v>
      </c>
      <c r="Y10">
        <f>'raw data Crude oil'!Y11</f>
        <v>57.05</v>
      </c>
      <c r="Z10">
        <f>'raw data Crude oil'!Z11</f>
        <v>0</v>
      </c>
      <c r="AA10">
        <f>'raw data Crude oil'!AA11</f>
        <v>0</v>
      </c>
      <c r="AB10">
        <f>'raw data Crude oil'!AB11</f>
        <v>0</v>
      </c>
      <c r="AC10">
        <f>'raw data Crude oil'!AC11</f>
        <v>0</v>
      </c>
      <c r="AD10">
        <f>'raw data Crude oil'!AD11</f>
        <v>0</v>
      </c>
      <c r="AE10">
        <f>'raw data Crude oil'!AE11</f>
        <v>0</v>
      </c>
      <c r="AF10">
        <f>'raw data Crude oil'!AF11</f>
        <v>0</v>
      </c>
      <c r="AG10">
        <f>'raw data Crude oil'!AG11</f>
        <v>0</v>
      </c>
      <c r="AH10">
        <f>'raw data Crude oil'!AH11</f>
        <v>0</v>
      </c>
      <c r="AI10">
        <f>'raw data Crude oil'!AI11</f>
        <v>0</v>
      </c>
      <c r="AJ10">
        <f>'raw data Crude oil'!AJ11</f>
        <v>0</v>
      </c>
      <c r="AK10">
        <f>'raw data Crude oil'!AK11</f>
        <v>0</v>
      </c>
    </row>
    <row r="11" spans="1:38" x14ac:dyDescent="0.3">
      <c r="A11" s="18">
        <f>'raw data Crude oil'!A12</f>
        <v>42748</v>
      </c>
      <c r="B11">
        <f>'raw data Crude oil'!B12</f>
        <v>55.45</v>
      </c>
      <c r="C11">
        <f>'raw data Crude oil'!C12</f>
        <v>55.91</v>
      </c>
      <c r="D11">
        <f>'raw data Crude oil'!D12</f>
        <v>56.38</v>
      </c>
      <c r="E11">
        <f>'raw data Crude oil'!E12</f>
        <v>56.8</v>
      </c>
      <c r="F11">
        <f>'raw data Crude oil'!F12</f>
        <v>57.08</v>
      </c>
      <c r="G11">
        <f>'raw data Crude oil'!G12</f>
        <v>57.23</v>
      </c>
      <c r="H11">
        <f>'raw data Crude oil'!H12</f>
        <v>57.28</v>
      </c>
      <c r="I11">
        <f>'raw data Crude oil'!I12</f>
        <v>57.3</v>
      </c>
      <c r="J11">
        <f>'raw data Crude oil'!J12</f>
        <v>57.3</v>
      </c>
      <c r="K11">
        <f>'raw data Crude oil'!K12</f>
        <v>57.26</v>
      </c>
      <c r="L11">
        <f>'raw data Crude oil'!L12</f>
        <v>57.23</v>
      </c>
      <c r="M11">
        <f>'raw data Crude oil'!M12</f>
        <v>57.18</v>
      </c>
      <c r="N11">
        <f>'raw data Crude oil'!N12</f>
        <v>52.37</v>
      </c>
      <c r="O11">
        <f>'raw data Crude oil'!O12</f>
        <v>53.15</v>
      </c>
      <c r="P11">
        <f>'raw data Crude oil'!P12</f>
        <v>53.95</v>
      </c>
      <c r="Q11">
        <f>'raw data Crude oil'!Q12</f>
        <v>54.68</v>
      </c>
      <c r="R11">
        <f>'raw data Crude oil'!R12</f>
        <v>55.27</v>
      </c>
      <c r="S11">
        <f>'raw data Crude oil'!S12</f>
        <v>55.67</v>
      </c>
      <c r="T11">
        <f>'raw data Crude oil'!T12</f>
        <v>55.91</v>
      </c>
      <c r="U11">
        <f>'raw data Crude oil'!U12</f>
        <v>56.08</v>
      </c>
      <c r="V11">
        <f>'raw data Crude oil'!V12</f>
        <v>56.2</v>
      </c>
      <c r="W11">
        <f>'raw data Crude oil'!W12</f>
        <v>56.29</v>
      </c>
      <c r="X11">
        <f>'raw data Crude oil'!X12</f>
        <v>56.36</v>
      </c>
      <c r="Y11">
        <f>'raw data Crude oil'!Y12</f>
        <v>56.37</v>
      </c>
      <c r="Z11">
        <f>'raw data Crude oil'!Z12</f>
        <v>0</v>
      </c>
      <c r="AA11">
        <f>'raw data Crude oil'!AA12</f>
        <v>0</v>
      </c>
      <c r="AB11">
        <f>'raw data Crude oil'!AB12</f>
        <v>0</v>
      </c>
      <c r="AC11">
        <f>'raw data Crude oil'!AC12</f>
        <v>0</v>
      </c>
      <c r="AD11">
        <f>'raw data Crude oil'!AD12</f>
        <v>0</v>
      </c>
      <c r="AE11">
        <f>'raw data Crude oil'!AE12</f>
        <v>0</v>
      </c>
      <c r="AF11">
        <f>'raw data Crude oil'!AF12</f>
        <v>0</v>
      </c>
      <c r="AG11">
        <f>'raw data Crude oil'!AG12</f>
        <v>0</v>
      </c>
      <c r="AH11">
        <f>'raw data Crude oil'!AH12</f>
        <v>0</v>
      </c>
      <c r="AI11">
        <f>'raw data Crude oil'!AI12</f>
        <v>0</v>
      </c>
      <c r="AJ11">
        <f>'raw data Crude oil'!AJ12</f>
        <v>0</v>
      </c>
      <c r="AK11">
        <f>'raw data Crude oil'!AK12</f>
        <v>0</v>
      </c>
    </row>
    <row r="12" spans="1:38" x14ac:dyDescent="0.3">
      <c r="A12" s="18">
        <f>'raw data Crude oil'!A13</f>
        <v>42751</v>
      </c>
      <c r="B12">
        <f>'raw data Crude oil'!B13</f>
        <v>55.86</v>
      </c>
      <c r="C12">
        <f>'raw data Crude oil'!C13</f>
        <v>56.28</v>
      </c>
      <c r="D12">
        <f>'raw data Crude oil'!D13</f>
        <v>56.73</v>
      </c>
      <c r="E12">
        <f>'raw data Crude oil'!E13</f>
        <v>57.14</v>
      </c>
      <c r="F12">
        <f>'raw data Crude oil'!F13</f>
        <v>57.42</v>
      </c>
      <c r="G12">
        <f>'raw data Crude oil'!G13</f>
        <v>57.57</v>
      </c>
      <c r="H12">
        <f>'raw data Crude oil'!H13</f>
        <v>57.63</v>
      </c>
      <c r="I12">
        <f>'raw data Crude oil'!I13</f>
        <v>57.64</v>
      </c>
      <c r="J12">
        <f>'raw data Crude oil'!J13</f>
        <v>57.63</v>
      </c>
      <c r="K12">
        <f>'raw data Crude oil'!K13</f>
        <v>57.6</v>
      </c>
      <c r="L12">
        <f>'raw data Crude oil'!L13</f>
        <v>57.57</v>
      </c>
      <c r="M12">
        <f>'raw data Crude oil'!M13</f>
        <v>57.52</v>
      </c>
      <c r="N12">
        <f>'raw data Crude oil'!N13</f>
        <v>52.37</v>
      </c>
      <c r="O12">
        <f>'raw data Crude oil'!O13</f>
        <v>53.15</v>
      </c>
      <c r="P12">
        <f>'raw data Crude oil'!P13</f>
        <v>53.95</v>
      </c>
      <c r="Q12">
        <f>'raw data Crude oil'!Q13</f>
        <v>54.68</v>
      </c>
      <c r="R12">
        <f>'raw data Crude oil'!R13</f>
        <v>55.27</v>
      </c>
      <c r="S12">
        <f>'raw data Crude oil'!S13</f>
        <v>55.67</v>
      </c>
      <c r="T12">
        <f>'raw data Crude oil'!T13</f>
        <v>55.91</v>
      </c>
      <c r="U12">
        <f>'raw data Crude oil'!U13</f>
        <v>56.08</v>
      </c>
      <c r="V12">
        <f>'raw data Crude oil'!V13</f>
        <v>56.2</v>
      </c>
      <c r="W12">
        <f>'raw data Crude oil'!W13</f>
        <v>56.29</v>
      </c>
      <c r="X12">
        <f>'raw data Crude oil'!X13</f>
        <v>56.36</v>
      </c>
      <c r="Y12">
        <f>'raw data Crude oil'!Y13</f>
        <v>56.37</v>
      </c>
      <c r="Z12">
        <f>'raw data Crude oil'!Z13</f>
        <v>0</v>
      </c>
      <c r="AA12">
        <f>'raw data Crude oil'!AA13</f>
        <v>0</v>
      </c>
      <c r="AB12">
        <f>'raw data Crude oil'!AB13</f>
        <v>0</v>
      </c>
      <c r="AC12">
        <f>'raw data Crude oil'!AC13</f>
        <v>0</v>
      </c>
      <c r="AD12">
        <f>'raw data Crude oil'!AD13</f>
        <v>0</v>
      </c>
      <c r="AE12">
        <f>'raw data Crude oil'!AE13</f>
        <v>0</v>
      </c>
      <c r="AF12">
        <f>'raw data Crude oil'!AF13</f>
        <v>0</v>
      </c>
      <c r="AG12">
        <f>'raw data Crude oil'!AG13</f>
        <v>0</v>
      </c>
      <c r="AH12">
        <f>'raw data Crude oil'!AH13</f>
        <v>0</v>
      </c>
      <c r="AI12">
        <f>'raw data Crude oil'!AI13</f>
        <v>0</v>
      </c>
      <c r="AJ12">
        <f>'raw data Crude oil'!AJ13</f>
        <v>0</v>
      </c>
      <c r="AK12">
        <f>'raw data Crude oil'!AK13</f>
        <v>0</v>
      </c>
    </row>
    <row r="13" spans="1:38" x14ac:dyDescent="0.3">
      <c r="A13" s="18">
        <f>'raw data Crude oil'!A14</f>
        <v>42752</v>
      </c>
      <c r="B13">
        <f>'raw data Crude oil'!B14</f>
        <v>55.47</v>
      </c>
      <c r="C13">
        <f>'raw data Crude oil'!C14</f>
        <v>55.94</v>
      </c>
      <c r="D13">
        <f>'raw data Crude oil'!D14</f>
        <v>56.44</v>
      </c>
      <c r="E13">
        <f>'raw data Crude oil'!E14</f>
        <v>56.89</v>
      </c>
      <c r="F13">
        <f>'raw data Crude oil'!F14</f>
        <v>57.19</v>
      </c>
      <c r="G13">
        <f>'raw data Crude oil'!G14</f>
        <v>57.37</v>
      </c>
      <c r="H13">
        <f>'raw data Crude oil'!H14</f>
        <v>57.45</v>
      </c>
      <c r="I13">
        <f>'raw data Crude oil'!I14</f>
        <v>57.48</v>
      </c>
      <c r="J13">
        <f>'raw data Crude oil'!J14</f>
        <v>57.49</v>
      </c>
      <c r="K13">
        <f>'raw data Crude oil'!K14</f>
        <v>57.48</v>
      </c>
      <c r="L13">
        <f>'raw data Crude oil'!L14</f>
        <v>57.46</v>
      </c>
      <c r="M13">
        <f>'raw data Crude oil'!M14</f>
        <v>57.42</v>
      </c>
      <c r="N13">
        <f>'raw data Crude oil'!N14</f>
        <v>52.48</v>
      </c>
      <c r="O13">
        <f>'raw data Crude oil'!O14</f>
        <v>53.26</v>
      </c>
      <c r="P13">
        <f>'raw data Crude oil'!P14</f>
        <v>54.03</v>
      </c>
      <c r="Q13">
        <f>'raw data Crude oil'!Q14</f>
        <v>54.75</v>
      </c>
      <c r="R13">
        <f>'raw data Crude oil'!R14</f>
        <v>55.33</v>
      </c>
      <c r="S13">
        <f>'raw data Crude oil'!S14</f>
        <v>55.73</v>
      </c>
      <c r="T13">
        <f>'raw data Crude oil'!T14</f>
        <v>55.96</v>
      </c>
      <c r="U13">
        <f>'raw data Crude oil'!U14</f>
        <v>56.1</v>
      </c>
      <c r="V13">
        <f>'raw data Crude oil'!V14</f>
        <v>56.18</v>
      </c>
      <c r="W13">
        <f>'raw data Crude oil'!W14</f>
        <v>56.23</v>
      </c>
      <c r="X13">
        <f>'raw data Crude oil'!X14</f>
        <v>56.27</v>
      </c>
      <c r="Y13">
        <f>'raw data Crude oil'!Y14</f>
        <v>56.25</v>
      </c>
      <c r="Z13">
        <f>'raw data Crude oil'!Z14</f>
        <v>0</v>
      </c>
      <c r="AA13">
        <f>'raw data Crude oil'!AA14</f>
        <v>0</v>
      </c>
      <c r="AB13">
        <f>'raw data Crude oil'!AB14</f>
        <v>0</v>
      </c>
      <c r="AC13">
        <f>'raw data Crude oil'!AC14</f>
        <v>0</v>
      </c>
      <c r="AD13">
        <f>'raw data Crude oil'!AD14</f>
        <v>0</v>
      </c>
      <c r="AE13">
        <f>'raw data Crude oil'!AE14</f>
        <v>0</v>
      </c>
      <c r="AF13">
        <f>'raw data Crude oil'!AF14</f>
        <v>0</v>
      </c>
      <c r="AG13">
        <f>'raw data Crude oil'!AG14</f>
        <v>0</v>
      </c>
      <c r="AH13">
        <f>'raw data Crude oil'!AH14</f>
        <v>0</v>
      </c>
      <c r="AI13">
        <f>'raw data Crude oil'!AI14</f>
        <v>0</v>
      </c>
      <c r="AJ13">
        <f>'raw data Crude oil'!AJ14</f>
        <v>0</v>
      </c>
      <c r="AK13">
        <f>'raw data Crude oil'!AK14</f>
        <v>0</v>
      </c>
    </row>
    <row r="14" spans="1:38" x14ac:dyDescent="0.3">
      <c r="A14" s="18">
        <f>'raw data Crude oil'!A15</f>
        <v>42753</v>
      </c>
      <c r="B14">
        <f>'raw data Crude oil'!B15</f>
        <v>53.92</v>
      </c>
      <c r="C14">
        <f>'raw data Crude oil'!C15</f>
        <v>54.41</v>
      </c>
      <c r="D14">
        <f>'raw data Crude oil'!D15</f>
        <v>54.93</v>
      </c>
      <c r="E14">
        <f>'raw data Crude oil'!E15</f>
        <v>55.4</v>
      </c>
      <c r="F14">
        <f>'raw data Crude oil'!F15</f>
        <v>55.73</v>
      </c>
      <c r="G14">
        <f>'raw data Crude oil'!G15</f>
        <v>55.93</v>
      </c>
      <c r="H14">
        <f>'raw data Crude oil'!H15</f>
        <v>56.03</v>
      </c>
      <c r="I14">
        <f>'raw data Crude oil'!I15</f>
        <v>56.08</v>
      </c>
      <c r="J14">
        <f>'raw data Crude oil'!J15</f>
        <v>56.1</v>
      </c>
      <c r="K14">
        <f>'raw data Crude oil'!K15</f>
        <v>56.11</v>
      </c>
      <c r="L14">
        <f>'raw data Crude oil'!L15</f>
        <v>56.11</v>
      </c>
      <c r="M14">
        <f>'raw data Crude oil'!M15</f>
        <v>56.1</v>
      </c>
      <c r="N14">
        <f>'raw data Crude oil'!N15</f>
        <v>51.08</v>
      </c>
      <c r="O14">
        <f>'raw data Crude oil'!O15</f>
        <v>51.89</v>
      </c>
      <c r="P14">
        <f>'raw data Crude oil'!P15</f>
        <v>52.66</v>
      </c>
      <c r="Q14">
        <f>'raw data Crude oil'!Q15</f>
        <v>53.37</v>
      </c>
      <c r="R14">
        <f>'raw data Crude oil'!R15</f>
        <v>53.95</v>
      </c>
      <c r="S14">
        <f>'raw data Crude oil'!S15</f>
        <v>54.35</v>
      </c>
      <c r="T14">
        <f>'raw data Crude oil'!T15</f>
        <v>54.59</v>
      </c>
      <c r="U14">
        <f>'raw data Crude oil'!U15</f>
        <v>54.74</v>
      </c>
      <c r="V14">
        <f>'raw data Crude oil'!V15</f>
        <v>54.83</v>
      </c>
      <c r="W14">
        <f>'raw data Crude oil'!W15</f>
        <v>54.89</v>
      </c>
      <c r="X14">
        <f>'raw data Crude oil'!X15</f>
        <v>54.95</v>
      </c>
      <c r="Y14">
        <f>'raw data Crude oil'!Y15</f>
        <v>54.96</v>
      </c>
      <c r="Z14">
        <f>'raw data Crude oil'!Z15</f>
        <v>0</v>
      </c>
      <c r="AA14">
        <f>'raw data Crude oil'!AA15</f>
        <v>0</v>
      </c>
      <c r="AB14">
        <f>'raw data Crude oil'!AB15</f>
        <v>0</v>
      </c>
      <c r="AC14">
        <f>'raw data Crude oil'!AC15</f>
        <v>0</v>
      </c>
      <c r="AD14">
        <f>'raw data Crude oil'!AD15</f>
        <v>0</v>
      </c>
      <c r="AE14">
        <f>'raw data Crude oil'!AE15</f>
        <v>0</v>
      </c>
      <c r="AF14">
        <f>'raw data Crude oil'!AF15</f>
        <v>0</v>
      </c>
      <c r="AG14">
        <f>'raw data Crude oil'!AG15</f>
        <v>0</v>
      </c>
      <c r="AH14">
        <f>'raw data Crude oil'!AH15</f>
        <v>0</v>
      </c>
      <c r="AI14">
        <f>'raw data Crude oil'!AI15</f>
        <v>0</v>
      </c>
      <c r="AJ14">
        <f>'raw data Crude oil'!AJ15</f>
        <v>0</v>
      </c>
      <c r="AK14">
        <f>'raw data Crude oil'!AK15</f>
        <v>0</v>
      </c>
    </row>
    <row r="15" spans="1:38" x14ac:dyDescent="0.3">
      <c r="A15" s="18">
        <f>'raw data Crude oil'!A16</f>
        <v>42754</v>
      </c>
      <c r="B15">
        <f>'raw data Crude oil'!B16</f>
        <v>54.16</v>
      </c>
      <c r="C15">
        <f>'raw data Crude oil'!C16</f>
        <v>54.69</v>
      </c>
      <c r="D15">
        <f>'raw data Crude oil'!D16</f>
        <v>55.21</v>
      </c>
      <c r="E15">
        <f>'raw data Crude oil'!E16</f>
        <v>55.67</v>
      </c>
      <c r="F15">
        <f>'raw data Crude oil'!F16</f>
        <v>55.99</v>
      </c>
      <c r="G15">
        <f>'raw data Crude oil'!G16</f>
        <v>56.19</v>
      </c>
      <c r="H15">
        <f>'raw data Crude oil'!H16</f>
        <v>56.29</v>
      </c>
      <c r="I15">
        <f>'raw data Crude oil'!I16</f>
        <v>56.34</v>
      </c>
      <c r="J15">
        <f>'raw data Crude oil'!J16</f>
        <v>56.36</v>
      </c>
      <c r="K15">
        <f>'raw data Crude oil'!K16</f>
        <v>56.37</v>
      </c>
      <c r="L15">
        <f>'raw data Crude oil'!L16</f>
        <v>56.37</v>
      </c>
      <c r="M15">
        <f>'raw data Crude oil'!M16</f>
        <v>56.36</v>
      </c>
      <c r="N15">
        <f>'raw data Crude oil'!N16</f>
        <v>51.37</v>
      </c>
      <c r="O15">
        <f>'raw data Crude oil'!O16</f>
        <v>52.12</v>
      </c>
      <c r="P15">
        <f>'raw data Crude oil'!P16</f>
        <v>52.84</v>
      </c>
      <c r="Q15">
        <f>'raw data Crude oil'!Q16</f>
        <v>53.5</v>
      </c>
      <c r="R15">
        <f>'raw data Crude oil'!R16</f>
        <v>54.05</v>
      </c>
      <c r="S15">
        <f>'raw data Crude oil'!S16</f>
        <v>54.45</v>
      </c>
      <c r="T15">
        <f>'raw data Crude oil'!T16</f>
        <v>54.69</v>
      </c>
      <c r="U15">
        <f>'raw data Crude oil'!U16</f>
        <v>54.85</v>
      </c>
      <c r="V15">
        <f>'raw data Crude oil'!V16</f>
        <v>54.95</v>
      </c>
      <c r="W15">
        <f>'raw data Crude oil'!W16</f>
        <v>55.02</v>
      </c>
      <c r="X15">
        <f>'raw data Crude oil'!X16</f>
        <v>55.08</v>
      </c>
      <c r="Y15">
        <f>'raw data Crude oil'!Y16</f>
        <v>55.09</v>
      </c>
      <c r="Z15">
        <f>'raw data Crude oil'!Z16</f>
        <v>0</v>
      </c>
      <c r="AA15">
        <f>'raw data Crude oil'!AA16</f>
        <v>0</v>
      </c>
      <c r="AB15">
        <f>'raw data Crude oil'!AB16</f>
        <v>0</v>
      </c>
      <c r="AC15">
        <f>'raw data Crude oil'!AC16</f>
        <v>0</v>
      </c>
      <c r="AD15">
        <f>'raw data Crude oil'!AD16</f>
        <v>0</v>
      </c>
      <c r="AE15">
        <f>'raw data Crude oil'!AE16</f>
        <v>0</v>
      </c>
      <c r="AF15">
        <f>'raw data Crude oil'!AF16</f>
        <v>0</v>
      </c>
      <c r="AG15">
        <f>'raw data Crude oil'!AG16</f>
        <v>0</v>
      </c>
      <c r="AH15">
        <f>'raw data Crude oil'!AH16</f>
        <v>0</v>
      </c>
      <c r="AI15">
        <f>'raw data Crude oil'!AI16</f>
        <v>0</v>
      </c>
      <c r="AJ15">
        <f>'raw data Crude oil'!AJ16</f>
        <v>0</v>
      </c>
      <c r="AK15">
        <f>'raw data Crude oil'!AK16</f>
        <v>0</v>
      </c>
    </row>
    <row r="16" spans="1:38" x14ac:dyDescent="0.3">
      <c r="A16" s="18">
        <f>'raw data Crude oil'!A17</f>
        <v>42755</v>
      </c>
      <c r="B16">
        <f>'raw data Crude oil'!B17</f>
        <v>55.49</v>
      </c>
      <c r="C16">
        <f>'raw data Crude oil'!C17</f>
        <v>55.98</v>
      </c>
      <c r="D16">
        <f>'raw data Crude oil'!D17</f>
        <v>56.5</v>
      </c>
      <c r="E16">
        <f>'raw data Crude oil'!E17</f>
        <v>56.94</v>
      </c>
      <c r="F16">
        <f>'raw data Crude oil'!F17</f>
        <v>57.25</v>
      </c>
      <c r="G16">
        <f>'raw data Crude oil'!G17</f>
        <v>57.44</v>
      </c>
      <c r="H16">
        <f>'raw data Crude oil'!H17</f>
        <v>57.53</v>
      </c>
      <c r="I16">
        <f>'raw data Crude oil'!I17</f>
        <v>57.56</v>
      </c>
      <c r="J16">
        <f>'raw data Crude oil'!J17</f>
        <v>57.57</v>
      </c>
      <c r="K16">
        <f>'raw data Crude oil'!K17</f>
        <v>57.57</v>
      </c>
      <c r="L16">
        <f>'raw data Crude oil'!L17</f>
        <v>57.55</v>
      </c>
      <c r="M16">
        <f>'raw data Crude oil'!M17</f>
        <v>57.54</v>
      </c>
      <c r="N16">
        <f>'raw data Crude oil'!N17</f>
        <v>52.42</v>
      </c>
      <c r="O16">
        <f>'raw data Crude oil'!O17</f>
        <v>53.22</v>
      </c>
      <c r="P16">
        <f>'raw data Crude oil'!P17</f>
        <v>53.96</v>
      </c>
      <c r="Q16">
        <f>'raw data Crude oil'!Q17</f>
        <v>54.62</v>
      </c>
      <c r="R16">
        <f>'raw data Crude oil'!R17</f>
        <v>55.16</v>
      </c>
      <c r="S16">
        <f>'raw data Crude oil'!S17</f>
        <v>55.54</v>
      </c>
      <c r="T16">
        <f>'raw data Crude oil'!T17</f>
        <v>55.75</v>
      </c>
      <c r="U16">
        <f>'raw data Crude oil'!U17</f>
        <v>55.89</v>
      </c>
      <c r="V16">
        <f>'raw data Crude oil'!V17</f>
        <v>55.97</v>
      </c>
      <c r="W16">
        <f>'raw data Crude oil'!W17</f>
        <v>56.04</v>
      </c>
      <c r="X16">
        <f>'raw data Crude oil'!X17</f>
        <v>56.1</v>
      </c>
      <c r="Y16">
        <f>'raw data Crude oil'!Y17</f>
        <v>56.1</v>
      </c>
      <c r="Z16">
        <f>'raw data Crude oil'!Z17</f>
        <v>0</v>
      </c>
      <c r="AA16">
        <f>'raw data Crude oil'!AA17</f>
        <v>0</v>
      </c>
      <c r="AB16">
        <f>'raw data Crude oil'!AB17</f>
        <v>0</v>
      </c>
      <c r="AC16">
        <f>'raw data Crude oil'!AC17</f>
        <v>0</v>
      </c>
      <c r="AD16">
        <f>'raw data Crude oil'!AD17</f>
        <v>0</v>
      </c>
      <c r="AE16">
        <f>'raw data Crude oil'!AE17</f>
        <v>0</v>
      </c>
      <c r="AF16">
        <f>'raw data Crude oil'!AF17</f>
        <v>0</v>
      </c>
      <c r="AG16">
        <f>'raw data Crude oil'!AG17</f>
        <v>0</v>
      </c>
      <c r="AH16">
        <f>'raw data Crude oil'!AH17</f>
        <v>0</v>
      </c>
      <c r="AI16">
        <f>'raw data Crude oil'!AI17</f>
        <v>0</v>
      </c>
      <c r="AJ16">
        <f>'raw data Crude oil'!AJ17</f>
        <v>0</v>
      </c>
      <c r="AK16">
        <f>'raw data Crude oil'!AK17</f>
        <v>0</v>
      </c>
    </row>
    <row r="17" spans="1:37" x14ac:dyDescent="0.3">
      <c r="A17" s="18">
        <f>'raw data Crude oil'!A18</f>
        <v>42758</v>
      </c>
      <c r="B17">
        <f>'raw data Crude oil'!B18</f>
        <v>55.23</v>
      </c>
      <c r="C17">
        <f>'raw data Crude oil'!C18</f>
        <v>55.63</v>
      </c>
      <c r="D17">
        <f>'raw data Crude oil'!D18</f>
        <v>56.11</v>
      </c>
      <c r="E17">
        <f>'raw data Crude oil'!E18</f>
        <v>56.54</v>
      </c>
      <c r="F17">
        <f>'raw data Crude oil'!F18</f>
        <v>56.84</v>
      </c>
      <c r="G17">
        <f>'raw data Crude oil'!G18</f>
        <v>57.02</v>
      </c>
      <c r="H17">
        <f>'raw data Crude oil'!H18</f>
        <v>57.11</v>
      </c>
      <c r="I17">
        <f>'raw data Crude oil'!I18</f>
        <v>57.12</v>
      </c>
      <c r="J17">
        <f>'raw data Crude oil'!J18</f>
        <v>57.12</v>
      </c>
      <c r="K17">
        <f>'raw data Crude oil'!K18</f>
        <v>57.11</v>
      </c>
      <c r="L17">
        <f>'raw data Crude oil'!L18</f>
        <v>57.09</v>
      </c>
      <c r="M17">
        <f>'raw data Crude oil'!M18</f>
        <v>57.06</v>
      </c>
      <c r="N17">
        <f>'raw data Crude oil'!N18</f>
        <v>52.75</v>
      </c>
      <c r="O17">
        <f>'raw data Crude oil'!O18</f>
        <v>53.5</v>
      </c>
      <c r="P17">
        <f>'raw data Crude oil'!P18</f>
        <v>54.17</v>
      </c>
      <c r="Q17">
        <f>'raw data Crude oil'!Q18</f>
        <v>54.71</v>
      </c>
      <c r="R17">
        <f>'raw data Crude oil'!R18</f>
        <v>55.1</v>
      </c>
      <c r="S17">
        <f>'raw data Crude oil'!S18</f>
        <v>55.33</v>
      </c>
      <c r="T17">
        <f>'raw data Crude oil'!T18</f>
        <v>55.48</v>
      </c>
      <c r="U17">
        <f>'raw data Crude oil'!U18</f>
        <v>55.58</v>
      </c>
      <c r="V17">
        <f>'raw data Crude oil'!V18</f>
        <v>55.66</v>
      </c>
      <c r="W17">
        <f>'raw data Crude oil'!W18</f>
        <v>55.73</v>
      </c>
      <c r="X17">
        <f>'raw data Crude oil'!X18</f>
        <v>55.75</v>
      </c>
      <c r="Y17">
        <f>'raw data Crude oil'!Y18</f>
        <v>55.76</v>
      </c>
      <c r="Z17">
        <f>'raw data Crude oil'!Z18</f>
        <v>0</v>
      </c>
      <c r="AA17">
        <f>'raw data Crude oil'!AA18</f>
        <v>0</v>
      </c>
      <c r="AB17">
        <f>'raw data Crude oil'!AB18</f>
        <v>0</v>
      </c>
      <c r="AC17">
        <f>'raw data Crude oil'!AC18</f>
        <v>0</v>
      </c>
      <c r="AD17">
        <f>'raw data Crude oil'!AD18</f>
        <v>0</v>
      </c>
      <c r="AE17">
        <f>'raw data Crude oil'!AE18</f>
        <v>0</v>
      </c>
      <c r="AF17">
        <f>'raw data Crude oil'!AF18</f>
        <v>0</v>
      </c>
      <c r="AG17">
        <f>'raw data Crude oil'!AG18</f>
        <v>0</v>
      </c>
      <c r="AH17">
        <f>'raw data Crude oil'!AH18</f>
        <v>0</v>
      </c>
      <c r="AI17">
        <f>'raw data Crude oil'!AI18</f>
        <v>0</v>
      </c>
      <c r="AJ17">
        <f>'raw data Crude oil'!AJ18</f>
        <v>0</v>
      </c>
      <c r="AK17">
        <f>'raw data Crude oil'!AK18</f>
        <v>0</v>
      </c>
    </row>
    <row r="18" spans="1:37" x14ac:dyDescent="0.3">
      <c r="A18" s="18">
        <f>'raw data Crude oil'!A19</f>
        <v>42759</v>
      </c>
      <c r="B18">
        <f>'raw data Crude oil'!B19</f>
        <v>55.44</v>
      </c>
      <c r="C18">
        <f>'raw data Crude oil'!C19</f>
        <v>55.85</v>
      </c>
      <c r="D18">
        <f>'raw data Crude oil'!D19</f>
        <v>56.32</v>
      </c>
      <c r="E18">
        <f>'raw data Crude oil'!E19</f>
        <v>56.74</v>
      </c>
      <c r="F18">
        <f>'raw data Crude oil'!F19</f>
        <v>57.03</v>
      </c>
      <c r="G18">
        <f>'raw data Crude oil'!G19</f>
        <v>57.21</v>
      </c>
      <c r="H18">
        <f>'raw data Crude oil'!H19</f>
        <v>57.29</v>
      </c>
      <c r="I18">
        <f>'raw data Crude oil'!I19</f>
        <v>57.29</v>
      </c>
      <c r="J18">
        <f>'raw data Crude oil'!J19</f>
        <v>57.28</v>
      </c>
      <c r="K18">
        <f>'raw data Crude oil'!K19</f>
        <v>57.26</v>
      </c>
      <c r="L18">
        <f>'raw data Crude oil'!L19</f>
        <v>57.23</v>
      </c>
      <c r="M18">
        <f>'raw data Crude oil'!M19</f>
        <v>57.19</v>
      </c>
      <c r="N18">
        <f>'raw data Crude oil'!N19</f>
        <v>53.18</v>
      </c>
      <c r="O18">
        <f>'raw data Crude oil'!O19</f>
        <v>53.86</v>
      </c>
      <c r="P18">
        <f>'raw data Crude oil'!P19</f>
        <v>54.46</v>
      </c>
      <c r="Q18">
        <f>'raw data Crude oil'!Q19</f>
        <v>54.96</v>
      </c>
      <c r="R18">
        <f>'raw data Crude oil'!R19</f>
        <v>55.33</v>
      </c>
      <c r="S18">
        <f>'raw data Crude oil'!S19</f>
        <v>55.54</v>
      </c>
      <c r="T18">
        <f>'raw data Crude oil'!T19</f>
        <v>55.67</v>
      </c>
      <c r="U18">
        <f>'raw data Crude oil'!U19</f>
        <v>55.76</v>
      </c>
      <c r="V18">
        <f>'raw data Crude oil'!V19</f>
        <v>55.82</v>
      </c>
      <c r="W18">
        <f>'raw data Crude oil'!W19</f>
        <v>55.88</v>
      </c>
      <c r="X18">
        <f>'raw data Crude oil'!X19</f>
        <v>55.89</v>
      </c>
      <c r="Y18">
        <f>'raw data Crude oil'!Y19</f>
        <v>55.9</v>
      </c>
      <c r="Z18">
        <f>'raw data Crude oil'!Z19</f>
        <v>0</v>
      </c>
      <c r="AA18">
        <f>'raw data Crude oil'!AA19</f>
        <v>0</v>
      </c>
      <c r="AB18">
        <f>'raw data Crude oil'!AB19</f>
        <v>0</v>
      </c>
      <c r="AC18">
        <f>'raw data Crude oil'!AC19</f>
        <v>0</v>
      </c>
      <c r="AD18">
        <f>'raw data Crude oil'!AD19</f>
        <v>0</v>
      </c>
      <c r="AE18">
        <f>'raw data Crude oil'!AE19</f>
        <v>0</v>
      </c>
      <c r="AF18">
        <f>'raw data Crude oil'!AF19</f>
        <v>0</v>
      </c>
      <c r="AG18">
        <f>'raw data Crude oil'!AG19</f>
        <v>0</v>
      </c>
      <c r="AH18">
        <f>'raw data Crude oil'!AH19</f>
        <v>0</v>
      </c>
      <c r="AI18">
        <f>'raw data Crude oil'!AI19</f>
        <v>0</v>
      </c>
      <c r="AJ18">
        <f>'raw data Crude oil'!AJ19</f>
        <v>0</v>
      </c>
      <c r="AK18">
        <f>'raw data Crude oil'!AK19</f>
        <v>0</v>
      </c>
    </row>
    <row r="19" spans="1:37" x14ac:dyDescent="0.3">
      <c r="A19" s="18">
        <f>'raw data Crude oil'!A20</f>
        <v>42760</v>
      </c>
      <c r="B19">
        <f>'raw data Crude oil'!B20</f>
        <v>55.08</v>
      </c>
      <c r="C19">
        <f>'raw data Crude oil'!C20</f>
        <v>55.42</v>
      </c>
      <c r="D19">
        <f>'raw data Crude oil'!D20</f>
        <v>55.83</v>
      </c>
      <c r="E19">
        <f>'raw data Crude oil'!E20</f>
        <v>56.22</v>
      </c>
      <c r="F19">
        <f>'raw data Crude oil'!F20</f>
        <v>56.49</v>
      </c>
      <c r="G19">
        <f>'raw data Crude oil'!G20</f>
        <v>56.67</v>
      </c>
      <c r="H19">
        <f>'raw data Crude oil'!H20</f>
        <v>56.74</v>
      </c>
      <c r="I19">
        <f>'raw data Crude oil'!I20</f>
        <v>56.74</v>
      </c>
      <c r="J19">
        <f>'raw data Crude oil'!J20</f>
        <v>56.72</v>
      </c>
      <c r="K19">
        <f>'raw data Crude oil'!K20</f>
        <v>56.7</v>
      </c>
      <c r="L19">
        <f>'raw data Crude oil'!L20</f>
        <v>56.67</v>
      </c>
      <c r="M19">
        <f>'raw data Crude oil'!M20</f>
        <v>56.63</v>
      </c>
      <c r="N19">
        <f>'raw data Crude oil'!N20</f>
        <v>52.75</v>
      </c>
      <c r="O19">
        <f>'raw data Crude oil'!O20</f>
        <v>53.39</v>
      </c>
      <c r="P19">
        <f>'raw data Crude oil'!P20</f>
        <v>53.95</v>
      </c>
      <c r="Q19">
        <f>'raw data Crude oil'!Q20</f>
        <v>54.43</v>
      </c>
      <c r="R19">
        <f>'raw data Crude oil'!R20</f>
        <v>54.79</v>
      </c>
      <c r="S19">
        <f>'raw data Crude oil'!S20</f>
        <v>55.02</v>
      </c>
      <c r="T19">
        <f>'raw data Crude oil'!T20</f>
        <v>55.17</v>
      </c>
      <c r="U19">
        <f>'raw data Crude oil'!U20</f>
        <v>55.27</v>
      </c>
      <c r="V19">
        <f>'raw data Crude oil'!V20</f>
        <v>55.35</v>
      </c>
      <c r="W19">
        <f>'raw data Crude oil'!W20</f>
        <v>55.42</v>
      </c>
      <c r="X19">
        <f>'raw data Crude oil'!X20</f>
        <v>55.45</v>
      </c>
      <c r="Y19">
        <f>'raw data Crude oil'!Y20</f>
        <v>55.47</v>
      </c>
      <c r="Z19">
        <f>'raw data Crude oil'!Z20</f>
        <v>0</v>
      </c>
      <c r="AA19">
        <f>'raw data Crude oil'!AA20</f>
        <v>0</v>
      </c>
      <c r="AB19">
        <f>'raw data Crude oil'!AB20</f>
        <v>0</v>
      </c>
      <c r="AC19">
        <f>'raw data Crude oil'!AC20</f>
        <v>0</v>
      </c>
      <c r="AD19">
        <f>'raw data Crude oil'!AD20</f>
        <v>0</v>
      </c>
      <c r="AE19">
        <f>'raw data Crude oil'!AE20</f>
        <v>0</v>
      </c>
      <c r="AF19">
        <f>'raw data Crude oil'!AF20</f>
        <v>0</v>
      </c>
      <c r="AG19">
        <f>'raw data Crude oil'!AG20</f>
        <v>0</v>
      </c>
      <c r="AH19">
        <f>'raw data Crude oil'!AH20</f>
        <v>0</v>
      </c>
      <c r="AI19">
        <f>'raw data Crude oil'!AI20</f>
        <v>0</v>
      </c>
      <c r="AJ19">
        <f>'raw data Crude oil'!AJ20</f>
        <v>0</v>
      </c>
      <c r="AK19">
        <f>'raw data Crude oil'!AK20</f>
        <v>0</v>
      </c>
    </row>
    <row r="20" spans="1:37" x14ac:dyDescent="0.3">
      <c r="A20" s="18">
        <f>'raw data Crude oil'!A21</f>
        <v>42761</v>
      </c>
      <c r="B20">
        <f>'raw data Crude oil'!B21</f>
        <v>56.24</v>
      </c>
      <c r="C20">
        <f>'raw data Crude oil'!C21</f>
        <v>56.49</v>
      </c>
      <c r="D20">
        <f>'raw data Crude oil'!D21</f>
        <v>56.87</v>
      </c>
      <c r="E20">
        <f>'raw data Crude oil'!E21</f>
        <v>57.21</v>
      </c>
      <c r="F20">
        <f>'raw data Crude oil'!F21</f>
        <v>57.43</v>
      </c>
      <c r="G20">
        <f>'raw data Crude oil'!G21</f>
        <v>57.55</v>
      </c>
      <c r="H20">
        <f>'raw data Crude oil'!H21</f>
        <v>57.58</v>
      </c>
      <c r="I20">
        <f>'raw data Crude oil'!I21</f>
        <v>57.55</v>
      </c>
      <c r="J20">
        <f>'raw data Crude oil'!J21</f>
        <v>57.51</v>
      </c>
      <c r="K20">
        <f>'raw data Crude oil'!K21</f>
        <v>57.47</v>
      </c>
      <c r="L20">
        <f>'raw data Crude oil'!L21</f>
        <v>57.41</v>
      </c>
      <c r="M20">
        <f>'raw data Crude oil'!M21</f>
        <v>57.36</v>
      </c>
      <c r="N20">
        <f>'raw data Crude oil'!N21</f>
        <v>53.78</v>
      </c>
      <c r="O20">
        <f>'raw data Crude oil'!O21</f>
        <v>54.38</v>
      </c>
      <c r="P20">
        <f>'raw data Crude oil'!P21</f>
        <v>54.9</v>
      </c>
      <c r="Q20">
        <f>'raw data Crude oil'!Q21</f>
        <v>55.34</v>
      </c>
      <c r="R20">
        <f>'raw data Crude oil'!R21</f>
        <v>55.65</v>
      </c>
      <c r="S20">
        <f>'raw data Crude oil'!S21</f>
        <v>55.85</v>
      </c>
      <c r="T20">
        <f>'raw data Crude oil'!T21</f>
        <v>56</v>
      </c>
      <c r="U20">
        <f>'raw data Crude oil'!U21</f>
        <v>56.09</v>
      </c>
      <c r="V20">
        <f>'raw data Crude oil'!V21</f>
        <v>56.16</v>
      </c>
      <c r="W20">
        <f>'raw data Crude oil'!W21</f>
        <v>56.22</v>
      </c>
      <c r="X20">
        <f>'raw data Crude oil'!X21</f>
        <v>56.24</v>
      </c>
      <c r="Y20">
        <f>'raw data Crude oil'!Y21</f>
        <v>56.26</v>
      </c>
      <c r="Z20">
        <f>'raw data Crude oil'!Z21</f>
        <v>0</v>
      </c>
      <c r="AA20">
        <f>'raw data Crude oil'!AA21</f>
        <v>0</v>
      </c>
      <c r="AB20">
        <f>'raw data Crude oil'!AB21</f>
        <v>0</v>
      </c>
      <c r="AC20">
        <f>'raw data Crude oil'!AC21</f>
        <v>0</v>
      </c>
      <c r="AD20">
        <f>'raw data Crude oil'!AD21</f>
        <v>0</v>
      </c>
      <c r="AE20">
        <f>'raw data Crude oil'!AE21</f>
        <v>0</v>
      </c>
      <c r="AF20">
        <f>'raw data Crude oil'!AF21</f>
        <v>0</v>
      </c>
      <c r="AG20">
        <f>'raw data Crude oil'!AG21</f>
        <v>0</v>
      </c>
      <c r="AH20">
        <f>'raw data Crude oil'!AH21</f>
        <v>0</v>
      </c>
      <c r="AI20">
        <f>'raw data Crude oil'!AI21</f>
        <v>0</v>
      </c>
      <c r="AJ20">
        <f>'raw data Crude oil'!AJ21</f>
        <v>0</v>
      </c>
      <c r="AK20">
        <f>'raw data Crude oil'!AK21</f>
        <v>0</v>
      </c>
    </row>
    <row r="21" spans="1:37" x14ac:dyDescent="0.3">
      <c r="A21" s="18">
        <f>'raw data Crude oil'!A22</f>
        <v>42762</v>
      </c>
      <c r="B21">
        <f>'raw data Crude oil'!B22</f>
        <v>55.52</v>
      </c>
      <c r="C21">
        <f>'raw data Crude oil'!C22</f>
        <v>55.7</v>
      </c>
      <c r="D21">
        <f>'raw data Crude oil'!D22</f>
        <v>56.05</v>
      </c>
      <c r="E21">
        <f>'raw data Crude oil'!E22</f>
        <v>56.36</v>
      </c>
      <c r="F21">
        <f>'raw data Crude oil'!F22</f>
        <v>56.55</v>
      </c>
      <c r="G21">
        <f>'raw data Crude oil'!G22</f>
        <v>56.64</v>
      </c>
      <c r="H21">
        <f>'raw data Crude oil'!H22</f>
        <v>56.65</v>
      </c>
      <c r="I21">
        <f>'raw data Crude oil'!I22</f>
        <v>56.61</v>
      </c>
      <c r="J21">
        <f>'raw data Crude oil'!J22</f>
        <v>56.57</v>
      </c>
      <c r="K21">
        <f>'raw data Crude oil'!K22</f>
        <v>56.53</v>
      </c>
      <c r="L21">
        <f>'raw data Crude oil'!L22</f>
        <v>56.47</v>
      </c>
      <c r="M21">
        <f>'raw data Crude oil'!M22</f>
        <v>56.41</v>
      </c>
      <c r="N21">
        <f>'raw data Crude oil'!N22</f>
        <v>53.17</v>
      </c>
      <c r="O21">
        <f>'raw data Crude oil'!O22</f>
        <v>53.75</v>
      </c>
      <c r="P21">
        <f>'raw data Crude oil'!P22</f>
        <v>54.25</v>
      </c>
      <c r="Q21">
        <f>'raw data Crude oil'!Q22</f>
        <v>54.67</v>
      </c>
      <c r="R21">
        <f>'raw data Crude oil'!R22</f>
        <v>54.97</v>
      </c>
      <c r="S21">
        <f>'raw data Crude oil'!S22</f>
        <v>55.15</v>
      </c>
      <c r="T21">
        <f>'raw data Crude oil'!T22</f>
        <v>55.28</v>
      </c>
      <c r="U21">
        <f>'raw data Crude oil'!U22</f>
        <v>55.36</v>
      </c>
      <c r="V21">
        <f>'raw data Crude oil'!V22</f>
        <v>55.43</v>
      </c>
      <c r="W21">
        <f>'raw data Crude oil'!W22</f>
        <v>55.49</v>
      </c>
      <c r="X21">
        <f>'raw data Crude oil'!X22</f>
        <v>55.53</v>
      </c>
      <c r="Y21">
        <f>'raw data Crude oil'!Y22</f>
        <v>55.56</v>
      </c>
      <c r="Z21">
        <f>'raw data Crude oil'!Z22</f>
        <v>0</v>
      </c>
      <c r="AA21">
        <f>'raw data Crude oil'!AA22</f>
        <v>0</v>
      </c>
      <c r="AB21">
        <f>'raw data Crude oil'!AB22</f>
        <v>0</v>
      </c>
      <c r="AC21">
        <f>'raw data Crude oil'!AC22</f>
        <v>0</v>
      </c>
      <c r="AD21">
        <f>'raw data Crude oil'!AD22</f>
        <v>0</v>
      </c>
      <c r="AE21">
        <f>'raw data Crude oil'!AE22</f>
        <v>0</v>
      </c>
      <c r="AF21">
        <f>'raw data Crude oil'!AF22</f>
        <v>0</v>
      </c>
      <c r="AG21">
        <f>'raw data Crude oil'!AG22</f>
        <v>0</v>
      </c>
      <c r="AH21">
        <f>'raw data Crude oil'!AH22</f>
        <v>0</v>
      </c>
      <c r="AI21">
        <f>'raw data Crude oil'!AI22</f>
        <v>0</v>
      </c>
      <c r="AJ21">
        <f>'raw data Crude oil'!AJ22</f>
        <v>0</v>
      </c>
      <c r="AK21">
        <f>'raw data Crude oil'!AK22</f>
        <v>0</v>
      </c>
    </row>
    <row r="22" spans="1:37" x14ac:dyDescent="0.3">
      <c r="A22" s="18">
        <f>'raw data Crude oil'!A23</f>
        <v>42765</v>
      </c>
      <c r="B22">
        <f>'raw data Crude oil'!B23</f>
        <v>55.23</v>
      </c>
      <c r="C22">
        <f>'raw data Crude oil'!C23</f>
        <v>55.32</v>
      </c>
      <c r="D22">
        <f>'raw data Crude oil'!D23</f>
        <v>55.69</v>
      </c>
      <c r="E22">
        <f>'raw data Crude oil'!E23</f>
        <v>56.02</v>
      </c>
      <c r="F22">
        <f>'raw data Crude oil'!F23</f>
        <v>56.25</v>
      </c>
      <c r="G22">
        <f>'raw data Crude oil'!G23</f>
        <v>56.38</v>
      </c>
      <c r="H22">
        <f>'raw data Crude oil'!H23</f>
        <v>56.41</v>
      </c>
      <c r="I22">
        <f>'raw data Crude oil'!I23</f>
        <v>56.39</v>
      </c>
      <c r="J22">
        <f>'raw data Crude oil'!J23</f>
        <v>56.35</v>
      </c>
      <c r="K22">
        <f>'raw data Crude oil'!K23</f>
        <v>56.32</v>
      </c>
      <c r="L22">
        <f>'raw data Crude oil'!L23</f>
        <v>56.27</v>
      </c>
      <c r="M22">
        <f>'raw data Crude oil'!M23</f>
        <v>56.22</v>
      </c>
      <c r="N22">
        <f>'raw data Crude oil'!N23</f>
        <v>52.63</v>
      </c>
      <c r="O22">
        <f>'raw data Crude oil'!O23</f>
        <v>53.24</v>
      </c>
      <c r="P22">
        <f>'raw data Crude oil'!P23</f>
        <v>53.78</v>
      </c>
      <c r="Q22">
        <f>'raw data Crude oil'!Q23</f>
        <v>54.24</v>
      </c>
      <c r="R22">
        <f>'raw data Crude oil'!R23</f>
        <v>54.57</v>
      </c>
      <c r="S22">
        <f>'raw data Crude oil'!S23</f>
        <v>54.78</v>
      </c>
      <c r="T22">
        <f>'raw data Crude oil'!T23</f>
        <v>54.93</v>
      </c>
      <c r="U22">
        <f>'raw data Crude oil'!U23</f>
        <v>55.04</v>
      </c>
      <c r="V22">
        <f>'raw data Crude oil'!V23</f>
        <v>55.13</v>
      </c>
      <c r="W22">
        <f>'raw data Crude oil'!W23</f>
        <v>55.21</v>
      </c>
      <c r="X22">
        <f>'raw data Crude oil'!X23</f>
        <v>55.27</v>
      </c>
      <c r="Y22">
        <f>'raw data Crude oil'!Y23</f>
        <v>55.32</v>
      </c>
      <c r="Z22">
        <f>'raw data Crude oil'!Z23</f>
        <v>0</v>
      </c>
      <c r="AA22">
        <f>'raw data Crude oil'!AA23</f>
        <v>0</v>
      </c>
      <c r="AB22">
        <f>'raw data Crude oil'!AB23</f>
        <v>0</v>
      </c>
      <c r="AC22">
        <f>'raw data Crude oil'!AC23</f>
        <v>0</v>
      </c>
      <c r="AD22">
        <f>'raw data Crude oil'!AD23</f>
        <v>0</v>
      </c>
      <c r="AE22">
        <f>'raw data Crude oil'!AE23</f>
        <v>0</v>
      </c>
      <c r="AF22">
        <f>'raw data Crude oil'!AF23</f>
        <v>0</v>
      </c>
      <c r="AG22">
        <f>'raw data Crude oil'!AG23</f>
        <v>0</v>
      </c>
      <c r="AH22">
        <f>'raw data Crude oil'!AH23</f>
        <v>0</v>
      </c>
      <c r="AI22">
        <f>'raw data Crude oil'!AI23</f>
        <v>0</v>
      </c>
      <c r="AJ22">
        <f>'raw data Crude oil'!AJ23</f>
        <v>0</v>
      </c>
      <c r="AK22">
        <f>'raw data Crude oil'!AK23</f>
        <v>0</v>
      </c>
    </row>
    <row r="23" spans="1:37" x14ac:dyDescent="0.3">
      <c r="A23" s="18">
        <f>'raw data Crude oil'!A24</f>
        <v>42766</v>
      </c>
      <c r="B23">
        <f>'raw data Crude oil'!B24</f>
        <v>55.7</v>
      </c>
      <c r="C23">
        <f>'raw data Crude oil'!C24</f>
        <v>55.58</v>
      </c>
      <c r="D23">
        <f>'raw data Crude oil'!D24</f>
        <v>55.91</v>
      </c>
      <c r="E23">
        <f>'raw data Crude oil'!E24</f>
        <v>56.21</v>
      </c>
      <c r="F23">
        <f>'raw data Crude oil'!F24</f>
        <v>56.42</v>
      </c>
      <c r="G23">
        <f>'raw data Crude oil'!G24</f>
        <v>56.54</v>
      </c>
      <c r="H23">
        <f>'raw data Crude oil'!H24</f>
        <v>56.58</v>
      </c>
      <c r="I23">
        <f>'raw data Crude oil'!I24</f>
        <v>56.57</v>
      </c>
      <c r="J23">
        <f>'raw data Crude oil'!J24</f>
        <v>56.54</v>
      </c>
      <c r="K23">
        <f>'raw data Crude oil'!K24</f>
        <v>56.51</v>
      </c>
      <c r="L23">
        <f>'raw data Crude oil'!L24</f>
        <v>56.48</v>
      </c>
      <c r="M23">
        <f>'raw data Crude oil'!M24</f>
        <v>56.43</v>
      </c>
      <c r="N23">
        <f>'raw data Crude oil'!N24</f>
        <v>52.81</v>
      </c>
      <c r="O23">
        <f>'raw data Crude oil'!O24</f>
        <v>53.42</v>
      </c>
      <c r="P23">
        <f>'raw data Crude oil'!P24</f>
        <v>53.94</v>
      </c>
      <c r="Q23">
        <f>'raw data Crude oil'!Q24</f>
        <v>54.38</v>
      </c>
      <c r="R23">
        <f>'raw data Crude oil'!R24</f>
        <v>54.7</v>
      </c>
      <c r="S23">
        <f>'raw data Crude oil'!S24</f>
        <v>54.9</v>
      </c>
      <c r="T23">
        <f>'raw data Crude oil'!T24</f>
        <v>55.05</v>
      </c>
      <c r="U23">
        <f>'raw data Crude oil'!U24</f>
        <v>55.16</v>
      </c>
      <c r="V23">
        <f>'raw data Crude oil'!V24</f>
        <v>55.25</v>
      </c>
      <c r="W23">
        <f>'raw data Crude oil'!W24</f>
        <v>55.33</v>
      </c>
      <c r="X23">
        <f>'raw data Crude oil'!X24</f>
        <v>55.38</v>
      </c>
      <c r="Y23">
        <f>'raw data Crude oil'!Y24</f>
        <v>55.42</v>
      </c>
      <c r="Z23">
        <f>'raw data Crude oil'!Z24</f>
        <v>0</v>
      </c>
      <c r="AA23">
        <f>'raw data Crude oil'!AA24</f>
        <v>0</v>
      </c>
      <c r="AB23">
        <f>'raw data Crude oil'!AB24</f>
        <v>0</v>
      </c>
      <c r="AC23">
        <f>'raw data Crude oil'!AC24</f>
        <v>0</v>
      </c>
      <c r="AD23">
        <f>'raw data Crude oil'!AD24</f>
        <v>0</v>
      </c>
      <c r="AE23">
        <f>'raw data Crude oil'!AE24</f>
        <v>0</v>
      </c>
      <c r="AF23">
        <f>'raw data Crude oil'!AF24</f>
        <v>0</v>
      </c>
      <c r="AG23">
        <f>'raw data Crude oil'!AG24</f>
        <v>0</v>
      </c>
      <c r="AH23">
        <f>'raw data Crude oil'!AH24</f>
        <v>0</v>
      </c>
      <c r="AI23">
        <f>'raw data Crude oil'!AI24</f>
        <v>0</v>
      </c>
      <c r="AJ23">
        <f>'raw data Crude oil'!AJ24</f>
        <v>0</v>
      </c>
      <c r="AK23">
        <f>'raw data Crude oil'!AK24</f>
        <v>0</v>
      </c>
    </row>
    <row r="24" spans="1:37" x14ac:dyDescent="0.3">
      <c r="A24" s="18">
        <f>'raw data Crude oil'!A25</f>
        <v>42767</v>
      </c>
      <c r="B24">
        <f>'raw data Crude oil'!B25</f>
        <v>56.8</v>
      </c>
      <c r="C24">
        <f>'raw data Crude oil'!C25</f>
        <v>57.12</v>
      </c>
      <c r="D24">
        <f>'raw data Crude oil'!D25</f>
        <v>57.4</v>
      </c>
      <c r="E24">
        <f>'raw data Crude oil'!E25</f>
        <v>57.59</v>
      </c>
      <c r="F24">
        <f>'raw data Crude oil'!F25</f>
        <v>57.69</v>
      </c>
      <c r="G24">
        <f>'raw data Crude oil'!G25</f>
        <v>57.72</v>
      </c>
      <c r="H24">
        <f>'raw data Crude oil'!H25</f>
        <v>57.69</v>
      </c>
      <c r="I24">
        <f>'raw data Crude oil'!I25</f>
        <v>57.65</v>
      </c>
      <c r="J24">
        <f>'raw data Crude oil'!J25</f>
        <v>57.61</v>
      </c>
      <c r="K24">
        <f>'raw data Crude oil'!K25</f>
        <v>57.57</v>
      </c>
      <c r="L24">
        <f>'raw data Crude oil'!L25</f>
        <v>57.52</v>
      </c>
      <c r="M24">
        <f>'raw data Crude oil'!M25</f>
        <v>57.47</v>
      </c>
      <c r="N24">
        <f>'raw data Crude oil'!N25</f>
        <v>53.88</v>
      </c>
      <c r="O24">
        <f>'raw data Crude oil'!O25</f>
        <v>54.49</v>
      </c>
      <c r="P24">
        <f>'raw data Crude oil'!P25</f>
        <v>54.99</v>
      </c>
      <c r="Q24">
        <f>'raw data Crude oil'!Q25</f>
        <v>55.41</v>
      </c>
      <c r="R24">
        <f>'raw data Crude oil'!R25</f>
        <v>55.69</v>
      </c>
      <c r="S24">
        <f>'raw data Crude oil'!S25</f>
        <v>55.85</v>
      </c>
      <c r="T24">
        <f>'raw data Crude oil'!T25</f>
        <v>55.95</v>
      </c>
      <c r="U24">
        <f>'raw data Crude oil'!U25</f>
        <v>56.02</v>
      </c>
      <c r="V24">
        <f>'raw data Crude oil'!V25</f>
        <v>56.09</v>
      </c>
      <c r="W24">
        <f>'raw data Crude oil'!W25</f>
        <v>56.15</v>
      </c>
      <c r="X24">
        <f>'raw data Crude oil'!X25</f>
        <v>56.18</v>
      </c>
      <c r="Y24">
        <f>'raw data Crude oil'!Y25</f>
        <v>56.2</v>
      </c>
      <c r="Z24">
        <f>'raw data Crude oil'!Z25</f>
        <v>0</v>
      </c>
      <c r="AA24">
        <f>'raw data Crude oil'!AA25</f>
        <v>0</v>
      </c>
      <c r="AB24">
        <f>'raw data Crude oil'!AB25</f>
        <v>0</v>
      </c>
      <c r="AC24">
        <f>'raw data Crude oil'!AC25</f>
        <v>0</v>
      </c>
      <c r="AD24">
        <f>'raw data Crude oil'!AD25</f>
        <v>0</v>
      </c>
      <c r="AE24">
        <f>'raw data Crude oil'!AE25</f>
        <v>0</v>
      </c>
      <c r="AF24">
        <f>'raw data Crude oil'!AF25</f>
        <v>0</v>
      </c>
      <c r="AG24">
        <f>'raw data Crude oil'!AG25</f>
        <v>0</v>
      </c>
      <c r="AH24">
        <f>'raw data Crude oil'!AH25</f>
        <v>0</v>
      </c>
      <c r="AI24">
        <f>'raw data Crude oil'!AI25</f>
        <v>0</v>
      </c>
      <c r="AJ24">
        <f>'raw data Crude oil'!AJ25</f>
        <v>0</v>
      </c>
      <c r="AK24">
        <f>'raw data Crude oil'!AK25</f>
        <v>0</v>
      </c>
    </row>
    <row r="25" spans="1:37" x14ac:dyDescent="0.3">
      <c r="A25" s="18">
        <f>'raw data Crude oil'!A26</f>
        <v>42768</v>
      </c>
      <c r="B25">
        <f>'raw data Crude oil'!B26</f>
        <v>56.56</v>
      </c>
      <c r="C25">
        <f>'raw data Crude oil'!C26</f>
        <v>56.85</v>
      </c>
      <c r="D25">
        <f>'raw data Crude oil'!D26</f>
        <v>57.11</v>
      </c>
      <c r="E25">
        <f>'raw data Crude oil'!E26</f>
        <v>57.28</v>
      </c>
      <c r="F25">
        <f>'raw data Crude oil'!F26</f>
        <v>57.37</v>
      </c>
      <c r="G25">
        <f>'raw data Crude oil'!G26</f>
        <v>57.4</v>
      </c>
      <c r="H25">
        <f>'raw data Crude oil'!H26</f>
        <v>57.38</v>
      </c>
      <c r="I25">
        <f>'raw data Crude oil'!I26</f>
        <v>57.34</v>
      </c>
      <c r="J25">
        <f>'raw data Crude oil'!J26</f>
        <v>57.31</v>
      </c>
      <c r="K25">
        <f>'raw data Crude oil'!K26</f>
        <v>57.26</v>
      </c>
      <c r="L25">
        <f>'raw data Crude oil'!L26</f>
        <v>57.2</v>
      </c>
      <c r="M25">
        <f>'raw data Crude oil'!M26</f>
        <v>57.14</v>
      </c>
      <c r="N25">
        <f>'raw data Crude oil'!N26</f>
        <v>53.54</v>
      </c>
      <c r="O25">
        <f>'raw data Crude oil'!O26</f>
        <v>54.17</v>
      </c>
      <c r="P25">
        <f>'raw data Crude oil'!P26</f>
        <v>54.67</v>
      </c>
      <c r="Q25">
        <f>'raw data Crude oil'!Q26</f>
        <v>55.09</v>
      </c>
      <c r="R25">
        <f>'raw data Crude oil'!R26</f>
        <v>55.39</v>
      </c>
      <c r="S25">
        <f>'raw data Crude oil'!S26</f>
        <v>55.57</v>
      </c>
      <c r="T25">
        <f>'raw data Crude oil'!T26</f>
        <v>55.69</v>
      </c>
      <c r="U25">
        <f>'raw data Crude oil'!U26</f>
        <v>55.77</v>
      </c>
      <c r="V25">
        <f>'raw data Crude oil'!V26</f>
        <v>55.84</v>
      </c>
      <c r="W25">
        <f>'raw data Crude oil'!W26</f>
        <v>55.9</v>
      </c>
      <c r="X25">
        <f>'raw data Crude oil'!X26</f>
        <v>55.94</v>
      </c>
      <c r="Y25">
        <f>'raw data Crude oil'!Y26</f>
        <v>55.97</v>
      </c>
      <c r="Z25">
        <f>'raw data Crude oil'!Z26</f>
        <v>0</v>
      </c>
      <c r="AA25">
        <f>'raw data Crude oil'!AA26</f>
        <v>0</v>
      </c>
      <c r="AB25">
        <f>'raw data Crude oil'!AB26</f>
        <v>0</v>
      </c>
      <c r="AC25">
        <f>'raw data Crude oil'!AC26</f>
        <v>0</v>
      </c>
      <c r="AD25">
        <f>'raw data Crude oil'!AD26</f>
        <v>0</v>
      </c>
      <c r="AE25">
        <f>'raw data Crude oil'!AE26</f>
        <v>0</v>
      </c>
      <c r="AF25">
        <f>'raw data Crude oil'!AF26</f>
        <v>0</v>
      </c>
      <c r="AG25">
        <f>'raw data Crude oil'!AG26</f>
        <v>0</v>
      </c>
      <c r="AH25">
        <f>'raw data Crude oil'!AH26</f>
        <v>0</v>
      </c>
      <c r="AI25">
        <f>'raw data Crude oil'!AI26</f>
        <v>0</v>
      </c>
      <c r="AJ25">
        <f>'raw data Crude oil'!AJ26</f>
        <v>0</v>
      </c>
      <c r="AK25">
        <f>'raw data Crude oil'!AK26</f>
        <v>0</v>
      </c>
    </row>
    <row r="26" spans="1:37" x14ac:dyDescent="0.3">
      <c r="A26" s="18">
        <f>'raw data Crude oil'!A27</f>
        <v>42769</v>
      </c>
      <c r="B26">
        <f>'raw data Crude oil'!B27</f>
        <v>56.81</v>
      </c>
      <c r="C26">
        <f>'raw data Crude oil'!C27</f>
        <v>57.15</v>
      </c>
      <c r="D26">
        <f>'raw data Crude oil'!D27</f>
        <v>57.44</v>
      </c>
      <c r="E26">
        <f>'raw data Crude oil'!E27</f>
        <v>57.62</v>
      </c>
      <c r="F26">
        <f>'raw data Crude oil'!F27</f>
        <v>57.71</v>
      </c>
      <c r="G26">
        <f>'raw data Crude oil'!G27</f>
        <v>57.73</v>
      </c>
      <c r="H26">
        <f>'raw data Crude oil'!H27</f>
        <v>57.71</v>
      </c>
      <c r="I26">
        <f>'raw data Crude oil'!I27</f>
        <v>57.67</v>
      </c>
      <c r="J26">
        <f>'raw data Crude oil'!J27</f>
        <v>57.64</v>
      </c>
      <c r="K26">
        <f>'raw data Crude oil'!K27</f>
        <v>57.59</v>
      </c>
      <c r="L26">
        <f>'raw data Crude oil'!L27</f>
        <v>57.52</v>
      </c>
      <c r="M26">
        <f>'raw data Crude oil'!M27</f>
        <v>57.45</v>
      </c>
      <c r="N26">
        <f>'raw data Crude oil'!N27</f>
        <v>53.83</v>
      </c>
      <c r="O26">
        <f>'raw data Crude oil'!O27</f>
        <v>54.47</v>
      </c>
      <c r="P26">
        <f>'raw data Crude oil'!P27</f>
        <v>54.99</v>
      </c>
      <c r="Q26">
        <f>'raw data Crude oil'!Q27</f>
        <v>55.41</v>
      </c>
      <c r="R26">
        <f>'raw data Crude oil'!R27</f>
        <v>55.72</v>
      </c>
      <c r="S26">
        <f>'raw data Crude oil'!S27</f>
        <v>55.91</v>
      </c>
      <c r="T26">
        <f>'raw data Crude oil'!T27</f>
        <v>56.04</v>
      </c>
      <c r="U26">
        <f>'raw data Crude oil'!U27</f>
        <v>56.13</v>
      </c>
      <c r="V26">
        <f>'raw data Crude oil'!V27</f>
        <v>56.21</v>
      </c>
      <c r="W26">
        <f>'raw data Crude oil'!W27</f>
        <v>56.27</v>
      </c>
      <c r="X26">
        <f>'raw data Crude oil'!X27</f>
        <v>56.31</v>
      </c>
      <c r="Y26">
        <f>'raw data Crude oil'!Y27</f>
        <v>56.34</v>
      </c>
      <c r="Z26">
        <f>'raw data Crude oil'!Z27</f>
        <v>0</v>
      </c>
      <c r="AA26">
        <f>'raw data Crude oil'!AA27</f>
        <v>0</v>
      </c>
      <c r="AB26">
        <f>'raw data Crude oil'!AB27</f>
        <v>0</v>
      </c>
      <c r="AC26">
        <f>'raw data Crude oil'!AC27</f>
        <v>0</v>
      </c>
      <c r="AD26">
        <f>'raw data Crude oil'!AD27</f>
        <v>0</v>
      </c>
      <c r="AE26">
        <f>'raw data Crude oil'!AE27</f>
        <v>0</v>
      </c>
      <c r="AF26">
        <f>'raw data Crude oil'!AF27</f>
        <v>0</v>
      </c>
      <c r="AG26">
        <f>'raw data Crude oil'!AG27</f>
        <v>0</v>
      </c>
      <c r="AH26">
        <f>'raw data Crude oil'!AH27</f>
        <v>0</v>
      </c>
      <c r="AI26">
        <f>'raw data Crude oil'!AI27</f>
        <v>0</v>
      </c>
      <c r="AJ26">
        <f>'raw data Crude oil'!AJ27</f>
        <v>0</v>
      </c>
      <c r="AK26">
        <f>'raw data Crude oil'!AK27</f>
        <v>0</v>
      </c>
    </row>
    <row r="27" spans="1:37" x14ac:dyDescent="0.3">
      <c r="A27" s="18">
        <f>'raw data Crude oil'!A28</f>
        <v>42772</v>
      </c>
      <c r="B27">
        <f>'raw data Crude oil'!B28</f>
        <v>55.72</v>
      </c>
      <c r="C27">
        <f>'raw data Crude oil'!C28</f>
        <v>56.1</v>
      </c>
      <c r="D27">
        <f>'raw data Crude oil'!D28</f>
        <v>56.44</v>
      </c>
      <c r="E27">
        <f>'raw data Crude oil'!E28</f>
        <v>56.68</v>
      </c>
      <c r="F27">
        <f>'raw data Crude oil'!F28</f>
        <v>56.81</v>
      </c>
      <c r="G27">
        <f>'raw data Crude oil'!G28</f>
        <v>56.86</v>
      </c>
      <c r="H27">
        <f>'raw data Crude oil'!H28</f>
        <v>56.85</v>
      </c>
      <c r="I27">
        <f>'raw data Crude oil'!I28</f>
        <v>56.83</v>
      </c>
      <c r="J27">
        <f>'raw data Crude oil'!J28</f>
        <v>56.81</v>
      </c>
      <c r="K27">
        <f>'raw data Crude oil'!K28</f>
        <v>56.77</v>
      </c>
      <c r="L27">
        <f>'raw data Crude oil'!L28</f>
        <v>56.71</v>
      </c>
      <c r="M27">
        <f>'raw data Crude oil'!M28</f>
        <v>56.65</v>
      </c>
      <c r="N27">
        <f>'raw data Crude oil'!N28</f>
        <v>53.01</v>
      </c>
      <c r="O27">
        <f>'raw data Crude oil'!O28</f>
        <v>53.63</v>
      </c>
      <c r="P27">
        <f>'raw data Crude oil'!P28</f>
        <v>54.16</v>
      </c>
      <c r="Q27">
        <f>'raw data Crude oil'!Q28</f>
        <v>54.6</v>
      </c>
      <c r="R27">
        <f>'raw data Crude oil'!R28</f>
        <v>54.93</v>
      </c>
      <c r="S27">
        <f>'raw data Crude oil'!S28</f>
        <v>55.14</v>
      </c>
      <c r="T27">
        <f>'raw data Crude oil'!T28</f>
        <v>55.28</v>
      </c>
      <c r="U27">
        <f>'raw data Crude oil'!U28</f>
        <v>55.38</v>
      </c>
      <c r="V27">
        <f>'raw data Crude oil'!V28</f>
        <v>55.47</v>
      </c>
      <c r="W27">
        <f>'raw data Crude oil'!W28</f>
        <v>55.55</v>
      </c>
      <c r="X27">
        <f>'raw data Crude oil'!X28</f>
        <v>55.6</v>
      </c>
      <c r="Y27">
        <f>'raw data Crude oil'!Y28</f>
        <v>55.65</v>
      </c>
      <c r="Z27">
        <f>'raw data Crude oil'!Z28</f>
        <v>0</v>
      </c>
      <c r="AA27">
        <f>'raw data Crude oil'!AA28</f>
        <v>0</v>
      </c>
      <c r="AB27">
        <f>'raw data Crude oil'!AB28</f>
        <v>0</v>
      </c>
      <c r="AC27">
        <f>'raw data Crude oil'!AC28</f>
        <v>0</v>
      </c>
      <c r="AD27">
        <f>'raw data Crude oil'!AD28</f>
        <v>0</v>
      </c>
      <c r="AE27">
        <f>'raw data Crude oil'!AE28</f>
        <v>0</v>
      </c>
      <c r="AF27">
        <f>'raw data Crude oil'!AF28</f>
        <v>0</v>
      </c>
      <c r="AG27">
        <f>'raw data Crude oil'!AG28</f>
        <v>0</v>
      </c>
      <c r="AH27">
        <f>'raw data Crude oil'!AH28</f>
        <v>0</v>
      </c>
      <c r="AI27">
        <f>'raw data Crude oil'!AI28</f>
        <v>0</v>
      </c>
      <c r="AJ27">
        <f>'raw data Crude oil'!AJ28</f>
        <v>0</v>
      </c>
      <c r="AK27">
        <f>'raw data Crude oil'!AK28</f>
        <v>0</v>
      </c>
    </row>
    <row r="28" spans="1:37" x14ac:dyDescent="0.3">
      <c r="A28" s="18">
        <f>'raw data Crude oil'!A29</f>
        <v>42773</v>
      </c>
      <c r="B28">
        <f>'raw data Crude oil'!B29</f>
        <v>55.05</v>
      </c>
      <c r="C28">
        <f>'raw data Crude oil'!C29</f>
        <v>55.33</v>
      </c>
      <c r="D28">
        <f>'raw data Crude oil'!D29</f>
        <v>55.62</v>
      </c>
      <c r="E28">
        <f>'raw data Crude oil'!E29</f>
        <v>55.84</v>
      </c>
      <c r="F28">
        <f>'raw data Crude oil'!F29</f>
        <v>55.98</v>
      </c>
      <c r="G28">
        <f>'raw data Crude oil'!G29</f>
        <v>56.04</v>
      </c>
      <c r="H28">
        <f>'raw data Crude oil'!H29</f>
        <v>56.05</v>
      </c>
      <c r="I28">
        <f>'raw data Crude oil'!I29</f>
        <v>56.05</v>
      </c>
      <c r="J28">
        <f>'raw data Crude oil'!J29</f>
        <v>56.04</v>
      </c>
      <c r="K28">
        <f>'raw data Crude oil'!K29</f>
        <v>56.02</v>
      </c>
      <c r="L28">
        <f>'raw data Crude oil'!L29</f>
        <v>55.98</v>
      </c>
      <c r="M28">
        <f>'raw data Crude oil'!M29</f>
        <v>55.94</v>
      </c>
      <c r="N28">
        <f>'raw data Crude oil'!N29</f>
        <v>52.17</v>
      </c>
      <c r="O28">
        <f>'raw data Crude oil'!O29</f>
        <v>52.78</v>
      </c>
      <c r="P28">
        <f>'raw data Crude oil'!P29</f>
        <v>53.3</v>
      </c>
      <c r="Q28">
        <f>'raw data Crude oil'!Q29</f>
        <v>53.72</v>
      </c>
      <c r="R28">
        <f>'raw data Crude oil'!R29</f>
        <v>54.04</v>
      </c>
      <c r="S28">
        <f>'raw data Crude oil'!S29</f>
        <v>54.24</v>
      </c>
      <c r="T28">
        <f>'raw data Crude oil'!T29</f>
        <v>54.38</v>
      </c>
      <c r="U28">
        <f>'raw data Crude oil'!U29</f>
        <v>54.48</v>
      </c>
      <c r="V28">
        <f>'raw data Crude oil'!V29</f>
        <v>54.58</v>
      </c>
      <c r="W28">
        <f>'raw data Crude oil'!W29</f>
        <v>54.66</v>
      </c>
      <c r="X28">
        <f>'raw data Crude oil'!X29</f>
        <v>54.72</v>
      </c>
      <c r="Y28">
        <f>'raw data Crude oil'!Y29</f>
        <v>54.77</v>
      </c>
      <c r="Z28">
        <f>'raw data Crude oil'!Z29</f>
        <v>0</v>
      </c>
      <c r="AA28">
        <f>'raw data Crude oil'!AA29</f>
        <v>0</v>
      </c>
      <c r="AB28">
        <f>'raw data Crude oil'!AB29</f>
        <v>0</v>
      </c>
      <c r="AC28">
        <f>'raw data Crude oil'!AC29</f>
        <v>0</v>
      </c>
      <c r="AD28">
        <f>'raw data Crude oil'!AD29</f>
        <v>0</v>
      </c>
      <c r="AE28">
        <f>'raw data Crude oil'!AE29</f>
        <v>0</v>
      </c>
      <c r="AF28">
        <f>'raw data Crude oil'!AF29</f>
        <v>0</v>
      </c>
      <c r="AG28">
        <f>'raw data Crude oil'!AG29</f>
        <v>0</v>
      </c>
      <c r="AH28">
        <f>'raw data Crude oil'!AH29</f>
        <v>0</v>
      </c>
      <c r="AI28">
        <f>'raw data Crude oil'!AI29</f>
        <v>0</v>
      </c>
      <c r="AJ28">
        <f>'raw data Crude oil'!AJ29</f>
        <v>0</v>
      </c>
      <c r="AK28">
        <f>'raw data Crude oil'!AK29</f>
        <v>0</v>
      </c>
    </row>
    <row r="29" spans="1:37" x14ac:dyDescent="0.3">
      <c r="A29" s="18">
        <f>'raw data Crude oil'!A30</f>
        <v>42774</v>
      </c>
      <c r="B29">
        <f>'raw data Crude oil'!B30</f>
        <v>55.12</v>
      </c>
      <c r="C29">
        <f>'raw data Crude oil'!C30</f>
        <v>55.47</v>
      </c>
      <c r="D29">
        <f>'raw data Crude oil'!D30</f>
        <v>55.79</v>
      </c>
      <c r="E29">
        <f>'raw data Crude oil'!E30</f>
        <v>56.04</v>
      </c>
      <c r="F29">
        <f>'raw data Crude oil'!F30</f>
        <v>56.19</v>
      </c>
      <c r="G29">
        <f>'raw data Crude oil'!G30</f>
        <v>56.25</v>
      </c>
      <c r="H29">
        <f>'raw data Crude oil'!H30</f>
        <v>56.26</v>
      </c>
      <c r="I29">
        <f>'raw data Crude oil'!I30</f>
        <v>56.25</v>
      </c>
      <c r="J29">
        <f>'raw data Crude oil'!J30</f>
        <v>56.24</v>
      </c>
      <c r="K29">
        <f>'raw data Crude oil'!K30</f>
        <v>56.22</v>
      </c>
      <c r="L29">
        <f>'raw data Crude oil'!L30</f>
        <v>56.19</v>
      </c>
      <c r="M29">
        <f>'raw data Crude oil'!M30</f>
        <v>56.16</v>
      </c>
      <c r="N29">
        <f>'raw data Crude oil'!N30</f>
        <v>52.34</v>
      </c>
      <c r="O29">
        <f>'raw data Crude oil'!O30</f>
        <v>52.91</v>
      </c>
      <c r="P29">
        <f>'raw data Crude oil'!P30</f>
        <v>53.37</v>
      </c>
      <c r="Q29">
        <f>'raw data Crude oil'!Q30</f>
        <v>53.76</v>
      </c>
      <c r="R29">
        <f>'raw data Crude oil'!R30</f>
        <v>54.07</v>
      </c>
      <c r="S29">
        <f>'raw data Crude oil'!S30</f>
        <v>54.27</v>
      </c>
      <c r="T29">
        <f>'raw data Crude oil'!T30</f>
        <v>54.42</v>
      </c>
      <c r="U29">
        <f>'raw data Crude oil'!U30</f>
        <v>54.54</v>
      </c>
      <c r="V29">
        <f>'raw data Crude oil'!V30</f>
        <v>54.64</v>
      </c>
      <c r="W29">
        <f>'raw data Crude oil'!W30</f>
        <v>54.72</v>
      </c>
      <c r="X29">
        <f>'raw data Crude oil'!X30</f>
        <v>54.77</v>
      </c>
      <c r="Y29">
        <f>'raw data Crude oil'!Y30</f>
        <v>54.81</v>
      </c>
      <c r="Z29">
        <f>'raw data Crude oil'!Z30</f>
        <v>0</v>
      </c>
      <c r="AA29">
        <f>'raw data Crude oil'!AA30</f>
        <v>0</v>
      </c>
      <c r="AB29">
        <f>'raw data Crude oil'!AB30</f>
        <v>0</v>
      </c>
      <c r="AC29">
        <f>'raw data Crude oil'!AC30</f>
        <v>0</v>
      </c>
      <c r="AD29">
        <f>'raw data Crude oil'!AD30</f>
        <v>0</v>
      </c>
      <c r="AE29">
        <f>'raw data Crude oil'!AE30</f>
        <v>0</v>
      </c>
      <c r="AF29">
        <f>'raw data Crude oil'!AF30</f>
        <v>0</v>
      </c>
      <c r="AG29">
        <f>'raw data Crude oil'!AG30</f>
        <v>0</v>
      </c>
      <c r="AH29">
        <f>'raw data Crude oil'!AH30</f>
        <v>0</v>
      </c>
      <c r="AI29">
        <f>'raw data Crude oil'!AI30</f>
        <v>0</v>
      </c>
      <c r="AJ29">
        <f>'raw data Crude oil'!AJ30</f>
        <v>0</v>
      </c>
      <c r="AK29">
        <f>'raw data Crude oil'!AK30</f>
        <v>0</v>
      </c>
    </row>
    <row r="30" spans="1:37" x14ac:dyDescent="0.3">
      <c r="A30" s="18">
        <f>'raw data Crude oil'!A31</f>
        <v>42775</v>
      </c>
      <c r="B30">
        <f>'raw data Crude oil'!B31</f>
        <v>55.63</v>
      </c>
      <c r="C30">
        <f>'raw data Crude oil'!C31</f>
        <v>56</v>
      </c>
      <c r="D30">
        <f>'raw data Crude oil'!D31</f>
        <v>56.33</v>
      </c>
      <c r="E30">
        <f>'raw data Crude oil'!E31</f>
        <v>56.57</v>
      </c>
      <c r="F30">
        <f>'raw data Crude oil'!F31</f>
        <v>56.72</v>
      </c>
      <c r="G30">
        <f>'raw data Crude oil'!G31</f>
        <v>56.78</v>
      </c>
      <c r="H30">
        <f>'raw data Crude oil'!H31</f>
        <v>56.78</v>
      </c>
      <c r="I30">
        <f>'raw data Crude oil'!I31</f>
        <v>56.76</v>
      </c>
      <c r="J30">
        <f>'raw data Crude oil'!J31</f>
        <v>56.74</v>
      </c>
      <c r="K30">
        <f>'raw data Crude oil'!K31</f>
        <v>56.71</v>
      </c>
      <c r="L30">
        <f>'raw data Crude oil'!L31</f>
        <v>56.67</v>
      </c>
      <c r="M30">
        <f>'raw data Crude oil'!M31</f>
        <v>56.64</v>
      </c>
      <c r="N30">
        <f>'raw data Crude oil'!N31</f>
        <v>53</v>
      </c>
      <c r="O30">
        <f>'raw data Crude oil'!O31</f>
        <v>53.46</v>
      </c>
      <c r="P30">
        <f>'raw data Crude oil'!P31</f>
        <v>53.88</v>
      </c>
      <c r="Q30">
        <f>'raw data Crude oil'!Q31</f>
        <v>54.25</v>
      </c>
      <c r="R30">
        <f>'raw data Crude oil'!R31</f>
        <v>54.55</v>
      </c>
      <c r="S30">
        <f>'raw data Crude oil'!S31</f>
        <v>54.76</v>
      </c>
      <c r="T30">
        <f>'raw data Crude oil'!T31</f>
        <v>54.91</v>
      </c>
      <c r="U30">
        <f>'raw data Crude oil'!U31</f>
        <v>55.03</v>
      </c>
      <c r="V30">
        <f>'raw data Crude oil'!V31</f>
        <v>55.13</v>
      </c>
      <c r="W30">
        <f>'raw data Crude oil'!W31</f>
        <v>55.21</v>
      </c>
      <c r="X30">
        <f>'raw data Crude oil'!X31</f>
        <v>55.26</v>
      </c>
      <c r="Y30">
        <f>'raw data Crude oil'!Y31</f>
        <v>55.3</v>
      </c>
      <c r="Z30">
        <f>'raw data Crude oil'!Z31</f>
        <v>0</v>
      </c>
      <c r="AA30">
        <f>'raw data Crude oil'!AA31</f>
        <v>0</v>
      </c>
      <c r="AB30">
        <f>'raw data Crude oil'!AB31</f>
        <v>0</v>
      </c>
      <c r="AC30">
        <f>'raw data Crude oil'!AC31</f>
        <v>0</v>
      </c>
      <c r="AD30">
        <f>'raw data Crude oil'!AD31</f>
        <v>0</v>
      </c>
      <c r="AE30">
        <f>'raw data Crude oil'!AE31</f>
        <v>0</v>
      </c>
      <c r="AF30">
        <f>'raw data Crude oil'!AF31</f>
        <v>0</v>
      </c>
      <c r="AG30">
        <f>'raw data Crude oil'!AG31</f>
        <v>0</v>
      </c>
      <c r="AH30">
        <f>'raw data Crude oil'!AH31</f>
        <v>0</v>
      </c>
      <c r="AI30">
        <f>'raw data Crude oil'!AI31</f>
        <v>0</v>
      </c>
      <c r="AJ30">
        <f>'raw data Crude oil'!AJ31</f>
        <v>0</v>
      </c>
      <c r="AK30">
        <f>'raw data Crude oil'!AK31</f>
        <v>0</v>
      </c>
    </row>
    <row r="31" spans="1:37" x14ac:dyDescent="0.3">
      <c r="A31" s="18">
        <f>'raw data Crude oil'!A32</f>
        <v>42776</v>
      </c>
      <c r="B31">
        <f>'raw data Crude oil'!B32</f>
        <v>56.7</v>
      </c>
      <c r="C31">
        <f>'raw data Crude oil'!C32</f>
        <v>57.06</v>
      </c>
      <c r="D31">
        <f>'raw data Crude oil'!D32</f>
        <v>57.36</v>
      </c>
      <c r="E31">
        <f>'raw data Crude oil'!E32</f>
        <v>57.55</v>
      </c>
      <c r="F31">
        <f>'raw data Crude oil'!F32</f>
        <v>57.66</v>
      </c>
      <c r="G31">
        <f>'raw data Crude oil'!G32</f>
        <v>57.7</v>
      </c>
      <c r="H31">
        <f>'raw data Crude oil'!H32</f>
        <v>57.67</v>
      </c>
      <c r="I31">
        <f>'raw data Crude oil'!I32</f>
        <v>57.61</v>
      </c>
      <c r="J31">
        <f>'raw data Crude oil'!J32</f>
        <v>57.56</v>
      </c>
      <c r="K31">
        <f>'raw data Crude oil'!K32</f>
        <v>57.5</v>
      </c>
      <c r="L31">
        <f>'raw data Crude oil'!L32</f>
        <v>57.44</v>
      </c>
      <c r="M31">
        <f>'raw data Crude oil'!M32</f>
        <v>57.38</v>
      </c>
      <c r="N31">
        <f>'raw data Crude oil'!N32</f>
        <v>53.86</v>
      </c>
      <c r="O31">
        <f>'raw data Crude oil'!O32</f>
        <v>54.33</v>
      </c>
      <c r="P31">
        <f>'raw data Crude oil'!P32</f>
        <v>54.78</v>
      </c>
      <c r="Q31">
        <f>'raw data Crude oil'!Q32</f>
        <v>55.18</v>
      </c>
      <c r="R31">
        <f>'raw data Crude oil'!R32</f>
        <v>55.49</v>
      </c>
      <c r="S31">
        <f>'raw data Crude oil'!S32</f>
        <v>55.69</v>
      </c>
      <c r="T31">
        <f>'raw data Crude oil'!T32</f>
        <v>55.82</v>
      </c>
      <c r="U31">
        <f>'raw data Crude oil'!U32</f>
        <v>55.91</v>
      </c>
      <c r="V31">
        <f>'raw data Crude oil'!V32</f>
        <v>55.98</v>
      </c>
      <c r="W31">
        <f>'raw data Crude oil'!W32</f>
        <v>56.02</v>
      </c>
      <c r="X31">
        <f>'raw data Crude oil'!X32</f>
        <v>56.04</v>
      </c>
      <c r="Y31">
        <f>'raw data Crude oil'!Y32</f>
        <v>56.05</v>
      </c>
      <c r="Z31">
        <f>'raw data Crude oil'!Z32</f>
        <v>0</v>
      </c>
      <c r="AA31">
        <f>'raw data Crude oil'!AA32</f>
        <v>0</v>
      </c>
      <c r="AB31">
        <f>'raw data Crude oil'!AB32</f>
        <v>0</v>
      </c>
      <c r="AC31">
        <f>'raw data Crude oil'!AC32</f>
        <v>0</v>
      </c>
      <c r="AD31">
        <f>'raw data Crude oil'!AD32</f>
        <v>0</v>
      </c>
      <c r="AE31">
        <f>'raw data Crude oil'!AE32</f>
        <v>0</v>
      </c>
      <c r="AF31">
        <f>'raw data Crude oil'!AF32</f>
        <v>0</v>
      </c>
      <c r="AG31">
        <f>'raw data Crude oil'!AG32</f>
        <v>0</v>
      </c>
      <c r="AH31">
        <f>'raw data Crude oil'!AH32</f>
        <v>0</v>
      </c>
      <c r="AI31">
        <f>'raw data Crude oil'!AI32</f>
        <v>0</v>
      </c>
      <c r="AJ31">
        <f>'raw data Crude oil'!AJ32</f>
        <v>0</v>
      </c>
      <c r="AK31">
        <f>'raw data Crude oil'!AK32</f>
        <v>0</v>
      </c>
    </row>
    <row r="32" spans="1:37" x14ac:dyDescent="0.3">
      <c r="A32" s="18">
        <f>'raw data Crude oil'!A33</f>
        <v>42779</v>
      </c>
      <c r="B32">
        <f>'raw data Crude oil'!B33</f>
        <v>55.59</v>
      </c>
      <c r="C32">
        <f>'raw data Crude oil'!C33</f>
        <v>55.96</v>
      </c>
      <c r="D32">
        <f>'raw data Crude oil'!D33</f>
        <v>56.25</v>
      </c>
      <c r="E32">
        <f>'raw data Crude oil'!E33</f>
        <v>56.44</v>
      </c>
      <c r="F32">
        <f>'raw data Crude oil'!F33</f>
        <v>56.56</v>
      </c>
      <c r="G32">
        <f>'raw data Crude oil'!G33</f>
        <v>56.6</v>
      </c>
      <c r="H32">
        <f>'raw data Crude oil'!H33</f>
        <v>56.58</v>
      </c>
      <c r="I32">
        <f>'raw data Crude oil'!I33</f>
        <v>56.54</v>
      </c>
      <c r="J32">
        <f>'raw data Crude oil'!J33</f>
        <v>56.49</v>
      </c>
      <c r="K32">
        <f>'raw data Crude oil'!K33</f>
        <v>56.44</v>
      </c>
      <c r="L32">
        <f>'raw data Crude oil'!L33</f>
        <v>56.39</v>
      </c>
      <c r="M32">
        <f>'raw data Crude oil'!M33</f>
        <v>56.33</v>
      </c>
      <c r="N32">
        <f>'raw data Crude oil'!N33</f>
        <v>52.93</v>
      </c>
      <c r="O32">
        <f>'raw data Crude oil'!O33</f>
        <v>53.43</v>
      </c>
      <c r="P32">
        <f>'raw data Crude oil'!P33</f>
        <v>53.86</v>
      </c>
      <c r="Q32">
        <f>'raw data Crude oil'!Q33</f>
        <v>54.25</v>
      </c>
      <c r="R32">
        <f>'raw data Crude oil'!R33</f>
        <v>54.56</v>
      </c>
      <c r="S32">
        <f>'raw data Crude oil'!S33</f>
        <v>54.76</v>
      </c>
      <c r="T32">
        <f>'raw data Crude oil'!T33</f>
        <v>54.9</v>
      </c>
      <c r="U32">
        <f>'raw data Crude oil'!U33</f>
        <v>55.01</v>
      </c>
      <c r="V32">
        <f>'raw data Crude oil'!V33</f>
        <v>55.1</v>
      </c>
      <c r="W32">
        <f>'raw data Crude oil'!W33</f>
        <v>55.17</v>
      </c>
      <c r="X32">
        <f>'raw data Crude oil'!X33</f>
        <v>55.2</v>
      </c>
      <c r="Y32">
        <f>'raw data Crude oil'!Y33</f>
        <v>55.22</v>
      </c>
      <c r="Z32">
        <f>'raw data Crude oil'!Z33</f>
        <v>0</v>
      </c>
      <c r="AA32">
        <f>'raw data Crude oil'!AA33</f>
        <v>0</v>
      </c>
      <c r="AB32">
        <f>'raw data Crude oil'!AB33</f>
        <v>0</v>
      </c>
      <c r="AC32">
        <f>'raw data Crude oil'!AC33</f>
        <v>0</v>
      </c>
      <c r="AD32">
        <f>'raw data Crude oil'!AD33</f>
        <v>0</v>
      </c>
      <c r="AE32">
        <f>'raw data Crude oil'!AE33</f>
        <v>0</v>
      </c>
      <c r="AF32">
        <f>'raw data Crude oil'!AF33</f>
        <v>0</v>
      </c>
      <c r="AG32">
        <f>'raw data Crude oil'!AG33</f>
        <v>0</v>
      </c>
      <c r="AH32">
        <f>'raw data Crude oil'!AH33</f>
        <v>0</v>
      </c>
      <c r="AI32">
        <f>'raw data Crude oil'!AI33</f>
        <v>0</v>
      </c>
      <c r="AJ32">
        <f>'raw data Crude oil'!AJ33</f>
        <v>0</v>
      </c>
      <c r="AK32">
        <f>'raw data Crude oil'!AK33</f>
        <v>0</v>
      </c>
    </row>
    <row r="33" spans="1:37" x14ac:dyDescent="0.3">
      <c r="A33" s="18">
        <f>'raw data Crude oil'!A34</f>
        <v>42780</v>
      </c>
      <c r="B33">
        <f>'raw data Crude oil'!B34</f>
        <v>55.97</v>
      </c>
      <c r="C33">
        <f>'raw data Crude oil'!C34</f>
        <v>56.29</v>
      </c>
      <c r="D33">
        <f>'raw data Crude oil'!D34</f>
        <v>56.55</v>
      </c>
      <c r="E33">
        <f>'raw data Crude oil'!E34</f>
        <v>56.72</v>
      </c>
      <c r="F33">
        <f>'raw data Crude oil'!F34</f>
        <v>56.83</v>
      </c>
      <c r="G33">
        <f>'raw data Crude oil'!G34</f>
        <v>56.86</v>
      </c>
      <c r="H33">
        <f>'raw data Crude oil'!H34</f>
        <v>56.83</v>
      </c>
      <c r="I33">
        <f>'raw data Crude oil'!I34</f>
        <v>56.77</v>
      </c>
      <c r="J33">
        <f>'raw data Crude oil'!J34</f>
        <v>56.71</v>
      </c>
      <c r="K33">
        <f>'raw data Crude oil'!K34</f>
        <v>56.65</v>
      </c>
      <c r="L33">
        <f>'raw data Crude oil'!L34</f>
        <v>56.6</v>
      </c>
      <c r="M33">
        <f>'raw data Crude oil'!M34</f>
        <v>56.54</v>
      </c>
      <c r="N33">
        <f>'raw data Crude oil'!N34</f>
        <v>53.2</v>
      </c>
      <c r="O33">
        <f>'raw data Crude oil'!O34</f>
        <v>53.71</v>
      </c>
      <c r="P33">
        <f>'raw data Crude oil'!P34</f>
        <v>54.12</v>
      </c>
      <c r="Q33">
        <f>'raw data Crude oil'!Q34</f>
        <v>54.48</v>
      </c>
      <c r="R33">
        <f>'raw data Crude oil'!R34</f>
        <v>54.78</v>
      </c>
      <c r="S33">
        <f>'raw data Crude oil'!S34</f>
        <v>54.98</v>
      </c>
      <c r="T33">
        <f>'raw data Crude oil'!T34</f>
        <v>55.12</v>
      </c>
      <c r="U33">
        <f>'raw data Crude oil'!U34</f>
        <v>55.22</v>
      </c>
      <c r="V33">
        <f>'raw data Crude oil'!V34</f>
        <v>55.29</v>
      </c>
      <c r="W33">
        <f>'raw data Crude oil'!W34</f>
        <v>55.35</v>
      </c>
      <c r="X33">
        <f>'raw data Crude oil'!X34</f>
        <v>55.37</v>
      </c>
      <c r="Y33">
        <f>'raw data Crude oil'!Y34</f>
        <v>55.38</v>
      </c>
      <c r="Z33">
        <f>'raw data Crude oil'!Z34</f>
        <v>0</v>
      </c>
      <c r="AA33">
        <f>'raw data Crude oil'!AA34</f>
        <v>0</v>
      </c>
      <c r="AB33">
        <f>'raw data Crude oil'!AB34</f>
        <v>0</v>
      </c>
      <c r="AC33">
        <f>'raw data Crude oil'!AC34</f>
        <v>0</v>
      </c>
      <c r="AD33">
        <f>'raw data Crude oil'!AD34</f>
        <v>0</v>
      </c>
      <c r="AE33">
        <f>'raw data Crude oil'!AE34</f>
        <v>0</v>
      </c>
      <c r="AF33">
        <f>'raw data Crude oil'!AF34</f>
        <v>0</v>
      </c>
      <c r="AG33">
        <f>'raw data Crude oil'!AG34</f>
        <v>0</v>
      </c>
      <c r="AH33">
        <f>'raw data Crude oil'!AH34</f>
        <v>0</v>
      </c>
      <c r="AI33">
        <f>'raw data Crude oil'!AI34</f>
        <v>0</v>
      </c>
      <c r="AJ33">
        <f>'raw data Crude oil'!AJ34</f>
        <v>0</v>
      </c>
      <c r="AK33">
        <f>'raw data Crude oil'!AK34</f>
        <v>0</v>
      </c>
    </row>
    <row r="34" spans="1:37" x14ac:dyDescent="0.3">
      <c r="A34" s="18">
        <f>'raw data Crude oil'!A35</f>
        <v>42781</v>
      </c>
      <c r="B34">
        <f>'raw data Crude oil'!B35</f>
        <v>55.75</v>
      </c>
      <c r="C34">
        <f>'raw data Crude oil'!C35</f>
        <v>56.1</v>
      </c>
      <c r="D34">
        <f>'raw data Crude oil'!D35</f>
        <v>56.35</v>
      </c>
      <c r="E34">
        <f>'raw data Crude oil'!E35</f>
        <v>56.51</v>
      </c>
      <c r="F34">
        <f>'raw data Crude oil'!F35</f>
        <v>56.62</v>
      </c>
      <c r="G34">
        <f>'raw data Crude oil'!G35</f>
        <v>56.65</v>
      </c>
      <c r="H34">
        <f>'raw data Crude oil'!H35</f>
        <v>56.62</v>
      </c>
      <c r="I34">
        <f>'raw data Crude oil'!I35</f>
        <v>56.56</v>
      </c>
      <c r="J34">
        <f>'raw data Crude oil'!J35</f>
        <v>56.5</v>
      </c>
      <c r="K34">
        <f>'raw data Crude oil'!K35</f>
        <v>56.44</v>
      </c>
      <c r="L34">
        <f>'raw data Crude oil'!L35</f>
        <v>56.39</v>
      </c>
      <c r="M34">
        <f>'raw data Crude oil'!M35</f>
        <v>56.33</v>
      </c>
      <c r="N34">
        <f>'raw data Crude oil'!N35</f>
        <v>53.11</v>
      </c>
      <c r="O34">
        <f>'raw data Crude oil'!O35</f>
        <v>53.6</v>
      </c>
      <c r="P34">
        <f>'raw data Crude oil'!P35</f>
        <v>53.99</v>
      </c>
      <c r="Q34">
        <f>'raw data Crude oil'!Q35</f>
        <v>54.31</v>
      </c>
      <c r="R34">
        <f>'raw data Crude oil'!R35</f>
        <v>54.57</v>
      </c>
      <c r="S34">
        <f>'raw data Crude oil'!S35</f>
        <v>54.75</v>
      </c>
      <c r="T34">
        <f>'raw data Crude oil'!T35</f>
        <v>54.87</v>
      </c>
      <c r="U34">
        <f>'raw data Crude oil'!U35</f>
        <v>54.95</v>
      </c>
      <c r="V34">
        <f>'raw data Crude oil'!V35</f>
        <v>55.01</v>
      </c>
      <c r="W34">
        <f>'raw data Crude oil'!W35</f>
        <v>55.06</v>
      </c>
      <c r="X34">
        <f>'raw data Crude oil'!X35</f>
        <v>55.07</v>
      </c>
      <c r="Y34">
        <f>'raw data Crude oil'!Y35</f>
        <v>55.07</v>
      </c>
      <c r="Z34">
        <f>'raw data Crude oil'!Z35</f>
        <v>0</v>
      </c>
      <c r="AA34">
        <f>'raw data Crude oil'!AA35</f>
        <v>0</v>
      </c>
      <c r="AB34">
        <f>'raw data Crude oil'!AB35</f>
        <v>0</v>
      </c>
      <c r="AC34">
        <f>'raw data Crude oil'!AC35</f>
        <v>0</v>
      </c>
      <c r="AD34">
        <f>'raw data Crude oil'!AD35</f>
        <v>0</v>
      </c>
      <c r="AE34">
        <f>'raw data Crude oil'!AE35</f>
        <v>0</v>
      </c>
      <c r="AF34">
        <f>'raw data Crude oil'!AF35</f>
        <v>0</v>
      </c>
      <c r="AG34">
        <f>'raw data Crude oil'!AG35</f>
        <v>0</v>
      </c>
      <c r="AH34">
        <f>'raw data Crude oil'!AH35</f>
        <v>0</v>
      </c>
      <c r="AI34">
        <f>'raw data Crude oil'!AI35</f>
        <v>0</v>
      </c>
      <c r="AJ34">
        <f>'raw data Crude oil'!AJ35</f>
        <v>0</v>
      </c>
      <c r="AK34">
        <f>'raw data Crude oil'!AK35</f>
        <v>0</v>
      </c>
    </row>
    <row r="35" spans="1:37" x14ac:dyDescent="0.3">
      <c r="A35" s="18">
        <f>'raw data Crude oil'!A36</f>
        <v>42782</v>
      </c>
      <c r="B35">
        <f>'raw data Crude oil'!B36</f>
        <v>55.65</v>
      </c>
      <c r="C35">
        <f>'raw data Crude oil'!C36</f>
        <v>56</v>
      </c>
      <c r="D35">
        <f>'raw data Crude oil'!D36</f>
        <v>56.25</v>
      </c>
      <c r="E35">
        <f>'raw data Crude oil'!E36</f>
        <v>56.42</v>
      </c>
      <c r="F35">
        <f>'raw data Crude oil'!F36</f>
        <v>56.54</v>
      </c>
      <c r="G35">
        <f>'raw data Crude oil'!G36</f>
        <v>56.58</v>
      </c>
      <c r="H35">
        <f>'raw data Crude oil'!H36</f>
        <v>56.56</v>
      </c>
      <c r="I35">
        <f>'raw data Crude oil'!I36</f>
        <v>56.51</v>
      </c>
      <c r="J35">
        <f>'raw data Crude oil'!J36</f>
        <v>56.46</v>
      </c>
      <c r="K35">
        <f>'raw data Crude oil'!K36</f>
        <v>56.41</v>
      </c>
      <c r="L35">
        <f>'raw data Crude oil'!L36</f>
        <v>56.36</v>
      </c>
      <c r="M35">
        <f>'raw data Crude oil'!M36</f>
        <v>56.31</v>
      </c>
      <c r="N35">
        <f>'raw data Crude oil'!N36</f>
        <v>53.36</v>
      </c>
      <c r="O35">
        <f>'raw data Crude oil'!O36</f>
        <v>53.75</v>
      </c>
      <c r="P35">
        <f>'raw data Crude oil'!P36</f>
        <v>54.07</v>
      </c>
      <c r="Q35">
        <f>'raw data Crude oil'!Q36</f>
        <v>54.33</v>
      </c>
      <c r="R35">
        <f>'raw data Crude oil'!R36</f>
        <v>54.52</v>
      </c>
      <c r="S35">
        <f>'raw data Crude oil'!S36</f>
        <v>54.64</v>
      </c>
      <c r="T35">
        <f>'raw data Crude oil'!T36</f>
        <v>54.72</v>
      </c>
      <c r="U35">
        <f>'raw data Crude oil'!U36</f>
        <v>54.77</v>
      </c>
      <c r="V35">
        <f>'raw data Crude oil'!V36</f>
        <v>54.81</v>
      </c>
      <c r="W35">
        <f>'raw data Crude oil'!W36</f>
        <v>54.84</v>
      </c>
      <c r="X35">
        <f>'raw data Crude oil'!X36</f>
        <v>54.85</v>
      </c>
      <c r="Y35">
        <f>'raw data Crude oil'!Y36</f>
        <v>54.85</v>
      </c>
      <c r="Z35">
        <f>'raw data Crude oil'!Z36</f>
        <v>0</v>
      </c>
      <c r="AA35">
        <f>'raw data Crude oil'!AA36</f>
        <v>0</v>
      </c>
      <c r="AB35">
        <f>'raw data Crude oil'!AB36</f>
        <v>0</v>
      </c>
      <c r="AC35">
        <f>'raw data Crude oil'!AC36</f>
        <v>0</v>
      </c>
      <c r="AD35">
        <f>'raw data Crude oil'!AD36</f>
        <v>0</v>
      </c>
      <c r="AE35">
        <f>'raw data Crude oil'!AE36</f>
        <v>0</v>
      </c>
      <c r="AF35">
        <f>'raw data Crude oil'!AF36</f>
        <v>0</v>
      </c>
      <c r="AG35">
        <f>'raw data Crude oil'!AG36</f>
        <v>0</v>
      </c>
      <c r="AH35">
        <f>'raw data Crude oil'!AH36</f>
        <v>0</v>
      </c>
      <c r="AI35">
        <f>'raw data Crude oil'!AI36</f>
        <v>0</v>
      </c>
      <c r="AJ35">
        <f>'raw data Crude oil'!AJ36</f>
        <v>0</v>
      </c>
      <c r="AK35">
        <f>'raw data Crude oil'!AK36</f>
        <v>0</v>
      </c>
    </row>
    <row r="36" spans="1:37" x14ac:dyDescent="0.3">
      <c r="A36" s="18">
        <f>'raw data Crude oil'!A37</f>
        <v>42783</v>
      </c>
      <c r="B36">
        <f>'raw data Crude oil'!B37</f>
        <v>55.81</v>
      </c>
      <c r="C36">
        <f>'raw data Crude oil'!C37</f>
        <v>56.11</v>
      </c>
      <c r="D36">
        <f>'raw data Crude oil'!D37</f>
        <v>56.33</v>
      </c>
      <c r="E36">
        <f>'raw data Crude oil'!E37</f>
        <v>56.49</v>
      </c>
      <c r="F36">
        <f>'raw data Crude oil'!F37</f>
        <v>56.6</v>
      </c>
      <c r="G36">
        <f>'raw data Crude oil'!G37</f>
        <v>56.64</v>
      </c>
      <c r="H36">
        <f>'raw data Crude oil'!H37</f>
        <v>56.62</v>
      </c>
      <c r="I36">
        <f>'raw data Crude oil'!I37</f>
        <v>56.56</v>
      </c>
      <c r="J36">
        <f>'raw data Crude oil'!J37</f>
        <v>56.5</v>
      </c>
      <c r="K36">
        <f>'raw data Crude oil'!K37</f>
        <v>56.44</v>
      </c>
      <c r="L36">
        <f>'raw data Crude oil'!L37</f>
        <v>56.39</v>
      </c>
      <c r="M36">
        <f>'raw data Crude oil'!M37</f>
        <v>56.33</v>
      </c>
      <c r="N36">
        <f>'raw data Crude oil'!N37</f>
        <v>53.4</v>
      </c>
      <c r="O36">
        <f>'raw data Crude oil'!O37</f>
        <v>53.78</v>
      </c>
      <c r="P36">
        <f>'raw data Crude oil'!P37</f>
        <v>54.12</v>
      </c>
      <c r="Q36">
        <f>'raw data Crude oil'!Q37</f>
        <v>54.37</v>
      </c>
      <c r="R36">
        <f>'raw data Crude oil'!R37</f>
        <v>54.56</v>
      </c>
      <c r="S36">
        <f>'raw data Crude oil'!S37</f>
        <v>54.68</v>
      </c>
      <c r="T36">
        <f>'raw data Crude oil'!T37</f>
        <v>54.75</v>
      </c>
      <c r="U36">
        <f>'raw data Crude oil'!U37</f>
        <v>54.79</v>
      </c>
      <c r="V36">
        <f>'raw data Crude oil'!V37</f>
        <v>54.82</v>
      </c>
      <c r="W36">
        <f>'raw data Crude oil'!W37</f>
        <v>54.84</v>
      </c>
      <c r="X36">
        <f>'raw data Crude oil'!X37</f>
        <v>54.83</v>
      </c>
      <c r="Y36">
        <f>'raw data Crude oil'!Y37</f>
        <v>54.82</v>
      </c>
      <c r="Z36">
        <f>'raw data Crude oil'!Z37</f>
        <v>0</v>
      </c>
      <c r="AA36">
        <f>'raw data Crude oil'!AA37</f>
        <v>0</v>
      </c>
      <c r="AB36">
        <f>'raw data Crude oil'!AB37</f>
        <v>0</v>
      </c>
      <c r="AC36">
        <f>'raw data Crude oil'!AC37</f>
        <v>0</v>
      </c>
      <c r="AD36">
        <f>'raw data Crude oil'!AD37</f>
        <v>0</v>
      </c>
      <c r="AE36">
        <f>'raw data Crude oil'!AE37</f>
        <v>0</v>
      </c>
      <c r="AF36">
        <f>'raw data Crude oil'!AF37</f>
        <v>0</v>
      </c>
      <c r="AG36">
        <f>'raw data Crude oil'!AG37</f>
        <v>0</v>
      </c>
      <c r="AH36">
        <f>'raw data Crude oil'!AH37</f>
        <v>0</v>
      </c>
      <c r="AI36">
        <f>'raw data Crude oil'!AI37</f>
        <v>0</v>
      </c>
      <c r="AJ36">
        <f>'raw data Crude oil'!AJ37</f>
        <v>0</v>
      </c>
      <c r="AK36">
        <f>'raw data Crude oil'!AK37</f>
        <v>0</v>
      </c>
    </row>
    <row r="37" spans="1:37" x14ac:dyDescent="0.3">
      <c r="A37" s="18">
        <f>'raw data Crude oil'!A38</f>
        <v>42786</v>
      </c>
      <c r="B37">
        <f>'raw data Crude oil'!B38</f>
        <v>56.18</v>
      </c>
      <c r="C37">
        <f>'raw data Crude oil'!C38</f>
        <v>56.35</v>
      </c>
      <c r="D37">
        <f>'raw data Crude oil'!D38</f>
        <v>56.53</v>
      </c>
      <c r="E37">
        <f>'raw data Crude oil'!E38</f>
        <v>56.67</v>
      </c>
      <c r="F37">
        <f>'raw data Crude oil'!F38</f>
        <v>56.76</v>
      </c>
      <c r="G37">
        <f>'raw data Crude oil'!G38</f>
        <v>56.78</v>
      </c>
      <c r="H37">
        <f>'raw data Crude oil'!H38</f>
        <v>56.74</v>
      </c>
      <c r="I37">
        <f>'raw data Crude oil'!I38</f>
        <v>56.66</v>
      </c>
      <c r="J37">
        <f>'raw data Crude oil'!J38</f>
        <v>56.59</v>
      </c>
      <c r="K37">
        <f>'raw data Crude oil'!K38</f>
        <v>56.53</v>
      </c>
      <c r="L37">
        <f>'raw data Crude oil'!L38</f>
        <v>56.47</v>
      </c>
      <c r="M37">
        <f>'raw data Crude oil'!M38</f>
        <v>56.41</v>
      </c>
      <c r="N37">
        <f>'raw data Crude oil'!N38</f>
        <v>53.4</v>
      </c>
      <c r="O37">
        <f>'raw data Crude oil'!O38</f>
        <v>53.78</v>
      </c>
      <c r="P37">
        <f>'raw data Crude oil'!P38</f>
        <v>54.12</v>
      </c>
      <c r="Q37">
        <f>'raw data Crude oil'!Q38</f>
        <v>54.37</v>
      </c>
      <c r="R37">
        <f>'raw data Crude oil'!R38</f>
        <v>54.56</v>
      </c>
      <c r="S37">
        <f>'raw data Crude oil'!S38</f>
        <v>54.68</v>
      </c>
      <c r="T37">
        <f>'raw data Crude oil'!T38</f>
        <v>54.75</v>
      </c>
      <c r="U37">
        <f>'raw data Crude oil'!U38</f>
        <v>54.79</v>
      </c>
      <c r="V37">
        <f>'raw data Crude oil'!V38</f>
        <v>54.82</v>
      </c>
      <c r="W37">
        <f>'raw data Crude oil'!W38</f>
        <v>54.84</v>
      </c>
      <c r="X37">
        <f>'raw data Crude oil'!X38</f>
        <v>54.83</v>
      </c>
      <c r="Y37">
        <f>'raw data Crude oil'!Y38</f>
        <v>54.82</v>
      </c>
      <c r="Z37">
        <f>'raw data Crude oil'!Z38</f>
        <v>0</v>
      </c>
      <c r="AA37">
        <f>'raw data Crude oil'!AA38</f>
        <v>0</v>
      </c>
      <c r="AB37">
        <f>'raw data Crude oil'!AB38</f>
        <v>0</v>
      </c>
      <c r="AC37">
        <f>'raw data Crude oil'!AC38</f>
        <v>0</v>
      </c>
      <c r="AD37">
        <f>'raw data Crude oil'!AD38</f>
        <v>0</v>
      </c>
      <c r="AE37">
        <f>'raw data Crude oil'!AE38</f>
        <v>0</v>
      </c>
      <c r="AF37">
        <f>'raw data Crude oil'!AF38</f>
        <v>0</v>
      </c>
      <c r="AG37">
        <f>'raw data Crude oil'!AG38</f>
        <v>0</v>
      </c>
      <c r="AH37">
        <f>'raw data Crude oil'!AH38</f>
        <v>0</v>
      </c>
      <c r="AI37">
        <f>'raw data Crude oil'!AI38</f>
        <v>0</v>
      </c>
      <c r="AJ37">
        <f>'raw data Crude oil'!AJ38</f>
        <v>0</v>
      </c>
      <c r="AK37">
        <f>'raw data Crude oil'!AK38</f>
        <v>0</v>
      </c>
    </row>
    <row r="38" spans="1:37" x14ac:dyDescent="0.3">
      <c r="A38" s="18">
        <f>'raw data Crude oil'!A39</f>
        <v>42787</v>
      </c>
      <c r="B38">
        <f>'raw data Crude oil'!B39</f>
        <v>56.66</v>
      </c>
      <c r="C38">
        <f>'raw data Crude oil'!C39</f>
        <v>56.76</v>
      </c>
      <c r="D38">
        <f>'raw data Crude oil'!D39</f>
        <v>56.82</v>
      </c>
      <c r="E38">
        <f>'raw data Crude oil'!E39</f>
        <v>56.86</v>
      </c>
      <c r="F38">
        <f>'raw data Crude oil'!F39</f>
        <v>56.89</v>
      </c>
      <c r="G38">
        <f>'raw data Crude oil'!G39</f>
        <v>56.88</v>
      </c>
      <c r="H38">
        <f>'raw data Crude oil'!H39</f>
        <v>56.82</v>
      </c>
      <c r="I38">
        <f>'raw data Crude oil'!I39</f>
        <v>56.71</v>
      </c>
      <c r="J38">
        <f>'raw data Crude oil'!J39</f>
        <v>56.61</v>
      </c>
      <c r="K38">
        <f>'raw data Crude oil'!K39</f>
        <v>56.52</v>
      </c>
      <c r="L38">
        <f>'raw data Crude oil'!L39</f>
        <v>56.43</v>
      </c>
      <c r="M38">
        <f>'raw data Crude oil'!M39</f>
        <v>56.34</v>
      </c>
      <c r="N38">
        <f>'raw data Crude oil'!N39</f>
        <v>54.06</v>
      </c>
      <c r="O38">
        <f>'raw data Crude oil'!O39</f>
        <v>54.33</v>
      </c>
      <c r="P38">
        <f>'raw data Crude oil'!P39</f>
        <v>54.61</v>
      </c>
      <c r="Q38">
        <f>'raw data Crude oil'!Q39</f>
        <v>54.81</v>
      </c>
      <c r="R38">
        <f>'raw data Crude oil'!R39</f>
        <v>54.96</v>
      </c>
      <c r="S38">
        <f>'raw data Crude oil'!S39</f>
        <v>55.04</v>
      </c>
      <c r="T38">
        <f>'raw data Crude oil'!T39</f>
        <v>55.07</v>
      </c>
      <c r="U38">
        <f>'raw data Crude oil'!U39</f>
        <v>55.06</v>
      </c>
      <c r="V38">
        <f>'raw data Crude oil'!V39</f>
        <v>55.04</v>
      </c>
      <c r="W38">
        <f>'raw data Crude oil'!W39</f>
        <v>55.01</v>
      </c>
      <c r="X38">
        <f>'raw data Crude oil'!X39</f>
        <v>54.96</v>
      </c>
      <c r="Y38">
        <f>'raw data Crude oil'!Y39</f>
        <v>54.91</v>
      </c>
      <c r="Z38">
        <f>'raw data Crude oil'!Z39</f>
        <v>0</v>
      </c>
      <c r="AA38">
        <f>'raw data Crude oil'!AA39</f>
        <v>0</v>
      </c>
      <c r="AB38">
        <f>'raw data Crude oil'!AB39</f>
        <v>0</v>
      </c>
      <c r="AC38">
        <f>'raw data Crude oil'!AC39</f>
        <v>0</v>
      </c>
      <c r="AD38">
        <f>'raw data Crude oil'!AD39</f>
        <v>0</v>
      </c>
      <c r="AE38">
        <f>'raw data Crude oil'!AE39</f>
        <v>0</v>
      </c>
      <c r="AF38">
        <f>'raw data Crude oil'!AF39</f>
        <v>0</v>
      </c>
      <c r="AG38">
        <f>'raw data Crude oil'!AG39</f>
        <v>0</v>
      </c>
      <c r="AH38">
        <f>'raw data Crude oil'!AH39</f>
        <v>0</v>
      </c>
      <c r="AI38">
        <f>'raw data Crude oil'!AI39</f>
        <v>0</v>
      </c>
      <c r="AJ38">
        <f>'raw data Crude oil'!AJ39</f>
        <v>0</v>
      </c>
      <c r="AK38">
        <f>'raw data Crude oil'!AK39</f>
        <v>0</v>
      </c>
    </row>
    <row r="39" spans="1:37" x14ac:dyDescent="0.3">
      <c r="A39" s="18">
        <f>'raw data Crude oil'!A40</f>
        <v>42788</v>
      </c>
      <c r="B39">
        <f>'raw data Crude oil'!B40</f>
        <v>55.84</v>
      </c>
      <c r="C39">
        <f>'raw data Crude oil'!C40</f>
        <v>56.04</v>
      </c>
      <c r="D39">
        <f>'raw data Crude oil'!D40</f>
        <v>56.18</v>
      </c>
      <c r="E39">
        <f>'raw data Crude oil'!E40</f>
        <v>56.28</v>
      </c>
      <c r="F39">
        <f>'raw data Crude oil'!F40</f>
        <v>56.35</v>
      </c>
      <c r="G39">
        <f>'raw data Crude oil'!G40</f>
        <v>56.36</v>
      </c>
      <c r="H39">
        <f>'raw data Crude oil'!H40</f>
        <v>56.31</v>
      </c>
      <c r="I39">
        <f>'raw data Crude oil'!I40</f>
        <v>56.2</v>
      </c>
      <c r="J39">
        <f>'raw data Crude oil'!J40</f>
        <v>56.09</v>
      </c>
      <c r="K39">
        <f>'raw data Crude oil'!K40</f>
        <v>56</v>
      </c>
      <c r="L39">
        <f>'raw data Crude oil'!L40</f>
        <v>55.91</v>
      </c>
      <c r="M39">
        <f>'raw data Crude oil'!M40</f>
        <v>55.82</v>
      </c>
      <c r="N39">
        <f>'raw data Crude oil'!N40</f>
        <v>53.59</v>
      </c>
      <c r="O39">
        <f>'raw data Crude oil'!O40</f>
        <v>53.93</v>
      </c>
      <c r="P39">
        <f>'raw data Crude oil'!P40</f>
        <v>54.17</v>
      </c>
      <c r="Q39">
        <f>'raw data Crude oil'!Q40</f>
        <v>54.37</v>
      </c>
      <c r="R39">
        <f>'raw data Crude oil'!R40</f>
        <v>54.49</v>
      </c>
      <c r="S39">
        <f>'raw data Crude oil'!S40</f>
        <v>54.54</v>
      </c>
      <c r="T39">
        <f>'raw data Crude oil'!T40</f>
        <v>54.56</v>
      </c>
      <c r="U39">
        <f>'raw data Crude oil'!U40</f>
        <v>54.56</v>
      </c>
      <c r="V39">
        <f>'raw data Crude oil'!V40</f>
        <v>54.55</v>
      </c>
      <c r="W39">
        <f>'raw data Crude oil'!W40</f>
        <v>54.51</v>
      </c>
      <c r="X39">
        <f>'raw data Crude oil'!X40</f>
        <v>54.45</v>
      </c>
      <c r="Y39">
        <f>'raw data Crude oil'!Y40</f>
        <v>54.39</v>
      </c>
      <c r="Z39">
        <f>'raw data Crude oil'!Z40</f>
        <v>0</v>
      </c>
      <c r="AA39">
        <f>'raw data Crude oil'!AA40</f>
        <v>0</v>
      </c>
      <c r="AB39">
        <f>'raw data Crude oil'!AB40</f>
        <v>0</v>
      </c>
      <c r="AC39">
        <f>'raw data Crude oil'!AC40</f>
        <v>0</v>
      </c>
      <c r="AD39">
        <f>'raw data Crude oil'!AD40</f>
        <v>0</v>
      </c>
      <c r="AE39">
        <f>'raw data Crude oil'!AE40</f>
        <v>0</v>
      </c>
      <c r="AF39">
        <f>'raw data Crude oil'!AF40</f>
        <v>0</v>
      </c>
      <c r="AG39">
        <f>'raw data Crude oil'!AG40</f>
        <v>0</v>
      </c>
      <c r="AH39">
        <f>'raw data Crude oil'!AH40</f>
        <v>0</v>
      </c>
      <c r="AI39">
        <f>'raw data Crude oil'!AI40</f>
        <v>0</v>
      </c>
      <c r="AJ39">
        <f>'raw data Crude oil'!AJ40</f>
        <v>0</v>
      </c>
      <c r="AK39">
        <f>'raw data Crude oil'!AK40</f>
        <v>0</v>
      </c>
    </row>
    <row r="40" spans="1:37" x14ac:dyDescent="0.3">
      <c r="A40" s="18">
        <f>'raw data Crude oil'!A41</f>
        <v>42789</v>
      </c>
      <c r="B40">
        <f>'raw data Crude oil'!B41</f>
        <v>56.58</v>
      </c>
      <c r="C40">
        <f>'raw data Crude oil'!C41</f>
        <v>56.82</v>
      </c>
      <c r="D40">
        <f>'raw data Crude oil'!D41</f>
        <v>56.98</v>
      </c>
      <c r="E40">
        <f>'raw data Crude oil'!E41</f>
        <v>57.07</v>
      </c>
      <c r="F40">
        <f>'raw data Crude oil'!F41</f>
        <v>57.13</v>
      </c>
      <c r="G40">
        <f>'raw data Crude oil'!G41</f>
        <v>57.13</v>
      </c>
      <c r="H40">
        <f>'raw data Crude oil'!H41</f>
        <v>57.06</v>
      </c>
      <c r="I40">
        <f>'raw data Crude oil'!I41</f>
        <v>56.94</v>
      </c>
      <c r="J40">
        <f>'raw data Crude oil'!J41</f>
        <v>56.82</v>
      </c>
      <c r="K40">
        <f>'raw data Crude oil'!K41</f>
        <v>56.71</v>
      </c>
      <c r="L40">
        <f>'raw data Crude oil'!L41</f>
        <v>56.62</v>
      </c>
      <c r="M40">
        <f>'raw data Crude oil'!M41</f>
        <v>56.51</v>
      </c>
      <c r="N40">
        <f>'raw data Crude oil'!N41</f>
        <v>54.45</v>
      </c>
      <c r="O40">
        <f>'raw data Crude oil'!O41</f>
        <v>54.76</v>
      </c>
      <c r="P40">
        <f>'raw data Crude oil'!P41</f>
        <v>54.96</v>
      </c>
      <c r="Q40">
        <f>'raw data Crude oil'!Q41</f>
        <v>55.13</v>
      </c>
      <c r="R40">
        <f>'raw data Crude oil'!R41</f>
        <v>55.23</v>
      </c>
      <c r="S40">
        <f>'raw data Crude oil'!S41</f>
        <v>55.27</v>
      </c>
      <c r="T40">
        <f>'raw data Crude oil'!T41</f>
        <v>55.27</v>
      </c>
      <c r="U40">
        <f>'raw data Crude oil'!U41</f>
        <v>55.25</v>
      </c>
      <c r="V40">
        <f>'raw data Crude oil'!V41</f>
        <v>55.22</v>
      </c>
      <c r="W40">
        <f>'raw data Crude oil'!W41</f>
        <v>55.16</v>
      </c>
      <c r="X40">
        <f>'raw data Crude oil'!X41</f>
        <v>55.09</v>
      </c>
      <c r="Y40">
        <f>'raw data Crude oil'!Y41</f>
        <v>55.01</v>
      </c>
      <c r="Z40">
        <f>'raw data Crude oil'!Z41</f>
        <v>0</v>
      </c>
      <c r="AA40">
        <f>'raw data Crude oil'!AA41</f>
        <v>0</v>
      </c>
      <c r="AB40">
        <f>'raw data Crude oil'!AB41</f>
        <v>0</v>
      </c>
      <c r="AC40">
        <f>'raw data Crude oil'!AC41</f>
        <v>0</v>
      </c>
      <c r="AD40">
        <f>'raw data Crude oil'!AD41</f>
        <v>0</v>
      </c>
      <c r="AE40">
        <f>'raw data Crude oil'!AE41</f>
        <v>0</v>
      </c>
      <c r="AF40">
        <f>'raw data Crude oil'!AF41</f>
        <v>0</v>
      </c>
      <c r="AG40">
        <f>'raw data Crude oil'!AG41</f>
        <v>0</v>
      </c>
      <c r="AH40">
        <f>'raw data Crude oil'!AH41</f>
        <v>0</v>
      </c>
      <c r="AI40">
        <f>'raw data Crude oil'!AI41</f>
        <v>0</v>
      </c>
      <c r="AJ40">
        <f>'raw data Crude oil'!AJ41</f>
        <v>0</v>
      </c>
      <c r="AK40">
        <f>'raw data Crude oil'!AK41</f>
        <v>0</v>
      </c>
    </row>
    <row r="41" spans="1:37" x14ac:dyDescent="0.3">
      <c r="A41" s="18">
        <f>'raw data Crude oil'!A42</f>
        <v>42790</v>
      </c>
      <c r="B41">
        <f>'raw data Crude oil'!B42</f>
        <v>55.99</v>
      </c>
      <c r="C41">
        <f>'raw data Crude oil'!C42</f>
        <v>56.31</v>
      </c>
      <c r="D41">
        <f>'raw data Crude oil'!D42</f>
        <v>56.55</v>
      </c>
      <c r="E41">
        <f>'raw data Crude oil'!E42</f>
        <v>56.69</v>
      </c>
      <c r="F41">
        <f>'raw data Crude oil'!F42</f>
        <v>56.77</v>
      </c>
      <c r="G41">
        <f>'raw data Crude oil'!G42</f>
        <v>56.78</v>
      </c>
      <c r="H41">
        <f>'raw data Crude oil'!H42</f>
        <v>56.73</v>
      </c>
      <c r="I41">
        <f>'raw data Crude oil'!I42</f>
        <v>56.64</v>
      </c>
      <c r="J41">
        <f>'raw data Crude oil'!J42</f>
        <v>56.54</v>
      </c>
      <c r="K41">
        <f>'raw data Crude oil'!K42</f>
        <v>56.45</v>
      </c>
      <c r="L41">
        <f>'raw data Crude oil'!L42</f>
        <v>56.36</v>
      </c>
      <c r="M41">
        <f>'raw data Crude oil'!M42</f>
        <v>56.26</v>
      </c>
      <c r="N41">
        <f>'raw data Crude oil'!N42</f>
        <v>53.99</v>
      </c>
      <c r="O41">
        <f>'raw data Crude oil'!O42</f>
        <v>54.32</v>
      </c>
      <c r="P41">
        <f>'raw data Crude oil'!P42</f>
        <v>54.56</v>
      </c>
      <c r="Q41">
        <f>'raw data Crude oil'!Q42</f>
        <v>54.76</v>
      </c>
      <c r="R41">
        <f>'raw data Crude oil'!R42</f>
        <v>54.89</v>
      </c>
      <c r="S41">
        <f>'raw data Crude oil'!S42</f>
        <v>54.94</v>
      </c>
      <c r="T41">
        <f>'raw data Crude oil'!T42</f>
        <v>54.94</v>
      </c>
      <c r="U41">
        <f>'raw data Crude oil'!U42</f>
        <v>54.92</v>
      </c>
      <c r="V41">
        <f>'raw data Crude oil'!V42</f>
        <v>54.89</v>
      </c>
      <c r="W41">
        <f>'raw data Crude oil'!W42</f>
        <v>54.83</v>
      </c>
      <c r="X41">
        <f>'raw data Crude oil'!X42</f>
        <v>54.76</v>
      </c>
      <c r="Y41">
        <f>'raw data Crude oil'!Y42</f>
        <v>54.68</v>
      </c>
      <c r="Z41">
        <f>'raw data Crude oil'!Z42</f>
        <v>0</v>
      </c>
      <c r="AA41">
        <f>'raw data Crude oil'!AA42</f>
        <v>0</v>
      </c>
      <c r="AB41">
        <f>'raw data Crude oil'!AB42</f>
        <v>0</v>
      </c>
      <c r="AC41">
        <f>'raw data Crude oil'!AC42</f>
        <v>0</v>
      </c>
      <c r="AD41">
        <f>'raw data Crude oil'!AD42</f>
        <v>0</v>
      </c>
      <c r="AE41">
        <f>'raw data Crude oil'!AE42</f>
        <v>0</v>
      </c>
      <c r="AF41">
        <f>'raw data Crude oil'!AF42</f>
        <v>0</v>
      </c>
      <c r="AG41">
        <f>'raw data Crude oil'!AG42</f>
        <v>0</v>
      </c>
      <c r="AH41">
        <f>'raw data Crude oil'!AH42</f>
        <v>0</v>
      </c>
      <c r="AI41">
        <f>'raw data Crude oil'!AI42</f>
        <v>0</v>
      </c>
      <c r="AJ41">
        <f>'raw data Crude oil'!AJ42</f>
        <v>0</v>
      </c>
      <c r="AK41">
        <f>'raw data Crude oil'!AK42</f>
        <v>0</v>
      </c>
    </row>
    <row r="42" spans="1:37" x14ac:dyDescent="0.3">
      <c r="A42" s="18">
        <f>'raw data Crude oil'!A43</f>
        <v>42793</v>
      </c>
      <c r="B42">
        <f>'raw data Crude oil'!B43</f>
        <v>55.93</v>
      </c>
      <c r="C42">
        <f>'raw data Crude oil'!C43</f>
        <v>56.42</v>
      </c>
      <c r="D42">
        <f>'raw data Crude oil'!D43</f>
        <v>56.72</v>
      </c>
      <c r="E42">
        <f>'raw data Crude oil'!E43</f>
        <v>56.87</v>
      </c>
      <c r="F42">
        <f>'raw data Crude oil'!F43</f>
        <v>56.94</v>
      </c>
      <c r="G42">
        <f>'raw data Crude oil'!G43</f>
        <v>56.93</v>
      </c>
      <c r="H42">
        <f>'raw data Crude oil'!H43</f>
        <v>56.86</v>
      </c>
      <c r="I42">
        <f>'raw data Crude oil'!I43</f>
        <v>56.75</v>
      </c>
      <c r="J42">
        <f>'raw data Crude oil'!J43</f>
        <v>56.64</v>
      </c>
      <c r="K42">
        <f>'raw data Crude oil'!K43</f>
        <v>56.55</v>
      </c>
      <c r="L42">
        <f>'raw data Crude oil'!L43</f>
        <v>56.46</v>
      </c>
      <c r="M42">
        <f>'raw data Crude oil'!M43</f>
        <v>56.37</v>
      </c>
      <c r="N42">
        <f>'raw data Crude oil'!N43</f>
        <v>54.05</v>
      </c>
      <c r="O42">
        <f>'raw data Crude oil'!O43</f>
        <v>54.42</v>
      </c>
      <c r="P42">
        <f>'raw data Crude oil'!P43</f>
        <v>54.69</v>
      </c>
      <c r="Q42">
        <f>'raw data Crude oil'!Q43</f>
        <v>54.9</v>
      </c>
      <c r="R42">
        <f>'raw data Crude oil'!R43</f>
        <v>55.04</v>
      </c>
      <c r="S42">
        <f>'raw data Crude oil'!S43</f>
        <v>55.09</v>
      </c>
      <c r="T42">
        <f>'raw data Crude oil'!T43</f>
        <v>55.1</v>
      </c>
      <c r="U42">
        <f>'raw data Crude oil'!U43</f>
        <v>55.09</v>
      </c>
      <c r="V42">
        <f>'raw data Crude oil'!V43</f>
        <v>55.06</v>
      </c>
      <c r="W42">
        <f>'raw data Crude oil'!W43</f>
        <v>55.01</v>
      </c>
      <c r="X42">
        <f>'raw data Crude oil'!X43</f>
        <v>54.95</v>
      </c>
      <c r="Y42">
        <f>'raw data Crude oil'!Y43</f>
        <v>54.88</v>
      </c>
      <c r="Z42">
        <f>'raw data Crude oil'!Z43</f>
        <v>0</v>
      </c>
      <c r="AA42">
        <f>'raw data Crude oil'!AA43</f>
        <v>0</v>
      </c>
      <c r="AB42">
        <f>'raw data Crude oil'!AB43</f>
        <v>0</v>
      </c>
      <c r="AC42">
        <f>'raw data Crude oil'!AC43</f>
        <v>0</v>
      </c>
      <c r="AD42">
        <f>'raw data Crude oil'!AD43</f>
        <v>0</v>
      </c>
      <c r="AE42">
        <f>'raw data Crude oil'!AE43</f>
        <v>0</v>
      </c>
      <c r="AF42">
        <f>'raw data Crude oil'!AF43</f>
        <v>0</v>
      </c>
      <c r="AG42">
        <f>'raw data Crude oil'!AG43</f>
        <v>0</v>
      </c>
      <c r="AH42">
        <f>'raw data Crude oil'!AH43</f>
        <v>0</v>
      </c>
      <c r="AI42">
        <f>'raw data Crude oil'!AI43</f>
        <v>0</v>
      </c>
      <c r="AJ42">
        <f>'raw data Crude oil'!AJ43</f>
        <v>0</v>
      </c>
      <c r="AK42">
        <f>'raw data Crude oil'!AK43</f>
        <v>0</v>
      </c>
    </row>
    <row r="43" spans="1:37" x14ac:dyDescent="0.3">
      <c r="A43" s="18">
        <f>'raw data Crude oil'!A44</f>
        <v>42794</v>
      </c>
      <c r="B43">
        <f>'raw data Crude oil'!B44</f>
        <v>55.59</v>
      </c>
      <c r="C43">
        <f>'raw data Crude oil'!C44</f>
        <v>56.51</v>
      </c>
      <c r="D43">
        <f>'raw data Crude oil'!D44</f>
        <v>56.84</v>
      </c>
      <c r="E43">
        <f>'raw data Crude oil'!E44</f>
        <v>57.01</v>
      </c>
      <c r="F43">
        <f>'raw data Crude oil'!F44</f>
        <v>57.1</v>
      </c>
      <c r="G43">
        <f>'raw data Crude oil'!G44</f>
        <v>57.11</v>
      </c>
      <c r="H43">
        <f>'raw data Crude oil'!H44</f>
        <v>57.05</v>
      </c>
      <c r="I43">
        <f>'raw data Crude oil'!I44</f>
        <v>56.96</v>
      </c>
      <c r="J43">
        <f>'raw data Crude oil'!J44</f>
        <v>56.86</v>
      </c>
      <c r="K43">
        <f>'raw data Crude oil'!K44</f>
        <v>56.79</v>
      </c>
      <c r="L43">
        <f>'raw data Crude oil'!L44</f>
        <v>56.72</v>
      </c>
      <c r="M43">
        <f>'raw data Crude oil'!M44</f>
        <v>56.65</v>
      </c>
      <c r="N43">
        <f>'raw data Crude oil'!N44</f>
        <v>54.01</v>
      </c>
      <c r="O43">
        <f>'raw data Crude oil'!O44</f>
        <v>54.43</v>
      </c>
      <c r="P43">
        <f>'raw data Crude oil'!P44</f>
        <v>54.75</v>
      </c>
      <c r="Q43">
        <f>'raw data Crude oil'!Q44</f>
        <v>55</v>
      </c>
      <c r="R43">
        <f>'raw data Crude oil'!R44</f>
        <v>55.17</v>
      </c>
      <c r="S43">
        <f>'raw data Crude oil'!S44</f>
        <v>55.25</v>
      </c>
      <c r="T43">
        <f>'raw data Crude oil'!T44</f>
        <v>55.28</v>
      </c>
      <c r="U43">
        <f>'raw data Crude oil'!U44</f>
        <v>55.29</v>
      </c>
      <c r="V43">
        <f>'raw data Crude oil'!V44</f>
        <v>55.28</v>
      </c>
      <c r="W43">
        <f>'raw data Crude oil'!W44</f>
        <v>55.25</v>
      </c>
      <c r="X43">
        <f>'raw data Crude oil'!X44</f>
        <v>55.21</v>
      </c>
      <c r="Y43">
        <f>'raw data Crude oil'!Y44</f>
        <v>55.17</v>
      </c>
      <c r="Z43">
        <f>'raw data Crude oil'!Z44</f>
        <v>0</v>
      </c>
      <c r="AA43">
        <f>'raw data Crude oil'!AA44</f>
        <v>0</v>
      </c>
      <c r="AB43">
        <f>'raw data Crude oil'!AB44</f>
        <v>0</v>
      </c>
      <c r="AC43">
        <f>'raw data Crude oil'!AC44</f>
        <v>0</v>
      </c>
      <c r="AD43">
        <f>'raw data Crude oil'!AD44</f>
        <v>0</v>
      </c>
      <c r="AE43">
        <f>'raw data Crude oil'!AE44</f>
        <v>0</v>
      </c>
      <c r="AF43">
        <f>'raw data Crude oil'!AF44</f>
        <v>0</v>
      </c>
      <c r="AG43">
        <f>'raw data Crude oil'!AG44</f>
        <v>0</v>
      </c>
      <c r="AH43">
        <f>'raw data Crude oil'!AH44</f>
        <v>0</v>
      </c>
      <c r="AI43">
        <f>'raw data Crude oil'!AI44</f>
        <v>0</v>
      </c>
      <c r="AJ43">
        <f>'raw data Crude oil'!AJ44</f>
        <v>0</v>
      </c>
      <c r="AK43">
        <f>'raw data Crude oil'!AK44</f>
        <v>0</v>
      </c>
    </row>
    <row r="44" spans="1:37" x14ac:dyDescent="0.3">
      <c r="A44" s="18">
        <f>'raw data Crude oil'!A45</f>
        <v>42795</v>
      </c>
      <c r="B44">
        <f>'raw data Crude oil'!B45</f>
        <v>56.36</v>
      </c>
      <c r="C44">
        <f>'raw data Crude oil'!C45</f>
        <v>56.66</v>
      </c>
      <c r="D44">
        <f>'raw data Crude oil'!D45</f>
        <v>56.83</v>
      </c>
      <c r="E44">
        <f>'raw data Crude oil'!E45</f>
        <v>56.93</v>
      </c>
      <c r="F44">
        <f>'raw data Crude oil'!F45</f>
        <v>56.94</v>
      </c>
      <c r="G44">
        <f>'raw data Crude oil'!G45</f>
        <v>56.9</v>
      </c>
      <c r="H44">
        <f>'raw data Crude oil'!H45</f>
        <v>56.81</v>
      </c>
      <c r="I44">
        <f>'raw data Crude oil'!I45</f>
        <v>56.71</v>
      </c>
      <c r="J44">
        <f>'raw data Crude oil'!J45</f>
        <v>56.63</v>
      </c>
      <c r="K44">
        <f>'raw data Crude oil'!K45</f>
        <v>56.55</v>
      </c>
      <c r="L44">
        <f>'raw data Crude oil'!L45</f>
        <v>56.48</v>
      </c>
      <c r="M44">
        <f>'raw data Crude oil'!M45</f>
        <v>56.42</v>
      </c>
      <c r="N44">
        <f>'raw data Crude oil'!N45</f>
        <v>53.83</v>
      </c>
      <c r="O44">
        <f>'raw data Crude oil'!O45</f>
        <v>54.28</v>
      </c>
      <c r="P44">
        <f>'raw data Crude oil'!P45</f>
        <v>54.61</v>
      </c>
      <c r="Q44">
        <f>'raw data Crude oil'!Q45</f>
        <v>54.87</v>
      </c>
      <c r="R44">
        <f>'raw data Crude oil'!R45</f>
        <v>55.05</v>
      </c>
      <c r="S44">
        <f>'raw data Crude oil'!S45</f>
        <v>55.14</v>
      </c>
      <c r="T44">
        <f>'raw data Crude oil'!T45</f>
        <v>55.17</v>
      </c>
      <c r="U44">
        <f>'raw data Crude oil'!U45</f>
        <v>55.17</v>
      </c>
      <c r="V44">
        <f>'raw data Crude oil'!V45</f>
        <v>55.15</v>
      </c>
      <c r="W44">
        <f>'raw data Crude oil'!W45</f>
        <v>55.11</v>
      </c>
      <c r="X44">
        <f>'raw data Crude oil'!X45</f>
        <v>55.07</v>
      </c>
      <c r="Y44">
        <f>'raw data Crude oil'!Y45</f>
        <v>55.03</v>
      </c>
      <c r="Z44">
        <f>'raw data Crude oil'!Z45</f>
        <v>0</v>
      </c>
      <c r="AA44">
        <f>'raw data Crude oil'!AA45</f>
        <v>0</v>
      </c>
      <c r="AB44">
        <f>'raw data Crude oil'!AB45</f>
        <v>0</v>
      </c>
      <c r="AC44">
        <f>'raw data Crude oil'!AC45</f>
        <v>0</v>
      </c>
      <c r="AD44">
        <f>'raw data Crude oil'!AD45</f>
        <v>0</v>
      </c>
      <c r="AE44">
        <f>'raw data Crude oil'!AE45</f>
        <v>0</v>
      </c>
      <c r="AF44">
        <f>'raw data Crude oil'!AF45</f>
        <v>0</v>
      </c>
      <c r="AG44">
        <f>'raw data Crude oil'!AG45</f>
        <v>0</v>
      </c>
      <c r="AH44">
        <f>'raw data Crude oil'!AH45</f>
        <v>0</v>
      </c>
      <c r="AI44">
        <f>'raw data Crude oil'!AI45</f>
        <v>0</v>
      </c>
      <c r="AJ44">
        <f>'raw data Crude oil'!AJ45</f>
        <v>0</v>
      </c>
      <c r="AK44">
        <f>'raw data Crude oil'!AK45</f>
        <v>0</v>
      </c>
    </row>
    <row r="45" spans="1:37" x14ac:dyDescent="0.3">
      <c r="A45" s="18">
        <f>'raw data Crude oil'!A46</f>
        <v>42796</v>
      </c>
      <c r="B45">
        <f>'raw data Crude oil'!B46</f>
        <v>55.08</v>
      </c>
      <c r="C45">
        <f>'raw data Crude oil'!C46</f>
        <v>55.37</v>
      </c>
      <c r="D45">
        <f>'raw data Crude oil'!D46</f>
        <v>55.56</v>
      </c>
      <c r="E45">
        <f>'raw data Crude oil'!E46</f>
        <v>55.71</v>
      </c>
      <c r="F45">
        <f>'raw data Crude oil'!F46</f>
        <v>55.78</v>
      </c>
      <c r="G45">
        <f>'raw data Crude oil'!G46</f>
        <v>55.8</v>
      </c>
      <c r="H45">
        <f>'raw data Crude oil'!H46</f>
        <v>55.79</v>
      </c>
      <c r="I45">
        <f>'raw data Crude oil'!I46</f>
        <v>55.77</v>
      </c>
      <c r="J45">
        <f>'raw data Crude oil'!J46</f>
        <v>55.76</v>
      </c>
      <c r="K45">
        <f>'raw data Crude oil'!K46</f>
        <v>55.73</v>
      </c>
      <c r="L45">
        <f>'raw data Crude oil'!L46</f>
        <v>55.71</v>
      </c>
      <c r="M45">
        <f>'raw data Crude oil'!M46</f>
        <v>55.69</v>
      </c>
      <c r="N45">
        <f>'raw data Crude oil'!N46</f>
        <v>52.61</v>
      </c>
      <c r="O45">
        <f>'raw data Crude oil'!O46</f>
        <v>53.07</v>
      </c>
      <c r="P45">
        <f>'raw data Crude oil'!P46</f>
        <v>53.41</v>
      </c>
      <c r="Q45">
        <f>'raw data Crude oil'!Q46</f>
        <v>53.69</v>
      </c>
      <c r="R45">
        <f>'raw data Crude oil'!R46</f>
        <v>53.9</v>
      </c>
      <c r="S45">
        <f>'raw data Crude oil'!S46</f>
        <v>54.01</v>
      </c>
      <c r="T45">
        <f>'raw data Crude oil'!T46</f>
        <v>54.07</v>
      </c>
      <c r="U45">
        <f>'raw data Crude oil'!U46</f>
        <v>54.11</v>
      </c>
      <c r="V45">
        <f>'raw data Crude oil'!V46</f>
        <v>54.14</v>
      </c>
      <c r="W45">
        <f>'raw data Crude oil'!W46</f>
        <v>54.14</v>
      </c>
      <c r="X45">
        <f>'raw data Crude oil'!X46</f>
        <v>54.13</v>
      </c>
      <c r="Y45">
        <f>'raw data Crude oil'!Y46</f>
        <v>54.12</v>
      </c>
      <c r="Z45">
        <f>'raw data Crude oil'!Z46</f>
        <v>0</v>
      </c>
      <c r="AA45">
        <f>'raw data Crude oil'!AA46</f>
        <v>0</v>
      </c>
      <c r="AB45">
        <f>'raw data Crude oil'!AB46</f>
        <v>0</v>
      </c>
      <c r="AC45">
        <f>'raw data Crude oil'!AC46</f>
        <v>0</v>
      </c>
      <c r="AD45">
        <f>'raw data Crude oil'!AD46</f>
        <v>0</v>
      </c>
      <c r="AE45">
        <f>'raw data Crude oil'!AE46</f>
        <v>0</v>
      </c>
      <c r="AF45">
        <f>'raw data Crude oil'!AF46</f>
        <v>0</v>
      </c>
      <c r="AG45">
        <f>'raw data Crude oil'!AG46</f>
        <v>0</v>
      </c>
      <c r="AH45">
        <f>'raw data Crude oil'!AH46</f>
        <v>0</v>
      </c>
      <c r="AI45">
        <f>'raw data Crude oil'!AI46</f>
        <v>0</v>
      </c>
      <c r="AJ45">
        <f>'raw data Crude oil'!AJ46</f>
        <v>0</v>
      </c>
      <c r="AK45">
        <f>'raw data Crude oil'!AK46</f>
        <v>0</v>
      </c>
    </row>
    <row r="46" spans="1:37" x14ac:dyDescent="0.3">
      <c r="A46" s="18">
        <f>'raw data Crude oil'!A47</f>
        <v>42797</v>
      </c>
      <c r="B46">
        <f>'raw data Crude oil'!B47</f>
        <v>55.9</v>
      </c>
      <c r="C46">
        <f>'raw data Crude oil'!C47</f>
        <v>56.16</v>
      </c>
      <c r="D46">
        <f>'raw data Crude oil'!D47</f>
        <v>56.36</v>
      </c>
      <c r="E46">
        <f>'raw data Crude oil'!E47</f>
        <v>56.49</v>
      </c>
      <c r="F46">
        <f>'raw data Crude oil'!F47</f>
        <v>56.54</v>
      </c>
      <c r="G46">
        <f>'raw data Crude oil'!G47</f>
        <v>56.53</v>
      </c>
      <c r="H46">
        <f>'raw data Crude oil'!H47</f>
        <v>56.49</v>
      </c>
      <c r="I46">
        <f>'raw data Crude oil'!I47</f>
        <v>56.44</v>
      </c>
      <c r="J46">
        <f>'raw data Crude oil'!J47</f>
        <v>56.4</v>
      </c>
      <c r="K46">
        <f>'raw data Crude oil'!K47</f>
        <v>56.35</v>
      </c>
      <c r="L46">
        <f>'raw data Crude oil'!L47</f>
        <v>56.3</v>
      </c>
      <c r="M46">
        <f>'raw data Crude oil'!M47</f>
        <v>56.25</v>
      </c>
      <c r="N46">
        <f>'raw data Crude oil'!N47</f>
        <v>53.33</v>
      </c>
      <c r="O46">
        <f>'raw data Crude oil'!O47</f>
        <v>53.78</v>
      </c>
      <c r="P46">
        <f>'raw data Crude oil'!P47</f>
        <v>54.12</v>
      </c>
      <c r="Q46">
        <f>'raw data Crude oil'!Q47</f>
        <v>54.39</v>
      </c>
      <c r="R46">
        <f>'raw data Crude oil'!R47</f>
        <v>54.59</v>
      </c>
      <c r="S46">
        <f>'raw data Crude oil'!S47</f>
        <v>54.7</v>
      </c>
      <c r="T46">
        <f>'raw data Crude oil'!T47</f>
        <v>54.76</v>
      </c>
      <c r="U46">
        <f>'raw data Crude oil'!U47</f>
        <v>54.79</v>
      </c>
      <c r="V46">
        <f>'raw data Crude oil'!V47</f>
        <v>54.8</v>
      </c>
      <c r="W46">
        <f>'raw data Crude oil'!W47</f>
        <v>54.78</v>
      </c>
      <c r="X46">
        <f>'raw data Crude oil'!X47</f>
        <v>54.75</v>
      </c>
      <c r="Y46">
        <f>'raw data Crude oil'!Y47</f>
        <v>54.73</v>
      </c>
      <c r="Z46">
        <f>'raw data Crude oil'!Z47</f>
        <v>0</v>
      </c>
      <c r="AA46">
        <f>'raw data Crude oil'!AA47</f>
        <v>0</v>
      </c>
      <c r="AB46">
        <f>'raw data Crude oil'!AB47</f>
        <v>0</v>
      </c>
      <c r="AC46">
        <f>'raw data Crude oil'!AC47</f>
        <v>0</v>
      </c>
      <c r="AD46">
        <f>'raw data Crude oil'!AD47</f>
        <v>0</v>
      </c>
      <c r="AE46">
        <f>'raw data Crude oil'!AE47</f>
        <v>0</v>
      </c>
      <c r="AF46">
        <f>'raw data Crude oil'!AF47</f>
        <v>0</v>
      </c>
      <c r="AG46">
        <f>'raw data Crude oil'!AG47</f>
        <v>0</v>
      </c>
      <c r="AH46">
        <f>'raw data Crude oil'!AH47</f>
        <v>0</v>
      </c>
      <c r="AI46">
        <f>'raw data Crude oil'!AI47</f>
        <v>0</v>
      </c>
      <c r="AJ46">
        <f>'raw data Crude oil'!AJ47</f>
        <v>0</v>
      </c>
      <c r="AK46">
        <f>'raw data Crude oil'!AK47</f>
        <v>0</v>
      </c>
    </row>
    <row r="47" spans="1:37" x14ac:dyDescent="0.3">
      <c r="A47" s="18">
        <f>'raw data Crude oil'!A48</f>
        <v>42800</v>
      </c>
      <c r="B47">
        <f>'raw data Crude oil'!B48</f>
        <v>56.01</v>
      </c>
      <c r="C47">
        <f>'raw data Crude oil'!C48</f>
        <v>56.26</v>
      </c>
      <c r="D47">
        <f>'raw data Crude oil'!D48</f>
        <v>56.45</v>
      </c>
      <c r="E47">
        <f>'raw data Crude oil'!E48</f>
        <v>56.6</v>
      </c>
      <c r="F47">
        <f>'raw data Crude oil'!F48</f>
        <v>56.67</v>
      </c>
      <c r="G47">
        <f>'raw data Crude oil'!G48</f>
        <v>56.67</v>
      </c>
      <c r="H47">
        <f>'raw data Crude oil'!H48</f>
        <v>56.64</v>
      </c>
      <c r="I47">
        <f>'raw data Crude oil'!I48</f>
        <v>56.59</v>
      </c>
      <c r="J47">
        <f>'raw data Crude oil'!J48</f>
        <v>56.54</v>
      </c>
      <c r="K47">
        <f>'raw data Crude oil'!K48</f>
        <v>56.48</v>
      </c>
      <c r="L47">
        <f>'raw data Crude oil'!L48</f>
        <v>56.43</v>
      </c>
      <c r="M47">
        <f>'raw data Crude oil'!M48</f>
        <v>56.37</v>
      </c>
      <c r="N47">
        <f>'raw data Crude oil'!N48</f>
        <v>53.2</v>
      </c>
      <c r="O47">
        <f>'raw data Crude oil'!O48</f>
        <v>53.71</v>
      </c>
      <c r="P47">
        <f>'raw data Crude oil'!P48</f>
        <v>54.11</v>
      </c>
      <c r="Q47">
        <f>'raw data Crude oil'!Q48</f>
        <v>54.42</v>
      </c>
      <c r="R47">
        <f>'raw data Crude oil'!R48</f>
        <v>54.64</v>
      </c>
      <c r="S47">
        <f>'raw data Crude oil'!S48</f>
        <v>54.76</v>
      </c>
      <c r="T47">
        <f>'raw data Crude oil'!T48</f>
        <v>54.83</v>
      </c>
      <c r="U47">
        <f>'raw data Crude oil'!U48</f>
        <v>54.86</v>
      </c>
      <c r="V47">
        <f>'raw data Crude oil'!V48</f>
        <v>54.88</v>
      </c>
      <c r="W47">
        <f>'raw data Crude oil'!W48</f>
        <v>54.87</v>
      </c>
      <c r="X47">
        <f>'raw data Crude oil'!X48</f>
        <v>54.85</v>
      </c>
      <c r="Y47">
        <f>'raw data Crude oil'!Y48</f>
        <v>54.83</v>
      </c>
      <c r="Z47">
        <f>'raw data Crude oil'!Z48</f>
        <v>0</v>
      </c>
      <c r="AA47">
        <f>'raw data Crude oil'!AA48</f>
        <v>0</v>
      </c>
      <c r="AB47">
        <f>'raw data Crude oil'!AB48</f>
        <v>0</v>
      </c>
      <c r="AC47">
        <f>'raw data Crude oil'!AC48</f>
        <v>0</v>
      </c>
      <c r="AD47">
        <f>'raw data Crude oil'!AD48</f>
        <v>0</v>
      </c>
      <c r="AE47">
        <f>'raw data Crude oil'!AE48</f>
        <v>0</v>
      </c>
      <c r="AF47">
        <f>'raw data Crude oil'!AF48</f>
        <v>0</v>
      </c>
      <c r="AG47">
        <f>'raw data Crude oil'!AG48</f>
        <v>0</v>
      </c>
      <c r="AH47">
        <f>'raw data Crude oil'!AH48</f>
        <v>0</v>
      </c>
      <c r="AI47">
        <f>'raw data Crude oil'!AI48</f>
        <v>0</v>
      </c>
      <c r="AJ47">
        <f>'raw data Crude oil'!AJ48</f>
        <v>0</v>
      </c>
      <c r="AK47">
        <f>'raw data Crude oil'!AK48</f>
        <v>0</v>
      </c>
    </row>
    <row r="48" spans="1:37" x14ac:dyDescent="0.3">
      <c r="A48" s="18">
        <f>'raw data Crude oil'!A49</f>
        <v>42801</v>
      </c>
      <c r="B48">
        <f>'raw data Crude oil'!B49</f>
        <v>55.92</v>
      </c>
      <c r="C48">
        <f>'raw data Crude oil'!C49</f>
        <v>56.13</v>
      </c>
      <c r="D48">
        <f>'raw data Crude oil'!D49</f>
        <v>56.3</v>
      </c>
      <c r="E48">
        <f>'raw data Crude oil'!E49</f>
        <v>56.44</v>
      </c>
      <c r="F48">
        <f>'raw data Crude oil'!F49</f>
        <v>56.51</v>
      </c>
      <c r="G48">
        <f>'raw data Crude oil'!G49</f>
        <v>56.51</v>
      </c>
      <c r="H48">
        <f>'raw data Crude oil'!H49</f>
        <v>56.48</v>
      </c>
      <c r="I48">
        <f>'raw data Crude oil'!I49</f>
        <v>56.46</v>
      </c>
      <c r="J48">
        <f>'raw data Crude oil'!J49</f>
        <v>56.43</v>
      </c>
      <c r="K48">
        <f>'raw data Crude oil'!K49</f>
        <v>56.38</v>
      </c>
      <c r="L48">
        <f>'raw data Crude oil'!L49</f>
        <v>56.32</v>
      </c>
      <c r="M48">
        <f>'raw data Crude oil'!M49</f>
        <v>56.26</v>
      </c>
      <c r="N48">
        <f>'raw data Crude oil'!N49</f>
        <v>53.14</v>
      </c>
      <c r="O48">
        <f>'raw data Crude oil'!O49</f>
        <v>53.64</v>
      </c>
      <c r="P48">
        <f>'raw data Crude oil'!P49</f>
        <v>54.02</v>
      </c>
      <c r="Q48">
        <f>'raw data Crude oil'!Q49</f>
        <v>54.32</v>
      </c>
      <c r="R48">
        <f>'raw data Crude oil'!R49</f>
        <v>54.53</v>
      </c>
      <c r="S48">
        <f>'raw data Crude oil'!S49</f>
        <v>54.65</v>
      </c>
      <c r="T48">
        <f>'raw data Crude oil'!T49</f>
        <v>54.72</v>
      </c>
      <c r="U48">
        <f>'raw data Crude oil'!U49</f>
        <v>54.76</v>
      </c>
      <c r="V48">
        <f>'raw data Crude oil'!V49</f>
        <v>54.78</v>
      </c>
      <c r="W48">
        <f>'raw data Crude oil'!W49</f>
        <v>54.76</v>
      </c>
      <c r="X48">
        <f>'raw data Crude oil'!X49</f>
        <v>54.73</v>
      </c>
      <c r="Y48">
        <f>'raw data Crude oil'!Y49</f>
        <v>54.7</v>
      </c>
      <c r="Z48">
        <f>'raw data Crude oil'!Z49</f>
        <v>0</v>
      </c>
      <c r="AA48">
        <f>'raw data Crude oil'!AA49</f>
        <v>0</v>
      </c>
      <c r="AB48">
        <f>'raw data Crude oil'!AB49</f>
        <v>0</v>
      </c>
      <c r="AC48">
        <f>'raw data Crude oil'!AC49</f>
        <v>0</v>
      </c>
      <c r="AD48">
        <f>'raw data Crude oil'!AD49</f>
        <v>0</v>
      </c>
      <c r="AE48">
        <f>'raw data Crude oil'!AE49</f>
        <v>0</v>
      </c>
      <c r="AF48">
        <f>'raw data Crude oil'!AF49</f>
        <v>0</v>
      </c>
      <c r="AG48">
        <f>'raw data Crude oil'!AG49</f>
        <v>0</v>
      </c>
      <c r="AH48">
        <f>'raw data Crude oil'!AH49</f>
        <v>0</v>
      </c>
      <c r="AI48">
        <f>'raw data Crude oil'!AI49</f>
        <v>0</v>
      </c>
      <c r="AJ48">
        <f>'raw data Crude oil'!AJ49</f>
        <v>0</v>
      </c>
      <c r="AK48">
        <f>'raw data Crude oil'!AK49</f>
        <v>0</v>
      </c>
    </row>
    <row r="49" spans="1:37" x14ac:dyDescent="0.3">
      <c r="A49" s="18">
        <f>'raw data Crude oil'!A50</f>
        <v>42802</v>
      </c>
      <c r="B49">
        <f>'raw data Crude oil'!B50</f>
        <v>53.11</v>
      </c>
      <c r="C49">
        <f>'raw data Crude oil'!C50</f>
        <v>53.37</v>
      </c>
      <c r="D49">
        <f>'raw data Crude oil'!D50</f>
        <v>53.57</v>
      </c>
      <c r="E49">
        <f>'raw data Crude oil'!E50</f>
        <v>53.74</v>
      </c>
      <c r="F49">
        <f>'raw data Crude oil'!F50</f>
        <v>53.85</v>
      </c>
      <c r="G49">
        <f>'raw data Crude oil'!G50</f>
        <v>53.9</v>
      </c>
      <c r="H49">
        <f>'raw data Crude oil'!H50</f>
        <v>53.93</v>
      </c>
      <c r="I49">
        <f>'raw data Crude oil'!I50</f>
        <v>53.97</v>
      </c>
      <c r="J49">
        <f>'raw data Crude oil'!J50</f>
        <v>54</v>
      </c>
      <c r="K49">
        <f>'raw data Crude oil'!K50</f>
        <v>53.99</v>
      </c>
      <c r="L49">
        <f>'raw data Crude oil'!L50</f>
        <v>53.98</v>
      </c>
      <c r="M49">
        <f>'raw data Crude oil'!M50</f>
        <v>53.96</v>
      </c>
      <c r="N49">
        <f>'raw data Crude oil'!N50</f>
        <v>50.28</v>
      </c>
      <c r="O49">
        <f>'raw data Crude oil'!O50</f>
        <v>50.83</v>
      </c>
      <c r="P49">
        <f>'raw data Crude oil'!P50</f>
        <v>51.24</v>
      </c>
      <c r="Q49">
        <f>'raw data Crude oil'!Q50</f>
        <v>51.57</v>
      </c>
      <c r="R49">
        <f>'raw data Crude oil'!R50</f>
        <v>51.81</v>
      </c>
      <c r="S49">
        <f>'raw data Crude oil'!S50</f>
        <v>51.96</v>
      </c>
      <c r="T49">
        <f>'raw data Crude oil'!T50</f>
        <v>52.06</v>
      </c>
      <c r="U49">
        <f>'raw data Crude oil'!U50</f>
        <v>52.13</v>
      </c>
      <c r="V49">
        <f>'raw data Crude oil'!V50</f>
        <v>52.19</v>
      </c>
      <c r="W49">
        <f>'raw data Crude oil'!W50</f>
        <v>52.21</v>
      </c>
      <c r="X49">
        <f>'raw data Crude oil'!X50</f>
        <v>52.22</v>
      </c>
      <c r="Y49">
        <f>'raw data Crude oil'!Y50</f>
        <v>52.22</v>
      </c>
      <c r="Z49">
        <f>'raw data Crude oil'!Z50</f>
        <v>0</v>
      </c>
      <c r="AA49">
        <f>'raw data Crude oil'!AA50</f>
        <v>0</v>
      </c>
      <c r="AB49">
        <f>'raw data Crude oil'!AB50</f>
        <v>0</v>
      </c>
      <c r="AC49">
        <f>'raw data Crude oil'!AC50</f>
        <v>0</v>
      </c>
      <c r="AD49">
        <f>'raw data Crude oil'!AD50</f>
        <v>0</v>
      </c>
      <c r="AE49">
        <f>'raw data Crude oil'!AE50</f>
        <v>0</v>
      </c>
      <c r="AF49">
        <f>'raw data Crude oil'!AF50</f>
        <v>0</v>
      </c>
      <c r="AG49">
        <f>'raw data Crude oil'!AG50</f>
        <v>0</v>
      </c>
      <c r="AH49">
        <f>'raw data Crude oil'!AH50</f>
        <v>0</v>
      </c>
      <c r="AI49">
        <f>'raw data Crude oil'!AI50</f>
        <v>0</v>
      </c>
      <c r="AJ49">
        <f>'raw data Crude oil'!AJ50</f>
        <v>0</v>
      </c>
      <c r="AK49">
        <f>'raw data Crude oil'!AK50</f>
        <v>0</v>
      </c>
    </row>
    <row r="50" spans="1:37" x14ac:dyDescent="0.3">
      <c r="A50" s="18">
        <f>'raw data Crude oil'!A51</f>
        <v>42803</v>
      </c>
      <c r="B50">
        <f>'raw data Crude oil'!B51</f>
        <v>52.19</v>
      </c>
      <c r="C50">
        <f>'raw data Crude oil'!C51</f>
        <v>52.46</v>
      </c>
      <c r="D50">
        <f>'raw data Crude oil'!D51</f>
        <v>52.68</v>
      </c>
      <c r="E50">
        <f>'raw data Crude oil'!E51</f>
        <v>52.85</v>
      </c>
      <c r="F50">
        <f>'raw data Crude oil'!F51</f>
        <v>52.96</v>
      </c>
      <c r="G50">
        <f>'raw data Crude oil'!G51</f>
        <v>53.02</v>
      </c>
      <c r="H50">
        <f>'raw data Crude oil'!H51</f>
        <v>53.05</v>
      </c>
      <c r="I50">
        <f>'raw data Crude oil'!I51</f>
        <v>53.1</v>
      </c>
      <c r="J50">
        <f>'raw data Crude oil'!J51</f>
        <v>53.14</v>
      </c>
      <c r="K50">
        <f>'raw data Crude oil'!K51</f>
        <v>53.15</v>
      </c>
      <c r="L50">
        <f>'raw data Crude oil'!L51</f>
        <v>53.15</v>
      </c>
      <c r="M50">
        <f>'raw data Crude oil'!M51</f>
        <v>53.13</v>
      </c>
      <c r="N50">
        <f>'raw data Crude oil'!N51</f>
        <v>49.28</v>
      </c>
      <c r="O50">
        <f>'raw data Crude oil'!O51</f>
        <v>49.83</v>
      </c>
      <c r="P50">
        <f>'raw data Crude oil'!P51</f>
        <v>50.25</v>
      </c>
      <c r="Q50">
        <f>'raw data Crude oil'!Q51</f>
        <v>50.59</v>
      </c>
      <c r="R50">
        <f>'raw data Crude oil'!R51</f>
        <v>50.84</v>
      </c>
      <c r="S50">
        <f>'raw data Crude oil'!S51</f>
        <v>51.01</v>
      </c>
      <c r="T50">
        <f>'raw data Crude oil'!T51</f>
        <v>51.13</v>
      </c>
      <c r="U50">
        <f>'raw data Crude oil'!U51</f>
        <v>51.22</v>
      </c>
      <c r="V50">
        <f>'raw data Crude oil'!V51</f>
        <v>51.29</v>
      </c>
      <c r="W50">
        <f>'raw data Crude oil'!W51</f>
        <v>51.33</v>
      </c>
      <c r="X50">
        <f>'raw data Crude oil'!X51</f>
        <v>51.35</v>
      </c>
      <c r="Y50">
        <f>'raw data Crude oil'!Y51</f>
        <v>51.36</v>
      </c>
      <c r="Z50">
        <f>'raw data Crude oil'!Z51</f>
        <v>0</v>
      </c>
      <c r="AA50">
        <f>'raw data Crude oil'!AA51</f>
        <v>0</v>
      </c>
      <c r="AB50">
        <f>'raw data Crude oil'!AB51</f>
        <v>0</v>
      </c>
      <c r="AC50">
        <f>'raw data Crude oil'!AC51</f>
        <v>0</v>
      </c>
      <c r="AD50">
        <f>'raw data Crude oil'!AD51</f>
        <v>0</v>
      </c>
      <c r="AE50">
        <f>'raw data Crude oil'!AE51</f>
        <v>0</v>
      </c>
      <c r="AF50">
        <f>'raw data Crude oil'!AF51</f>
        <v>0</v>
      </c>
      <c r="AG50">
        <f>'raw data Crude oil'!AG51</f>
        <v>0</v>
      </c>
      <c r="AH50">
        <f>'raw data Crude oil'!AH51</f>
        <v>0</v>
      </c>
      <c r="AI50">
        <f>'raw data Crude oil'!AI51</f>
        <v>0</v>
      </c>
      <c r="AJ50">
        <f>'raw data Crude oil'!AJ51</f>
        <v>0</v>
      </c>
      <c r="AK50">
        <f>'raw data Crude oil'!AK51</f>
        <v>0</v>
      </c>
    </row>
    <row r="51" spans="1:37" x14ac:dyDescent="0.3">
      <c r="A51" s="18">
        <f>'raw data Crude oil'!A52</f>
        <v>42804</v>
      </c>
      <c r="B51">
        <f>'raw data Crude oil'!B52</f>
        <v>51.37</v>
      </c>
      <c r="C51">
        <f>'raw data Crude oil'!C52</f>
        <v>51.63</v>
      </c>
      <c r="D51">
        <f>'raw data Crude oil'!D52</f>
        <v>51.83</v>
      </c>
      <c r="E51">
        <f>'raw data Crude oil'!E52</f>
        <v>51.98</v>
      </c>
      <c r="F51">
        <f>'raw data Crude oil'!F52</f>
        <v>52.08</v>
      </c>
      <c r="G51">
        <f>'raw data Crude oil'!G52</f>
        <v>52.14</v>
      </c>
      <c r="H51">
        <f>'raw data Crude oil'!H52</f>
        <v>52.18</v>
      </c>
      <c r="I51">
        <f>'raw data Crude oil'!I52</f>
        <v>52.23</v>
      </c>
      <c r="J51">
        <f>'raw data Crude oil'!J52</f>
        <v>52.28</v>
      </c>
      <c r="K51">
        <f>'raw data Crude oil'!K52</f>
        <v>52.29</v>
      </c>
      <c r="L51">
        <f>'raw data Crude oil'!L52</f>
        <v>52.29</v>
      </c>
      <c r="M51">
        <f>'raw data Crude oil'!M52</f>
        <v>52.27</v>
      </c>
      <c r="N51">
        <f>'raw data Crude oil'!N52</f>
        <v>48.49</v>
      </c>
      <c r="O51">
        <f>'raw data Crude oil'!O52</f>
        <v>49.03</v>
      </c>
      <c r="P51">
        <f>'raw data Crude oil'!P52</f>
        <v>49.45</v>
      </c>
      <c r="Q51">
        <f>'raw data Crude oil'!Q52</f>
        <v>49.77</v>
      </c>
      <c r="R51">
        <f>'raw data Crude oil'!R52</f>
        <v>50.01</v>
      </c>
      <c r="S51">
        <f>'raw data Crude oil'!S52</f>
        <v>50.18</v>
      </c>
      <c r="T51">
        <f>'raw data Crude oil'!T52</f>
        <v>50.3</v>
      </c>
      <c r="U51">
        <f>'raw data Crude oil'!U52</f>
        <v>50.39</v>
      </c>
      <c r="V51">
        <f>'raw data Crude oil'!V52</f>
        <v>50.45</v>
      </c>
      <c r="W51">
        <f>'raw data Crude oil'!W52</f>
        <v>50.49</v>
      </c>
      <c r="X51">
        <f>'raw data Crude oil'!X52</f>
        <v>50.5</v>
      </c>
      <c r="Y51">
        <f>'raw data Crude oil'!Y52</f>
        <v>50.51</v>
      </c>
      <c r="Z51">
        <f>'raw data Crude oil'!Z52</f>
        <v>0</v>
      </c>
      <c r="AA51">
        <f>'raw data Crude oil'!AA52</f>
        <v>0</v>
      </c>
      <c r="AB51">
        <f>'raw data Crude oil'!AB52</f>
        <v>0</v>
      </c>
      <c r="AC51">
        <f>'raw data Crude oil'!AC52</f>
        <v>0</v>
      </c>
      <c r="AD51">
        <f>'raw data Crude oil'!AD52</f>
        <v>0</v>
      </c>
      <c r="AE51">
        <f>'raw data Crude oil'!AE52</f>
        <v>0</v>
      </c>
      <c r="AF51">
        <f>'raw data Crude oil'!AF52</f>
        <v>0</v>
      </c>
      <c r="AG51">
        <f>'raw data Crude oil'!AG52</f>
        <v>0</v>
      </c>
      <c r="AH51">
        <f>'raw data Crude oil'!AH52</f>
        <v>0</v>
      </c>
      <c r="AI51">
        <f>'raw data Crude oil'!AI52</f>
        <v>0</v>
      </c>
      <c r="AJ51">
        <f>'raw data Crude oil'!AJ52</f>
        <v>0</v>
      </c>
      <c r="AK51">
        <f>'raw data Crude oil'!AK52</f>
        <v>0</v>
      </c>
    </row>
    <row r="52" spans="1:37" x14ac:dyDescent="0.3">
      <c r="A52" s="18">
        <f>'raw data Crude oil'!A53</f>
        <v>42807</v>
      </c>
      <c r="B52">
        <f>'raw data Crude oil'!B53</f>
        <v>51.35</v>
      </c>
      <c r="C52">
        <f>'raw data Crude oil'!C53</f>
        <v>51.59</v>
      </c>
      <c r="D52">
        <f>'raw data Crude oil'!D53</f>
        <v>51.79</v>
      </c>
      <c r="E52">
        <f>'raw data Crude oil'!E53</f>
        <v>51.96</v>
      </c>
      <c r="F52">
        <f>'raw data Crude oil'!F53</f>
        <v>52.08</v>
      </c>
      <c r="G52">
        <f>'raw data Crude oil'!G53</f>
        <v>52.15</v>
      </c>
      <c r="H52">
        <f>'raw data Crude oil'!H53</f>
        <v>52.19</v>
      </c>
      <c r="I52">
        <f>'raw data Crude oil'!I53</f>
        <v>52.24</v>
      </c>
      <c r="J52">
        <f>'raw data Crude oil'!J53</f>
        <v>52.3</v>
      </c>
      <c r="K52">
        <f>'raw data Crude oil'!K53</f>
        <v>52.32</v>
      </c>
      <c r="L52">
        <f>'raw data Crude oil'!L53</f>
        <v>52.33</v>
      </c>
      <c r="M52">
        <f>'raw data Crude oil'!M53</f>
        <v>52.33</v>
      </c>
      <c r="N52">
        <f>'raw data Crude oil'!N53</f>
        <v>48.4</v>
      </c>
      <c r="O52">
        <f>'raw data Crude oil'!O53</f>
        <v>48.94</v>
      </c>
      <c r="P52">
        <f>'raw data Crude oil'!P53</f>
        <v>49.37</v>
      </c>
      <c r="Q52">
        <f>'raw data Crude oil'!Q53</f>
        <v>49.7</v>
      </c>
      <c r="R52">
        <f>'raw data Crude oil'!R53</f>
        <v>49.95</v>
      </c>
      <c r="S52">
        <f>'raw data Crude oil'!S53</f>
        <v>50.13</v>
      </c>
      <c r="T52">
        <f>'raw data Crude oil'!T53</f>
        <v>50.27</v>
      </c>
      <c r="U52">
        <f>'raw data Crude oil'!U53</f>
        <v>50.38</v>
      </c>
      <c r="V52">
        <f>'raw data Crude oil'!V53</f>
        <v>50.47</v>
      </c>
      <c r="W52">
        <f>'raw data Crude oil'!W53</f>
        <v>50.53</v>
      </c>
      <c r="X52">
        <f>'raw data Crude oil'!X53</f>
        <v>50.57</v>
      </c>
      <c r="Y52">
        <f>'raw data Crude oil'!Y53</f>
        <v>50.6</v>
      </c>
      <c r="Z52">
        <f>'raw data Crude oil'!Z53</f>
        <v>0</v>
      </c>
      <c r="AA52">
        <f>'raw data Crude oil'!AA53</f>
        <v>0</v>
      </c>
      <c r="AB52">
        <f>'raw data Crude oil'!AB53</f>
        <v>0</v>
      </c>
      <c r="AC52">
        <f>'raw data Crude oil'!AC53</f>
        <v>0</v>
      </c>
      <c r="AD52">
        <f>'raw data Crude oil'!AD53</f>
        <v>0</v>
      </c>
      <c r="AE52">
        <f>'raw data Crude oil'!AE53</f>
        <v>0</v>
      </c>
      <c r="AF52">
        <f>'raw data Crude oil'!AF53</f>
        <v>0</v>
      </c>
      <c r="AG52">
        <f>'raw data Crude oil'!AG53</f>
        <v>0</v>
      </c>
      <c r="AH52">
        <f>'raw data Crude oil'!AH53</f>
        <v>0</v>
      </c>
      <c r="AI52">
        <f>'raw data Crude oil'!AI53</f>
        <v>0</v>
      </c>
      <c r="AJ52">
        <f>'raw data Crude oil'!AJ53</f>
        <v>0</v>
      </c>
      <c r="AK52">
        <f>'raw data Crude oil'!AK53</f>
        <v>0</v>
      </c>
    </row>
    <row r="53" spans="1:37" x14ac:dyDescent="0.3">
      <c r="A53" s="18">
        <f>'raw data Crude oil'!A54</f>
        <v>42808</v>
      </c>
      <c r="B53">
        <f>'raw data Crude oil'!B54</f>
        <v>50.92</v>
      </c>
      <c r="C53">
        <f>'raw data Crude oil'!C54</f>
        <v>51.11</v>
      </c>
      <c r="D53">
        <f>'raw data Crude oil'!D54</f>
        <v>51.31</v>
      </c>
      <c r="E53">
        <f>'raw data Crude oil'!E54</f>
        <v>51.47</v>
      </c>
      <c r="F53">
        <f>'raw data Crude oil'!F54</f>
        <v>51.6</v>
      </c>
      <c r="G53">
        <f>'raw data Crude oil'!G54</f>
        <v>51.68</v>
      </c>
      <c r="H53">
        <f>'raw data Crude oil'!H54</f>
        <v>51.73</v>
      </c>
      <c r="I53">
        <f>'raw data Crude oil'!I54</f>
        <v>51.78</v>
      </c>
      <c r="J53">
        <f>'raw data Crude oil'!J54</f>
        <v>51.84</v>
      </c>
      <c r="K53">
        <f>'raw data Crude oil'!K54</f>
        <v>51.87</v>
      </c>
      <c r="L53">
        <f>'raw data Crude oil'!L54</f>
        <v>51.89</v>
      </c>
      <c r="M53">
        <f>'raw data Crude oil'!M54</f>
        <v>51.91</v>
      </c>
      <c r="N53">
        <f>'raw data Crude oil'!N54</f>
        <v>47.72</v>
      </c>
      <c r="O53">
        <f>'raw data Crude oil'!O54</f>
        <v>48.35</v>
      </c>
      <c r="P53">
        <f>'raw data Crude oil'!P54</f>
        <v>48.83</v>
      </c>
      <c r="Q53">
        <f>'raw data Crude oil'!Q54</f>
        <v>49.19</v>
      </c>
      <c r="R53">
        <f>'raw data Crude oil'!R54</f>
        <v>49.45</v>
      </c>
      <c r="S53">
        <f>'raw data Crude oil'!S54</f>
        <v>49.64</v>
      </c>
      <c r="T53">
        <f>'raw data Crude oil'!T54</f>
        <v>49.78</v>
      </c>
      <c r="U53">
        <f>'raw data Crude oil'!U54</f>
        <v>49.89</v>
      </c>
      <c r="V53">
        <f>'raw data Crude oil'!V54</f>
        <v>49.98</v>
      </c>
      <c r="W53">
        <f>'raw data Crude oil'!W54</f>
        <v>50.04</v>
      </c>
      <c r="X53">
        <f>'raw data Crude oil'!X54</f>
        <v>50.09</v>
      </c>
      <c r="Y53">
        <f>'raw data Crude oil'!Y54</f>
        <v>50.12</v>
      </c>
      <c r="Z53">
        <f>'raw data Crude oil'!Z54</f>
        <v>0</v>
      </c>
      <c r="AA53">
        <f>'raw data Crude oil'!AA54</f>
        <v>0</v>
      </c>
      <c r="AB53">
        <f>'raw data Crude oil'!AB54</f>
        <v>0</v>
      </c>
      <c r="AC53">
        <f>'raw data Crude oil'!AC54</f>
        <v>0</v>
      </c>
      <c r="AD53">
        <f>'raw data Crude oil'!AD54</f>
        <v>0</v>
      </c>
      <c r="AE53">
        <f>'raw data Crude oil'!AE54</f>
        <v>0</v>
      </c>
      <c r="AF53">
        <f>'raw data Crude oil'!AF54</f>
        <v>0</v>
      </c>
      <c r="AG53">
        <f>'raw data Crude oil'!AG54</f>
        <v>0</v>
      </c>
      <c r="AH53">
        <f>'raw data Crude oil'!AH54</f>
        <v>0</v>
      </c>
      <c r="AI53">
        <f>'raw data Crude oil'!AI54</f>
        <v>0</v>
      </c>
      <c r="AJ53">
        <f>'raw data Crude oil'!AJ54</f>
        <v>0</v>
      </c>
      <c r="AK53">
        <f>'raw data Crude oil'!AK54</f>
        <v>0</v>
      </c>
    </row>
    <row r="54" spans="1:37" x14ac:dyDescent="0.3">
      <c r="A54" s="18">
        <f>'raw data Crude oil'!A55</f>
        <v>42809</v>
      </c>
      <c r="B54">
        <f>'raw data Crude oil'!B55</f>
        <v>51.81</v>
      </c>
      <c r="C54">
        <f>'raw data Crude oil'!C55</f>
        <v>51.97</v>
      </c>
      <c r="D54">
        <f>'raw data Crude oil'!D55</f>
        <v>52.14</v>
      </c>
      <c r="E54">
        <f>'raw data Crude oil'!E55</f>
        <v>52.27</v>
      </c>
      <c r="F54">
        <f>'raw data Crude oil'!F55</f>
        <v>52.37</v>
      </c>
      <c r="G54">
        <f>'raw data Crude oil'!G55</f>
        <v>52.43</v>
      </c>
      <c r="H54">
        <f>'raw data Crude oil'!H55</f>
        <v>52.45</v>
      </c>
      <c r="I54">
        <f>'raw data Crude oil'!I55</f>
        <v>52.48</v>
      </c>
      <c r="J54">
        <f>'raw data Crude oil'!J55</f>
        <v>52.51</v>
      </c>
      <c r="K54">
        <f>'raw data Crude oil'!K55</f>
        <v>52.52</v>
      </c>
      <c r="L54">
        <f>'raw data Crude oil'!L55</f>
        <v>52.52</v>
      </c>
      <c r="M54">
        <f>'raw data Crude oil'!M55</f>
        <v>52.51</v>
      </c>
      <c r="N54">
        <f>'raw data Crude oil'!N55</f>
        <v>48.86</v>
      </c>
      <c r="O54">
        <f>'raw data Crude oil'!O55</f>
        <v>49.38</v>
      </c>
      <c r="P54">
        <f>'raw data Crude oil'!P55</f>
        <v>49.78</v>
      </c>
      <c r="Q54">
        <f>'raw data Crude oil'!Q55</f>
        <v>50.09</v>
      </c>
      <c r="R54">
        <f>'raw data Crude oil'!R55</f>
        <v>50.32</v>
      </c>
      <c r="S54">
        <f>'raw data Crude oil'!S55</f>
        <v>50.47</v>
      </c>
      <c r="T54">
        <f>'raw data Crude oil'!T55</f>
        <v>50.57</v>
      </c>
      <c r="U54">
        <f>'raw data Crude oil'!U55</f>
        <v>50.63</v>
      </c>
      <c r="V54">
        <f>'raw data Crude oil'!V55</f>
        <v>50.67</v>
      </c>
      <c r="W54">
        <f>'raw data Crude oil'!W55</f>
        <v>50.7</v>
      </c>
      <c r="X54">
        <f>'raw data Crude oil'!X55</f>
        <v>50.72</v>
      </c>
      <c r="Y54">
        <f>'raw data Crude oil'!Y55</f>
        <v>50.72</v>
      </c>
      <c r="Z54">
        <f>'raw data Crude oil'!Z55</f>
        <v>0</v>
      </c>
      <c r="AA54">
        <f>'raw data Crude oil'!AA55</f>
        <v>0</v>
      </c>
      <c r="AB54">
        <f>'raw data Crude oil'!AB55</f>
        <v>0</v>
      </c>
      <c r="AC54">
        <f>'raw data Crude oil'!AC55</f>
        <v>0</v>
      </c>
      <c r="AD54">
        <f>'raw data Crude oil'!AD55</f>
        <v>0</v>
      </c>
      <c r="AE54">
        <f>'raw data Crude oil'!AE55</f>
        <v>0</v>
      </c>
      <c r="AF54">
        <f>'raw data Crude oil'!AF55</f>
        <v>0</v>
      </c>
      <c r="AG54">
        <f>'raw data Crude oil'!AG55</f>
        <v>0</v>
      </c>
      <c r="AH54">
        <f>'raw data Crude oil'!AH55</f>
        <v>0</v>
      </c>
      <c r="AI54">
        <f>'raw data Crude oil'!AI55</f>
        <v>0</v>
      </c>
      <c r="AJ54">
        <f>'raw data Crude oil'!AJ55</f>
        <v>0</v>
      </c>
      <c r="AK54">
        <f>'raw data Crude oil'!AK55</f>
        <v>0</v>
      </c>
    </row>
    <row r="55" spans="1:37" x14ac:dyDescent="0.3">
      <c r="A55" s="18">
        <f>'raw data Crude oil'!A56</f>
        <v>42810</v>
      </c>
      <c r="B55">
        <f>'raw data Crude oil'!B56</f>
        <v>51.74</v>
      </c>
      <c r="C55">
        <f>'raw data Crude oil'!C56</f>
        <v>51.9</v>
      </c>
      <c r="D55">
        <f>'raw data Crude oil'!D56</f>
        <v>52.07</v>
      </c>
      <c r="E55">
        <f>'raw data Crude oil'!E56</f>
        <v>52.21</v>
      </c>
      <c r="F55">
        <f>'raw data Crude oil'!F56</f>
        <v>52.3</v>
      </c>
      <c r="G55">
        <f>'raw data Crude oil'!G56</f>
        <v>52.34</v>
      </c>
      <c r="H55">
        <f>'raw data Crude oil'!H56</f>
        <v>52.35</v>
      </c>
      <c r="I55">
        <f>'raw data Crude oil'!I56</f>
        <v>52.36</v>
      </c>
      <c r="J55">
        <f>'raw data Crude oil'!J56</f>
        <v>52.38</v>
      </c>
      <c r="K55">
        <f>'raw data Crude oil'!K56</f>
        <v>52.38</v>
      </c>
      <c r="L55">
        <f>'raw data Crude oil'!L56</f>
        <v>52.36</v>
      </c>
      <c r="M55">
        <f>'raw data Crude oil'!M56</f>
        <v>52.35</v>
      </c>
      <c r="N55">
        <f>'raw data Crude oil'!N56</f>
        <v>48.75</v>
      </c>
      <c r="O55">
        <f>'raw data Crude oil'!O56</f>
        <v>49.24</v>
      </c>
      <c r="P55">
        <f>'raw data Crude oil'!P56</f>
        <v>49.63</v>
      </c>
      <c r="Q55">
        <f>'raw data Crude oil'!Q56</f>
        <v>49.94</v>
      </c>
      <c r="R55">
        <f>'raw data Crude oil'!R56</f>
        <v>50.15</v>
      </c>
      <c r="S55">
        <f>'raw data Crude oil'!S56</f>
        <v>50.28</v>
      </c>
      <c r="T55">
        <f>'raw data Crude oil'!T56</f>
        <v>50.36</v>
      </c>
      <c r="U55">
        <f>'raw data Crude oil'!U56</f>
        <v>50.41</v>
      </c>
      <c r="V55">
        <f>'raw data Crude oil'!V56</f>
        <v>50.43</v>
      </c>
      <c r="W55">
        <f>'raw data Crude oil'!W56</f>
        <v>50.44</v>
      </c>
      <c r="X55">
        <f>'raw data Crude oil'!X56</f>
        <v>50.44</v>
      </c>
      <c r="Y55">
        <f>'raw data Crude oil'!Y56</f>
        <v>50.43</v>
      </c>
      <c r="Z55">
        <f>'raw data Crude oil'!Z56</f>
        <v>0</v>
      </c>
      <c r="AA55">
        <f>'raw data Crude oil'!AA56</f>
        <v>0</v>
      </c>
      <c r="AB55">
        <f>'raw data Crude oil'!AB56</f>
        <v>0</v>
      </c>
      <c r="AC55">
        <f>'raw data Crude oil'!AC56</f>
        <v>0</v>
      </c>
      <c r="AD55">
        <f>'raw data Crude oil'!AD56</f>
        <v>0</v>
      </c>
      <c r="AE55">
        <f>'raw data Crude oil'!AE56</f>
        <v>0</v>
      </c>
      <c r="AF55">
        <f>'raw data Crude oil'!AF56</f>
        <v>0</v>
      </c>
      <c r="AG55">
        <f>'raw data Crude oil'!AG56</f>
        <v>0</v>
      </c>
      <c r="AH55">
        <f>'raw data Crude oil'!AH56</f>
        <v>0</v>
      </c>
      <c r="AI55">
        <f>'raw data Crude oil'!AI56</f>
        <v>0</v>
      </c>
      <c r="AJ55">
        <f>'raw data Crude oil'!AJ56</f>
        <v>0</v>
      </c>
      <c r="AK55">
        <f>'raw data Crude oil'!AK56</f>
        <v>0</v>
      </c>
    </row>
    <row r="56" spans="1:37" x14ac:dyDescent="0.3">
      <c r="A56" s="18">
        <f>'raw data Crude oil'!A57</f>
        <v>42811</v>
      </c>
      <c r="B56">
        <f>'raw data Crude oil'!B57</f>
        <v>51.76</v>
      </c>
      <c r="C56">
        <f>'raw data Crude oil'!C57</f>
        <v>51.95</v>
      </c>
      <c r="D56">
        <f>'raw data Crude oil'!D57</f>
        <v>52.15</v>
      </c>
      <c r="E56">
        <f>'raw data Crude oil'!E57</f>
        <v>52.3</v>
      </c>
      <c r="F56">
        <f>'raw data Crude oil'!F57</f>
        <v>52.4</v>
      </c>
      <c r="G56">
        <f>'raw data Crude oil'!G57</f>
        <v>52.44</v>
      </c>
      <c r="H56">
        <f>'raw data Crude oil'!H57</f>
        <v>52.43</v>
      </c>
      <c r="I56">
        <f>'raw data Crude oil'!I57</f>
        <v>52.42</v>
      </c>
      <c r="J56">
        <f>'raw data Crude oil'!J57</f>
        <v>52.42</v>
      </c>
      <c r="K56">
        <f>'raw data Crude oil'!K57</f>
        <v>52.4</v>
      </c>
      <c r="L56">
        <f>'raw data Crude oil'!L57</f>
        <v>52.37</v>
      </c>
      <c r="M56">
        <f>'raw data Crude oil'!M57</f>
        <v>52.34</v>
      </c>
      <c r="N56">
        <f>'raw data Crude oil'!N57</f>
        <v>48.78</v>
      </c>
      <c r="O56">
        <f>'raw data Crude oil'!O57</f>
        <v>49.31</v>
      </c>
      <c r="P56">
        <f>'raw data Crude oil'!P57</f>
        <v>49.73</v>
      </c>
      <c r="Q56">
        <f>'raw data Crude oil'!Q57</f>
        <v>50.04</v>
      </c>
      <c r="R56">
        <f>'raw data Crude oil'!R57</f>
        <v>50.25</v>
      </c>
      <c r="S56">
        <f>'raw data Crude oil'!S57</f>
        <v>50.38</v>
      </c>
      <c r="T56">
        <f>'raw data Crude oil'!T57</f>
        <v>50.46</v>
      </c>
      <c r="U56">
        <f>'raw data Crude oil'!U57</f>
        <v>50.51</v>
      </c>
      <c r="V56">
        <f>'raw data Crude oil'!V57</f>
        <v>50.52</v>
      </c>
      <c r="W56">
        <f>'raw data Crude oil'!W57</f>
        <v>50.52</v>
      </c>
      <c r="X56">
        <f>'raw data Crude oil'!X57</f>
        <v>50.49</v>
      </c>
      <c r="Y56">
        <f>'raw data Crude oil'!Y57</f>
        <v>50.46</v>
      </c>
      <c r="Z56">
        <f>'raw data Crude oil'!Z57</f>
        <v>0</v>
      </c>
      <c r="AA56">
        <f>'raw data Crude oil'!AA57</f>
        <v>0</v>
      </c>
      <c r="AB56">
        <f>'raw data Crude oil'!AB57</f>
        <v>0</v>
      </c>
      <c r="AC56">
        <f>'raw data Crude oil'!AC57</f>
        <v>0</v>
      </c>
      <c r="AD56">
        <f>'raw data Crude oil'!AD57</f>
        <v>0</v>
      </c>
      <c r="AE56">
        <f>'raw data Crude oil'!AE57</f>
        <v>0</v>
      </c>
      <c r="AF56">
        <f>'raw data Crude oil'!AF57</f>
        <v>0</v>
      </c>
      <c r="AG56">
        <f>'raw data Crude oil'!AG57</f>
        <v>0</v>
      </c>
      <c r="AH56">
        <f>'raw data Crude oil'!AH57</f>
        <v>0</v>
      </c>
      <c r="AI56">
        <f>'raw data Crude oil'!AI57</f>
        <v>0</v>
      </c>
      <c r="AJ56">
        <f>'raw data Crude oil'!AJ57</f>
        <v>0</v>
      </c>
      <c r="AK56">
        <f>'raw data Crude oil'!AK57</f>
        <v>0</v>
      </c>
    </row>
    <row r="57" spans="1:37" x14ac:dyDescent="0.3">
      <c r="A57" s="18">
        <f>'raw data Crude oil'!A58</f>
        <v>42814</v>
      </c>
      <c r="B57">
        <f>'raw data Crude oil'!B58</f>
        <v>51.62</v>
      </c>
      <c r="C57">
        <f>'raw data Crude oil'!C58</f>
        <v>51.79</v>
      </c>
      <c r="D57">
        <f>'raw data Crude oil'!D58</f>
        <v>51.98</v>
      </c>
      <c r="E57">
        <f>'raw data Crude oil'!E58</f>
        <v>52.15</v>
      </c>
      <c r="F57">
        <f>'raw data Crude oil'!F58</f>
        <v>52.26</v>
      </c>
      <c r="G57">
        <f>'raw data Crude oil'!G58</f>
        <v>52.32</v>
      </c>
      <c r="H57">
        <f>'raw data Crude oil'!H58</f>
        <v>52.34</v>
      </c>
      <c r="I57">
        <f>'raw data Crude oil'!I58</f>
        <v>52.36</v>
      </c>
      <c r="J57">
        <f>'raw data Crude oil'!J58</f>
        <v>52.38</v>
      </c>
      <c r="K57">
        <f>'raw data Crude oil'!K58</f>
        <v>52.37</v>
      </c>
      <c r="L57">
        <f>'raw data Crude oil'!L58</f>
        <v>52.35</v>
      </c>
      <c r="M57">
        <f>'raw data Crude oil'!M58</f>
        <v>52.33</v>
      </c>
      <c r="N57">
        <f>'raw data Crude oil'!N58</f>
        <v>48.22</v>
      </c>
      <c r="O57">
        <f>'raw data Crude oil'!O58</f>
        <v>48.91</v>
      </c>
      <c r="P57">
        <f>'raw data Crude oil'!P58</f>
        <v>49.44</v>
      </c>
      <c r="Q57">
        <f>'raw data Crude oil'!Q58</f>
        <v>49.81</v>
      </c>
      <c r="R57">
        <f>'raw data Crude oil'!R58</f>
        <v>50.06</v>
      </c>
      <c r="S57">
        <f>'raw data Crude oil'!S58</f>
        <v>50.21</v>
      </c>
      <c r="T57">
        <f>'raw data Crude oil'!T58</f>
        <v>50.3</v>
      </c>
      <c r="U57">
        <f>'raw data Crude oil'!U58</f>
        <v>50.36</v>
      </c>
      <c r="V57">
        <f>'raw data Crude oil'!V58</f>
        <v>50.39</v>
      </c>
      <c r="W57">
        <f>'raw data Crude oil'!W58</f>
        <v>50.39</v>
      </c>
      <c r="X57">
        <f>'raw data Crude oil'!X58</f>
        <v>50.37</v>
      </c>
      <c r="Y57">
        <f>'raw data Crude oil'!Y58</f>
        <v>50.35</v>
      </c>
      <c r="Z57">
        <f>'raw data Crude oil'!Z58</f>
        <v>0</v>
      </c>
      <c r="AA57">
        <f>'raw data Crude oil'!AA58</f>
        <v>0</v>
      </c>
      <c r="AB57">
        <f>'raw data Crude oil'!AB58</f>
        <v>0</v>
      </c>
      <c r="AC57">
        <f>'raw data Crude oil'!AC58</f>
        <v>0</v>
      </c>
      <c r="AD57">
        <f>'raw data Crude oil'!AD58</f>
        <v>0</v>
      </c>
      <c r="AE57">
        <f>'raw data Crude oil'!AE58</f>
        <v>0</v>
      </c>
      <c r="AF57">
        <f>'raw data Crude oil'!AF58</f>
        <v>0</v>
      </c>
      <c r="AG57">
        <f>'raw data Crude oil'!AG58</f>
        <v>0</v>
      </c>
      <c r="AH57">
        <f>'raw data Crude oil'!AH58</f>
        <v>0</v>
      </c>
      <c r="AI57">
        <f>'raw data Crude oil'!AI58</f>
        <v>0</v>
      </c>
      <c r="AJ57">
        <f>'raw data Crude oil'!AJ58</f>
        <v>0</v>
      </c>
      <c r="AK57">
        <f>'raw data Crude oil'!AK58</f>
        <v>0</v>
      </c>
    </row>
    <row r="58" spans="1:37" x14ac:dyDescent="0.3">
      <c r="A58" s="18">
        <f>'raw data Crude oil'!A59</f>
        <v>42815</v>
      </c>
      <c r="B58">
        <f>'raw data Crude oil'!B59</f>
        <v>50.96</v>
      </c>
      <c r="C58">
        <f>'raw data Crude oil'!C59</f>
        <v>51.19</v>
      </c>
      <c r="D58">
        <f>'raw data Crude oil'!D59</f>
        <v>51.44</v>
      </c>
      <c r="E58">
        <f>'raw data Crude oil'!E59</f>
        <v>51.65</v>
      </c>
      <c r="F58">
        <f>'raw data Crude oil'!F59</f>
        <v>51.8</v>
      </c>
      <c r="G58">
        <f>'raw data Crude oil'!G59</f>
        <v>51.88</v>
      </c>
      <c r="H58">
        <f>'raw data Crude oil'!H59</f>
        <v>51.93</v>
      </c>
      <c r="I58">
        <f>'raw data Crude oil'!I59</f>
        <v>51.96</v>
      </c>
      <c r="J58">
        <f>'raw data Crude oil'!J59</f>
        <v>51.99</v>
      </c>
      <c r="K58">
        <f>'raw data Crude oil'!K59</f>
        <v>52</v>
      </c>
      <c r="L58">
        <f>'raw data Crude oil'!L59</f>
        <v>51.99</v>
      </c>
      <c r="M58">
        <f>'raw data Crude oil'!M59</f>
        <v>51.98</v>
      </c>
      <c r="N58">
        <f>'raw data Crude oil'!N59</f>
        <v>47.34</v>
      </c>
      <c r="O58">
        <f>'raw data Crude oil'!O59</f>
        <v>48.24</v>
      </c>
      <c r="P58">
        <f>'raw data Crude oil'!P59</f>
        <v>48.82</v>
      </c>
      <c r="Q58">
        <f>'raw data Crude oil'!Q59</f>
        <v>49.22</v>
      </c>
      <c r="R58">
        <f>'raw data Crude oil'!R59</f>
        <v>49.5</v>
      </c>
      <c r="S58">
        <f>'raw data Crude oil'!S59</f>
        <v>49.69</v>
      </c>
      <c r="T58">
        <f>'raw data Crude oil'!T59</f>
        <v>49.82</v>
      </c>
      <c r="U58">
        <f>'raw data Crude oil'!U59</f>
        <v>49.91</v>
      </c>
      <c r="V58">
        <f>'raw data Crude oil'!V59</f>
        <v>49.97</v>
      </c>
      <c r="W58">
        <f>'raw data Crude oil'!W59</f>
        <v>50.01</v>
      </c>
      <c r="X58">
        <f>'raw data Crude oil'!X59</f>
        <v>50.03</v>
      </c>
      <c r="Y58">
        <f>'raw data Crude oil'!Y59</f>
        <v>50.05</v>
      </c>
      <c r="Z58">
        <f>'raw data Crude oil'!Z59</f>
        <v>0</v>
      </c>
      <c r="AA58">
        <f>'raw data Crude oil'!AA59</f>
        <v>0</v>
      </c>
      <c r="AB58">
        <f>'raw data Crude oil'!AB59</f>
        <v>0</v>
      </c>
      <c r="AC58">
        <f>'raw data Crude oil'!AC59</f>
        <v>0</v>
      </c>
      <c r="AD58">
        <f>'raw data Crude oil'!AD59</f>
        <v>0</v>
      </c>
      <c r="AE58">
        <f>'raw data Crude oil'!AE59</f>
        <v>0</v>
      </c>
      <c r="AF58">
        <f>'raw data Crude oil'!AF59</f>
        <v>0</v>
      </c>
      <c r="AG58">
        <f>'raw data Crude oil'!AG59</f>
        <v>0</v>
      </c>
      <c r="AH58">
        <f>'raw data Crude oil'!AH59</f>
        <v>0</v>
      </c>
      <c r="AI58">
        <f>'raw data Crude oil'!AI59</f>
        <v>0</v>
      </c>
      <c r="AJ58">
        <f>'raw data Crude oil'!AJ59</f>
        <v>0</v>
      </c>
      <c r="AK58">
        <f>'raw data Crude oil'!AK59</f>
        <v>0</v>
      </c>
    </row>
    <row r="59" spans="1:37" x14ac:dyDescent="0.3">
      <c r="A59" s="18">
        <f>'raw data Crude oil'!A60</f>
        <v>42816</v>
      </c>
      <c r="B59">
        <f>'raw data Crude oil'!B60</f>
        <v>50.64</v>
      </c>
      <c r="C59">
        <f>'raw data Crude oil'!C60</f>
        <v>50.87</v>
      </c>
      <c r="D59">
        <f>'raw data Crude oil'!D60</f>
        <v>51.12</v>
      </c>
      <c r="E59">
        <f>'raw data Crude oil'!E60</f>
        <v>51.33</v>
      </c>
      <c r="F59">
        <f>'raw data Crude oil'!F60</f>
        <v>51.5</v>
      </c>
      <c r="G59">
        <f>'raw data Crude oil'!G60</f>
        <v>51.62</v>
      </c>
      <c r="H59">
        <f>'raw data Crude oil'!H60</f>
        <v>51.7</v>
      </c>
      <c r="I59">
        <f>'raw data Crude oil'!I60</f>
        <v>51.76</v>
      </c>
      <c r="J59">
        <f>'raw data Crude oil'!J60</f>
        <v>51.81</v>
      </c>
      <c r="K59">
        <f>'raw data Crude oil'!K60</f>
        <v>51.84</v>
      </c>
      <c r="L59">
        <f>'raw data Crude oil'!L60</f>
        <v>51.86</v>
      </c>
      <c r="M59">
        <f>'raw data Crude oil'!M60</f>
        <v>51.87</v>
      </c>
      <c r="N59">
        <f>'raw data Crude oil'!N60</f>
        <v>48.04</v>
      </c>
      <c r="O59">
        <f>'raw data Crude oil'!O60</f>
        <v>48.58</v>
      </c>
      <c r="P59">
        <f>'raw data Crude oil'!P60</f>
        <v>48.96</v>
      </c>
      <c r="Q59">
        <f>'raw data Crude oil'!Q60</f>
        <v>49.23</v>
      </c>
      <c r="R59">
        <f>'raw data Crude oil'!R60</f>
        <v>49.45</v>
      </c>
      <c r="S59">
        <f>'raw data Crude oil'!S60</f>
        <v>49.61</v>
      </c>
      <c r="T59">
        <f>'raw data Crude oil'!T60</f>
        <v>49.73</v>
      </c>
      <c r="U59">
        <f>'raw data Crude oil'!U60</f>
        <v>49.82</v>
      </c>
      <c r="V59">
        <f>'raw data Crude oil'!V60</f>
        <v>49.89</v>
      </c>
      <c r="W59">
        <f>'raw data Crude oil'!W60</f>
        <v>49.95</v>
      </c>
      <c r="X59">
        <f>'raw data Crude oil'!X60</f>
        <v>49.99</v>
      </c>
      <c r="Y59">
        <f>'raw data Crude oil'!Y60</f>
        <v>50.02</v>
      </c>
      <c r="Z59">
        <f>'raw data Crude oil'!Z60</f>
        <v>0</v>
      </c>
      <c r="AA59">
        <f>'raw data Crude oil'!AA60</f>
        <v>0</v>
      </c>
      <c r="AB59">
        <f>'raw data Crude oil'!AB60</f>
        <v>0</v>
      </c>
      <c r="AC59">
        <f>'raw data Crude oil'!AC60</f>
        <v>0</v>
      </c>
      <c r="AD59">
        <f>'raw data Crude oil'!AD60</f>
        <v>0</v>
      </c>
      <c r="AE59">
        <f>'raw data Crude oil'!AE60</f>
        <v>0</v>
      </c>
      <c r="AF59">
        <f>'raw data Crude oil'!AF60</f>
        <v>0</v>
      </c>
      <c r="AG59">
        <f>'raw data Crude oil'!AG60</f>
        <v>0</v>
      </c>
      <c r="AH59">
        <f>'raw data Crude oil'!AH60</f>
        <v>0</v>
      </c>
      <c r="AI59">
        <f>'raw data Crude oil'!AI60</f>
        <v>0</v>
      </c>
      <c r="AJ59">
        <f>'raw data Crude oil'!AJ60</f>
        <v>0</v>
      </c>
      <c r="AK59">
        <f>'raw data Crude oil'!AK60</f>
        <v>0</v>
      </c>
    </row>
    <row r="60" spans="1:37" x14ac:dyDescent="0.3">
      <c r="A60" s="18">
        <f>'raw data Crude oil'!A61</f>
        <v>42817</v>
      </c>
      <c r="B60">
        <f>'raw data Crude oil'!B61</f>
        <v>50.56</v>
      </c>
      <c r="C60">
        <f>'raw data Crude oil'!C61</f>
        <v>50.66</v>
      </c>
      <c r="D60">
        <f>'raw data Crude oil'!D61</f>
        <v>50.86</v>
      </c>
      <c r="E60">
        <f>'raw data Crude oil'!E61</f>
        <v>51.06</v>
      </c>
      <c r="F60">
        <f>'raw data Crude oil'!F61</f>
        <v>51.21</v>
      </c>
      <c r="G60">
        <f>'raw data Crude oil'!G61</f>
        <v>51.32</v>
      </c>
      <c r="H60">
        <f>'raw data Crude oil'!H61</f>
        <v>51.39</v>
      </c>
      <c r="I60">
        <f>'raw data Crude oil'!I61</f>
        <v>51.44</v>
      </c>
      <c r="J60">
        <f>'raw data Crude oil'!J61</f>
        <v>51.49</v>
      </c>
      <c r="K60">
        <f>'raw data Crude oil'!K61</f>
        <v>51.51</v>
      </c>
      <c r="L60">
        <f>'raw data Crude oil'!L61</f>
        <v>51.53</v>
      </c>
      <c r="M60">
        <f>'raw data Crude oil'!M61</f>
        <v>51.54</v>
      </c>
      <c r="N60">
        <f>'raw data Crude oil'!N61</f>
        <v>47.7</v>
      </c>
      <c r="O60">
        <f>'raw data Crude oil'!O61</f>
        <v>48.26</v>
      </c>
      <c r="P60">
        <f>'raw data Crude oil'!P61</f>
        <v>48.63</v>
      </c>
      <c r="Q60">
        <f>'raw data Crude oil'!Q61</f>
        <v>48.89</v>
      </c>
      <c r="R60">
        <f>'raw data Crude oil'!R61</f>
        <v>49.1</v>
      </c>
      <c r="S60">
        <f>'raw data Crude oil'!S61</f>
        <v>49.26</v>
      </c>
      <c r="T60">
        <f>'raw data Crude oil'!T61</f>
        <v>49.39</v>
      </c>
      <c r="U60">
        <f>'raw data Crude oil'!U61</f>
        <v>49.5</v>
      </c>
      <c r="V60">
        <f>'raw data Crude oil'!V61</f>
        <v>49.58</v>
      </c>
      <c r="W60">
        <f>'raw data Crude oil'!W61</f>
        <v>49.65</v>
      </c>
      <c r="X60">
        <f>'raw data Crude oil'!X61</f>
        <v>49.7</v>
      </c>
      <c r="Y60">
        <f>'raw data Crude oil'!Y61</f>
        <v>49.73</v>
      </c>
      <c r="Z60">
        <f>'raw data Crude oil'!Z61</f>
        <v>0</v>
      </c>
      <c r="AA60">
        <f>'raw data Crude oil'!AA61</f>
        <v>0</v>
      </c>
      <c r="AB60">
        <f>'raw data Crude oil'!AB61</f>
        <v>0</v>
      </c>
      <c r="AC60">
        <f>'raw data Crude oil'!AC61</f>
        <v>0</v>
      </c>
      <c r="AD60">
        <f>'raw data Crude oil'!AD61</f>
        <v>0</v>
      </c>
      <c r="AE60">
        <f>'raw data Crude oil'!AE61</f>
        <v>0</v>
      </c>
      <c r="AF60">
        <f>'raw data Crude oil'!AF61</f>
        <v>0</v>
      </c>
      <c r="AG60">
        <f>'raw data Crude oil'!AG61</f>
        <v>0</v>
      </c>
      <c r="AH60">
        <f>'raw data Crude oil'!AH61</f>
        <v>0</v>
      </c>
      <c r="AI60">
        <f>'raw data Crude oil'!AI61</f>
        <v>0</v>
      </c>
      <c r="AJ60">
        <f>'raw data Crude oil'!AJ61</f>
        <v>0</v>
      </c>
      <c r="AK60">
        <f>'raw data Crude oil'!AK61</f>
        <v>0</v>
      </c>
    </row>
    <row r="61" spans="1:37" x14ac:dyDescent="0.3">
      <c r="A61" s="18">
        <f>'raw data Crude oil'!A62</f>
        <v>42818</v>
      </c>
      <c r="B61">
        <f>'raw data Crude oil'!B62</f>
        <v>50.8</v>
      </c>
      <c r="C61">
        <f>'raw data Crude oil'!C62</f>
        <v>50.92</v>
      </c>
      <c r="D61">
        <f>'raw data Crude oil'!D62</f>
        <v>51.16</v>
      </c>
      <c r="E61">
        <f>'raw data Crude oil'!E62</f>
        <v>51.37</v>
      </c>
      <c r="F61">
        <f>'raw data Crude oil'!F62</f>
        <v>51.52</v>
      </c>
      <c r="G61">
        <f>'raw data Crude oil'!G62</f>
        <v>51.62</v>
      </c>
      <c r="H61">
        <f>'raw data Crude oil'!H62</f>
        <v>51.67</v>
      </c>
      <c r="I61">
        <f>'raw data Crude oil'!I62</f>
        <v>51.71</v>
      </c>
      <c r="J61">
        <f>'raw data Crude oil'!J62</f>
        <v>51.75</v>
      </c>
      <c r="K61">
        <f>'raw data Crude oil'!K62</f>
        <v>51.77</v>
      </c>
      <c r="L61">
        <f>'raw data Crude oil'!L62</f>
        <v>51.77</v>
      </c>
      <c r="M61">
        <f>'raw data Crude oil'!M62</f>
        <v>51.77</v>
      </c>
      <c r="N61">
        <f>'raw data Crude oil'!N62</f>
        <v>47.97</v>
      </c>
      <c r="O61">
        <f>'raw data Crude oil'!O62</f>
        <v>48.51</v>
      </c>
      <c r="P61">
        <f>'raw data Crude oil'!P62</f>
        <v>48.87</v>
      </c>
      <c r="Q61">
        <f>'raw data Crude oil'!Q62</f>
        <v>49.13</v>
      </c>
      <c r="R61">
        <f>'raw data Crude oil'!R62</f>
        <v>49.33</v>
      </c>
      <c r="S61">
        <f>'raw data Crude oil'!S62</f>
        <v>49.48</v>
      </c>
      <c r="T61">
        <f>'raw data Crude oil'!T62</f>
        <v>49.6</v>
      </c>
      <c r="U61">
        <f>'raw data Crude oil'!U62</f>
        <v>49.7</v>
      </c>
      <c r="V61">
        <f>'raw data Crude oil'!V62</f>
        <v>49.77</v>
      </c>
      <c r="W61">
        <f>'raw data Crude oil'!W62</f>
        <v>49.83</v>
      </c>
      <c r="X61">
        <f>'raw data Crude oil'!X62</f>
        <v>49.87</v>
      </c>
      <c r="Y61">
        <f>'raw data Crude oil'!Y62</f>
        <v>49.9</v>
      </c>
      <c r="Z61">
        <f>'raw data Crude oil'!Z62</f>
        <v>0</v>
      </c>
      <c r="AA61">
        <f>'raw data Crude oil'!AA62</f>
        <v>0</v>
      </c>
      <c r="AB61">
        <f>'raw data Crude oil'!AB62</f>
        <v>0</v>
      </c>
      <c r="AC61">
        <f>'raw data Crude oil'!AC62</f>
        <v>0</v>
      </c>
      <c r="AD61">
        <f>'raw data Crude oil'!AD62</f>
        <v>0</v>
      </c>
      <c r="AE61">
        <f>'raw data Crude oil'!AE62</f>
        <v>0</v>
      </c>
      <c r="AF61">
        <f>'raw data Crude oil'!AF62</f>
        <v>0</v>
      </c>
      <c r="AG61">
        <f>'raw data Crude oil'!AG62</f>
        <v>0</v>
      </c>
      <c r="AH61">
        <f>'raw data Crude oil'!AH62</f>
        <v>0</v>
      </c>
      <c r="AI61">
        <f>'raw data Crude oil'!AI62</f>
        <v>0</v>
      </c>
      <c r="AJ61">
        <f>'raw data Crude oil'!AJ62</f>
        <v>0</v>
      </c>
      <c r="AK61">
        <f>'raw data Crude oil'!AK62</f>
        <v>0</v>
      </c>
    </row>
    <row r="62" spans="1:37" x14ac:dyDescent="0.3">
      <c r="A62" s="18">
        <f>'raw data Crude oil'!A63</f>
        <v>42821</v>
      </c>
      <c r="B62">
        <f>'raw data Crude oil'!B63</f>
        <v>50.75</v>
      </c>
      <c r="C62">
        <f>'raw data Crude oil'!C63</f>
        <v>50.9</v>
      </c>
      <c r="D62">
        <f>'raw data Crude oil'!D63</f>
        <v>51.17</v>
      </c>
      <c r="E62">
        <f>'raw data Crude oil'!E63</f>
        <v>51.4</v>
      </c>
      <c r="F62">
        <f>'raw data Crude oil'!F63</f>
        <v>51.56</v>
      </c>
      <c r="G62">
        <f>'raw data Crude oil'!G63</f>
        <v>51.69</v>
      </c>
      <c r="H62">
        <f>'raw data Crude oil'!H63</f>
        <v>51.76</v>
      </c>
      <c r="I62">
        <f>'raw data Crude oil'!I63</f>
        <v>51.82</v>
      </c>
      <c r="J62">
        <f>'raw data Crude oil'!J63</f>
        <v>51.88</v>
      </c>
      <c r="K62">
        <f>'raw data Crude oil'!K63</f>
        <v>51.91</v>
      </c>
      <c r="L62">
        <f>'raw data Crude oil'!L63</f>
        <v>51.93</v>
      </c>
      <c r="M62">
        <f>'raw data Crude oil'!M63</f>
        <v>51.94</v>
      </c>
      <c r="N62">
        <f>'raw data Crude oil'!N63</f>
        <v>47.73</v>
      </c>
      <c r="O62">
        <f>'raw data Crude oil'!O63</f>
        <v>48.3</v>
      </c>
      <c r="P62">
        <f>'raw data Crude oil'!P63</f>
        <v>48.69</v>
      </c>
      <c r="Q62">
        <f>'raw data Crude oil'!Q63</f>
        <v>48.97</v>
      </c>
      <c r="R62">
        <f>'raw data Crude oil'!R63</f>
        <v>49.2</v>
      </c>
      <c r="S62">
        <f>'raw data Crude oil'!S63</f>
        <v>49.39</v>
      </c>
      <c r="T62">
        <f>'raw data Crude oil'!T63</f>
        <v>49.54</v>
      </c>
      <c r="U62">
        <f>'raw data Crude oil'!U63</f>
        <v>49.66</v>
      </c>
      <c r="V62">
        <f>'raw data Crude oil'!V63</f>
        <v>49.75</v>
      </c>
      <c r="W62">
        <f>'raw data Crude oil'!W63</f>
        <v>49.82</v>
      </c>
      <c r="X62">
        <f>'raw data Crude oil'!X63</f>
        <v>49.87</v>
      </c>
      <c r="Y62">
        <f>'raw data Crude oil'!Y63</f>
        <v>49.91</v>
      </c>
      <c r="Z62">
        <f>'raw data Crude oil'!Z63</f>
        <v>0</v>
      </c>
      <c r="AA62">
        <f>'raw data Crude oil'!AA63</f>
        <v>0</v>
      </c>
      <c r="AB62">
        <f>'raw data Crude oil'!AB63</f>
        <v>0</v>
      </c>
      <c r="AC62">
        <f>'raw data Crude oil'!AC63</f>
        <v>0</v>
      </c>
      <c r="AD62">
        <f>'raw data Crude oil'!AD63</f>
        <v>0</v>
      </c>
      <c r="AE62">
        <f>'raw data Crude oil'!AE63</f>
        <v>0</v>
      </c>
      <c r="AF62">
        <f>'raw data Crude oil'!AF63</f>
        <v>0</v>
      </c>
      <c r="AG62">
        <f>'raw data Crude oil'!AG63</f>
        <v>0</v>
      </c>
      <c r="AH62">
        <f>'raw data Crude oil'!AH63</f>
        <v>0</v>
      </c>
      <c r="AI62">
        <f>'raw data Crude oil'!AI63</f>
        <v>0</v>
      </c>
      <c r="AJ62">
        <f>'raw data Crude oil'!AJ63</f>
        <v>0</v>
      </c>
      <c r="AK62">
        <f>'raw data Crude oil'!AK63</f>
        <v>0</v>
      </c>
    </row>
    <row r="63" spans="1:37" x14ac:dyDescent="0.3">
      <c r="A63" s="18">
        <f>'raw data Crude oil'!A64</f>
        <v>42822</v>
      </c>
      <c r="B63">
        <f>'raw data Crude oil'!B64</f>
        <v>51.33</v>
      </c>
      <c r="C63">
        <f>'raw data Crude oil'!C64</f>
        <v>51.42</v>
      </c>
      <c r="D63">
        <f>'raw data Crude oil'!D64</f>
        <v>51.66</v>
      </c>
      <c r="E63">
        <f>'raw data Crude oil'!E64</f>
        <v>51.86</v>
      </c>
      <c r="F63">
        <f>'raw data Crude oil'!F64</f>
        <v>52</v>
      </c>
      <c r="G63">
        <f>'raw data Crude oil'!G64</f>
        <v>52.1</v>
      </c>
      <c r="H63">
        <f>'raw data Crude oil'!H64</f>
        <v>52.16</v>
      </c>
      <c r="I63">
        <f>'raw data Crude oil'!I64</f>
        <v>52.2</v>
      </c>
      <c r="J63">
        <f>'raw data Crude oil'!J64</f>
        <v>52.24</v>
      </c>
      <c r="K63">
        <f>'raw data Crude oil'!K64</f>
        <v>52.25</v>
      </c>
      <c r="L63">
        <f>'raw data Crude oil'!L64</f>
        <v>52.24</v>
      </c>
      <c r="M63">
        <f>'raw data Crude oil'!M64</f>
        <v>52.23</v>
      </c>
      <c r="N63">
        <f>'raw data Crude oil'!N64</f>
        <v>48.37</v>
      </c>
      <c r="O63">
        <f>'raw data Crude oil'!O64</f>
        <v>48.9</v>
      </c>
      <c r="P63">
        <f>'raw data Crude oil'!P64</f>
        <v>49.27</v>
      </c>
      <c r="Q63">
        <f>'raw data Crude oil'!Q64</f>
        <v>49.53</v>
      </c>
      <c r="R63">
        <f>'raw data Crude oil'!R64</f>
        <v>49.73</v>
      </c>
      <c r="S63">
        <f>'raw data Crude oil'!S64</f>
        <v>49.89</v>
      </c>
      <c r="T63">
        <f>'raw data Crude oil'!T64</f>
        <v>50.01</v>
      </c>
      <c r="U63">
        <f>'raw data Crude oil'!U64</f>
        <v>50.11</v>
      </c>
      <c r="V63">
        <f>'raw data Crude oil'!V64</f>
        <v>50.17</v>
      </c>
      <c r="W63">
        <f>'raw data Crude oil'!W64</f>
        <v>50.21</v>
      </c>
      <c r="X63">
        <f>'raw data Crude oil'!X64</f>
        <v>50.23</v>
      </c>
      <c r="Y63">
        <f>'raw data Crude oil'!Y64</f>
        <v>50.24</v>
      </c>
      <c r="Z63">
        <f>'raw data Crude oil'!Z64</f>
        <v>0</v>
      </c>
      <c r="AA63">
        <f>'raw data Crude oil'!AA64</f>
        <v>0</v>
      </c>
      <c r="AB63">
        <f>'raw data Crude oil'!AB64</f>
        <v>0</v>
      </c>
      <c r="AC63">
        <f>'raw data Crude oil'!AC64</f>
        <v>0</v>
      </c>
      <c r="AD63">
        <f>'raw data Crude oil'!AD64</f>
        <v>0</v>
      </c>
      <c r="AE63">
        <f>'raw data Crude oil'!AE64</f>
        <v>0</v>
      </c>
      <c r="AF63">
        <f>'raw data Crude oil'!AF64</f>
        <v>0</v>
      </c>
      <c r="AG63">
        <f>'raw data Crude oil'!AG64</f>
        <v>0</v>
      </c>
      <c r="AH63">
        <f>'raw data Crude oil'!AH64</f>
        <v>0</v>
      </c>
      <c r="AI63">
        <f>'raw data Crude oil'!AI64</f>
        <v>0</v>
      </c>
      <c r="AJ63">
        <f>'raw data Crude oil'!AJ64</f>
        <v>0</v>
      </c>
      <c r="AK63">
        <f>'raw data Crude oil'!AK64</f>
        <v>0</v>
      </c>
    </row>
    <row r="64" spans="1:37" x14ac:dyDescent="0.3">
      <c r="A64" s="18">
        <f>'raw data Crude oil'!A65</f>
        <v>42823</v>
      </c>
      <c r="B64">
        <f>'raw data Crude oil'!B65</f>
        <v>52.42</v>
      </c>
      <c r="C64">
        <f>'raw data Crude oil'!C65</f>
        <v>52.54</v>
      </c>
      <c r="D64">
        <f>'raw data Crude oil'!D65</f>
        <v>52.78</v>
      </c>
      <c r="E64">
        <f>'raw data Crude oil'!E65</f>
        <v>52.95</v>
      </c>
      <c r="F64">
        <f>'raw data Crude oil'!F65</f>
        <v>53.06</v>
      </c>
      <c r="G64">
        <f>'raw data Crude oil'!G65</f>
        <v>53.12</v>
      </c>
      <c r="H64">
        <f>'raw data Crude oil'!H65</f>
        <v>53.14</v>
      </c>
      <c r="I64">
        <f>'raw data Crude oil'!I65</f>
        <v>53.15</v>
      </c>
      <c r="J64">
        <f>'raw data Crude oil'!J65</f>
        <v>53.15</v>
      </c>
      <c r="K64">
        <f>'raw data Crude oil'!K65</f>
        <v>53.13</v>
      </c>
      <c r="L64">
        <f>'raw data Crude oil'!L65</f>
        <v>53.1</v>
      </c>
      <c r="M64">
        <f>'raw data Crude oil'!M65</f>
        <v>53.06</v>
      </c>
      <c r="N64">
        <f>'raw data Crude oil'!N65</f>
        <v>49.51</v>
      </c>
      <c r="O64">
        <f>'raw data Crude oil'!O65</f>
        <v>50</v>
      </c>
      <c r="P64">
        <f>'raw data Crude oil'!P65</f>
        <v>50.35</v>
      </c>
      <c r="Q64">
        <f>'raw data Crude oil'!Q65</f>
        <v>50.59</v>
      </c>
      <c r="R64">
        <f>'raw data Crude oil'!R65</f>
        <v>50.76</v>
      </c>
      <c r="S64">
        <f>'raw data Crude oil'!S65</f>
        <v>50.88</v>
      </c>
      <c r="T64">
        <f>'raw data Crude oil'!T65</f>
        <v>50.96</v>
      </c>
      <c r="U64">
        <f>'raw data Crude oil'!U65</f>
        <v>51.01</v>
      </c>
      <c r="V64">
        <f>'raw data Crude oil'!V65</f>
        <v>51.04</v>
      </c>
      <c r="W64">
        <f>'raw data Crude oil'!W65</f>
        <v>51.05</v>
      </c>
      <c r="X64">
        <f>'raw data Crude oil'!X65</f>
        <v>51.05</v>
      </c>
      <c r="Y64">
        <f>'raw data Crude oil'!Y65</f>
        <v>51.03</v>
      </c>
      <c r="Z64">
        <f>'raw data Crude oil'!Z65</f>
        <v>0</v>
      </c>
      <c r="AA64">
        <f>'raw data Crude oil'!AA65</f>
        <v>0</v>
      </c>
      <c r="AB64">
        <f>'raw data Crude oil'!AB65</f>
        <v>0</v>
      </c>
      <c r="AC64">
        <f>'raw data Crude oil'!AC65</f>
        <v>0</v>
      </c>
      <c r="AD64">
        <f>'raw data Crude oil'!AD65</f>
        <v>0</v>
      </c>
      <c r="AE64">
        <f>'raw data Crude oil'!AE65</f>
        <v>0</v>
      </c>
      <c r="AF64">
        <f>'raw data Crude oil'!AF65</f>
        <v>0</v>
      </c>
      <c r="AG64">
        <f>'raw data Crude oil'!AG65</f>
        <v>0</v>
      </c>
      <c r="AH64">
        <f>'raw data Crude oil'!AH65</f>
        <v>0</v>
      </c>
      <c r="AI64">
        <f>'raw data Crude oil'!AI65</f>
        <v>0</v>
      </c>
      <c r="AJ64">
        <f>'raw data Crude oil'!AJ65</f>
        <v>0</v>
      </c>
      <c r="AK64">
        <f>'raw data Crude oil'!AK65</f>
        <v>0</v>
      </c>
    </row>
    <row r="65" spans="1:37" x14ac:dyDescent="0.3">
      <c r="A65" s="18">
        <f>'raw data Crude oil'!A66</f>
        <v>42824</v>
      </c>
      <c r="B65">
        <f>'raw data Crude oil'!B66</f>
        <v>52.96</v>
      </c>
      <c r="C65">
        <f>'raw data Crude oil'!C66</f>
        <v>53.13</v>
      </c>
      <c r="D65">
        <f>'raw data Crude oil'!D66</f>
        <v>53.39</v>
      </c>
      <c r="E65">
        <f>'raw data Crude oil'!E66</f>
        <v>53.58</v>
      </c>
      <c r="F65">
        <f>'raw data Crude oil'!F66</f>
        <v>53.7</v>
      </c>
      <c r="G65">
        <f>'raw data Crude oil'!G66</f>
        <v>53.77</v>
      </c>
      <c r="H65">
        <f>'raw data Crude oil'!H66</f>
        <v>53.78</v>
      </c>
      <c r="I65">
        <f>'raw data Crude oil'!I66</f>
        <v>53.79</v>
      </c>
      <c r="J65">
        <f>'raw data Crude oil'!J66</f>
        <v>53.79</v>
      </c>
      <c r="K65">
        <f>'raw data Crude oil'!K66</f>
        <v>53.77</v>
      </c>
      <c r="L65">
        <f>'raw data Crude oil'!L66</f>
        <v>53.74</v>
      </c>
      <c r="M65">
        <f>'raw data Crude oil'!M66</f>
        <v>53.7</v>
      </c>
      <c r="N65">
        <f>'raw data Crude oil'!N66</f>
        <v>50.35</v>
      </c>
      <c r="O65">
        <f>'raw data Crude oil'!O66</f>
        <v>50.78</v>
      </c>
      <c r="P65">
        <f>'raw data Crude oil'!P66</f>
        <v>51.1</v>
      </c>
      <c r="Q65">
        <f>'raw data Crude oil'!Q66</f>
        <v>51.34</v>
      </c>
      <c r="R65">
        <f>'raw data Crude oil'!R66</f>
        <v>51.52</v>
      </c>
      <c r="S65">
        <f>'raw data Crude oil'!S66</f>
        <v>51.64</v>
      </c>
      <c r="T65">
        <f>'raw data Crude oil'!T66</f>
        <v>51.72</v>
      </c>
      <c r="U65">
        <f>'raw data Crude oil'!U66</f>
        <v>51.76</v>
      </c>
      <c r="V65">
        <f>'raw data Crude oil'!V66</f>
        <v>51.78</v>
      </c>
      <c r="W65">
        <f>'raw data Crude oil'!W66</f>
        <v>51.78</v>
      </c>
      <c r="X65">
        <f>'raw data Crude oil'!X66</f>
        <v>51.77</v>
      </c>
      <c r="Y65">
        <f>'raw data Crude oil'!Y66</f>
        <v>51.74</v>
      </c>
      <c r="Z65">
        <f>'raw data Crude oil'!Z66</f>
        <v>0</v>
      </c>
      <c r="AA65">
        <f>'raw data Crude oil'!AA66</f>
        <v>0</v>
      </c>
      <c r="AB65">
        <f>'raw data Crude oil'!AB66</f>
        <v>0</v>
      </c>
      <c r="AC65">
        <f>'raw data Crude oil'!AC66</f>
        <v>0</v>
      </c>
      <c r="AD65">
        <f>'raw data Crude oil'!AD66</f>
        <v>0</v>
      </c>
      <c r="AE65">
        <f>'raw data Crude oil'!AE66</f>
        <v>0</v>
      </c>
      <c r="AF65">
        <f>'raw data Crude oil'!AF66</f>
        <v>0</v>
      </c>
      <c r="AG65">
        <f>'raw data Crude oil'!AG66</f>
        <v>0</v>
      </c>
      <c r="AH65">
        <f>'raw data Crude oil'!AH66</f>
        <v>0</v>
      </c>
      <c r="AI65">
        <f>'raw data Crude oil'!AI66</f>
        <v>0</v>
      </c>
      <c r="AJ65">
        <f>'raw data Crude oil'!AJ66</f>
        <v>0</v>
      </c>
      <c r="AK65">
        <f>'raw data Crude oil'!AK66</f>
        <v>0</v>
      </c>
    </row>
    <row r="66" spans="1:37" x14ac:dyDescent="0.3">
      <c r="A66" s="18">
        <f>'raw data Crude oil'!A67</f>
        <v>42825</v>
      </c>
      <c r="B66">
        <f>'raw data Crude oil'!B67</f>
        <v>52.83</v>
      </c>
      <c r="C66">
        <f>'raw data Crude oil'!C67</f>
        <v>53.53</v>
      </c>
      <c r="D66">
        <f>'raw data Crude oil'!D67</f>
        <v>53.79</v>
      </c>
      <c r="E66">
        <f>'raw data Crude oil'!E67</f>
        <v>53.98</v>
      </c>
      <c r="F66">
        <f>'raw data Crude oil'!F67</f>
        <v>54.09</v>
      </c>
      <c r="G66">
        <f>'raw data Crude oil'!G67</f>
        <v>54.16</v>
      </c>
      <c r="H66">
        <f>'raw data Crude oil'!H67</f>
        <v>54.17</v>
      </c>
      <c r="I66">
        <f>'raw data Crude oil'!I67</f>
        <v>54.18</v>
      </c>
      <c r="J66">
        <f>'raw data Crude oil'!J67</f>
        <v>54.18</v>
      </c>
      <c r="K66">
        <f>'raw data Crude oil'!K67</f>
        <v>54.15</v>
      </c>
      <c r="L66">
        <f>'raw data Crude oil'!L67</f>
        <v>54.12</v>
      </c>
      <c r="M66">
        <f>'raw data Crude oil'!M67</f>
        <v>54.07</v>
      </c>
      <c r="N66">
        <f>'raw data Crude oil'!N67</f>
        <v>50.6</v>
      </c>
      <c r="O66">
        <f>'raw data Crude oil'!O67</f>
        <v>51.07</v>
      </c>
      <c r="P66">
        <f>'raw data Crude oil'!P67</f>
        <v>51.42</v>
      </c>
      <c r="Q66">
        <f>'raw data Crude oil'!Q67</f>
        <v>51.66</v>
      </c>
      <c r="R66">
        <f>'raw data Crude oil'!R67</f>
        <v>51.84</v>
      </c>
      <c r="S66">
        <f>'raw data Crude oil'!S67</f>
        <v>51.95</v>
      </c>
      <c r="T66">
        <f>'raw data Crude oil'!T67</f>
        <v>52.03</v>
      </c>
      <c r="U66">
        <f>'raw data Crude oil'!U67</f>
        <v>52.08</v>
      </c>
      <c r="V66">
        <f>'raw data Crude oil'!V67</f>
        <v>52.1</v>
      </c>
      <c r="W66">
        <f>'raw data Crude oil'!W67</f>
        <v>52.1</v>
      </c>
      <c r="X66">
        <f>'raw data Crude oil'!X67</f>
        <v>52.09</v>
      </c>
      <c r="Y66">
        <f>'raw data Crude oil'!Y67</f>
        <v>52.06</v>
      </c>
      <c r="Z66">
        <f>'raw data Crude oil'!Z67</f>
        <v>0</v>
      </c>
      <c r="AA66">
        <f>'raw data Crude oil'!AA67</f>
        <v>0</v>
      </c>
      <c r="AB66">
        <f>'raw data Crude oil'!AB67</f>
        <v>0</v>
      </c>
      <c r="AC66">
        <f>'raw data Crude oil'!AC67</f>
        <v>0</v>
      </c>
      <c r="AD66">
        <f>'raw data Crude oil'!AD67</f>
        <v>0</v>
      </c>
      <c r="AE66">
        <f>'raw data Crude oil'!AE67</f>
        <v>0</v>
      </c>
      <c r="AF66">
        <f>'raw data Crude oil'!AF67</f>
        <v>0</v>
      </c>
      <c r="AG66">
        <f>'raw data Crude oil'!AG67</f>
        <v>0</v>
      </c>
      <c r="AH66">
        <f>'raw data Crude oil'!AH67</f>
        <v>0</v>
      </c>
      <c r="AI66">
        <f>'raw data Crude oil'!AI67</f>
        <v>0</v>
      </c>
      <c r="AJ66">
        <f>'raw data Crude oil'!AJ67</f>
        <v>0</v>
      </c>
      <c r="AK66">
        <f>'raw data Crude oil'!AK67</f>
        <v>0</v>
      </c>
    </row>
    <row r="67" spans="1:37" x14ac:dyDescent="0.3">
      <c r="A67" s="18">
        <f>'raw data Crude oil'!A68</f>
        <v>42828</v>
      </c>
      <c r="B67">
        <f>'raw data Crude oil'!B68</f>
        <v>53.12</v>
      </c>
      <c r="C67">
        <f>'raw data Crude oil'!C68</f>
        <v>53.41</v>
      </c>
      <c r="D67">
        <f>'raw data Crude oil'!D68</f>
        <v>53.64</v>
      </c>
      <c r="E67">
        <f>'raw data Crude oil'!E68</f>
        <v>53.78</v>
      </c>
      <c r="F67">
        <f>'raw data Crude oil'!F68</f>
        <v>53.88</v>
      </c>
      <c r="G67">
        <f>'raw data Crude oil'!G68</f>
        <v>53.92</v>
      </c>
      <c r="H67">
        <f>'raw data Crude oil'!H68</f>
        <v>53.96</v>
      </c>
      <c r="I67">
        <f>'raw data Crude oil'!I68</f>
        <v>53.98</v>
      </c>
      <c r="J67">
        <f>'raw data Crude oil'!J68</f>
        <v>53.97</v>
      </c>
      <c r="K67">
        <f>'raw data Crude oil'!K68</f>
        <v>53.95</v>
      </c>
      <c r="L67">
        <f>'raw data Crude oil'!L68</f>
        <v>53.93</v>
      </c>
      <c r="M67">
        <f>'raw data Crude oil'!M68</f>
        <v>53.9</v>
      </c>
      <c r="N67">
        <f>'raw data Crude oil'!N68</f>
        <v>50.24</v>
      </c>
      <c r="O67">
        <f>'raw data Crude oil'!O68</f>
        <v>50.71</v>
      </c>
      <c r="P67">
        <f>'raw data Crude oil'!P68</f>
        <v>51.08</v>
      </c>
      <c r="Q67">
        <f>'raw data Crude oil'!Q68</f>
        <v>51.35</v>
      </c>
      <c r="R67">
        <f>'raw data Crude oil'!R68</f>
        <v>51.56</v>
      </c>
      <c r="S67">
        <f>'raw data Crude oil'!S68</f>
        <v>51.72</v>
      </c>
      <c r="T67">
        <f>'raw data Crude oil'!T68</f>
        <v>51.85</v>
      </c>
      <c r="U67">
        <f>'raw data Crude oil'!U68</f>
        <v>51.94</v>
      </c>
      <c r="V67">
        <f>'raw data Crude oil'!V68</f>
        <v>51.99</v>
      </c>
      <c r="W67">
        <f>'raw data Crude oil'!W68</f>
        <v>52.02</v>
      </c>
      <c r="X67">
        <f>'raw data Crude oil'!X68</f>
        <v>52.03</v>
      </c>
      <c r="Y67">
        <f>'raw data Crude oil'!Y68</f>
        <v>52.03</v>
      </c>
      <c r="Z67">
        <f>'raw data Crude oil'!Z68</f>
        <v>0</v>
      </c>
      <c r="AA67">
        <f>'raw data Crude oil'!AA68</f>
        <v>0</v>
      </c>
      <c r="AB67">
        <f>'raw data Crude oil'!AB68</f>
        <v>0</v>
      </c>
      <c r="AC67">
        <f>'raw data Crude oil'!AC68</f>
        <v>0</v>
      </c>
      <c r="AD67">
        <f>'raw data Crude oil'!AD68</f>
        <v>0</v>
      </c>
      <c r="AE67">
        <f>'raw data Crude oil'!AE68</f>
        <v>0</v>
      </c>
      <c r="AF67">
        <f>'raw data Crude oil'!AF68</f>
        <v>0</v>
      </c>
      <c r="AG67">
        <f>'raw data Crude oil'!AG68</f>
        <v>0</v>
      </c>
      <c r="AH67">
        <f>'raw data Crude oil'!AH68</f>
        <v>0</v>
      </c>
      <c r="AI67">
        <f>'raw data Crude oil'!AI68</f>
        <v>0</v>
      </c>
      <c r="AJ67">
        <f>'raw data Crude oil'!AJ68</f>
        <v>0</v>
      </c>
      <c r="AK67">
        <f>'raw data Crude oil'!AK68</f>
        <v>0</v>
      </c>
    </row>
    <row r="68" spans="1:37" x14ac:dyDescent="0.3">
      <c r="A68" s="18">
        <f>'raw data Crude oil'!A69</f>
        <v>42829</v>
      </c>
      <c r="B68">
        <f>'raw data Crude oil'!B69</f>
        <v>54.17</v>
      </c>
      <c r="C68">
        <f>'raw data Crude oil'!C69</f>
        <v>54.44</v>
      </c>
      <c r="D68">
        <f>'raw data Crude oil'!D69</f>
        <v>54.65</v>
      </c>
      <c r="E68">
        <f>'raw data Crude oil'!E69</f>
        <v>54.76</v>
      </c>
      <c r="F68">
        <f>'raw data Crude oil'!F69</f>
        <v>54.83</v>
      </c>
      <c r="G68">
        <f>'raw data Crude oil'!G69</f>
        <v>54.86</v>
      </c>
      <c r="H68">
        <f>'raw data Crude oil'!H69</f>
        <v>54.88</v>
      </c>
      <c r="I68">
        <f>'raw data Crude oil'!I69</f>
        <v>54.88</v>
      </c>
      <c r="J68">
        <f>'raw data Crude oil'!J69</f>
        <v>54.85</v>
      </c>
      <c r="K68">
        <f>'raw data Crude oil'!K69</f>
        <v>54.81</v>
      </c>
      <c r="L68">
        <f>'raw data Crude oil'!L69</f>
        <v>54.77</v>
      </c>
      <c r="M68">
        <f>'raw data Crude oil'!M69</f>
        <v>54.72</v>
      </c>
      <c r="N68">
        <f>'raw data Crude oil'!N69</f>
        <v>51.03</v>
      </c>
      <c r="O68">
        <f>'raw data Crude oil'!O69</f>
        <v>51.51</v>
      </c>
      <c r="P68">
        <f>'raw data Crude oil'!P69</f>
        <v>51.88</v>
      </c>
      <c r="Q68">
        <f>'raw data Crude oil'!Q69</f>
        <v>52.16</v>
      </c>
      <c r="R68">
        <f>'raw data Crude oil'!R69</f>
        <v>52.37</v>
      </c>
      <c r="S68">
        <f>'raw data Crude oil'!S69</f>
        <v>52.52</v>
      </c>
      <c r="T68">
        <f>'raw data Crude oil'!T69</f>
        <v>52.64</v>
      </c>
      <c r="U68">
        <f>'raw data Crude oil'!U69</f>
        <v>52.72</v>
      </c>
      <c r="V68">
        <f>'raw data Crude oil'!V69</f>
        <v>52.76</v>
      </c>
      <c r="W68">
        <f>'raw data Crude oil'!W69</f>
        <v>52.78</v>
      </c>
      <c r="X68">
        <f>'raw data Crude oil'!X69</f>
        <v>52.77</v>
      </c>
      <c r="Y68">
        <f>'raw data Crude oil'!Y69</f>
        <v>52.75</v>
      </c>
      <c r="Z68">
        <f>'raw data Crude oil'!Z69</f>
        <v>0</v>
      </c>
      <c r="AA68">
        <f>'raw data Crude oil'!AA69</f>
        <v>0</v>
      </c>
      <c r="AB68">
        <f>'raw data Crude oil'!AB69</f>
        <v>0</v>
      </c>
      <c r="AC68">
        <f>'raw data Crude oil'!AC69</f>
        <v>0</v>
      </c>
      <c r="AD68">
        <f>'raw data Crude oil'!AD69</f>
        <v>0</v>
      </c>
      <c r="AE68">
        <f>'raw data Crude oil'!AE69</f>
        <v>0</v>
      </c>
      <c r="AF68">
        <f>'raw data Crude oil'!AF69</f>
        <v>0</v>
      </c>
      <c r="AG68">
        <f>'raw data Crude oil'!AG69</f>
        <v>0</v>
      </c>
      <c r="AH68">
        <f>'raw data Crude oil'!AH69</f>
        <v>0</v>
      </c>
      <c r="AI68">
        <f>'raw data Crude oil'!AI69</f>
        <v>0</v>
      </c>
      <c r="AJ68">
        <f>'raw data Crude oil'!AJ69</f>
        <v>0</v>
      </c>
      <c r="AK68">
        <f>'raw data Crude oil'!AK69</f>
        <v>0</v>
      </c>
    </row>
    <row r="69" spans="1:37" x14ac:dyDescent="0.3">
      <c r="A69" s="18">
        <f>'raw data Crude oil'!A70</f>
        <v>42830</v>
      </c>
      <c r="B69">
        <f>'raw data Crude oil'!B70</f>
        <v>54.36</v>
      </c>
      <c r="C69">
        <f>'raw data Crude oil'!C70</f>
        <v>54.63</v>
      </c>
      <c r="D69">
        <f>'raw data Crude oil'!D70</f>
        <v>54.83</v>
      </c>
      <c r="E69">
        <f>'raw data Crude oil'!E70</f>
        <v>54.94</v>
      </c>
      <c r="F69">
        <f>'raw data Crude oil'!F70</f>
        <v>55.01</v>
      </c>
      <c r="G69">
        <f>'raw data Crude oil'!G70</f>
        <v>55.04</v>
      </c>
      <c r="H69">
        <f>'raw data Crude oil'!H70</f>
        <v>55.05</v>
      </c>
      <c r="I69">
        <f>'raw data Crude oil'!I70</f>
        <v>55.04</v>
      </c>
      <c r="J69">
        <f>'raw data Crude oil'!J70</f>
        <v>55</v>
      </c>
      <c r="K69">
        <f>'raw data Crude oil'!K70</f>
        <v>54.95</v>
      </c>
      <c r="L69">
        <f>'raw data Crude oil'!L70</f>
        <v>54.9</v>
      </c>
      <c r="M69">
        <f>'raw data Crude oil'!M70</f>
        <v>54.83</v>
      </c>
      <c r="N69">
        <f>'raw data Crude oil'!N70</f>
        <v>51.15</v>
      </c>
      <c r="O69">
        <f>'raw data Crude oil'!O70</f>
        <v>51.6</v>
      </c>
      <c r="P69">
        <f>'raw data Crude oil'!P70</f>
        <v>51.95</v>
      </c>
      <c r="Q69">
        <f>'raw data Crude oil'!Q70</f>
        <v>52.22</v>
      </c>
      <c r="R69">
        <f>'raw data Crude oil'!R70</f>
        <v>52.42</v>
      </c>
      <c r="S69">
        <f>'raw data Crude oil'!S70</f>
        <v>52.57</v>
      </c>
      <c r="T69">
        <f>'raw data Crude oil'!T70</f>
        <v>52.68</v>
      </c>
      <c r="U69">
        <f>'raw data Crude oil'!U70</f>
        <v>52.76</v>
      </c>
      <c r="V69">
        <f>'raw data Crude oil'!V70</f>
        <v>52.8</v>
      </c>
      <c r="W69">
        <f>'raw data Crude oil'!W70</f>
        <v>52.81</v>
      </c>
      <c r="X69">
        <f>'raw data Crude oil'!X70</f>
        <v>52.8</v>
      </c>
      <c r="Y69">
        <f>'raw data Crude oil'!Y70</f>
        <v>52.78</v>
      </c>
      <c r="Z69">
        <f>'raw data Crude oil'!Z70</f>
        <v>0</v>
      </c>
      <c r="AA69">
        <f>'raw data Crude oil'!AA70</f>
        <v>0</v>
      </c>
      <c r="AB69">
        <f>'raw data Crude oil'!AB70</f>
        <v>0</v>
      </c>
      <c r="AC69">
        <f>'raw data Crude oil'!AC70</f>
        <v>0</v>
      </c>
      <c r="AD69">
        <f>'raw data Crude oil'!AD70</f>
        <v>0</v>
      </c>
      <c r="AE69">
        <f>'raw data Crude oil'!AE70</f>
        <v>0</v>
      </c>
      <c r="AF69">
        <f>'raw data Crude oil'!AF70</f>
        <v>0</v>
      </c>
      <c r="AG69">
        <f>'raw data Crude oil'!AG70</f>
        <v>0</v>
      </c>
      <c r="AH69">
        <f>'raw data Crude oil'!AH70</f>
        <v>0</v>
      </c>
      <c r="AI69">
        <f>'raw data Crude oil'!AI70</f>
        <v>0</v>
      </c>
      <c r="AJ69">
        <f>'raw data Crude oil'!AJ70</f>
        <v>0</v>
      </c>
      <c r="AK69">
        <f>'raw data Crude oil'!AK70</f>
        <v>0</v>
      </c>
    </row>
    <row r="70" spans="1:37" x14ac:dyDescent="0.3">
      <c r="A70" s="18">
        <f>'raw data Crude oil'!A71</f>
        <v>42831</v>
      </c>
      <c r="B70">
        <f>'raw data Crude oil'!B71</f>
        <v>54.89</v>
      </c>
      <c r="C70">
        <f>'raw data Crude oil'!C71</f>
        <v>55.17</v>
      </c>
      <c r="D70">
        <f>'raw data Crude oil'!D71</f>
        <v>55.35</v>
      </c>
      <c r="E70">
        <f>'raw data Crude oil'!E71</f>
        <v>55.45</v>
      </c>
      <c r="F70">
        <f>'raw data Crude oil'!F71</f>
        <v>55.51</v>
      </c>
      <c r="G70">
        <f>'raw data Crude oil'!G71</f>
        <v>55.53</v>
      </c>
      <c r="H70">
        <f>'raw data Crude oil'!H71</f>
        <v>55.53</v>
      </c>
      <c r="I70">
        <f>'raw data Crude oil'!I71</f>
        <v>55.51</v>
      </c>
      <c r="J70">
        <f>'raw data Crude oil'!J71</f>
        <v>55.46</v>
      </c>
      <c r="K70">
        <f>'raw data Crude oil'!K71</f>
        <v>55.4</v>
      </c>
      <c r="L70">
        <f>'raw data Crude oil'!L71</f>
        <v>55.34</v>
      </c>
      <c r="M70">
        <f>'raw data Crude oil'!M71</f>
        <v>55.26</v>
      </c>
      <c r="N70">
        <f>'raw data Crude oil'!N71</f>
        <v>51.7</v>
      </c>
      <c r="O70">
        <f>'raw data Crude oil'!O71</f>
        <v>52.13</v>
      </c>
      <c r="P70">
        <f>'raw data Crude oil'!P71</f>
        <v>52.47</v>
      </c>
      <c r="Q70">
        <f>'raw data Crude oil'!Q71</f>
        <v>52.72</v>
      </c>
      <c r="R70">
        <f>'raw data Crude oil'!R71</f>
        <v>52.9</v>
      </c>
      <c r="S70">
        <f>'raw data Crude oil'!S71</f>
        <v>53.03</v>
      </c>
      <c r="T70">
        <f>'raw data Crude oil'!T71</f>
        <v>53.12</v>
      </c>
      <c r="U70">
        <f>'raw data Crude oil'!U71</f>
        <v>53.18</v>
      </c>
      <c r="V70">
        <f>'raw data Crude oil'!V71</f>
        <v>53.21</v>
      </c>
      <c r="W70">
        <f>'raw data Crude oil'!W71</f>
        <v>53.21</v>
      </c>
      <c r="X70">
        <f>'raw data Crude oil'!X71</f>
        <v>53.19</v>
      </c>
      <c r="Y70">
        <f>'raw data Crude oil'!Y71</f>
        <v>53.15</v>
      </c>
      <c r="Z70">
        <f>'raw data Crude oil'!Z71</f>
        <v>0</v>
      </c>
      <c r="AA70">
        <f>'raw data Crude oil'!AA71</f>
        <v>0</v>
      </c>
      <c r="AB70">
        <f>'raw data Crude oil'!AB71</f>
        <v>0</v>
      </c>
      <c r="AC70">
        <f>'raw data Crude oil'!AC71</f>
        <v>0</v>
      </c>
      <c r="AD70">
        <f>'raw data Crude oil'!AD71</f>
        <v>0</v>
      </c>
      <c r="AE70">
        <f>'raw data Crude oil'!AE71</f>
        <v>0</v>
      </c>
      <c r="AF70">
        <f>'raw data Crude oil'!AF71</f>
        <v>0</v>
      </c>
      <c r="AG70">
        <f>'raw data Crude oil'!AG71</f>
        <v>0</v>
      </c>
      <c r="AH70">
        <f>'raw data Crude oil'!AH71</f>
        <v>0</v>
      </c>
      <c r="AI70">
        <f>'raw data Crude oil'!AI71</f>
        <v>0</v>
      </c>
      <c r="AJ70">
        <f>'raw data Crude oil'!AJ71</f>
        <v>0</v>
      </c>
      <c r="AK70">
        <f>'raw data Crude oil'!AK71</f>
        <v>0</v>
      </c>
    </row>
    <row r="71" spans="1:37" x14ac:dyDescent="0.3">
      <c r="A71" s="18">
        <f>'raw data Crude oil'!A72</f>
        <v>42832</v>
      </c>
      <c r="B71">
        <f>'raw data Crude oil'!B72</f>
        <v>55.24</v>
      </c>
      <c r="C71">
        <f>'raw data Crude oil'!C72</f>
        <v>55.53</v>
      </c>
      <c r="D71">
        <f>'raw data Crude oil'!D72</f>
        <v>55.72</v>
      </c>
      <c r="E71">
        <f>'raw data Crude oil'!E72</f>
        <v>55.82</v>
      </c>
      <c r="F71">
        <f>'raw data Crude oil'!F72</f>
        <v>55.87</v>
      </c>
      <c r="G71">
        <f>'raw data Crude oil'!G72</f>
        <v>55.89</v>
      </c>
      <c r="H71">
        <f>'raw data Crude oil'!H72</f>
        <v>55.87</v>
      </c>
      <c r="I71">
        <f>'raw data Crude oil'!I72</f>
        <v>55.85</v>
      </c>
      <c r="J71">
        <f>'raw data Crude oil'!J72</f>
        <v>55.81</v>
      </c>
      <c r="K71">
        <f>'raw data Crude oil'!K72</f>
        <v>55.74</v>
      </c>
      <c r="L71">
        <f>'raw data Crude oil'!L72</f>
        <v>55.67</v>
      </c>
      <c r="M71">
        <f>'raw data Crude oil'!M72</f>
        <v>55.58</v>
      </c>
      <c r="N71">
        <f>'raw data Crude oil'!N72</f>
        <v>52.24</v>
      </c>
      <c r="O71">
        <f>'raw data Crude oil'!O72</f>
        <v>52.64</v>
      </c>
      <c r="P71">
        <f>'raw data Crude oil'!P72</f>
        <v>52.95</v>
      </c>
      <c r="Q71">
        <f>'raw data Crude oil'!Q72</f>
        <v>53.16</v>
      </c>
      <c r="R71">
        <f>'raw data Crude oil'!R72</f>
        <v>53.31</v>
      </c>
      <c r="S71">
        <f>'raw data Crude oil'!S72</f>
        <v>53.43</v>
      </c>
      <c r="T71">
        <f>'raw data Crude oil'!T72</f>
        <v>53.52</v>
      </c>
      <c r="U71">
        <f>'raw data Crude oil'!U72</f>
        <v>53.58</v>
      </c>
      <c r="V71">
        <f>'raw data Crude oil'!V72</f>
        <v>53.6</v>
      </c>
      <c r="W71">
        <f>'raw data Crude oil'!W72</f>
        <v>53.59</v>
      </c>
      <c r="X71">
        <f>'raw data Crude oil'!X72</f>
        <v>53.55</v>
      </c>
      <c r="Y71">
        <f>'raw data Crude oil'!Y72</f>
        <v>53.49</v>
      </c>
      <c r="Z71">
        <f>'raw data Crude oil'!Z72</f>
        <v>0</v>
      </c>
      <c r="AA71">
        <f>'raw data Crude oil'!AA72</f>
        <v>0</v>
      </c>
      <c r="AB71">
        <f>'raw data Crude oil'!AB72</f>
        <v>0</v>
      </c>
      <c r="AC71">
        <f>'raw data Crude oil'!AC72</f>
        <v>0</v>
      </c>
      <c r="AD71">
        <f>'raw data Crude oil'!AD72</f>
        <v>0</v>
      </c>
      <c r="AE71">
        <f>'raw data Crude oil'!AE72</f>
        <v>0</v>
      </c>
      <c r="AF71">
        <f>'raw data Crude oil'!AF72</f>
        <v>0</v>
      </c>
      <c r="AG71">
        <f>'raw data Crude oil'!AG72</f>
        <v>0</v>
      </c>
      <c r="AH71">
        <f>'raw data Crude oil'!AH72</f>
        <v>0</v>
      </c>
      <c r="AI71">
        <f>'raw data Crude oil'!AI72</f>
        <v>0</v>
      </c>
      <c r="AJ71">
        <f>'raw data Crude oil'!AJ72</f>
        <v>0</v>
      </c>
      <c r="AK71">
        <f>'raw data Crude oil'!AK72</f>
        <v>0</v>
      </c>
    </row>
    <row r="72" spans="1:37" x14ac:dyDescent="0.3">
      <c r="A72" s="18">
        <f>'raw data Crude oil'!A73</f>
        <v>42835</v>
      </c>
      <c r="B72">
        <f>'raw data Crude oil'!B73</f>
        <v>55.98</v>
      </c>
      <c r="C72">
        <f>'raw data Crude oil'!C73</f>
        <v>56.32</v>
      </c>
      <c r="D72">
        <f>'raw data Crude oil'!D73</f>
        <v>56.54</v>
      </c>
      <c r="E72">
        <f>'raw data Crude oil'!E73</f>
        <v>56.67</v>
      </c>
      <c r="F72">
        <f>'raw data Crude oil'!F73</f>
        <v>56.73</v>
      </c>
      <c r="G72">
        <f>'raw data Crude oil'!G73</f>
        <v>56.75</v>
      </c>
      <c r="H72">
        <f>'raw data Crude oil'!H73</f>
        <v>56.73</v>
      </c>
      <c r="I72">
        <f>'raw data Crude oil'!I73</f>
        <v>56.7</v>
      </c>
      <c r="J72">
        <f>'raw data Crude oil'!J73</f>
        <v>56.65</v>
      </c>
      <c r="K72">
        <f>'raw data Crude oil'!K73</f>
        <v>56.57</v>
      </c>
      <c r="L72">
        <f>'raw data Crude oil'!L73</f>
        <v>56.49</v>
      </c>
      <c r="M72">
        <f>'raw data Crude oil'!M73</f>
        <v>56.4</v>
      </c>
      <c r="N72">
        <f>'raw data Crude oil'!N73</f>
        <v>53.08</v>
      </c>
      <c r="O72">
        <f>'raw data Crude oil'!O73</f>
        <v>53.48</v>
      </c>
      <c r="P72">
        <f>'raw data Crude oil'!P73</f>
        <v>53.8</v>
      </c>
      <c r="Q72">
        <f>'raw data Crude oil'!Q73</f>
        <v>54.01</v>
      </c>
      <c r="R72">
        <f>'raw data Crude oil'!R73</f>
        <v>54.17</v>
      </c>
      <c r="S72">
        <f>'raw data Crude oil'!S73</f>
        <v>54.29</v>
      </c>
      <c r="T72">
        <f>'raw data Crude oil'!T73</f>
        <v>54.37</v>
      </c>
      <c r="U72">
        <f>'raw data Crude oil'!U73</f>
        <v>54.41</v>
      </c>
      <c r="V72">
        <f>'raw data Crude oil'!V73</f>
        <v>54.42</v>
      </c>
      <c r="W72">
        <f>'raw data Crude oil'!W73</f>
        <v>54.39</v>
      </c>
      <c r="X72">
        <f>'raw data Crude oil'!X73</f>
        <v>54.34</v>
      </c>
      <c r="Y72">
        <f>'raw data Crude oil'!Y73</f>
        <v>54.27</v>
      </c>
      <c r="Z72">
        <f>'raw data Crude oil'!Z73</f>
        <v>0</v>
      </c>
      <c r="AA72">
        <f>'raw data Crude oil'!AA73</f>
        <v>0</v>
      </c>
      <c r="AB72">
        <f>'raw data Crude oil'!AB73</f>
        <v>0</v>
      </c>
      <c r="AC72">
        <f>'raw data Crude oil'!AC73</f>
        <v>0</v>
      </c>
      <c r="AD72">
        <f>'raw data Crude oil'!AD73</f>
        <v>0</v>
      </c>
      <c r="AE72">
        <f>'raw data Crude oil'!AE73</f>
        <v>0</v>
      </c>
      <c r="AF72">
        <f>'raw data Crude oil'!AF73</f>
        <v>0</v>
      </c>
      <c r="AG72">
        <f>'raw data Crude oil'!AG73</f>
        <v>0</v>
      </c>
      <c r="AH72">
        <f>'raw data Crude oil'!AH73</f>
        <v>0</v>
      </c>
      <c r="AI72">
        <f>'raw data Crude oil'!AI73</f>
        <v>0</v>
      </c>
      <c r="AJ72">
        <f>'raw data Crude oil'!AJ73</f>
        <v>0</v>
      </c>
      <c r="AK72">
        <f>'raw data Crude oil'!AK73</f>
        <v>0</v>
      </c>
    </row>
    <row r="73" spans="1:37" x14ac:dyDescent="0.3">
      <c r="A73" s="18">
        <f>'raw data Crude oil'!A74</f>
        <v>42836</v>
      </c>
      <c r="B73">
        <f>'raw data Crude oil'!B74</f>
        <v>56.23</v>
      </c>
      <c r="C73">
        <f>'raw data Crude oil'!C74</f>
        <v>56.6</v>
      </c>
      <c r="D73">
        <f>'raw data Crude oil'!D74</f>
        <v>56.84</v>
      </c>
      <c r="E73">
        <f>'raw data Crude oil'!E74</f>
        <v>56.97</v>
      </c>
      <c r="F73">
        <f>'raw data Crude oil'!F74</f>
        <v>57.04</v>
      </c>
      <c r="G73">
        <f>'raw data Crude oil'!G74</f>
        <v>57.06</v>
      </c>
      <c r="H73">
        <f>'raw data Crude oil'!H74</f>
        <v>57.05</v>
      </c>
      <c r="I73">
        <f>'raw data Crude oil'!I74</f>
        <v>57.03</v>
      </c>
      <c r="J73">
        <f>'raw data Crude oil'!J74</f>
        <v>56.98</v>
      </c>
      <c r="K73">
        <f>'raw data Crude oil'!K74</f>
        <v>56.91</v>
      </c>
      <c r="L73">
        <f>'raw data Crude oil'!L74</f>
        <v>56.84</v>
      </c>
      <c r="M73">
        <f>'raw data Crude oil'!M74</f>
        <v>56.74</v>
      </c>
      <c r="N73">
        <f>'raw data Crude oil'!N74</f>
        <v>53.4</v>
      </c>
      <c r="O73">
        <f>'raw data Crude oil'!O74</f>
        <v>53.79</v>
      </c>
      <c r="P73">
        <f>'raw data Crude oil'!P74</f>
        <v>54.11</v>
      </c>
      <c r="Q73">
        <f>'raw data Crude oil'!Q74</f>
        <v>54.31</v>
      </c>
      <c r="R73">
        <f>'raw data Crude oil'!R74</f>
        <v>54.48</v>
      </c>
      <c r="S73">
        <f>'raw data Crude oil'!S74</f>
        <v>54.6</v>
      </c>
      <c r="T73">
        <f>'raw data Crude oil'!T74</f>
        <v>54.69</v>
      </c>
      <c r="U73">
        <f>'raw data Crude oil'!U74</f>
        <v>54.75</v>
      </c>
      <c r="V73">
        <f>'raw data Crude oil'!V74</f>
        <v>54.77</v>
      </c>
      <c r="W73">
        <f>'raw data Crude oil'!W74</f>
        <v>54.75</v>
      </c>
      <c r="X73">
        <f>'raw data Crude oil'!X74</f>
        <v>54.7</v>
      </c>
      <c r="Y73">
        <f>'raw data Crude oil'!Y74</f>
        <v>54.63</v>
      </c>
      <c r="Z73">
        <f>'raw data Crude oil'!Z74</f>
        <v>0</v>
      </c>
      <c r="AA73">
        <f>'raw data Crude oil'!AA74</f>
        <v>0</v>
      </c>
      <c r="AB73">
        <f>'raw data Crude oil'!AB74</f>
        <v>0</v>
      </c>
      <c r="AC73">
        <f>'raw data Crude oil'!AC74</f>
        <v>0</v>
      </c>
      <c r="AD73">
        <f>'raw data Crude oil'!AD74</f>
        <v>0</v>
      </c>
      <c r="AE73">
        <f>'raw data Crude oil'!AE74</f>
        <v>0</v>
      </c>
      <c r="AF73">
        <f>'raw data Crude oil'!AF74</f>
        <v>0</v>
      </c>
      <c r="AG73">
        <f>'raw data Crude oil'!AG74</f>
        <v>0</v>
      </c>
      <c r="AH73">
        <f>'raw data Crude oil'!AH74</f>
        <v>0</v>
      </c>
      <c r="AI73">
        <f>'raw data Crude oil'!AI74</f>
        <v>0</v>
      </c>
      <c r="AJ73">
        <f>'raw data Crude oil'!AJ74</f>
        <v>0</v>
      </c>
      <c r="AK73">
        <f>'raw data Crude oil'!AK74</f>
        <v>0</v>
      </c>
    </row>
    <row r="74" spans="1:37" x14ac:dyDescent="0.3">
      <c r="A74" s="18">
        <f>'raw data Crude oil'!A75</f>
        <v>42837</v>
      </c>
      <c r="B74">
        <f>'raw data Crude oil'!B75</f>
        <v>55.86</v>
      </c>
      <c r="C74">
        <f>'raw data Crude oil'!C75</f>
        <v>56.3</v>
      </c>
      <c r="D74">
        <f>'raw data Crude oil'!D75</f>
        <v>56.6</v>
      </c>
      <c r="E74">
        <f>'raw data Crude oil'!E75</f>
        <v>56.78</v>
      </c>
      <c r="F74">
        <f>'raw data Crude oil'!F75</f>
        <v>56.89</v>
      </c>
      <c r="G74">
        <f>'raw data Crude oil'!G75</f>
        <v>56.93</v>
      </c>
      <c r="H74">
        <f>'raw data Crude oil'!H75</f>
        <v>56.94</v>
      </c>
      <c r="I74">
        <f>'raw data Crude oil'!I75</f>
        <v>56.94</v>
      </c>
      <c r="J74">
        <f>'raw data Crude oil'!J75</f>
        <v>56.92</v>
      </c>
      <c r="K74">
        <f>'raw data Crude oil'!K75</f>
        <v>56.86</v>
      </c>
      <c r="L74">
        <f>'raw data Crude oil'!L75</f>
        <v>56.81</v>
      </c>
      <c r="M74">
        <f>'raw data Crude oil'!M75</f>
        <v>56.73</v>
      </c>
      <c r="N74">
        <f>'raw data Crude oil'!N75</f>
        <v>53.11</v>
      </c>
      <c r="O74">
        <f>'raw data Crude oil'!O75</f>
        <v>53.52</v>
      </c>
      <c r="P74">
        <f>'raw data Crude oil'!P75</f>
        <v>53.85</v>
      </c>
      <c r="Q74">
        <f>'raw data Crude oil'!Q75</f>
        <v>54.09</v>
      </c>
      <c r="R74">
        <f>'raw data Crude oil'!R75</f>
        <v>54.3</v>
      </c>
      <c r="S74">
        <f>'raw data Crude oil'!S75</f>
        <v>54.45</v>
      </c>
      <c r="T74">
        <f>'raw data Crude oil'!T75</f>
        <v>54.56</v>
      </c>
      <c r="U74">
        <f>'raw data Crude oil'!U75</f>
        <v>54.65</v>
      </c>
      <c r="V74">
        <f>'raw data Crude oil'!V75</f>
        <v>54.71</v>
      </c>
      <c r="W74">
        <f>'raw data Crude oil'!W75</f>
        <v>54.71</v>
      </c>
      <c r="X74">
        <f>'raw data Crude oil'!X75</f>
        <v>54.68</v>
      </c>
      <c r="Y74">
        <f>'raw data Crude oil'!Y75</f>
        <v>54.63</v>
      </c>
      <c r="Z74">
        <f>'raw data Crude oil'!Z75</f>
        <v>0</v>
      </c>
      <c r="AA74">
        <f>'raw data Crude oil'!AA75</f>
        <v>0</v>
      </c>
      <c r="AB74">
        <f>'raw data Crude oil'!AB75</f>
        <v>0</v>
      </c>
      <c r="AC74">
        <f>'raw data Crude oil'!AC75</f>
        <v>0</v>
      </c>
      <c r="AD74">
        <f>'raw data Crude oil'!AD75</f>
        <v>0</v>
      </c>
      <c r="AE74">
        <f>'raw data Crude oil'!AE75</f>
        <v>0</v>
      </c>
      <c r="AF74">
        <f>'raw data Crude oil'!AF75</f>
        <v>0</v>
      </c>
      <c r="AG74">
        <f>'raw data Crude oil'!AG75</f>
        <v>0</v>
      </c>
      <c r="AH74">
        <f>'raw data Crude oil'!AH75</f>
        <v>0</v>
      </c>
      <c r="AI74">
        <f>'raw data Crude oil'!AI75</f>
        <v>0</v>
      </c>
      <c r="AJ74">
        <f>'raw data Crude oil'!AJ75</f>
        <v>0</v>
      </c>
      <c r="AK74">
        <f>'raw data Crude oil'!AK75</f>
        <v>0</v>
      </c>
    </row>
    <row r="75" spans="1:37" x14ac:dyDescent="0.3">
      <c r="A75" s="18">
        <f>'raw data Crude oil'!A76</f>
        <v>42838</v>
      </c>
      <c r="B75">
        <f>'raw data Crude oil'!B76</f>
        <v>55.89</v>
      </c>
      <c r="C75">
        <f>'raw data Crude oil'!C76</f>
        <v>56.37</v>
      </c>
      <c r="D75">
        <f>'raw data Crude oil'!D76</f>
        <v>56.69</v>
      </c>
      <c r="E75">
        <f>'raw data Crude oil'!E76</f>
        <v>56.88</v>
      </c>
      <c r="F75">
        <f>'raw data Crude oil'!F76</f>
        <v>57</v>
      </c>
      <c r="G75">
        <f>'raw data Crude oil'!G76</f>
        <v>57.06</v>
      </c>
      <c r="H75">
        <f>'raw data Crude oil'!H76</f>
        <v>57.07</v>
      </c>
      <c r="I75">
        <f>'raw data Crude oil'!I76</f>
        <v>57.07</v>
      </c>
      <c r="J75">
        <f>'raw data Crude oil'!J76</f>
        <v>57.04</v>
      </c>
      <c r="K75">
        <f>'raw data Crude oil'!K76</f>
        <v>56.99</v>
      </c>
      <c r="L75">
        <f>'raw data Crude oil'!L76</f>
        <v>56.92</v>
      </c>
      <c r="M75">
        <f>'raw data Crude oil'!M76</f>
        <v>56.84</v>
      </c>
      <c r="N75">
        <f>'raw data Crude oil'!N76</f>
        <v>53.18</v>
      </c>
      <c r="O75">
        <f>'raw data Crude oil'!O76</f>
        <v>53.6</v>
      </c>
      <c r="P75">
        <f>'raw data Crude oil'!P76</f>
        <v>53.93</v>
      </c>
      <c r="Q75">
        <f>'raw data Crude oil'!Q76</f>
        <v>54.18</v>
      </c>
      <c r="R75">
        <f>'raw data Crude oil'!R76</f>
        <v>54.39</v>
      </c>
      <c r="S75">
        <f>'raw data Crude oil'!S76</f>
        <v>54.55</v>
      </c>
      <c r="T75">
        <f>'raw data Crude oil'!T76</f>
        <v>54.67</v>
      </c>
      <c r="U75">
        <f>'raw data Crude oil'!U76</f>
        <v>54.75</v>
      </c>
      <c r="V75">
        <f>'raw data Crude oil'!V76</f>
        <v>54.8</v>
      </c>
      <c r="W75">
        <f>'raw data Crude oil'!W76</f>
        <v>54.8</v>
      </c>
      <c r="X75">
        <f>'raw data Crude oil'!X76</f>
        <v>54.77</v>
      </c>
      <c r="Y75">
        <f>'raw data Crude oil'!Y76</f>
        <v>54.72</v>
      </c>
      <c r="Z75">
        <f>'raw data Crude oil'!Z76</f>
        <v>0</v>
      </c>
      <c r="AA75">
        <f>'raw data Crude oil'!AA76</f>
        <v>0</v>
      </c>
      <c r="AB75">
        <f>'raw data Crude oil'!AB76</f>
        <v>0</v>
      </c>
      <c r="AC75">
        <f>'raw data Crude oil'!AC76</f>
        <v>0</v>
      </c>
      <c r="AD75">
        <f>'raw data Crude oil'!AD76</f>
        <v>0</v>
      </c>
      <c r="AE75">
        <f>'raw data Crude oil'!AE76</f>
        <v>0</v>
      </c>
      <c r="AF75">
        <f>'raw data Crude oil'!AF76</f>
        <v>0</v>
      </c>
      <c r="AG75">
        <f>'raw data Crude oil'!AG76</f>
        <v>0</v>
      </c>
      <c r="AH75">
        <f>'raw data Crude oil'!AH76</f>
        <v>0</v>
      </c>
      <c r="AI75">
        <f>'raw data Crude oil'!AI76</f>
        <v>0</v>
      </c>
      <c r="AJ75">
        <f>'raw data Crude oil'!AJ76</f>
        <v>0</v>
      </c>
      <c r="AK75">
        <f>'raw data Crude oil'!AK76</f>
        <v>0</v>
      </c>
    </row>
    <row r="76" spans="1:37" x14ac:dyDescent="0.3">
      <c r="A76" s="18">
        <f>'raw data Crude oil'!A77</f>
        <v>42842</v>
      </c>
      <c r="B76">
        <f>'raw data Crude oil'!B77</f>
        <v>55.36</v>
      </c>
      <c r="C76">
        <f>'raw data Crude oil'!C77</f>
        <v>55.88</v>
      </c>
      <c r="D76">
        <f>'raw data Crude oil'!D77</f>
        <v>56.23</v>
      </c>
      <c r="E76">
        <f>'raw data Crude oil'!E77</f>
        <v>56.44</v>
      </c>
      <c r="F76">
        <f>'raw data Crude oil'!F77</f>
        <v>56.59</v>
      </c>
      <c r="G76">
        <f>'raw data Crude oil'!G77</f>
        <v>56.67</v>
      </c>
      <c r="H76">
        <f>'raw data Crude oil'!H77</f>
        <v>56.7</v>
      </c>
      <c r="I76">
        <f>'raw data Crude oil'!I77</f>
        <v>56.71</v>
      </c>
      <c r="J76">
        <f>'raw data Crude oil'!J77</f>
        <v>56.7</v>
      </c>
      <c r="K76">
        <f>'raw data Crude oil'!K77</f>
        <v>56.65</v>
      </c>
      <c r="L76">
        <f>'raw data Crude oil'!L77</f>
        <v>56.59</v>
      </c>
      <c r="M76">
        <f>'raw data Crude oil'!M77</f>
        <v>56.52</v>
      </c>
      <c r="N76">
        <f>'raw data Crude oil'!N77</f>
        <v>52.65</v>
      </c>
      <c r="O76">
        <f>'raw data Crude oil'!O77</f>
        <v>53.11</v>
      </c>
      <c r="P76">
        <f>'raw data Crude oil'!P77</f>
        <v>53.47</v>
      </c>
      <c r="Q76">
        <f>'raw data Crude oil'!Q77</f>
        <v>53.74</v>
      </c>
      <c r="R76">
        <f>'raw data Crude oil'!R77</f>
        <v>53.96</v>
      </c>
      <c r="S76">
        <f>'raw data Crude oil'!S77</f>
        <v>54.13</v>
      </c>
      <c r="T76">
        <f>'raw data Crude oil'!T77</f>
        <v>54.26</v>
      </c>
      <c r="U76">
        <f>'raw data Crude oil'!U77</f>
        <v>54.35</v>
      </c>
      <c r="V76">
        <f>'raw data Crude oil'!V77</f>
        <v>54.41</v>
      </c>
      <c r="W76">
        <f>'raw data Crude oil'!W77</f>
        <v>54.43</v>
      </c>
      <c r="X76">
        <f>'raw data Crude oil'!X77</f>
        <v>54.42</v>
      </c>
      <c r="Y76">
        <f>'raw data Crude oil'!Y77</f>
        <v>54.39</v>
      </c>
      <c r="Z76">
        <f>'raw data Crude oil'!Z77</f>
        <v>0</v>
      </c>
      <c r="AA76">
        <f>'raw data Crude oil'!AA77</f>
        <v>0</v>
      </c>
      <c r="AB76">
        <f>'raw data Crude oil'!AB77</f>
        <v>0</v>
      </c>
      <c r="AC76">
        <f>'raw data Crude oil'!AC77</f>
        <v>0</v>
      </c>
      <c r="AD76">
        <f>'raw data Crude oil'!AD77</f>
        <v>0</v>
      </c>
      <c r="AE76">
        <f>'raw data Crude oil'!AE77</f>
        <v>0</v>
      </c>
      <c r="AF76">
        <f>'raw data Crude oil'!AF77</f>
        <v>0</v>
      </c>
      <c r="AG76">
        <f>'raw data Crude oil'!AG77</f>
        <v>0</v>
      </c>
      <c r="AH76">
        <f>'raw data Crude oil'!AH77</f>
        <v>0</v>
      </c>
      <c r="AI76">
        <f>'raw data Crude oil'!AI77</f>
        <v>0</v>
      </c>
      <c r="AJ76">
        <f>'raw data Crude oil'!AJ77</f>
        <v>0</v>
      </c>
      <c r="AK76">
        <f>'raw data Crude oil'!AK77</f>
        <v>0</v>
      </c>
    </row>
    <row r="77" spans="1:37" x14ac:dyDescent="0.3">
      <c r="A77" s="18">
        <f>'raw data Crude oil'!A78</f>
        <v>42843</v>
      </c>
      <c r="B77">
        <f>'raw data Crude oil'!B78</f>
        <v>54.89</v>
      </c>
      <c r="C77">
        <f>'raw data Crude oil'!C78</f>
        <v>55.44</v>
      </c>
      <c r="D77">
        <f>'raw data Crude oil'!D78</f>
        <v>55.8</v>
      </c>
      <c r="E77">
        <f>'raw data Crude oil'!E78</f>
        <v>56.02</v>
      </c>
      <c r="F77">
        <f>'raw data Crude oil'!F78</f>
        <v>56.18</v>
      </c>
      <c r="G77">
        <f>'raw data Crude oil'!G78</f>
        <v>56.28</v>
      </c>
      <c r="H77">
        <f>'raw data Crude oil'!H78</f>
        <v>56.33</v>
      </c>
      <c r="I77">
        <f>'raw data Crude oil'!I78</f>
        <v>56.36</v>
      </c>
      <c r="J77">
        <f>'raw data Crude oil'!J78</f>
        <v>56.35</v>
      </c>
      <c r="K77">
        <f>'raw data Crude oil'!K78</f>
        <v>56.31</v>
      </c>
      <c r="L77">
        <f>'raw data Crude oil'!L78</f>
        <v>56.26</v>
      </c>
      <c r="M77">
        <f>'raw data Crude oil'!M78</f>
        <v>56.2</v>
      </c>
      <c r="N77">
        <f>'raw data Crude oil'!N78</f>
        <v>52.41</v>
      </c>
      <c r="O77">
        <f>'raw data Crude oil'!O78</f>
        <v>52.85</v>
      </c>
      <c r="P77">
        <f>'raw data Crude oil'!P78</f>
        <v>53.2</v>
      </c>
      <c r="Q77">
        <f>'raw data Crude oil'!Q78</f>
        <v>53.46</v>
      </c>
      <c r="R77">
        <f>'raw data Crude oil'!R78</f>
        <v>53.69</v>
      </c>
      <c r="S77">
        <f>'raw data Crude oil'!S78</f>
        <v>53.87</v>
      </c>
      <c r="T77">
        <f>'raw data Crude oil'!T78</f>
        <v>54.01</v>
      </c>
      <c r="U77">
        <f>'raw data Crude oil'!U78</f>
        <v>54.1</v>
      </c>
      <c r="V77">
        <f>'raw data Crude oil'!V78</f>
        <v>54.16</v>
      </c>
      <c r="W77">
        <f>'raw data Crude oil'!W78</f>
        <v>54.18</v>
      </c>
      <c r="X77">
        <f>'raw data Crude oil'!X78</f>
        <v>54.17</v>
      </c>
      <c r="Y77">
        <f>'raw data Crude oil'!Y78</f>
        <v>54.13</v>
      </c>
      <c r="Z77">
        <f>'raw data Crude oil'!Z78</f>
        <v>0</v>
      </c>
      <c r="AA77">
        <f>'raw data Crude oil'!AA78</f>
        <v>0</v>
      </c>
      <c r="AB77">
        <f>'raw data Crude oil'!AB78</f>
        <v>0</v>
      </c>
      <c r="AC77">
        <f>'raw data Crude oil'!AC78</f>
        <v>0</v>
      </c>
      <c r="AD77">
        <f>'raw data Crude oil'!AD78</f>
        <v>0</v>
      </c>
      <c r="AE77">
        <f>'raw data Crude oil'!AE78</f>
        <v>0</v>
      </c>
      <c r="AF77">
        <f>'raw data Crude oil'!AF78</f>
        <v>0</v>
      </c>
      <c r="AG77">
        <f>'raw data Crude oil'!AG78</f>
        <v>0</v>
      </c>
      <c r="AH77">
        <f>'raw data Crude oil'!AH78</f>
        <v>0</v>
      </c>
      <c r="AI77">
        <f>'raw data Crude oil'!AI78</f>
        <v>0</v>
      </c>
      <c r="AJ77">
        <f>'raw data Crude oil'!AJ78</f>
        <v>0</v>
      </c>
      <c r="AK77">
        <f>'raw data Crude oil'!AK78</f>
        <v>0</v>
      </c>
    </row>
    <row r="78" spans="1:37" x14ac:dyDescent="0.3">
      <c r="A78" s="18">
        <f>'raw data Crude oil'!A79</f>
        <v>42844</v>
      </c>
      <c r="B78">
        <f>'raw data Crude oil'!B79</f>
        <v>52.93</v>
      </c>
      <c r="C78">
        <f>'raw data Crude oil'!C79</f>
        <v>53.43</v>
      </c>
      <c r="D78">
        <f>'raw data Crude oil'!D79</f>
        <v>53.77</v>
      </c>
      <c r="E78">
        <f>'raw data Crude oil'!E79</f>
        <v>54.01</v>
      </c>
      <c r="F78">
        <f>'raw data Crude oil'!F79</f>
        <v>54.19</v>
      </c>
      <c r="G78">
        <f>'raw data Crude oil'!G79</f>
        <v>54.31</v>
      </c>
      <c r="H78">
        <f>'raw data Crude oil'!H79</f>
        <v>54.39</v>
      </c>
      <c r="I78">
        <f>'raw data Crude oil'!I79</f>
        <v>54.43</v>
      </c>
      <c r="J78">
        <f>'raw data Crude oil'!J79</f>
        <v>54.45</v>
      </c>
      <c r="K78">
        <f>'raw data Crude oil'!K79</f>
        <v>54.45</v>
      </c>
      <c r="L78">
        <f>'raw data Crude oil'!L79</f>
        <v>54.43</v>
      </c>
      <c r="M78">
        <f>'raw data Crude oil'!M79</f>
        <v>54.39</v>
      </c>
      <c r="N78">
        <f>'raw data Crude oil'!N79</f>
        <v>50.44</v>
      </c>
      <c r="O78">
        <f>'raw data Crude oil'!O79</f>
        <v>50.85</v>
      </c>
      <c r="P78">
        <f>'raw data Crude oil'!P79</f>
        <v>51.2</v>
      </c>
      <c r="Q78">
        <f>'raw data Crude oil'!Q79</f>
        <v>51.48</v>
      </c>
      <c r="R78">
        <f>'raw data Crude oil'!R79</f>
        <v>51.71</v>
      </c>
      <c r="S78">
        <f>'raw data Crude oil'!S79</f>
        <v>51.9</v>
      </c>
      <c r="T78">
        <f>'raw data Crude oil'!T79</f>
        <v>52.05</v>
      </c>
      <c r="U78">
        <f>'raw data Crude oil'!U79</f>
        <v>52.16</v>
      </c>
      <c r="V78">
        <f>'raw data Crude oil'!V79</f>
        <v>52.23</v>
      </c>
      <c r="W78">
        <f>'raw data Crude oil'!W79</f>
        <v>52.27</v>
      </c>
      <c r="X78">
        <f>'raw data Crude oil'!X79</f>
        <v>52.28</v>
      </c>
      <c r="Y78">
        <f>'raw data Crude oil'!Y79</f>
        <v>52.27</v>
      </c>
      <c r="Z78">
        <f>'raw data Crude oil'!Z79</f>
        <v>0</v>
      </c>
      <c r="AA78">
        <f>'raw data Crude oil'!AA79</f>
        <v>0</v>
      </c>
      <c r="AB78">
        <f>'raw data Crude oil'!AB79</f>
        <v>0</v>
      </c>
      <c r="AC78">
        <f>'raw data Crude oil'!AC79</f>
        <v>0</v>
      </c>
      <c r="AD78">
        <f>'raw data Crude oil'!AD79</f>
        <v>0</v>
      </c>
      <c r="AE78">
        <f>'raw data Crude oil'!AE79</f>
        <v>0</v>
      </c>
      <c r="AF78">
        <f>'raw data Crude oil'!AF79</f>
        <v>0</v>
      </c>
      <c r="AG78">
        <f>'raw data Crude oil'!AG79</f>
        <v>0</v>
      </c>
      <c r="AH78">
        <f>'raw data Crude oil'!AH79</f>
        <v>0</v>
      </c>
      <c r="AI78">
        <f>'raw data Crude oil'!AI79</f>
        <v>0</v>
      </c>
      <c r="AJ78">
        <f>'raw data Crude oil'!AJ79</f>
        <v>0</v>
      </c>
      <c r="AK78">
        <f>'raw data Crude oil'!AK79</f>
        <v>0</v>
      </c>
    </row>
    <row r="79" spans="1:37" x14ac:dyDescent="0.3">
      <c r="A79" s="18">
        <f>'raw data Crude oil'!A80</f>
        <v>42845</v>
      </c>
      <c r="B79">
        <f>'raw data Crude oil'!B80</f>
        <v>52.99</v>
      </c>
      <c r="C79">
        <f>'raw data Crude oil'!C80</f>
        <v>53.46</v>
      </c>
      <c r="D79">
        <f>'raw data Crude oil'!D80</f>
        <v>53.79</v>
      </c>
      <c r="E79">
        <f>'raw data Crude oil'!E80</f>
        <v>54.03</v>
      </c>
      <c r="F79">
        <f>'raw data Crude oil'!F80</f>
        <v>54.2</v>
      </c>
      <c r="G79">
        <f>'raw data Crude oil'!G80</f>
        <v>54.31</v>
      </c>
      <c r="H79">
        <f>'raw data Crude oil'!H80</f>
        <v>54.38</v>
      </c>
      <c r="I79">
        <f>'raw data Crude oil'!I80</f>
        <v>54.41</v>
      </c>
      <c r="J79">
        <f>'raw data Crude oil'!J80</f>
        <v>54.42</v>
      </c>
      <c r="K79">
        <f>'raw data Crude oil'!K80</f>
        <v>54.4</v>
      </c>
      <c r="L79">
        <f>'raw data Crude oil'!L80</f>
        <v>54.36</v>
      </c>
      <c r="M79">
        <f>'raw data Crude oil'!M80</f>
        <v>54.31</v>
      </c>
      <c r="N79">
        <f>'raw data Crude oil'!N80</f>
        <v>50.27</v>
      </c>
      <c r="O79">
        <f>'raw data Crude oil'!O80</f>
        <v>50.71</v>
      </c>
      <c r="P79">
        <f>'raw data Crude oil'!P80</f>
        <v>51.07</v>
      </c>
      <c r="Q79">
        <f>'raw data Crude oil'!Q80</f>
        <v>51.36</v>
      </c>
      <c r="R79">
        <f>'raw data Crude oil'!R80</f>
        <v>51.61</v>
      </c>
      <c r="S79">
        <f>'raw data Crude oil'!S80</f>
        <v>51.82</v>
      </c>
      <c r="T79">
        <f>'raw data Crude oil'!T80</f>
        <v>51.99</v>
      </c>
      <c r="U79">
        <f>'raw data Crude oil'!U80</f>
        <v>52.11</v>
      </c>
      <c r="V79">
        <f>'raw data Crude oil'!V80</f>
        <v>52.2</v>
      </c>
      <c r="W79">
        <f>'raw data Crude oil'!W80</f>
        <v>52.25</v>
      </c>
      <c r="X79">
        <f>'raw data Crude oil'!X80</f>
        <v>52.27</v>
      </c>
      <c r="Y79">
        <f>'raw data Crude oil'!Y80</f>
        <v>52.26</v>
      </c>
      <c r="Z79">
        <f>'raw data Crude oil'!Z80</f>
        <v>0</v>
      </c>
      <c r="AA79">
        <f>'raw data Crude oil'!AA80</f>
        <v>0</v>
      </c>
      <c r="AB79">
        <f>'raw data Crude oil'!AB80</f>
        <v>0</v>
      </c>
      <c r="AC79">
        <f>'raw data Crude oil'!AC80</f>
        <v>0</v>
      </c>
      <c r="AD79">
        <f>'raw data Crude oil'!AD80</f>
        <v>0</v>
      </c>
      <c r="AE79">
        <f>'raw data Crude oil'!AE80</f>
        <v>0</v>
      </c>
      <c r="AF79">
        <f>'raw data Crude oil'!AF80</f>
        <v>0</v>
      </c>
      <c r="AG79">
        <f>'raw data Crude oil'!AG80</f>
        <v>0</v>
      </c>
      <c r="AH79">
        <f>'raw data Crude oil'!AH80</f>
        <v>0</v>
      </c>
      <c r="AI79">
        <f>'raw data Crude oil'!AI80</f>
        <v>0</v>
      </c>
      <c r="AJ79">
        <f>'raw data Crude oil'!AJ80</f>
        <v>0</v>
      </c>
      <c r="AK79">
        <f>'raw data Crude oil'!AK80</f>
        <v>0</v>
      </c>
    </row>
    <row r="80" spans="1:37" x14ac:dyDescent="0.3">
      <c r="A80" s="18">
        <f>'raw data Crude oil'!A81</f>
        <v>42846</v>
      </c>
      <c r="B80">
        <f>'raw data Crude oil'!B81</f>
        <v>51.96</v>
      </c>
      <c r="C80">
        <f>'raw data Crude oil'!C81</f>
        <v>52.44</v>
      </c>
      <c r="D80">
        <f>'raw data Crude oil'!D81</f>
        <v>52.8</v>
      </c>
      <c r="E80">
        <f>'raw data Crude oil'!E81</f>
        <v>53.07</v>
      </c>
      <c r="F80">
        <f>'raw data Crude oil'!F81</f>
        <v>53.28</v>
      </c>
      <c r="G80">
        <f>'raw data Crude oil'!G81</f>
        <v>53.43</v>
      </c>
      <c r="H80">
        <f>'raw data Crude oil'!H81</f>
        <v>53.53</v>
      </c>
      <c r="I80">
        <f>'raw data Crude oil'!I81</f>
        <v>53.59</v>
      </c>
      <c r="J80">
        <f>'raw data Crude oil'!J81</f>
        <v>53.63</v>
      </c>
      <c r="K80">
        <f>'raw data Crude oil'!K81</f>
        <v>53.64</v>
      </c>
      <c r="L80">
        <f>'raw data Crude oil'!L81</f>
        <v>53.64</v>
      </c>
      <c r="M80">
        <f>'raw data Crude oil'!M81</f>
        <v>53.62</v>
      </c>
      <c r="N80">
        <f>'raw data Crude oil'!N81</f>
        <v>49.62</v>
      </c>
      <c r="O80">
        <f>'raw data Crude oil'!O81</f>
        <v>49.97</v>
      </c>
      <c r="P80">
        <f>'raw data Crude oil'!P81</f>
        <v>50.28</v>
      </c>
      <c r="Q80">
        <f>'raw data Crude oil'!Q81</f>
        <v>50.55</v>
      </c>
      <c r="R80">
        <f>'raw data Crude oil'!R81</f>
        <v>50.8</v>
      </c>
      <c r="S80">
        <f>'raw data Crude oil'!S81</f>
        <v>51.01</v>
      </c>
      <c r="T80">
        <f>'raw data Crude oil'!T81</f>
        <v>51.18</v>
      </c>
      <c r="U80">
        <f>'raw data Crude oil'!U81</f>
        <v>51.3</v>
      </c>
      <c r="V80">
        <f>'raw data Crude oil'!V81</f>
        <v>51.38</v>
      </c>
      <c r="W80">
        <f>'raw data Crude oil'!W81</f>
        <v>51.43</v>
      </c>
      <c r="X80">
        <f>'raw data Crude oil'!X81</f>
        <v>51.45</v>
      </c>
      <c r="Y80">
        <f>'raw data Crude oil'!Y81</f>
        <v>51.45</v>
      </c>
      <c r="Z80">
        <f>'raw data Crude oil'!Z81</f>
        <v>0</v>
      </c>
      <c r="AA80">
        <f>'raw data Crude oil'!AA81</f>
        <v>0</v>
      </c>
      <c r="AB80">
        <f>'raw data Crude oil'!AB81</f>
        <v>0</v>
      </c>
      <c r="AC80">
        <f>'raw data Crude oil'!AC81</f>
        <v>0</v>
      </c>
      <c r="AD80">
        <f>'raw data Crude oil'!AD81</f>
        <v>0</v>
      </c>
      <c r="AE80">
        <f>'raw data Crude oil'!AE81</f>
        <v>0</v>
      </c>
      <c r="AF80">
        <f>'raw data Crude oil'!AF81</f>
        <v>0</v>
      </c>
      <c r="AG80">
        <f>'raw data Crude oil'!AG81</f>
        <v>0</v>
      </c>
      <c r="AH80">
        <f>'raw data Crude oil'!AH81</f>
        <v>0</v>
      </c>
      <c r="AI80">
        <f>'raw data Crude oil'!AI81</f>
        <v>0</v>
      </c>
      <c r="AJ80">
        <f>'raw data Crude oil'!AJ81</f>
        <v>0</v>
      </c>
      <c r="AK80">
        <f>'raw data Crude oil'!AK81</f>
        <v>0</v>
      </c>
    </row>
    <row r="81" spans="1:37" x14ac:dyDescent="0.3">
      <c r="A81" s="18">
        <f>'raw data Crude oil'!A82</f>
        <v>42849</v>
      </c>
      <c r="B81">
        <f>'raw data Crude oil'!B82</f>
        <v>51.6</v>
      </c>
      <c r="C81">
        <f>'raw data Crude oil'!C82</f>
        <v>52.13</v>
      </c>
      <c r="D81">
        <f>'raw data Crude oil'!D82</f>
        <v>52.47</v>
      </c>
      <c r="E81">
        <f>'raw data Crude oil'!E82</f>
        <v>52.72</v>
      </c>
      <c r="F81">
        <f>'raw data Crude oil'!F82</f>
        <v>52.92</v>
      </c>
      <c r="G81">
        <f>'raw data Crude oil'!G82</f>
        <v>53.07</v>
      </c>
      <c r="H81">
        <f>'raw data Crude oil'!H82</f>
        <v>53.18</v>
      </c>
      <c r="I81">
        <f>'raw data Crude oil'!I82</f>
        <v>53.24</v>
      </c>
      <c r="J81">
        <f>'raw data Crude oil'!J82</f>
        <v>53.27</v>
      </c>
      <c r="K81">
        <f>'raw data Crude oil'!K82</f>
        <v>53.28</v>
      </c>
      <c r="L81">
        <f>'raw data Crude oil'!L82</f>
        <v>53.27</v>
      </c>
      <c r="M81">
        <f>'raw data Crude oil'!M82</f>
        <v>53.25</v>
      </c>
      <c r="N81">
        <f>'raw data Crude oil'!N82</f>
        <v>49.23</v>
      </c>
      <c r="O81">
        <f>'raw data Crude oil'!O82</f>
        <v>49.58</v>
      </c>
      <c r="P81">
        <f>'raw data Crude oil'!P82</f>
        <v>49.89</v>
      </c>
      <c r="Q81">
        <f>'raw data Crude oil'!Q82</f>
        <v>50.17</v>
      </c>
      <c r="R81">
        <f>'raw data Crude oil'!R82</f>
        <v>50.42</v>
      </c>
      <c r="S81">
        <f>'raw data Crude oil'!S82</f>
        <v>50.63</v>
      </c>
      <c r="T81">
        <f>'raw data Crude oil'!T82</f>
        <v>50.81</v>
      </c>
      <c r="U81">
        <f>'raw data Crude oil'!U82</f>
        <v>50.94</v>
      </c>
      <c r="V81">
        <f>'raw data Crude oil'!V82</f>
        <v>51.03</v>
      </c>
      <c r="W81">
        <f>'raw data Crude oil'!W82</f>
        <v>51.08</v>
      </c>
      <c r="X81">
        <f>'raw data Crude oil'!X82</f>
        <v>51.11</v>
      </c>
      <c r="Y81">
        <f>'raw data Crude oil'!Y82</f>
        <v>51.11</v>
      </c>
      <c r="Z81">
        <f>'raw data Crude oil'!Z82</f>
        <v>0</v>
      </c>
      <c r="AA81">
        <f>'raw data Crude oil'!AA82</f>
        <v>0</v>
      </c>
      <c r="AB81">
        <f>'raw data Crude oil'!AB82</f>
        <v>0</v>
      </c>
      <c r="AC81">
        <f>'raw data Crude oil'!AC82</f>
        <v>0</v>
      </c>
      <c r="AD81">
        <f>'raw data Crude oil'!AD82</f>
        <v>0</v>
      </c>
      <c r="AE81">
        <f>'raw data Crude oil'!AE82</f>
        <v>0</v>
      </c>
      <c r="AF81">
        <f>'raw data Crude oil'!AF82</f>
        <v>0</v>
      </c>
      <c r="AG81">
        <f>'raw data Crude oil'!AG82</f>
        <v>0</v>
      </c>
      <c r="AH81">
        <f>'raw data Crude oil'!AH82</f>
        <v>0</v>
      </c>
      <c r="AI81">
        <f>'raw data Crude oil'!AI82</f>
        <v>0</v>
      </c>
      <c r="AJ81">
        <f>'raw data Crude oil'!AJ82</f>
        <v>0</v>
      </c>
      <c r="AK81">
        <f>'raw data Crude oil'!AK82</f>
        <v>0</v>
      </c>
    </row>
    <row r="82" spans="1:37" x14ac:dyDescent="0.3">
      <c r="A82" s="18">
        <f>'raw data Crude oil'!A83</f>
        <v>42850</v>
      </c>
      <c r="B82">
        <f>'raw data Crude oil'!B83</f>
        <v>52.1</v>
      </c>
      <c r="C82">
        <f>'raw data Crude oil'!C83</f>
        <v>52.57</v>
      </c>
      <c r="D82">
        <f>'raw data Crude oil'!D83</f>
        <v>52.86</v>
      </c>
      <c r="E82">
        <f>'raw data Crude oil'!E83</f>
        <v>53.07</v>
      </c>
      <c r="F82">
        <f>'raw data Crude oil'!F83</f>
        <v>53.22</v>
      </c>
      <c r="G82">
        <f>'raw data Crude oil'!G83</f>
        <v>53.34</v>
      </c>
      <c r="H82">
        <f>'raw data Crude oil'!H83</f>
        <v>53.41</v>
      </c>
      <c r="I82">
        <f>'raw data Crude oil'!I83</f>
        <v>53.45</v>
      </c>
      <c r="J82">
        <f>'raw data Crude oil'!J83</f>
        <v>53.45</v>
      </c>
      <c r="K82">
        <f>'raw data Crude oil'!K83</f>
        <v>53.43</v>
      </c>
      <c r="L82">
        <f>'raw data Crude oil'!L83</f>
        <v>53.4</v>
      </c>
      <c r="M82">
        <f>'raw data Crude oil'!M83</f>
        <v>53.36</v>
      </c>
      <c r="N82">
        <f>'raw data Crude oil'!N83</f>
        <v>49.56</v>
      </c>
      <c r="O82">
        <f>'raw data Crude oil'!O83</f>
        <v>49.9</v>
      </c>
      <c r="P82">
        <f>'raw data Crude oil'!P83</f>
        <v>50.17</v>
      </c>
      <c r="Q82">
        <f>'raw data Crude oil'!Q83</f>
        <v>50.42</v>
      </c>
      <c r="R82">
        <f>'raw data Crude oil'!R83</f>
        <v>50.64</v>
      </c>
      <c r="S82">
        <f>'raw data Crude oil'!S83</f>
        <v>50.81</v>
      </c>
      <c r="T82">
        <f>'raw data Crude oil'!T83</f>
        <v>50.95</v>
      </c>
      <c r="U82">
        <f>'raw data Crude oil'!U83</f>
        <v>51.05</v>
      </c>
      <c r="V82">
        <f>'raw data Crude oil'!V83</f>
        <v>51.11</v>
      </c>
      <c r="W82">
        <f>'raw data Crude oil'!W83</f>
        <v>51.14</v>
      </c>
      <c r="X82">
        <f>'raw data Crude oil'!X83</f>
        <v>51.15</v>
      </c>
      <c r="Y82">
        <f>'raw data Crude oil'!Y83</f>
        <v>51.13</v>
      </c>
      <c r="Z82">
        <f>'raw data Crude oil'!Z83</f>
        <v>0</v>
      </c>
      <c r="AA82">
        <f>'raw data Crude oil'!AA83</f>
        <v>0</v>
      </c>
      <c r="AB82">
        <f>'raw data Crude oil'!AB83</f>
        <v>0</v>
      </c>
      <c r="AC82">
        <f>'raw data Crude oil'!AC83</f>
        <v>0</v>
      </c>
      <c r="AD82">
        <f>'raw data Crude oil'!AD83</f>
        <v>0</v>
      </c>
      <c r="AE82">
        <f>'raw data Crude oil'!AE83</f>
        <v>0</v>
      </c>
      <c r="AF82">
        <f>'raw data Crude oil'!AF83</f>
        <v>0</v>
      </c>
      <c r="AG82">
        <f>'raw data Crude oil'!AG83</f>
        <v>0</v>
      </c>
      <c r="AH82">
        <f>'raw data Crude oil'!AH83</f>
        <v>0</v>
      </c>
      <c r="AI82">
        <f>'raw data Crude oil'!AI83</f>
        <v>0</v>
      </c>
      <c r="AJ82">
        <f>'raw data Crude oil'!AJ83</f>
        <v>0</v>
      </c>
      <c r="AK82">
        <f>'raw data Crude oil'!AK83</f>
        <v>0</v>
      </c>
    </row>
    <row r="83" spans="1:37" x14ac:dyDescent="0.3">
      <c r="A83" s="18">
        <f>'raw data Crude oil'!A84</f>
        <v>42851</v>
      </c>
      <c r="B83">
        <f>'raw data Crude oil'!B84</f>
        <v>51.82</v>
      </c>
      <c r="C83">
        <f>'raw data Crude oil'!C84</f>
        <v>52.41</v>
      </c>
      <c r="D83">
        <f>'raw data Crude oil'!D84</f>
        <v>52.74</v>
      </c>
      <c r="E83">
        <f>'raw data Crude oil'!E84</f>
        <v>52.97</v>
      </c>
      <c r="F83">
        <f>'raw data Crude oil'!F84</f>
        <v>53.13</v>
      </c>
      <c r="G83">
        <f>'raw data Crude oil'!G84</f>
        <v>53.25</v>
      </c>
      <c r="H83">
        <f>'raw data Crude oil'!H84</f>
        <v>53.32</v>
      </c>
      <c r="I83">
        <f>'raw data Crude oil'!I84</f>
        <v>53.37</v>
      </c>
      <c r="J83">
        <f>'raw data Crude oil'!J84</f>
        <v>53.37</v>
      </c>
      <c r="K83">
        <f>'raw data Crude oil'!K84</f>
        <v>53.36</v>
      </c>
      <c r="L83">
        <f>'raw data Crude oil'!L84</f>
        <v>53.34</v>
      </c>
      <c r="M83">
        <f>'raw data Crude oil'!M84</f>
        <v>53.31</v>
      </c>
      <c r="N83">
        <f>'raw data Crude oil'!N84</f>
        <v>49.62</v>
      </c>
      <c r="O83">
        <f>'raw data Crude oil'!O84</f>
        <v>49.96</v>
      </c>
      <c r="P83">
        <f>'raw data Crude oil'!P84</f>
        <v>50.21</v>
      </c>
      <c r="Q83">
        <f>'raw data Crude oil'!Q84</f>
        <v>50.45</v>
      </c>
      <c r="R83">
        <f>'raw data Crude oil'!R84</f>
        <v>50.67</v>
      </c>
      <c r="S83">
        <f>'raw data Crude oil'!S84</f>
        <v>50.84</v>
      </c>
      <c r="T83">
        <f>'raw data Crude oil'!T84</f>
        <v>50.98</v>
      </c>
      <c r="U83">
        <f>'raw data Crude oil'!U84</f>
        <v>51.08</v>
      </c>
      <c r="V83">
        <f>'raw data Crude oil'!V84</f>
        <v>51.13</v>
      </c>
      <c r="W83">
        <f>'raw data Crude oil'!W84</f>
        <v>51.15</v>
      </c>
      <c r="X83">
        <f>'raw data Crude oil'!X84</f>
        <v>51.15</v>
      </c>
      <c r="Y83">
        <f>'raw data Crude oil'!Y84</f>
        <v>51.12</v>
      </c>
      <c r="Z83">
        <f>'raw data Crude oil'!Z84</f>
        <v>0</v>
      </c>
      <c r="AA83">
        <f>'raw data Crude oil'!AA84</f>
        <v>0</v>
      </c>
      <c r="AB83">
        <f>'raw data Crude oil'!AB84</f>
        <v>0</v>
      </c>
      <c r="AC83">
        <f>'raw data Crude oil'!AC84</f>
        <v>0</v>
      </c>
      <c r="AD83">
        <f>'raw data Crude oil'!AD84</f>
        <v>0</v>
      </c>
      <c r="AE83">
        <f>'raw data Crude oil'!AE84</f>
        <v>0</v>
      </c>
      <c r="AF83">
        <f>'raw data Crude oil'!AF84</f>
        <v>0</v>
      </c>
      <c r="AG83">
        <f>'raw data Crude oil'!AG84</f>
        <v>0</v>
      </c>
      <c r="AH83">
        <f>'raw data Crude oil'!AH84</f>
        <v>0</v>
      </c>
      <c r="AI83">
        <f>'raw data Crude oil'!AI84</f>
        <v>0</v>
      </c>
      <c r="AJ83">
        <f>'raw data Crude oil'!AJ84</f>
        <v>0</v>
      </c>
      <c r="AK83">
        <f>'raw data Crude oil'!AK84</f>
        <v>0</v>
      </c>
    </row>
    <row r="84" spans="1:37" x14ac:dyDescent="0.3">
      <c r="A84" s="18">
        <f>'raw data Crude oil'!A85</f>
        <v>42852</v>
      </c>
      <c r="B84">
        <f>'raw data Crude oil'!B85</f>
        <v>51.44</v>
      </c>
      <c r="C84">
        <f>'raw data Crude oil'!C85</f>
        <v>51.82</v>
      </c>
      <c r="D84">
        <f>'raw data Crude oil'!D85</f>
        <v>52.13</v>
      </c>
      <c r="E84">
        <f>'raw data Crude oil'!E85</f>
        <v>52.35</v>
      </c>
      <c r="F84">
        <f>'raw data Crude oil'!F85</f>
        <v>52.51</v>
      </c>
      <c r="G84">
        <f>'raw data Crude oil'!G85</f>
        <v>52.63</v>
      </c>
      <c r="H84">
        <f>'raw data Crude oil'!H85</f>
        <v>52.7</v>
      </c>
      <c r="I84">
        <f>'raw data Crude oil'!I85</f>
        <v>52.75</v>
      </c>
      <c r="J84">
        <f>'raw data Crude oil'!J85</f>
        <v>52.76</v>
      </c>
      <c r="K84">
        <f>'raw data Crude oil'!K85</f>
        <v>52.76</v>
      </c>
      <c r="L84">
        <f>'raw data Crude oil'!L85</f>
        <v>52.74</v>
      </c>
      <c r="M84">
        <f>'raw data Crude oil'!M85</f>
        <v>52.71</v>
      </c>
      <c r="N84">
        <f>'raw data Crude oil'!N85</f>
        <v>48.97</v>
      </c>
      <c r="O84">
        <f>'raw data Crude oil'!O85</f>
        <v>49.31</v>
      </c>
      <c r="P84">
        <f>'raw data Crude oil'!P85</f>
        <v>49.56</v>
      </c>
      <c r="Q84">
        <f>'raw data Crude oil'!Q85</f>
        <v>49.8</v>
      </c>
      <c r="R84">
        <f>'raw data Crude oil'!R85</f>
        <v>50.01</v>
      </c>
      <c r="S84">
        <f>'raw data Crude oil'!S85</f>
        <v>50.18</v>
      </c>
      <c r="T84">
        <f>'raw data Crude oil'!T85</f>
        <v>50.32</v>
      </c>
      <c r="U84">
        <f>'raw data Crude oil'!U85</f>
        <v>50.42</v>
      </c>
      <c r="V84">
        <f>'raw data Crude oil'!V85</f>
        <v>50.47</v>
      </c>
      <c r="W84">
        <f>'raw data Crude oil'!W85</f>
        <v>50.49</v>
      </c>
      <c r="X84">
        <f>'raw data Crude oil'!X85</f>
        <v>50.48</v>
      </c>
      <c r="Y84">
        <f>'raw data Crude oil'!Y85</f>
        <v>50.44</v>
      </c>
      <c r="Z84">
        <f>'raw data Crude oil'!Z85</f>
        <v>0</v>
      </c>
      <c r="AA84">
        <f>'raw data Crude oil'!AA85</f>
        <v>0</v>
      </c>
      <c r="AB84">
        <f>'raw data Crude oil'!AB85</f>
        <v>0</v>
      </c>
      <c r="AC84">
        <f>'raw data Crude oil'!AC85</f>
        <v>0</v>
      </c>
      <c r="AD84">
        <f>'raw data Crude oil'!AD85</f>
        <v>0</v>
      </c>
      <c r="AE84">
        <f>'raw data Crude oil'!AE85</f>
        <v>0</v>
      </c>
      <c r="AF84">
        <f>'raw data Crude oil'!AF85</f>
        <v>0</v>
      </c>
      <c r="AG84">
        <f>'raw data Crude oil'!AG85</f>
        <v>0</v>
      </c>
      <c r="AH84">
        <f>'raw data Crude oil'!AH85</f>
        <v>0</v>
      </c>
      <c r="AI84">
        <f>'raw data Crude oil'!AI85</f>
        <v>0</v>
      </c>
      <c r="AJ84">
        <f>'raw data Crude oil'!AJ85</f>
        <v>0</v>
      </c>
      <c r="AK84">
        <f>'raw data Crude oil'!AK85</f>
        <v>0</v>
      </c>
    </row>
    <row r="85" spans="1:37" x14ac:dyDescent="0.3">
      <c r="A85" s="18">
        <f>'raw data Crude oil'!A86</f>
        <v>42853</v>
      </c>
      <c r="B85">
        <f>'raw data Crude oil'!B86</f>
        <v>51.73</v>
      </c>
      <c r="C85">
        <f>'raw data Crude oil'!C86</f>
        <v>52.05</v>
      </c>
      <c r="D85">
        <f>'raw data Crude oil'!D86</f>
        <v>52.37</v>
      </c>
      <c r="E85">
        <f>'raw data Crude oil'!E86</f>
        <v>52.6</v>
      </c>
      <c r="F85">
        <f>'raw data Crude oil'!F86</f>
        <v>52.78</v>
      </c>
      <c r="G85">
        <f>'raw data Crude oil'!G86</f>
        <v>52.92</v>
      </c>
      <c r="H85">
        <f>'raw data Crude oil'!H86</f>
        <v>53</v>
      </c>
      <c r="I85">
        <f>'raw data Crude oil'!I86</f>
        <v>53.05</v>
      </c>
      <c r="J85">
        <f>'raw data Crude oil'!J86</f>
        <v>53.06</v>
      </c>
      <c r="K85">
        <f>'raw data Crude oil'!K86</f>
        <v>53.06</v>
      </c>
      <c r="L85">
        <f>'raw data Crude oil'!L86</f>
        <v>53.05</v>
      </c>
      <c r="M85">
        <f>'raw data Crude oil'!M86</f>
        <v>53.03</v>
      </c>
      <c r="N85">
        <f>'raw data Crude oil'!N86</f>
        <v>49.33</v>
      </c>
      <c r="O85">
        <f>'raw data Crude oil'!O86</f>
        <v>49.62</v>
      </c>
      <c r="P85">
        <f>'raw data Crude oil'!P86</f>
        <v>49.85</v>
      </c>
      <c r="Q85">
        <f>'raw data Crude oil'!Q86</f>
        <v>50.08</v>
      </c>
      <c r="R85">
        <f>'raw data Crude oil'!R86</f>
        <v>50.29</v>
      </c>
      <c r="S85">
        <f>'raw data Crude oil'!S86</f>
        <v>50.46</v>
      </c>
      <c r="T85">
        <f>'raw data Crude oil'!T86</f>
        <v>50.59</v>
      </c>
      <c r="U85">
        <f>'raw data Crude oil'!U86</f>
        <v>50.69</v>
      </c>
      <c r="V85">
        <f>'raw data Crude oil'!V86</f>
        <v>50.74</v>
      </c>
      <c r="W85">
        <f>'raw data Crude oil'!W86</f>
        <v>50.75</v>
      </c>
      <c r="X85">
        <f>'raw data Crude oil'!X86</f>
        <v>50.73</v>
      </c>
      <c r="Y85">
        <f>'raw data Crude oil'!Y86</f>
        <v>50.68</v>
      </c>
      <c r="Z85">
        <f>'raw data Crude oil'!Z86</f>
        <v>0</v>
      </c>
      <c r="AA85">
        <f>'raw data Crude oil'!AA86</f>
        <v>0</v>
      </c>
      <c r="AB85">
        <f>'raw data Crude oil'!AB86</f>
        <v>0</v>
      </c>
      <c r="AC85">
        <f>'raw data Crude oil'!AC86</f>
        <v>0</v>
      </c>
      <c r="AD85">
        <f>'raw data Crude oil'!AD86</f>
        <v>0</v>
      </c>
      <c r="AE85">
        <f>'raw data Crude oil'!AE86</f>
        <v>0</v>
      </c>
      <c r="AF85">
        <f>'raw data Crude oil'!AF86</f>
        <v>0</v>
      </c>
      <c r="AG85">
        <f>'raw data Crude oil'!AG86</f>
        <v>0</v>
      </c>
      <c r="AH85">
        <f>'raw data Crude oil'!AH86</f>
        <v>0</v>
      </c>
      <c r="AI85">
        <f>'raw data Crude oil'!AI86</f>
        <v>0</v>
      </c>
      <c r="AJ85">
        <f>'raw data Crude oil'!AJ86</f>
        <v>0</v>
      </c>
      <c r="AK85">
        <f>'raw data Crude oil'!AK86</f>
        <v>0</v>
      </c>
    </row>
    <row r="86" spans="1:37" x14ac:dyDescent="0.3">
      <c r="A86" s="18">
        <f>'raw data Crude oil'!A87</f>
        <v>42856</v>
      </c>
      <c r="B86">
        <f>'raw data Crude oil'!B87</f>
        <v>51.52</v>
      </c>
      <c r="C86">
        <f>'raw data Crude oil'!C87</f>
        <v>51.86</v>
      </c>
      <c r="D86">
        <f>'raw data Crude oil'!D87</f>
        <v>52.09</v>
      </c>
      <c r="E86">
        <f>'raw data Crude oil'!E87</f>
        <v>52.28</v>
      </c>
      <c r="F86">
        <f>'raw data Crude oil'!F87</f>
        <v>52.43</v>
      </c>
      <c r="G86">
        <f>'raw data Crude oil'!G87</f>
        <v>52.53</v>
      </c>
      <c r="H86">
        <f>'raw data Crude oil'!H87</f>
        <v>52.6</v>
      </c>
      <c r="I86">
        <f>'raw data Crude oil'!I87</f>
        <v>52.62</v>
      </c>
      <c r="J86">
        <f>'raw data Crude oil'!J87</f>
        <v>52.62</v>
      </c>
      <c r="K86">
        <f>'raw data Crude oil'!K87</f>
        <v>52.61</v>
      </c>
      <c r="L86">
        <f>'raw data Crude oil'!L87</f>
        <v>52.59</v>
      </c>
      <c r="M86">
        <f>'raw data Crude oil'!M87</f>
        <v>52.56</v>
      </c>
      <c r="N86">
        <f>'raw data Crude oil'!N87</f>
        <v>48.84</v>
      </c>
      <c r="O86">
        <f>'raw data Crude oil'!O87</f>
        <v>49.16</v>
      </c>
      <c r="P86">
        <f>'raw data Crude oil'!P87</f>
        <v>49.4</v>
      </c>
      <c r="Q86">
        <f>'raw data Crude oil'!Q87</f>
        <v>49.63</v>
      </c>
      <c r="R86">
        <f>'raw data Crude oil'!R87</f>
        <v>49.84</v>
      </c>
      <c r="S86">
        <f>'raw data Crude oil'!S87</f>
        <v>50.03</v>
      </c>
      <c r="T86">
        <f>'raw data Crude oil'!T87</f>
        <v>50.18</v>
      </c>
      <c r="U86">
        <f>'raw data Crude oil'!U87</f>
        <v>50.29</v>
      </c>
      <c r="V86">
        <f>'raw data Crude oil'!V87</f>
        <v>50.35</v>
      </c>
      <c r="W86">
        <f>'raw data Crude oil'!W87</f>
        <v>50.37</v>
      </c>
      <c r="X86">
        <f>'raw data Crude oil'!X87</f>
        <v>50.35</v>
      </c>
      <c r="Y86">
        <f>'raw data Crude oil'!Y87</f>
        <v>50.31</v>
      </c>
      <c r="Z86">
        <f>'raw data Crude oil'!Z87</f>
        <v>0</v>
      </c>
      <c r="AA86">
        <f>'raw data Crude oil'!AA87</f>
        <v>0</v>
      </c>
      <c r="AB86">
        <f>'raw data Crude oil'!AB87</f>
        <v>0</v>
      </c>
      <c r="AC86">
        <f>'raw data Crude oil'!AC87</f>
        <v>0</v>
      </c>
      <c r="AD86">
        <f>'raw data Crude oil'!AD87</f>
        <v>0</v>
      </c>
      <c r="AE86">
        <f>'raw data Crude oil'!AE87</f>
        <v>0</v>
      </c>
      <c r="AF86">
        <f>'raw data Crude oil'!AF87</f>
        <v>0</v>
      </c>
      <c r="AG86">
        <f>'raw data Crude oil'!AG87</f>
        <v>0</v>
      </c>
      <c r="AH86">
        <f>'raw data Crude oil'!AH87</f>
        <v>0</v>
      </c>
      <c r="AI86">
        <f>'raw data Crude oil'!AI87</f>
        <v>0</v>
      </c>
      <c r="AJ86">
        <f>'raw data Crude oil'!AJ87</f>
        <v>0</v>
      </c>
      <c r="AK86">
        <f>'raw data Crude oil'!AK87</f>
        <v>0</v>
      </c>
    </row>
    <row r="87" spans="1:37" x14ac:dyDescent="0.3">
      <c r="A87" s="18">
        <f>'raw data Crude oil'!A88</f>
        <v>42857</v>
      </c>
      <c r="B87">
        <f>'raw data Crude oil'!B88</f>
        <v>50.46</v>
      </c>
      <c r="C87">
        <f>'raw data Crude oil'!C88</f>
        <v>50.76</v>
      </c>
      <c r="D87">
        <f>'raw data Crude oil'!D88</f>
        <v>50.97</v>
      </c>
      <c r="E87">
        <f>'raw data Crude oil'!E88</f>
        <v>51.15</v>
      </c>
      <c r="F87">
        <f>'raw data Crude oil'!F88</f>
        <v>51.3</v>
      </c>
      <c r="G87">
        <f>'raw data Crude oil'!G88</f>
        <v>51.4</v>
      </c>
      <c r="H87">
        <f>'raw data Crude oil'!H88</f>
        <v>51.46</v>
      </c>
      <c r="I87">
        <f>'raw data Crude oil'!I88</f>
        <v>51.49</v>
      </c>
      <c r="J87">
        <f>'raw data Crude oil'!J88</f>
        <v>51.49</v>
      </c>
      <c r="K87">
        <f>'raw data Crude oil'!K88</f>
        <v>51.48</v>
      </c>
      <c r="L87">
        <f>'raw data Crude oil'!L88</f>
        <v>51.46</v>
      </c>
      <c r="M87">
        <f>'raw data Crude oil'!M88</f>
        <v>51.43</v>
      </c>
      <c r="N87">
        <f>'raw data Crude oil'!N88</f>
        <v>47.66</v>
      </c>
      <c r="O87">
        <f>'raw data Crude oil'!O88</f>
        <v>47.99</v>
      </c>
      <c r="P87">
        <f>'raw data Crude oil'!P88</f>
        <v>48.24</v>
      </c>
      <c r="Q87">
        <f>'raw data Crude oil'!Q88</f>
        <v>48.48</v>
      </c>
      <c r="R87">
        <f>'raw data Crude oil'!R88</f>
        <v>48.71</v>
      </c>
      <c r="S87">
        <f>'raw data Crude oil'!S88</f>
        <v>48.93</v>
      </c>
      <c r="T87">
        <f>'raw data Crude oil'!T88</f>
        <v>49.1</v>
      </c>
      <c r="U87">
        <f>'raw data Crude oil'!U88</f>
        <v>49.21</v>
      </c>
      <c r="V87">
        <f>'raw data Crude oil'!V88</f>
        <v>49.26</v>
      </c>
      <c r="W87">
        <f>'raw data Crude oil'!W88</f>
        <v>49.27</v>
      </c>
      <c r="X87">
        <f>'raw data Crude oil'!X88</f>
        <v>49.25</v>
      </c>
      <c r="Y87">
        <f>'raw data Crude oil'!Y88</f>
        <v>49.21</v>
      </c>
      <c r="Z87">
        <f>'raw data Crude oil'!Z88</f>
        <v>0</v>
      </c>
      <c r="AA87">
        <f>'raw data Crude oil'!AA88</f>
        <v>0</v>
      </c>
      <c r="AB87">
        <f>'raw data Crude oil'!AB88</f>
        <v>0</v>
      </c>
      <c r="AC87">
        <f>'raw data Crude oil'!AC88</f>
        <v>0</v>
      </c>
      <c r="AD87">
        <f>'raw data Crude oil'!AD88</f>
        <v>0</v>
      </c>
      <c r="AE87">
        <f>'raw data Crude oil'!AE88</f>
        <v>0</v>
      </c>
      <c r="AF87">
        <f>'raw data Crude oil'!AF88</f>
        <v>0</v>
      </c>
      <c r="AG87">
        <f>'raw data Crude oil'!AG88</f>
        <v>0</v>
      </c>
      <c r="AH87">
        <f>'raw data Crude oil'!AH88</f>
        <v>0</v>
      </c>
      <c r="AI87">
        <f>'raw data Crude oil'!AI88</f>
        <v>0</v>
      </c>
      <c r="AJ87">
        <f>'raw data Crude oil'!AJ88</f>
        <v>0</v>
      </c>
      <c r="AK87">
        <f>'raw data Crude oil'!AK88</f>
        <v>0</v>
      </c>
    </row>
    <row r="88" spans="1:37" x14ac:dyDescent="0.3">
      <c r="A88" s="18">
        <f>'raw data Crude oil'!A89</f>
        <v>42858</v>
      </c>
      <c r="B88">
        <f>'raw data Crude oil'!B89</f>
        <v>50.79</v>
      </c>
      <c r="C88">
        <f>'raw data Crude oil'!C89</f>
        <v>51.07</v>
      </c>
      <c r="D88">
        <f>'raw data Crude oil'!D89</f>
        <v>51.26</v>
      </c>
      <c r="E88">
        <f>'raw data Crude oil'!E89</f>
        <v>51.43</v>
      </c>
      <c r="F88">
        <f>'raw data Crude oil'!F89</f>
        <v>51.58</v>
      </c>
      <c r="G88">
        <f>'raw data Crude oil'!G89</f>
        <v>51.69</v>
      </c>
      <c r="H88">
        <f>'raw data Crude oil'!H89</f>
        <v>51.75</v>
      </c>
      <c r="I88">
        <f>'raw data Crude oil'!I89</f>
        <v>51.77</v>
      </c>
      <c r="J88">
        <f>'raw data Crude oil'!J89</f>
        <v>51.77</v>
      </c>
      <c r="K88">
        <f>'raw data Crude oil'!K89</f>
        <v>51.76</v>
      </c>
      <c r="L88">
        <f>'raw data Crude oil'!L89</f>
        <v>51.73</v>
      </c>
      <c r="M88">
        <f>'raw data Crude oil'!M89</f>
        <v>51.7</v>
      </c>
      <c r="N88">
        <f>'raw data Crude oil'!N89</f>
        <v>47.82</v>
      </c>
      <c r="O88">
        <f>'raw data Crude oil'!O89</f>
        <v>48.18</v>
      </c>
      <c r="P88">
        <f>'raw data Crude oil'!P89</f>
        <v>48.45</v>
      </c>
      <c r="Q88">
        <f>'raw data Crude oil'!Q89</f>
        <v>48.69</v>
      </c>
      <c r="R88">
        <f>'raw data Crude oil'!R89</f>
        <v>48.92</v>
      </c>
      <c r="S88">
        <f>'raw data Crude oil'!S89</f>
        <v>49.14</v>
      </c>
      <c r="T88">
        <f>'raw data Crude oil'!T89</f>
        <v>49.32</v>
      </c>
      <c r="U88">
        <f>'raw data Crude oil'!U89</f>
        <v>49.44</v>
      </c>
      <c r="V88">
        <f>'raw data Crude oil'!V89</f>
        <v>49.5</v>
      </c>
      <c r="W88">
        <f>'raw data Crude oil'!W89</f>
        <v>49.51</v>
      </c>
      <c r="X88">
        <f>'raw data Crude oil'!X89</f>
        <v>49.49</v>
      </c>
      <c r="Y88">
        <f>'raw data Crude oil'!Y89</f>
        <v>49.46</v>
      </c>
      <c r="Z88">
        <f>'raw data Crude oil'!Z89</f>
        <v>0</v>
      </c>
      <c r="AA88">
        <f>'raw data Crude oil'!AA89</f>
        <v>0</v>
      </c>
      <c r="AB88">
        <f>'raw data Crude oil'!AB89</f>
        <v>0</v>
      </c>
      <c r="AC88">
        <f>'raw data Crude oil'!AC89</f>
        <v>0</v>
      </c>
      <c r="AD88">
        <f>'raw data Crude oil'!AD89</f>
        <v>0</v>
      </c>
      <c r="AE88">
        <f>'raw data Crude oil'!AE89</f>
        <v>0</v>
      </c>
      <c r="AF88">
        <f>'raw data Crude oil'!AF89</f>
        <v>0</v>
      </c>
      <c r="AG88">
        <f>'raw data Crude oil'!AG89</f>
        <v>0</v>
      </c>
      <c r="AH88">
        <f>'raw data Crude oil'!AH89</f>
        <v>0</v>
      </c>
      <c r="AI88">
        <f>'raw data Crude oil'!AI89</f>
        <v>0</v>
      </c>
      <c r="AJ88">
        <f>'raw data Crude oil'!AJ89</f>
        <v>0</v>
      </c>
      <c r="AK88">
        <f>'raw data Crude oil'!AK89</f>
        <v>0</v>
      </c>
    </row>
    <row r="89" spans="1:37" x14ac:dyDescent="0.3">
      <c r="A89" s="18">
        <f>'raw data Crude oil'!A90</f>
        <v>42859</v>
      </c>
      <c r="B89">
        <f>'raw data Crude oil'!B90</f>
        <v>48.38</v>
      </c>
      <c r="C89">
        <f>'raw data Crude oil'!C90</f>
        <v>48.72</v>
      </c>
      <c r="D89">
        <f>'raw data Crude oil'!D90</f>
        <v>48.97</v>
      </c>
      <c r="E89">
        <f>'raw data Crude oil'!E90</f>
        <v>49.16</v>
      </c>
      <c r="F89">
        <f>'raw data Crude oil'!F90</f>
        <v>49.34</v>
      </c>
      <c r="G89">
        <f>'raw data Crude oil'!G90</f>
        <v>49.48</v>
      </c>
      <c r="H89">
        <f>'raw data Crude oil'!H90</f>
        <v>49.57</v>
      </c>
      <c r="I89">
        <f>'raw data Crude oil'!I90</f>
        <v>49.63</v>
      </c>
      <c r="J89">
        <f>'raw data Crude oil'!J90</f>
        <v>49.68</v>
      </c>
      <c r="K89">
        <f>'raw data Crude oil'!K90</f>
        <v>49.71</v>
      </c>
      <c r="L89">
        <f>'raw data Crude oil'!L90</f>
        <v>49.73</v>
      </c>
      <c r="M89">
        <f>'raw data Crude oil'!M90</f>
        <v>49.74</v>
      </c>
      <c r="N89">
        <f>'raw data Crude oil'!N90</f>
        <v>45.52</v>
      </c>
      <c r="O89">
        <f>'raw data Crude oil'!O90</f>
        <v>45.9</v>
      </c>
      <c r="P89">
        <f>'raw data Crude oil'!P90</f>
        <v>46.19</v>
      </c>
      <c r="Q89">
        <f>'raw data Crude oil'!Q90</f>
        <v>46.47</v>
      </c>
      <c r="R89">
        <f>'raw data Crude oil'!R90</f>
        <v>46.74</v>
      </c>
      <c r="S89">
        <f>'raw data Crude oil'!S90</f>
        <v>47</v>
      </c>
      <c r="T89">
        <f>'raw data Crude oil'!T90</f>
        <v>47.23</v>
      </c>
      <c r="U89">
        <f>'raw data Crude oil'!U90</f>
        <v>47.39</v>
      </c>
      <c r="V89">
        <f>'raw data Crude oil'!V90</f>
        <v>47.49</v>
      </c>
      <c r="W89">
        <f>'raw data Crude oil'!W90</f>
        <v>47.55</v>
      </c>
      <c r="X89">
        <f>'raw data Crude oil'!X90</f>
        <v>47.58</v>
      </c>
      <c r="Y89">
        <f>'raw data Crude oil'!Y90</f>
        <v>47.59</v>
      </c>
      <c r="Z89">
        <f>'raw data Crude oil'!Z90</f>
        <v>0</v>
      </c>
      <c r="AA89">
        <f>'raw data Crude oil'!AA90</f>
        <v>0</v>
      </c>
      <c r="AB89">
        <f>'raw data Crude oil'!AB90</f>
        <v>0</v>
      </c>
      <c r="AC89">
        <f>'raw data Crude oil'!AC90</f>
        <v>0</v>
      </c>
      <c r="AD89">
        <f>'raw data Crude oil'!AD90</f>
        <v>0</v>
      </c>
      <c r="AE89">
        <f>'raw data Crude oil'!AE90</f>
        <v>0</v>
      </c>
      <c r="AF89">
        <f>'raw data Crude oil'!AF90</f>
        <v>0</v>
      </c>
      <c r="AG89">
        <f>'raw data Crude oil'!AG90</f>
        <v>0</v>
      </c>
      <c r="AH89">
        <f>'raw data Crude oil'!AH90</f>
        <v>0</v>
      </c>
      <c r="AI89">
        <f>'raw data Crude oil'!AI90</f>
        <v>0</v>
      </c>
      <c r="AJ89">
        <f>'raw data Crude oil'!AJ90</f>
        <v>0</v>
      </c>
      <c r="AK89">
        <f>'raw data Crude oil'!AK90</f>
        <v>0</v>
      </c>
    </row>
    <row r="90" spans="1:37" x14ac:dyDescent="0.3">
      <c r="A90" s="18">
        <f>'raw data Crude oil'!A91</f>
        <v>42860</v>
      </c>
      <c r="B90">
        <f>'raw data Crude oil'!B91</f>
        <v>49.1</v>
      </c>
      <c r="C90">
        <f>'raw data Crude oil'!C91</f>
        <v>49.48</v>
      </c>
      <c r="D90">
        <f>'raw data Crude oil'!D91</f>
        <v>49.74</v>
      </c>
      <c r="E90">
        <f>'raw data Crude oil'!E91</f>
        <v>49.95</v>
      </c>
      <c r="F90">
        <f>'raw data Crude oil'!F91</f>
        <v>50.14</v>
      </c>
      <c r="G90">
        <f>'raw data Crude oil'!G91</f>
        <v>50.3</v>
      </c>
      <c r="H90">
        <f>'raw data Crude oil'!H91</f>
        <v>50.41</v>
      </c>
      <c r="I90">
        <f>'raw data Crude oil'!I91</f>
        <v>50.5</v>
      </c>
      <c r="J90">
        <f>'raw data Crude oil'!J91</f>
        <v>50.58</v>
      </c>
      <c r="K90">
        <f>'raw data Crude oil'!K91</f>
        <v>50.63</v>
      </c>
      <c r="L90">
        <f>'raw data Crude oil'!L91</f>
        <v>50.67</v>
      </c>
      <c r="M90">
        <f>'raw data Crude oil'!M91</f>
        <v>50.7</v>
      </c>
      <c r="N90">
        <f>'raw data Crude oil'!N91</f>
        <v>46.22</v>
      </c>
      <c r="O90">
        <f>'raw data Crude oil'!O91</f>
        <v>46.6</v>
      </c>
      <c r="P90">
        <f>'raw data Crude oil'!P91</f>
        <v>46.91</v>
      </c>
      <c r="Q90">
        <f>'raw data Crude oil'!Q91</f>
        <v>47.2</v>
      </c>
      <c r="R90">
        <f>'raw data Crude oil'!R91</f>
        <v>47.48</v>
      </c>
      <c r="S90">
        <f>'raw data Crude oil'!S91</f>
        <v>47.75</v>
      </c>
      <c r="T90">
        <f>'raw data Crude oil'!T91</f>
        <v>47.98</v>
      </c>
      <c r="U90">
        <f>'raw data Crude oil'!U91</f>
        <v>48.17</v>
      </c>
      <c r="V90">
        <f>'raw data Crude oil'!V91</f>
        <v>48.29</v>
      </c>
      <c r="W90">
        <f>'raw data Crude oil'!W91</f>
        <v>48.37</v>
      </c>
      <c r="X90">
        <f>'raw data Crude oil'!X91</f>
        <v>48.41</v>
      </c>
      <c r="Y90">
        <f>'raw data Crude oil'!Y91</f>
        <v>48.43</v>
      </c>
      <c r="Z90">
        <f>'raw data Crude oil'!Z91</f>
        <v>0</v>
      </c>
      <c r="AA90">
        <f>'raw data Crude oil'!AA91</f>
        <v>0</v>
      </c>
      <c r="AB90">
        <f>'raw data Crude oil'!AB91</f>
        <v>0</v>
      </c>
      <c r="AC90">
        <f>'raw data Crude oil'!AC91</f>
        <v>0</v>
      </c>
      <c r="AD90">
        <f>'raw data Crude oil'!AD91</f>
        <v>0</v>
      </c>
      <c r="AE90">
        <f>'raw data Crude oil'!AE91</f>
        <v>0</v>
      </c>
      <c r="AF90">
        <f>'raw data Crude oil'!AF91</f>
        <v>0</v>
      </c>
      <c r="AG90">
        <f>'raw data Crude oil'!AG91</f>
        <v>0</v>
      </c>
      <c r="AH90">
        <f>'raw data Crude oil'!AH91</f>
        <v>0</v>
      </c>
      <c r="AI90">
        <f>'raw data Crude oil'!AI91</f>
        <v>0</v>
      </c>
      <c r="AJ90">
        <f>'raw data Crude oil'!AJ91</f>
        <v>0</v>
      </c>
      <c r="AK90">
        <f>'raw data Crude oil'!AK91</f>
        <v>0</v>
      </c>
    </row>
    <row r="91" spans="1:37" x14ac:dyDescent="0.3">
      <c r="A91" s="18">
        <f>'raw data Crude oil'!A92</f>
        <v>42863</v>
      </c>
      <c r="B91">
        <f>'raw data Crude oil'!B92</f>
        <v>49.34</v>
      </c>
      <c r="C91">
        <f>'raw data Crude oil'!C92</f>
        <v>49.75</v>
      </c>
      <c r="D91">
        <f>'raw data Crude oil'!D92</f>
        <v>50.02</v>
      </c>
      <c r="E91">
        <f>'raw data Crude oil'!E92</f>
        <v>50.24</v>
      </c>
      <c r="F91">
        <f>'raw data Crude oil'!F92</f>
        <v>50.43</v>
      </c>
      <c r="G91">
        <f>'raw data Crude oil'!G92</f>
        <v>50.61</v>
      </c>
      <c r="H91">
        <f>'raw data Crude oil'!H92</f>
        <v>50.74</v>
      </c>
      <c r="I91">
        <f>'raw data Crude oil'!I92</f>
        <v>50.84</v>
      </c>
      <c r="J91">
        <f>'raw data Crude oil'!J92</f>
        <v>50.92</v>
      </c>
      <c r="K91">
        <f>'raw data Crude oil'!K92</f>
        <v>50.97</v>
      </c>
      <c r="L91">
        <f>'raw data Crude oil'!L92</f>
        <v>51.01</v>
      </c>
      <c r="M91">
        <f>'raw data Crude oil'!M92</f>
        <v>51.03</v>
      </c>
      <c r="N91">
        <f>'raw data Crude oil'!N92</f>
        <v>46.43</v>
      </c>
      <c r="O91">
        <f>'raw data Crude oil'!O92</f>
        <v>46.84</v>
      </c>
      <c r="P91">
        <f>'raw data Crude oil'!P92</f>
        <v>47.19</v>
      </c>
      <c r="Q91">
        <f>'raw data Crude oil'!Q92</f>
        <v>47.5</v>
      </c>
      <c r="R91">
        <f>'raw data Crude oil'!R92</f>
        <v>47.79</v>
      </c>
      <c r="S91">
        <f>'raw data Crude oil'!S92</f>
        <v>48.07</v>
      </c>
      <c r="T91">
        <f>'raw data Crude oil'!T92</f>
        <v>48.31</v>
      </c>
      <c r="U91">
        <f>'raw data Crude oil'!U92</f>
        <v>48.5</v>
      </c>
      <c r="V91">
        <f>'raw data Crude oil'!V92</f>
        <v>48.63</v>
      </c>
      <c r="W91">
        <f>'raw data Crude oil'!W92</f>
        <v>48.71</v>
      </c>
      <c r="X91">
        <f>'raw data Crude oil'!X92</f>
        <v>48.75</v>
      </c>
      <c r="Y91">
        <f>'raw data Crude oil'!Y92</f>
        <v>48.78</v>
      </c>
      <c r="Z91">
        <f>'raw data Crude oil'!Z92</f>
        <v>0</v>
      </c>
      <c r="AA91">
        <f>'raw data Crude oil'!AA92</f>
        <v>0</v>
      </c>
      <c r="AB91">
        <f>'raw data Crude oil'!AB92</f>
        <v>0</v>
      </c>
      <c r="AC91">
        <f>'raw data Crude oil'!AC92</f>
        <v>0</v>
      </c>
      <c r="AD91">
        <f>'raw data Crude oil'!AD92</f>
        <v>0</v>
      </c>
      <c r="AE91">
        <f>'raw data Crude oil'!AE92</f>
        <v>0</v>
      </c>
      <c r="AF91">
        <f>'raw data Crude oil'!AF92</f>
        <v>0</v>
      </c>
      <c r="AG91">
        <f>'raw data Crude oil'!AG92</f>
        <v>0</v>
      </c>
      <c r="AH91">
        <f>'raw data Crude oil'!AH92</f>
        <v>0</v>
      </c>
      <c r="AI91">
        <f>'raw data Crude oil'!AI92</f>
        <v>0</v>
      </c>
      <c r="AJ91">
        <f>'raw data Crude oil'!AJ92</f>
        <v>0</v>
      </c>
      <c r="AK91">
        <f>'raw data Crude oil'!AK92</f>
        <v>0</v>
      </c>
    </row>
    <row r="92" spans="1:37" x14ac:dyDescent="0.3">
      <c r="A92" s="18">
        <f>'raw data Crude oil'!A93</f>
        <v>42864</v>
      </c>
      <c r="B92">
        <f>'raw data Crude oil'!B93</f>
        <v>48.73</v>
      </c>
      <c r="C92">
        <f>'raw data Crude oil'!C93</f>
        <v>49.11</v>
      </c>
      <c r="D92">
        <f>'raw data Crude oil'!D93</f>
        <v>49.38</v>
      </c>
      <c r="E92">
        <f>'raw data Crude oil'!E93</f>
        <v>49.61</v>
      </c>
      <c r="F92">
        <f>'raw data Crude oil'!F93</f>
        <v>49.82</v>
      </c>
      <c r="G92">
        <f>'raw data Crude oil'!G93</f>
        <v>50.03</v>
      </c>
      <c r="H92">
        <f>'raw data Crude oil'!H93</f>
        <v>50.18</v>
      </c>
      <c r="I92">
        <f>'raw data Crude oil'!I93</f>
        <v>50.31</v>
      </c>
      <c r="J92">
        <f>'raw data Crude oil'!J93</f>
        <v>50.42</v>
      </c>
      <c r="K92">
        <f>'raw data Crude oil'!K93</f>
        <v>50.5</v>
      </c>
      <c r="L92">
        <f>'raw data Crude oil'!L93</f>
        <v>50.56</v>
      </c>
      <c r="M92">
        <f>'raw data Crude oil'!M93</f>
        <v>50.6</v>
      </c>
      <c r="N92">
        <f>'raw data Crude oil'!N93</f>
        <v>45.88</v>
      </c>
      <c r="O92">
        <f>'raw data Crude oil'!O93</f>
        <v>46.27</v>
      </c>
      <c r="P92">
        <f>'raw data Crude oil'!P93</f>
        <v>46.62</v>
      </c>
      <c r="Q92">
        <f>'raw data Crude oil'!Q93</f>
        <v>46.92</v>
      </c>
      <c r="R92">
        <f>'raw data Crude oil'!R93</f>
        <v>47.2</v>
      </c>
      <c r="S92">
        <f>'raw data Crude oil'!S93</f>
        <v>47.48</v>
      </c>
      <c r="T92">
        <f>'raw data Crude oil'!T93</f>
        <v>47.73</v>
      </c>
      <c r="U92">
        <f>'raw data Crude oil'!U93</f>
        <v>47.94</v>
      </c>
      <c r="V92">
        <f>'raw data Crude oil'!V93</f>
        <v>48.09</v>
      </c>
      <c r="W92">
        <f>'raw data Crude oil'!W93</f>
        <v>48.19</v>
      </c>
      <c r="X92">
        <f>'raw data Crude oil'!X93</f>
        <v>48.25</v>
      </c>
      <c r="Y92">
        <f>'raw data Crude oil'!Y93</f>
        <v>48.29</v>
      </c>
      <c r="Z92">
        <f>'raw data Crude oil'!Z93</f>
        <v>0</v>
      </c>
      <c r="AA92">
        <f>'raw data Crude oil'!AA93</f>
        <v>0</v>
      </c>
      <c r="AB92">
        <f>'raw data Crude oil'!AB93</f>
        <v>0</v>
      </c>
      <c r="AC92">
        <f>'raw data Crude oil'!AC93</f>
        <v>0</v>
      </c>
      <c r="AD92">
        <f>'raw data Crude oil'!AD93</f>
        <v>0</v>
      </c>
      <c r="AE92">
        <f>'raw data Crude oil'!AE93</f>
        <v>0</v>
      </c>
      <c r="AF92">
        <f>'raw data Crude oil'!AF93</f>
        <v>0</v>
      </c>
      <c r="AG92">
        <f>'raw data Crude oil'!AG93</f>
        <v>0</v>
      </c>
      <c r="AH92">
        <f>'raw data Crude oil'!AH93</f>
        <v>0</v>
      </c>
      <c r="AI92">
        <f>'raw data Crude oil'!AI93</f>
        <v>0</v>
      </c>
      <c r="AJ92">
        <f>'raw data Crude oil'!AJ93</f>
        <v>0</v>
      </c>
      <c r="AK92">
        <f>'raw data Crude oil'!AK93</f>
        <v>0</v>
      </c>
    </row>
    <row r="93" spans="1:37" x14ac:dyDescent="0.3">
      <c r="A93" s="18">
        <f>'raw data Crude oil'!A94</f>
        <v>42865</v>
      </c>
      <c r="B93">
        <f>'raw data Crude oil'!B94</f>
        <v>50.22</v>
      </c>
      <c r="C93">
        <f>'raw data Crude oil'!C94</f>
        <v>50.54</v>
      </c>
      <c r="D93">
        <f>'raw data Crude oil'!D94</f>
        <v>50.76</v>
      </c>
      <c r="E93">
        <f>'raw data Crude oil'!E94</f>
        <v>50.95</v>
      </c>
      <c r="F93">
        <f>'raw data Crude oil'!F94</f>
        <v>51.11</v>
      </c>
      <c r="G93">
        <f>'raw data Crude oil'!G94</f>
        <v>51.27</v>
      </c>
      <c r="H93">
        <f>'raw data Crude oil'!H94</f>
        <v>51.39</v>
      </c>
      <c r="I93">
        <f>'raw data Crude oil'!I94</f>
        <v>51.49</v>
      </c>
      <c r="J93">
        <f>'raw data Crude oil'!J94</f>
        <v>51.58</v>
      </c>
      <c r="K93">
        <f>'raw data Crude oil'!K94</f>
        <v>51.63</v>
      </c>
      <c r="L93">
        <f>'raw data Crude oil'!L94</f>
        <v>51.66</v>
      </c>
      <c r="M93">
        <f>'raw data Crude oil'!M94</f>
        <v>51.67</v>
      </c>
      <c r="N93">
        <f>'raw data Crude oil'!N94</f>
        <v>47.33</v>
      </c>
      <c r="O93">
        <f>'raw data Crude oil'!O94</f>
        <v>47.7</v>
      </c>
      <c r="P93">
        <f>'raw data Crude oil'!P94</f>
        <v>48.02</v>
      </c>
      <c r="Q93">
        <f>'raw data Crude oil'!Q94</f>
        <v>48.29</v>
      </c>
      <c r="R93">
        <f>'raw data Crude oil'!R94</f>
        <v>48.53</v>
      </c>
      <c r="S93">
        <f>'raw data Crude oil'!S94</f>
        <v>48.77</v>
      </c>
      <c r="T93">
        <f>'raw data Crude oil'!T94</f>
        <v>48.98</v>
      </c>
      <c r="U93">
        <f>'raw data Crude oil'!U94</f>
        <v>49.16</v>
      </c>
      <c r="V93">
        <f>'raw data Crude oil'!V94</f>
        <v>49.28</v>
      </c>
      <c r="W93">
        <f>'raw data Crude oil'!W94</f>
        <v>49.35</v>
      </c>
      <c r="X93">
        <f>'raw data Crude oil'!X94</f>
        <v>49.39</v>
      </c>
      <c r="Y93">
        <f>'raw data Crude oil'!Y94</f>
        <v>49.41</v>
      </c>
      <c r="Z93">
        <f>'raw data Crude oil'!Z94</f>
        <v>0</v>
      </c>
      <c r="AA93">
        <f>'raw data Crude oil'!AA94</f>
        <v>0</v>
      </c>
      <c r="AB93">
        <f>'raw data Crude oil'!AB94</f>
        <v>0</v>
      </c>
      <c r="AC93">
        <f>'raw data Crude oil'!AC94</f>
        <v>0</v>
      </c>
      <c r="AD93">
        <f>'raw data Crude oil'!AD94</f>
        <v>0</v>
      </c>
      <c r="AE93">
        <f>'raw data Crude oil'!AE94</f>
        <v>0</v>
      </c>
      <c r="AF93">
        <f>'raw data Crude oil'!AF94</f>
        <v>0</v>
      </c>
      <c r="AG93">
        <f>'raw data Crude oil'!AG94</f>
        <v>0</v>
      </c>
      <c r="AH93">
        <f>'raw data Crude oil'!AH94</f>
        <v>0</v>
      </c>
      <c r="AI93">
        <f>'raw data Crude oil'!AI94</f>
        <v>0</v>
      </c>
      <c r="AJ93">
        <f>'raw data Crude oil'!AJ94</f>
        <v>0</v>
      </c>
      <c r="AK93">
        <f>'raw data Crude oil'!AK94</f>
        <v>0</v>
      </c>
    </row>
    <row r="94" spans="1:37" x14ac:dyDescent="0.3">
      <c r="A94" s="18">
        <f>'raw data Crude oil'!A95</f>
        <v>42866</v>
      </c>
      <c r="B94">
        <f>'raw data Crude oil'!B95</f>
        <v>50.77</v>
      </c>
      <c r="C94">
        <f>'raw data Crude oil'!C95</f>
        <v>51.05</v>
      </c>
      <c r="D94">
        <f>'raw data Crude oil'!D95</f>
        <v>51.23</v>
      </c>
      <c r="E94">
        <f>'raw data Crude oil'!E95</f>
        <v>51.4</v>
      </c>
      <c r="F94">
        <f>'raw data Crude oil'!F95</f>
        <v>51.56</v>
      </c>
      <c r="G94">
        <f>'raw data Crude oil'!G95</f>
        <v>51.71</v>
      </c>
      <c r="H94">
        <f>'raw data Crude oil'!H95</f>
        <v>51.81</v>
      </c>
      <c r="I94">
        <f>'raw data Crude oil'!I95</f>
        <v>51.89</v>
      </c>
      <c r="J94">
        <f>'raw data Crude oil'!J95</f>
        <v>51.96</v>
      </c>
      <c r="K94">
        <f>'raw data Crude oil'!K95</f>
        <v>51.99</v>
      </c>
      <c r="L94">
        <f>'raw data Crude oil'!L95</f>
        <v>52</v>
      </c>
      <c r="M94">
        <f>'raw data Crude oil'!M95</f>
        <v>51.99</v>
      </c>
      <c r="N94">
        <f>'raw data Crude oil'!N95</f>
        <v>47.83</v>
      </c>
      <c r="O94">
        <f>'raw data Crude oil'!O95</f>
        <v>48.2</v>
      </c>
      <c r="P94">
        <f>'raw data Crude oil'!P95</f>
        <v>48.51</v>
      </c>
      <c r="Q94">
        <f>'raw data Crude oil'!Q95</f>
        <v>48.77</v>
      </c>
      <c r="R94">
        <f>'raw data Crude oil'!R95</f>
        <v>49</v>
      </c>
      <c r="S94">
        <f>'raw data Crude oil'!S95</f>
        <v>49.23</v>
      </c>
      <c r="T94">
        <f>'raw data Crude oil'!T95</f>
        <v>49.43</v>
      </c>
      <c r="U94">
        <f>'raw data Crude oil'!U95</f>
        <v>49.59</v>
      </c>
      <c r="V94">
        <f>'raw data Crude oil'!V95</f>
        <v>49.69</v>
      </c>
      <c r="W94">
        <f>'raw data Crude oil'!W95</f>
        <v>49.74</v>
      </c>
      <c r="X94">
        <f>'raw data Crude oil'!X95</f>
        <v>49.76</v>
      </c>
      <c r="Y94">
        <f>'raw data Crude oil'!Y95</f>
        <v>49.77</v>
      </c>
      <c r="Z94">
        <f>'raw data Crude oil'!Z95</f>
        <v>0</v>
      </c>
      <c r="AA94">
        <f>'raw data Crude oil'!AA95</f>
        <v>0</v>
      </c>
      <c r="AB94">
        <f>'raw data Crude oil'!AB95</f>
        <v>0</v>
      </c>
      <c r="AC94">
        <f>'raw data Crude oil'!AC95</f>
        <v>0</v>
      </c>
      <c r="AD94">
        <f>'raw data Crude oil'!AD95</f>
        <v>0</v>
      </c>
      <c r="AE94">
        <f>'raw data Crude oil'!AE95</f>
        <v>0</v>
      </c>
      <c r="AF94">
        <f>'raw data Crude oil'!AF95</f>
        <v>0</v>
      </c>
      <c r="AG94">
        <f>'raw data Crude oil'!AG95</f>
        <v>0</v>
      </c>
      <c r="AH94">
        <f>'raw data Crude oil'!AH95</f>
        <v>0</v>
      </c>
      <c r="AI94">
        <f>'raw data Crude oil'!AI95</f>
        <v>0</v>
      </c>
      <c r="AJ94">
        <f>'raw data Crude oil'!AJ95</f>
        <v>0</v>
      </c>
      <c r="AK94">
        <f>'raw data Crude oil'!AK95</f>
        <v>0</v>
      </c>
    </row>
    <row r="95" spans="1:37" x14ac:dyDescent="0.3">
      <c r="A95" s="18">
        <f>'raw data Crude oil'!A96</f>
        <v>42867</v>
      </c>
      <c r="B95">
        <f>'raw data Crude oil'!B96</f>
        <v>50.84</v>
      </c>
      <c r="C95">
        <f>'raw data Crude oil'!C96</f>
        <v>51.05</v>
      </c>
      <c r="D95">
        <f>'raw data Crude oil'!D96</f>
        <v>51.2</v>
      </c>
      <c r="E95">
        <f>'raw data Crude oil'!E96</f>
        <v>51.35</v>
      </c>
      <c r="F95">
        <f>'raw data Crude oil'!F96</f>
        <v>51.49</v>
      </c>
      <c r="G95">
        <f>'raw data Crude oil'!G96</f>
        <v>51.62</v>
      </c>
      <c r="H95">
        <f>'raw data Crude oil'!H96</f>
        <v>51.69</v>
      </c>
      <c r="I95">
        <f>'raw data Crude oil'!I96</f>
        <v>51.75</v>
      </c>
      <c r="J95">
        <f>'raw data Crude oil'!J96</f>
        <v>51.8</v>
      </c>
      <c r="K95">
        <f>'raw data Crude oil'!K96</f>
        <v>51.82</v>
      </c>
      <c r="L95">
        <f>'raw data Crude oil'!L96</f>
        <v>51.82</v>
      </c>
      <c r="M95">
        <f>'raw data Crude oil'!M96</f>
        <v>51.8</v>
      </c>
      <c r="N95">
        <f>'raw data Crude oil'!N96</f>
        <v>47.84</v>
      </c>
      <c r="O95">
        <f>'raw data Crude oil'!O96</f>
        <v>48.17</v>
      </c>
      <c r="P95">
        <f>'raw data Crude oil'!P96</f>
        <v>48.44</v>
      </c>
      <c r="Q95">
        <f>'raw data Crude oil'!Q96</f>
        <v>48.67</v>
      </c>
      <c r="R95">
        <f>'raw data Crude oil'!R96</f>
        <v>48.88</v>
      </c>
      <c r="S95">
        <f>'raw data Crude oil'!S96</f>
        <v>49.08</v>
      </c>
      <c r="T95">
        <f>'raw data Crude oil'!T96</f>
        <v>49.26</v>
      </c>
      <c r="U95">
        <f>'raw data Crude oil'!U96</f>
        <v>49.39</v>
      </c>
      <c r="V95">
        <f>'raw data Crude oil'!V96</f>
        <v>49.47</v>
      </c>
      <c r="W95">
        <f>'raw data Crude oil'!W96</f>
        <v>49.51</v>
      </c>
      <c r="X95">
        <f>'raw data Crude oil'!X96</f>
        <v>49.52</v>
      </c>
      <c r="Y95">
        <f>'raw data Crude oil'!Y96</f>
        <v>49.51</v>
      </c>
      <c r="Z95">
        <f>'raw data Crude oil'!Z96</f>
        <v>0</v>
      </c>
      <c r="AA95">
        <f>'raw data Crude oil'!AA96</f>
        <v>0</v>
      </c>
      <c r="AB95">
        <f>'raw data Crude oil'!AB96</f>
        <v>0</v>
      </c>
      <c r="AC95">
        <f>'raw data Crude oil'!AC96</f>
        <v>0</v>
      </c>
      <c r="AD95">
        <f>'raw data Crude oil'!AD96</f>
        <v>0</v>
      </c>
      <c r="AE95">
        <f>'raw data Crude oil'!AE96</f>
        <v>0</v>
      </c>
      <c r="AF95">
        <f>'raw data Crude oil'!AF96</f>
        <v>0</v>
      </c>
      <c r="AG95">
        <f>'raw data Crude oil'!AG96</f>
        <v>0</v>
      </c>
      <c r="AH95">
        <f>'raw data Crude oil'!AH96</f>
        <v>0</v>
      </c>
      <c r="AI95">
        <f>'raw data Crude oil'!AI96</f>
        <v>0</v>
      </c>
      <c r="AJ95">
        <f>'raw data Crude oil'!AJ96</f>
        <v>0</v>
      </c>
      <c r="AK95">
        <f>'raw data Crude oil'!AK96</f>
        <v>0</v>
      </c>
    </row>
    <row r="96" spans="1:37" x14ac:dyDescent="0.3">
      <c r="A96" s="18">
        <f>'raw data Crude oil'!A97</f>
        <v>42870</v>
      </c>
      <c r="B96">
        <f>'raw data Crude oil'!B97</f>
        <v>51.82</v>
      </c>
      <c r="C96">
        <f>'raw data Crude oil'!C97</f>
        <v>52.01</v>
      </c>
      <c r="D96">
        <f>'raw data Crude oil'!D97</f>
        <v>52.14</v>
      </c>
      <c r="E96">
        <f>'raw data Crude oil'!E97</f>
        <v>52.25</v>
      </c>
      <c r="F96">
        <f>'raw data Crude oil'!F97</f>
        <v>52.36</v>
      </c>
      <c r="G96">
        <f>'raw data Crude oil'!G97</f>
        <v>52.44</v>
      </c>
      <c r="H96">
        <f>'raw data Crude oil'!H97</f>
        <v>52.46</v>
      </c>
      <c r="I96">
        <f>'raw data Crude oil'!I97</f>
        <v>52.46</v>
      </c>
      <c r="J96">
        <f>'raw data Crude oil'!J97</f>
        <v>52.44</v>
      </c>
      <c r="K96">
        <f>'raw data Crude oil'!K97</f>
        <v>52.4</v>
      </c>
      <c r="L96">
        <f>'raw data Crude oil'!L97</f>
        <v>52.35</v>
      </c>
      <c r="M96">
        <f>'raw data Crude oil'!M97</f>
        <v>52.28</v>
      </c>
      <c r="N96">
        <f>'raw data Crude oil'!N97</f>
        <v>48.85</v>
      </c>
      <c r="O96">
        <f>'raw data Crude oil'!O97</f>
        <v>49.16</v>
      </c>
      <c r="P96">
        <f>'raw data Crude oil'!P97</f>
        <v>49.4</v>
      </c>
      <c r="Q96">
        <f>'raw data Crude oil'!Q97</f>
        <v>49.61</v>
      </c>
      <c r="R96">
        <f>'raw data Crude oil'!R97</f>
        <v>49.78</v>
      </c>
      <c r="S96">
        <f>'raw data Crude oil'!S97</f>
        <v>49.94</v>
      </c>
      <c r="T96">
        <f>'raw data Crude oil'!T97</f>
        <v>50.07</v>
      </c>
      <c r="U96">
        <f>'raw data Crude oil'!U97</f>
        <v>50.16</v>
      </c>
      <c r="V96">
        <f>'raw data Crude oil'!V97</f>
        <v>50.19</v>
      </c>
      <c r="W96">
        <f>'raw data Crude oil'!W97</f>
        <v>50.18</v>
      </c>
      <c r="X96">
        <f>'raw data Crude oil'!X97</f>
        <v>50.15</v>
      </c>
      <c r="Y96">
        <f>'raw data Crude oil'!Y97</f>
        <v>50.11</v>
      </c>
      <c r="Z96">
        <f>'raw data Crude oil'!Z97</f>
        <v>0</v>
      </c>
      <c r="AA96">
        <f>'raw data Crude oil'!AA97</f>
        <v>0</v>
      </c>
      <c r="AB96">
        <f>'raw data Crude oil'!AB97</f>
        <v>0</v>
      </c>
      <c r="AC96">
        <f>'raw data Crude oil'!AC97</f>
        <v>0</v>
      </c>
      <c r="AD96">
        <f>'raw data Crude oil'!AD97</f>
        <v>0</v>
      </c>
      <c r="AE96">
        <f>'raw data Crude oil'!AE97</f>
        <v>0</v>
      </c>
      <c r="AF96">
        <f>'raw data Crude oil'!AF97</f>
        <v>0</v>
      </c>
      <c r="AG96">
        <f>'raw data Crude oil'!AG97</f>
        <v>0</v>
      </c>
      <c r="AH96">
        <f>'raw data Crude oil'!AH97</f>
        <v>0</v>
      </c>
      <c r="AI96">
        <f>'raw data Crude oil'!AI97</f>
        <v>0</v>
      </c>
      <c r="AJ96">
        <f>'raw data Crude oil'!AJ97</f>
        <v>0</v>
      </c>
      <c r="AK96">
        <f>'raw data Crude oil'!AK97</f>
        <v>0</v>
      </c>
    </row>
    <row r="97" spans="1:37" x14ac:dyDescent="0.3">
      <c r="A97" s="18">
        <f>'raw data Crude oil'!A98</f>
        <v>42871</v>
      </c>
      <c r="B97">
        <f>'raw data Crude oil'!B98</f>
        <v>51.65</v>
      </c>
      <c r="C97">
        <f>'raw data Crude oil'!C98</f>
        <v>51.91</v>
      </c>
      <c r="D97">
        <f>'raw data Crude oil'!D98</f>
        <v>52.09</v>
      </c>
      <c r="E97">
        <f>'raw data Crude oil'!E98</f>
        <v>52.25</v>
      </c>
      <c r="F97">
        <f>'raw data Crude oil'!F98</f>
        <v>52.4</v>
      </c>
      <c r="G97">
        <f>'raw data Crude oil'!G98</f>
        <v>52.5</v>
      </c>
      <c r="H97">
        <f>'raw data Crude oil'!H98</f>
        <v>52.55</v>
      </c>
      <c r="I97">
        <f>'raw data Crude oil'!I98</f>
        <v>52.57</v>
      </c>
      <c r="J97">
        <f>'raw data Crude oil'!J98</f>
        <v>52.57</v>
      </c>
      <c r="K97">
        <f>'raw data Crude oil'!K98</f>
        <v>52.55</v>
      </c>
      <c r="L97">
        <f>'raw data Crude oil'!L98</f>
        <v>52.52</v>
      </c>
      <c r="M97">
        <f>'raw data Crude oil'!M98</f>
        <v>52.47</v>
      </c>
      <c r="N97">
        <f>'raw data Crude oil'!N98</f>
        <v>48.66</v>
      </c>
      <c r="O97">
        <f>'raw data Crude oil'!O98</f>
        <v>49</v>
      </c>
      <c r="P97">
        <f>'raw data Crude oil'!P98</f>
        <v>49.29</v>
      </c>
      <c r="Q97">
        <f>'raw data Crude oil'!Q98</f>
        <v>49.55</v>
      </c>
      <c r="R97">
        <f>'raw data Crude oil'!R98</f>
        <v>49.76</v>
      </c>
      <c r="S97">
        <f>'raw data Crude oil'!S98</f>
        <v>49.95</v>
      </c>
      <c r="T97">
        <f>'raw data Crude oil'!T98</f>
        <v>50.11</v>
      </c>
      <c r="U97">
        <f>'raw data Crude oil'!U98</f>
        <v>50.22</v>
      </c>
      <c r="V97">
        <f>'raw data Crude oil'!V98</f>
        <v>50.27</v>
      </c>
      <c r="W97">
        <f>'raw data Crude oil'!W98</f>
        <v>50.28</v>
      </c>
      <c r="X97">
        <f>'raw data Crude oil'!X98</f>
        <v>50.26</v>
      </c>
      <c r="Y97">
        <f>'raw data Crude oil'!Y98</f>
        <v>50.23</v>
      </c>
      <c r="Z97">
        <f>'raw data Crude oil'!Z98</f>
        <v>0</v>
      </c>
      <c r="AA97">
        <f>'raw data Crude oil'!AA98</f>
        <v>0</v>
      </c>
      <c r="AB97">
        <f>'raw data Crude oil'!AB98</f>
        <v>0</v>
      </c>
      <c r="AC97">
        <f>'raw data Crude oil'!AC98</f>
        <v>0</v>
      </c>
      <c r="AD97">
        <f>'raw data Crude oil'!AD98</f>
        <v>0</v>
      </c>
      <c r="AE97">
        <f>'raw data Crude oil'!AE98</f>
        <v>0</v>
      </c>
      <c r="AF97">
        <f>'raw data Crude oil'!AF98</f>
        <v>0</v>
      </c>
      <c r="AG97">
        <f>'raw data Crude oil'!AG98</f>
        <v>0</v>
      </c>
      <c r="AH97">
        <f>'raw data Crude oil'!AH98</f>
        <v>0</v>
      </c>
      <c r="AI97">
        <f>'raw data Crude oil'!AI98</f>
        <v>0</v>
      </c>
      <c r="AJ97">
        <f>'raw data Crude oil'!AJ98</f>
        <v>0</v>
      </c>
      <c r="AK97">
        <f>'raw data Crude oil'!AK98</f>
        <v>0</v>
      </c>
    </row>
    <row r="98" spans="1:37" x14ac:dyDescent="0.3">
      <c r="A98" s="18">
        <f>'raw data Crude oil'!A99</f>
        <v>42872</v>
      </c>
      <c r="B98">
        <f>'raw data Crude oil'!B99</f>
        <v>52.21</v>
      </c>
      <c r="C98">
        <f>'raw data Crude oil'!C99</f>
        <v>52.44</v>
      </c>
      <c r="D98">
        <f>'raw data Crude oil'!D99</f>
        <v>52.61</v>
      </c>
      <c r="E98">
        <f>'raw data Crude oil'!E99</f>
        <v>52.76</v>
      </c>
      <c r="F98">
        <f>'raw data Crude oil'!F99</f>
        <v>52.9</v>
      </c>
      <c r="G98">
        <f>'raw data Crude oil'!G99</f>
        <v>53</v>
      </c>
      <c r="H98">
        <f>'raw data Crude oil'!H99</f>
        <v>53.05</v>
      </c>
      <c r="I98">
        <f>'raw data Crude oil'!I99</f>
        <v>53.06</v>
      </c>
      <c r="J98">
        <f>'raw data Crude oil'!J99</f>
        <v>53.05</v>
      </c>
      <c r="K98">
        <f>'raw data Crude oil'!K99</f>
        <v>53.02</v>
      </c>
      <c r="L98">
        <f>'raw data Crude oil'!L99</f>
        <v>52.97</v>
      </c>
      <c r="M98">
        <f>'raw data Crude oil'!M99</f>
        <v>52.9</v>
      </c>
      <c r="N98">
        <f>'raw data Crude oil'!N99</f>
        <v>49.07</v>
      </c>
      <c r="O98">
        <f>'raw data Crude oil'!O99</f>
        <v>49.41</v>
      </c>
      <c r="P98">
        <f>'raw data Crude oil'!P99</f>
        <v>49.7</v>
      </c>
      <c r="Q98">
        <f>'raw data Crude oil'!Q99</f>
        <v>49.97</v>
      </c>
      <c r="R98">
        <f>'raw data Crude oil'!R99</f>
        <v>50.19</v>
      </c>
      <c r="S98">
        <f>'raw data Crude oil'!S99</f>
        <v>50.38</v>
      </c>
      <c r="T98">
        <f>'raw data Crude oil'!T99</f>
        <v>50.53</v>
      </c>
      <c r="U98">
        <f>'raw data Crude oil'!U99</f>
        <v>50.63</v>
      </c>
      <c r="V98">
        <f>'raw data Crude oil'!V99</f>
        <v>50.67</v>
      </c>
      <c r="W98">
        <f>'raw data Crude oil'!W99</f>
        <v>50.66</v>
      </c>
      <c r="X98">
        <f>'raw data Crude oil'!X99</f>
        <v>50.63</v>
      </c>
      <c r="Y98">
        <f>'raw data Crude oil'!Y99</f>
        <v>50.59</v>
      </c>
      <c r="Z98">
        <f>'raw data Crude oil'!Z99</f>
        <v>0</v>
      </c>
      <c r="AA98">
        <f>'raw data Crude oil'!AA99</f>
        <v>0</v>
      </c>
      <c r="AB98">
        <f>'raw data Crude oil'!AB99</f>
        <v>0</v>
      </c>
      <c r="AC98">
        <f>'raw data Crude oil'!AC99</f>
        <v>0</v>
      </c>
      <c r="AD98">
        <f>'raw data Crude oil'!AD99</f>
        <v>0</v>
      </c>
      <c r="AE98">
        <f>'raw data Crude oil'!AE99</f>
        <v>0</v>
      </c>
      <c r="AF98">
        <f>'raw data Crude oil'!AF99</f>
        <v>0</v>
      </c>
      <c r="AG98">
        <f>'raw data Crude oil'!AG99</f>
        <v>0</v>
      </c>
      <c r="AH98">
        <f>'raw data Crude oil'!AH99</f>
        <v>0</v>
      </c>
      <c r="AI98">
        <f>'raw data Crude oil'!AI99</f>
        <v>0</v>
      </c>
      <c r="AJ98">
        <f>'raw data Crude oil'!AJ99</f>
        <v>0</v>
      </c>
      <c r="AK98">
        <f>'raw data Crude oil'!AK99</f>
        <v>0</v>
      </c>
    </row>
    <row r="99" spans="1:37" x14ac:dyDescent="0.3">
      <c r="A99" s="18">
        <f>'raw data Crude oil'!A100</f>
        <v>42873</v>
      </c>
      <c r="B99">
        <f>'raw data Crude oil'!B100</f>
        <v>52.51</v>
      </c>
      <c r="C99">
        <f>'raw data Crude oil'!C100</f>
        <v>52.67</v>
      </c>
      <c r="D99">
        <f>'raw data Crude oil'!D100</f>
        <v>52.82</v>
      </c>
      <c r="E99">
        <f>'raw data Crude oil'!E100</f>
        <v>52.96</v>
      </c>
      <c r="F99">
        <f>'raw data Crude oil'!F100</f>
        <v>53.09</v>
      </c>
      <c r="G99">
        <f>'raw data Crude oil'!G100</f>
        <v>53.2</v>
      </c>
      <c r="H99">
        <f>'raw data Crude oil'!H100</f>
        <v>53.24</v>
      </c>
      <c r="I99">
        <f>'raw data Crude oil'!I100</f>
        <v>53.24</v>
      </c>
      <c r="J99">
        <f>'raw data Crude oil'!J100</f>
        <v>53.23</v>
      </c>
      <c r="K99">
        <f>'raw data Crude oil'!K100</f>
        <v>53.2</v>
      </c>
      <c r="L99">
        <f>'raw data Crude oil'!L100</f>
        <v>53.15</v>
      </c>
      <c r="M99">
        <f>'raw data Crude oil'!M100</f>
        <v>53.07</v>
      </c>
      <c r="N99">
        <f>'raw data Crude oil'!N100</f>
        <v>49.35</v>
      </c>
      <c r="O99">
        <f>'raw data Crude oil'!O100</f>
        <v>49.66</v>
      </c>
      <c r="P99">
        <f>'raw data Crude oil'!P100</f>
        <v>49.91</v>
      </c>
      <c r="Q99">
        <f>'raw data Crude oil'!Q100</f>
        <v>50.14</v>
      </c>
      <c r="R99">
        <f>'raw data Crude oil'!R100</f>
        <v>50.33</v>
      </c>
      <c r="S99">
        <f>'raw data Crude oil'!S100</f>
        <v>50.5</v>
      </c>
      <c r="T99">
        <f>'raw data Crude oil'!T100</f>
        <v>50.63</v>
      </c>
      <c r="U99">
        <f>'raw data Crude oil'!U100</f>
        <v>50.71</v>
      </c>
      <c r="V99">
        <f>'raw data Crude oil'!V100</f>
        <v>50.74</v>
      </c>
      <c r="W99">
        <f>'raw data Crude oil'!W100</f>
        <v>50.74</v>
      </c>
      <c r="X99">
        <f>'raw data Crude oil'!X100</f>
        <v>50.71</v>
      </c>
      <c r="Y99">
        <f>'raw data Crude oil'!Y100</f>
        <v>50.67</v>
      </c>
      <c r="Z99">
        <f>'raw data Crude oil'!Z100</f>
        <v>0</v>
      </c>
      <c r="AA99">
        <f>'raw data Crude oil'!AA100</f>
        <v>0</v>
      </c>
      <c r="AB99">
        <f>'raw data Crude oil'!AB100</f>
        <v>0</v>
      </c>
      <c r="AC99">
        <f>'raw data Crude oil'!AC100</f>
        <v>0</v>
      </c>
      <c r="AD99">
        <f>'raw data Crude oil'!AD100</f>
        <v>0</v>
      </c>
      <c r="AE99">
        <f>'raw data Crude oil'!AE100</f>
        <v>0</v>
      </c>
      <c r="AF99">
        <f>'raw data Crude oil'!AF100</f>
        <v>0</v>
      </c>
      <c r="AG99">
        <f>'raw data Crude oil'!AG100</f>
        <v>0</v>
      </c>
      <c r="AH99">
        <f>'raw data Crude oil'!AH100</f>
        <v>0</v>
      </c>
      <c r="AI99">
        <f>'raw data Crude oil'!AI100</f>
        <v>0</v>
      </c>
      <c r="AJ99">
        <f>'raw data Crude oil'!AJ100</f>
        <v>0</v>
      </c>
      <c r="AK99">
        <f>'raw data Crude oil'!AK100</f>
        <v>0</v>
      </c>
    </row>
    <row r="100" spans="1:37" x14ac:dyDescent="0.3">
      <c r="A100" s="18">
        <f>'raw data Crude oil'!A101</f>
        <v>42874</v>
      </c>
      <c r="B100">
        <f>'raw data Crude oil'!B101</f>
        <v>53.61</v>
      </c>
      <c r="C100">
        <f>'raw data Crude oil'!C101</f>
        <v>53.76</v>
      </c>
      <c r="D100">
        <f>'raw data Crude oil'!D101</f>
        <v>53.9</v>
      </c>
      <c r="E100">
        <f>'raw data Crude oil'!E101</f>
        <v>54.03</v>
      </c>
      <c r="F100">
        <f>'raw data Crude oil'!F101</f>
        <v>54.15</v>
      </c>
      <c r="G100">
        <f>'raw data Crude oil'!G101</f>
        <v>54.23</v>
      </c>
      <c r="H100">
        <f>'raw data Crude oil'!H101</f>
        <v>54.26</v>
      </c>
      <c r="I100">
        <f>'raw data Crude oil'!I101</f>
        <v>54.24</v>
      </c>
      <c r="J100">
        <f>'raw data Crude oil'!J101</f>
        <v>54.2</v>
      </c>
      <c r="K100">
        <f>'raw data Crude oil'!K101</f>
        <v>54.15</v>
      </c>
      <c r="L100">
        <f>'raw data Crude oil'!L101</f>
        <v>54.08</v>
      </c>
      <c r="M100">
        <f>'raw data Crude oil'!M101</f>
        <v>53.99</v>
      </c>
      <c r="N100">
        <f>'raw data Crude oil'!N101</f>
        <v>50.33</v>
      </c>
      <c r="O100">
        <f>'raw data Crude oil'!O101</f>
        <v>50.67</v>
      </c>
      <c r="P100">
        <f>'raw data Crude oil'!P101</f>
        <v>50.92</v>
      </c>
      <c r="Q100">
        <f>'raw data Crude oil'!Q101</f>
        <v>51.13</v>
      </c>
      <c r="R100">
        <f>'raw data Crude oil'!R101</f>
        <v>51.3</v>
      </c>
      <c r="S100">
        <f>'raw data Crude oil'!S101</f>
        <v>51.45</v>
      </c>
      <c r="T100">
        <f>'raw data Crude oil'!T101</f>
        <v>51.56</v>
      </c>
      <c r="U100">
        <f>'raw data Crude oil'!U101</f>
        <v>51.62</v>
      </c>
      <c r="V100">
        <f>'raw data Crude oil'!V101</f>
        <v>51.64</v>
      </c>
      <c r="W100">
        <f>'raw data Crude oil'!W101</f>
        <v>51.62</v>
      </c>
      <c r="X100">
        <f>'raw data Crude oil'!X101</f>
        <v>51.56</v>
      </c>
      <c r="Y100">
        <f>'raw data Crude oil'!Y101</f>
        <v>51.49</v>
      </c>
      <c r="Z100">
        <f>'raw data Crude oil'!Z101</f>
        <v>0</v>
      </c>
      <c r="AA100">
        <f>'raw data Crude oil'!AA101</f>
        <v>0</v>
      </c>
      <c r="AB100">
        <f>'raw data Crude oil'!AB101</f>
        <v>0</v>
      </c>
      <c r="AC100">
        <f>'raw data Crude oil'!AC101</f>
        <v>0</v>
      </c>
      <c r="AD100">
        <f>'raw data Crude oil'!AD101</f>
        <v>0</v>
      </c>
      <c r="AE100">
        <f>'raw data Crude oil'!AE101</f>
        <v>0</v>
      </c>
      <c r="AF100">
        <f>'raw data Crude oil'!AF101</f>
        <v>0</v>
      </c>
      <c r="AG100">
        <f>'raw data Crude oil'!AG101</f>
        <v>0</v>
      </c>
      <c r="AH100">
        <f>'raw data Crude oil'!AH101</f>
        <v>0</v>
      </c>
      <c r="AI100">
        <f>'raw data Crude oil'!AI101</f>
        <v>0</v>
      </c>
      <c r="AJ100">
        <f>'raw data Crude oil'!AJ101</f>
        <v>0</v>
      </c>
      <c r="AK100">
        <f>'raw data Crude oil'!AK101</f>
        <v>0</v>
      </c>
    </row>
    <row r="101" spans="1:37" x14ac:dyDescent="0.3">
      <c r="A101" s="18">
        <f>'raw data Crude oil'!A102</f>
        <v>42877</v>
      </c>
      <c r="B101">
        <f>'raw data Crude oil'!B102</f>
        <v>53.87</v>
      </c>
      <c r="C101">
        <f>'raw data Crude oil'!C102</f>
        <v>54.11</v>
      </c>
      <c r="D101">
        <f>'raw data Crude oil'!D102</f>
        <v>54.3</v>
      </c>
      <c r="E101">
        <f>'raw data Crude oil'!E102</f>
        <v>54.46</v>
      </c>
      <c r="F101">
        <f>'raw data Crude oil'!F102</f>
        <v>54.59</v>
      </c>
      <c r="G101">
        <f>'raw data Crude oil'!G102</f>
        <v>54.68</v>
      </c>
      <c r="H101">
        <f>'raw data Crude oil'!H102</f>
        <v>54.72</v>
      </c>
      <c r="I101">
        <f>'raw data Crude oil'!I102</f>
        <v>54.7</v>
      </c>
      <c r="J101">
        <f>'raw data Crude oil'!J102</f>
        <v>54.65</v>
      </c>
      <c r="K101">
        <f>'raw data Crude oil'!K102</f>
        <v>54.59</v>
      </c>
      <c r="L101">
        <f>'raw data Crude oil'!L102</f>
        <v>54.51</v>
      </c>
      <c r="M101">
        <f>'raw data Crude oil'!M102</f>
        <v>54.41</v>
      </c>
      <c r="N101">
        <f>'raw data Crude oil'!N102</f>
        <v>50.73</v>
      </c>
      <c r="O101">
        <f>'raw data Crude oil'!O102</f>
        <v>51.13</v>
      </c>
      <c r="P101">
        <f>'raw data Crude oil'!P102</f>
        <v>51.4</v>
      </c>
      <c r="Q101">
        <f>'raw data Crude oil'!Q102</f>
        <v>51.63</v>
      </c>
      <c r="R101">
        <f>'raw data Crude oil'!R102</f>
        <v>51.8</v>
      </c>
      <c r="S101">
        <f>'raw data Crude oil'!S102</f>
        <v>51.95</v>
      </c>
      <c r="T101">
        <f>'raw data Crude oil'!T102</f>
        <v>52.05</v>
      </c>
      <c r="U101">
        <f>'raw data Crude oil'!U102</f>
        <v>52.11</v>
      </c>
      <c r="V101">
        <f>'raw data Crude oil'!V102</f>
        <v>52.11</v>
      </c>
      <c r="W101">
        <f>'raw data Crude oil'!W102</f>
        <v>52.08</v>
      </c>
      <c r="X101">
        <f>'raw data Crude oil'!X102</f>
        <v>52.02</v>
      </c>
      <c r="Y101">
        <f>'raw data Crude oil'!Y102</f>
        <v>51.94</v>
      </c>
      <c r="Z101">
        <f>'raw data Crude oil'!Z102</f>
        <v>0</v>
      </c>
      <c r="AA101">
        <f>'raw data Crude oil'!AA102</f>
        <v>0</v>
      </c>
      <c r="AB101">
        <f>'raw data Crude oil'!AB102</f>
        <v>0</v>
      </c>
      <c r="AC101">
        <f>'raw data Crude oil'!AC102</f>
        <v>0</v>
      </c>
      <c r="AD101">
        <f>'raw data Crude oil'!AD102</f>
        <v>0</v>
      </c>
      <c r="AE101">
        <f>'raw data Crude oil'!AE102</f>
        <v>0</v>
      </c>
      <c r="AF101">
        <f>'raw data Crude oil'!AF102</f>
        <v>0</v>
      </c>
      <c r="AG101">
        <f>'raw data Crude oil'!AG102</f>
        <v>0</v>
      </c>
      <c r="AH101">
        <f>'raw data Crude oil'!AH102</f>
        <v>0</v>
      </c>
      <c r="AI101">
        <f>'raw data Crude oil'!AI102</f>
        <v>0</v>
      </c>
      <c r="AJ101">
        <f>'raw data Crude oil'!AJ102</f>
        <v>0</v>
      </c>
      <c r="AK101">
        <f>'raw data Crude oil'!AK102</f>
        <v>0</v>
      </c>
    </row>
    <row r="102" spans="1:37" x14ac:dyDescent="0.3">
      <c r="A102" s="18">
        <f>'raw data Crude oil'!A103</f>
        <v>42878</v>
      </c>
      <c r="B102">
        <f>'raw data Crude oil'!B103</f>
        <v>54.15</v>
      </c>
      <c r="C102">
        <f>'raw data Crude oil'!C103</f>
        <v>54.41</v>
      </c>
      <c r="D102">
        <f>'raw data Crude oil'!D103</f>
        <v>54.61</v>
      </c>
      <c r="E102">
        <f>'raw data Crude oil'!E103</f>
        <v>54.77</v>
      </c>
      <c r="F102">
        <f>'raw data Crude oil'!F103</f>
        <v>54.88</v>
      </c>
      <c r="G102">
        <f>'raw data Crude oil'!G103</f>
        <v>54.96</v>
      </c>
      <c r="H102">
        <f>'raw data Crude oil'!H103</f>
        <v>54.99</v>
      </c>
      <c r="I102">
        <f>'raw data Crude oil'!I103</f>
        <v>54.97</v>
      </c>
      <c r="J102">
        <f>'raw data Crude oil'!J103</f>
        <v>54.91</v>
      </c>
      <c r="K102">
        <f>'raw data Crude oil'!K103</f>
        <v>54.84</v>
      </c>
      <c r="L102">
        <f>'raw data Crude oil'!L103</f>
        <v>54.75</v>
      </c>
      <c r="M102">
        <f>'raw data Crude oil'!M103</f>
        <v>54.64</v>
      </c>
      <c r="N102">
        <f>'raw data Crude oil'!N103</f>
        <v>51.47</v>
      </c>
      <c r="O102">
        <f>'raw data Crude oil'!O103</f>
        <v>51.72</v>
      </c>
      <c r="P102">
        <f>'raw data Crude oil'!P103</f>
        <v>51.92</v>
      </c>
      <c r="Q102">
        <f>'raw data Crude oil'!Q103</f>
        <v>52.08</v>
      </c>
      <c r="R102">
        <f>'raw data Crude oil'!R103</f>
        <v>52.22</v>
      </c>
      <c r="S102">
        <f>'raw data Crude oil'!S103</f>
        <v>52.3</v>
      </c>
      <c r="T102">
        <f>'raw data Crude oil'!T103</f>
        <v>52.35</v>
      </c>
      <c r="U102">
        <f>'raw data Crude oil'!U103</f>
        <v>52.34</v>
      </c>
      <c r="V102">
        <f>'raw data Crude oil'!V103</f>
        <v>52.29</v>
      </c>
      <c r="W102">
        <f>'raw data Crude oil'!W103</f>
        <v>52.21</v>
      </c>
      <c r="X102">
        <f>'raw data Crude oil'!X103</f>
        <v>52.12</v>
      </c>
      <c r="Y102">
        <f>'raw data Crude oil'!Y103</f>
        <v>52.02</v>
      </c>
      <c r="Z102">
        <f>'raw data Crude oil'!Z103</f>
        <v>0</v>
      </c>
      <c r="AA102">
        <f>'raw data Crude oil'!AA103</f>
        <v>0</v>
      </c>
      <c r="AB102">
        <f>'raw data Crude oil'!AB103</f>
        <v>0</v>
      </c>
      <c r="AC102">
        <f>'raw data Crude oil'!AC103</f>
        <v>0</v>
      </c>
      <c r="AD102">
        <f>'raw data Crude oil'!AD103</f>
        <v>0</v>
      </c>
      <c r="AE102">
        <f>'raw data Crude oil'!AE103</f>
        <v>0</v>
      </c>
      <c r="AF102">
        <f>'raw data Crude oil'!AF103</f>
        <v>0</v>
      </c>
      <c r="AG102">
        <f>'raw data Crude oil'!AG103</f>
        <v>0</v>
      </c>
      <c r="AH102">
        <f>'raw data Crude oil'!AH103</f>
        <v>0</v>
      </c>
      <c r="AI102">
        <f>'raw data Crude oil'!AI103</f>
        <v>0</v>
      </c>
      <c r="AJ102">
        <f>'raw data Crude oil'!AJ103</f>
        <v>0</v>
      </c>
      <c r="AK102">
        <f>'raw data Crude oil'!AK103</f>
        <v>0</v>
      </c>
    </row>
    <row r="103" spans="1:37" x14ac:dyDescent="0.3">
      <c r="A103" s="18">
        <f>'raw data Crude oil'!A104</f>
        <v>42879</v>
      </c>
      <c r="B103">
        <f>'raw data Crude oil'!B104</f>
        <v>53.96</v>
      </c>
      <c r="C103">
        <f>'raw data Crude oil'!C104</f>
        <v>54.24</v>
      </c>
      <c r="D103">
        <f>'raw data Crude oil'!D104</f>
        <v>54.45</v>
      </c>
      <c r="E103">
        <f>'raw data Crude oil'!E104</f>
        <v>54.58</v>
      </c>
      <c r="F103">
        <f>'raw data Crude oil'!F104</f>
        <v>54.66</v>
      </c>
      <c r="G103">
        <f>'raw data Crude oil'!G104</f>
        <v>54.71</v>
      </c>
      <c r="H103">
        <f>'raw data Crude oil'!H104</f>
        <v>54.71</v>
      </c>
      <c r="I103">
        <f>'raw data Crude oil'!I104</f>
        <v>54.66</v>
      </c>
      <c r="J103">
        <f>'raw data Crude oil'!J104</f>
        <v>54.59</v>
      </c>
      <c r="K103">
        <f>'raw data Crude oil'!K104</f>
        <v>54.5</v>
      </c>
      <c r="L103">
        <f>'raw data Crude oil'!L104</f>
        <v>54.39</v>
      </c>
      <c r="M103">
        <f>'raw data Crude oil'!M104</f>
        <v>54.27</v>
      </c>
      <c r="N103">
        <f>'raw data Crude oil'!N104</f>
        <v>51.36</v>
      </c>
      <c r="O103">
        <f>'raw data Crude oil'!O104</f>
        <v>51.59</v>
      </c>
      <c r="P103">
        <f>'raw data Crude oil'!P104</f>
        <v>51.76</v>
      </c>
      <c r="Q103">
        <f>'raw data Crude oil'!Q104</f>
        <v>51.89</v>
      </c>
      <c r="R103">
        <f>'raw data Crude oil'!R104</f>
        <v>52.01</v>
      </c>
      <c r="S103">
        <f>'raw data Crude oil'!S104</f>
        <v>52.09</v>
      </c>
      <c r="T103">
        <f>'raw data Crude oil'!T104</f>
        <v>52.12</v>
      </c>
      <c r="U103">
        <f>'raw data Crude oil'!U104</f>
        <v>52.09</v>
      </c>
      <c r="V103">
        <f>'raw data Crude oil'!V104</f>
        <v>52.02</v>
      </c>
      <c r="W103">
        <f>'raw data Crude oil'!W104</f>
        <v>51.93</v>
      </c>
      <c r="X103">
        <f>'raw data Crude oil'!X104</f>
        <v>51.82</v>
      </c>
      <c r="Y103">
        <f>'raw data Crude oil'!Y104</f>
        <v>51.71</v>
      </c>
      <c r="Z103">
        <f>'raw data Crude oil'!Z104</f>
        <v>0</v>
      </c>
      <c r="AA103">
        <f>'raw data Crude oil'!AA104</f>
        <v>0</v>
      </c>
      <c r="AB103">
        <f>'raw data Crude oil'!AB104</f>
        <v>0</v>
      </c>
      <c r="AC103">
        <f>'raw data Crude oil'!AC104</f>
        <v>0</v>
      </c>
      <c r="AD103">
        <f>'raw data Crude oil'!AD104</f>
        <v>0</v>
      </c>
      <c r="AE103">
        <f>'raw data Crude oil'!AE104</f>
        <v>0</v>
      </c>
      <c r="AF103">
        <f>'raw data Crude oil'!AF104</f>
        <v>0</v>
      </c>
      <c r="AG103">
        <f>'raw data Crude oil'!AG104</f>
        <v>0</v>
      </c>
      <c r="AH103">
        <f>'raw data Crude oil'!AH104</f>
        <v>0</v>
      </c>
      <c r="AI103">
        <f>'raw data Crude oil'!AI104</f>
        <v>0</v>
      </c>
      <c r="AJ103">
        <f>'raw data Crude oil'!AJ104</f>
        <v>0</v>
      </c>
      <c r="AK103">
        <f>'raw data Crude oil'!AK104</f>
        <v>0</v>
      </c>
    </row>
    <row r="104" spans="1:37" x14ac:dyDescent="0.3">
      <c r="A104" s="18">
        <f>'raw data Crude oil'!A105</f>
        <v>42880</v>
      </c>
      <c r="B104">
        <f>'raw data Crude oil'!B105</f>
        <v>51.46</v>
      </c>
      <c r="C104">
        <f>'raw data Crude oil'!C105</f>
        <v>51.77</v>
      </c>
      <c r="D104">
        <f>'raw data Crude oil'!D105</f>
        <v>52</v>
      </c>
      <c r="E104">
        <f>'raw data Crude oil'!E105</f>
        <v>52.17</v>
      </c>
      <c r="F104">
        <f>'raw data Crude oil'!F105</f>
        <v>52.31</v>
      </c>
      <c r="G104">
        <f>'raw data Crude oil'!G105</f>
        <v>52.41</v>
      </c>
      <c r="H104">
        <f>'raw data Crude oil'!H105</f>
        <v>52.47</v>
      </c>
      <c r="I104">
        <f>'raw data Crude oil'!I105</f>
        <v>52.47</v>
      </c>
      <c r="J104">
        <f>'raw data Crude oil'!J105</f>
        <v>52.44</v>
      </c>
      <c r="K104">
        <f>'raw data Crude oil'!K105</f>
        <v>52.4</v>
      </c>
      <c r="L104">
        <f>'raw data Crude oil'!L105</f>
        <v>52.33</v>
      </c>
      <c r="M104">
        <f>'raw data Crude oil'!M105</f>
        <v>52.25</v>
      </c>
      <c r="N104">
        <f>'raw data Crude oil'!N105</f>
        <v>48.9</v>
      </c>
      <c r="O104">
        <f>'raw data Crude oil'!O105</f>
        <v>49.14</v>
      </c>
      <c r="P104">
        <f>'raw data Crude oil'!P105</f>
        <v>49.33</v>
      </c>
      <c r="Q104">
        <f>'raw data Crude oil'!Q105</f>
        <v>49.48</v>
      </c>
      <c r="R104">
        <f>'raw data Crude oil'!R105</f>
        <v>49.64</v>
      </c>
      <c r="S104">
        <f>'raw data Crude oil'!S105</f>
        <v>49.76</v>
      </c>
      <c r="T104">
        <f>'raw data Crude oil'!T105</f>
        <v>49.84</v>
      </c>
      <c r="U104">
        <f>'raw data Crude oil'!U105</f>
        <v>49.86</v>
      </c>
      <c r="V104">
        <f>'raw data Crude oil'!V105</f>
        <v>49.84</v>
      </c>
      <c r="W104">
        <f>'raw data Crude oil'!W105</f>
        <v>49.8</v>
      </c>
      <c r="X104">
        <f>'raw data Crude oil'!X105</f>
        <v>49.73</v>
      </c>
      <c r="Y104">
        <f>'raw data Crude oil'!Y105</f>
        <v>49.65</v>
      </c>
      <c r="Z104">
        <f>'raw data Crude oil'!Z105</f>
        <v>0</v>
      </c>
      <c r="AA104">
        <f>'raw data Crude oil'!AA105</f>
        <v>0</v>
      </c>
      <c r="AB104">
        <f>'raw data Crude oil'!AB105</f>
        <v>0</v>
      </c>
      <c r="AC104">
        <f>'raw data Crude oil'!AC105</f>
        <v>0</v>
      </c>
      <c r="AD104">
        <f>'raw data Crude oil'!AD105</f>
        <v>0</v>
      </c>
      <c r="AE104">
        <f>'raw data Crude oil'!AE105</f>
        <v>0</v>
      </c>
      <c r="AF104">
        <f>'raw data Crude oil'!AF105</f>
        <v>0</v>
      </c>
      <c r="AG104">
        <f>'raw data Crude oil'!AG105</f>
        <v>0</v>
      </c>
      <c r="AH104">
        <f>'raw data Crude oil'!AH105</f>
        <v>0</v>
      </c>
      <c r="AI104">
        <f>'raw data Crude oil'!AI105</f>
        <v>0</v>
      </c>
      <c r="AJ104">
        <f>'raw data Crude oil'!AJ105</f>
        <v>0</v>
      </c>
      <c r="AK104">
        <f>'raw data Crude oil'!AK105</f>
        <v>0</v>
      </c>
    </row>
    <row r="105" spans="1:37" x14ac:dyDescent="0.3">
      <c r="A105" s="18">
        <f>'raw data Crude oil'!A106</f>
        <v>42881</v>
      </c>
      <c r="B105">
        <f>'raw data Crude oil'!B106</f>
        <v>52.15</v>
      </c>
      <c r="C105">
        <f>'raw data Crude oil'!C106</f>
        <v>52.51</v>
      </c>
      <c r="D105">
        <f>'raw data Crude oil'!D106</f>
        <v>52.75</v>
      </c>
      <c r="E105">
        <f>'raw data Crude oil'!E106</f>
        <v>52.93</v>
      </c>
      <c r="F105">
        <f>'raw data Crude oil'!F106</f>
        <v>53.07</v>
      </c>
      <c r="G105">
        <f>'raw data Crude oil'!G106</f>
        <v>53.17</v>
      </c>
      <c r="H105">
        <f>'raw data Crude oil'!H106</f>
        <v>53.21</v>
      </c>
      <c r="I105">
        <f>'raw data Crude oil'!I106</f>
        <v>53.21</v>
      </c>
      <c r="J105">
        <f>'raw data Crude oil'!J106</f>
        <v>53.19</v>
      </c>
      <c r="K105">
        <f>'raw data Crude oil'!K106</f>
        <v>53.15</v>
      </c>
      <c r="L105">
        <f>'raw data Crude oil'!L106</f>
        <v>53.09</v>
      </c>
      <c r="M105">
        <f>'raw data Crude oil'!M106</f>
        <v>53.02</v>
      </c>
      <c r="N105">
        <f>'raw data Crude oil'!N106</f>
        <v>49.8</v>
      </c>
      <c r="O105">
        <f>'raw data Crude oil'!O106</f>
        <v>50.05</v>
      </c>
      <c r="P105">
        <f>'raw data Crude oil'!P106</f>
        <v>50.23</v>
      </c>
      <c r="Q105">
        <f>'raw data Crude oil'!Q106</f>
        <v>50.36</v>
      </c>
      <c r="R105">
        <f>'raw data Crude oil'!R106</f>
        <v>50.49</v>
      </c>
      <c r="S105">
        <f>'raw data Crude oil'!S106</f>
        <v>50.59</v>
      </c>
      <c r="T105">
        <f>'raw data Crude oil'!T106</f>
        <v>50.66</v>
      </c>
      <c r="U105">
        <f>'raw data Crude oil'!U106</f>
        <v>50.68</v>
      </c>
      <c r="V105">
        <f>'raw data Crude oil'!V106</f>
        <v>50.66</v>
      </c>
      <c r="W105">
        <f>'raw data Crude oil'!W106</f>
        <v>50.61</v>
      </c>
      <c r="X105">
        <f>'raw data Crude oil'!X106</f>
        <v>50.54</v>
      </c>
      <c r="Y105">
        <f>'raw data Crude oil'!Y106</f>
        <v>50.45</v>
      </c>
      <c r="Z105">
        <f>'raw data Crude oil'!Z106</f>
        <v>0</v>
      </c>
      <c r="AA105">
        <f>'raw data Crude oil'!AA106</f>
        <v>0</v>
      </c>
      <c r="AB105">
        <f>'raw data Crude oil'!AB106</f>
        <v>0</v>
      </c>
      <c r="AC105">
        <f>'raw data Crude oil'!AC106</f>
        <v>0</v>
      </c>
      <c r="AD105">
        <f>'raw data Crude oil'!AD106</f>
        <v>0</v>
      </c>
      <c r="AE105">
        <f>'raw data Crude oil'!AE106</f>
        <v>0</v>
      </c>
      <c r="AF105">
        <f>'raw data Crude oil'!AF106</f>
        <v>0</v>
      </c>
      <c r="AG105">
        <f>'raw data Crude oil'!AG106</f>
        <v>0</v>
      </c>
      <c r="AH105">
        <f>'raw data Crude oil'!AH106</f>
        <v>0</v>
      </c>
      <c r="AI105">
        <f>'raw data Crude oil'!AI106</f>
        <v>0</v>
      </c>
      <c r="AJ105">
        <f>'raw data Crude oil'!AJ106</f>
        <v>0</v>
      </c>
      <c r="AK105">
        <f>'raw data Crude oil'!AK106</f>
        <v>0</v>
      </c>
    </row>
    <row r="106" spans="1:37" x14ac:dyDescent="0.3">
      <c r="A106" s="18">
        <f>'raw data Crude oil'!A107</f>
        <v>42884</v>
      </c>
      <c r="B106">
        <f>'raw data Crude oil'!B107</f>
        <v>52.29</v>
      </c>
      <c r="C106">
        <f>'raw data Crude oil'!C107</f>
        <v>52.64</v>
      </c>
      <c r="D106">
        <f>'raw data Crude oil'!D107</f>
        <v>52.89</v>
      </c>
      <c r="E106">
        <f>'raw data Crude oil'!E107</f>
        <v>53.09</v>
      </c>
      <c r="F106">
        <f>'raw data Crude oil'!F107</f>
        <v>53.23</v>
      </c>
      <c r="G106">
        <f>'raw data Crude oil'!G107</f>
        <v>53.33</v>
      </c>
      <c r="H106">
        <f>'raw data Crude oil'!H107</f>
        <v>53.38</v>
      </c>
      <c r="I106">
        <f>'raw data Crude oil'!I107</f>
        <v>53.38</v>
      </c>
      <c r="J106">
        <f>'raw data Crude oil'!J107</f>
        <v>53.36</v>
      </c>
      <c r="K106">
        <f>'raw data Crude oil'!K107</f>
        <v>53.32</v>
      </c>
      <c r="L106">
        <f>'raw data Crude oil'!L107</f>
        <v>53.26</v>
      </c>
      <c r="M106">
        <f>'raw data Crude oil'!M107</f>
        <v>53.19</v>
      </c>
      <c r="N106">
        <f>'raw data Crude oil'!N107</f>
        <v>49.8</v>
      </c>
      <c r="O106">
        <f>'raw data Crude oil'!O107</f>
        <v>50.05</v>
      </c>
      <c r="P106">
        <f>'raw data Crude oil'!P107</f>
        <v>50.23</v>
      </c>
      <c r="Q106">
        <f>'raw data Crude oil'!Q107</f>
        <v>50.36</v>
      </c>
      <c r="R106">
        <f>'raw data Crude oil'!R107</f>
        <v>50.49</v>
      </c>
      <c r="S106">
        <f>'raw data Crude oil'!S107</f>
        <v>50.59</v>
      </c>
      <c r="T106">
        <f>'raw data Crude oil'!T107</f>
        <v>50.66</v>
      </c>
      <c r="U106">
        <f>'raw data Crude oil'!U107</f>
        <v>50.68</v>
      </c>
      <c r="V106">
        <f>'raw data Crude oil'!V107</f>
        <v>50.66</v>
      </c>
      <c r="W106">
        <f>'raw data Crude oil'!W107</f>
        <v>50.61</v>
      </c>
      <c r="X106">
        <f>'raw data Crude oil'!X107</f>
        <v>50.54</v>
      </c>
      <c r="Y106">
        <f>'raw data Crude oil'!Y107</f>
        <v>50.45</v>
      </c>
      <c r="Z106">
        <f>'raw data Crude oil'!Z107</f>
        <v>0</v>
      </c>
      <c r="AA106">
        <f>'raw data Crude oil'!AA107</f>
        <v>0</v>
      </c>
      <c r="AB106">
        <f>'raw data Crude oil'!AB107</f>
        <v>0</v>
      </c>
      <c r="AC106">
        <f>'raw data Crude oil'!AC107</f>
        <v>0</v>
      </c>
      <c r="AD106">
        <f>'raw data Crude oil'!AD107</f>
        <v>0</v>
      </c>
      <c r="AE106">
        <f>'raw data Crude oil'!AE107</f>
        <v>0</v>
      </c>
      <c r="AF106">
        <f>'raw data Crude oil'!AF107</f>
        <v>0</v>
      </c>
      <c r="AG106">
        <f>'raw data Crude oil'!AG107</f>
        <v>0</v>
      </c>
      <c r="AH106">
        <f>'raw data Crude oil'!AH107</f>
        <v>0</v>
      </c>
      <c r="AI106">
        <f>'raw data Crude oil'!AI107</f>
        <v>0</v>
      </c>
      <c r="AJ106">
        <f>'raw data Crude oil'!AJ107</f>
        <v>0</v>
      </c>
      <c r="AK106">
        <f>'raw data Crude oil'!AK107</f>
        <v>0</v>
      </c>
    </row>
    <row r="107" spans="1:37" x14ac:dyDescent="0.3">
      <c r="A107" s="18">
        <f>'raw data Crude oil'!A108</f>
        <v>42885</v>
      </c>
      <c r="B107">
        <f>'raw data Crude oil'!B108</f>
        <v>51.84</v>
      </c>
      <c r="C107">
        <f>'raw data Crude oil'!C108</f>
        <v>52.24</v>
      </c>
      <c r="D107">
        <f>'raw data Crude oil'!D108</f>
        <v>52.51</v>
      </c>
      <c r="E107">
        <f>'raw data Crude oil'!E108</f>
        <v>52.72</v>
      </c>
      <c r="F107">
        <f>'raw data Crude oil'!F108</f>
        <v>52.89</v>
      </c>
      <c r="G107">
        <f>'raw data Crude oil'!G108</f>
        <v>53.03</v>
      </c>
      <c r="H107">
        <f>'raw data Crude oil'!H108</f>
        <v>53.11</v>
      </c>
      <c r="I107">
        <f>'raw data Crude oil'!I108</f>
        <v>53.15</v>
      </c>
      <c r="J107">
        <f>'raw data Crude oil'!J108</f>
        <v>53.17</v>
      </c>
      <c r="K107">
        <f>'raw data Crude oil'!K108</f>
        <v>53.16</v>
      </c>
      <c r="L107">
        <f>'raw data Crude oil'!L108</f>
        <v>53.14</v>
      </c>
      <c r="M107">
        <f>'raw data Crude oil'!M108</f>
        <v>53.09</v>
      </c>
      <c r="N107">
        <f>'raw data Crude oil'!N108</f>
        <v>49.66</v>
      </c>
      <c r="O107">
        <f>'raw data Crude oil'!O108</f>
        <v>49.91</v>
      </c>
      <c r="P107">
        <f>'raw data Crude oil'!P108</f>
        <v>50.1</v>
      </c>
      <c r="Q107">
        <f>'raw data Crude oil'!Q108</f>
        <v>50.23</v>
      </c>
      <c r="R107">
        <f>'raw data Crude oil'!R108</f>
        <v>50.37</v>
      </c>
      <c r="S107">
        <f>'raw data Crude oil'!S108</f>
        <v>50.48</v>
      </c>
      <c r="T107">
        <f>'raw data Crude oil'!T108</f>
        <v>50.56</v>
      </c>
      <c r="U107">
        <f>'raw data Crude oil'!U108</f>
        <v>50.59</v>
      </c>
      <c r="V107">
        <f>'raw data Crude oil'!V108</f>
        <v>50.58</v>
      </c>
      <c r="W107">
        <f>'raw data Crude oil'!W108</f>
        <v>50.54</v>
      </c>
      <c r="X107">
        <f>'raw data Crude oil'!X108</f>
        <v>50.48</v>
      </c>
      <c r="Y107">
        <f>'raw data Crude oil'!Y108</f>
        <v>50.41</v>
      </c>
      <c r="Z107">
        <f>'raw data Crude oil'!Z108</f>
        <v>0</v>
      </c>
      <c r="AA107">
        <f>'raw data Crude oil'!AA108</f>
        <v>0</v>
      </c>
      <c r="AB107">
        <f>'raw data Crude oil'!AB108</f>
        <v>0</v>
      </c>
      <c r="AC107">
        <f>'raw data Crude oil'!AC108</f>
        <v>0</v>
      </c>
      <c r="AD107">
        <f>'raw data Crude oil'!AD108</f>
        <v>0</v>
      </c>
      <c r="AE107">
        <f>'raw data Crude oil'!AE108</f>
        <v>0</v>
      </c>
      <c r="AF107">
        <f>'raw data Crude oil'!AF108</f>
        <v>0</v>
      </c>
      <c r="AG107">
        <f>'raw data Crude oil'!AG108</f>
        <v>0</v>
      </c>
      <c r="AH107">
        <f>'raw data Crude oil'!AH108</f>
        <v>0</v>
      </c>
      <c r="AI107">
        <f>'raw data Crude oil'!AI108</f>
        <v>0</v>
      </c>
      <c r="AJ107">
        <f>'raw data Crude oil'!AJ108</f>
        <v>0</v>
      </c>
      <c r="AK107">
        <f>'raw data Crude oil'!AK108</f>
        <v>0</v>
      </c>
    </row>
    <row r="108" spans="1:37" x14ac:dyDescent="0.3">
      <c r="A108" s="18">
        <f>'raw data Crude oil'!A109</f>
        <v>42886</v>
      </c>
      <c r="B108">
        <f>'raw data Crude oil'!B109</f>
        <v>50.31</v>
      </c>
      <c r="C108">
        <f>'raw data Crude oil'!C109</f>
        <v>50.76</v>
      </c>
      <c r="D108">
        <f>'raw data Crude oil'!D109</f>
        <v>51.09</v>
      </c>
      <c r="E108">
        <f>'raw data Crude oil'!E109</f>
        <v>51.33</v>
      </c>
      <c r="F108">
        <f>'raw data Crude oil'!F109</f>
        <v>51.52</v>
      </c>
      <c r="G108">
        <f>'raw data Crude oil'!G109</f>
        <v>51.69</v>
      </c>
      <c r="H108">
        <f>'raw data Crude oil'!H109</f>
        <v>51.81</v>
      </c>
      <c r="I108">
        <f>'raw data Crude oil'!I109</f>
        <v>51.89</v>
      </c>
      <c r="J108">
        <f>'raw data Crude oil'!J109</f>
        <v>51.95</v>
      </c>
      <c r="K108">
        <f>'raw data Crude oil'!K109</f>
        <v>51.97</v>
      </c>
      <c r="L108">
        <f>'raw data Crude oil'!L109</f>
        <v>51.97</v>
      </c>
      <c r="M108">
        <f>'raw data Crude oil'!M109</f>
        <v>51.94</v>
      </c>
      <c r="N108">
        <f>'raw data Crude oil'!N109</f>
        <v>48.32</v>
      </c>
      <c r="O108">
        <f>'raw data Crude oil'!O109</f>
        <v>48.56</v>
      </c>
      <c r="P108">
        <f>'raw data Crude oil'!P109</f>
        <v>48.74</v>
      </c>
      <c r="Q108">
        <f>'raw data Crude oil'!Q109</f>
        <v>48.87</v>
      </c>
      <c r="R108">
        <f>'raw data Crude oil'!R109</f>
        <v>49.01</v>
      </c>
      <c r="S108">
        <f>'raw data Crude oil'!S109</f>
        <v>49.12</v>
      </c>
      <c r="T108">
        <f>'raw data Crude oil'!T109</f>
        <v>49.21</v>
      </c>
      <c r="U108">
        <f>'raw data Crude oil'!U109</f>
        <v>49.25</v>
      </c>
      <c r="V108">
        <f>'raw data Crude oil'!V109</f>
        <v>49.26</v>
      </c>
      <c r="W108">
        <f>'raw data Crude oil'!W109</f>
        <v>49.23</v>
      </c>
      <c r="X108">
        <f>'raw data Crude oil'!X109</f>
        <v>49.19</v>
      </c>
      <c r="Y108">
        <f>'raw data Crude oil'!Y109</f>
        <v>49.13</v>
      </c>
      <c r="Z108">
        <f>'raw data Crude oil'!Z109</f>
        <v>0</v>
      </c>
      <c r="AA108">
        <f>'raw data Crude oil'!AA109</f>
        <v>0</v>
      </c>
      <c r="AB108">
        <f>'raw data Crude oil'!AB109</f>
        <v>0</v>
      </c>
      <c r="AC108">
        <f>'raw data Crude oil'!AC109</f>
        <v>0</v>
      </c>
      <c r="AD108">
        <f>'raw data Crude oil'!AD109</f>
        <v>0</v>
      </c>
      <c r="AE108">
        <f>'raw data Crude oil'!AE109</f>
        <v>0</v>
      </c>
      <c r="AF108">
        <f>'raw data Crude oil'!AF109</f>
        <v>0</v>
      </c>
      <c r="AG108">
        <f>'raw data Crude oil'!AG109</f>
        <v>0</v>
      </c>
      <c r="AH108">
        <f>'raw data Crude oil'!AH109</f>
        <v>0</v>
      </c>
      <c r="AI108">
        <f>'raw data Crude oil'!AI109</f>
        <v>0</v>
      </c>
      <c r="AJ108">
        <f>'raw data Crude oil'!AJ109</f>
        <v>0</v>
      </c>
      <c r="AK108">
        <f>'raw data Crude oil'!AK109</f>
        <v>0</v>
      </c>
    </row>
    <row r="109" spans="1:37" x14ac:dyDescent="0.3">
      <c r="A109" s="18">
        <f>'raw data Crude oil'!A110</f>
        <v>42887</v>
      </c>
      <c r="B109">
        <f>'raw data Crude oil'!B110</f>
        <v>50.63</v>
      </c>
      <c r="C109">
        <f>'raw data Crude oil'!C110</f>
        <v>50.97</v>
      </c>
      <c r="D109">
        <f>'raw data Crude oil'!D110</f>
        <v>51.22</v>
      </c>
      <c r="E109">
        <f>'raw data Crude oil'!E110</f>
        <v>51.42</v>
      </c>
      <c r="F109">
        <f>'raw data Crude oil'!F110</f>
        <v>51.6</v>
      </c>
      <c r="G109">
        <f>'raw data Crude oil'!G110</f>
        <v>51.73</v>
      </c>
      <c r="H109">
        <f>'raw data Crude oil'!H110</f>
        <v>51.81</v>
      </c>
      <c r="I109">
        <f>'raw data Crude oil'!I110</f>
        <v>51.86</v>
      </c>
      <c r="J109">
        <f>'raw data Crude oil'!J110</f>
        <v>51.88</v>
      </c>
      <c r="K109">
        <f>'raw data Crude oil'!K110</f>
        <v>51.88</v>
      </c>
      <c r="L109">
        <f>'raw data Crude oil'!L110</f>
        <v>51.85</v>
      </c>
      <c r="M109">
        <f>'raw data Crude oil'!M110</f>
        <v>51.84</v>
      </c>
      <c r="N109">
        <f>'raw data Crude oil'!N110</f>
        <v>48.36</v>
      </c>
      <c r="O109">
        <f>'raw data Crude oil'!O110</f>
        <v>48.6</v>
      </c>
      <c r="P109">
        <f>'raw data Crude oil'!P110</f>
        <v>48.79</v>
      </c>
      <c r="Q109">
        <f>'raw data Crude oil'!Q110</f>
        <v>48.94</v>
      </c>
      <c r="R109">
        <f>'raw data Crude oil'!R110</f>
        <v>49.1</v>
      </c>
      <c r="S109">
        <f>'raw data Crude oil'!S110</f>
        <v>49.22</v>
      </c>
      <c r="T109">
        <f>'raw data Crude oil'!T110</f>
        <v>49.32</v>
      </c>
      <c r="U109">
        <f>'raw data Crude oil'!U110</f>
        <v>49.36</v>
      </c>
      <c r="V109">
        <f>'raw data Crude oil'!V110</f>
        <v>49.37</v>
      </c>
      <c r="W109">
        <f>'raw data Crude oil'!W110</f>
        <v>49.35</v>
      </c>
      <c r="X109">
        <f>'raw data Crude oil'!X110</f>
        <v>49.31</v>
      </c>
      <c r="Y109">
        <f>'raw data Crude oil'!Y110</f>
        <v>49.25</v>
      </c>
      <c r="Z109">
        <f>'raw data Crude oil'!Z110</f>
        <v>0</v>
      </c>
      <c r="AA109">
        <f>'raw data Crude oil'!AA110</f>
        <v>0</v>
      </c>
      <c r="AB109">
        <f>'raw data Crude oil'!AB110</f>
        <v>0</v>
      </c>
      <c r="AC109">
        <f>'raw data Crude oil'!AC110</f>
        <v>0</v>
      </c>
      <c r="AD109">
        <f>'raw data Crude oil'!AD110</f>
        <v>0</v>
      </c>
      <c r="AE109">
        <f>'raw data Crude oil'!AE110</f>
        <v>0</v>
      </c>
      <c r="AF109">
        <f>'raw data Crude oil'!AF110</f>
        <v>0</v>
      </c>
      <c r="AG109">
        <f>'raw data Crude oil'!AG110</f>
        <v>0</v>
      </c>
      <c r="AH109">
        <f>'raw data Crude oil'!AH110</f>
        <v>0</v>
      </c>
      <c r="AI109">
        <f>'raw data Crude oil'!AI110</f>
        <v>0</v>
      </c>
      <c r="AJ109">
        <f>'raw data Crude oil'!AJ110</f>
        <v>0</v>
      </c>
      <c r="AK109">
        <f>'raw data Crude oil'!AK110</f>
        <v>0</v>
      </c>
    </row>
    <row r="110" spans="1:37" x14ac:dyDescent="0.3">
      <c r="A110" s="18">
        <f>'raw data Crude oil'!A111</f>
        <v>42888</v>
      </c>
      <c r="B110">
        <f>'raw data Crude oil'!B111</f>
        <v>49.95</v>
      </c>
      <c r="C110">
        <f>'raw data Crude oil'!C111</f>
        <v>50.24</v>
      </c>
      <c r="D110">
        <f>'raw data Crude oil'!D111</f>
        <v>50.49</v>
      </c>
      <c r="E110">
        <f>'raw data Crude oil'!E111</f>
        <v>50.71</v>
      </c>
      <c r="F110">
        <f>'raw data Crude oil'!F111</f>
        <v>50.91</v>
      </c>
      <c r="G110">
        <f>'raw data Crude oil'!G111</f>
        <v>51.07</v>
      </c>
      <c r="H110">
        <f>'raw data Crude oil'!H111</f>
        <v>51.17</v>
      </c>
      <c r="I110">
        <f>'raw data Crude oil'!I111</f>
        <v>51.24</v>
      </c>
      <c r="J110">
        <f>'raw data Crude oil'!J111</f>
        <v>51.28</v>
      </c>
      <c r="K110">
        <f>'raw data Crude oil'!K111</f>
        <v>51.29</v>
      </c>
      <c r="L110">
        <f>'raw data Crude oil'!L111</f>
        <v>51.28</v>
      </c>
      <c r="M110">
        <f>'raw data Crude oil'!M111</f>
        <v>51.28</v>
      </c>
      <c r="N110">
        <f>'raw data Crude oil'!N111</f>
        <v>47.66</v>
      </c>
      <c r="O110">
        <f>'raw data Crude oil'!O111</f>
        <v>47.87</v>
      </c>
      <c r="P110">
        <f>'raw data Crude oil'!P111</f>
        <v>48.05</v>
      </c>
      <c r="Q110">
        <f>'raw data Crude oil'!Q111</f>
        <v>48.2</v>
      </c>
      <c r="R110">
        <f>'raw data Crude oil'!R111</f>
        <v>48.37</v>
      </c>
      <c r="S110">
        <f>'raw data Crude oil'!S111</f>
        <v>48.51</v>
      </c>
      <c r="T110">
        <f>'raw data Crude oil'!T111</f>
        <v>48.62</v>
      </c>
      <c r="U110">
        <f>'raw data Crude oil'!U111</f>
        <v>48.68</v>
      </c>
      <c r="V110">
        <f>'raw data Crude oil'!V111</f>
        <v>48.7</v>
      </c>
      <c r="W110">
        <f>'raw data Crude oil'!W111</f>
        <v>48.7</v>
      </c>
      <c r="X110">
        <f>'raw data Crude oil'!X111</f>
        <v>48.68</v>
      </c>
      <c r="Y110">
        <f>'raw data Crude oil'!Y111</f>
        <v>48.64</v>
      </c>
      <c r="Z110">
        <f>'raw data Crude oil'!Z111</f>
        <v>0</v>
      </c>
      <c r="AA110">
        <f>'raw data Crude oil'!AA111</f>
        <v>0</v>
      </c>
      <c r="AB110">
        <f>'raw data Crude oil'!AB111</f>
        <v>0</v>
      </c>
      <c r="AC110">
        <f>'raw data Crude oil'!AC111</f>
        <v>0</v>
      </c>
      <c r="AD110">
        <f>'raw data Crude oil'!AD111</f>
        <v>0</v>
      </c>
      <c r="AE110">
        <f>'raw data Crude oil'!AE111</f>
        <v>0</v>
      </c>
      <c r="AF110">
        <f>'raw data Crude oil'!AF111</f>
        <v>0</v>
      </c>
      <c r="AG110">
        <f>'raw data Crude oil'!AG111</f>
        <v>0</v>
      </c>
      <c r="AH110">
        <f>'raw data Crude oil'!AH111</f>
        <v>0</v>
      </c>
      <c r="AI110">
        <f>'raw data Crude oil'!AI111</f>
        <v>0</v>
      </c>
      <c r="AJ110">
        <f>'raw data Crude oil'!AJ111</f>
        <v>0</v>
      </c>
      <c r="AK110">
        <f>'raw data Crude oil'!AK111</f>
        <v>0</v>
      </c>
    </row>
    <row r="111" spans="1:37" x14ac:dyDescent="0.3">
      <c r="A111" s="18">
        <f>'raw data Crude oil'!A112</f>
        <v>42891</v>
      </c>
      <c r="B111">
        <f>'raw data Crude oil'!B112</f>
        <v>49.47</v>
      </c>
      <c r="C111">
        <f>'raw data Crude oil'!C112</f>
        <v>49.81</v>
      </c>
      <c r="D111">
        <f>'raw data Crude oil'!D112</f>
        <v>50.09</v>
      </c>
      <c r="E111">
        <f>'raw data Crude oil'!E112</f>
        <v>50.33</v>
      </c>
      <c r="F111">
        <f>'raw data Crude oil'!F112</f>
        <v>50.56</v>
      </c>
      <c r="G111">
        <f>'raw data Crude oil'!G112</f>
        <v>50.74</v>
      </c>
      <c r="H111">
        <f>'raw data Crude oil'!H112</f>
        <v>50.88</v>
      </c>
      <c r="I111">
        <f>'raw data Crude oil'!I112</f>
        <v>50.97</v>
      </c>
      <c r="J111">
        <f>'raw data Crude oil'!J112</f>
        <v>51.02</v>
      </c>
      <c r="K111">
        <f>'raw data Crude oil'!K112</f>
        <v>51.05</v>
      </c>
      <c r="L111">
        <f>'raw data Crude oil'!L112</f>
        <v>51.05</v>
      </c>
      <c r="M111">
        <f>'raw data Crude oil'!M112</f>
        <v>51.06</v>
      </c>
      <c r="N111">
        <f>'raw data Crude oil'!N112</f>
        <v>47.4</v>
      </c>
      <c r="O111">
        <f>'raw data Crude oil'!O112</f>
        <v>47.58</v>
      </c>
      <c r="P111">
        <f>'raw data Crude oil'!P112</f>
        <v>47.75</v>
      </c>
      <c r="Q111">
        <f>'raw data Crude oil'!Q112</f>
        <v>47.89</v>
      </c>
      <c r="R111">
        <f>'raw data Crude oil'!R112</f>
        <v>48.06</v>
      </c>
      <c r="S111">
        <f>'raw data Crude oil'!S112</f>
        <v>48.22</v>
      </c>
      <c r="T111">
        <f>'raw data Crude oil'!T112</f>
        <v>48.34</v>
      </c>
      <c r="U111">
        <f>'raw data Crude oil'!U112</f>
        <v>48.42</v>
      </c>
      <c r="V111">
        <f>'raw data Crude oil'!V112</f>
        <v>48.48</v>
      </c>
      <c r="W111">
        <f>'raw data Crude oil'!W112</f>
        <v>48.51</v>
      </c>
      <c r="X111">
        <f>'raw data Crude oil'!X112</f>
        <v>48.51</v>
      </c>
      <c r="Y111">
        <f>'raw data Crude oil'!Y112</f>
        <v>48.5</v>
      </c>
      <c r="Z111">
        <f>'raw data Crude oil'!Z112</f>
        <v>0</v>
      </c>
      <c r="AA111">
        <f>'raw data Crude oil'!AA112</f>
        <v>0</v>
      </c>
      <c r="AB111">
        <f>'raw data Crude oil'!AB112</f>
        <v>0</v>
      </c>
      <c r="AC111">
        <f>'raw data Crude oil'!AC112</f>
        <v>0</v>
      </c>
      <c r="AD111">
        <f>'raw data Crude oil'!AD112</f>
        <v>0</v>
      </c>
      <c r="AE111">
        <f>'raw data Crude oil'!AE112</f>
        <v>0</v>
      </c>
      <c r="AF111">
        <f>'raw data Crude oil'!AF112</f>
        <v>0</v>
      </c>
      <c r="AG111">
        <f>'raw data Crude oil'!AG112</f>
        <v>0</v>
      </c>
      <c r="AH111">
        <f>'raw data Crude oil'!AH112</f>
        <v>0</v>
      </c>
      <c r="AI111">
        <f>'raw data Crude oil'!AI112</f>
        <v>0</v>
      </c>
      <c r="AJ111">
        <f>'raw data Crude oil'!AJ112</f>
        <v>0</v>
      </c>
      <c r="AK111">
        <f>'raw data Crude oil'!AK112</f>
        <v>0</v>
      </c>
    </row>
    <row r="112" spans="1:37" x14ac:dyDescent="0.3">
      <c r="A112" s="18">
        <f>'raw data Crude oil'!A113</f>
        <v>42892</v>
      </c>
      <c r="B112">
        <f>'raw data Crude oil'!B113</f>
        <v>50.12</v>
      </c>
      <c r="C112">
        <f>'raw data Crude oil'!C113</f>
        <v>50.42</v>
      </c>
      <c r="D112">
        <f>'raw data Crude oil'!D113</f>
        <v>50.67</v>
      </c>
      <c r="E112">
        <f>'raw data Crude oil'!E113</f>
        <v>50.88</v>
      </c>
      <c r="F112">
        <f>'raw data Crude oil'!F113</f>
        <v>51.07</v>
      </c>
      <c r="G112">
        <f>'raw data Crude oil'!G113</f>
        <v>51.21</v>
      </c>
      <c r="H112">
        <f>'raw data Crude oil'!H113</f>
        <v>51.31</v>
      </c>
      <c r="I112">
        <f>'raw data Crude oil'!I113</f>
        <v>51.37</v>
      </c>
      <c r="J112">
        <f>'raw data Crude oil'!J113</f>
        <v>51.39</v>
      </c>
      <c r="K112">
        <f>'raw data Crude oil'!K113</f>
        <v>51.38</v>
      </c>
      <c r="L112">
        <f>'raw data Crude oil'!L113</f>
        <v>51.36</v>
      </c>
      <c r="M112">
        <f>'raw data Crude oil'!M113</f>
        <v>51.35</v>
      </c>
      <c r="N112">
        <f>'raw data Crude oil'!N113</f>
        <v>48.19</v>
      </c>
      <c r="O112">
        <f>'raw data Crude oil'!O113</f>
        <v>48.34</v>
      </c>
      <c r="P112">
        <f>'raw data Crude oil'!P113</f>
        <v>48.49</v>
      </c>
      <c r="Q112">
        <f>'raw data Crude oil'!Q113</f>
        <v>48.61</v>
      </c>
      <c r="R112">
        <f>'raw data Crude oil'!R113</f>
        <v>48.76</v>
      </c>
      <c r="S112">
        <f>'raw data Crude oil'!S113</f>
        <v>48.88</v>
      </c>
      <c r="T112">
        <f>'raw data Crude oil'!T113</f>
        <v>48.98</v>
      </c>
      <c r="U112">
        <f>'raw data Crude oil'!U113</f>
        <v>49.03</v>
      </c>
      <c r="V112">
        <f>'raw data Crude oil'!V113</f>
        <v>49.04</v>
      </c>
      <c r="W112">
        <f>'raw data Crude oil'!W113</f>
        <v>49.03</v>
      </c>
      <c r="X112">
        <f>'raw data Crude oil'!X113</f>
        <v>48.99</v>
      </c>
      <c r="Y112">
        <f>'raw data Crude oil'!Y113</f>
        <v>48.95</v>
      </c>
      <c r="Z112">
        <f>'raw data Crude oil'!Z113</f>
        <v>0</v>
      </c>
      <c r="AA112">
        <f>'raw data Crude oil'!AA113</f>
        <v>0</v>
      </c>
      <c r="AB112">
        <f>'raw data Crude oil'!AB113</f>
        <v>0</v>
      </c>
      <c r="AC112">
        <f>'raw data Crude oil'!AC113</f>
        <v>0</v>
      </c>
      <c r="AD112">
        <f>'raw data Crude oil'!AD113</f>
        <v>0</v>
      </c>
      <c r="AE112">
        <f>'raw data Crude oil'!AE113</f>
        <v>0</v>
      </c>
      <c r="AF112">
        <f>'raw data Crude oil'!AF113</f>
        <v>0</v>
      </c>
      <c r="AG112">
        <f>'raw data Crude oil'!AG113</f>
        <v>0</v>
      </c>
      <c r="AH112">
        <f>'raw data Crude oil'!AH113</f>
        <v>0</v>
      </c>
      <c r="AI112">
        <f>'raw data Crude oil'!AI113</f>
        <v>0</v>
      </c>
      <c r="AJ112">
        <f>'raw data Crude oil'!AJ113</f>
        <v>0</v>
      </c>
      <c r="AK112">
        <f>'raw data Crude oil'!AK113</f>
        <v>0</v>
      </c>
    </row>
    <row r="113" spans="1:37" x14ac:dyDescent="0.3">
      <c r="A113" s="18">
        <f>'raw data Crude oil'!A114</f>
        <v>42893</v>
      </c>
      <c r="B113">
        <f>'raw data Crude oil'!B114</f>
        <v>48.06</v>
      </c>
      <c r="C113">
        <f>'raw data Crude oil'!C114</f>
        <v>48.43</v>
      </c>
      <c r="D113">
        <f>'raw data Crude oil'!D114</f>
        <v>48.72</v>
      </c>
      <c r="E113">
        <f>'raw data Crude oil'!E114</f>
        <v>48.97</v>
      </c>
      <c r="F113">
        <f>'raw data Crude oil'!F114</f>
        <v>49.2</v>
      </c>
      <c r="G113">
        <f>'raw data Crude oil'!G114</f>
        <v>49.39</v>
      </c>
      <c r="H113">
        <f>'raw data Crude oil'!H114</f>
        <v>49.54</v>
      </c>
      <c r="I113">
        <f>'raw data Crude oil'!I114</f>
        <v>49.66</v>
      </c>
      <c r="J113">
        <f>'raw data Crude oil'!J114</f>
        <v>49.75</v>
      </c>
      <c r="K113">
        <f>'raw data Crude oil'!K114</f>
        <v>49.8</v>
      </c>
      <c r="L113">
        <f>'raw data Crude oil'!L114</f>
        <v>49.83</v>
      </c>
      <c r="M113">
        <f>'raw data Crude oil'!M114</f>
        <v>49.88</v>
      </c>
      <c r="N113">
        <f>'raw data Crude oil'!N114</f>
        <v>45.72</v>
      </c>
      <c r="O113">
        <f>'raw data Crude oil'!O114</f>
        <v>45.98</v>
      </c>
      <c r="P113">
        <f>'raw data Crude oil'!P114</f>
        <v>46.22</v>
      </c>
      <c r="Q113">
        <f>'raw data Crude oil'!Q114</f>
        <v>46.43</v>
      </c>
      <c r="R113">
        <f>'raw data Crude oil'!R114</f>
        <v>46.66</v>
      </c>
      <c r="S113">
        <f>'raw data Crude oil'!S114</f>
        <v>46.87</v>
      </c>
      <c r="T113">
        <f>'raw data Crude oil'!T114</f>
        <v>47.05</v>
      </c>
      <c r="U113">
        <f>'raw data Crude oil'!U114</f>
        <v>47.18</v>
      </c>
      <c r="V113">
        <f>'raw data Crude oil'!V114</f>
        <v>47.27</v>
      </c>
      <c r="W113">
        <f>'raw data Crude oil'!W114</f>
        <v>47.33</v>
      </c>
      <c r="X113">
        <f>'raw data Crude oil'!X114</f>
        <v>47.36</v>
      </c>
      <c r="Y113">
        <f>'raw data Crude oil'!Y114</f>
        <v>47.37</v>
      </c>
      <c r="Z113">
        <f>'raw data Crude oil'!Z114</f>
        <v>0</v>
      </c>
      <c r="AA113">
        <f>'raw data Crude oil'!AA114</f>
        <v>0</v>
      </c>
      <c r="AB113">
        <f>'raw data Crude oil'!AB114</f>
        <v>0</v>
      </c>
      <c r="AC113">
        <f>'raw data Crude oil'!AC114</f>
        <v>0</v>
      </c>
      <c r="AD113">
        <f>'raw data Crude oil'!AD114</f>
        <v>0</v>
      </c>
      <c r="AE113">
        <f>'raw data Crude oil'!AE114</f>
        <v>0</v>
      </c>
      <c r="AF113">
        <f>'raw data Crude oil'!AF114</f>
        <v>0</v>
      </c>
      <c r="AG113">
        <f>'raw data Crude oil'!AG114</f>
        <v>0</v>
      </c>
      <c r="AH113">
        <f>'raw data Crude oil'!AH114</f>
        <v>0</v>
      </c>
      <c r="AI113">
        <f>'raw data Crude oil'!AI114</f>
        <v>0</v>
      </c>
      <c r="AJ113">
        <f>'raw data Crude oil'!AJ114</f>
        <v>0</v>
      </c>
      <c r="AK113">
        <f>'raw data Crude oil'!AK114</f>
        <v>0</v>
      </c>
    </row>
    <row r="114" spans="1:37" x14ac:dyDescent="0.3">
      <c r="A114" s="18">
        <f>'raw data Crude oil'!A115</f>
        <v>42894</v>
      </c>
      <c r="B114">
        <f>'raw data Crude oil'!B115</f>
        <v>47.86</v>
      </c>
      <c r="C114">
        <f>'raw data Crude oil'!C115</f>
        <v>48.26</v>
      </c>
      <c r="D114">
        <f>'raw data Crude oil'!D115</f>
        <v>48.58</v>
      </c>
      <c r="E114">
        <f>'raw data Crude oil'!E115</f>
        <v>48.86</v>
      </c>
      <c r="F114">
        <f>'raw data Crude oil'!F115</f>
        <v>49.13</v>
      </c>
      <c r="G114">
        <f>'raw data Crude oil'!G115</f>
        <v>49.37</v>
      </c>
      <c r="H114">
        <f>'raw data Crude oil'!H115</f>
        <v>49.58</v>
      </c>
      <c r="I114">
        <f>'raw data Crude oil'!I115</f>
        <v>49.77</v>
      </c>
      <c r="J114">
        <f>'raw data Crude oil'!J115</f>
        <v>49.93</v>
      </c>
      <c r="K114">
        <f>'raw data Crude oil'!K115</f>
        <v>50.05</v>
      </c>
      <c r="L114">
        <f>'raw data Crude oil'!L115</f>
        <v>50.14</v>
      </c>
      <c r="M114">
        <f>'raw data Crude oil'!M115</f>
        <v>50.23</v>
      </c>
      <c r="N114">
        <f>'raw data Crude oil'!N115</f>
        <v>45.64</v>
      </c>
      <c r="O114">
        <f>'raw data Crude oil'!O115</f>
        <v>45.89</v>
      </c>
      <c r="P114">
        <f>'raw data Crude oil'!P115</f>
        <v>46.13</v>
      </c>
      <c r="Q114">
        <f>'raw data Crude oil'!Q115</f>
        <v>46.35</v>
      </c>
      <c r="R114">
        <f>'raw data Crude oil'!R115</f>
        <v>46.6</v>
      </c>
      <c r="S114">
        <f>'raw data Crude oil'!S115</f>
        <v>46.85</v>
      </c>
      <c r="T114">
        <f>'raw data Crude oil'!T115</f>
        <v>47.08</v>
      </c>
      <c r="U114">
        <f>'raw data Crude oil'!U115</f>
        <v>47.27</v>
      </c>
      <c r="V114">
        <f>'raw data Crude oil'!V115</f>
        <v>47.43</v>
      </c>
      <c r="W114">
        <f>'raw data Crude oil'!W115</f>
        <v>47.55</v>
      </c>
      <c r="X114">
        <f>'raw data Crude oil'!X115</f>
        <v>47.63</v>
      </c>
      <c r="Y114">
        <f>'raw data Crude oil'!Y115</f>
        <v>47.69</v>
      </c>
      <c r="Z114">
        <f>'raw data Crude oil'!Z115</f>
        <v>0</v>
      </c>
      <c r="AA114">
        <f>'raw data Crude oil'!AA115</f>
        <v>0</v>
      </c>
      <c r="AB114">
        <f>'raw data Crude oil'!AB115</f>
        <v>0</v>
      </c>
      <c r="AC114">
        <f>'raw data Crude oil'!AC115</f>
        <v>0</v>
      </c>
      <c r="AD114">
        <f>'raw data Crude oil'!AD115</f>
        <v>0</v>
      </c>
      <c r="AE114">
        <f>'raw data Crude oil'!AE115</f>
        <v>0</v>
      </c>
      <c r="AF114">
        <f>'raw data Crude oil'!AF115</f>
        <v>0</v>
      </c>
      <c r="AG114">
        <f>'raw data Crude oil'!AG115</f>
        <v>0</v>
      </c>
      <c r="AH114">
        <f>'raw data Crude oil'!AH115</f>
        <v>0</v>
      </c>
      <c r="AI114">
        <f>'raw data Crude oil'!AI115</f>
        <v>0</v>
      </c>
      <c r="AJ114">
        <f>'raw data Crude oil'!AJ115</f>
        <v>0</v>
      </c>
      <c r="AK114">
        <f>'raw data Crude oil'!AK115</f>
        <v>0</v>
      </c>
    </row>
    <row r="115" spans="1:37" x14ac:dyDescent="0.3">
      <c r="A115" s="18">
        <f>'raw data Crude oil'!A116</f>
        <v>42895</v>
      </c>
      <c r="B115">
        <f>'raw data Crude oil'!B116</f>
        <v>48.15</v>
      </c>
      <c r="C115">
        <f>'raw data Crude oil'!C116</f>
        <v>48.53</v>
      </c>
      <c r="D115">
        <f>'raw data Crude oil'!D116</f>
        <v>48.84</v>
      </c>
      <c r="E115">
        <f>'raw data Crude oil'!E116</f>
        <v>49.12</v>
      </c>
      <c r="F115">
        <f>'raw data Crude oil'!F116</f>
        <v>49.38</v>
      </c>
      <c r="G115">
        <f>'raw data Crude oil'!G116</f>
        <v>49.6</v>
      </c>
      <c r="H115">
        <f>'raw data Crude oil'!H116</f>
        <v>49.78</v>
      </c>
      <c r="I115">
        <f>'raw data Crude oil'!I116</f>
        <v>49.94</v>
      </c>
      <c r="J115">
        <f>'raw data Crude oil'!J116</f>
        <v>50.08</v>
      </c>
      <c r="K115">
        <f>'raw data Crude oil'!K116</f>
        <v>50.18</v>
      </c>
      <c r="L115">
        <f>'raw data Crude oil'!L116</f>
        <v>50.26</v>
      </c>
      <c r="M115">
        <f>'raw data Crude oil'!M116</f>
        <v>50.35</v>
      </c>
      <c r="N115">
        <f>'raw data Crude oil'!N116</f>
        <v>45.83</v>
      </c>
      <c r="O115">
        <f>'raw data Crude oil'!O116</f>
        <v>46.07</v>
      </c>
      <c r="P115">
        <f>'raw data Crude oil'!P116</f>
        <v>46.32</v>
      </c>
      <c r="Q115">
        <f>'raw data Crude oil'!Q116</f>
        <v>46.53</v>
      </c>
      <c r="R115">
        <f>'raw data Crude oil'!R116</f>
        <v>46.76</v>
      </c>
      <c r="S115">
        <f>'raw data Crude oil'!S116</f>
        <v>46.97</v>
      </c>
      <c r="T115">
        <f>'raw data Crude oil'!T116</f>
        <v>47.18</v>
      </c>
      <c r="U115">
        <f>'raw data Crude oil'!U116</f>
        <v>47.35</v>
      </c>
      <c r="V115">
        <f>'raw data Crude oil'!V116</f>
        <v>47.49</v>
      </c>
      <c r="W115">
        <f>'raw data Crude oil'!W116</f>
        <v>47.58</v>
      </c>
      <c r="X115">
        <f>'raw data Crude oil'!X116</f>
        <v>47.65</v>
      </c>
      <c r="Y115">
        <f>'raw data Crude oil'!Y116</f>
        <v>47.71</v>
      </c>
      <c r="Z115">
        <f>'raw data Crude oil'!Z116</f>
        <v>0</v>
      </c>
      <c r="AA115">
        <f>'raw data Crude oil'!AA116</f>
        <v>0</v>
      </c>
      <c r="AB115">
        <f>'raw data Crude oil'!AB116</f>
        <v>0</v>
      </c>
      <c r="AC115">
        <f>'raw data Crude oil'!AC116</f>
        <v>0</v>
      </c>
      <c r="AD115">
        <f>'raw data Crude oil'!AD116</f>
        <v>0</v>
      </c>
      <c r="AE115">
        <f>'raw data Crude oil'!AE116</f>
        <v>0</v>
      </c>
      <c r="AF115">
        <f>'raw data Crude oil'!AF116</f>
        <v>0</v>
      </c>
      <c r="AG115">
        <f>'raw data Crude oil'!AG116</f>
        <v>0</v>
      </c>
      <c r="AH115">
        <f>'raw data Crude oil'!AH116</f>
        <v>0</v>
      </c>
      <c r="AI115">
        <f>'raw data Crude oil'!AI116</f>
        <v>0</v>
      </c>
      <c r="AJ115">
        <f>'raw data Crude oil'!AJ116</f>
        <v>0</v>
      </c>
      <c r="AK115">
        <f>'raw data Crude oil'!AK116</f>
        <v>0</v>
      </c>
    </row>
    <row r="116" spans="1:37" x14ac:dyDescent="0.3">
      <c r="A116" s="18">
        <f>'raw data Crude oil'!A117</f>
        <v>42898</v>
      </c>
      <c r="B116">
        <f>'raw data Crude oil'!B117</f>
        <v>48.29</v>
      </c>
      <c r="C116">
        <f>'raw data Crude oil'!C117</f>
        <v>48.64</v>
      </c>
      <c r="D116">
        <f>'raw data Crude oil'!D117</f>
        <v>48.94</v>
      </c>
      <c r="E116">
        <f>'raw data Crude oil'!E117</f>
        <v>49.21</v>
      </c>
      <c r="F116">
        <f>'raw data Crude oil'!F117</f>
        <v>49.46</v>
      </c>
      <c r="G116">
        <f>'raw data Crude oil'!G117</f>
        <v>49.67</v>
      </c>
      <c r="H116">
        <f>'raw data Crude oil'!H117</f>
        <v>49.85</v>
      </c>
      <c r="I116">
        <f>'raw data Crude oil'!I117</f>
        <v>50</v>
      </c>
      <c r="J116">
        <f>'raw data Crude oil'!J117</f>
        <v>50.13</v>
      </c>
      <c r="K116">
        <f>'raw data Crude oil'!K117</f>
        <v>50.22</v>
      </c>
      <c r="L116">
        <f>'raw data Crude oil'!L117</f>
        <v>50.29</v>
      </c>
      <c r="M116">
        <f>'raw data Crude oil'!M117</f>
        <v>50.37</v>
      </c>
      <c r="N116">
        <f>'raw data Crude oil'!N117</f>
        <v>46.08</v>
      </c>
      <c r="O116">
        <f>'raw data Crude oil'!O117</f>
        <v>46.32</v>
      </c>
      <c r="P116">
        <f>'raw data Crude oil'!P117</f>
        <v>46.56</v>
      </c>
      <c r="Q116">
        <f>'raw data Crude oil'!Q117</f>
        <v>46.75</v>
      </c>
      <c r="R116">
        <f>'raw data Crude oil'!R117</f>
        <v>46.96</v>
      </c>
      <c r="S116">
        <f>'raw data Crude oil'!S117</f>
        <v>47.15</v>
      </c>
      <c r="T116">
        <f>'raw data Crude oil'!T117</f>
        <v>47.34</v>
      </c>
      <c r="U116">
        <f>'raw data Crude oil'!U117</f>
        <v>47.5</v>
      </c>
      <c r="V116">
        <f>'raw data Crude oil'!V117</f>
        <v>47.63</v>
      </c>
      <c r="W116">
        <f>'raw data Crude oil'!W117</f>
        <v>47.71</v>
      </c>
      <c r="X116">
        <f>'raw data Crude oil'!X117</f>
        <v>47.77</v>
      </c>
      <c r="Y116">
        <f>'raw data Crude oil'!Y117</f>
        <v>47.83</v>
      </c>
      <c r="Z116">
        <f>'raw data Crude oil'!Z117</f>
        <v>0</v>
      </c>
      <c r="AA116">
        <f>'raw data Crude oil'!AA117</f>
        <v>0</v>
      </c>
      <c r="AB116">
        <f>'raw data Crude oil'!AB117</f>
        <v>0</v>
      </c>
      <c r="AC116">
        <f>'raw data Crude oil'!AC117</f>
        <v>0</v>
      </c>
      <c r="AD116">
        <f>'raw data Crude oil'!AD117</f>
        <v>0</v>
      </c>
      <c r="AE116">
        <f>'raw data Crude oil'!AE117</f>
        <v>0</v>
      </c>
      <c r="AF116">
        <f>'raw data Crude oil'!AF117</f>
        <v>0</v>
      </c>
      <c r="AG116">
        <f>'raw data Crude oil'!AG117</f>
        <v>0</v>
      </c>
      <c r="AH116">
        <f>'raw data Crude oil'!AH117</f>
        <v>0</v>
      </c>
      <c r="AI116">
        <f>'raw data Crude oil'!AI117</f>
        <v>0</v>
      </c>
      <c r="AJ116">
        <f>'raw data Crude oil'!AJ117</f>
        <v>0</v>
      </c>
      <c r="AK116">
        <f>'raw data Crude oil'!AK117</f>
        <v>0</v>
      </c>
    </row>
    <row r="117" spans="1:37" x14ac:dyDescent="0.3">
      <c r="A117" s="18">
        <f>'raw data Crude oil'!A118</f>
        <v>42899</v>
      </c>
      <c r="B117">
        <f>'raw data Crude oil'!B118</f>
        <v>48.72</v>
      </c>
      <c r="C117">
        <f>'raw data Crude oil'!C118</f>
        <v>49.05</v>
      </c>
      <c r="D117">
        <f>'raw data Crude oil'!D118</f>
        <v>49.33</v>
      </c>
      <c r="E117">
        <f>'raw data Crude oil'!E118</f>
        <v>49.59</v>
      </c>
      <c r="F117">
        <f>'raw data Crude oil'!F118</f>
        <v>49.83</v>
      </c>
      <c r="G117">
        <f>'raw data Crude oil'!G118</f>
        <v>50.03</v>
      </c>
      <c r="H117">
        <f>'raw data Crude oil'!H118</f>
        <v>50.19</v>
      </c>
      <c r="I117">
        <f>'raw data Crude oil'!I118</f>
        <v>50.32</v>
      </c>
      <c r="J117">
        <f>'raw data Crude oil'!J118</f>
        <v>50.43</v>
      </c>
      <c r="K117">
        <f>'raw data Crude oil'!K118</f>
        <v>50.51</v>
      </c>
      <c r="L117">
        <f>'raw data Crude oil'!L118</f>
        <v>50.57</v>
      </c>
      <c r="M117">
        <f>'raw data Crude oil'!M118</f>
        <v>50.65</v>
      </c>
      <c r="N117">
        <f>'raw data Crude oil'!N118</f>
        <v>46.46</v>
      </c>
      <c r="O117">
        <f>'raw data Crude oil'!O118</f>
        <v>46.67</v>
      </c>
      <c r="P117">
        <f>'raw data Crude oil'!P118</f>
        <v>46.89</v>
      </c>
      <c r="Q117">
        <f>'raw data Crude oil'!Q118</f>
        <v>47.07</v>
      </c>
      <c r="R117">
        <f>'raw data Crude oil'!R118</f>
        <v>47.27</v>
      </c>
      <c r="S117">
        <f>'raw data Crude oil'!S118</f>
        <v>47.45</v>
      </c>
      <c r="T117">
        <f>'raw data Crude oil'!T118</f>
        <v>47.63</v>
      </c>
      <c r="U117">
        <f>'raw data Crude oil'!U118</f>
        <v>47.79</v>
      </c>
      <c r="V117">
        <f>'raw data Crude oil'!V118</f>
        <v>47.92</v>
      </c>
      <c r="W117">
        <f>'raw data Crude oil'!W118</f>
        <v>48</v>
      </c>
      <c r="X117">
        <f>'raw data Crude oil'!X118</f>
        <v>48.05</v>
      </c>
      <c r="Y117">
        <f>'raw data Crude oil'!Y118</f>
        <v>48.1</v>
      </c>
      <c r="Z117">
        <f>'raw data Crude oil'!Z118</f>
        <v>0</v>
      </c>
      <c r="AA117">
        <f>'raw data Crude oil'!AA118</f>
        <v>0</v>
      </c>
      <c r="AB117">
        <f>'raw data Crude oil'!AB118</f>
        <v>0</v>
      </c>
      <c r="AC117">
        <f>'raw data Crude oil'!AC118</f>
        <v>0</v>
      </c>
      <c r="AD117">
        <f>'raw data Crude oil'!AD118</f>
        <v>0</v>
      </c>
      <c r="AE117">
        <f>'raw data Crude oil'!AE118</f>
        <v>0</v>
      </c>
      <c r="AF117">
        <f>'raw data Crude oil'!AF118</f>
        <v>0</v>
      </c>
      <c r="AG117">
        <f>'raw data Crude oil'!AG118</f>
        <v>0</v>
      </c>
      <c r="AH117">
        <f>'raw data Crude oil'!AH118</f>
        <v>0</v>
      </c>
      <c r="AI117">
        <f>'raw data Crude oil'!AI118</f>
        <v>0</v>
      </c>
      <c r="AJ117">
        <f>'raw data Crude oil'!AJ118</f>
        <v>0</v>
      </c>
      <c r="AK117">
        <f>'raw data Crude oil'!AK118</f>
        <v>0</v>
      </c>
    </row>
    <row r="118" spans="1:37" x14ac:dyDescent="0.3">
      <c r="A118" s="18">
        <f>'raw data Crude oil'!A119</f>
        <v>42900</v>
      </c>
      <c r="B118">
        <f>'raw data Crude oil'!B119</f>
        <v>47</v>
      </c>
      <c r="C118">
        <f>'raw data Crude oil'!C119</f>
        <v>47.29</v>
      </c>
      <c r="D118">
        <f>'raw data Crude oil'!D119</f>
        <v>47.61</v>
      </c>
      <c r="E118">
        <f>'raw data Crude oil'!E119</f>
        <v>47.91</v>
      </c>
      <c r="F118">
        <f>'raw data Crude oil'!F119</f>
        <v>48.2</v>
      </c>
      <c r="G118">
        <f>'raw data Crude oil'!G119</f>
        <v>48.45</v>
      </c>
      <c r="H118">
        <f>'raw data Crude oil'!H119</f>
        <v>48.67</v>
      </c>
      <c r="I118">
        <f>'raw data Crude oil'!I119</f>
        <v>48.87</v>
      </c>
      <c r="J118">
        <f>'raw data Crude oil'!J119</f>
        <v>49.04</v>
      </c>
      <c r="K118">
        <f>'raw data Crude oil'!K119</f>
        <v>49.17</v>
      </c>
      <c r="L118">
        <f>'raw data Crude oil'!L119</f>
        <v>49.29</v>
      </c>
      <c r="M118">
        <f>'raw data Crude oil'!M119</f>
        <v>49.42</v>
      </c>
      <c r="N118">
        <f>'raw data Crude oil'!N119</f>
        <v>44.73</v>
      </c>
      <c r="O118">
        <f>'raw data Crude oil'!O119</f>
        <v>44.93</v>
      </c>
      <c r="P118">
        <f>'raw data Crude oil'!P119</f>
        <v>45.14</v>
      </c>
      <c r="Q118">
        <f>'raw data Crude oil'!Q119</f>
        <v>45.34</v>
      </c>
      <c r="R118">
        <f>'raw data Crude oil'!R119</f>
        <v>45.58</v>
      </c>
      <c r="S118">
        <f>'raw data Crude oil'!S119</f>
        <v>45.82</v>
      </c>
      <c r="T118">
        <f>'raw data Crude oil'!T119</f>
        <v>46.05</v>
      </c>
      <c r="U118">
        <f>'raw data Crude oil'!U119</f>
        <v>46.24</v>
      </c>
      <c r="V118">
        <f>'raw data Crude oil'!V119</f>
        <v>46.41</v>
      </c>
      <c r="W118">
        <f>'raw data Crude oil'!W119</f>
        <v>46.54</v>
      </c>
      <c r="X118">
        <f>'raw data Crude oil'!X119</f>
        <v>46.64</v>
      </c>
      <c r="Y118">
        <f>'raw data Crude oil'!Y119</f>
        <v>46.74</v>
      </c>
      <c r="Z118">
        <f>'raw data Crude oil'!Z119</f>
        <v>0</v>
      </c>
      <c r="AA118">
        <f>'raw data Crude oil'!AA119</f>
        <v>0</v>
      </c>
      <c r="AB118">
        <f>'raw data Crude oil'!AB119</f>
        <v>0</v>
      </c>
      <c r="AC118">
        <f>'raw data Crude oil'!AC119</f>
        <v>0</v>
      </c>
      <c r="AD118">
        <f>'raw data Crude oil'!AD119</f>
        <v>0</v>
      </c>
      <c r="AE118">
        <f>'raw data Crude oil'!AE119</f>
        <v>0</v>
      </c>
      <c r="AF118">
        <f>'raw data Crude oil'!AF119</f>
        <v>0</v>
      </c>
      <c r="AG118">
        <f>'raw data Crude oil'!AG119</f>
        <v>0</v>
      </c>
      <c r="AH118">
        <f>'raw data Crude oil'!AH119</f>
        <v>0</v>
      </c>
      <c r="AI118">
        <f>'raw data Crude oil'!AI119</f>
        <v>0</v>
      </c>
      <c r="AJ118">
        <f>'raw data Crude oil'!AJ119</f>
        <v>0</v>
      </c>
      <c r="AK118">
        <f>'raw data Crude oil'!AK119</f>
        <v>0</v>
      </c>
    </row>
    <row r="119" spans="1:37" x14ac:dyDescent="0.3">
      <c r="A119" s="18">
        <f>'raw data Crude oil'!A120</f>
        <v>42901</v>
      </c>
      <c r="B119">
        <f>'raw data Crude oil'!B120</f>
        <v>46.92</v>
      </c>
      <c r="C119">
        <f>'raw data Crude oil'!C120</f>
        <v>47.19</v>
      </c>
      <c r="D119">
        <f>'raw data Crude oil'!D120</f>
        <v>47.49</v>
      </c>
      <c r="E119">
        <f>'raw data Crude oil'!E120</f>
        <v>47.79</v>
      </c>
      <c r="F119">
        <f>'raw data Crude oil'!F120</f>
        <v>48.1</v>
      </c>
      <c r="G119">
        <f>'raw data Crude oil'!G120</f>
        <v>48.38</v>
      </c>
      <c r="H119">
        <f>'raw data Crude oil'!H120</f>
        <v>48.64</v>
      </c>
      <c r="I119">
        <f>'raw data Crude oil'!I120</f>
        <v>48.87</v>
      </c>
      <c r="J119">
        <f>'raw data Crude oil'!J120</f>
        <v>49.07</v>
      </c>
      <c r="K119">
        <f>'raw data Crude oil'!K120</f>
        <v>49.25</v>
      </c>
      <c r="L119">
        <f>'raw data Crude oil'!L120</f>
        <v>49.41</v>
      </c>
      <c r="M119">
        <f>'raw data Crude oil'!M120</f>
        <v>49.58</v>
      </c>
      <c r="N119">
        <f>'raw data Crude oil'!N120</f>
        <v>44.46</v>
      </c>
      <c r="O119">
        <f>'raw data Crude oil'!O120</f>
        <v>44.68</v>
      </c>
      <c r="P119">
        <f>'raw data Crude oil'!P120</f>
        <v>44.91</v>
      </c>
      <c r="Q119">
        <f>'raw data Crude oil'!Q120</f>
        <v>45.14</v>
      </c>
      <c r="R119">
        <f>'raw data Crude oil'!R120</f>
        <v>45.41</v>
      </c>
      <c r="S119">
        <f>'raw data Crude oil'!S120</f>
        <v>45.67</v>
      </c>
      <c r="T119">
        <f>'raw data Crude oil'!T120</f>
        <v>45.91</v>
      </c>
      <c r="U119">
        <f>'raw data Crude oil'!U120</f>
        <v>46.13</v>
      </c>
      <c r="V119">
        <f>'raw data Crude oil'!V120</f>
        <v>46.32</v>
      </c>
      <c r="W119">
        <f>'raw data Crude oil'!W120</f>
        <v>46.48</v>
      </c>
      <c r="X119">
        <f>'raw data Crude oil'!X120</f>
        <v>46.62</v>
      </c>
      <c r="Y119">
        <f>'raw data Crude oil'!Y120</f>
        <v>46.75</v>
      </c>
      <c r="Z119">
        <f>'raw data Crude oil'!Z120</f>
        <v>0</v>
      </c>
      <c r="AA119">
        <f>'raw data Crude oil'!AA120</f>
        <v>0</v>
      </c>
      <c r="AB119">
        <f>'raw data Crude oil'!AB120</f>
        <v>0</v>
      </c>
      <c r="AC119">
        <f>'raw data Crude oil'!AC120</f>
        <v>0</v>
      </c>
      <c r="AD119">
        <f>'raw data Crude oil'!AD120</f>
        <v>0</v>
      </c>
      <c r="AE119">
        <f>'raw data Crude oil'!AE120</f>
        <v>0</v>
      </c>
      <c r="AF119">
        <f>'raw data Crude oil'!AF120</f>
        <v>0</v>
      </c>
      <c r="AG119">
        <f>'raw data Crude oil'!AG120</f>
        <v>0</v>
      </c>
      <c r="AH119">
        <f>'raw data Crude oil'!AH120</f>
        <v>0</v>
      </c>
      <c r="AI119">
        <f>'raw data Crude oil'!AI120</f>
        <v>0</v>
      </c>
      <c r="AJ119">
        <f>'raw data Crude oil'!AJ120</f>
        <v>0</v>
      </c>
      <c r="AK119">
        <f>'raw data Crude oil'!AK120</f>
        <v>0</v>
      </c>
    </row>
    <row r="120" spans="1:37" x14ac:dyDescent="0.3">
      <c r="A120" s="18">
        <f>'raw data Crude oil'!A121</f>
        <v>42902</v>
      </c>
      <c r="B120">
        <f>'raw data Crude oil'!B121</f>
        <v>47.37</v>
      </c>
      <c r="C120">
        <f>'raw data Crude oil'!C121</f>
        <v>47.63</v>
      </c>
      <c r="D120">
        <f>'raw data Crude oil'!D121</f>
        <v>47.9</v>
      </c>
      <c r="E120">
        <f>'raw data Crude oil'!E121</f>
        <v>48.19</v>
      </c>
      <c r="F120">
        <f>'raw data Crude oil'!F121</f>
        <v>48.49</v>
      </c>
      <c r="G120">
        <f>'raw data Crude oil'!G121</f>
        <v>48.76</v>
      </c>
      <c r="H120">
        <f>'raw data Crude oil'!H121</f>
        <v>49.01</v>
      </c>
      <c r="I120">
        <f>'raw data Crude oil'!I121</f>
        <v>49.23</v>
      </c>
      <c r="J120">
        <f>'raw data Crude oil'!J121</f>
        <v>49.42</v>
      </c>
      <c r="K120">
        <f>'raw data Crude oil'!K121</f>
        <v>49.59</v>
      </c>
      <c r="L120">
        <f>'raw data Crude oil'!L121</f>
        <v>49.74</v>
      </c>
      <c r="M120">
        <f>'raw data Crude oil'!M121</f>
        <v>49.9</v>
      </c>
      <c r="N120">
        <f>'raw data Crude oil'!N121</f>
        <v>44.74</v>
      </c>
      <c r="O120">
        <f>'raw data Crude oil'!O121</f>
        <v>44.97</v>
      </c>
      <c r="P120">
        <f>'raw data Crude oil'!P121</f>
        <v>45.2</v>
      </c>
      <c r="Q120">
        <f>'raw data Crude oil'!Q121</f>
        <v>45.41</v>
      </c>
      <c r="R120">
        <f>'raw data Crude oil'!R121</f>
        <v>45.67</v>
      </c>
      <c r="S120">
        <f>'raw data Crude oil'!S121</f>
        <v>45.94</v>
      </c>
      <c r="T120">
        <f>'raw data Crude oil'!T121</f>
        <v>46.17</v>
      </c>
      <c r="U120">
        <f>'raw data Crude oil'!U121</f>
        <v>46.38</v>
      </c>
      <c r="V120">
        <f>'raw data Crude oil'!V121</f>
        <v>46.57</v>
      </c>
      <c r="W120">
        <f>'raw data Crude oil'!W121</f>
        <v>46.73</v>
      </c>
      <c r="X120">
        <f>'raw data Crude oil'!X121</f>
        <v>46.87</v>
      </c>
      <c r="Y120">
        <f>'raw data Crude oil'!Y121</f>
        <v>47.01</v>
      </c>
      <c r="Z120">
        <f>'raw data Crude oil'!Z121</f>
        <v>0</v>
      </c>
      <c r="AA120">
        <f>'raw data Crude oil'!AA121</f>
        <v>0</v>
      </c>
      <c r="AB120">
        <f>'raw data Crude oil'!AB121</f>
        <v>0</v>
      </c>
      <c r="AC120">
        <f>'raw data Crude oil'!AC121</f>
        <v>0</v>
      </c>
      <c r="AD120">
        <f>'raw data Crude oil'!AD121</f>
        <v>0</v>
      </c>
      <c r="AE120">
        <f>'raw data Crude oil'!AE121</f>
        <v>0</v>
      </c>
      <c r="AF120">
        <f>'raw data Crude oil'!AF121</f>
        <v>0</v>
      </c>
      <c r="AG120">
        <f>'raw data Crude oil'!AG121</f>
        <v>0</v>
      </c>
      <c r="AH120">
        <f>'raw data Crude oil'!AH121</f>
        <v>0</v>
      </c>
      <c r="AI120">
        <f>'raw data Crude oil'!AI121</f>
        <v>0</v>
      </c>
      <c r="AJ120">
        <f>'raw data Crude oil'!AJ121</f>
        <v>0</v>
      </c>
      <c r="AK120">
        <f>'raw data Crude oil'!AK121</f>
        <v>0</v>
      </c>
    </row>
    <row r="121" spans="1:37" x14ac:dyDescent="0.3">
      <c r="A121" s="18">
        <f>'raw data Crude oil'!A122</f>
        <v>42905</v>
      </c>
      <c r="B121">
        <f>'raw data Crude oil'!B122</f>
        <v>46.91</v>
      </c>
      <c r="C121">
        <f>'raw data Crude oil'!C122</f>
        <v>47.13</v>
      </c>
      <c r="D121">
        <f>'raw data Crude oil'!D122</f>
        <v>47.39</v>
      </c>
      <c r="E121">
        <f>'raw data Crude oil'!E122</f>
        <v>47.69</v>
      </c>
      <c r="F121">
        <f>'raw data Crude oil'!F122</f>
        <v>47.99</v>
      </c>
      <c r="G121">
        <f>'raw data Crude oil'!G122</f>
        <v>48.26</v>
      </c>
      <c r="H121">
        <f>'raw data Crude oil'!H122</f>
        <v>48.51</v>
      </c>
      <c r="I121">
        <f>'raw data Crude oil'!I122</f>
        <v>48.74</v>
      </c>
      <c r="J121">
        <f>'raw data Crude oil'!J122</f>
        <v>48.94</v>
      </c>
      <c r="K121">
        <f>'raw data Crude oil'!K122</f>
        <v>49.12</v>
      </c>
      <c r="L121">
        <f>'raw data Crude oil'!L122</f>
        <v>49.28</v>
      </c>
      <c r="M121">
        <f>'raw data Crude oil'!M122</f>
        <v>49.45</v>
      </c>
      <c r="N121">
        <f>'raw data Crude oil'!N122</f>
        <v>44.2</v>
      </c>
      <c r="O121">
        <f>'raw data Crude oil'!O122</f>
        <v>44.43</v>
      </c>
      <c r="P121">
        <f>'raw data Crude oil'!P122</f>
        <v>44.69</v>
      </c>
      <c r="Q121">
        <f>'raw data Crude oil'!Q122</f>
        <v>44.92</v>
      </c>
      <c r="R121">
        <f>'raw data Crude oil'!R122</f>
        <v>45.19</v>
      </c>
      <c r="S121">
        <f>'raw data Crude oil'!S122</f>
        <v>45.46</v>
      </c>
      <c r="T121">
        <f>'raw data Crude oil'!T122</f>
        <v>45.72</v>
      </c>
      <c r="U121">
        <f>'raw data Crude oil'!U122</f>
        <v>45.93</v>
      </c>
      <c r="V121">
        <f>'raw data Crude oil'!V122</f>
        <v>46.12</v>
      </c>
      <c r="W121">
        <f>'raw data Crude oil'!W122</f>
        <v>46.29</v>
      </c>
      <c r="X121">
        <f>'raw data Crude oil'!X122</f>
        <v>46.44</v>
      </c>
      <c r="Y121">
        <f>'raw data Crude oil'!Y122</f>
        <v>46.58</v>
      </c>
      <c r="Z121">
        <f>'raw data Crude oil'!Z122</f>
        <v>0</v>
      </c>
      <c r="AA121">
        <f>'raw data Crude oil'!AA122</f>
        <v>0</v>
      </c>
      <c r="AB121">
        <f>'raw data Crude oil'!AB122</f>
        <v>0</v>
      </c>
      <c r="AC121">
        <f>'raw data Crude oil'!AC122</f>
        <v>0</v>
      </c>
      <c r="AD121">
        <f>'raw data Crude oil'!AD122</f>
        <v>0</v>
      </c>
      <c r="AE121">
        <f>'raw data Crude oil'!AE122</f>
        <v>0</v>
      </c>
      <c r="AF121">
        <f>'raw data Crude oil'!AF122</f>
        <v>0</v>
      </c>
      <c r="AG121">
        <f>'raw data Crude oil'!AG122</f>
        <v>0</v>
      </c>
      <c r="AH121">
        <f>'raw data Crude oil'!AH122</f>
        <v>0</v>
      </c>
      <c r="AI121">
        <f>'raw data Crude oil'!AI122</f>
        <v>0</v>
      </c>
      <c r="AJ121">
        <f>'raw data Crude oil'!AJ122</f>
        <v>0</v>
      </c>
      <c r="AK121">
        <f>'raw data Crude oil'!AK122</f>
        <v>0</v>
      </c>
    </row>
    <row r="122" spans="1:37" x14ac:dyDescent="0.3">
      <c r="A122" s="18">
        <f>'raw data Crude oil'!A123</f>
        <v>42906</v>
      </c>
      <c r="B122">
        <f>'raw data Crude oil'!B123</f>
        <v>46.02</v>
      </c>
      <c r="C122">
        <f>'raw data Crude oil'!C123</f>
        <v>46.25</v>
      </c>
      <c r="D122">
        <f>'raw data Crude oil'!D123</f>
        <v>46.51</v>
      </c>
      <c r="E122">
        <f>'raw data Crude oil'!E123</f>
        <v>46.82</v>
      </c>
      <c r="F122">
        <f>'raw data Crude oil'!F123</f>
        <v>47.12</v>
      </c>
      <c r="G122">
        <f>'raw data Crude oil'!G123</f>
        <v>47.4</v>
      </c>
      <c r="H122">
        <f>'raw data Crude oil'!H123</f>
        <v>47.66</v>
      </c>
      <c r="I122">
        <f>'raw data Crude oil'!I123</f>
        <v>47.91</v>
      </c>
      <c r="J122">
        <f>'raw data Crude oil'!J123</f>
        <v>48.14</v>
      </c>
      <c r="K122">
        <f>'raw data Crude oil'!K123</f>
        <v>48.35</v>
      </c>
      <c r="L122">
        <f>'raw data Crude oil'!L123</f>
        <v>48.54</v>
      </c>
      <c r="M122">
        <f>'raw data Crude oil'!M123</f>
        <v>48.74</v>
      </c>
      <c r="N122">
        <f>'raw data Crude oil'!N123</f>
        <v>43.23</v>
      </c>
      <c r="O122">
        <f>'raw data Crude oil'!O123</f>
        <v>43.51</v>
      </c>
      <c r="P122">
        <f>'raw data Crude oil'!P123</f>
        <v>43.77</v>
      </c>
      <c r="Q122">
        <f>'raw data Crude oil'!Q123</f>
        <v>44.02</v>
      </c>
      <c r="R122">
        <f>'raw data Crude oil'!R123</f>
        <v>44.3</v>
      </c>
      <c r="S122">
        <f>'raw data Crude oil'!S123</f>
        <v>44.58</v>
      </c>
      <c r="T122">
        <f>'raw data Crude oil'!T123</f>
        <v>44.84</v>
      </c>
      <c r="U122">
        <f>'raw data Crude oil'!U123</f>
        <v>45.07</v>
      </c>
      <c r="V122">
        <f>'raw data Crude oil'!V123</f>
        <v>45.27</v>
      </c>
      <c r="W122">
        <f>'raw data Crude oil'!W123</f>
        <v>45.46</v>
      </c>
      <c r="X122">
        <f>'raw data Crude oil'!X123</f>
        <v>45.63</v>
      </c>
      <c r="Y122">
        <f>'raw data Crude oil'!Y123</f>
        <v>45.79</v>
      </c>
      <c r="Z122">
        <f>'raw data Crude oil'!Z123</f>
        <v>0</v>
      </c>
      <c r="AA122">
        <f>'raw data Crude oil'!AA123</f>
        <v>0</v>
      </c>
      <c r="AB122">
        <f>'raw data Crude oil'!AB123</f>
        <v>0</v>
      </c>
      <c r="AC122">
        <f>'raw data Crude oil'!AC123</f>
        <v>0</v>
      </c>
      <c r="AD122">
        <f>'raw data Crude oil'!AD123</f>
        <v>0</v>
      </c>
      <c r="AE122">
        <f>'raw data Crude oil'!AE123</f>
        <v>0</v>
      </c>
      <c r="AF122">
        <f>'raw data Crude oil'!AF123</f>
        <v>0</v>
      </c>
      <c r="AG122">
        <f>'raw data Crude oil'!AG123</f>
        <v>0</v>
      </c>
      <c r="AH122">
        <f>'raw data Crude oil'!AH123</f>
        <v>0</v>
      </c>
      <c r="AI122">
        <f>'raw data Crude oil'!AI123</f>
        <v>0</v>
      </c>
      <c r="AJ122">
        <f>'raw data Crude oil'!AJ123</f>
        <v>0</v>
      </c>
      <c r="AK122">
        <f>'raw data Crude oil'!AK123</f>
        <v>0</v>
      </c>
    </row>
    <row r="123" spans="1:37" x14ac:dyDescent="0.3">
      <c r="A123" s="18">
        <f>'raw data Crude oil'!A124</f>
        <v>42907</v>
      </c>
      <c r="B123">
        <f>'raw data Crude oil'!B124</f>
        <v>44.82</v>
      </c>
      <c r="C123">
        <f>'raw data Crude oil'!C124</f>
        <v>45.05</v>
      </c>
      <c r="D123">
        <f>'raw data Crude oil'!D124</f>
        <v>45.31</v>
      </c>
      <c r="E123">
        <f>'raw data Crude oil'!E124</f>
        <v>45.63</v>
      </c>
      <c r="F123">
        <f>'raw data Crude oil'!F124</f>
        <v>45.94</v>
      </c>
      <c r="G123">
        <f>'raw data Crude oil'!G124</f>
        <v>46.24</v>
      </c>
      <c r="H123">
        <f>'raw data Crude oil'!H124</f>
        <v>46.51</v>
      </c>
      <c r="I123">
        <f>'raw data Crude oil'!I124</f>
        <v>46.78</v>
      </c>
      <c r="J123">
        <f>'raw data Crude oil'!J124</f>
        <v>47.05</v>
      </c>
      <c r="K123">
        <f>'raw data Crude oil'!K124</f>
        <v>47.29</v>
      </c>
      <c r="L123">
        <f>'raw data Crude oil'!L124</f>
        <v>47.52</v>
      </c>
      <c r="M123">
        <f>'raw data Crude oil'!M124</f>
        <v>47.76</v>
      </c>
      <c r="N123">
        <f>'raw data Crude oil'!N124</f>
        <v>42.53</v>
      </c>
      <c r="O123">
        <f>'raw data Crude oil'!O124</f>
        <v>42.75</v>
      </c>
      <c r="P123">
        <f>'raw data Crude oil'!P124</f>
        <v>42.96</v>
      </c>
      <c r="Q123">
        <f>'raw data Crude oil'!Q124</f>
        <v>43.22</v>
      </c>
      <c r="R123">
        <f>'raw data Crude oil'!R124</f>
        <v>43.51</v>
      </c>
      <c r="S123">
        <f>'raw data Crude oil'!S124</f>
        <v>43.78</v>
      </c>
      <c r="T123">
        <f>'raw data Crude oil'!T124</f>
        <v>44.01</v>
      </c>
      <c r="U123">
        <f>'raw data Crude oil'!U124</f>
        <v>44.23</v>
      </c>
      <c r="V123">
        <f>'raw data Crude oil'!V124</f>
        <v>44.43</v>
      </c>
      <c r="W123">
        <f>'raw data Crude oil'!W124</f>
        <v>44.62</v>
      </c>
      <c r="X123">
        <f>'raw data Crude oil'!X124</f>
        <v>44.81</v>
      </c>
      <c r="Y123">
        <f>'raw data Crude oil'!Y124</f>
        <v>44.98</v>
      </c>
      <c r="Z123">
        <f>'raw data Crude oil'!Z124</f>
        <v>0</v>
      </c>
      <c r="AA123">
        <f>'raw data Crude oil'!AA124</f>
        <v>0</v>
      </c>
      <c r="AB123">
        <f>'raw data Crude oil'!AB124</f>
        <v>0</v>
      </c>
      <c r="AC123">
        <f>'raw data Crude oil'!AC124</f>
        <v>0</v>
      </c>
      <c r="AD123">
        <f>'raw data Crude oil'!AD124</f>
        <v>0</v>
      </c>
      <c r="AE123">
        <f>'raw data Crude oil'!AE124</f>
        <v>0</v>
      </c>
      <c r="AF123">
        <f>'raw data Crude oil'!AF124</f>
        <v>0</v>
      </c>
      <c r="AG123">
        <f>'raw data Crude oil'!AG124</f>
        <v>0</v>
      </c>
      <c r="AH123">
        <f>'raw data Crude oil'!AH124</f>
        <v>0</v>
      </c>
      <c r="AI123">
        <f>'raw data Crude oil'!AI124</f>
        <v>0</v>
      </c>
      <c r="AJ123">
        <f>'raw data Crude oil'!AJ124</f>
        <v>0</v>
      </c>
      <c r="AK123">
        <f>'raw data Crude oil'!AK124</f>
        <v>0</v>
      </c>
    </row>
    <row r="124" spans="1:37" x14ac:dyDescent="0.3">
      <c r="A124" s="18">
        <f>'raw data Crude oil'!A125</f>
        <v>42908</v>
      </c>
      <c r="B124">
        <f>'raw data Crude oil'!B125</f>
        <v>45.22</v>
      </c>
      <c r="C124">
        <f>'raw data Crude oil'!C125</f>
        <v>45.41</v>
      </c>
      <c r="D124">
        <f>'raw data Crude oil'!D125</f>
        <v>45.64</v>
      </c>
      <c r="E124">
        <f>'raw data Crude oil'!E125</f>
        <v>45.94</v>
      </c>
      <c r="F124">
        <f>'raw data Crude oil'!F125</f>
        <v>46.22</v>
      </c>
      <c r="G124">
        <f>'raw data Crude oil'!G125</f>
        <v>46.5</v>
      </c>
      <c r="H124">
        <f>'raw data Crude oil'!H125</f>
        <v>46.74</v>
      </c>
      <c r="I124">
        <f>'raw data Crude oil'!I125</f>
        <v>46.97</v>
      </c>
      <c r="J124">
        <f>'raw data Crude oil'!J125</f>
        <v>47.21</v>
      </c>
      <c r="K124">
        <f>'raw data Crude oil'!K125</f>
        <v>47.44</v>
      </c>
      <c r="L124">
        <f>'raw data Crude oil'!L125</f>
        <v>47.65</v>
      </c>
      <c r="M124">
        <f>'raw data Crude oil'!M125</f>
        <v>47.88</v>
      </c>
      <c r="N124">
        <f>'raw data Crude oil'!N125</f>
        <v>42.74</v>
      </c>
      <c r="O124">
        <f>'raw data Crude oil'!O125</f>
        <v>42.97</v>
      </c>
      <c r="P124">
        <f>'raw data Crude oil'!P125</f>
        <v>43.19</v>
      </c>
      <c r="Q124">
        <f>'raw data Crude oil'!Q125</f>
        <v>43.45</v>
      </c>
      <c r="R124">
        <f>'raw data Crude oil'!R125</f>
        <v>43.74</v>
      </c>
      <c r="S124">
        <f>'raw data Crude oil'!S125</f>
        <v>44.01</v>
      </c>
      <c r="T124">
        <f>'raw data Crude oil'!T125</f>
        <v>44.24</v>
      </c>
      <c r="U124">
        <f>'raw data Crude oil'!U125</f>
        <v>44.44</v>
      </c>
      <c r="V124">
        <f>'raw data Crude oil'!V125</f>
        <v>44.63</v>
      </c>
      <c r="W124">
        <f>'raw data Crude oil'!W125</f>
        <v>44.8</v>
      </c>
      <c r="X124">
        <f>'raw data Crude oil'!X125</f>
        <v>44.98</v>
      </c>
      <c r="Y124">
        <f>'raw data Crude oil'!Y125</f>
        <v>45.14</v>
      </c>
      <c r="Z124">
        <f>'raw data Crude oil'!Z125</f>
        <v>0</v>
      </c>
      <c r="AA124">
        <f>'raw data Crude oil'!AA125</f>
        <v>0</v>
      </c>
      <c r="AB124">
        <f>'raw data Crude oil'!AB125</f>
        <v>0</v>
      </c>
      <c r="AC124">
        <f>'raw data Crude oil'!AC125</f>
        <v>0</v>
      </c>
      <c r="AD124">
        <f>'raw data Crude oil'!AD125</f>
        <v>0</v>
      </c>
      <c r="AE124">
        <f>'raw data Crude oil'!AE125</f>
        <v>0</v>
      </c>
      <c r="AF124">
        <f>'raw data Crude oil'!AF125</f>
        <v>0</v>
      </c>
      <c r="AG124">
        <f>'raw data Crude oil'!AG125</f>
        <v>0</v>
      </c>
      <c r="AH124">
        <f>'raw data Crude oil'!AH125</f>
        <v>0</v>
      </c>
      <c r="AI124">
        <f>'raw data Crude oil'!AI125</f>
        <v>0</v>
      </c>
      <c r="AJ124">
        <f>'raw data Crude oil'!AJ125</f>
        <v>0</v>
      </c>
      <c r="AK124">
        <f>'raw data Crude oil'!AK125</f>
        <v>0</v>
      </c>
    </row>
    <row r="125" spans="1:37" x14ac:dyDescent="0.3">
      <c r="A125" s="18">
        <f>'raw data Crude oil'!A126</f>
        <v>42909</v>
      </c>
      <c r="B125">
        <f>'raw data Crude oil'!B126</f>
        <v>45.54</v>
      </c>
      <c r="C125">
        <f>'raw data Crude oil'!C126</f>
        <v>45.75</v>
      </c>
      <c r="D125">
        <f>'raw data Crude oil'!D126</f>
        <v>45.98</v>
      </c>
      <c r="E125">
        <f>'raw data Crude oil'!E126</f>
        <v>46.26</v>
      </c>
      <c r="F125">
        <f>'raw data Crude oil'!F126</f>
        <v>46.53</v>
      </c>
      <c r="G125">
        <f>'raw data Crude oil'!G126</f>
        <v>46.8</v>
      </c>
      <c r="H125">
        <f>'raw data Crude oil'!H126</f>
        <v>47.04</v>
      </c>
      <c r="I125">
        <f>'raw data Crude oil'!I126</f>
        <v>47.26</v>
      </c>
      <c r="J125">
        <f>'raw data Crude oil'!J126</f>
        <v>47.48</v>
      </c>
      <c r="K125">
        <f>'raw data Crude oil'!K126</f>
        <v>47.68</v>
      </c>
      <c r="L125">
        <f>'raw data Crude oil'!L126</f>
        <v>47.87</v>
      </c>
      <c r="M125">
        <f>'raw data Crude oil'!M126</f>
        <v>48.07</v>
      </c>
      <c r="N125">
        <f>'raw data Crude oil'!N126</f>
        <v>43.01</v>
      </c>
      <c r="O125">
        <f>'raw data Crude oil'!O126</f>
        <v>43.27</v>
      </c>
      <c r="P125">
        <f>'raw data Crude oil'!P126</f>
        <v>43.51</v>
      </c>
      <c r="Q125">
        <f>'raw data Crude oil'!Q126</f>
        <v>43.79</v>
      </c>
      <c r="R125">
        <f>'raw data Crude oil'!R126</f>
        <v>44.08</v>
      </c>
      <c r="S125">
        <f>'raw data Crude oil'!S126</f>
        <v>44.34</v>
      </c>
      <c r="T125">
        <f>'raw data Crude oil'!T126</f>
        <v>44.57</v>
      </c>
      <c r="U125">
        <f>'raw data Crude oil'!U126</f>
        <v>44.77</v>
      </c>
      <c r="V125">
        <f>'raw data Crude oil'!V126</f>
        <v>44.95</v>
      </c>
      <c r="W125">
        <f>'raw data Crude oil'!W126</f>
        <v>45.1</v>
      </c>
      <c r="X125">
        <f>'raw data Crude oil'!X126</f>
        <v>45.25</v>
      </c>
      <c r="Y125">
        <f>'raw data Crude oil'!Y126</f>
        <v>45.38</v>
      </c>
      <c r="Z125">
        <f>'raw data Crude oil'!Z126</f>
        <v>0</v>
      </c>
      <c r="AA125">
        <f>'raw data Crude oil'!AA126</f>
        <v>0</v>
      </c>
      <c r="AB125">
        <f>'raw data Crude oil'!AB126</f>
        <v>0</v>
      </c>
      <c r="AC125">
        <f>'raw data Crude oil'!AC126</f>
        <v>0</v>
      </c>
      <c r="AD125">
        <f>'raw data Crude oil'!AD126</f>
        <v>0</v>
      </c>
      <c r="AE125">
        <f>'raw data Crude oil'!AE126</f>
        <v>0</v>
      </c>
      <c r="AF125">
        <f>'raw data Crude oil'!AF126</f>
        <v>0</v>
      </c>
      <c r="AG125">
        <f>'raw data Crude oil'!AG126</f>
        <v>0</v>
      </c>
      <c r="AH125">
        <f>'raw data Crude oil'!AH126</f>
        <v>0</v>
      </c>
      <c r="AI125">
        <f>'raw data Crude oil'!AI126</f>
        <v>0</v>
      </c>
      <c r="AJ125">
        <f>'raw data Crude oil'!AJ126</f>
        <v>0</v>
      </c>
      <c r="AK125">
        <f>'raw data Crude oil'!AK126</f>
        <v>0</v>
      </c>
    </row>
    <row r="126" spans="1:37" x14ac:dyDescent="0.3">
      <c r="A126" s="18">
        <f>'raw data Crude oil'!A127</f>
        <v>42912</v>
      </c>
      <c r="B126">
        <f>'raw data Crude oil'!B127</f>
        <v>45.83</v>
      </c>
      <c r="C126">
        <f>'raw data Crude oil'!C127</f>
        <v>46.04</v>
      </c>
      <c r="D126">
        <f>'raw data Crude oil'!D127</f>
        <v>46.28</v>
      </c>
      <c r="E126">
        <f>'raw data Crude oil'!E127</f>
        <v>46.55</v>
      </c>
      <c r="F126">
        <f>'raw data Crude oil'!F127</f>
        <v>46.81</v>
      </c>
      <c r="G126">
        <f>'raw data Crude oil'!G127</f>
        <v>47.08</v>
      </c>
      <c r="H126">
        <f>'raw data Crude oil'!H127</f>
        <v>47.32</v>
      </c>
      <c r="I126">
        <f>'raw data Crude oil'!I127</f>
        <v>47.55</v>
      </c>
      <c r="J126">
        <f>'raw data Crude oil'!J127</f>
        <v>47.77</v>
      </c>
      <c r="K126">
        <f>'raw data Crude oil'!K127</f>
        <v>47.97</v>
      </c>
      <c r="L126">
        <f>'raw data Crude oil'!L127</f>
        <v>48.16</v>
      </c>
      <c r="M126">
        <f>'raw data Crude oil'!M127</f>
        <v>48.36</v>
      </c>
      <c r="N126">
        <f>'raw data Crude oil'!N127</f>
        <v>43.38</v>
      </c>
      <c r="O126">
        <f>'raw data Crude oil'!O127</f>
        <v>43.61</v>
      </c>
      <c r="P126">
        <f>'raw data Crude oil'!P127</f>
        <v>43.84</v>
      </c>
      <c r="Q126">
        <f>'raw data Crude oil'!Q127</f>
        <v>44.11</v>
      </c>
      <c r="R126">
        <f>'raw data Crude oil'!R127</f>
        <v>44.4</v>
      </c>
      <c r="S126">
        <f>'raw data Crude oil'!S127</f>
        <v>44.65</v>
      </c>
      <c r="T126">
        <f>'raw data Crude oil'!T127</f>
        <v>44.87</v>
      </c>
      <c r="U126">
        <f>'raw data Crude oil'!U127</f>
        <v>45.06</v>
      </c>
      <c r="V126">
        <f>'raw data Crude oil'!V127</f>
        <v>45.22</v>
      </c>
      <c r="W126">
        <f>'raw data Crude oil'!W127</f>
        <v>45.37</v>
      </c>
      <c r="X126">
        <f>'raw data Crude oil'!X127</f>
        <v>45.52</v>
      </c>
      <c r="Y126">
        <f>'raw data Crude oil'!Y127</f>
        <v>45.64</v>
      </c>
      <c r="Z126">
        <f>'raw data Crude oil'!Z127</f>
        <v>0</v>
      </c>
      <c r="AA126">
        <f>'raw data Crude oil'!AA127</f>
        <v>0</v>
      </c>
      <c r="AB126">
        <f>'raw data Crude oil'!AB127</f>
        <v>0</v>
      </c>
      <c r="AC126">
        <f>'raw data Crude oil'!AC127</f>
        <v>0</v>
      </c>
      <c r="AD126">
        <f>'raw data Crude oil'!AD127</f>
        <v>0</v>
      </c>
      <c r="AE126">
        <f>'raw data Crude oil'!AE127</f>
        <v>0</v>
      </c>
      <c r="AF126">
        <f>'raw data Crude oil'!AF127</f>
        <v>0</v>
      </c>
      <c r="AG126">
        <f>'raw data Crude oil'!AG127</f>
        <v>0</v>
      </c>
      <c r="AH126">
        <f>'raw data Crude oil'!AH127</f>
        <v>0</v>
      </c>
      <c r="AI126">
        <f>'raw data Crude oil'!AI127</f>
        <v>0</v>
      </c>
      <c r="AJ126">
        <f>'raw data Crude oil'!AJ127</f>
        <v>0</v>
      </c>
      <c r="AK126">
        <f>'raw data Crude oil'!AK127</f>
        <v>0</v>
      </c>
    </row>
    <row r="127" spans="1:37" x14ac:dyDescent="0.3">
      <c r="A127" s="18">
        <f>'raw data Crude oil'!A128</f>
        <v>42913</v>
      </c>
      <c r="B127">
        <f>'raw data Crude oil'!B128</f>
        <v>46.65</v>
      </c>
      <c r="C127">
        <f>'raw data Crude oil'!C128</f>
        <v>46.92</v>
      </c>
      <c r="D127">
        <f>'raw data Crude oil'!D128</f>
        <v>47.19</v>
      </c>
      <c r="E127">
        <f>'raw data Crude oil'!E128</f>
        <v>47.48</v>
      </c>
      <c r="F127">
        <f>'raw data Crude oil'!F128</f>
        <v>47.76</v>
      </c>
      <c r="G127">
        <f>'raw data Crude oil'!G128</f>
        <v>48.04</v>
      </c>
      <c r="H127">
        <f>'raw data Crude oil'!H128</f>
        <v>48.28</v>
      </c>
      <c r="I127">
        <f>'raw data Crude oil'!I128</f>
        <v>48.5</v>
      </c>
      <c r="J127">
        <f>'raw data Crude oil'!J128</f>
        <v>48.7</v>
      </c>
      <c r="K127">
        <f>'raw data Crude oil'!K128</f>
        <v>48.88</v>
      </c>
      <c r="L127">
        <f>'raw data Crude oil'!L128</f>
        <v>49.04</v>
      </c>
      <c r="M127">
        <f>'raw data Crude oil'!M128</f>
        <v>49.22</v>
      </c>
      <c r="N127">
        <f>'raw data Crude oil'!N128</f>
        <v>44.24</v>
      </c>
      <c r="O127">
        <f>'raw data Crude oil'!O128</f>
        <v>44.49</v>
      </c>
      <c r="P127">
        <f>'raw data Crude oil'!P128</f>
        <v>44.73</v>
      </c>
      <c r="Q127">
        <f>'raw data Crude oil'!Q128</f>
        <v>45.01</v>
      </c>
      <c r="R127">
        <f>'raw data Crude oil'!R128</f>
        <v>45.31</v>
      </c>
      <c r="S127">
        <f>'raw data Crude oil'!S128</f>
        <v>45.57</v>
      </c>
      <c r="T127">
        <f>'raw data Crude oil'!T128</f>
        <v>45.78</v>
      </c>
      <c r="U127">
        <f>'raw data Crude oil'!U128</f>
        <v>45.96</v>
      </c>
      <c r="V127">
        <f>'raw data Crude oil'!V128</f>
        <v>46.11</v>
      </c>
      <c r="W127">
        <f>'raw data Crude oil'!W128</f>
        <v>46.25</v>
      </c>
      <c r="X127">
        <f>'raw data Crude oil'!X128</f>
        <v>46.38</v>
      </c>
      <c r="Y127">
        <f>'raw data Crude oil'!Y128</f>
        <v>46.49</v>
      </c>
      <c r="Z127">
        <f>'raw data Crude oil'!Z128</f>
        <v>0</v>
      </c>
      <c r="AA127">
        <f>'raw data Crude oil'!AA128</f>
        <v>0</v>
      </c>
      <c r="AB127">
        <f>'raw data Crude oil'!AB128</f>
        <v>0</v>
      </c>
      <c r="AC127">
        <f>'raw data Crude oil'!AC128</f>
        <v>0</v>
      </c>
      <c r="AD127">
        <f>'raw data Crude oil'!AD128</f>
        <v>0</v>
      </c>
      <c r="AE127">
        <f>'raw data Crude oil'!AE128</f>
        <v>0</v>
      </c>
      <c r="AF127">
        <f>'raw data Crude oil'!AF128</f>
        <v>0</v>
      </c>
      <c r="AG127">
        <f>'raw data Crude oil'!AG128</f>
        <v>0</v>
      </c>
      <c r="AH127">
        <f>'raw data Crude oil'!AH128</f>
        <v>0</v>
      </c>
      <c r="AI127">
        <f>'raw data Crude oil'!AI128</f>
        <v>0</v>
      </c>
      <c r="AJ127">
        <f>'raw data Crude oil'!AJ128</f>
        <v>0</v>
      </c>
      <c r="AK127">
        <f>'raw data Crude oil'!AK128</f>
        <v>0</v>
      </c>
    </row>
    <row r="128" spans="1:37" x14ac:dyDescent="0.3">
      <c r="A128" s="18">
        <f>'raw data Crude oil'!A129</f>
        <v>42914</v>
      </c>
      <c r="B128">
        <f>'raw data Crude oil'!B129</f>
        <v>47.31</v>
      </c>
      <c r="C128">
        <f>'raw data Crude oil'!C129</f>
        <v>47.54</v>
      </c>
      <c r="D128">
        <f>'raw data Crude oil'!D129</f>
        <v>47.81</v>
      </c>
      <c r="E128">
        <f>'raw data Crude oil'!E129</f>
        <v>48.09</v>
      </c>
      <c r="F128">
        <f>'raw data Crude oil'!F129</f>
        <v>48.35</v>
      </c>
      <c r="G128">
        <f>'raw data Crude oil'!G129</f>
        <v>48.61</v>
      </c>
      <c r="H128">
        <f>'raw data Crude oil'!H129</f>
        <v>48.83</v>
      </c>
      <c r="I128">
        <f>'raw data Crude oil'!I129</f>
        <v>49.03</v>
      </c>
      <c r="J128">
        <f>'raw data Crude oil'!J129</f>
        <v>49.22</v>
      </c>
      <c r="K128">
        <f>'raw data Crude oil'!K129</f>
        <v>49.39</v>
      </c>
      <c r="L128">
        <f>'raw data Crude oil'!L129</f>
        <v>49.54</v>
      </c>
      <c r="M128">
        <f>'raw data Crude oil'!M129</f>
        <v>49.71</v>
      </c>
      <c r="N128">
        <f>'raw data Crude oil'!N129</f>
        <v>44.74</v>
      </c>
      <c r="O128">
        <f>'raw data Crude oil'!O129</f>
        <v>44.99</v>
      </c>
      <c r="P128">
        <f>'raw data Crude oil'!P129</f>
        <v>45.23</v>
      </c>
      <c r="Q128">
        <f>'raw data Crude oil'!Q129</f>
        <v>45.51</v>
      </c>
      <c r="R128">
        <f>'raw data Crude oil'!R129</f>
        <v>45.81</v>
      </c>
      <c r="S128">
        <f>'raw data Crude oil'!S129</f>
        <v>46.08</v>
      </c>
      <c r="T128">
        <f>'raw data Crude oil'!T129</f>
        <v>46.29</v>
      </c>
      <c r="U128">
        <f>'raw data Crude oil'!U129</f>
        <v>46.47</v>
      </c>
      <c r="V128">
        <f>'raw data Crude oil'!V129</f>
        <v>46.62</v>
      </c>
      <c r="W128">
        <f>'raw data Crude oil'!W129</f>
        <v>46.76</v>
      </c>
      <c r="X128">
        <f>'raw data Crude oil'!X129</f>
        <v>46.89</v>
      </c>
      <c r="Y128">
        <f>'raw data Crude oil'!Y129</f>
        <v>47</v>
      </c>
      <c r="Z128">
        <f>'raw data Crude oil'!Z129</f>
        <v>0</v>
      </c>
      <c r="AA128">
        <f>'raw data Crude oil'!AA129</f>
        <v>0</v>
      </c>
      <c r="AB128">
        <f>'raw data Crude oil'!AB129</f>
        <v>0</v>
      </c>
      <c r="AC128">
        <f>'raw data Crude oil'!AC129</f>
        <v>0</v>
      </c>
      <c r="AD128">
        <f>'raw data Crude oil'!AD129</f>
        <v>0</v>
      </c>
      <c r="AE128">
        <f>'raw data Crude oil'!AE129</f>
        <v>0</v>
      </c>
      <c r="AF128">
        <f>'raw data Crude oil'!AF129</f>
        <v>0</v>
      </c>
      <c r="AG128">
        <f>'raw data Crude oil'!AG129</f>
        <v>0</v>
      </c>
      <c r="AH128">
        <f>'raw data Crude oil'!AH129</f>
        <v>0</v>
      </c>
      <c r="AI128">
        <f>'raw data Crude oil'!AI129</f>
        <v>0</v>
      </c>
      <c r="AJ128">
        <f>'raw data Crude oil'!AJ129</f>
        <v>0</v>
      </c>
      <c r="AK128">
        <f>'raw data Crude oil'!AK129</f>
        <v>0</v>
      </c>
    </row>
    <row r="129" spans="1:37" x14ac:dyDescent="0.3">
      <c r="A129" s="18">
        <f>'raw data Crude oil'!A130</f>
        <v>42915</v>
      </c>
      <c r="B129">
        <f>'raw data Crude oil'!B130</f>
        <v>47.42</v>
      </c>
      <c r="C129">
        <f>'raw data Crude oil'!C130</f>
        <v>47.63</v>
      </c>
      <c r="D129">
        <f>'raw data Crude oil'!D130</f>
        <v>47.93</v>
      </c>
      <c r="E129">
        <f>'raw data Crude oil'!E130</f>
        <v>48.23</v>
      </c>
      <c r="F129">
        <f>'raw data Crude oil'!F130</f>
        <v>48.5</v>
      </c>
      <c r="G129">
        <f>'raw data Crude oil'!G130</f>
        <v>48.77</v>
      </c>
      <c r="H129">
        <f>'raw data Crude oil'!H130</f>
        <v>49</v>
      </c>
      <c r="I129">
        <f>'raw data Crude oil'!I130</f>
        <v>49.22</v>
      </c>
      <c r="J129">
        <f>'raw data Crude oil'!J130</f>
        <v>49.43</v>
      </c>
      <c r="K129">
        <f>'raw data Crude oil'!K130</f>
        <v>49.61</v>
      </c>
      <c r="L129">
        <f>'raw data Crude oil'!L130</f>
        <v>49.77</v>
      </c>
      <c r="M129">
        <f>'raw data Crude oil'!M130</f>
        <v>49.95</v>
      </c>
      <c r="N129">
        <f>'raw data Crude oil'!N130</f>
        <v>44.93</v>
      </c>
      <c r="O129">
        <f>'raw data Crude oil'!O130</f>
        <v>45.2</v>
      </c>
      <c r="P129">
        <f>'raw data Crude oil'!P130</f>
        <v>45.44</v>
      </c>
      <c r="Q129">
        <f>'raw data Crude oil'!Q130</f>
        <v>45.72</v>
      </c>
      <c r="R129">
        <f>'raw data Crude oil'!R130</f>
        <v>46.02</v>
      </c>
      <c r="S129">
        <f>'raw data Crude oil'!S130</f>
        <v>46.29</v>
      </c>
      <c r="T129">
        <f>'raw data Crude oil'!T130</f>
        <v>46.51</v>
      </c>
      <c r="U129">
        <f>'raw data Crude oil'!U130</f>
        <v>46.69</v>
      </c>
      <c r="V129">
        <f>'raw data Crude oil'!V130</f>
        <v>46.85</v>
      </c>
      <c r="W129">
        <f>'raw data Crude oil'!W130</f>
        <v>46.99</v>
      </c>
      <c r="X129">
        <f>'raw data Crude oil'!X130</f>
        <v>47.13</v>
      </c>
      <c r="Y129">
        <f>'raw data Crude oil'!Y130</f>
        <v>47.24</v>
      </c>
      <c r="Z129">
        <f>'raw data Crude oil'!Z130</f>
        <v>0</v>
      </c>
      <c r="AA129">
        <f>'raw data Crude oil'!AA130</f>
        <v>0</v>
      </c>
      <c r="AB129">
        <f>'raw data Crude oil'!AB130</f>
        <v>0</v>
      </c>
      <c r="AC129">
        <f>'raw data Crude oil'!AC130</f>
        <v>0</v>
      </c>
      <c r="AD129">
        <f>'raw data Crude oil'!AD130</f>
        <v>0</v>
      </c>
      <c r="AE129">
        <f>'raw data Crude oil'!AE130</f>
        <v>0</v>
      </c>
      <c r="AF129">
        <f>'raw data Crude oil'!AF130</f>
        <v>0</v>
      </c>
      <c r="AG129">
        <f>'raw data Crude oil'!AG130</f>
        <v>0</v>
      </c>
      <c r="AH129">
        <f>'raw data Crude oil'!AH130</f>
        <v>0</v>
      </c>
      <c r="AI129">
        <f>'raw data Crude oil'!AI130</f>
        <v>0</v>
      </c>
      <c r="AJ129">
        <f>'raw data Crude oil'!AJ130</f>
        <v>0</v>
      </c>
      <c r="AK129">
        <f>'raw data Crude oil'!AK130</f>
        <v>0</v>
      </c>
    </row>
    <row r="130" spans="1:37" x14ac:dyDescent="0.3">
      <c r="A130" s="18">
        <f>'raw data Crude oil'!A131</f>
        <v>42916</v>
      </c>
      <c r="B130">
        <f>'raw data Crude oil'!B131</f>
        <v>47.92</v>
      </c>
      <c r="C130">
        <f>'raw data Crude oil'!C131</f>
        <v>48.77</v>
      </c>
      <c r="D130">
        <f>'raw data Crude oil'!D131</f>
        <v>49.04</v>
      </c>
      <c r="E130">
        <f>'raw data Crude oil'!E131</f>
        <v>49.33</v>
      </c>
      <c r="F130">
        <f>'raw data Crude oil'!F131</f>
        <v>49.59</v>
      </c>
      <c r="G130">
        <f>'raw data Crude oil'!G131</f>
        <v>49.85</v>
      </c>
      <c r="H130">
        <f>'raw data Crude oil'!H131</f>
        <v>50.07</v>
      </c>
      <c r="I130">
        <f>'raw data Crude oil'!I131</f>
        <v>50.28</v>
      </c>
      <c r="J130">
        <f>'raw data Crude oil'!J131</f>
        <v>50.48</v>
      </c>
      <c r="K130">
        <f>'raw data Crude oil'!K131</f>
        <v>50.65</v>
      </c>
      <c r="L130">
        <f>'raw data Crude oil'!L131</f>
        <v>50.81</v>
      </c>
      <c r="M130">
        <f>'raw data Crude oil'!M131</f>
        <v>50.98</v>
      </c>
      <c r="N130">
        <f>'raw data Crude oil'!N131</f>
        <v>46.04</v>
      </c>
      <c r="O130">
        <f>'raw data Crude oil'!O131</f>
        <v>46.29</v>
      </c>
      <c r="P130">
        <f>'raw data Crude oil'!P131</f>
        <v>46.51</v>
      </c>
      <c r="Q130">
        <f>'raw data Crude oil'!Q131</f>
        <v>46.77</v>
      </c>
      <c r="R130">
        <f>'raw data Crude oil'!R131</f>
        <v>47.05</v>
      </c>
      <c r="S130">
        <f>'raw data Crude oil'!S131</f>
        <v>47.31</v>
      </c>
      <c r="T130">
        <f>'raw data Crude oil'!T131</f>
        <v>47.52</v>
      </c>
      <c r="U130">
        <f>'raw data Crude oil'!U131</f>
        <v>47.7</v>
      </c>
      <c r="V130">
        <f>'raw data Crude oil'!V131</f>
        <v>47.85</v>
      </c>
      <c r="W130">
        <f>'raw data Crude oil'!W131</f>
        <v>47.98</v>
      </c>
      <c r="X130">
        <f>'raw data Crude oil'!X131</f>
        <v>48.11</v>
      </c>
      <c r="Y130">
        <f>'raw data Crude oil'!Y131</f>
        <v>48.21</v>
      </c>
      <c r="Z130">
        <f>'raw data Crude oil'!Z131</f>
        <v>0</v>
      </c>
      <c r="AA130">
        <f>'raw data Crude oil'!AA131</f>
        <v>0</v>
      </c>
      <c r="AB130">
        <f>'raw data Crude oil'!AB131</f>
        <v>0</v>
      </c>
      <c r="AC130">
        <f>'raw data Crude oil'!AC131</f>
        <v>0</v>
      </c>
      <c r="AD130">
        <f>'raw data Crude oil'!AD131</f>
        <v>0</v>
      </c>
      <c r="AE130">
        <f>'raw data Crude oil'!AE131</f>
        <v>0</v>
      </c>
      <c r="AF130">
        <f>'raw data Crude oil'!AF131</f>
        <v>0</v>
      </c>
      <c r="AG130">
        <f>'raw data Crude oil'!AG131</f>
        <v>0</v>
      </c>
      <c r="AH130">
        <f>'raw data Crude oil'!AH131</f>
        <v>0</v>
      </c>
      <c r="AI130">
        <f>'raw data Crude oil'!AI131</f>
        <v>0</v>
      </c>
      <c r="AJ130">
        <f>'raw data Crude oil'!AJ131</f>
        <v>0</v>
      </c>
      <c r="AK130">
        <f>'raw data Crude oil'!AK131</f>
        <v>0</v>
      </c>
    </row>
    <row r="131" spans="1:37" x14ac:dyDescent="0.3">
      <c r="A131" s="18">
        <f>'raw data Crude oil'!A132</f>
        <v>42919</v>
      </c>
      <c r="B131">
        <f>'raw data Crude oil'!B132</f>
        <v>49.68</v>
      </c>
      <c r="C131">
        <f>'raw data Crude oil'!C132</f>
        <v>49.99</v>
      </c>
      <c r="D131">
        <f>'raw data Crude oil'!D132</f>
        <v>50.3</v>
      </c>
      <c r="E131">
        <f>'raw data Crude oil'!E132</f>
        <v>50.57</v>
      </c>
      <c r="F131">
        <f>'raw data Crude oil'!F132</f>
        <v>50.84</v>
      </c>
      <c r="G131">
        <f>'raw data Crude oil'!G132</f>
        <v>51.07</v>
      </c>
      <c r="H131">
        <f>'raw data Crude oil'!H132</f>
        <v>51.28</v>
      </c>
      <c r="I131">
        <f>'raw data Crude oil'!I132</f>
        <v>51.47</v>
      </c>
      <c r="J131">
        <f>'raw data Crude oil'!J132</f>
        <v>51.63</v>
      </c>
      <c r="K131">
        <f>'raw data Crude oil'!K132</f>
        <v>51.77</v>
      </c>
      <c r="L131">
        <f>'raw data Crude oil'!L132</f>
        <v>51.93</v>
      </c>
      <c r="M131">
        <f>'raw data Crude oil'!M132</f>
        <v>52.08</v>
      </c>
      <c r="N131">
        <f>'raw data Crude oil'!N132</f>
        <v>47.07</v>
      </c>
      <c r="O131">
        <f>'raw data Crude oil'!O132</f>
        <v>47.29</v>
      </c>
      <c r="P131">
        <f>'raw data Crude oil'!P132</f>
        <v>47.49</v>
      </c>
      <c r="Q131">
        <f>'raw data Crude oil'!Q132</f>
        <v>47.74</v>
      </c>
      <c r="R131">
        <f>'raw data Crude oil'!R132</f>
        <v>48.01</v>
      </c>
      <c r="S131">
        <f>'raw data Crude oil'!S132</f>
        <v>48.26</v>
      </c>
      <c r="T131">
        <f>'raw data Crude oil'!T132</f>
        <v>48.46</v>
      </c>
      <c r="U131">
        <f>'raw data Crude oil'!U132</f>
        <v>48.63</v>
      </c>
      <c r="V131">
        <f>'raw data Crude oil'!V132</f>
        <v>48.77</v>
      </c>
      <c r="W131">
        <f>'raw data Crude oil'!W132</f>
        <v>48.9</v>
      </c>
      <c r="X131">
        <f>'raw data Crude oil'!X132</f>
        <v>49.03</v>
      </c>
      <c r="Y131">
        <f>'raw data Crude oil'!Y132</f>
        <v>49.14</v>
      </c>
      <c r="Z131">
        <f>'raw data Crude oil'!Z132</f>
        <v>0</v>
      </c>
      <c r="AA131">
        <f>'raw data Crude oil'!AA132</f>
        <v>0</v>
      </c>
      <c r="AB131">
        <f>'raw data Crude oil'!AB132</f>
        <v>0</v>
      </c>
      <c r="AC131">
        <f>'raw data Crude oil'!AC132</f>
        <v>0</v>
      </c>
      <c r="AD131">
        <f>'raw data Crude oil'!AD132</f>
        <v>0</v>
      </c>
      <c r="AE131">
        <f>'raw data Crude oil'!AE132</f>
        <v>0</v>
      </c>
      <c r="AF131">
        <f>'raw data Crude oil'!AF132</f>
        <v>0</v>
      </c>
      <c r="AG131">
        <f>'raw data Crude oil'!AG132</f>
        <v>0</v>
      </c>
      <c r="AH131">
        <f>'raw data Crude oil'!AH132</f>
        <v>0</v>
      </c>
      <c r="AI131">
        <f>'raw data Crude oil'!AI132</f>
        <v>0</v>
      </c>
      <c r="AJ131">
        <f>'raw data Crude oil'!AJ132</f>
        <v>0</v>
      </c>
      <c r="AK131">
        <f>'raw data Crude oil'!AK132</f>
        <v>0</v>
      </c>
    </row>
    <row r="132" spans="1:37" x14ac:dyDescent="0.3">
      <c r="A132" s="18">
        <f>'raw data Crude oil'!A133</f>
        <v>42920</v>
      </c>
      <c r="B132">
        <f>'raw data Crude oil'!B133</f>
        <v>49.61</v>
      </c>
      <c r="C132">
        <f>'raw data Crude oil'!C133</f>
        <v>49.9</v>
      </c>
      <c r="D132">
        <f>'raw data Crude oil'!D133</f>
        <v>50.19</v>
      </c>
      <c r="E132">
        <f>'raw data Crude oil'!E133</f>
        <v>50.46</v>
      </c>
      <c r="F132">
        <f>'raw data Crude oil'!F133</f>
        <v>50.72</v>
      </c>
      <c r="G132">
        <f>'raw data Crude oil'!G133</f>
        <v>50.94</v>
      </c>
      <c r="H132">
        <f>'raw data Crude oil'!H133</f>
        <v>51.14</v>
      </c>
      <c r="I132">
        <f>'raw data Crude oil'!I133</f>
        <v>51.32</v>
      </c>
      <c r="J132">
        <f>'raw data Crude oil'!J133</f>
        <v>51.48</v>
      </c>
      <c r="K132">
        <f>'raw data Crude oil'!K133</f>
        <v>51.62</v>
      </c>
      <c r="L132">
        <f>'raw data Crude oil'!L133</f>
        <v>51.78</v>
      </c>
      <c r="M132">
        <f>'raw data Crude oil'!M133</f>
        <v>51.93</v>
      </c>
      <c r="N132">
        <f>'raw data Crude oil'!N133</f>
        <v>47.07</v>
      </c>
      <c r="O132">
        <f>'raw data Crude oil'!O133</f>
        <v>47.29</v>
      </c>
      <c r="P132">
        <f>'raw data Crude oil'!P133</f>
        <v>47.49</v>
      </c>
      <c r="Q132">
        <f>'raw data Crude oil'!Q133</f>
        <v>47.74</v>
      </c>
      <c r="R132">
        <f>'raw data Crude oil'!R133</f>
        <v>48.01</v>
      </c>
      <c r="S132">
        <f>'raw data Crude oil'!S133</f>
        <v>48.26</v>
      </c>
      <c r="T132">
        <f>'raw data Crude oil'!T133</f>
        <v>48.46</v>
      </c>
      <c r="U132">
        <f>'raw data Crude oil'!U133</f>
        <v>48.63</v>
      </c>
      <c r="V132">
        <f>'raw data Crude oil'!V133</f>
        <v>48.77</v>
      </c>
      <c r="W132">
        <f>'raw data Crude oil'!W133</f>
        <v>48.9</v>
      </c>
      <c r="X132">
        <f>'raw data Crude oil'!X133</f>
        <v>49.03</v>
      </c>
      <c r="Y132">
        <f>'raw data Crude oil'!Y133</f>
        <v>49.14</v>
      </c>
      <c r="Z132">
        <f>'raw data Crude oil'!Z133</f>
        <v>0</v>
      </c>
      <c r="AA132">
        <f>'raw data Crude oil'!AA133</f>
        <v>0</v>
      </c>
      <c r="AB132">
        <f>'raw data Crude oil'!AB133</f>
        <v>0</v>
      </c>
      <c r="AC132">
        <f>'raw data Crude oil'!AC133</f>
        <v>0</v>
      </c>
      <c r="AD132">
        <f>'raw data Crude oil'!AD133</f>
        <v>0</v>
      </c>
      <c r="AE132">
        <f>'raw data Crude oil'!AE133</f>
        <v>0</v>
      </c>
      <c r="AF132">
        <f>'raw data Crude oil'!AF133</f>
        <v>0</v>
      </c>
      <c r="AG132">
        <f>'raw data Crude oil'!AG133</f>
        <v>0</v>
      </c>
      <c r="AH132">
        <f>'raw data Crude oil'!AH133</f>
        <v>0</v>
      </c>
      <c r="AI132">
        <f>'raw data Crude oil'!AI133</f>
        <v>0</v>
      </c>
      <c r="AJ132">
        <f>'raw data Crude oil'!AJ133</f>
        <v>0</v>
      </c>
      <c r="AK132">
        <f>'raw data Crude oil'!AK133</f>
        <v>0</v>
      </c>
    </row>
    <row r="133" spans="1:37" x14ac:dyDescent="0.3">
      <c r="A133" s="18">
        <f>'raw data Crude oil'!A134</f>
        <v>42921</v>
      </c>
      <c r="B133">
        <f>'raw data Crude oil'!B134</f>
        <v>47.79</v>
      </c>
      <c r="C133">
        <f>'raw data Crude oil'!C134</f>
        <v>48.07</v>
      </c>
      <c r="D133">
        <f>'raw data Crude oil'!D134</f>
        <v>48.38</v>
      </c>
      <c r="E133">
        <f>'raw data Crude oil'!E134</f>
        <v>48.68</v>
      </c>
      <c r="F133">
        <f>'raw data Crude oil'!F134</f>
        <v>48.97</v>
      </c>
      <c r="G133">
        <f>'raw data Crude oil'!G134</f>
        <v>49.23</v>
      </c>
      <c r="H133">
        <f>'raw data Crude oil'!H134</f>
        <v>49.47</v>
      </c>
      <c r="I133">
        <f>'raw data Crude oil'!I134</f>
        <v>49.69</v>
      </c>
      <c r="J133">
        <f>'raw data Crude oil'!J134</f>
        <v>49.89</v>
      </c>
      <c r="K133">
        <f>'raw data Crude oil'!K134</f>
        <v>50.07</v>
      </c>
      <c r="L133">
        <f>'raw data Crude oil'!L134</f>
        <v>50.27</v>
      </c>
      <c r="M133">
        <f>'raw data Crude oil'!M134</f>
        <v>50.45</v>
      </c>
      <c r="N133">
        <f>'raw data Crude oil'!N134</f>
        <v>45.13</v>
      </c>
      <c r="O133">
        <f>'raw data Crude oil'!O134</f>
        <v>45.34</v>
      </c>
      <c r="P133">
        <f>'raw data Crude oil'!P134</f>
        <v>45.55</v>
      </c>
      <c r="Q133">
        <f>'raw data Crude oil'!Q134</f>
        <v>45.81</v>
      </c>
      <c r="R133">
        <f>'raw data Crude oil'!R134</f>
        <v>46.1</v>
      </c>
      <c r="S133">
        <f>'raw data Crude oil'!S134</f>
        <v>46.38</v>
      </c>
      <c r="T133">
        <f>'raw data Crude oil'!T134</f>
        <v>46.61</v>
      </c>
      <c r="U133">
        <f>'raw data Crude oil'!U134</f>
        <v>46.81</v>
      </c>
      <c r="V133">
        <f>'raw data Crude oil'!V134</f>
        <v>46.99</v>
      </c>
      <c r="W133">
        <f>'raw data Crude oil'!W134</f>
        <v>47.15</v>
      </c>
      <c r="X133">
        <f>'raw data Crude oil'!X134</f>
        <v>47.31</v>
      </c>
      <c r="Y133">
        <f>'raw data Crude oil'!Y134</f>
        <v>47.45</v>
      </c>
      <c r="Z133">
        <f>'raw data Crude oil'!Z134</f>
        <v>0</v>
      </c>
      <c r="AA133">
        <f>'raw data Crude oil'!AA134</f>
        <v>0</v>
      </c>
      <c r="AB133">
        <f>'raw data Crude oil'!AB134</f>
        <v>0</v>
      </c>
      <c r="AC133">
        <f>'raw data Crude oil'!AC134</f>
        <v>0</v>
      </c>
      <c r="AD133">
        <f>'raw data Crude oil'!AD134</f>
        <v>0</v>
      </c>
      <c r="AE133">
        <f>'raw data Crude oil'!AE134</f>
        <v>0</v>
      </c>
      <c r="AF133">
        <f>'raw data Crude oil'!AF134</f>
        <v>0</v>
      </c>
      <c r="AG133">
        <f>'raw data Crude oil'!AG134</f>
        <v>0</v>
      </c>
      <c r="AH133">
        <f>'raw data Crude oil'!AH134</f>
        <v>0</v>
      </c>
      <c r="AI133">
        <f>'raw data Crude oil'!AI134</f>
        <v>0</v>
      </c>
      <c r="AJ133">
        <f>'raw data Crude oil'!AJ134</f>
        <v>0</v>
      </c>
      <c r="AK133">
        <f>'raw data Crude oil'!AK134</f>
        <v>0</v>
      </c>
    </row>
    <row r="134" spans="1:37" x14ac:dyDescent="0.3">
      <c r="A134" s="18">
        <f>'raw data Crude oil'!A135</f>
        <v>42922</v>
      </c>
      <c r="B134">
        <f>'raw data Crude oil'!B135</f>
        <v>48.11</v>
      </c>
      <c r="C134">
        <f>'raw data Crude oil'!C135</f>
        <v>48.39</v>
      </c>
      <c r="D134">
        <f>'raw data Crude oil'!D135</f>
        <v>48.68</v>
      </c>
      <c r="E134">
        <f>'raw data Crude oil'!E135</f>
        <v>48.97</v>
      </c>
      <c r="F134">
        <f>'raw data Crude oil'!F135</f>
        <v>49.26</v>
      </c>
      <c r="G134">
        <f>'raw data Crude oil'!G135</f>
        <v>49.5</v>
      </c>
      <c r="H134">
        <f>'raw data Crude oil'!H135</f>
        <v>49.73</v>
      </c>
      <c r="I134">
        <f>'raw data Crude oil'!I135</f>
        <v>49.95</v>
      </c>
      <c r="J134">
        <f>'raw data Crude oil'!J135</f>
        <v>50.14</v>
      </c>
      <c r="K134">
        <f>'raw data Crude oil'!K135</f>
        <v>50.3</v>
      </c>
      <c r="L134">
        <f>'raw data Crude oil'!L135</f>
        <v>50.49</v>
      </c>
      <c r="M134">
        <f>'raw data Crude oil'!M135</f>
        <v>50.65</v>
      </c>
      <c r="N134">
        <f>'raw data Crude oil'!N135</f>
        <v>45.52</v>
      </c>
      <c r="O134">
        <f>'raw data Crude oil'!O135</f>
        <v>45.7</v>
      </c>
      <c r="P134">
        <f>'raw data Crude oil'!P135</f>
        <v>45.89</v>
      </c>
      <c r="Q134">
        <f>'raw data Crude oil'!Q135</f>
        <v>46.13</v>
      </c>
      <c r="R134">
        <f>'raw data Crude oil'!R135</f>
        <v>46.4</v>
      </c>
      <c r="S134">
        <f>'raw data Crude oil'!S135</f>
        <v>46.66</v>
      </c>
      <c r="T134">
        <f>'raw data Crude oil'!T135</f>
        <v>46.88</v>
      </c>
      <c r="U134">
        <f>'raw data Crude oil'!U135</f>
        <v>47.07</v>
      </c>
      <c r="V134">
        <f>'raw data Crude oil'!V135</f>
        <v>47.23</v>
      </c>
      <c r="W134">
        <f>'raw data Crude oil'!W135</f>
        <v>47.38</v>
      </c>
      <c r="X134">
        <f>'raw data Crude oil'!X135</f>
        <v>47.53</v>
      </c>
      <c r="Y134">
        <f>'raw data Crude oil'!Y135</f>
        <v>47.66</v>
      </c>
      <c r="Z134">
        <f>'raw data Crude oil'!Z135</f>
        <v>0</v>
      </c>
      <c r="AA134">
        <f>'raw data Crude oil'!AA135</f>
        <v>0</v>
      </c>
      <c r="AB134">
        <f>'raw data Crude oil'!AB135</f>
        <v>0</v>
      </c>
      <c r="AC134">
        <f>'raw data Crude oil'!AC135</f>
        <v>0</v>
      </c>
      <c r="AD134">
        <f>'raw data Crude oil'!AD135</f>
        <v>0</v>
      </c>
      <c r="AE134">
        <f>'raw data Crude oil'!AE135</f>
        <v>0</v>
      </c>
      <c r="AF134">
        <f>'raw data Crude oil'!AF135</f>
        <v>0</v>
      </c>
      <c r="AG134">
        <f>'raw data Crude oil'!AG135</f>
        <v>0</v>
      </c>
      <c r="AH134">
        <f>'raw data Crude oil'!AH135</f>
        <v>0</v>
      </c>
      <c r="AI134">
        <f>'raw data Crude oil'!AI135</f>
        <v>0</v>
      </c>
      <c r="AJ134">
        <f>'raw data Crude oil'!AJ135</f>
        <v>0</v>
      </c>
      <c r="AK134">
        <f>'raw data Crude oil'!AK135</f>
        <v>0</v>
      </c>
    </row>
    <row r="135" spans="1:37" x14ac:dyDescent="0.3">
      <c r="A135" s="18">
        <f>'raw data Crude oil'!A136</f>
        <v>42923</v>
      </c>
      <c r="B135">
        <f>'raw data Crude oil'!B136</f>
        <v>46.71</v>
      </c>
      <c r="C135">
        <f>'raw data Crude oil'!C136</f>
        <v>46.98</v>
      </c>
      <c r="D135">
        <f>'raw data Crude oil'!D136</f>
        <v>47.27</v>
      </c>
      <c r="E135">
        <f>'raw data Crude oil'!E136</f>
        <v>47.57</v>
      </c>
      <c r="F135">
        <f>'raw data Crude oil'!F136</f>
        <v>47.86</v>
      </c>
      <c r="G135">
        <f>'raw data Crude oil'!G136</f>
        <v>48.12</v>
      </c>
      <c r="H135">
        <f>'raw data Crude oil'!H136</f>
        <v>48.36</v>
      </c>
      <c r="I135">
        <f>'raw data Crude oil'!I136</f>
        <v>48.59</v>
      </c>
      <c r="J135">
        <f>'raw data Crude oil'!J136</f>
        <v>48.8</v>
      </c>
      <c r="K135">
        <f>'raw data Crude oil'!K136</f>
        <v>48.98</v>
      </c>
      <c r="L135">
        <f>'raw data Crude oil'!L136</f>
        <v>49.18</v>
      </c>
      <c r="M135">
        <f>'raw data Crude oil'!M136</f>
        <v>49.36</v>
      </c>
      <c r="N135">
        <f>'raw data Crude oil'!N136</f>
        <v>44.23</v>
      </c>
      <c r="O135">
        <f>'raw data Crude oil'!O136</f>
        <v>44.39</v>
      </c>
      <c r="P135">
        <f>'raw data Crude oil'!P136</f>
        <v>44.56</v>
      </c>
      <c r="Q135">
        <f>'raw data Crude oil'!Q136</f>
        <v>44.8</v>
      </c>
      <c r="R135">
        <f>'raw data Crude oil'!R136</f>
        <v>45.07</v>
      </c>
      <c r="S135">
        <f>'raw data Crude oil'!S136</f>
        <v>45.33</v>
      </c>
      <c r="T135">
        <f>'raw data Crude oil'!T136</f>
        <v>45.57</v>
      </c>
      <c r="U135">
        <f>'raw data Crude oil'!U136</f>
        <v>45.78</v>
      </c>
      <c r="V135">
        <f>'raw data Crude oil'!V136</f>
        <v>45.96</v>
      </c>
      <c r="W135">
        <f>'raw data Crude oil'!W136</f>
        <v>46.12</v>
      </c>
      <c r="X135">
        <f>'raw data Crude oil'!X136</f>
        <v>46.29</v>
      </c>
      <c r="Y135">
        <f>'raw data Crude oil'!Y136</f>
        <v>46.44</v>
      </c>
      <c r="Z135">
        <f>'raw data Crude oil'!Z136</f>
        <v>0</v>
      </c>
      <c r="AA135">
        <f>'raw data Crude oil'!AA136</f>
        <v>0</v>
      </c>
      <c r="AB135">
        <f>'raw data Crude oil'!AB136</f>
        <v>0</v>
      </c>
      <c r="AC135">
        <f>'raw data Crude oil'!AC136</f>
        <v>0</v>
      </c>
      <c r="AD135">
        <f>'raw data Crude oil'!AD136</f>
        <v>0</v>
      </c>
      <c r="AE135">
        <f>'raw data Crude oil'!AE136</f>
        <v>0</v>
      </c>
      <c r="AF135">
        <f>'raw data Crude oil'!AF136</f>
        <v>0</v>
      </c>
      <c r="AG135">
        <f>'raw data Crude oil'!AG136</f>
        <v>0</v>
      </c>
      <c r="AH135">
        <f>'raw data Crude oil'!AH136</f>
        <v>0</v>
      </c>
      <c r="AI135">
        <f>'raw data Crude oil'!AI136</f>
        <v>0</v>
      </c>
      <c r="AJ135">
        <f>'raw data Crude oil'!AJ136</f>
        <v>0</v>
      </c>
      <c r="AK135">
        <f>'raw data Crude oil'!AK136</f>
        <v>0</v>
      </c>
    </row>
    <row r="136" spans="1:37" x14ac:dyDescent="0.3">
      <c r="A136" s="18">
        <f>'raw data Crude oil'!A137</f>
        <v>42926</v>
      </c>
      <c r="B136">
        <f>'raw data Crude oil'!B137</f>
        <v>46.88</v>
      </c>
      <c r="C136">
        <f>'raw data Crude oil'!C137</f>
        <v>47.17</v>
      </c>
      <c r="D136">
        <f>'raw data Crude oil'!D137</f>
        <v>47.51</v>
      </c>
      <c r="E136">
        <f>'raw data Crude oil'!E137</f>
        <v>47.83</v>
      </c>
      <c r="F136">
        <f>'raw data Crude oil'!F137</f>
        <v>48.13</v>
      </c>
      <c r="G136">
        <f>'raw data Crude oil'!G137</f>
        <v>48.41</v>
      </c>
      <c r="H136">
        <f>'raw data Crude oil'!H137</f>
        <v>48.67</v>
      </c>
      <c r="I136">
        <f>'raw data Crude oil'!I137</f>
        <v>48.91</v>
      </c>
      <c r="J136">
        <f>'raw data Crude oil'!J137</f>
        <v>49.14</v>
      </c>
      <c r="K136">
        <f>'raw data Crude oil'!K137</f>
        <v>49.34</v>
      </c>
      <c r="L136">
        <f>'raw data Crude oil'!L137</f>
        <v>49.55</v>
      </c>
      <c r="M136">
        <f>'raw data Crude oil'!M137</f>
        <v>49.75</v>
      </c>
      <c r="N136">
        <f>'raw data Crude oil'!N137</f>
        <v>44.4</v>
      </c>
      <c r="O136">
        <f>'raw data Crude oil'!O137</f>
        <v>44.6</v>
      </c>
      <c r="P136">
        <f>'raw data Crude oil'!P137</f>
        <v>44.79</v>
      </c>
      <c r="Q136">
        <f>'raw data Crude oil'!Q137</f>
        <v>45.04</v>
      </c>
      <c r="R136">
        <f>'raw data Crude oil'!R137</f>
        <v>45.32</v>
      </c>
      <c r="S136">
        <f>'raw data Crude oil'!S137</f>
        <v>45.58</v>
      </c>
      <c r="T136">
        <f>'raw data Crude oil'!T137</f>
        <v>45.82</v>
      </c>
      <c r="U136">
        <f>'raw data Crude oil'!U137</f>
        <v>46.04</v>
      </c>
      <c r="V136">
        <f>'raw data Crude oil'!V137</f>
        <v>46.25</v>
      </c>
      <c r="W136">
        <f>'raw data Crude oil'!W137</f>
        <v>46.44</v>
      </c>
      <c r="X136">
        <f>'raw data Crude oil'!X137</f>
        <v>46.62</v>
      </c>
      <c r="Y136">
        <f>'raw data Crude oil'!Y137</f>
        <v>46.8</v>
      </c>
      <c r="Z136">
        <f>'raw data Crude oil'!Z137</f>
        <v>0</v>
      </c>
      <c r="AA136">
        <f>'raw data Crude oil'!AA137</f>
        <v>0</v>
      </c>
      <c r="AB136">
        <f>'raw data Crude oil'!AB137</f>
        <v>0</v>
      </c>
      <c r="AC136">
        <f>'raw data Crude oil'!AC137</f>
        <v>0</v>
      </c>
      <c r="AD136">
        <f>'raw data Crude oil'!AD137</f>
        <v>0</v>
      </c>
      <c r="AE136">
        <f>'raw data Crude oil'!AE137</f>
        <v>0</v>
      </c>
      <c r="AF136">
        <f>'raw data Crude oil'!AF137</f>
        <v>0</v>
      </c>
      <c r="AG136">
        <f>'raw data Crude oil'!AG137</f>
        <v>0</v>
      </c>
      <c r="AH136">
        <f>'raw data Crude oil'!AH137</f>
        <v>0</v>
      </c>
      <c r="AI136">
        <f>'raw data Crude oil'!AI137</f>
        <v>0</v>
      </c>
      <c r="AJ136">
        <f>'raw data Crude oil'!AJ137</f>
        <v>0</v>
      </c>
      <c r="AK136">
        <f>'raw data Crude oil'!AK137</f>
        <v>0</v>
      </c>
    </row>
    <row r="137" spans="1:37" x14ac:dyDescent="0.3">
      <c r="A137" s="18">
        <f>'raw data Crude oil'!A138</f>
        <v>42927</v>
      </c>
      <c r="B137">
        <f>'raw data Crude oil'!B138</f>
        <v>47.52</v>
      </c>
      <c r="C137">
        <f>'raw data Crude oil'!C138</f>
        <v>47.81</v>
      </c>
      <c r="D137">
        <f>'raw data Crude oil'!D138</f>
        <v>48.13</v>
      </c>
      <c r="E137">
        <f>'raw data Crude oil'!E138</f>
        <v>48.44</v>
      </c>
      <c r="F137">
        <f>'raw data Crude oil'!F138</f>
        <v>48.73</v>
      </c>
      <c r="G137">
        <f>'raw data Crude oil'!G138</f>
        <v>48.99</v>
      </c>
      <c r="H137">
        <f>'raw data Crude oil'!H138</f>
        <v>49.23</v>
      </c>
      <c r="I137">
        <f>'raw data Crude oil'!I138</f>
        <v>49.46</v>
      </c>
      <c r="J137">
        <f>'raw data Crude oil'!J138</f>
        <v>49.69</v>
      </c>
      <c r="K137">
        <f>'raw data Crude oil'!K138</f>
        <v>49.89</v>
      </c>
      <c r="L137">
        <f>'raw data Crude oil'!L138</f>
        <v>50.11</v>
      </c>
      <c r="M137">
        <f>'raw data Crude oil'!M138</f>
        <v>50.3</v>
      </c>
      <c r="N137">
        <f>'raw data Crude oil'!N138</f>
        <v>45.04</v>
      </c>
      <c r="O137">
        <f>'raw data Crude oil'!O138</f>
        <v>45.23</v>
      </c>
      <c r="P137">
        <f>'raw data Crude oil'!P138</f>
        <v>45.4</v>
      </c>
      <c r="Q137">
        <f>'raw data Crude oil'!Q138</f>
        <v>45.65</v>
      </c>
      <c r="R137">
        <f>'raw data Crude oil'!R138</f>
        <v>45.92</v>
      </c>
      <c r="S137">
        <f>'raw data Crude oil'!S138</f>
        <v>46.17</v>
      </c>
      <c r="T137">
        <f>'raw data Crude oil'!T138</f>
        <v>46.39</v>
      </c>
      <c r="U137">
        <f>'raw data Crude oil'!U138</f>
        <v>46.59</v>
      </c>
      <c r="V137">
        <f>'raw data Crude oil'!V138</f>
        <v>46.78</v>
      </c>
      <c r="W137">
        <f>'raw data Crude oil'!W138</f>
        <v>46.96</v>
      </c>
      <c r="X137">
        <f>'raw data Crude oil'!X138</f>
        <v>47.13</v>
      </c>
      <c r="Y137">
        <f>'raw data Crude oil'!Y138</f>
        <v>47.29</v>
      </c>
      <c r="Z137">
        <f>'raw data Crude oil'!Z138</f>
        <v>0</v>
      </c>
      <c r="AA137">
        <f>'raw data Crude oil'!AA138</f>
        <v>0</v>
      </c>
      <c r="AB137">
        <f>'raw data Crude oil'!AB138</f>
        <v>0</v>
      </c>
      <c r="AC137">
        <f>'raw data Crude oil'!AC138</f>
        <v>0</v>
      </c>
      <c r="AD137">
        <f>'raw data Crude oil'!AD138</f>
        <v>0</v>
      </c>
      <c r="AE137">
        <f>'raw data Crude oil'!AE138</f>
        <v>0</v>
      </c>
      <c r="AF137">
        <f>'raw data Crude oil'!AF138</f>
        <v>0</v>
      </c>
      <c r="AG137">
        <f>'raw data Crude oil'!AG138</f>
        <v>0</v>
      </c>
      <c r="AH137">
        <f>'raw data Crude oil'!AH138</f>
        <v>0</v>
      </c>
      <c r="AI137">
        <f>'raw data Crude oil'!AI138</f>
        <v>0</v>
      </c>
      <c r="AJ137">
        <f>'raw data Crude oil'!AJ138</f>
        <v>0</v>
      </c>
      <c r="AK137">
        <f>'raw data Crude oil'!AK138</f>
        <v>0</v>
      </c>
    </row>
    <row r="138" spans="1:37" x14ac:dyDescent="0.3">
      <c r="A138" s="18">
        <f>'raw data Crude oil'!A139</f>
        <v>42928</v>
      </c>
      <c r="B138">
        <f>'raw data Crude oil'!B139</f>
        <v>47.74</v>
      </c>
      <c r="C138">
        <f>'raw data Crude oil'!C139</f>
        <v>48.03</v>
      </c>
      <c r="D138">
        <f>'raw data Crude oil'!D139</f>
        <v>48.34</v>
      </c>
      <c r="E138">
        <f>'raw data Crude oil'!E139</f>
        <v>48.63</v>
      </c>
      <c r="F138">
        <f>'raw data Crude oil'!F139</f>
        <v>48.9</v>
      </c>
      <c r="G138">
        <f>'raw data Crude oil'!G139</f>
        <v>49.14</v>
      </c>
      <c r="H138">
        <f>'raw data Crude oil'!H139</f>
        <v>49.35</v>
      </c>
      <c r="I138">
        <f>'raw data Crude oil'!I139</f>
        <v>49.56</v>
      </c>
      <c r="J138">
        <f>'raw data Crude oil'!J139</f>
        <v>49.76</v>
      </c>
      <c r="K138">
        <f>'raw data Crude oil'!K139</f>
        <v>49.94</v>
      </c>
      <c r="L138">
        <f>'raw data Crude oil'!L139</f>
        <v>50.14</v>
      </c>
      <c r="M138">
        <f>'raw data Crude oil'!M139</f>
        <v>50.32</v>
      </c>
      <c r="N138">
        <f>'raw data Crude oil'!N139</f>
        <v>45.49</v>
      </c>
      <c r="O138">
        <f>'raw data Crude oil'!O139</f>
        <v>45.66</v>
      </c>
      <c r="P138">
        <f>'raw data Crude oil'!P139</f>
        <v>45.81</v>
      </c>
      <c r="Q138">
        <f>'raw data Crude oil'!Q139</f>
        <v>46.01</v>
      </c>
      <c r="R138">
        <f>'raw data Crude oil'!R139</f>
        <v>46.24</v>
      </c>
      <c r="S138">
        <f>'raw data Crude oil'!S139</f>
        <v>46.45</v>
      </c>
      <c r="T138">
        <f>'raw data Crude oil'!T139</f>
        <v>46.63</v>
      </c>
      <c r="U138">
        <f>'raw data Crude oil'!U139</f>
        <v>46.79</v>
      </c>
      <c r="V138">
        <f>'raw data Crude oil'!V139</f>
        <v>46.94</v>
      </c>
      <c r="W138">
        <f>'raw data Crude oil'!W139</f>
        <v>47.08</v>
      </c>
      <c r="X138">
        <f>'raw data Crude oil'!X139</f>
        <v>47.22</v>
      </c>
      <c r="Y138">
        <f>'raw data Crude oil'!Y139</f>
        <v>47.34</v>
      </c>
      <c r="Z138">
        <f>'raw data Crude oil'!Z139</f>
        <v>0</v>
      </c>
      <c r="AA138">
        <f>'raw data Crude oil'!AA139</f>
        <v>0</v>
      </c>
      <c r="AB138">
        <f>'raw data Crude oil'!AB139</f>
        <v>0</v>
      </c>
      <c r="AC138">
        <f>'raw data Crude oil'!AC139</f>
        <v>0</v>
      </c>
      <c r="AD138">
        <f>'raw data Crude oil'!AD139</f>
        <v>0</v>
      </c>
      <c r="AE138">
        <f>'raw data Crude oil'!AE139</f>
        <v>0</v>
      </c>
      <c r="AF138">
        <f>'raw data Crude oil'!AF139</f>
        <v>0</v>
      </c>
      <c r="AG138">
        <f>'raw data Crude oil'!AG139</f>
        <v>0</v>
      </c>
      <c r="AH138">
        <f>'raw data Crude oil'!AH139</f>
        <v>0</v>
      </c>
      <c r="AI138">
        <f>'raw data Crude oil'!AI139</f>
        <v>0</v>
      </c>
      <c r="AJ138">
        <f>'raw data Crude oil'!AJ139</f>
        <v>0</v>
      </c>
      <c r="AK138">
        <f>'raw data Crude oil'!AK139</f>
        <v>0</v>
      </c>
    </row>
    <row r="139" spans="1:37" x14ac:dyDescent="0.3">
      <c r="A139" s="18">
        <f>'raw data Crude oil'!A140</f>
        <v>42929</v>
      </c>
      <c r="B139">
        <f>'raw data Crude oil'!B140</f>
        <v>48.42</v>
      </c>
      <c r="C139">
        <f>'raw data Crude oil'!C140</f>
        <v>48.68</v>
      </c>
      <c r="D139">
        <f>'raw data Crude oil'!D140</f>
        <v>48.96</v>
      </c>
      <c r="E139">
        <f>'raw data Crude oil'!E140</f>
        <v>49.23</v>
      </c>
      <c r="F139">
        <f>'raw data Crude oil'!F140</f>
        <v>49.46</v>
      </c>
      <c r="G139">
        <f>'raw data Crude oil'!G140</f>
        <v>49.68</v>
      </c>
      <c r="H139">
        <f>'raw data Crude oil'!H140</f>
        <v>49.87</v>
      </c>
      <c r="I139">
        <f>'raw data Crude oil'!I140</f>
        <v>50.05</v>
      </c>
      <c r="J139">
        <f>'raw data Crude oil'!J140</f>
        <v>50.23</v>
      </c>
      <c r="K139">
        <f>'raw data Crude oil'!K140</f>
        <v>50.39</v>
      </c>
      <c r="L139">
        <f>'raw data Crude oil'!L140</f>
        <v>50.58</v>
      </c>
      <c r="M139">
        <f>'raw data Crude oil'!M140</f>
        <v>50.75</v>
      </c>
      <c r="N139">
        <f>'raw data Crude oil'!N140</f>
        <v>46.08</v>
      </c>
      <c r="O139">
        <f>'raw data Crude oil'!O140</f>
        <v>46.25</v>
      </c>
      <c r="P139">
        <f>'raw data Crude oil'!P140</f>
        <v>46.4</v>
      </c>
      <c r="Q139">
        <f>'raw data Crude oil'!Q140</f>
        <v>46.59</v>
      </c>
      <c r="R139">
        <f>'raw data Crude oil'!R140</f>
        <v>46.81</v>
      </c>
      <c r="S139">
        <f>'raw data Crude oil'!S140</f>
        <v>47</v>
      </c>
      <c r="T139">
        <f>'raw data Crude oil'!T140</f>
        <v>47.16</v>
      </c>
      <c r="U139">
        <f>'raw data Crude oil'!U140</f>
        <v>47.31</v>
      </c>
      <c r="V139">
        <f>'raw data Crude oil'!V140</f>
        <v>47.44</v>
      </c>
      <c r="W139">
        <f>'raw data Crude oil'!W140</f>
        <v>47.56</v>
      </c>
      <c r="X139">
        <f>'raw data Crude oil'!X140</f>
        <v>47.68</v>
      </c>
      <c r="Y139">
        <f>'raw data Crude oil'!Y140</f>
        <v>47.78</v>
      </c>
      <c r="Z139">
        <f>'raw data Crude oil'!Z140</f>
        <v>0</v>
      </c>
      <c r="AA139">
        <f>'raw data Crude oil'!AA140</f>
        <v>0</v>
      </c>
      <c r="AB139">
        <f>'raw data Crude oil'!AB140</f>
        <v>0</v>
      </c>
      <c r="AC139">
        <f>'raw data Crude oil'!AC140</f>
        <v>0</v>
      </c>
      <c r="AD139">
        <f>'raw data Crude oil'!AD140</f>
        <v>0</v>
      </c>
      <c r="AE139">
        <f>'raw data Crude oil'!AE140</f>
        <v>0</v>
      </c>
      <c r="AF139">
        <f>'raw data Crude oil'!AF140</f>
        <v>0</v>
      </c>
      <c r="AG139">
        <f>'raw data Crude oil'!AG140</f>
        <v>0</v>
      </c>
      <c r="AH139">
        <f>'raw data Crude oil'!AH140</f>
        <v>0</v>
      </c>
      <c r="AI139">
        <f>'raw data Crude oil'!AI140</f>
        <v>0</v>
      </c>
      <c r="AJ139">
        <f>'raw data Crude oil'!AJ140</f>
        <v>0</v>
      </c>
      <c r="AK139">
        <f>'raw data Crude oil'!AK140</f>
        <v>0</v>
      </c>
    </row>
    <row r="140" spans="1:37" x14ac:dyDescent="0.3">
      <c r="A140" s="18">
        <f>'raw data Crude oil'!A141</f>
        <v>42930</v>
      </c>
      <c r="B140">
        <f>'raw data Crude oil'!B141</f>
        <v>48.91</v>
      </c>
      <c r="C140">
        <f>'raw data Crude oil'!C141</f>
        <v>49.17</v>
      </c>
      <c r="D140">
        <f>'raw data Crude oil'!D141</f>
        <v>49.47</v>
      </c>
      <c r="E140">
        <f>'raw data Crude oil'!E141</f>
        <v>49.74</v>
      </c>
      <c r="F140">
        <f>'raw data Crude oil'!F141</f>
        <v>49.98</v>
      </c>
      <c r="G140">
        <f>'raw data Crude oil'!G141</f>
        <v>50.21</v>
      </c>
      <c r="H140">
        <f>'raw data Crude oil'!H141</f>
        <v>50.4</v>
      </c>
      <c r="I140">
        <f>'raw data Crude oil'!I141</f>
        <v>50.58</v>
      </c>
      <c r="J140">
        <f>'raw data Crude oil'!J141</f>
        <v>50.75</v>
      </c>
      <c r="K140">
        <f>'raw data Crude oil'!K141</f>
        <v>50.9</v>
      </c>
      <c r="L140">
        <f>'raw data Crude oil'!L141</f>
        <v>51.07</v>
      </c>
      <c r="M140">
        <f>'raw data Crude oil'!M141</f>
        <v>51.24</v>
      </c>
      <c r="N140">
        <f>'raw data Crude oil'!N141</f>
        <v>46.54</v>
      </c>
      <c r="O140">
        <f>'raw data Crude oil'!O141</f>
        <v>46.75</v>
      </c>
      <c r="P140">
        <f>'raw data Crude oil'!P141</f>
        <v>46.92</v>
      </c>
      <c r="Q140">
        <f>'raw data Crude oil'!Q141</f>
        <v>47.12</v>
      </c>
      <c r="R140">
        <f>'raw data Crude oil'!R141</f>
        <v>47.35</v>
      </c>
      <c r="S140">
        <f>'raw data Crude oil'!S141</f>
        <v>47.55</v>
      </c>
      <c r="T140">
        <f>'raw data Crude oil'!T141</f>
        <v>47.71</v>
      </c>
      <c r="U140">
        <f>'raw data Crude oil'!U141</f>
        <v>47.86</v>
      </c>
      <c r="V140">
        <f>'raw data Crude oil'!V141</f>
        <v>47.99</v>
      </c>
      <c r="W140">
        <f>'raw data Crude oil'!W141</f>
        <v>48.1</v>
      </c>
      <c r="X140">
        <f>'raw data Crude oil'!X141</f>
        <v>48.21</v>
      </c>
      <c r="Y140">
        <f>'raw data Crude oil'!Y141</f>
        <v>48.3</v>
      </c>
      <c r="Z140">
        <f>'raw data Crude oil'!Z141</f>
        <v>0</v>
      </c>
      <c r="AA140">
        <f>'raw data Crude oil'!AA141</f>
        <v>0</v>
      </c>
      <c r="AB140">
        <f>'raw data Crude oil'!AB141</f>
        <v>0</v>
      </c>
      <c r="AC140">
        <f>'raw data Crude oil'!AC141</f>
        <v>0</v>
      </c>
      <c r="AD140">
        <f>'raw data Crude oil'!AD141</f>
        <v>0</v>
      </c>
      <c r="AE140">
        <f>'raw data Crude oil'!AE141</f>
        <v>0</v>
      </c>
      <c r="AF140">
        <f>'raw data Crude oil'!AF141</f>
        <v>0</v>
      </c>
      <c r="AG140">
        <f>'raw data Crude oil'!AG141</f>
        <v>0</v>
      </c>
      <c r="AH140">
        <f>'raw data Crude oil'!AH141</f>
        <v>0</v>
      </c>
      <c r="AI140">
        <f>'raw data Crude oil'!AI141</f>
        <v>0</v>
      </c>
      <c r="AJ140">
        <f>'raw data Crude oil'!AJ141</f>
        <v>0</v>
      </c>
      <c r="AK140">
        <f>'raw data Crude oil'!AK141</f>
        <v>0</v>
      </c>
    </row>
    <row r="141" spans="1:37" x14ac:dyDescent="0.3">
      <c r="A141" s="18">
        <f>'raw data Crude oil'!A142</f>
        <v>42933</v>
      </c>
      <c r="B141">
        <f>'raw data Crude oil'!B142</f>
        <v>48.42</v>
      </c>
      <c r="C141">
        <f>'raw data Crude oil'!C142</f>
        <v>48.68</v>
      </c>
      <c r="D141">
        <f>'raw data Crude oil'!D142</f>
        <v>49</v>
      </c>
      <c r="E141">
        <f>'raw data Crude oil'!E142</f>
        <v>49.29</v>
      </c>
      <c r="F141">
        <f>'raw data Crude oil'!F142</f>
        <v>49.56</v>
      </c>
      <c r="G141">
        <f>'raw data Crude oil'!G142</f>
        <v>49.8</v>
      </c>
      <c r="H141">
        <f>'raw data Crude oil'!H142</f>
        <v>50.01</v>
      </c>
      <c r="I141">
        <f>'raw data Crude oil'!I142</f>
        <v>50.19</v>
      </c>
      <c r="J141">
        <f>'raw data Crude oil'!J142</f>
        <v>50.37</v>
      </c>
      <c r="K141">
        <f>'raw data Crude oil'!K142</f>
        <v>50.52</v>
      </c>
      <c r="L141">
        <f>'raw data Crude oil'!L142</f>
        <v>50.7</v>
      </c>
      <c r="M141">
        <f>'raw data Crude oil'!M142</f>
        <v>50.86</v>
      </c>
      <c r="N141">
        <f>'raw data Crude oil'!N142</f>
        <v>46.02</v>
      </c>
      <c r="O141">
        <f>'raw data Crude oil'!O142</f>
        <v>46.23</v>
      </c>
      <c r="P141">
        <f>'raw data Crude oil'!P142</f>
        <v>46.41</v>
      </c>
      <c r="Q141">
        <f>'raw data Crude oil'!Q142</f>
        <v>46.64</v>
      </c>
      <c r="R141">
        <f>'raw data Crude oil'!R142</f>
        <v>46.91</v>
      </c>
      <c r="S141">
        <f>'raw data Crude oil'!S142</f>
        <v>47.16</v>
      </c>
      <c r="T141">
        <f>'raw data Crude oil'!T142</f>
        <v>47.36</v>
      </c>
      <c r="U141">
        <f>'raw data Crude oil'!U142</f>
        <v>47.53</v>
      </c>
      <c r="V141">
        <f>'raw data Crude oil'!V142</f>
        <v>47.67</v>
      </c>
      <c r="W141">
        <f>'raw data Crude oil'!W142</f>
        <v>47.79</v>
      </c>
      <c r="X141">
        <f>'raw data Crude oil'!X142</f>
        <v>47.91</v>
      </c>
      <c r="Y141">
        <f>'raw data Crude oil'!Y142</f>
        <v>48.01</v>
      </c>
      <c r="Z141">
        <f>'raw data Crude oil'!Z142</f>
        <v>0</v>
      </c>
      <c r="AA141">
        <f>'raw data Crude oil'!AA142</f>
        <v>0</v>
      </c>
      <c r="AB141">
        <f>'raw data Crude oil'!AB142</f>
        <v>0</v>
      </c>
      <c r="AC141">
        <f>'raw data Crude oil'!AC142</f>
        <v>0</v>
      </c>
      <c r="AD141">
        <f>'raw data Crude oil'!AD142</f>
        <v>0</v>
      </c>
      <c r="AE141">
        <f>'raw data Crude oil'!AE142</f>
        <v>0</v>
      </c>
      <c r="AF141">
        <f>'raw data Crude oil'!AF142</f>
        <v>0</v>
      </c>
      <c r="AG141">
        <f>'raw data Crude oil'!AG142</f>
        <v>0</v>
      </c>
      <c r="AH141">
        <f>'raw data Crude oil'!AH142</f>
        <v>0</v>
      </c>
      <c r="AI141">
        <f>'raw data Crude oil'!AI142</f>
        <v>0</v>
      </c>
      <c r="AJ141">
        <f>'raw data Crude oil'!AJ142</f>
        <v>0</v>
      </c>
      <c r="AK141">
        <f>'raw data Crude oil'!AK142</f>
        <v>0</v>
      </c>
    </row>
    <row r="142" spans="1:37" x14ac:dyDescent="0.3">
      <c r="A142" s="18">
        <f>'raw data Crude oil'!A143</f>
        <v>42934</v>
      </c>
      <c r="B142">
        <f>'raw data Crude oil'!B143</f>
        <v>48.84</v>
      </c>
      <c r="C142">
        <f>'raw data Crude oil'!C143</f>
        <v>49.08</v>
      </c>
      <c r="D142">
        <f>'raw data Crude oil'!D143</f>
        <v>49.38</v>
      </c>
      <c r="E142">
        <f>'raw data Crude oil'!E143</f>
        <v>49.65</v>
      </c>
      <c r="F142">
        <f>'raw data Crude oil'!F143</f>
        <v>49.89</v>
      </c>
      <c r="G142">
        <f>'raw data Crude oil'!G143</f>
        <v>50.12</v>
      </c>
      <c r="H142">
        <f>'raw data Crude oil'!H143</f>
        <v>50.31</v>
      </c>
      <c r="I142">
        <f>'raw data Crude oil'!I143</f>
        <v>50.48</v>
      </c>
      <c r="J142">
        <f>'raw data Crude oil'!J143</f>
        <v>50.63</v>
      </c>
      <c r="K142">
        <f>'raw data Crude oil'!K143</f>
        <v>50.77</v>
      </c>
      <c r="L142">
        <f>'raw data Crude oil'!L143</f>
        <v>50.94</v>
      </c>
      <c r="M142">
        <f>'raw data Crude oil'!M143</f>
        <v>51.09</v>
      </c>
      <c r="N142">
        <f>'raw data Crude oil'!N143</f>
        <v>46.4</v>
      </c>
      <c r="O142">
        <f>'raw data Crude oil'!O143</f>
        <v>46.59</v>
      </c>
      <c r="P142">
        <f>'raw data Crude oil'!P143</f>
        <v>46.76</v>
      </c>
      <c r="Q142">
        <f>'raw data Crude oil'!Q143</f>
        <v>46.99</v>
      </c>
      <c r="R142">
        <f>'raw data Crude oil'!R143</f>
        <v>47.25</v>
      </c>
      <c r="S142">
        <f>'raw data Crude oil'!S143</f>
        <v>47.49</v>
      </c>
      <c r="T142">
        <f>'raw data Crude oil'!T143</f>
        <v>47.67</v>
      </c>
      <c r="U142">
        <f>'raw data Crude oil'!U143</f>
        <v>47.82</v>
      </c>
      <c r="V142">
        <f>'raw data Crude oil'!V143</f>
        <v>47.94</v>
      </c>
      <c r="W142">
        <f>'raw data Crude oil'!W143</f>
        <v>48.04</v>
      </c>
      <c r="X142">
        <f>'raw data Crude oil'!X143</f>
        <v>48.14</v>
      </c>
      <c r="Y142">
        <f>'raw data Crude oil'!Y143</f>
        <v>48.22</v>
      </c>
      <c r="Z142">
        <f>'raw data Crude oil'!Z143</f>
        <v>0</v>
      </c>
      <c r="AA142">
        <f>'raw data Crude oil'!AA143</f>
        <v>0</v>
      </c>
      <c r="AB142">
        <f>'raw data Crude oil'!AB143</f>
        <v>0</v>
      </c>
      <c r="AC142">
        <f>'raw data Crude oil'!AC143</f>
        <v>0</v>
      </c>
      <c r="AD142">
        <f>'raw data Crude oil'!AD143</f>
        <v>0</v>
      </c>
      <c r="AE142">
        <f>'raw data Crude oil'!AE143</f>
        <v>0</v>
      </c>
      <c r="AF142">
        <f>'raw data Crude oil'!AF143</f>
        <v>0</v>
      </c>
      <c r="AG142">
        <f>'raw data Crude oil'!AG143</f>
        <v>0</v>
      </c>
      <c r="AH142">
        <f>'raw data Crude oil'!AH143</f>
        <v>0</v>
      </c>
      <c r="AI142">
        <f>'raw data Crude oil'!AI143</f>
        <v>0</v>
      </c>
      <c r="AJ142">
        <f>'raw data Crude oil'!AJ143</f>
        <v>0</v>
      </c>
      <c r="AK142">
        <f>'raw data Crude oil'!AK143</f>
        <v>0</v>
      </c>
    </row>
    <row r="143" spans="1:37" x14ac:dyDescent="0.3">
      <c r="A143" s="18">
        <f>'raw data Crude oil'!A144</f>
        <v>42935</v>
      </c>
      <c r="B143">
        <f>'raw data Crude oil'!B144</f>
        <v>49.7</v>
      </c>
      <c r="C143">
        <f>'raw data Crude oil'!C144</f>
        <v>49.93</v>
      </c>
      <c r="D143">
        <f>'raw data Crude oil'!D144</f>
        <v>50.22</v>
      </c>
      <c r="E143">
        <f>'raw data Crude oil'!E144</f>
        <v>50.48</v>
      </c>
      <c r="F143">
        <f>'raw data Crude oil'!F144</f>
        <v>50.71</v>
      </c>
      <c r="G143">
        <f>'raw data Crude oil'!G144</f>
        <v>50.93</v>
      </c>
      <c r="H143">
        <f>'raw data Crude oil'!H144</f>
        <v>51.1</v>
      </c>
      <c r="I143">
        <f>'raw data Crude oil'!I144</f>
        <v>51.25</v>
      </c>
      <c r="J143">
        <f>'raw data Crude oil'!J144</f>
        <v>51.38</v>
      </c>
      <c r="K143">
        <f>'raw data Crude oil'!K144</f>
        <v>51.49</v>
      </c>
      <c r="L143">
        <f>'raw data Crude oil'!L144</f>
        <v>51.63</v>
      </c>
      <c r="M143">
        <f>'raw data Crude oil'!M144</f>
        <v>51.75</v>
      </c>
      <c r="N143">
        <f>'raw data Crude oil'!N144</f>
        <v>47.12</v>
      </c>
      <c r="O143">
        <f>'raw data Crude oil'!O144</f>
        <v>47.32</v>
      </c>
      <c r="P143">
        <f>'raw data Crude oil'!P144</f>
        <v>47.5</v>
      </c>
      <c r="Q143">
        <f>'raw data Crude oil'!Q144</f>
        <v>47.73</v>
      </c>
      <c r="R143">
        <f>'raw data Crude oil'!R144</f>
        <v>47.99</v>
      </c>
      <c r="S143">
        <f>'raw data Crude oil'!S144</f>
        <v>48.22</v>
      </c>
      <c r="T143">
        <f>'raw data Crude oil'!T144</f>
        <v>48.39</v>
      </c>
      <c r="U143">
        <f>'raw data Crude oil'!U144</f>
        <v>48.53</v>
      </c>
      <c r="V143">
        <f>'raw data Crude oil'!V144</f>
        <v>48.64</v>
      </c>
      <c r="W143">
        <f>'raw data Crude oil'!W144</f>
        <v>48.73</v>
      </c>
      <c r="X143">
        <f>'raw data Crude oil'!X144</f>
        <v>48.81</v>
      </c>
      <c r="Y143">
        <f>'raw data Crude oil'!Y144</f>
        <v>48.87</v>
      </c>
      <c r="Z143">
        <f>'raw data Crude oil'!Z144</f>
        <v>0</v>
      </c>
      <c r="AA143">
        <f>'raw data Crude oil'!AA144</f>
        <v>0</v>
      </c>
      <c r="AB143">
        <f>'raw data Crude oil'!AB144</f>
        <v>0</v>
      </c>
      <c r="AC143">
        <f>'raw data Crude oil'!AC144</f>
        <v>0</v>
      </c>
      <c r="AD143">
        <f>'raw data Crude oil'!AD144</f>
        <v>0</v>
      </c>
      <c r="AE143">
        <f>'raw data Crude oil'!AE144</f>
        <v>0</v>
      </c>
      <c r="AF143">
        <f>'raw data Crude oil'!AF144</f>
        <v>0</v>
      </c>
      <c r="AG143">
        <f>'raw data Crude oil'!AG144</f>
        <v>0</v>
      </c>
      <c r="AH143">
        <f>'raw data Crude oil'!AH144</f>
        <v>0</v>
      </c>
      <c r="AI143">
        <f>'raw data Crude oil'!AI144</f>
        <v>0</v>
      </c>
      <c r="AJ143">
        <f>'raw data Crude oil'!AJ144</f>
        <v>0</v>
      </c>
      <c r="AK143">
        <f>'raw data Crude oil'!AK144</f>
        <v>0</v>
      </c>
    </row>
    <row r="144" spans="1:37" x14ac:dyDescent="0.3">
      <c r="A144" s="18">
        <f>'raw data Crude oil'!A145</f>
        <v>42936</v>
      </c>
      <c r="B144">
        <f>'raw data Crude oil'!B145</f>
        <v>49.3</v>
      </c>
      <c r="C144">
        <f>'raw data Crude oil'!C145</f>
        <v>49.52</v>
      </c>
      <c r="D144">
        <f>'raw data Crude oil'!D145</f>
        <v>49.81</v>
      </c>
      <c r="E144">
        <f>'raw data Crude oil'!E145</f>
        <v>50.08</v>
      </c>
      <c r="F144">
        <f>'raw data Crude oil'!F145</f>
        <v>50.3</v>
      </c>
      <c r="G144">
        <f>'raw data Crude oil'!G145</f>
        <v>50.52</v>
      </c>
      <c r="H144">
        <f>'raw data Crude oil'!H145</f>
        <v>50.69</v>
      </c>
      <c r="I144">
        <f>'raw data Crude oil'!I145</f>
        <v>50.84</v>
      </c>
      <c r="J144">
        <f>'raw data Crude oil'!J145</f>
        <v>50.96</v>
      </c>
      <c r="K144">
        <f>'raw data Crude oil'!K145</f>
        <v>51.07</v>
      </c>
      <c r="L144">
        <f>'raw data Crude oil'!L145</f>
        <v>51.2</v>
      </c>
      <c r="M144">
        <f>'raw data Crude oil'!M145</f>
        <v>51.32</v>
      </c>
      <c r="N144">
        <f>'raw data Crude oil'!N145</f>
        <v>46.79</v>
      </c>
      <c r="O144">
        <f>'raw data Crude oil'!O145</f>
        <v>46.92</v>
      </c>
      <c r="P144">
        <f>'raw data Crude oil'!P145</f>
        <v>47.1</v>
      </c>
      <c r="Q144">
        <f>'raw data Crude oil'!Q145</f>
        <v>47.34</v>
      </c>
      <c r="R144">
        <f>'raw data Crude oil'!R145</f>
        <v>47.6</v>
      </c>
      <c r="S144">
        <f>'raw data Crude oil'!S145</f>
        <v>47.83</v>
      </c>
      <c r="T144">
        <f>'raw data Crude oil'!T145</f>
        <v>48</v>
      </c>
      <c r="U144">
        <f>'raw data Crude oil'!U145</f>
        <v>48.14</v>
      </c>
      <c r="V144">
        <f>'raw data Crude oil'!V145</f>
        <v>48.25</v>
      </c>
      <c r="W144">
        <f>'raw data Crude oil'!W145</f>
        <v>48.33</v>
      </c>
      <c r="X144">
        <f>'raw data Crude oil'!X145</f>
        <v>48.41</v>
      </c>
      <c r="Y144">
        <f>'raw data Crude oil'!Y145</f>
        <v>48.47</v>
      </c>
      <c r="Z144">
        <f>'raw data Crude oil'!Z145</f>
        <v>0</v>
      </c>
      <c r="AA144">
        <f>'raw data Crude oil'!AA145</f>
        <v>0</v>
      </c>
      <c r="AB144">
        <f>'raw data Crude oil'!AB145</f>
        <v>0</v>
      </c>
      <c r="AC144">
        <f>'raw data Crude oil'!AC145</f>
        <v>0</v>
      </c>
      <c r="AD144">
        <f>'raw data Crude oil'!AD145</f>
        <v>0</v>
      </c>
      <c r="AE144">
        <f>'raw data Crude oil'!AE145</f>
        <v>0</v>
      </c>
      <c r="AF144">
        <f>'raw data Crude oil'!AF145</f>
        <v>0</v>
      </c>
      <c r="AG144">
        <f>'raw data Crude oil'!AG145</f>
        <v>0</v>
      </c>
      <c r="AH144">
        <f>'raw data Crude oil'!AH145</f>
        <v>0</v>
      </c>
      <c r="AI144">
        <f>'raw data Crude oil'!AI145</f>
        <v>0</v>
      </c>
      <c r="AJ144">
        <f>'raw data Crude oil'!AJ145</f>
        <v>0</v>
      </c>
      <c r="AK144">
        <f>'raw data Crude oil'!AK145</f>
        <v>0</v>
      </c>
    </row>
    <row r="145" spans="1:37" x14ac:dyDescent="0.3">
      <c r="A145" s="18">
        <f>'raw data Crude oil'!A146</f>
        <v>42937</v>
      </c>
      <c r="B145">
        <f>'raw data Crude oil'!B146</f>
        <v>48.06</v>
      </c>
      <c r="C145">
        <f>'raw data Crude oil'!C146</f>
        <v>48.31</v>
      </c>
      <c r="D145">
        <f>'raw data Crude oil'!D146</f>
        <v>48.6</v>
      </c>
      <c r="E145">
        <f>'raw data Crude oil'!E146</f>
        <v>48.88</v>
      </c>
      <c r="F145">
        <f>'raw data Crude oil'!F146</f>
        <v>49.13</v>
      </c>
      <c r="G145">
        <f>'raw data Crude oil'!G146</f>
        <v>49.38</v>
      </c>
      <c r="H145">
        <f>'raw data Crude oil'!H146</f>
        <v>49.59</v>
      </c>
      <c r="I145">
        <f>'raw data Crude oil'!I146</f>
        <v>49.75</v>
      </c>
      <c r="J145">
        <f>'raw data Crude oil'!J146</f>
        <v>49.89</v>
      </c>
      <c r="K145">
        <f>'raw data Crude oil'!K146</f>
        <v>50.01</v>
      </c>
      <c r="L145">
        <f>'raw data Crude oil'!L146</f>
        <v>50.16</v>
      </c>
      <c r="M145">
        <f>'raw data Crude oil'!M146</f>
        <v>50.29</v>
      </c>
      <c r="N145">
        <f>'raw data Crude oil'!N146</f>
        <v>45.77</v>
      </c>
      <c r="O145">
        <f>'raw data Crude oil'!O146</f>
        <v>45.95</v>
      </c>
      <c r="P145">
        <f>'raw data Crude oil'!P146</f>
        <v>46.19</v>
      </c>
      <c r="Q145">
        <f>'raw data Crude oil'!Q146</f>
        <v>46.45</v>
      </c>
      <c r="R145">
        <f>'raw data Crude oil'!R146</f>
        <v>46.69</v>
      </c>
      <c r="S145">
        <f>'raw data Crude oil'!S146</f>
        <v>46.87</v>
      </c>
      <c r="T145">
        <f>'raw data Crude oil'!T146</f>
        <v>47.02</v>
      </c>
      <c r="U145">
        <f>'raw data Crude oil'!U146</f>
        <v>47.14</v>
      </c>
      <c r="V145">
        <f>'raw data Crude oil'!V146</f>
        <v>47.24</v>
      </c>
      <c r="W145">
        <f>'raw data Crude oil'!W146</f>
        <v>47.34</v>
      </c>
      <c r="X145">
        <f>'raw data Crude oil'!X146</f>
        <v>47.42</v>
      </c>
      <c r="Y145">
        <f>'raw data Crude oil'!Y146</f>
        <v>47.5</v>
      </c>
      <c r="Z145">
        <f>'raw data Crude oil'!Z146</f>
        <v>0</v>
      </c>
      <c r="AA145">
        <f>'raw data Crude oil'!AA146</f>
        <v>0</v>
      </c>
      <c r="AB145">
        <f>'raw data Crude oil'!AB146</f>
        <v>0</v>
      </c>
      <c r="AC145">
        <f>'raw data Crude oil'!AC146</f>
        <v>0</v>
      </c>
      <c r="AD145">
        <f>'raw data Crude oil'!AD146</f>
        <v>0</v>
      </c>
      <c r="AE145">
        <f>'raw data Crude oil'!AE146</f>
        <v>0</v>
      </c>
      <c r="AF145">
        <f>'raw data Crude oil'!AF146</f>
        <v>0</v>
      </c>
      <c r="AG145">
        <f>'raw data Crude oil'!AG146</f>
        <v>0</v>
      </c>
      <c r="AH145">
        <f>'raw data Crude oil'!AH146</f>
        <v>0</v>
      </c>
      <c r="AI145">
        <f>'raw data Crude oil'!AI146</f>
        <v>0</v>
      </c>
      <c r="AJ145">
        <f>'raw data Crude oil'!AJ146</f>
        <v>0</v>
      </c>
      <c r="AK145">
        <f>'raw data Crude oil'!AK146</f>
        <v>0</v>
      </c>
    </row>
    <row r="146" spans="1:37" x14ac:dyDescent="0.3">
      <c r="A146" s="18">
        <f>'raw data Crude oil'!A147</f>
        <v>42940</v>
      </c>
      <c r="B146">
        <f>'raw data Crude oil'!B147</f>
        <v>48.6</v>
      </c>
      <c r="C146">
        <f>'raw data Crude oil'!C147</f>
        <v>48.82</v>
      </c>
      <c r="D146">
        <f>'raw data Crude oil'!D147</f>
        <v>49.09</v>
      </c>
      <c r="E146">
        <f>'raw data Crude oil'!E147</f>
        <v>49.35</v>
      </c>
      <c r="F146">
        <f>'raw data Crude oil'!F147</f>
        <v>49.57</v>
      </c>
      <c r="G146">
        <f>'raw data Crude oil'!G147</f>
        <v>49.81</v>
      </c>
      <c r="H146">
        <f>'raw data Crude oil'!H147</f>
        <v>50.01</v>
      </c>
      <c r="I146">
        <f>'raw data Crude oil'!I147</f>
        <v>50.17</v>
      </c>
      <c r="J146">
        <f>'raw data Crude oil'!J147</f>
        <v>50.32</v>
      </c>
      <c r="K146">
        <f>'raw data Crude oil'!K147</f>
        <v>50.45</v>
      </c>
      <c r="L146">
        <f>'raw data Crude oil'!L147</f>
        <v>50.6</v>
      </c>
      <c r="M146">
        <f>'raw data Crude oil'!M147</f>
        <v>50.73</v>
      </c>
      <c r="N146">
        <f>'raw data Crude oil'!N147</f>
        <v>46.34</v>
      </c>
      <c r="O146">
        <f>'raw data Crude oil'!O147</f>
        <v>46.51</v>
      </c>
      <c r="P146">
        <f>'raw data Crude oil'!P147</f>
        <v>46.72</v>
      </c>
      <c r="Q146">
        <f>'raw data Crude oil'!Q147</f>
        <v>46.95</v>
      </c>
      <c r="R146">
        <f>'raw data Crude oil'!R147</f>
        <v>47.17</v>
      </c>
      <c r="S146">
        <f>'raw data Crude oil'!S147</f>
        <v>47.34</v>
      </c>
      <c r="T146">
        <f>'raw data Crude oil'!T147</f>
        <v>47.48</v>
      </c>
      <c r="U146">
        <f>'raw data Crude oil'!U147</f>
        <v>47.59</v>
      </c>
      <c r="V146">
        <f>'raw data Crude oil'!V147</f>
        <v>47.69</v>
      </c>
      <c r="W146">
        <f>'raw data Crude oil'!W147</f>
        <v>47.79</v>
      </c>
      <c r="X146">
        <f>'raw data Crude oil'!X147</f>
        <v>47.87</v>
      </c>
      <c r="Y146">
        <f>'raw data Crude oil'!Y147</f>
        <v>47.95</v>
      </c>
      <c r="Z146">
        <f>'raw data Crude oil'!Z147</f>
        <v>0</v>
      </c>
      <c r="AA146">
        <f>'raw data Crude oil'!AA147</f>
        <v>0</v>
      </c>
      <c r="AB146">
        <f>'raw data Crude oil'!AB147</f>
        <v>0</v>
      </c>
      <c r="AC146">
        <f>'raw data Crude oil'!AC147</f>
        <v>0</v>
      </c>
      <c r="AD146">
        <f>'raw data Crude oil'!AD147</f>
        <v>0</v>
      </c>
      <c r="AE146">
        <f>'raw data Crude oil'!AE147</f>
        <v>0</v>
      </c>
      <c r="AF146">
        <f>'raw data Crude oil'!AF147</f>
        <v>0</v>
      </c>
      <c r="AG146">
        <f>'raw data Crude oil'!AG147</f>
        <v>0</v>
      </c>
      <c r="AH146">
        <f>'raw data Crude oil'!AH147</f>
        <v>0</v>
      </c>
      <c r="AI146">
        <f>'raw data Crude oil'!AI147</f>
        <v>0</v>
      </c>
      <c r="AJ146">
        <f>'raw data Crude oil'!AJ147</f>
        <v>0</v>
      </c>
      <c r="AK146">
        <f>'raw data Crude oil'!AK147</f>
        <v>0</v>
      </c>
    </row>
    <row r="147" spans="1:37" x14ac:dyDescent="0.3">
      <c r="A147" s="18">
        <f>'raw data Crude oil'!A148</f>
        <v>42941</v>
      </c>
      <c r="B147">
        <f>'raw data Crude oil'!B148</f>
        <v>50.2</v>
      </c>
      <c r="C147">
        <f>'raw data Crude oil'!C148</f>
        <v>50.36</v>
      </c>
      <c r="D147">
        <f>'raw data Crude oil'!D148</f>
        <v>50.59</v>
      </c>
      <c r="E147">
        <f>'raw data Crude oil'!E148</f>
        <v>50.8</v>
      </c>
      <c r="F147">
        <f>'raw data Crude oil'!F148</f>
        <v>50.98</v>
      </c>
      <c r="G147">
        <f>'raw data Crude oil'!G148</f>
        <v>51.18</v>
      </c>
      <c r="H147">
        <f>'raw data Crude oil'!H148</f>
        <v>51.34</v>
      </c>
      <c r="I147">
        <f>'raw data Crude oil'!I148</f>
        <v>51.48</v>
      </c>
      <c r="J147">
        <f>'raw data Crude oil'!J148</f>
        <v>51.6</v>
      </c>
      <c r="K147">
        <f>'raw data Crude oil'!K148</f>
        <v>51.71</v>
      </c>
      <c r="L147">
        <f>'raw data Crude oil'!L148</f>
        <v>51.84</v>
      </c>
      <c r="M147">
        <f>'raw data Crude oil'!M148</f>
        <v>51.95</v>
      </c>
      <c r="N147">
        <f>'raw data Crude oil'!N148</f>
        <v>47.89</v>
      </c>
      <c r="O147">
        <f>'raw data Crude oil'!O148</f>
        <v>48.02</v>
      </c>
      <c r="P147">
        <f>'raw data Crude oil'!P148</f>
        <v>48.19</v>
      </c>
      <c r="Q147">
        <f>'raw data Crude oil'!Q148</f>
        <v>48.37</v>
      </c>
      <c r="R147">
        <f>'raw data Crude oil'!R148</f>
        <v>48.55</v>
      </c>
      <c r="S147">
        <f>'raw data Crude oil'!S148</f>
        <v>48.68</v>
      </c>
      <c r="T147">
        <f>'raw data Crude oil'!T148</f>
        <v>48.78</v>
      </c>
      <c r="U147">
        <f>'raw data Crude oil'!U148</f>
        <v>48.86</v>
      </c>
      <c r="V147">
        <f>'raw data Crude oil'!V148</f>
        <v>48.92</v>
      </c>
      <c r="W147">
        <f>'raw data Crude oil'!W148</f>
        <v>48.98</v>
      </c>
      <c r="X147">
        <f>'raw data Crude oil'!X148</f>
        <v>49.03</v>
      </c>
      <c r="Y147">
        <f>'raw data Crude oil'!Y148</f>
        <v>49.09</v>
      </c>
      <c r="Z147">
        <f>'raw data Crude oil'!Z148</f>
        <v>0</v>
      </c>
      <c r="AA147">
        <f>'raw data Crude oil'!AA148</f>
        <v>0</v>
      </c>
      <c r="AB147">
        <f>'raw data Crude oil'!AB148</f>
        <v>0</v>
      </c>
      <c r="AC147">
        <f>'raw data Crude oil'!AC148</f>
        <v>0</v>
      </c>
      <c r="AD147">
        <f>'raw data Crude oil'!AD148</f>
        <v>0</v>
      </c>
      <c r="AE147">
        <f>'raw data Crude oil'!AE148</f>
        <v>0</v>
      </c>
      <c r="AF147">
        <f>'raw data Crude oil'!AF148</f>
        <v>0</v>
      </c>
      <c r="AG147">
        <f>'raw data Crude oil'!AG148</f>
        <v>0</v>
      </c>
      <c r="AH147">
        <f>'raw data Crude oil'!AH148</f>
        <v>0</v>
      </c>
      <c r="AI147">
        <f>'raw data Crude oil'!AI148</f>
        <v>0</v>
      </c>
      <c r="AJ147">
        <f>'raw data Crude oil'!AJ148</f>
        <v>0</v>
      </c>
      <c r="AK147">
        <f>'raw data Crude oil'!AK148</f>
        <v>0</v>
      </c>
    </row>
    <row r="148" spans="1:37" x14ac:dyDescent="0.3">
      <c r="A148" s="18">
        <f>'raw data Crude oil'!A149</f>
        <v>42942</v>
      </c>
      <c r="B148">
        <f>'raw data Crude oil'!B149</f>
        <v>50.97</v>
      </c>
      <c r="C148">
        <f>'raw data Crude oil'!C149</f>
        <v>51.1</v>
      </c>
      <c r="D148">
        <f>'raw data Crude oil'!D149</f>
        <v>51.31</v>
      </c>
      <c r="E148">
        <f>'raw data Crude oil'!E149</f>
        <v>51.5</v>
      </c>
      <c r="F148">
        <f>'raw data Crude oil'!F149</f>
        <v>51.66</v>
      </c>
      <c r="G148">
        <f>'raw data Crude oil'!G149</f>
        <v>51.82</v>
      </c>
      <c r="H148">
        <f>'raw data Crude oil'!H149</f>
        <v>51.95</v>
      </c>
      <c r="I148">
        <f>'raw data Crude oil'!I149</f>
        <v>52.06</v>
      </c>
      <c r="J148">
        <f>'raw data Crude oil'!J149</f>
        <v>52.15</v>
      </c>
      <c r="K148">
        <f>'raw data Crude oil'!K149</f>
        <v>52.23</v>
      </c>
      <c r="L148">
        <f>'raw data Crude oil'!L149</f>
        <v>52.34</v>
      </c>
      <c r="M148">
        <f>'raw data Crude oil'!M149</f>
        <v>52.44</v>
      </c>
      <c r="N148">
        <f>'raw data Crude oil'!N149</f>
        <v>48.75</v>
      </c>
      <c r="O148">
        <f>'raw data Crude oil'!O149</f>
        <v>48.85</v>
      </c>
      <c r="P148">
        <f>'raw data Crude oil'!P149</f>
        <v>48.99</v>
      </c>
      <c r="Q148">
        <f>'raw data Crude oil'!Q149</f>
        <v>49.11</v>
      </c>
      <c r="R148">
        <f>'raw data Crude oil'!R149</f>
        <v>49.22</v>
      </c>
      <c r="S148">
        <f>'raw data Crude oil'!S149</f>
        <v>49.3</v>
      </c>
      <c r="T148">
        <f>'raw data Crude oil'!T149</f>
        <v>49.36</v>
      </c>
      <c r="U148">
        <f>'raw data Crude oil'!U149</f>
        <v>49.41</v>
      </c>
      <c r="V148">
        <f>'raw data Crude oil'!V149</f>
        <v>49.45</v>
      </c>
      <c r="W148">
        <f>'raw data Crude oil'!W149</f>
        <v>49.49</v>
      </c>
      <c r="X148">
        <f>'raw data Crude oil'!X149</f>
        <v>49.51</v>
      </c>
      <c r="Y148">
        <f>'raw data Crude oil'!Y149</f>
        <v>49.54</v>
      </c>
      <c r="Z148">
        <f>'raw data Crude oil'!Z149</f>
        <v>0</v>
      </c>
      <c r="AA148">
        <f>'raw data Crude oil'!AA149</f>
        <v>0</v>
      </c>
      <c r="AB148">
        <f>'raw data Crude oil'!AB149</f>
        <v>0</v>
      </c>
      <c r="AC148">
        <f>'raw data Crude oil'!AC149</f>
        <v>0</v>
      </c>
      <c r="AD148">
        <f>'raw data Crude oil'!AD149</f>
        <v>0</v>
      </c>
      <c r="AE148">
        <f>'raw data Crude oil'!AE149</f>
        <v>0</v>
      </c>
      <c r="AF148">
        <f>'raw data Crude oil'!AF149</f>
        <v>0</v>
      </c>
      <c r="AG148">
        <f>'raw data Crude oil'!AG149</f>
        <v>0</v>
      </c>
      <c r="AH148">
        <f>'raw data Crude oil'!AH149</f>
        <v>0</v>
      </c>
      <c r="AI148">
        <f>'raw data Crude oil'!AI149</f>
        <v>0</v>
      </c>
      <c r="AJ148">
        <f>'raw data Crude oil'!AJ149</f>
        <v>0</v>
      </c>
      <c r="AK148">
        <f>'raw data Crude oil'!AK149</f>
        <v>0</v>
      </c>
    </row>
    <row r="149" spans="1:37" x14ac:dyDescent="0.3">
      <c r="A149" s="18">
        <f>'raw data Crude oil'!A150</f>
        <v>42943</v>
      </c>
      <c r="B149">
        <f>'raw data Crude oil'!B150</f>
        <v>51.49</v>
      </c>
      <c r="C149">
        <f>'raw data Crude oil'!C150</f>
        <v>51.52</v>
      </c>
      <c r="D149">
        <f>'raw data Crude oil'!D150</f>
        <v>51.69</v>
      </c>
      <c r="E149">
        <f>'raw data Crude oil'!E150</f>
        <v>51.85</v>
      </c>
      <c r="F149">
        <f>'raw data Crude oil'!F150</f>
        <v>51.98</v>
      </c>
      <c r="G149">
        <f>'raw data Crude oil'!G150</f>
        <v>52.12</v>
      </c>
      <c r="H149">
        <f>'raw data Crude oil'!H150</f>
        <v>52.24</v>
      </c>
      <c r="I149">
        <f>'raw data Crude oil'!I150</f>
        <v>52.33</v>
      </c>
      <c r="J149">
        <f>'raw data Crude oil'!J150</f>
        <v>52.4</v>
      </c>
      <c r="K149">
        <f>'raw data Crude oil'!K150</f>
        <v>52.46</v>
      </c>
      <c r="L149">
        <f>'raw data Crude oil'!L150</f>
        <v>52.55</v>
      </c>
      <c r="M149">
        <f>'raw data Crude oil'!M150</f>
        <v>52.63</v>
      </c>
      <c r="N149">
        <f>'raw data Crude oil'!N150</f>
        <v>49.04</v>
      </c>
      <c r="O149">
        <f>'raw data Crude oil'!O150</f>
        <v>49.17</v>
      </c>
      <c r="P149">
        <f>'raw data Crude oil'!P150</f>
        <v>49.32</v>
      </c>
      <c r="Q149">
        <f>'raw data Crude oil'!Q150</f>
        <v>49.44</v>
      </c>
      <c r="R149">
        <f>'raw data Crude oil'!R150</f>
        <v>49.54</v>
      </c>
      <c r="S149">
        <f>'raw data Crude oil'!S150</f>
        <v>49.6</v>
      </c>
      <c r="T149">
        <f>'raw data Crude oil'!T150</f>
        <v>49.65</v>
      </c>
      <c r="U149">
        <f>'raw data Crude oil'!U150</f>
        <v>49.69</v>
      </c>
      <c r="V149">
        <f>'raw data Crude oil'!V150</f>
        <v>49.71</v>
      </c>
      <c r="W149">
        <f>'raw data Crude oil'!W150</f>
        <v>49.73</v>
      </c>
      <c r="X149">
        <f>'raw data Crude oil'!X150</f>
        <v>49.74</v>
      </c>
      <c r="Y149">
        <f>'raw data Crude oil'!Y150</f>
        <v>49.75</v>
      </c>
      <c r="Z149">
        <f>'raw data Crude oil'!Z150</f>
        <v>0</v>
      </c>
      <c r="AA149">
        <f>'raw data Crude oil'!AA150</f>
        <v>0</v>
      </c>
      <c r="AB149">
        <f>'raw data Crude oil'!AB150</f>
        <v>0</v>
      </c>
      <c r="AC149">
        <f>'raw data Crude oil'!AC150</f>
        <v>0</v>
      </c>
      <c r="AD149">
        <f>'raw data Crude oil'!AD150</f>
        <v>0</v>
      </c>
      <c r="AE149">
        <f>'raw data Crude oil'!AE150</f>
        <v>0</v>
      </c>
      <c r="AF149">
        <f>'raw data Crude oil'!AF150</f>
        <v>0</v>
      </c>
      <c r="AG149">
        <f>'raw data Crude oil'!AG150</f>
        <v>0</v>
      </c>
      <c r="AH149">
        <f>'raw data Crude oil'!AH150</f>
        <v>0</v>
      </c>
      <c r="AI149">
        <f>'raw data Crude oil'!AI150</f>
        <v>0</v>
      </c>
      <c r="AJ149">
        <f>'raw data Crude oil'!AJ150</f>
        <v>0</v>
      </c>
      <c r="AK149">
        <f>'raw data Crude oil'!AK150</f>
        <v>0</v>
      </c>
    </row>
    <row r="150" spans="1:37" x14ac:dyDescent="0.3">
      <c r="A150" s="18">
        <f>'raw data Crude oil'!A151</f>
        <v>42944</v>
      </c>
      <c r="B150">
        <f>'raw data Crude oil'!B151</f>
        <v>52.52</v>
      </c>
      <c r="C150">
        <f>'raw data Crude oil'!C151</f>
        <v>52.22</v>
      </c>
      <c r="D150">
        <f>'raw data Crude oil'!D151</f>
        <v>52.34</v>
      </c>
      <c r="E150">
        <f>'raw data Crude oil'!E151</f>
        <v>52.48</v>
      </c>
      <c r="F150">
        <f>'raw data Crude oil'!F151</f>
        <v>52.58</v>
      </c>
      <c r="G150">
        <f>'raw data Crude oil'!G151</f>
        <v>52.69</v>
      </c>
      <c r="H150">
        <f>'raw data Crude oil'!H151</f>
        <v>52.77</v>
      </c>
      <c r="I150">
        <f>'raw data Crude oil'!I151</f>
        <v>52.83</v>
      </c>
      <c r="J150">
        <f>'raw data Crude oil'!J151</f>
        <v>52.87</v>
      </c>
      <c r="K150">
        <f>'raw data Crude oil'!K151</f>
        <v>52.89</v>
      </c>
      <c r="L150">
        <f>'raw data Crude oil'!L151</f>
        <v>52.95</v>
      </c>
      <c r="M150">
        <f>'raw data Crude oil'!M151</f>
        <v>53</v>
      </c>
      <c r="N150">
        <f>'raw data Crude oil'!N151</f>
        <v>49.71</v>
      </c>
      <c r="O150">
        <f>'raw data Crude oil'!O151</f>
        <v>49.81</v>
      </c>
      <c r="P150">
        <f>'raw data Crude oil'!P151</f>
        <v>49.93</v>
      </c>
      <c r="Q150">
        <f>'raw data Crude oil'!Q151</f>
        <v>50</v>
      </c>
      <c r="R150">
        <f>'raw data Crude oil'!R151</f>
        <v>50.06</v>
      </c>
      <c r="S150">
        <f>'raw data Crude oil'!S151</f>
        <v>50.08</v>
      </c>
      <c r="T150">
        <f>'raw data Crude oil'!T151</f>
        <v>50.1</v>
      </c>
      <c r="U150">
        <f>'raw data Crude oil'!U151</f>
        <v>50.1</v>
      </c>
      <c r="V150">
        <f>'raw data Crude oil'!V151</f>
        <v>50.09</v>
      </c>
      <c r="W150">
        <f>'raw data Crude oil'!W151</f>
        <v>50.08</v>
      </c>
      <c r="X150">
        <f>'raw data Crude oil'!X151</f>
        <v>50.05</v>
      </c>
      <c r="Y150">
        <f>'raw data Crude oil'!Y151</f>
        <v>50.03</v>
      </c>
      <c r="Z150">
        <f>'raw data Crude oil'!Z151</f>
        <v>0</v>
      </c>
      <c r="AA150">
        <f>'raw data Crude oil'!AA151</f>
        <v>0</v>
      </c>
      <c r="AB150">
        <f>'raw data Crude oil'!AB151</f>
        <v>0</v>
      </c>
      <c r="AC150">
        <f>'raw data Crude oil'!AC151</f>
        <v>0</v>
      </c>
      <c r="AD150">
        <f>'raw data Crude oil'!AD151</f>
        <v>0</v>
      </c>
      <c r="AE150">
        <f>'raw data Crude oil'!AE151</f>
        <v>0</v>
      </c>
      <c r="AF150">
        <f>'raw data Crude oil'!AF151</f>
        <v>0</v>
      </c>
      <c r="AG150">
        <f>'raw data Crude oil'!AG151</f>
        <v>0</v>
      </c>
      <c r="AH150">
        <f>'raw data Crude oil'!AH151</f>
        <v>0</v>
      </c>
      <c r="AI150">
        <f>'raw data Crude oil'!AI151</f>
        <v>0</v>
      </c>
      <c r="AJ150">
        <f>'raw data Crude oil'!AJ151</f>
        <v>0</v>
      </c>
      <c r="AK150">
        <f>'raw data Crude oil'!AK151</f>
        <v>0</v>
      </c>
    </row>
    <row r="151" spans="1:37" x14ac:dyDescent="0.3">
      <c r="A151" s="18">
        <f>'raw data Crude oil'!A152</f>
        <v>42947</v>
      </c>
      <c r="B151">
        <f>'raw data Crude oil'!B152</f>
        <v>52.65</v>
      </c>
      <c r="C151">
        <f>'raw data Crude oil'!C152</f>
        <v>52.72</v>
      </c>
      <c r="D151">
        <f>'raw data Crude oil'!D152</f>
        <v>52.87</v>
      </c>
      <c r="E151">
        <f>'raw data Crude oil'!E152</f>
        <v>53.02</v>
      </c>
      <c r="F151">
        <f>'raw data Crude oil'!F152</f>
        <v>53.12</v>
      </c>
      <c r="G151">
        <f>'raw data Crude oil'!G152</f>
        <v>53.23</v>
      </c>
      <c r="H151">
        <f>'raw data Crude oil'!H152</f>
        <v>53.3</v>
      </c>
      <c r="I151">
        <f>'raw data Crude oil'!I152</f>
        <v>53.34</v>
      </c>
      <c r="J151">
        <f>'raw data Crude oil'!J152</f>
        <v>53.38</v>
      </c>
      <c r="K151">
        <f>'raw data Crude oil'!K152</f>
        <v>53.41</v>
      </c>
      <c r="L151">
        <f>'raw data Crude oil'!L152</f>
        <v>53.47</v>
      </c>
      <c r="M151">
        <f>'raw data Crude oil'!M152</f>
        <v>53.52</v>
      </c>
      <c r="N151">
        <f>'raw data Crude oil'!N152</f>
        <v>50.17</v>
      </c>
      <c r="O151">
        <f>'raw data Crude oil'!O152</f>
        <v>50.26</v>
      </c>
      <c r="P151">
        <f>'raw data Crude oil'!P152</f>
        <v>50.37</v>
      </c>
      <c r="Q151">
        <f>'raw data Crude oil'!Q152</f>
        <v>50.46</v>
      </c>
      <c r="R151">
        <f>'raw data Crude oil'!R152</f>
        <v>50.53</v>
      </c>
      <c r="S151">
        <f>'raw data Crude oil'!S152</f>
        <v>50.56</v>
      </c>
      <c r="T151">
        <f>'raw data Crude oil'!T152</f>
        <v>50.58</v>
      </c>
      <c r="U151">
        <f>'raw data Crude oil'!U152</f>
        <v>50.58</v>
      </c>
      <c r="V151">
        <f>'raw data Crude oil'!V152</f>
        <v>50.57</v>
      </c>
      <c r="W151">
        <f>'raw data Crude oil'!W152</f>
        <v>50.56</v>
      </c>
      <c r="X151">
        <f>'raw data Crude oil'!X152</f>
        <v>50.53</v>
      </c>
      <c r="Y151">
        <f>'raw data Crude oil'!Y152</f>
        <v>50.52</v>
      </c>
      <c r="Z151">
        <f>'raw data Crude oil'!Z152</f>
        <v>0</v>
      </c>
      <c r="AA151">
        <f>'raw data Crude oil'!AA152</f>
        <v>0</v>
      </c>
      <c r="AB151">
        <f>'raw data Crude oil'!AB152</f>
        <v>0</v>
      </c>
      <c r="AC151">
        <f>'raw data Crude oil'!AC152</f>
        <v>0</v>
      </c>
      <c r="AD151">
        <f>'raw data Crude oil'!AD152</f>
        <v>0</v>
      </c>
      <c r="AE151">
        <f>'raw data Crude oil'!AE152</f>
        <v>0</v>
      </c>
      <c r="AF151">
        <f>'raw data Crude oil'!AF152</f>
        <v>0</v>
      </c>
      <c r="AG151">
        <f>'raw data Crude oil'!AG152</f>
        <v>0</v>
      </c>
      <c r="AH151">
        <f>'raw data Crude oil'!AH152</f>
        <v>0</v>
      </c>
      <c r="AI151">
        <f>'raw data Crude oil'!AI152</f>
        <v>0</v>
      </c>
      <c r="AJ151">
        <f>'raw data Crude oil'!AJ152</f>
        <v>0</v>
      </c>
      <c r="AK151">
        <f>'raw data Crude oil'!AK152</f>
        <v>0</v>
      </c>
    </row>
    <row r="152" spans="1:37" x14ac:dyDescent="0.3">
      <c r="A152" s="18">
        <f>'raw data Crude oil'!A153</f>
        <v>42948</v>
      </c>
      <c r="B152">
        <f>'raw data Crude oil'!B153</f>
        <v>51.78</v>
      </c>
      <c r="C152">
        <f>'raw data Crude oil'!C153</f>
        <v>51.94</v>
      </c>
      <c r="D152">
        <f>'raw data Crude oil'!D153</f>
        <v>52.11</v>
      </c>
      <c r="E152">
        <f>'raw data Crude oil'!E153</f>
        <v>52.25</v>
      </c>
      <c r="F152">
        <f>'raw data Crude oil'!F153</f>
        <v>52.39</v>
      </c>
      <c r="G152">
        <f>'raw data Crude oil'!G153</f>
        <v>52.51</v>
      </c>
      <c r="H152">
        <f>'raw data Crude oil'!H153</f>
        <v>52.59</v>
      </c>
      <c r="I152">
        <f>'raw data Crude oil'!I153</f>
        <v>52.65</v>
      </c>
      <c r="J152">
        <f>'raw data Crude oil'!J153</f>
        <v>52.69</v>
      </c>
      <c r="K152">
        <f>'raw data Crude oil'!K153</f>
        <v>52.76</v>
      </c>
      <c r="L152">
        <f>'raw data Crude oil'!L153</f>
        <v>52.82</v>
      </c>
      <c r="M152">
        <f>'raw data Crude oil'!M153</f>
        <v>52.86</v>
      </c>
      <c r="N152">
        <f>'raw data Crude oil'!N153</f>
        <v>49.16</v>
      </c>
      <c r="O152">
        <f>'raw data Crude oil'!O153</f>
        <v>49.29</v>
      </c>
      <c r="P152">
        <f>'raw data Crude oil'!P153</f>
        <v>49.43</v>
      </c>
      <c r="Q152">
        <f>'raw data Crude oil'!Q153</f>
        <v>49.57</v>
      </c>
      <c r="R152">
        <f>'raw data Crude oil'!R153</f>
        <v>49.7</v>
      </c>
      <c r="S152">
        <f>'raw data Crude oil'!S153</f>
        <v>49.78</v>
      </c>
      <c r="T152">
        <f>'raw data Crude oil'!T153</f>
        <v>49.83</v>
      </c>
      <c r="U152">
        <f>'raw data Crude oil'!U153</f>
        <v>49.86</v>
      </c>
      <c r="V152">
        <f>'raw data Crude oil'!V153</f>
        <v>49.88</v>
      </c>
      <c r="W152">
        <f>'raw data Crude oil'!W153</f>
        <v>49.89</v>
      </c>
      <c r="X152">
        <f>'raw data Crude oil'!X153</f>
        <v>49.89</v>
      </c>
      <c r="Y152">
        <f>'raw data Crude oil'!Y153</f>
        <v>49.89</v>
      </c>
      <c r="Z152">
        <f>'raw data Crude oil'!Z153</f>
        <v>0</v>
      </c>
      <c r="AA152">
        <f>'raw data Crude oil'!AA153</f>
        <v>0</v>
      </c>
      <c r="AB152">
        <f>'raw data Crude oil'!AB153</f>
        <v>0</v>
      </c>
      <c r="AC152">
        <f>'raw data Crude oil'!AC153</f>
        <v>0</v>
      </c>
      <c r="AD152">
        <f>'raw data Crude oil'!AD153</f>
        <v>0</v>
      </c>
      <c r="AE152">
        <f>'raw data Crude oil'!AE153</f>
        <v>0</v>
      </c>
      <c r="AF152">
        <f>'raw data Crude oil'!AF153</f>
        <v>0</v>
      </c>
      <c r="AG152">
        <f>'raw data Crude oil'!AG153</f>
        <v>0</v>
      </c>
      <c r="AH152">
        <f>'raw data Crude oil'!AH153</f>
        <v>0</v>
      </c>
      <c r="AI152">
        <f>'raw data Crude oil'!AI153</f>
        <v>0</v>
      </c>
      <c r="AJ152">
        <f>'raw data Crude oil'!AJ153</f>
        <v>0</v>
      </c>
      <c r="AK152">
        <f>'raw data Crude oil'!AK153</f>
        <v>0</v>
      </c>
    </row>
    <row r="153" spans="1:37" x14ac:dyDescent="0.3">
      <c r="A153" s="18">
        <f>'raw data Crude oil'!A154</f>
        <v>42949</v>
      </c>
      <c r="B153">
        <f>'raw data Crude oil'!B154</f>
        <v>52.36</v>
      </c>
      <c r="C153">
        <f>'raw data Crude oil'!C154</f>
        <v>52.44</v>
      </c>
      <c r="D153">
        <f>'raw data Crude oil'!D154</f>
        <v>52.56</v>
      </c>
      <c r="E153">
        <f>'raw data Crude oil'!E154</f>
        <v>52.66</v>
      </c>
      <c r="F153">
        <f>'raw data Crude oil'!F154</f>
        <v>52.77</v>
      </c>
      <c r="G153">
        <f>'raw data Crude oil'!G154</f>
        <v>52.85</v>
      </c>
      <c r="H153">
        <f>'raw data Crude oil'!H154</f>
        <v>52.92</v>
      </c>
      <c r="I153">
        <f>'raw data Crude oil'!I154</f>
        <v>52.97</v>
      </c>
      <c r="J153">
        <f>'raw data Crude oil'!J154</f>
        <v>53.01</v>
      </c>
      <c r="K153">
        <f>'raw data Crude oil'!K154</f>
        <v>53.08</v>
      </c>
      <c r="L153">
        <f>'raw data Crude oil'!L154</f>
        <v>53.13</v>
      </c>
      <c r="M153">
        <f>'raw data Crude oil'!M154</f>
        <v>53.16</v>
      </c>
      <c r="N153">
        <f>'raw data Crude oil'!N154</f>
        <v>49.59</v>
      </c>
      <c r="O153">
        <f>'raw data Crude oil'!O154</f>
        <v>49.73</v>
      </c>
      <c r="P153">
        <f>'raw data Crude oil'!P154</f>
        <v>49.87</v>
      </c>
      <c r="Q153">
        <f>'raw data Crude oil'!Q154</f>
        <v>49.99</v>
      </c>
      <c r="R153">
        <f>'raw data Crude oil'!R154</f>
        <v>50.11</v>
      </c>
      <c r="S153">
        <f>'raw data Crude oil'!S154</f>
        <v>50.18</v>
      </c>
      <c r="T153">
        <f>'raw data Crude oil'!T154</f>
        <v>50.23</v>
      </c>
      <c r="U153">
        <f>'raw data Crude oil'!U154</f>
        <v>50.26</v>
      </c>
      <c r="V153">
        <f>'raw data Crude oil'!V154</f>
        <v>50.26</v>
      </c>
      <c r="W153">
        <f>'raw data Crude oil'!W154</f>
        <v>50.26</v>
      </c>
      <c r="X153">
        <f>'raw data Crude oil'!X154</f>
        <v>50.24</v>
      </c>
      <c r="Y153">
        <f>'raw data Crude oil'!Y154</f>
        <v>50.22</v>
      </c>
      <c r="Z153">
        <f>'raw data Crude oil'!Z154</f>
        <v>0</v>
      </c>
      <c r="AA153">
        <f>'raw data Crude oil'!AA154</f>
        <v>0</v>
      </c>
      <c r="AB153">
        <f>'raw data Crude oil'!AB154</f>
        <v>0</v>
      </c>
      <c r="AC153">
        <f>'raw data Crude oil'!AC154</f>
        <v>0</v>
      </c>
      <c r="AD153">
        <f>'raw data Crude oil'!AD154</f>
        <v>0</v>
      </c>
      <c r="AE153">
        <f>'raw data Crude oil'!AE154</f>
        <v>0</v>
      </c>
      <c r="AF153">
        <f>'raw data Crude oil'!AF154</f>
        <v>0</v>
      </c>
      <c r="AG153">
        <f>'raw data Crude oil'!AG154</f>
        <v>0</v>
      </c>
      <c r="AH153">
        <f>'raw data Crude oil'!AH154</f>
        <v>0</v>
      </c>
      <c r="AI153">
        <f>'raw data Crude oil'!AI154</f>
        <v>0</v>
      </c>
      <c r="AJ153">
        <f>'raw data Crude oil'!AJ154</f>
        <v>0</v>
      </c>
      <c r="AK153">
        <f>'raw data Crude oil'!AK154</f>
        <v>0</v>
      </c>
    </row>
    <row r="154" spans="1:37" x14ac:dyDescent="0.3">
      <c r="A154" s="18">
        <f>'raw data Crude oil'!A155</f>
        <v>42950</v>
      </c>
      <c r="B154">
        <f>'raw data Crude oil'!B155</f>
        <v>52.01</v>
      </c>
      <c r="C154">
        <f>'raw data Crude oil'!C155</f>
        <v>52.02</v>
      </c>
      <c r="D154">
        <f>'raw data Crude oil'!D155</f>
        <v>52.12</v>
      </c>
      <c r="E154">
        <f>'raw data Crude oil'!E155</f>
        <v>52.21</v>
      </c>
      <c r="F154">
        <f>'raw data Crude oil'!F155</f>
        <v>52.32</v>
      </c>
      <c r="G154">
        <f>'raw data Crude oil'!G155</f>
        <v>52.4</v>
      </c>
      <c r="H154">
        <f>'raw data Crude oil'!H155</f>
        <v>52.46</v>
      </c>
      <c r="I154">
        <f>'raw data Crude oil'!I155</f>
        <v>52.52</v>
      </c>
      <c r="J154">
        <f>'raw data Crude oil'!J155</f>
        <v>52.56</v>
      </c>
      <c r="K154">
        <f>'raw data Crude oil'!K155</f>
        <v>52.63</v>
      </c>
      <c r="L154">
        <f>'raw data Crude oil'!L155</f>
        <v>52.68</v>
      </c>
      <c r="M154">
        <f>'raw data Crude oil'!M155</f>
        <v>52.71</v>
      </c>
      <c r="N154">
        <f>'raw data Crude oil'!N155</f>
        <v>49.03</v>
      </c>
      <c r="O154">
        <f>'raw data Crude oil'!O155</f>
        <v>49.19</v>
      </c>
      <c r="P154">
        <f>'raw data Crude oil'!P155</f>
        <v>49.34</v>
      </c>
      <c r="Q154">
        <f>'raw data Crude oil'!Q155</f>
        <v>49.48</v>
      </c>
      <c r="R154">
        <f>'raw data Crude oil'!R155</f>
        <v>49.61</v>
      </c>
      <c r="S154">
        <f>'raw data Crude oil'!S155</f>
        <v>49.69</v>
      </c>
      <c r="T154">
        <f>'raw data Crude oil'!T155</f>
        <v>49.75</v>
      </c>
      <c r="U154">
        <f>'raw data Crude oil'!U155</f>
        <v>49.79</v>
      </c>
      <c r="V154">
        <f>'raw data Crude oil'!V155</f>
        <v>49.8</v>
      </c>
      <c r="W154">
        <f>'raw data Crude oil'!W155</f>
        <v>49.8</v>
      </c>
      <c r="X154">
        <f>'raw data Crude oil'!X155</f>
        <v>49.78</v>
      </c>
      <c r="Y154">
        <f>'raw data Crude oil'!Y155</f>
        <v>49.76</v>
      </c>
      <c r="Z154">
        <f>'raw data Crude oil'!Z155</f>
        <v>0</v>
      </c>
      <c r="AA154">
        <f>'raw data Crude oil'!AA155</f>
        <v>0</v>
      </c>
      <c r="AB154">
        <f>'raw data Crude oil'!AB155</f>
        <v>0</v>
      </c>
      <c r="AC154">
        <f>'raw data Crude oil'!AC155</f>
        <v>0</v>
      </c>
      <c r="AD154">
        <f>'raw data Crude oil'!AD155</f>
        <v>0</v>
      </c>
      <c r="AE154">
        <f>'raw data Crude oil'!AE155</f>
        <v>0</v>
      </c>
      <c r="AF154">
        <f>'raw data Crude oil'!AF155</f>
        <v>0</v>
      </c>
      <c r="AG154">
        <f>'raw data Crude oil'!AG155</f>
        <v>0</v>
      </c>
      <c r="AH154">
        <f>'raw data Crude oil'!AH155</f>
        <v>0</v>
      </c>
      <c r="AI154">
        <f>'raw data Crude oil'!AI155</f>
        <v>0</v>
      </c>
      <c r="AJ154">
        <f>'raw data Crude oil'!AJ155</f>
        <v>0</v>
      </c>
      <c r="AK154">
        <f>'raw data Crude oil'!AK155</f>
        <v>0</v>
      </c>
    </row>
    <row r="155" spans="1:37" x14ac:dyDescent="0.3">
      <c r="A155" s="18">
        <f>'raw data Crude oil'!A156</f>
        <v>42951</v>
      </c>
      <c r="B155">
        <f>'raw data Crude oil'!B156</f>
        <v>52.42</v>
      </c>
      <c r="C155">
        <f>'raw data Crude oil'!C156</f>
        <v>52.46</v>
      </c>
      <c r="D155">
        <f>'raw data Crude oil'!D156</f>
        <v>52.6</v>
      </c>
      <c r="E155">
        <f>'raw data Crude oil'!E156</f>
        <v>52.72</v>
      </c>
      <c r="F155">
        <f>'raw data Crude oil'!F156</f>
        <v>52.84</v>
      </c>
      <c r="G155">
        <f>'raw data Crude oil'!G156</f>
        <v>52.92</v>
      </c>
      <c r="H155">
        <f>'raw data Crude oil'!H156</f>
        <v>52.98</v>
      </c>
      <c r="I155">
        <f>'raw data Crude oil'!I156</f>
        <v>53.03</v>
      </c>
      <c r="J155">
        <f>'raw data Crude oil'!J156</f>
        <v>53.06</v>
      </c>
      <c r="K155">
        <f>'raw data Crude oil'!K156</f>
        <v>53.12</v>
      </c>
      <c r="L155">
        <f>'raw data Crude oil'!L156</f>
        <v>53.16</v>
      </c>
      <c r="M155">
        <f>'raw data Crude oil'!M156</f>
        <v>53.18</v>
      </c>
      <c r="N155">
        <f>'raw data Crude oil'!N156</f>
        <v>49.58</v>
      </c>
      <c r="O155">
        <f>'raw data Crude oil'!O156</f>
        <v>49.73</v>
      </c>
      <c r="P155">
        <f>'raw data Crude oil'!P156</f>
        <v>49.88</v>
      </c>
      <c r="Q155">
        <f>'raw data Crude oil'!Q156</f>
        <v>50.02</v>
      </c>
      <c r="R155">
        <f>'raw data Crude oil'!R156</f>
        <v>50.15</v>
      </c>
      <c r="S155">
        <f>'raw data Crude oil'!S156</f>
        <v>50.23</v>
      </c>
      <c r="T155">
        <f>'raw data Crude oil'!T156</f>
        <v>50.28</v>
      </c>
      <c r="U155">
        <f>'raw data Crude oil'!U156</f>
        <v>50.31</v>
      </c>
      <c r="V155">
        <f>'raw data Crude oil'!V156</f>
        <v>50.31</v>
      </c>
      <c r="W155">
        <f>'raw data Crude oil'!W156</f>
        <v>50.31</v>
      </c>
      <c r="X155">
        <f>'raw data Crude oil'!X156</f>
        <v>50.28</v>
      </c>
      <c r="Y155">
        <f>'raw data Crude oil'!Y156</f>
        <v>50.25</v>
      </c>
      <c r="Z155">
        <f>'raw data Crude oil'!Z156</f>
        <v>0</v>
      </c>
      <c r="AA155">
        <f>'raw data Crude oil'!AA156</f>
        <v>0</v>
      </c>
      <c r="AB155">
        <f>'raw data Crude oil'!AB156</f>
        <v>0</v>
      </c>
      <c r="AC155">
        <f>'raw data Crude oil'!AC156</f>
        <v>0</v>
      </c>
      <c r="AD155">
        <f>'raw data Crude oil'!AD156</f>
        <v>0</v>
      </c>
      <c r="AE155">
        <f>'raw data Crude oil'!AE156</f>
        <v>0</v>
      </c>
      <c r="AF155">
        <f>'raw data Crude oil'!AF156</f>
        <v>0</v>
      </c>
      <c r="AG155">
        <f>'raw data Crude oil'!AG156</f>
        <v>0</v>
      </c>
      <c r="AH155">
        <f>'raw data Crude oil'!AH156</f>
        <v>0</v>
      </c>
      <c r="AI155">
        <f>'raw data Crude oil'!AI156</f>
        <v>0</v>
      </c>
      <c r="AJ155">
        <f>'raw data Crude oil'!AJ156</f>
        <v>0</v>
      </c>
      <c r="AK155">
        <f>'raw data Crude oil'!AK156</f>
        <v>0</v>
      </c>
    </row>
    <row r="156" spans="1:37" x14ac:dyDescent="0.3">
      <c r="A156" s="18">
        <f>'raw data Crude oil'!A157</f>
        <v>42954</v>
      </c>
      <c r="B156">
        <f>'raw data Crude oil'!B157</f>
        <v>52.37</v>
      </c>
      <c r="C156">
        <f>'raw data Crude oil'!C157</f>
        <v>52.42</v>
      </c>
      <c r="D156">
        <f>'raw data Crude oil'!D157</f>
        <v>52.57</v>
      </c>
      <c r="E156">
        <f>'raw data Crude oil'!E157</f>
        <v>52.71</v>
      </c>
      <c r="F156">
        <f>'raw data Crude oil'!F157</f>
        <v>52.84</v>
      </c>
      <c r="G156">
        <f>'raw data Crude oil'!G157</f>
        <v>52.94</v>
      </c>
      <c r="H156">
        <f>'raw data Crude oil'!H157</f>
        <v>53</v>
      </c>
      <c r="I156">
        <f>'raw data Crude oil'!I157</f>
        <v>53.06</v>
      </c>
      <c r="J156">
        <f>'raw data Crude oil'!J157</f>
        <v>53.11</v>
      </c>
      <c r="K156">
        <f>'raw data Crude oil'!K157</f>
        <v>53.17</v>
      </c>
      <c r="L156">
        <f>'raw data Crude oil'!L157</f>
        <v>53.21</v>
      </c>
      <c r="M156">
        <f>'raw data Crude oil'!M157</f>
        <v>53.24</v>
      </c>
      <c r="N156">
        <f>'raw data Crude oil'!N157</f>
        <v>49.39</v>
      </c>
      <c r="O156">
        <f>'raw data Crude oil'!O157</f>
        <v>49.57</v>
      </c>
      <c r="P156">
        <f>'raw data Crude oil'!P157</f>
        <v>49.75</v>
      </c>
      <c r="Q156">
        <f>'raw data Crude oil'!Q157</f>
        <v>49.92</v>
      </c>
      <c r="R156">
        <f>'raw data Crude oil'!R157</f>
        <v>50.07</v>
      </c>
      <c r="S156">
        <f>'raw data Crude oil'!S157</f>
        <v>50.17</v>
      </c>
      <c r="T156">
        <f>'raw data Crude oil'!T157</f>
        <v>50.24</v>
      </c>
      <c r="U156">
        <f>'raw data Crude oil'!U157</f>
        <v>50.28</v>
      </c>
      <c r="V156">
        <f>'raw data Crude oil'!V157</f>
        <v>50.3</v>
      </c>
      <c r="W156">
        <f>'raw data Crude oil'!W157</f>
        <v>50.3</v>
      </c>
      <c r="X156">
        <f>'raw data Crude oil'!X157</f>
        <v>50.28</v>
      </c>
      <c r="Y156">
        <f>'raw data Crude oil'!Y157</f>
        <v>50.25</v>
      </c>
      <c r="Z156">
        <f>'raw data Crude oil'!Z157</f>
        <v>0</v>
      </c>
      <c r="AA156">
        <f>'raw data Crude oil'!AA157</f>
        <v>0</v>
      </c>
      <c r="AB156">
        <f>'raw data Crude oil'!AB157</f>
        <v>0</v>
      </c>
      <c r="AC156">
        <f>'raw data Crude oil'!AC157</f>
        <v>0</v>
      </c>
      <c r="AD156">
        <f>'raw data Crude oil'!AD157</f>
        <v>0</v>
      </c>
      <c r="AE156">
        <f>'raw data Crude oil'!AE157</f>
        <v>0</v>
      </c>
      <c r="AF156">
        <f>'raw data Crude oil'!AF157</f>
        <v>0</v>
      </c>
      <c r="AG156">
        <f>'raw data Crude oil'!AG157</f>
        <v>0</v>
      </c>
      <c r="AH156">
        <f>'raw data Crude oil'!AH157</f>
        <v>0</v>
      </c>
      <c r="AI156">
        <f>'raw data Crude oil'!AI157</f>
        <v>0</v>
      </c>
      <c r="AJ156">
        <f>'raw data Crude oil'!AJ157</f>
        <v>0</v>
      </c>
      <c r="AK156">
        <f>'raw data Crude oil'!AK157</f>
        <v>0</v>
      </c>
    </row>
    <row r="157" spans="1:37" x14ac:dyDescent="0.3">
      <c r="A157" s="18">
        <f>'raw data Crude oil'!A158</f>
        <v>42955</v>
      </c>
      <c r="B157">
        <f>'raw data Crude oil'!B158</f>
        <v>52.14</v>
      </c>
      <c r="C157">
        <f>'raw data Crude oil'!C158</f>
        <v>52.19</v>
      </c>
      <c r="D157">
        <f>'raw data Crude oil'!D158</f>
        <v>52.34</v>
      </c>
      <c r="E157">
        <f>'raw data Crude oil'!E158</f>
        <v>52.49</v>
      </c>
      <c r="F157">
        <f>'raw data Crude oil'!F158</f>
        <v>52.63</v>
      </c>
      <c r="G157">
        <f>'raw data Crude oil'!G158</f>
        <v>52.73</v>
      </c>
      <c r="H157">
        <f>'raw data Crude oil'!H158</f>
        <v>52.79</v>
      </c>
      <c r="I157">
        <f>'raw data Crude oil'!I158</f>
        <v>52.84</v>
      </c>
      <c r="J157">
        <f>'raw data Crude oil'!J158</f>
        <v>52.89</v>
      </c>
      <c r="K157">
        <f>'raw data Crude oil'!K158</f>
        <v>52.95</v>
      </c>
      <c r="L157">
        <f>'raw data Crude oil'!L158</f>
        <v>52.99</v>
      </c>
      <c r="M157">
        <f>'raw data Crude oil'!M158</f>
        <v>53.01</v>
      </c>
      <c r="N157">
        <f>'raw data Crude oil'!N158</f>
        <v>49.17</v>
      </c>
      <c r="O157">
        <f>'raw data Crude oil'!O158</f>
        <v>49.35</v>
      </c>
      <c r="P157">
        <f>'raw data Crude oil'!P158</f>
        <v>49.52</v>
      </c>
      <c r="Q157">
        <f>'raw data Crude oil'!Q158</f>
        <v>49.68</v>
      </c>
      <c r="R157">
        <f>'raw data Crude oil'!R158</f>
        <v>49.84</v>
      </c>
      <c r="S157">
        <f>'raw data Crude oil'!S158</f>
        <v>49.95</v>
      </c>
      <c r="T157">
        <f>'raw data Crude oil'!T158</f>
        <v>50.01</v>
      </c>
      <c r="U157">
        <f>'raw data Crude oil'!U158</f>
        <v>50.05</v>
      </c>
      <c r="V157">
        <f>'raw data Crude oil'!V158</f>
        <v>50.06</v>
      </c>
      <c r="W157">
        <f>'raw data Crude oil'!W158</f>
        <v>50.05</v>
      </c>
      <c r="X157">
        <f>'raw data Crude oil'!X158</f>
        <v>50.02</v>
      </c>
      <c r="Y157">
        <f>'raw data Crude oil'!Y158</f>
        <v>50</v>
      </c>
      <c r="Z157">
        <f>'raw data Crude oil'!Z158</f>
        <v>0</v>
      </c>
      <c r="AA157">
        <f>'raw data Crude oil'!AA158</f>
        <v>0</v>
      </c>
      <c r="AB157">
        <f>'raw data Crude oil'!AB158</f>
        <v>0</v>
      </c>
      <c r="AC157">
        <f>'raw data Crude oil'!AC158</f>
        <v>0</v>
      </c>
      <c r="AD157">
        <f>'raw data Crude oil'!AD158</f>
        <v>0</v>
      </c>
      <c r="AE157">
        <f>'raw data Crude oil'!AE158</f>
        <v>0</v>
      </c>
      <c r="AF157">
        <f>'raw data Crude oil'!AF158</f>
        <v>0</v>
      </c>
      <c r="AG157">
        <f>'raw data Crude oil'!AG158</f>
        <v>0</v>
      </c>
      <c r="AH157">
        <f>'raw data Crude oil'!AH158</f>
        <v>0</v>
      </c>
      <c r="AI157">
        <f>'raw data Crude oil'!AI158</f>
        <v>0</v>
      </c>
      <c r="AJ157">
        <f>'raw data Crude oil'!AJ158</f>
        <v>0</v>
      </c>
      <c r="AK157">
        <f>'raw data Crude oil'!AK158</f>
        <v>0</v>
      </c>
    </row>
    <row r="158" spans="1:37" x14ac:dyDescent="0.3">
      <c r="A158" s="18">
        <f>'raw data Crude oil'!A159</f>
        <v>42956</v>
      </c>
      <c r="B158">
        <f>'raw data Crude oil'!B159</f>
        <v>52.7</v>
      </c>
      <c r="C158">
        <f>'raw data Crude oil'!C159</f>
        <v>52.65</v>
      </c>
      <c r="D158">
        <f>'raw data Crude oil'!D159</f>
        <v>52.7</v>
      </c>
      <c r="E158">
        <f>'raw data Crude oil'!E159</f>
        <v>52.78</v>
      </c>
      <c r="F158">
        <f>'raw data Crude oil'!F159</f>
        <v>52.88</v>
      </c>
      <c r="G158">
        <f>'raw data Crude oil'!G159</f>
        <v>52.95</v>
      </c>
      <c r="H158">
        <f>'raw data Crude oil'!H159</f>
        <v>53</v>
      </c>
      <c r="I158">
        <f>'raw data Crude oil'!I159</f>
        <v>53.05</v>
      </c>
      <c r="J158">
        <f>'raw data Crude oil'!J159</f>
        <v>53.09</v>
      </c>
      <c r="K158">
        <f>'raw data Crude oil'!K159</f>
        <v>53.14</v>
      </c>
      <c r="L158">
        <f>'raw data Crude oil'!L159</f>
        <v>53.17</v>
      </c>
      <c r="M158">
        <f>'raw data Crude oil'!M159</f>
        <v>53.18</v>
      </c>
      <c r="N158">
        <f>'raw data Crude oil'!N159</f>
        <v>49.56</v>
      </c>
      <c r="O158">
        <f>'raw data Crude oil'!O159</f>
        <v>49.72</v>
      </c>
      <c r="P158">
        <f>'raw data Crude oil'!P159</f>
        <v>49.87</v>
      </c>
      <c r="Q158">
        <f>'raw data Crude oil'!Q159</f>
        <v>50.01</v>
      </c>
      <c r="R158">
        <f>'raw data Crude oil'!R159</f>
        <v>50.16</v>
      </c>
      <c r="S158">
        <f>'raw data Crude oil'!S159</f>
        <v>50.26</v>
      </c>
      <c r="T158">
        <f>'raw data Crude oil'!T159</f>
        <v>50.33</v>
      </c>
      <c r="U158">
        <f>'raw data Crude oil'!U159</f>
        <v>50.37</v>
      </c>
      <c r="V158">
        <f>'raw data Crude oil'!V159</f>
        <v>50.38</v>
      </c>
      <c r="W158">
        <f>'raw data Crude oil'!W159</f>
        <v>50.36</v>
      </c>
      <c r="X158">
        <f>'raw data Crude oil'!X159</f>
        <v>50.33</v>
      </c>
      <c r="Y158">
        <f>'raw data Crude oil'!Y159</f>
        <v>50.29</v>
      </c>
      <c r="Z158">
        <f>'raw data Crude oil'!Z159</f>
        <v>0</v>
      </c>
      <c r="AA158">
        <f>'raw data Crude oil'!AA159</f>
        <v>0</v>
      </c>
      <c r="AB158">
        <f>'raw data Crude oil'!AB159</f>
        <v>0</v>
      </c>
      <c r="AC158">
        <f>'raw data Crude oil'!AC159</f>
        <v>0</v>
      </c>
      <c r="AD158">
        <f>'raw data Crude oil'!AD159</f>
        <v>0</v>
      </c>
      <c r="AE158">
        <f>'raw data Crude oil'!AE159</f>
        <v>0</v>
      </c>
      <c r="AF158">
        <f>'raw data Crude oil'!AF159</f>
        <v>0</v>
      </c>
      <c r="AG158">
        <f>'raw data Crude oil'!AG159</f>
        <v>0</v>
      </c>
      <c r="AH158">
        <f>'raw data Crude oil'!AH159</f>
        <v>0</v>
      </c>
      <c r="AI158">
        <f>'raw data Crude oil'!AI159</f>
        <v>0</v>
      </c>
      <c r="AJ158">
        <f>'raw data Crude oil'!AJ159</f>
        <v>0</v>
      </c>
      <c r="AK158">
        <f>'raw data Crude oil'!AK159</f>
        <v>0</v>
      </c>
    </row>
    <row r="159" spans="1:37" x14ac:dyDescent="0.3">
      <c r="A159" s="18">
        <f>'raw data Crude oil'!A160</f>
        <v>42957</v>
      </c>
      <c r="B159">
        <f>'raw data Crude oil'!B160</f>
        <v>51.9</v>
      </c>
      <c r="C159">
        <f>'raw data Crude oil'!C160</f>
        <v>51.78</v>
      </c>
      <c r="D159">
        <f>'raw data Crude oil'!D160</f>
        <v>51.77</v>
      </c>
      <c r="E159">
        <f>'raw data Crude oil'!E160</f>
        <v>51.82</v>
      </c>
      <c r="F159">
        <f>'raw data Crude oil'!F160</f>
        <v>51.88</v>
      </c>
      <c r="G159">
        <f>'raw data Crude oil'!G160</f>
        <v>51.93</v>
      </c>
      <c r="H159">
        <f>'raw data Crude oil'!H160</f>
        <v>51.97</v>
      </c>
      <c r="I159">
        <f>'raw data Crude oil'!I160</f>
        <v>52.02</v>
      </c>
      <c r="J159">
        <f>'raw data Crude oil'!J160</f>
        <v>52.07</v>
      </c>
      <c r="K159">
        <f>'raw data Crude oil'!K160</f>
        <v>52.13</v>
      </c>
      <c r="L159">
        <f>'raw data Crude oil'!L160</f>
        <v>52.16</v>
      </c>
      <c r="M159">
        <f>'raw data Crude oil'!M160</f>
        <v>52.17</v>
      </c>
      <c r="N159">
        <f>'raw data Crude oil'!N160</f>
        <v>48.59</v>
      </c>
      <c r="O159">
        <f>'raw data Crude oil'!O160</f>
        <v>48.75</v>
      </c>
      <c r="P159">
        <f>'raw data Crude oil'!P160</f>
        <v>48.88</v>
      </c>
      <c r="Q159">
        <f>'raw data Crude oil'!Q160</f>
        <v>49</v>
      </c>
      <c r="R159">
        <f>'raw data Crude oil'!R160</f>
        <v>49.12</v>
      </c>
      <c r="S159">
        <f>'raw data Crude oil'!S160</f>
        <v>49.2</v>
      </c>
      <c r="T159">
        <f>'raw data Crude oil'!T160</f>
        <v>49.25</v>
      </c>
      <c r="U159">
        <f>'raw data Crude oil'!U160</f>
        <v>49.28</v>
      </c>
      <c r="V159">
        <f>'raw data Crude oil'!V160</f>
        <v>49.3</v>
      </c>
      <c r="W159">
        <f>'raw data Crude oil'!W160</f>
        <v>49.3</v>
      </c>
      <c r="X159">
        <f>'raw data Crude oil'!X160</f>
        <v>49.28</v>
      </c>
      <c r="Y159">
        <f>'raw data Crude oil'!Y160</f>
        <v>49.26</v>
      </c>
      <c r="Z159">
        <f>'raw data Crude oil'!Z160</f>
        <v>0</v>
      </c>
      <c r="AA159">
        <f>'raw data Crude oil'!AA160</f>
        <v>0</v>
      </c>
      <c r="AB159">
        <f>'raw data Crude oil'!AB160</f>
        <v>0</v>
      </c>
      <c r="AC159">
        <f>'raw data Crude oil'!AC160</f>
        <v>0</v>
      </c>
      <c r="AD159">
        <f>'raw data Crude oil'!AD160</f>
        <v>0</v>
      </c>
      <c r="AE159">
        <f>'raw data Crude oil'!AE160</f>
        <v>0</v>
      </c>
      <c r="AF159">
        <f>'raw data Crude oil'!AF160</f>
        <v>0</v>
      </c>
      <c r="AG159">
        <f>'raw data Crude oil'!AG160</f>
        <v>0</v>
      </c>
      <c r="AH159">
        <f>'raw data Crude oil'!AH160</f>
        <v>0</v>
      </c>
      <c r="AI159">
        <f>'raw data Crude oil'!AI160</f>
        <v>0</v>
      </c>
      <c r="AJ159">
        <f>'raw data Crude oil'!AJ160</f>
        <v>0</v>
      </c>
      <c r="AK159">
        <f>'raw data Crude oil'!AK160</f>
        <v>0</v>
      </c>
    </row>
    <row r="160" spans="1:37" x14ac:dyDescent="0.3">
      <c r="A160" s="18">
        <f>'raw data Crude oil'!A161</f>
        <v>42958</v>
      </c>
      <c r="B160">
        <f>'raw data Crude oil'!B161</f>
        <v>52.1</v>
      </c>
      <c r="C160">
        <f>'raw data Crude oil'!C161</f>
        <v>51.94</v>
      </c>
      <c r="D160">
        <f>'raw data Crude oil'!D161</f>
        <v>51.92</v>
      </c>
      <c r="E160">
        <f>'raw data Crude oil'!E161</f>
        <v>51.97</v>
      </c>
      <c r="F160">
        <f>'raw data Crude oil'!F161</f>
        <v>52.04</v>
      </c>
      <c r="G160">
        <f>'raw data Crude oil'!G161</f>
        <v>52.08</v>
      </c>
      <c r="H160">
        <f>'raw data Crude oil'!H161</f>
        <v>52.12</v>
      </c>
      <c r="I160">
        <f>'raw data Crude oil'!I161</f>
        <v>52.17</v>
      </c>
      <c r="J160">
        <f>'raw data Crude oil'!J161</f>
        <v>52.21</v>
      </c>
      <c r="K160">
        <f>'raw data Crude oil'!K161</f>
        <v>52.26</v>
      </c>
      <c r="L160">
        <f>'raw data Crude oil'!L161</f>
        <v>52.28</v>
      </c>
      <c r="M160">
        <f>'raw data Crude oil'!M161</f>
        <v>52.28</v>
      </c>
      <c r="N160">
        <f>'raw data Crude oil'!N161</f>
        <v>48.82</v>
      </c>
      <c r="O160">
        <f>'raw data Crude oil'!O161</f>
        <v>48.97</v>
      </c>
      <c r="P160">
        <f>'raw data Crude oil'!P161</f>
        <v>49.11</v>
      </c>
      <c r="Q160">
        <f>'raw data Crude oil'!Q161</f>
        <v>49.23</v>
      </c>
      <c r="R160">
        <f>'raw data Crude oil'!R161</f>
        <v>49.37</v>
      </c>
      <c r="S160">
        <f>'raw data Crude oil'!S161</f>
        <v>49.46</v>
      </c>
      <c r="T160">
        <f>'raw data Crude oil'!T161</f>
        <v>49.52</v>
      </c>
      <c r="U160">
        <f>'raw data Crude oil'!U161</f>
        <v>49.56</v>
      </c>
      <c r="V160">
        <f>'raw data Crude oil'!V161</f>
        <v>49.58</v>
      </c>
      <c r="W160">
        <f>'raw data Crude oil'!W161</f>
        <v>49.58</v>
      </c>
      <c r="X160">
        <f>'raw data Crude oil'!X161</f>
        <v>49.55</v>
      </c>
      <c r="Y160">
        <f>'raw data Crude oil'!Y161</f>
        <v>49.51</v>
      </c>
      <c r="Z160">
        <f>'raw data Crude oil'!Z161</f>
        <v>0</v>
      </c>
      <c r="AA160">
        <f>'raw data Crude oil'!AA161</f>
        <v>0</v>
      </c>
      <c r="AB160">
        <f>'raw data Crude oil'!AB161</f>
        <v>0</v>
      </c>
      <c r="AC160">
        <f>'raw data Crude oil'!AC161</f>
        <v>0</v>
      </c>
      <c r="AD160">
        <f>'raw data Crude oil'!AD161</f>
        <v>0</v>
      </c>
      <c r="AE160">
        <f>'raw data Crude oil'!AE161</f>
        <v>0</v>
      </c>
      <c r="AF160">
        <f>'raw data Crude oil'!AF161</f>
        <v>0</v>
      </c>
      <c r="AG160">
        <f>'raw data Crude oil'!AG161</f>
        <v>0</v>
      </c>
      <c r="AH160">
        <f>'raw data Crude oil'!AH161</f>
        <v>0</v>
      </c>
      <c r="AI160">
        <f>'raw data Crude oil'!AI161</f>
        <v>0</v>
      </c>
      <c r="AJ160">
        <f>'raw data Crude oil'!AJ161</f>
        <v>0</v>
      </c>
      <c r="AK160">
        <f>'raw data Crude oil'!AK161</f>
        <v>0</v>
      </c>
    </row>
    <row r="161" spans="1:37" x14ac:dyDescent="0.3">
      <c r="A161" s="18">
        <f>'raw data Crude oil'!A162</f>
        <v>42961</v>
      </c>
      <c r="B161">
        <f>'raw data Crude oil'!B162</f>
        <v>50.73</v>
      </c>
      <c r="C161">
        <f>'raw data Crude oil'!C162</f>
        <v>50.63</v>
      </c>
      <c r="D161">
        <f>'raw data Crude oil'!D162</f>
        <v>50.65</v>
      </c>
      <c r="E161">
        <f>'raw data Crude oil'!E162</f>
        <v>50.74</v>
      </c>
      <c r="F161">
        <f>'raw data Crude oil'!F162</f>
        <v>50.84</v>
      </c>
      <c r="G161">
        <f>'raw data Crude oil'!G162</f>
        <v>50.92</v>
      </c>
      <c r="H161">
        <f>'raw data Crude oil'!H162</f>
        <v>51</v>
      </c>
      <c r="I161">
        <f>'raw data Crude oil'!I162</f>
        <v>51.08</v>
      </c>
      <c r="J161">
        <f>'raw data Crude oil'!J162</f>
        <v>51.15</v>
      </c>
      <c r="K161">
        <f>'raw data Crude oil'!K162</f>
        <v>51.23</v>
      </c>
      <c r="L161">
        <f>'raw data Crude oil'!L162</f>
        <v>51.28</v>
      </c>
      <c r="M161">
        <f>'raw data Crude oil'!M162</f>
        <v>51.29</v>
      </c>
      <c r="N161">
        <f>'raw data Crude oil'!N162</f>
        <v>47.59</v>
      </c>
      <c r="O161">
        <f>'raw data Crude oil'!O162</f>
        <v>47.73</v>
      </c>
      <c r="P161">
        <f>'raw data Crude oil'!P162</f>
        <v>47.88</v>
      </c>
      <c r="Q161">
        <f>'raw data Crude oil'!Q162</f>
        <v>48.03</v>
      </c>
      <c r="R161">
        <f>'raw data Crude oil'!R162</f>
        <v>48.2</v>
      </c>
      <c r="S161">
        <f>'raw data Crude oil'!S162</f>
        <v>48.33</v>
      </c>
      <c r="T161">
        <f>'raw data Crude oil'!T162</f>
        <v>48.43</v>
      </c>
      <c r="U161">
        <f>'raw data Crude oil'!U162</f>
        <v>48.5</v>
      </c>
      <c r="V161">
        <f>'raw data Crude oil'!V162</f>
        <v>48.54</v>
      </c>
      <c r="W161">
        <f>'raw data Crude oil'!W162</f>
        <v>48.56</v>
      </c>
      <c r="X161">
        <f>'raw data Crude oil'!X162</f>
        <v>48.56</v>
      </c>
      <c r="Y161">
        <f>'raw data Crude oil'!Y162</f>
        <v>48.54</v>
      </c>
      <c r="Z161">
        <f>'raw data Crude oil'!Z162</f>
        <v>0</v>
      </c>
      <c r="AA161">
        <f>'raw data Crude oil'!AA162</f>
        <v>0</v>
      </c>
      <c r="AB161">
        <f>'raw data Crude oil'!AB162</f>
        <v>0</v>
      </c>
      <c r="AC161">
        <f>'raw data Crude oil'!AC162</f>
        <v>0</v>
      </c>
      <c r="AD161">
        <f>'raw data Crude oil'!AD162</f>
        <v>0</v>
      </c>
      <c r="AE161">
        <f>'raw data Crude oil'!AE162</f>
        <v>0</v>
      </c>
      <c r="AF161">
        <f>'raw data Crude oil'!AF162</f>
        <v>0</v>
      </c>
      <c r="AG161">
        <f>'raw data Crude oil'!AG162</f>
        <v>0</v>
      </c>
      <c r="AH161">
        <f>'raw data Crude oil'!AH162</f>
        <v>0</v>
      </c>
      <c r="AI161">
        <f>'raw data Crude oil'!AI162</f>
        <v>0</v>
      </c>
      <c r="AJ161">
        <f>'raw data Crude oil'!AJ162</f>
        <v>0</v>
      </c>
      <c r="AK161">
        <f>'raw data Crude oil'!AK162</f>
        <v>0</v>
      </c>
    </row>
    <row r="162" spans="1:37" x14ac:dyDescent="0.3">
      <c r="A162" s="18">
        <f>'raw data Crude oil'!A163</f>
        <v>42962</v>
      </c>
      <c r="B162">
        <f>'raw data Crude oil'!B163</f>
        <v>50.8</v>
      </c>
      <c r="C162">
        <f>'raw data Crude oil'!C163</f>
        <v>50.63</v>
      </c>
      <c r="D162">
        <f>'raw data Crude oil'!D163</f>
        <v>50.62</v>
      </c>
      <c r="E162">
        <f>'raw data Crude oil'!E163</f>
        <v>50.66</v>
      </c>
      <c r="F162">
        <f>'raw data Crude oil'!F163</f>
        <v>50.73</v>
      </c>
      <c r="G162">
        <f>'raw data Crude oil'!G163</f>
        <v>50.8</v>
      </c>
      <c r="H162">
        <f>'raw data Crude oil'!H163</f>
        <v>50.89</v>
      </c>
      <c r="I162">
        <f>'raw data Crude oil'!I163</f>
        <v>50.98</v>
      </c>
      <c r="J162">
        <f>'raw data Crude oil'!J163</f>
        <v>51.06</v>
      </c>
      <c r="K162">
        <f>'raw data Crude oil'!K163</f>
        <v>51.15</v>
      </c>
      <c r="L162">
        <f>'raw data Crude oil'!L163</f>
        <v>51.21</v>
      </c>
      <c r="M162">
        <f>'raw data Crude oil'!M163</f>
        <v>51.24</v>
      </c>
      <c r="N162">
        <f>'raw data Crude oil'!N163</f>
        <v>47.55</v>
      </c>
      <c r="O162">
        <f>'raw data Crude oil'!O163</f>
        <v>47.7</v>
      </c>
      <c r="P162">
        <f>'raw data Crude oil'!P163</f>
        <v>47.84</v>
      </c>
      <c r="Q162">
        <f>'raw data Crude oil'!Q163</f>
        <v>47.96</v>
      </c>
      <c r="R162">
        <f>'raw data Crude oil'!R163</f>
        <v>48.11</v>
      </c>
      <c r="S162">
        <f>'raw data Crude oil'!S163</f>
        <v>48.23</v>
      </c>
      <c r="T162">
        <f>'raw data Crude oil'!T163</f>
        <v>48.32</v>
      </c>
      <c r="U162">
        <f>'raw data Crude oil'!U163</f>
        <v>48.38</v>
      </c>
      <c r="V162">
        <f>'raw data Crude oil'!V163</f>
        <v>48.43</v>
      </c>
      <c r="W162">
        <f>'raw data Crude oil'!W163</f>
        <v>48.46</v>
      </c>
      <c r="X162">
        <f>'raw data Crude oil'!X163</f>
        <v>48.47</v>
      </c>
      <c r="Y162">
        <f>'raw data Crude oil'!Y163</f>
        <v>48.46</v>
      </c>
      <c r="Z162">
        <f>'raw data Crude oil'!Z163</f>
        <v>0</v>
      </c>
      <c r="AA162">
        <f>'raw data Crude oil'!AA163</f>
        <v>0</v>
      </c>
      <c r="AB162">
        <f>'raw data Crude oil'!AB163</f>
        <v>0</v>
      </c>
      <c r="AC162">
        <f>'raw data Crude oil'!AC163</f>
        <v>0</v>
      </c>
      <c r="AD162">
        <f>'raw data Crude oil'!AD163</f>
        <v>0</v>
      </c>
      <c r="AE162">
        <f>'raw data Crude oil'!AE163</f>
        <v>0</v>
      </c>
      <c r="AF162">
        <f>'raw data Crude oil'!AF163</f>
        <v>0</v>
      </c>
      <c r="AG162">
        <f>'raw data Crude oil'!AG163</f>
        <v>0</v>
      </c>
      <c r="AH162">
        <f>'raw data Crude oil'!AH163</f>
        <v>0</v>
      </c>
      <c r="AI162">
        <f>'raw data Crude oil'!AI163</f>
        <v>0</v>
      </c>
      <c r="AJ162">
        <f>'raw data Crude oil'!AJ163</f>
        <v>0</v>
      </c>
      <c r="AK162">
        <f>'raw data Crude oil'!AK163</f>
        <v>0</v>
      </c>
    </row>
    <row r="163" spans="1:37" x14ac:dyDescent="0.3">
      <c r="A163" s="18">
        <f>'raw data Crude oil'!A164</f>
        <v>42963</v>
      </c>
      <c r="B163">
        <f>'raw data Crude oil'!B164</f>
        <v>50.27</v>
      </c>
      <c r="C163">
        <f>'raw data Crude oil'!C164</f>
        <v>50.1</v>
      </c>
      <c r="D163">
        <f>'raw data Crude oil'!D164</f>
        <v>50.07</v>
      </c>
      <c r="E163">
        <f>'raw data Crude oil'!E164</f>
        <v>50.12</v>
      </c>
      <c r="F163">
        <f>'raw data Crude oil'!F164</f>
        <v>50.19</v>
      </c>
      <c r="G163">
        <f>'raw data Crude oil'!G164</f>
        <v>50.27</v>
      </c>
      <c r="H163">
        <f>'raw data Crude oil'!H164</f>
        <v>50.37</v>
      </c>
      <c r="I163">
        <f>'raw data Crude oil'!I164</f>
        <v>50.47</v>
      </c>
      <c r="J163">
        <f>'raw data Crude oil'!J164</f>
        <v>50.56</v>
      </c>
      <c r="K163">
        <f>'raw data Crude oil'!K164</f>
        <v>50.66</v>
      </c>
      <c r="L163">
        <f>'raw data Crude oil'!L164</f>
        <v>50.73</v>
      </c>
      <c r="M163">
        <f>'raw data Crude oil'!M164</f>
        <v>50.77</v>
      </c>
      <c r="N163">
        <f>'raw data Crude oil'!N164</f>
        <v>46.78</v>
      </c>
      <c r="O163">
        <f>'raw data Crude oil'!O164</f>
        <v>46.94</v>
      </c>
      <c r="P163">
        <f>'raw data Crude oil'!P164</f>
        <v>47.1</v>
      </c>
      <c r="Q163">
        <f>'raw data Crude oil'!Q164</f>
        <v>47.25</v>
      </c>
      <c r="R163">
        <f>'raw data Crude oil'!R164</f>
        <v>47.41</v>
      </c>
      <c r="S163">
        <f>'raw data Crude oil'!S164</f>
        <v>47.54</v>
      </c>
      <c r="T163">
        <f>'raw data Crude oil'!T164</f>
        <v>47.64</v>
      </c>
      <c r="U163">
        <f>'raw data Crude oil'!U164</f>
        <v>47.71</v>
      </c>
      <c r="V163">
        <f>'raw data Crude oil'!V164</f>
        <v>47.77</v>
      </c>
      <c r="W163">
        <f>'raw data Crude oil'!W164</f>
        <v>47.82</v>
      </c>
      <c r="X163">
        <f>'raw data Crude oil'!X164</f>
        <v>47.84</v>
      </c>
      <c r="Y163">
        <f>'raw data Crude oil'!Y164</f>
        <v>47.86</v>
      </c>
      <c r="Z163">
        <f>'raw data Crude oil'!Z164</f>
        <v>0</v>
      </c>
      <c r="AA163">
        <f>'raw data Crude oil'!AA164</f>
        <v>0</v>
      </c>
      <c r="AB163">
        <f>'raw data Crude oil'!AB164</f>
        <v>0</v>
      </c>
      <c r="AC163">
        <f>'raw data Crude oil'!AC164</f>
        <v>0</v>
      </c>
      <c r="AD163">
        <f>'raw data Crude oil'!AD164</f>
        <v>0</v>
      </c>
      <c r="AE163">
        <f>'raw data Crude oil'!AE164</f>
        <v>0</v>
      </c>
      <c r="AF163">
        <f>'raw data Crude oil'!AF164</f>
        <v>0</v>
      </c>
      <c r="AG163">
        <f>'raw data Crude oil'!AG164</f>
        <v>0</v>
      </c>
      <c r="AH163">
        <f>'raw data Crude oil'!AH164</f>
        <v>0</v>
      </c>
      <c r="AI163">
        <f>'raw data Crude oil'!AI164</f>
        <v>0</v>
      </c>
      <c r="AJ163">
        <f>'raw data Crude oil'!AJ164</f>
        <v>0</v>
      </c>
      <c r="AK163">
        <f>'raw data Crude oil'!AK164</f>
        <v>0</v>
      </c>
    </row>
    <row r="164" spans="1:37" x14ac:dyDescent="0.3">
      <c r="A164" s="18">
        <f>'raw data Crude oil'!A165</f>
        <v>42964</v>
      </c>
      <c r="B164">
        <f>'raw data Crude oil'!B165</f>
        <v>51.03</v>
      </c>
      <c r="C164">
        <f>'raw data Crude oil'!C165</f>
        <v>50.75</v>
      </c>
      <c r="D164">
        <f>'raw data Crude oil'!D165</f>
        <v>50.63</v>
      </c>
      <c r="E164">
        <f>'raw data Crude oil'!E165</f>
        <v>50.62</v>
      </c>
      <c r="F164">
        <f>'raw data Crude oil'!F165</f>
        <v>50.67</v>
      </c>
      <c r="G164">
        <f>'raw data Crude oil'!G165</f>
        <v>50.74</v>
      </c>
      <c r="H164">
        <f>'raw data Crude oil'!H165</f>
        <v>50.81</v>
      </c>
      <c r="I164">
        <f>'raw data Crude oil'!I165</f>
        <v>50.88</v>
      </c>
      <c r="J164">
        <f>'raw data Crude oil'!J165</f>
        <v>50.94</v>
      </c>
      <c r="K164">
        <f>'raw data Crude oil'!K165</f>
        <v>51.02</v>
      </c>
      <c r="L164">
        <f>'raw data Crude oil'!L165</f>
        <v>51.08</v>
      </c>
      <c r="M164">
        <f>'raw data Crude oil'!M165</f>
        <v>51.11</v>
      </c>
      <c r="N164">
        <f>'raw data Crude oil'!N165</f>
        <v>47.09</v>
      </c>
      <c r="O164">
        <f>'raw data Crude oil'!O165</f>
        <v>47.24</v>
      </c>
      <c r="P164">
        <f>'raw data Crude oil'!P165</f>
        <v>47.4</v>
      </c>
      <c r="Q164">
        <f>'raw data Crude oil'!Q165</f>
        <v>47.53</v>
      </c>
      <c r="R164">
        <f>'raw data Crude oil'!R165</f>
        <v>47.65</v>
      </c>
      <c r="S164">
        <f>'raw data Crude oil'!S165</f>
        <v>47.76</v>
      </c>
      <c r="T164">
        <f>'raw data Crude oil'!T165</f>
        <v>47.84</v>
      </c>
      <c r="U164">
        <f>'raw data Crude oil'!U165</f>
        <v>47.9</v>
      </c>
      <c r="V164">
        <f>'raw data Crude oil'!V165</f>
        <v>47.95</v>
      </c>
      <c r="W164">
        <f>'raw data Crude oil'!W165</f>
        <v>47.98</v>
      </c>
      <c r="X164">
        <f>'raw data Crude oil'!X165</f>
        <v>47.99</v>
      </c>
      <c r="Y164">
        <f>'raw data Crude oil'!Y165</f>
        <v>48.01</v>
      </c>
      <c r="Z164">
        <f>'raw data Crude oil'!Z165</f>
        <v>0</v>
      </c>
      <c r="AA164">
        <f>'raw data Crude oil'!AA165</f>
        <v>0</v>
      </c>
      <c r="AB164">
        <f>'raw data Crude oil'!AB165</f>
        <v>0</v>
      </c>
      <c r="AC164">
        <f>'raw data Crude oil'!AC165</f>
        <v>0</v>
      </c>
      <c r="AD164">
        <f>'raw data Crude oil'!AD165</f>
        <v>0</v>
      </c>
      <c r="AE164">
        <f>'raw data Crude oil'!AE165</f>
        <v>0</v>
      </c>
      <c r="AF164">
        <f>'raw data Crude oil'!AF165</f>
        <v>0</v>
      </c>
      <c r="AG164">
        <f>'raw data Crude oil'!AG165</f>
        <v>0</v>
      </c>
      <c r="AH164">
        <f>'raw data Crude oil'!AH165</f>
        <v>0</v>
      </c>
      <c r="AI164">
        <f>'raw data Crude oil'!AI165</f>
        <v>0</v>
      </c>
      <c r="AJ164">
        <f>'raw data Crude oil'!AJ165</f>
        <v>0</v>
      </c>
      <c r="AK164">
        <f>'raw data Crude oil'!AK165</f>
        <v>0</v>
      </c>
    </row>
    <row r="165" spans="1:37" x14ac:dyDescent="0.3">
      <c r="A165" s="18">
        <f>'raw data Crude oil'!A166</f>
        <v>42965</v>
      </c>
      <c r="B165">
        <f>'raw data Crude oil'!B166</f>
        <v>52.72</v>
      </c>
      <c r="C165">
        <f>'raw data Crude oil'!C166</f>
        <v>52.41</v>
      </c>
      <c r="D165">
        <f>'raw data Crude oil'!D166</f>
        <v>52.26</v>
      </c>
      <c r="E165">
        <f>'raw data Crude oil'!E166</f>
        <v>52.24</v>
      </c>
      <c r="F165">
        <f>'raw data Crude oil'!F166</f>
        <v>52.28</v>
      </c>
      <c r="G165">
        <f>'raw data Crude oil'!G166</f>
        <v>52.33</v>
      </c>
      <c r="H165">
        <f>'raw data Crude oil'!H166</f>
        <v>52.37</v>
      </c>
      <c r="I165">
        <f>'raw data Crude oil'!I166</f>
        <v>52.42</v>
      </c>
      <c r="J165">
        <f>'raw data Crude oil'!J166</f>
        <v>52.47</v>
      </c>
      <c r="K165">
        <f>'raw data Crude oil'!K166</f>
        <v>52.54</v>
      </c>
      <c r="L165">
        <f>'raw data Crude oil'!L166</f>
        <v>52.58</v>
      </c>
      <c r="M165">
        <f>'raw data Crude oil'!M166</f>
        <v>52.6</v>
      </c>
      <c r="N165">
        <f>'raw data Crude oil'!N166</f>
        <v>48.51</v>
      </c>
      <c r="O165">
        <f>'raw data Crude oil'!O166</f>
        <v>48.66</v>
      </c>
      <c r="P165">
        <f>'raw data Crude oil'!P166</f>
        <v>48.82</v>
      </c>
      <c r="Q165">
        <f>'raw data Crude oil'!Q166</f>
        <v>48.93</v>
      </c>
      <c r="R165">
        <f>'raw data Crude oil'!R166</f>
        <v>49.03</v>
      </c>
      <c r="S165">
        <f>'raw data Crude oil'!S166</f>
        <v>49.11</v>
      </c>
      <c r="T165">
        <f>'raw data Crude oil'!T166</f>
        <v>49.17</v>
      </c>
      <c r="U165">
        <f>'raw data Crude oil'!U166</f>
        <v>49.21</v>
      </c>
      <c r="V165">
        <f>'raw data Crude oil'!V166</f>
        <v>49.24</v>
      </c>
      <c r="W165">
        <f>'raw data Crude oil'!W166</f>
        <v>49.27</v>
      </c>
      <c r="X165">
        <f>'raw data Crude oil'!X166</f>
        <v>49.28</v>
      </c>
      <c r="Y165">
        <f>'raw data Crude oil'!Y166</f>
        <v>49.29</v>
      </c>
      <c r="Z165">
        <f>'raw data Crude oil'!Z166</f>
        <v>0</v>
      </c>
      <c r="AA165">
        <f>'raw data Crude oil'!AA166</f>
        <v>0</v>
      </c>
      <c r="AB165">
        <f>'raw data Crude oil'!AB166</f>
        <v>0</v>
      </c>
      <c r="AC165">
        <f>'raw data Crude oil'!AC166</f>
        <v>0</v>
      </c>
      <c r="AD165">
        <f>'raw data Crude oil'!AD166</f>
        <v>0</v>
      </c>
      <c r="AE165">
        <f>'raw data Crude oil'!AE166</f>
        <v>0</v>
      </c>
      <c r="AF165">
        <f>'raw data Crude oil'!AF166</f>
        <v>0</v>
      </c>
      <c r="AG165">
        <f>'raw data Crude oil'!AG166</f>
        <v>0</v>
      </c>
      <c r="AH165">
        <f>'raw data Crude oil'!AH166</f>
        <v>0</v>
      </c>
      <c r="AI165">
        <f>'raw data Crude oil'!AI166</f>
        <v>0</v>
      </c>
      <c r="AJ165">
        <f>'raw data Crude oil'!AJ166</f>
        <v>0</v>
      </c>
      <c r="AK165">
        <f>'raw data Crude oil'!AK166</f>
        <v>0</v>
      </c>
    </row>
    <row r="166" spans="1:37" x14ac:dyDescent="0.3">
      <c r="A166" s="18">
        <f>'raw data Crude oil'!A167</f>
        <v>42968</v>
      </c>
      <c r="B166">
        <f>'raw data Crude oil'!B167</f>
        <v>51.66</v>
      </c>
      <c r="C166">
        <f>'raw data Crude oil'!C167</f>
        <v>51.28</v>
      </c>
      <c r="D166">
        <f>'raw data Crude oil'!D167</f>
        <v>51.12</v>
      </c>
      <c r="E166">
        <f>'raw data Crude oil'!E167</f>
        <v>51.09</v>
      </c>
      <c r="F166">
        <f>'raw data Crude oil'!F167</f>
        <v>51.13</v>
      </c>
      <c r="G166">
        <f>'raw data Crude oil'!G167</f>
        <v>51.19</v>
      </c>
      <c r="H166">
        <f>'raw data Crude oil'!H167</f>
        <v>51.24</v>
      </c>
      <c r="I166">
        <f>'raw data Crude oil'!I167</f>
        <v>51.28</v>
      </c>
      <c r="J166">
        <f>'raw data Crude oil'!J167</f>
        <v>51.33</v>
      </c>
      <c r="K166">
        <f>'raw data Crude oil'!K167</f>
        <v>51.4</v>
      </c>
      <c r="L166">
        <f>'raw data Crude oil'!L167</f>
        <v>51.45</v>
      </c>
      <c r="M166">
        <f>'raw data Crude oil'!M167</f>
        <v>51.47</v>
      </c>
      <c r="N166">
        <f>'raw data Crude oil'!N167</f>
        <v>47.37</v>
      </c>
      <c r="O166">
        <f>'raw data Crude oil'!O167</f>
        <v>47.53</v>
      </c>
      <c r="P166">
        <f>'raw data Crude oil'!P167</f>
        <v>47.68</v>
      </c>
      <c r="Q166">
        <f>'raw data Crude oil'!Q167</f>
        <v>47.79</v>
      </c>
      <c r="R166">
        <f>'raw data Crude oil'!R167</f>
        <v>47.89</v>
      </c>
      <c r="S166">
        <f>'raw data Crude oil'!S167</f>
        <v>47.98</v>
      </c>
      <c r="T166">
        <f>'raw data Crude oil'!T167</f>
        <v>48.05</v>
      </c>
      <c r="U166">
        <f>'raw data Crude oil'!U167</f>
        <v>48.09</v>
      </c>
      <c r="V166">
        <f>'raw data Crude oil'!V167</f>
        <v>48.12</v>
      </c>
      <c r="W166">
        <f>'raw data Crude oil'!W167</f>
        <v>48.15</v>
      </c>
      <c r="X166">
        <f>'raw data Crude oil'!X167</f>
        <v>48.16</v>
      </c>
      <c r="Y166">
        <f>'raw data Crude oil'!Y167</f>
        <v>48.17</v>
      </c>
      <c r="Z166">
        <f>'raw data Crude oil'!Z167</f>
        <v>0</v>
      </c>
      <c r="AA166">
        <f>'raw data Crude oil'!AA167</f>
        <v>0</v>
      </c>
      <c r="AB166">
        <f>'raw data Crude oil'!AB167</f>
        <v>0</v>
      </c>
      <c r="AC166">
        <f>'raw data Crude oil'!AC167</f>
        <v>0</v>
      </c>
      <c r="AD166">
        <f>'raw data Crude oil'!AD167</f>
        <v>0</v>
      </c>
      <c r="AE166">
        <f>'raw data Crude oil'!AE167</f>
        <v>0</v>
      </c>
      <c r="AF166">
        <f>'raw data Crude oil'!AF167</f>
        <v>0</v>
      </c>
      <c r="AG166">
        <f>'raw data Crude oil'!AG167</f>
        <v>0</v>
      </c>
      <c r="AH166">
        <f>'raw data Crude oil'!AH167</f>
        <v>0</v>
      </c>
      <c r="AI166">
        <f>'raw data Crude oil'!AI167</f>
        <v>0</v>
      </c>
      <c r="AJ166">
        <f>'raw data Crude oil'!AJ167</f>
        <v>0</v>
      </c>
      <c r="AK166">
        <f>'raw data Crude oil'!AK167</f>
        <v>0</v>
      </c>
    </row>
    <row r="167" spans="1:37" x14ac:dyDescent="0.3">
      <c r="A167" s="18">
        <f>'raw data Crude oil'!A168</f>
        <v>42969</v>
      </c>
      <c r="B167">
        <f>'raw data Crude oil'!B168</f>
        <v>51.87</v>
      </c>
      <c r="C167">
        <f>'raw data Crude oil'!C168</f>
        <v>51.58</v>
      </c>
      <c r="D167">
        <f>'raw data Crude oil'!D168</f>
        <v>51.51</v>
      </c>
      <c r="E167">
        <f>'raw data Crude oil'!E168</f>
        <v>51.55</v>
      </c>
      <c r="F167">
        <f>'raw data Crude oil'!F168</f>
        <v>51.63</v>
      </c>
      <c r="G167">
        <f>'raw data Crude oil'!G168</f>
        <v>51.73</v>
      </c>
      <c r="H167">
        <f>'raw data Crude oil'!H168</f>
        <v>51.8</v>
      </c>
      <c r="I167">
        <f>'raw data Crude oil'!I168</f>
        <v>51.87</v>
      </c>
      <c r="J167">
        <f>'raw data Crude oil'!J168</f>
        <v>51.94</v>
      </c>
      <c r="K167">
        <f>'raw data Crude oil'!K168</f>
        <v>52.03</v>
      </c>
      <c r="L167">
        <f>'raw data Crude oil'!L168</f>
        <v>52.09</v>
      </c>
      <c r="M167">
        <f>'raw data Crude oil'!M168</f>
        <v>52.12</v>
      </c>
      <c r="N167">
        <f>'raw data Crude oil'!N168</f>
        <v>47.64</v>
      </c>
      <c r="O167">
        <f>'raw data Crude oil'!O168</f>
        <v>47.83</v>
      </c>
      <c r="P167">
        <f>'raw data Crude oil'!P168</f>
        <v>48.02</v>
      </c>
      <c r="Q167">
        <f>'raw data Crude oil'!Q168</f>
        <v>48.18</v>
      </c>
      <c r="R167">
        <f>'raw data Crude oil'!R168</f>
        <v>48.34</v>
      </c>
      <c r="S167">
        <f>'raw data Crude oil'!S168</f>
        <v>48.47</v>
      </c>
      <c r="T167">
        <f>'raw data Crude oil'!T168</f>
        <v>48.58</v>
      </c>
      <c r="U167">
        <f>'raw data Crude oil'!U168</f>
        <v>48.66</v>
      </c>
      <c r="V167">
        <f>'raw data Crude oil'!V168</f>
        <v>48.72</v>
      </c>
      <c r="W167">
        <f>'raw data Crude oil'!W168</f>
        <v>48.77</v>
      </c>
      <c r="X167">
        <f>'raw data Crude oil'!X168</f>
        <v>48.8</v>
      </c>
      <c r="Y167">
        <f>'raw data Crude oil'!Y168</f>
        <v>48.82</v>
      </c>
      <c r="Z167">
        <f>'raw data Crude oil'!Z168</f>
        <v>0</v>
      </c>
      <c r="AA167">
        <f>'raw data Crude oil'!AA168</f>
        <v>0</v>
      </c>
      <c r="AB167">
        <f>'raw data Crude oil'!AB168</f>
        <v>0</v>
      </c>
      <c r="AC167">
        <f>'raw data Crude oil'!AC168</f>
        <v>0</v>
      </c>
      <c r="AD167">
        <f>'raw data Crude oil'!AD168</f>
        <v>0</v>
      </c>
      <c r="AE167">
        <f>'raw data Crude oil'!AE168</f>
        <v>0</v>
      </c>
      <c r="AF167">
        <f>'raw data Crude oil'!AF168</f>
        <v>0</v>
      </c>
      <c r="AG167">
        <f>'raw data Crude oil'!AG168</f>
        <v>0</v>
      </c>
      <c r="AH167">
        <f>'raw data Crude oil'!AH168</f>
        <v>0</v>
      </c>
      <c r="AI167">
        <f>'raw data Crude oil'!AI168</f>
        <v>0</v>
      </c>
      <c r="AJ167">
        <f>'raw data Crude oil'!AJ168</f>
        <v>0</v>
      </c>
      <c r="AK167">
        <f>'raw data Crude oil'!AK168</f>
        <v>0</v>
      </c>
    </row>
    <row r="168" spans="1:37" x14ac:dyDescent="0.3">
      <c r="A168" s="18">
        <f>'raw data Crude oil'!A169</f>
        <v>42970</v>
      </c>
      <c r="B168">
        <f>'raw data Crude oil'!B169</f>
        <v>52.57</v>
      </c>
      <c r="C168">
        <f>'raw data Crude oil'!C169</f>
        <v>52.24</v>
      </c>
      <c r="D168">
        <f>'raw data Crude oil'!D169</f>
        <v>52.16</v>
      </c>
      <c r="E168">
        <f>'raw data Crude oil'!E169</f>
        <v>52.19</v>
      </c>
      <c r="F168">
        <f>'raw data Crude oil'!F169</f>
        <v>52.27</v>
      </c>
      <c r="G168">
        <f>'raw data Crude oil'!G169</f>
        <v>52.35</v>
      </c>
      <c r="H168">
        <f>'raw data Crude oil'!H169</f>
        <v>52.42</v>
      </c>
      <c r="I168">
        <f>'raw data Crude oil'!I169</f>
        <v>52.48</v>
      </c>
      <c r="J168">
        <f>'raw data Crude oil'!J169</f>
        <v>52.54</v>
      </c>
      <c r="K168">
        <f>'raw data Crude oil'!K169</f>
        <v>52.62</v>
      </c>
      <c r="L168">
        <f>'raw data Crude oil'!L169</f>
        <v>52.68</v>
      </c>
      <c r="M168">
        <f>'raw data Crude oil'!M169</f>
        <v>52.7</v>
      </c>
      <c r="N168">
        <f>'raw data Crude oil'!N169</f>
        <v>48.41</v>
      </c>
      <c r="O168">
        <f>'raw data Crude oil'!O169</f>
        <v>48.62</v>
      </c>
      <c r="P168">
        <f>'raw data Crude oil'!P169</f>
        <v>48.8</v>
      </c>
      <c r="Q168">
        <f>'raw data Crude oil'!Q169</f>
        <v>48.97</v>
      </c>
      <c r="R168">
        <f>'raw data Crude oil'!R169</f>
        <v>49.11</v>
      </c>
      <c r="S168">
        <f>'raw data Crude oil'!S169</f>
        <v>49.22</v>
      </c>
      <c r="T168">
        <f>'raw data Crude oil'!T169</f>
        <v>49.3</v>
      </c>
      <c r="U168">
        <f>'raw data Crude oil'!U169</f>
        <v>49.36</v>
      </c>
      <c r="V168">
        <f>'raw data Crude oil'!V169</f>
        <v>49.4</v>
      </c>
      <c r="W168">
        <f>'raw data Crude oil'!W169</f>
        <v>49.42</v>
      </c>
      <c r="X168">
        <f>'raw data Crude oil'!X169</f>
        <v>49.44</v>
      </c>
      <c r="Y168">
        <f>'raw data Crude oil'!Y169</f>
        <v>49.45</v>
      </c>
      <c r="Z168">
        <f>'raw data Crude oil'!Z169</f>
        <v>0</v>
      </c>
      <c r="AA168">
        <f>'raw data Crude oil'!AA169</f>
        <v>0</v>
      </c>
      <c r="AB168">
        <f>'raw data Crude oil'!AB169</f>
        <v>0</v>
      </c>
      <c r="AC168">
        <f>'raw data Crude oil'!AC169</f>
        <v>0</v>
      </c>
      <c r="AD168">
        <f>'raw data Crude oil'!AD169</f>
        <v>0</v>
      </c>
      <c r="AE168">
        <f>'raw data Crude oil'!AE169</f>
        <v>0</v>
      </c>
      <c r="AF168">
        <f>'raw data Crude oil'!AF169</f>
        <v>0</v>
      </c>
      <c r="AG168">
        <f>'raw data Crude oil'!AG169</f>
        <v>0</v>
      </c>
      <c r="AH168">
        <f>'raw data Crude oil'!AH169</f>
        <v>0</v>
      </c>
      <c r="AI168">
        <f>'raw data Crude oil'!AI169</f>
        <v>0</v>
      </c>
      <c r="AJ168">
        <f>'raw data Crude oil'!AJ169</f>
        <v>0</v>
      </c>
      <c r="AK168">
        <f>'raw data Crude oil'!AK169</f>
        <v>0</v>
      </c>
    </row>
    <row r="169" spans="1:37" x14ac:dyDescent="0.3">
      <c r="A169" s="18">
        <f>'raw data Crude oil'!A170</f>
        <v>42971</v>
      </c>
      <c r="B169">
        <f>'raw data Crude oil'!B170</f>
        <v>52.04</v>
      </c>
      <c r="C169">
        <f>'raw data Crude oil'!C170</f>
        <v>51.66</v>
      </c>
      <c r="D169">
        <f>'raw data Crude oil'!D170</f>
        <v>51.57</v>
      </c>
      <c r="E169">
        <f>'raw data Crude oil'!E170</f>
        <v>51.59</v>
      </c>
      <c r="F169">
        <f>'raw data Crude oil'!F170</f>
        <v>51.67</v>
      </c>
      <c r="G169">
        <f>'raw data Crude oil'!G170</f>
        <v>51.76</v>
      </c>
      <c r="H169">
        <f>'raw data Crude oil'!H170</f>
        <v>51.84</v>
      </c>
      <c r="I169">
        <f>'raw data Crude oil'!I170</f>
        <v>51.91</v>
      </c>
      <c r="J169">
        <f>'raw data Crude oil'!J170</f>
        <v>51.98</v>
      </c>
      <c r="K169">
        <f>'raw data Crude oil'!K170</f>
        <v>52.07</v>
      </c>
      <c r="L169">
        <f>'raw data Crude oil'!L170</f>
        <v>52.14</v>
      </c>
      <c r="M169">
        <f>'raw data Crude oil'!M170</f>
        <v>52.18</v>
      </c>
      <c r="N169">
        <f>'raw data Crude oil'!N170</f>
        <v>47.43</v>
      </c>
      <c r="O169">
        <f>'raw data Crude oil'!O170</f>
        <v>47.7</v>
      </c>
      <c r="P169">
        <f>'raw data Crude oil'!P170</f>
        <v>47.92</v>
      </c>
      <c r="Q169">
        <f>'raw data Crude oil'!Q170</f>
        <v>48.11</v>
      </c>
      <c r="R169">
        <f>'raw data Crude oil'!R170</f>
        <v>48.27</v>
      </c>
      <c r="S169">
        <f>'raw data Crude oil'!S170</f>
        <v>48.4</v>
      </c>
      <c r="T169">
        <f>'raw data Crude oil'!T170</f>
        <v>48.51</v>
      </c>
      <c r="U169">
        <f>'raw data Crude oil'!U170</f>
        <v>48.6</v>
      </c>
      <c r="V169">
        <f>'raw data Crude oil'!V170</f>
        <v>48.67</v>
      </c>
      <c r="W169">
        <f>'raw data Crude oil'!W170</f>
        <v>48.71</v>
      </c>
      <c r="X169">
        <f>'raw data Crude oil'!X170</f>
        <v>48.74</v>
      </c>
      <c r="Y169">
        <f>'raw data Crude oil'!Y170</f>
        <v>48.77</v>
      </c>
      <c r="Z169">
        <f>'raw data Crude oil'!Z170</f>
        <v>0</v>
      </c>
      <c r="AA169">
        <f>'raw data Crude oil'!AA170</f>
        <v>0</v>
      </c>
      <c r="AB169">
        <f>'raw data Crude oil'!AB170</f>
        <v>0</v>
      </c>
      <c r="AC169">
        <f>'raw data Crude oil'!AC170</f>
        <v>0</v>
      </c>
      <c r="AD169">
        <f>'raw data Crude oil'!AD170</f>
        <v>0</v>
      </c>
      <c r="AE169">
        <f>'raw data Crude oil'!AE170</f>
        <v>0</v>
      </c>
      <c r="AF169">
        <f>'raw data Crude oil'!AF170</f>
        <v>0</v>
      </c>
      <c r="AG169">
        <f>'raw data Crude oil'!AG170</f>
        <v>0</v>
      </c>
      <c r="AH169">
        <f>'raw data Crude oil'!AH170</f>
        <v>0</v>
      </c>
      <c r="AI169">
        <f>'raw data Crude oil'!AI170</f>
        <v>0</v>
      </c>
      <c r="AJ169">
        <f>'raw data Crude oil'!AJ170</f>
        <v>0</v>
      </c>
      <c r="AK169">
        <f>'raw data Crude oil'!AK170</f>
        <v>0</v>
      </c>
    </row>
    <row r="170" spans="1:37" x14ac:dyDescent="0.3">
      <c r="A170" s="18">
        <f>'raw data Crude oil'!A171</f>
        <v>42972</v>
      </c>
      <c r="B170">
        <f>'raw data Crude oil'!B171</f>
        <v>52.41</v>
      </c>
      <c r="C170">
        <f>'raw data Crude oil'!C171</f>
        <v>51.98</v>
      </c>
      <c r="D170">
        <f>'raw data Crude oil'!D171</f>
        <v>51.89</v>
      </c>
      <c r="E170">
        <f>'raw data Crude oil'!E171</f>
        <v>51.9</v>
      </c>
      <c r="F170">
        <f>'raw data Crude oil'!F171</f>
        <v>51.97</v>
      </c>
      <c r="G170">
        <f>'raw data Crude oil'!G171</f>
        <v>52.07</v>
      </c>
      <c r="H170">
        <f>'raw data Crude oil'!H171</f>
        <v>52.15</v>
      </c>
      <c r="I170">
        <f>'raw data Crude oil'!I171</f>
        <v>52.22</v>
      </c>
      <c r="J170">
        <f>'raw data Crude oil'!J171</f>
        <v>52.28</v>
      </c>
      <c r="K170">
        <f>'raw data Crude oil'!K171</f>
        <v>52.37</v>
      </c>
      <c r="L170">
        <f>'raw data Crude oil'!L171</f>
        <v>52.43</v>
      </c>
      <c r="M170">
        <f>'raw data Crude oil'!M171</f>
        <v>52.46</v>
      </c>
      <c r="N170">
        <f>'raw data Crude oil'!N171</f>
        <v>47.87</v>
      </c>
      <c r="O170">
        <f>'raw data Crude oil'!O171</f>
        <v>48.12</v>
      </c>
      <c r="P170">
        <f>'raw data Crude oil'!P171</f>
        <v>48.34</v>
      </c>
      <c r="Q170">
        <f>'raw data Crude oil'!Q171</f>
        <v>48.53</v>
      </c>
      <c r="R170">
        <f>'raw data Crude oil'!R171</f>
        <v>48.7</v>
      </c>
      <c r="S170">
        <f>'raw data Crude oil'!S171</f>
        <v>48.83</v>
      </c>
      <c r="T170">
        <f>'raw data Crude oil'!T171</f>
        <v>48.94</v>
      </c>
      <c r="U170">
        <f>'raw data Crude oil'!U171</f>
        <v>49.02</v>
      </c>
      <c r="V170">
        <f>'raw data Crude oil'!V171</f>
        <v>49.08</v>
      </c>
      <c r="W170">
        <f>'raw data Crude oil'!W171</f>
        <v>49.11</v>
      </c>
      <c r="X170">
        <f>'raw data Crude oil'!X171</f>
        <v>49.13</v>
      </c>
      <c r="Y170">
        <f>'raw data Crude oil'!Y171</f>
        <v>49.15</v>
      </c>
      <c r="Z170">
        <f>'raw data Crude oil'!Z171</f>
        <v>0</v>
      </c>
      <c r="AA170">
        <f>'raw data Crude oil'!AA171</f>
        <v>0</v>
      </c>
      <c r="AB170">
        <f>'raw data Crude oil'!AB171</f>
        <v>0</v>
      </c>
      <c r="AC170">
        <f>'raw data Crude oil'!AC171</f>
        <v>0</v>
      </c>
      <c r="AD170">
        <f>'raw data Crude oil'!AD171</f>
        <v>0</v>
      </c>
      <c r="AE170">
        <f>'raw data Crude oil'!AE171</f>
        <v>0</v>
      </c>
      <c r="AF170">
        <f>'raw data Crude oil'!AF171</f>
        <v>0</v>
      </c>
      <c r="AG170">
        <f>'raw data Crude oil'!AG171</f>
        <v>0</v>
      </c>
      <c r="AH170">
        <f>'raw data Crude oil'!AH171</f>
        <v>0</v>
      </c>
      <c r="AI170">
        <f>'raw data Crude oil'!AI171</f>
        <v>0</v>
      </c>
      <c r="AJ170">
        <f>'raw data Crude oil'!AJ171</f>
        <v>0</v>
      </c>
      <c r="AK170">
        <f>'raw data Crude oil'!AK171</f>
        <v>0</v>
      </c>
    </row>
    <row r="171" spans="1:37" x14ac:dyDescent="0.3">
      <c r="A171" s="18">
        <f>'raw data Crude oil'!A172</f>
        <v>42975</v>
      </c>
      <c r="B171">
        <f>'raw data Crude oil'!B172</f>
        <v>51.89</v>
      </c>
      <c r="C171">
        <f>'raw data Crude oil'!C172</f>
        <v>51.42</v>
      </c>
      <c r="D171">
        <f>'raw data Crude oil'!D172</f>
        <v>51.36</v>
      </c>
      <c r="E171">
        <f>'raw data Crude oil'!E172</f>
        <v>51.39</v>
      </c>
      <c r="F171">
        <f>'raw data Crude oil'!F172</f>
        <v>51.47</v>
      </c>
      <c r="G171">
        <f>'raw data Crude oil'!G172</f>
        <v>51.57</v>
      </c>
      <c r="H171">
        <f>'raw data Crude oil'!H172</f>
        <v>51.65</v>
      </c>
      <c r="I171">
        <f>'raw data Crude oil'!I172</f>
        <v>51.72</v>
      </c>
      <c r="J171">
        <f>'raw data Crude oil'!J172</f>
        <v>51.79</v>
      </c>
      <c r="K171">
        <f>'raw data Crude oil'!K172</f>
        <v>51.88</v>
      </c>
      <c r="L171">
        <f>'raw data Crude oil'!L172</f>
        <v>51.94</v>
      </c>
      <c r="M171">
        <f>'raw data Crude oil'!M172</f>
        <v>51.97</v>
      </c>
      <c r="N171">
        <f>'raw data Crude oil'!N172</f>
        <v>46.57</v>
      </c>
      <c r="O171">
        <f>'raw data Crude oil'!O172</f>
        <v>46.96</v>
      </c>
      <c r="P171">
        <f>'raw data Crude oil'!P172</f>
        <v>47.27</v>
      </c>
      <c r="Q171">
        <f>'raw data Crude oil'!Q172</f>
        <v>47.52</v>
      </c>
      <c r="R171">
        <f>'raw data Crude oil'!R172</f>
        <v>47.72</v>
      </c>
      <c r="S171">
        <f>'raw data Crude oil'!S172</f>
        <v>47.88</v>
      </c>
      <c r="T171">
        <f>'raw data Crude oil'!T172</f>
        <v>48.01</v>
      </c>
      <c r="U171">
        <f>'raw data Crude oil'!U172</f>
        <v>48.11</v>
      </c>
      <c r="V171">
        <f>'raw data Crude oil'!V172</f>
        <v>48.2</v>
      </c>
      <c r="W171">
        <f>'raw data Crude oil'!W172</f>
        <v>48.26</v>
      </c>
      <c r="X171">
        <f>'raw data Crude oil'!X172</f>
        <v>48.31</v>
      </c>
      <c r="Y171">
        <f>'raw data Crude oil'!Y172</f>
        <v>48.36</v>
      </c>
      <c r="Z171">
        <f>'raw data Crude oil'!Z172</f>
        <v>0</v>
      </c>
      <c r="AA171">
        <f>'raw data Crude oil'!AA172</f>
        <v>0</v>
      </c>
      <c r="AB171">
        <f>'raw data Crude oil'!AB172</f>
        <v>0</v>
      </c>
      <c r="AC171">
        <f>'raw data Crude oil'!AC172</f>
        <v>0</v>
      </c>
      <c r="AD171">
        <f>'raw data Crude oil'!AD172</f>
        <v>0</v>
      </c>
      <c r="AE171">
        <f>'raw data Crude oil'!AE172</f>
        <v>0</v>
      </c>
      <c r="AF171">
        <f>'raw data Crude oil'!AF172</f>
        <v>0</v>
      </c>
      <c r="AG171">
        <f>'raw data Crude oil'!AG172</f>
        <v>0</v>
      </c>
      <c r="AH171">
        <f>'raw data Crude oil'!AH172</f>
        <v>0</v>
      </c>
      <c r="AI171">
        <f>'raw data Crude oil'!AI172</f>
        <v>0</v>
      </c>
      <c r="AJ171">
        <f>'raw data Crude oil'!AJ172</f>
        <v>0</v>
      </c>
      <c r="AK171">
        <f>'raw data Crude oil'!AK172</f>
        <v>0</v>
      </c>
    </row>
    <row r="172" spans="1:37" x14ac:dyDescent="0.3">
      <c r="A172" s="18">
        <f>'raw data Crude oil'!A173</f>
        <v>42976</v>
      </c>
      <c r="B172">
        <f>'raw data Crude oil'!B173</f>
        <v>52</v>
      </c>
      <c r="C172">
        <f>'raw data Crude oil'!C173</f>
        <v>51.66</v>
      </c>
      <c r="D172">
        <f>'raw data Crude oil'!D173</f>
        <v>51.69</v>
      </c>
      <c r="E172">
        <f>'raw data Crude oil'!E173</f>
        <v>51.77</v>
      </c>
      <c r="F172">
        <f>'raw data Crude oil'!F173</f>
        <v>51.87</v>
      </c>
      <c r="G172">
        <f>'raw data Crude oil'!G173</f>
        <v>51.97</v>
      </c>
      <c r="H172">
        <f>'raw data Crude oil'!H173</f>
        <v>52.06</v>
      </c>
      <c r="I172">
        <f>'raw data Crude oil'!I173</f>
        <v>52.14</v>
      </c>
      <c r="J172">
        <f>'raw data Crude oil'!J173</f>
        <v>52.22</v>
      </c>
      <c r="K172">
        <f>'raw data Crude oil'!K173</f>
        <v>52.32</v>
      </c>
      <c r="L172">
        <f>'raw data Crude oil'!L173</f>
        <v>52.39</v>
      </c>
      <c r="M172">
        <f>'raw data Crude oil'!M173</f>
        <v>52.42</v>
      </c>
      <c r="N172">
        <f>'raw data Crude oil'!N173</f>
        <v>46.44</v>
      </c>
      <c r="O172">
        <f>'raw data Crude oil'!O173</f>
        <v>47</v>
      </c>
      <c r="P172">
        <f>'raw data Crude oil'!P173</f>
        <v>47.45</v>
      </c>
      <c r="Q172">
        <f>'raw data Crude oil'!Q173</f>
        <v>47.79</v>
      </c>
      <c r="R172">
        <f>'raw data Crude oil'!R173</f>
        <v>48.04</v>
      </c>
      <c r="S172">
        <f>'raw data Crude oil'!S173</f>
        <v>48.22</v>
      </c>
      <c r="T172">
        <f>'raw data Crude oil'!T173</f>
        <v>48.37</v>
      </c>
      <c r="U172">
        <f>'raw data Crude oil'!U173</f>
        <v>48.48</v>
      </c>
      <c r="V172">
        <f>'raw data Crude oil'!V173</f>
        <v>48.57</v>
      </c>
      <c r="W172">
        <f>'raw data Crude oil'!W173</f>
        <v>48.63</v>
      </c>
      <c r="X172">
        <f>'raw data Crude oil'!X173</f>
        <v>48.69</v>
      </c>
      <c r="Y172">
        <f>'raw data Crude oil'!Y173</f>
        <v>48.75</v>
      </c>
      <c r="Z172">
        <f>'raw data Crude oil'!Z173</f>
        <v>0</v>
      </c>
      <c r="AA172">
        <f>'raw data Crude oil'!AA173</f>
        <v>0</v>
      </c>
      <c r="AB172">
        <f>'raw data Crude oil'!AB173</f>
        <v>0</v>
      </c>
      <c r="AC172">
        <f>'raw data Crude oil'!AC173</f>
        <v>0</v>
      </c>
      <c r="AD172">
        <f>'raw data Crude oil'!AD173</f>
        <v>0</v>
      </c>
      <c r="AE172">
        <f>'raw data Crude oil'!AE173</f>
        <v>0</v>
      </c>
      <c r="AF172">
        <f>'raw data Crude oil'!AF173</f>
        <v>0</v>
      </c>
      <c r="AG172">
        <f>'raw data Crude oil'!AG173</f>
        <v>0</v>
      </c>
      <c r="AH172">
        <f>'raw data Crude oil'!AH173</f>
        <v>0</v>
      </c>
      <c r="AI172">
        <f>'raw data Crude oil'!AI173</f>
        <v>0</v>
      </c>
      <c r="AJ172">
        <f>'raw data Crude oil'!AJ173</f>
        <v>0</v>
      </c>
      <c r="AK172">
        <f>'raw data Crude oil'!AK173</f>
        <v>0</v>
      </c>
    </row>
    <row r="173" spans="1:37" x14ac:dyDescent="0.3">
      <c r="A173" s="18">
        <f>'raw data Crude oil'!A174</f>
        <v>42977</v>
      </c>
      <c r="B173">
        <f>'raw data Crude oil'!B174</f>
        <v>50.86</v>
      </c>
      <c r="C173">
        <f>'raw data Crude oil'!C174</f>
        <v>50.73</v>
      </c>
      <c r="D173">
        <f>'raw data Crude oil'!D174</f>
        <v>50.79</v>
      </c>
      <c r="E173">
        <f>'raw data Crude oil'!E174</f>
        <v>50.89</v>
      </c>
      <c r="F173">
        <f>'raw data Crude oil'!F174</f>
        <v>51.01</v>
      </c>
      <c r="G173">
        <f>'raw data Crude oil'!G174</f>
        <v>51.13</v>
      </c>
      <c r="H173">
        <f>'raw data Crude oil'!H174</f>
        <v>51.23</v>
      </c>
      <c r="I173">
        <f>'raw data Crude oil'!I174</f>
        <v>51.32</v>
      </c>
      <c r="J173">
        <f>'raw data Crude oil'!J174</f>
        <v>51.42</v>
      </c>
      <c r="K173">
        <f>'raw data Crude oil'!K174</f>
        <v>51.54</v>
      </c>
      <c r="L173">
        <f>'raw data Crude oil'!L174</f>
        <v>51.64</v>
      </c>
      <c r="M173">
        <f>'raw data Crude oil'!M174</f>
        <v>51.7</v>
      </c>
      <c r="N173">
        <f>'raw data Crude oil'!N174</f>
        <v>45.96</v>
      </c>
      <c r="O173">
        <f>'raw data Crude oil'!O174</f>
        <v>46.51</v>
      </c>
      <c r="P173">
        <f>'raw data Crude oil'!P174</f>
        <v>46.94</v>
      </c>
      <c r="Q173">
        <f>'raw data Crude oil'!Q174</f>
        <v>47.25</v>
      </c>
      <c r="R173">
        <f>'raw data Crude oil'!R174</f>
        <v>47.48</v>
      </c>
      <c r="S173">
        <f>'raw data Crude oil'!S174</f>
        <v>47.65</v>
      </c>
      <c r="T173">
        <f>'raw data Crude oil'!T174</f>
        <v>47.79</v>
      </c>
      <c r="U173">
        <f>'raw data Crude oil'!U174</f>
        <v>47.9</v>
      </c>
      <c r="V173">
        <f>'raw data Crude oil'!V174</f>
        <v>47.99</v>
      </c>
      <c r="W173">
        <f>'raw data Crude oil'!W174</f>
        <v>48.05</v>
      </c>
      <c r="X173">
        <f>'raw data Crude oil'!X174</f>
        <v>48.12</v>
      </c>
      <c r="Y173">
        <f>'raw data Crude oil'!Y174</f>
        <v>48.19</v>
      </c>
      <c r="Z173">
        <f>'raw data Crude oil'!Z174</f>
        <v>0</v>
      </c>
      <c r="AA173">
        <f>'raw data Crude oil'!AA174</f>
        <v>0</v>
      </c>
      <c r="AB173">
        <f>'raw data Crude oil'!AB174</f>
        <v>0</v>
      </c>
      <c r="AC173">
        <f>'raw data Crude oil'!AC174</f>
        <v>0</v>
      </c>
      <c r="AD173">
        <f>'raw data Crude oil'!AD174</f>
        <v>0</v>
      </c>
      <c r="AE173">
        <f>'raw data Crude oil'!AE174</f>
        <v>0</v>
      </c>
      <c r="AF173">
        <f>'raw data Crude oil'!AF174</f>
        <v>0</v>
      </c>
      <c r="AG173">
        <f>'raw data Crude oil'!AG174</f>
        <v>0</v>
      </c>
      <c r="AH173">
        <f>'raw data Crude oil'!AH174</f>
        <v>0</v>
      </c>
      <c r="AI173">
        <f>'raw data Crude oil'!AI174</f>
        <v>0</v>
      </c>
      <c r="AJ173">
        <f>'raw data Crude oil'!AJ174</f>
        <v>0</v>
      </c>
      <c r="AK173">
        <f>'raw data Crude oil'!AK174</f>
        <v>0</v>
      </c>
    </row>
    <row r="174" spans="1:37" x14ac:dyDescent="0.3">
      <c r="A174" s="18">
        <f>'raw data Crude oil'!A175</f>
        <v>42978</v>
      </c>
      <c r="B174">
        <f>'raw data Crude oil'!B175</f>
        <v>52.38</v>
      </c>
      <c r="C174">
        <f>'raw data Crude oil'!C175</f>
        <v>52.86</v>
      </c>
      <c r="D174">
        <f>'raw data Crude oil'!D175</f>
        <v>52.84</v>
      </c>
      <c r="E174">
        <f>'raw data Crude oil'!E175</f>
        <v>52.91</v>
      </c>
      <c r="F174">
        <f>'raw data Crude oil'!F175</f>
        <v>53.01</v>
      </c>
      <c r="G174">
        <f>'raw data Crude oil'!G175</f>
        <v>53.11</v>
      </c>
      <c r="H174">
        <f>'raw data Crude oil'!H175</f>
        <v>53.19</v>
      </c>
      <c r="I174">
        <f>'raw data Crude oil'!I175</f>
        <v>53.27</v>
      </c>
      <c r="J174">
        <f>'raw data Crude oil'!J175</f>
        <v>53.35</v>
      </c>
      <c r="K174">
        <f>'raw data Crude oil'!K175</f>
        <v>53.45</v>
      </c>
      <c r="L174">
        <f>'raw data Crude oil'!L175</f>
        <v>53.53</v>
      </c>
      <c r="M174">
        <f>'raw data Crude oil'!M175</f>
        <v>53.58</v>
      </c>
      <c r="N174">
        <f>'raw data Crude oil'!N175</f>
        <v>47.23</v>
      </c>
      <c r="O174">
        <f>'raw data Crude oil'!O175</f>
        <v>47.96</v>
      </c>
      <c r="P174">
        <f>'raw data Crude oil'!P175</f>
        <v>48.56</v>
      </c>
      <c r="Q174">
        <f>'raw data Crude oil'!Q175</f>
        <v>49</v>
      </c>
      <c r="R174">
        <f>'raw data Crude oil'!R175</f>
        <v>49.3</v>
      </c>
      <c r="S174">
        <f>'raw data Crude oil'!S175</f>
        <v>49.5</v>
      </c>
      <c r="T174">
        <f>'raw data Crude oil'!T175</f>
        <v>49.64</v>
      </c>
      <c r="U174">
        <f>'raw data Crude oil'!U175</f>
        <v>49.74</v>
      </c>
      <c r="V174">
        <f>'raw data Crude oil'!V175</f>
        <v>49.82</v>
      </c>
      <c r="W174">
        <f>'raw data Crude oil'!W175</f>
        <v>49.87</v>
      </c>
      <c r="X174">
        <f>'raw data Crude oil'!X175</f>
        <v>49.91</v>
      </c>
      <c r="Y174">
        <f>'raw data Crude oil'!Y175</f>
        <v>49.95</v>
      </c>
      <c r="Z174">
        <f>'raw data Crude oil'!Z175</f>
        <v>0</v>
      </c>
      <c r="AA174">
        <f>'raw data Crude oil'!AA175</f>
        <v>0</v>
      </c>
      <c r="AB174">
        <f>'raw data Crude oil'!AB175</f>
        <v>0</v>
      </c>
      <c r="AC174">
        <f>'raw data Crude oil'!AC175</f>
        <v>0</v>
      </c>
      <c r="AD174">
        <f>'raw data Crude oil'!AD175</f>
        <v>0</v>
      </c>
      <c r="AE174">
        <f>'raw data Crude oil'!AE175</f>
        <v>0</v>
      </c>
      <c r="AF174">
        <f>'raw data Crude oil'!AF175</f>
        <v>0</v>
      </c>
      <c r="AG174">
        <f>'raw data Crude oil'!AG175</f>
        <v>0</v>
      </c>
      <c r="AH174">
        <f>'raw data Crude oil'!AH175</f>
        <v>0</v>
      </c>
      <c r="AI174">
        <f>'raw data Crude oil'!AI175</f>
        <v>0</v>
      </c>
      <c r="AJ174">
        <f>'raw data Crude oil'!AJ175</f>
        <v>0</v>
      </c>
      <c r="AK174">
        <f>'raw data Crude oil'!AK175</f>
        <v>0</v>
      </c>
    </row>
    <row r="175" spans="1:37" x14ac:dyDescent="0.3">
      <c r="A175" s="18">
        <f>'raw data Crude oil'!A176</f>
        <v>42979</v>
      </c>
      <c r="B175">
        <f>'raw data Crude oil'!B176</f>
        <v>52.75</v>
      </c>
      <c r="C175">
        <f>'raw data Crude oil'!C176</f>
        <v>52.79</v>
      </c>
      <c r="D175">
        <f>'raw data Crude oil'!D176</f>
        <v>52.89</v>
      </c>
      <c r="E175">
        <f>'raw data Crude oil'!E176</f>
        <v>53.01</v>
      </c>
      <c r="F175">
        <f>'raw data Crude oil'!F176</f>
        <v>53.11</v>
      </c>
      <c r="G175">
        <f>'raw data Crude oil'!G176</f>
        <v>53.19</v>
      </c>
      <c r="H175">
        <f>'raw data Crude oil'!H176</f>
        <v>53.27</v>
      </c>
      <c r="I175">
        <f>'raw data Crude oil'!I176</f>
        <v>53.36</v>
      </c>
      <c r="J175">
        <f>'raw data Crude oil'!J176</f>
        <v>53.46</v>
      </c>
      <c r="K175">
        <f>'raw data Crude oil'!K176</f>
        <v>53.54</v>
      </c>
      <c r="L175">
        <f>'raw data Crude oil'!L176</f>
        <v>53.6</v>
      </c>
      <c r="M175">
        <f>'raw data Crude oil'!M176</f>
        <v>53.66</v>
      </c>
      <c r="N175">
        <f>'raw data Crude oil'!N176</f>
        <v>47.29</v>
      </c>
      <c r="O175">
        <f>'raw data Crude oil'!O176</f>
        <v>47.99</v>
      </c>
      <c r="P175">
        <f>'raw data Crude oil'!P176</f>
        <v>48.54</v>
      </c>
      <c r="Q175">
        <f>'raw data Crude oil'!Q176</f>
        <v>48.99</v>
      </c>
      <c r="R175">
        <f>'raw data Crude oil'!R176</f>
        <v>49.32</v>
      </c>
      <c r="S175">
        <f>'raw data Crude oil'!S176</f>
        <v>49.55</v>
      </c>
      <c r="T175">
        <f>'raw data Crude oil'!T176</f>
        <v>49.71</v>
      </c>
      <c r="U175">
        <f>'raw data Crude oil'!U176</f>
        <v>49.82</v>
      </c>
      <c r="V175">
        <f>'raw data Crude oil'!V176</f>
        <v>49.9</v>
      </c>
      <c r="W175">
        <f>'raw data Crude oil'!W176</f>
        <v>49.95</v>
      </c>
      <c r="X175">
        <f>'raw data Crude oil'!X176</f>
        <v>50</v>
      </c>
      <c r="Y175">
        <f>'raw data Crude oil'!Y176</f>
        <v>50.05</v>
      </c>
      <c r="Z175">
        <f>'raw data Crude oil'!Z176</f>
        <v>0</v>
      </c>
      <c r="AA175">
        <f>'raw data Crude oil'!AA176</f>
        <v>0</v>
      </c>
      <c r="AB175">
        <f>'raw data Crude oil'!AB176</f>
        <v>0</v>
      </c>
      <c r="AC175">
        <f>'raw data Crude oil'!AC176</f>
        <v>0</v>
      </c>
      <c r="AD175">
        <f>'raw data Crude oil'!AD176</f>
        <v>0</v>
      </c>
      <c r="AE175">
        <f>'raw data Crude oil'!AE176</f>
        <v>0</v>
      </c>
      <c r="AF175">
        <f>'raw data Crude oil'!AF176</f>
        <v>0</v>
      </c>
      <c r="AG175">
        <f>'raw data Crude oil'!AG176</f>
        <v>0</v>
      </c>
      <c r="AH175">
        <f>'raw data Crude oil'!AH176</f>
        <v>0</v>
      </c>
      <c r="AI175">
        <f>'raw data Crude oil'!AI176</f>
        <v>0</v>
      </c>
      <c r="AJ175">
        <f>'raw data Crude oil'!AJ176</f>
        <v>0</v>
      </c>
      <c r="AK175">
        <f>'raw data Crude oil'!AK176</f>
        <v>0</v>
      </c>
    </row>
    <row r="176" spans="1:37" x14ac:dyDescent="0.3">
      <c r="A176" s="18">
        <f>'raw data Crude oil'!A177</f>
        <v>42982</v>
      </c>
      <c r="B176">
        <f>'raw data Crude oil'!B177</f>
        <v>52.34</v>
      </c>
      <c r="C176">
        <f>'raw data Crude oil'!C177</f>
        <v>52.37</v>
      </c>
      <c r="D176">
        <f>'raw data Crude oil'!D177</f>
        <v>52.47</v>
      </c>
      <c r="E176">
        <f>'raw data Crude oil'!E177</f>
        <v>52.59</v>
      </c>
      <c r="F176">
        <f>'raw data Crude oil'!F177</f>
        <v>52.69</v>
      </c>
      <c r="G176">
        <f>'raw data Crude oil'!G177</f>
        <v>52.77</v>
      </c>
      <c r="H176">
        <f>'raw data Crude oil'!H177</f>
        <v>52.85</v>
      </c>
      <c r="I176">
        <f>'raw data Crude oil'!I177</f>
        <v>52.93</v>
      </c>
      <c r="J176">
        <f>'raw data Crude oil'!J177</f>
        <v>53.02</v>
      </c>
      <c r="K176">
        <f>'raw data Crude oil'!K177</f>
        <v>53.1</v>
      </c>
      <c r="L176">
        <f>'raw data Crude oil'!L177</f>
        <v>53.15</v>
      </c>
      <c r="M176">
        <f>'raw data Crude oil'!M177</f>
        <v>53.21</v>
      </c>
      <c r="N176">
        <f>'raw data Crude oil'!N177</f>
        <v>47.29</v>
      </c>
      <c r="O176">
        <f>'raw data Crude oil'!O177</f>
        <v>47.99</v>
      </c>
      <c r="P176">
        <f>'raw data Crude oil'!P177</f>
        <v>48.54</v>
      </c>
      <c r="Q176">
        <f>'raw data Crude oil'!Q177</f>
        <v>48.99</v>
      </c>
      <c r="R176">
        <f>'raw data Crude oil'!R177</f>
        <v>49.32</v>
      </c>
      <c r="S176">
        <f>'raw data Crude oil'!S177</f>
        <v>49.55</v>
      </c>
      <c r="T176">
        <f>'raw data Crude oil'!T177</f>
        <v>49.71</v>
      </c>
      <c r="U176">
        <f>'raw data Crude oil'!U177</f>
        <v>49.82</v>
      </c>
      <c r="V176">
        <f>'raw data Crude oil'!V177</f>
        <v>49.9</v>
      </c>
      <c r="W176">
        <f>'raw data Crude oil'!W177</f>
        <v>49.95</v>
      </c>
      <c r="X176">
        <f>'raw data Crude oil'!X177</f>
        <v>50</v>
      </c>
      <c r="Y176">
        <f>'raw data Crude oil'!Y177</f>
        <v>50.05</v>
      </c>
      <c r="Z176">
        <f>'raw data Crude oil'!Z177</f>
        <v>0</v>
      </c>
      <c r="AA176">
        <f>'raw data Crude oil'!AA177</f>
        <v>0</v>
      </c>
      <c r="AB176">
        <f>'raw data Crude oil'!AB177</f>
        <v>0</v>
      </c>
      <c r="AC176">
        <f>'raw data Crude oil'!AC177</f>
        <v>0</v>
      </c>
      <c r="AD176">
        <f>'raw data Crude oil'!AD177</f>
        <v>0</v>
      </c>
      <c r="AE176">
        <f>'raw data Crude oil'!AE177</f>
        <v>0</v>
      </c>
      <c r="AF176">
        <f>'raw data Crude oil'!AF177</f>
        <v>0</v>
      </c>
      <c r="AG176">
        <f>'raw data Crude oil'!AG177</f>
        <v>0</v>
      </c>
      <c r="AH176">
        <f>'raw data Crude oil'!AH177</f>
        <v>0</v>
      </c>
      <c r="AI176">
        <f>'raw data Crude oil'!AI177</f>
        <v>0</v>
      </c>
      <c r="AJ176">
        <f>'raw data Crude oil'!AJ177</f>
        <v>0</v>
      </c>
      <c r="AK176">
        <f>'raw data Crude oil'!AK177</f>
        <v>0</v>
      </c>
    </row>
    <row r="177" spans="1:37" x14ac:dyDescent="0.3">
      <c r="A177" s="18">
        <f>'raw data Crude oil'!A178</f>
        <v>42983</v>
      </c>
      <c r="B177">
        <f>'raw data Crude oil'!B178</f>
        <v>53.38</v>
      </c>
      <c r="C177">
        <f>'raw data Crude oil'!C178</f>
        <v>53.36</v>
      </c>
      <c r="D177">
        <f>'raw data Crude oil'!D178</f>
        <v>53.41</v>
      </c>
      <c r="E177">
        <f>'raw data Crude oil'!E178</f>
        <v>53.5</v>
      </c>
      <c r="F177">
        <f>'raw data Crude oil'!F178</f>
        <v>53.59</v>
      </c>
      <c r="G177">
        <f>'raw data Crude oil'!G178</f>
        <v>53.65</v>
      </c>
      <c r="H177">
        <f>'raw data Crude oil'!H178</f>
        <v>53.71</v>
      </c>
      <c r="I177">
        <f>'raw data Crude oil'!I178</f>
        <v>53.77</v>
      </c>
      <c r="J177">
        <f>'raw data Crude oil'!J178</f>
        <v>53.85</v>
      </c>
      <c r="K177">
        <f>'raw data Crude oil'!K178</f>
        <v>53.91</v>
      </c>
      <c r="L177">
        <f>'raw data Crude oil'!L178</f>
        <v>53.94</v>
      </c>
      <c r="M177">
        <f>'raw data Crude oil'!M178</f>
        <v>53.98</v>
      </c>
      <c r="N177">
        <f>'raw data Crude oil'!N178</f>
        <v>48.66</v>
      </c>
      <c r="O177">
        <f>'raw data Crude oil'!O178</f>
        <v>49.14</v>
      </c>
      <c r="P177">
        <f>'raw data Crude oil'!P178</f>
        <v>49.53</v>
      </c>
      <c r="Q177">
        <f>'raw data Crude oil'!Q178</f>
        <v>49.86</v>
      </c>
      <c r="R177">
        <f>'raw data Crude oil'!R178</f>
        <v>50.1</v>
      </c>
      <c r="S177">
        <f>'raw data Crude oil'!S178</f>
        <v>50.26</v>
      </c>
      <c r="T177">
        <f>'raw data Crude oil'!T178</f>
        <v>50.37</v>
      </c>
      <c r="U177">
        <f>'raw data Crude oil'!U178</f>
        <v>50.45</v>
      </c>
      <c r="V177">
        <f>'raw data Crude oil'!V178</f>
        <v>50.5</v>
      </c>
      <c r="W177">
        <f>'raw data Crude oil'!W178</f>
        <v>50.52</v>
      </c>
      <c r="X177">
        <f>'raw data Crude oil'!X178</f>
        <v>50.54</v>
      </c>
      <c r="Y177">
        <f>'raw data Crude oil'!Y178</f>
        <v>50.57</v>
      </c>
      <c r="Z177">
        <f>'raw data Crude oil'!Z178</f>
        <v>0</v>
      </c>
      <c r="AA177">
        <f>'raw data Crude oil'!AA178</f>
        <v>0</v>
      </c>
      <c r="AB177">
        <f>'raw data Crude oil'!AB178</f>
        <v>0</v>
      </c>
      <c r="AC177">
        <f>'raw data Crude oil'!AC178</f>
        <v>0</v>
      </c>
      <c r="AD177">
        <f>'raw data Crude oil'!AD178</f>
        <v>0</v>
      </c>
      <c r="AE177">
        <f>'raw data Crude oil'!AE178</f>
        <v>0</v>
      </c>
      <c r="AF177">
        <f>'raw data Crude oil'!AF178</f>
        <v>0</v>
      </c>
      <c r="AG177">
        <f>'raw data Crude oil'!AG178</f>
        <v>0</v>
      </c>
      <c r="AH177">
        <f>'raw data Crude oil'!AH178</f>
        <v>0</v>
      </c>
      <c r="AI177">
        <f>'raw data Crude oil'!AI178</f>
        <v>0</v>
      </c>
      <c r="AJ177">
        <f>'raw data Crude oil'!AJ178</f>
        <v>0</v>
      </c>
      <c r="AK177">
        <f>'raw data Crude oil'!AK178</f>
        <v>0</v>
      </c>
    </row>
    <row r="178" spans="1:37" x14ac:dyDescent="0.3">
      <c r="A178" s="18">
        <f>'raw data Crude oil'!A179</f>
        <v>42984</v>
      </c>
      <c r="B178">
        <f>'raw data Crude oil'!B179</f>
        <v>54.2</v>
      </c>
      <c r="C178">
        <f>'raw data Crude oil'!C179</f>
        <v>54.07</v>
      </c>
      <c r="D178">
        <f>'raw data Crude oil'!D179</f>
        <v>54.05</v>
      </c>
      <c r="E178">
        <f>'raw data Crude oil'!E179</f>
        <v>54.1</v>
      </c>
      <c r="F178">
        <f>'raw data Crude oil'!F179</f>
        <v>54.17</v>
      </c>
      <c r="G178">
        <f>'raw data Crude oil'!G179</f>
        <v>54.21</v>
      </c>
      <c r="H178">
        <f>'raw data Crude oil'!H179</f>
        <v>54.24</v>
      </c>
      <c r="I178">
        <f>'raw data Crude oil'!I179</f>
        <v>54.28</v>
      </c>
      <c r="J178">
        <f>'raw data Crude oil'!J179</f>
        <v>54.34</v>
      </c>
      <c r="K178">
        <f>'raw data Crude oil'!K179</f>
        <v>54.38</v>
      </c>
      <c r="L178">
        <f>'raw data Crude oil'!L179</f>
        <v>54.39</v>
      </c>
      <c r="M178">
        <f>'raw data Crude oil'!M179</f>
        <v>54.42</v>
      </c>
      <c r="N178">
        <f>'raw data Crude oil'!N179</f>
        <v>49.16</v>
      </c>
      <c r="O178">
        <f>'raw data Crude oil'!O179</f>
        <v>49.62</v>
      </c>
      <c r="P178">
        <f>'raw data Crude oil'!P179</f>
        <v>50</v>
      </c>
      <c r="Q178">
        <f>'raw data Crude oil'!Q179</f>
        <v>50.31</v>
      </c>
      <c r="R178">
        <f>'raw data Crude oil'!R179</f>
        <v>50.52</v>
      </c>
      <c r="S178">
        <f>'raw data Crude oil'!S179</f>
        <v>50.66</v>
      </c>
      <c r="T178">
        <f>'raw data Crude oil'!T179</f>
        <v>50.75</v>
      </c>
      <c r="U178">
        <f>'raw data Crude oil'!U179</f>
        <v>50.8</v>
      </c>
      <c r="V178">
        <f>'raw data Crude oil'!V179</f>
        <v>50.83</v>
      </c>
      <c r="W178">
        <f>'raw data Crude oil'!W179</f>
        <v>50.83</v>
      </c>
      <c r="X178">
        <f>'raw data Crude oil'!X179</f>
        <v>50.84</v>
      </c>
      <c r="Y178">
        <f>'raw data Crude oil'!Y179</f>
        <v>50.86</v>
      </c>
      <c r="Z178">
        <f>'raw data Crude oil'!Z179</f>
        <v>0</v>
      </c>
      <c r="AA178">
        <f>'raw data Crude oil'!AA179</f>
        <v>0</v>
      </c>
      <c r="AB178">
        <f>'raw data Crude oil'!AB179</f>
        <v>0</v>
      </c>
      <c r="AC178">
        <f>'raw data Crude oil'!AC179</f>
        <v>0</v>
      </c>
      <c r="AD178">
        <f>'raw data Crude oil'!AD179</f>
        <v>0</v>
      </c>
      <c r="AE178">
        <f>'raw data Crude oil'!AE179</f>
        <v>0</v>
      </c>
      <c r="AF178">
        <f>'raw data Crude oil'!AF179</f>
        <v>0</v>
      </c>
      <c r="AG178">
        <f>'raw data Crude oil'!AG179</f>
        <v>0</v>
      </c>
      <c r="AH178">
        <f>'raw data Crude oil'!AH179</f>
        <v>0</v>
      </c>
      <c r="AI178">
        <f>'raw data Crude oil'!AI179</f>
        <v>0</v>
      </c>
      <c r="AJ178">
        <f>'raw data Crude oil'!AJ179</f>
        <v>0</v>
      </c>
      <c r="AK178">
        <f>'raw data Crude oil'!AK179</f>
        <v>0</v>
      </c>
    </row>
    <row r="179" spans="1:37" x14ac:dyDescent="0.3">
      <c r="A179" s="18">
        <f>'raw data Crude oil'!A180</f>
        <v>42985</v>
      </c>
      <c r="B179">
        <f>'raw data Crude oil'!B180</f>
        <v>54.49</v>
      </c>
      <c r="C179">
        <f>'raw data Crude oil'!C180</f>
        <v>54.33</v>
      </c>
      <c r="D179">
        <f>'raw data Crude oil'!D180</f>
        <v>54.26</v>
      </c>
      <c r="E179">
        <f>'raw data Crude oil'!E180</f>
        <v>54.27</v>
      </c>
      <c r="F179">
        <f>'raw data Crude oil'!F180</f>
        <v>54.31</v>
      </c>
      <c r="G179">
        <f>'raw data Crude oil'!G180</f>
        <v>54.35</v>
      </c>
      <c r="H179">
        <f>'raw data Crude oil'!H180</f>
        <v>54.39</v>
      </c>
      <c r="I179">
        <f>'raw data Crude oil'!I180</f>
        <v>54.42</v>
      </c>
      <c r="J179">
        <f>'raw data Crude oil'!J180</f>
        <v>54.47</v>
      </c>
      <c r="K179">
        <f>'raw data Crude oil'!K180</f>
        <v>54.51</v>
      </c>
      <c r="L179">
        <f>'raw data Crude oil'!L180</f>
        <v>54.53</v>
      </c>
      <c r="M179">
        <f>'raw data Crude oil'!M180</f>
        <v>54.56</v>
      </c>
      <c r="N179">
        <f>'raw data Crude oil'!N180</f>
        <v>49.09</v>
      </c>
      <c r="O179">
        <f>'raw data Crude oil'!O180</f>
        <v>49.53</v>
      </c>
      <c r="P179">
        <f>'raw data Crude oil'!P180</f>
        <v>49.91</v>
      </c>
      <c r="Q179">
        <f>'raw data Crude oil'!Q180</f>
        <v>50.23</v>
      </c>
      <c r="R179">
        <f>'raw data Crude oil'!R180</f>
        <v>50.47</v>
      </c>
      <c r="S179">
        <f>'raw data Crude oil'!S180</f>
        <v>50.64</v>
      </c>
      <c r="T179">
        <f>'raw data Crude oil'!T180</f>
        <v>50.74</v>
      </c>
      <c r="U179">
        <f>'raw data Crude oil'!U180</f>
        <v>50.81</v>
      </c>
      <c r="V179">
        <f>'raw data Crude oil'!V180</f>
        <v>50.85</v>
      </c>
      <c r="W179">
        <f>'raw data Crude oil'!W180</f>
        <v>50.86</v>
      </c>
      <c r="X179">
        <f>'raw data Crude oil'!X180</f>
        <v>50.87</v>
      </c>
      <c r="Y179">
        <f>'raw data Crude oil'!Y180</f>
        <v>50.89</v>
      </c>
      <c r="Z179">
        <f>'raw data Crude oil'!Z180</f>
        <v>0</v>
      </c>
      <c r="AA179">
        <f>'raw data Crude oil'!AA180</f>
        <v>0</v>
      </c>
      <c r="AB179">
        <f>'raw data Crude oil'!AB180</f>
        <v>0</v>
      </c>
      <c r="AC179">
        <f>'raw data Crude oil'!AC180</f>
        <v>0</v>
      </c>
      <c r="AD179">
        <f>'raw data Crude oil'!AD180</f>
        <v>0</v>
      </c>
      <c r="AE179">
        <f>'raw data Crude oil'!AE180</f>
        <v>0</v>
      </c>
      <c r="AF179">
        <f>'raw data Crude oil'!AF180</f>
        <v>0</v>
      </c>
      <c r="AG179">
        <f>'raw data Crude oil'!AG180</f>
        <v>0</v>
      </c>
      <c r="AH179">
        <f>'raw data Crude oil'!AH180</f>
        <v>0</v>
      </c>
      <c r="AI179">
        <f>'raw data Crude oil'!AI180</f>
        <v>0</v>
      </c>
      <c r="AJ179">
        <f>'raw data Crude oil'!AJ180</f>
        <v>0</v>
      </c>
      <c r="AK179">
        <f>'raw data Crude oil'!AK180</f>
        <v>0</v>
      </c>
    </row>
    <row r="180" spans="1:37" x14ac:dyDescent="0.3">
      <c r="A180" s="18">
        <f>'raw data Crude oil'!A181</f>
        <v>42986</v>
      </c>
      <c r="B180">
        <f>'raw data Crude oil'!B181</f>
        <v>53.78</v>
      </c>
      <c r="C180">
        <f>'raw data Crude oil'!C181</f>
        <v>53.58</v>
      </c>
      <c r="D180">
        <f>'raw data Crude oil'!D181</f>
        <v>53.47</v>
      </c>
      <c r="E180">
        <f>'raw data Crude oil'!E181</f>
        <v>53.45</v>
      </c>
      <c r="F180">
        <f>'raw data Crude oil'!F181</f>
        <v>53.47</v>
      </c>
      <c r="G180">
        <f>'raw data Crude oil'!G181</f>
        <v>53.5</v>
      </c>
      <c r="H180">
        <f>'raw data Crude oil'!H181</f>
        <v>53.54</v>
      </c>
      <c r="I180">
        <f>'raw data Crude oil'!I181</f>
        <v>53.59</v>
      </c>
      <c r="J180">
        <f>'raw data Crude oil'!J181</f>
        <v>53.65</v>
      </c>
      <c r="K180">
        <f>'raw data Crude oil'!K181</f>
        <v>53.7</v>
      </c>
      <c r="L180">
        <f>'raw data Crude oil'!L181</f>
        <v>53.72</v>
      </c>
      <c r="M180">
        <f>'raw data Crude oil'!M181</f>
        <v>53.75</v>
      </c>
      <c r="N180">
        <f>'raw data Crude oil'!N181</f>
        <v>47.48</v>
      </c>
      <c r="O180">
        <f>'raw data Crude oil'!O181</f>
        <v>48.06</v>
      </c>
      <c r="P180">
        <f>'raw data Crude oil'!P181</f>
        <v>48.56</v>
      </c>
      <c r="Q180">
        <f>'raw data Crude oil'!Q181</f>
        <v>48.95</v>
      </c>
      <c r="R180">
        <f>'raw data Crude oil'!R181</f>
        <v>49.25</v>
      </c>
      <c r="S180">
        <f>'raw data Crude oil'!S181</f>
        <v>49.46</v>
      </c>
      <c r="T180">
        <f>'raw data Crude oil'!T181</f>
        <v>49.6</v>
      </c>
      <c r="U180">
        <f>'raw data Crude oil'!U181</f>
        <v>49.7</v>
      </c>
      <c r="V180">
        <f>'raw data Crude oil'!V181</f>
        <v>49.77</v>
      </c>
      <c r="W180">
        <f>'raw data Crude oil'!W181</f>
        <v>49.81</v>
      </c>
      <c r="X180">
        <f>'raw data Crude oil'!X181</f>
        <v>49.85</v>
      </c>
      <c r="Y180">
        <f>'raw data Crude oil'!Y181</f>
        <v>49.89</v>
      </c>
      <c r="Z180">
        <f>'raw data Crude oil'!Z181</f>
        <v>0</v>
      </c>
      <c r="AA180">
        <f>'raw data Crude oil'!AA181</f>
        <v>0</v>
      </c>
      <c r="AB180">
        <f>'raw data Crude oil'!AB181</f>
        <v>0</v>
      </c>
      <c r="AC180">
        <f>'raw data Crude oil'!AC181</f>
        <v>0</v>
      </c>
      <c r="AD180">
        <f>'raw data Crude oil'!AD181</f>
        <v>0</v>
      </c>
      <c r="AE180">
        <f>'raw data Crude oil'!AE181</f>
        <v>0</v>
      </c>
      <c r="AF180">
        <f>'raw data Crude oil'!AF181</f>
        <v>0</v>
      </c>
      <c r="AG180">
        <f>'raw data Crude oil'!AG181</f>
        <v>0</v>
      </c>
      <c r="AH180">
        <f>'raw data Crude oil'!AH181</f>
        <v>0</v>
      </c>
      <c r="AI180">
        <f>'raw data Crude oil'!AI181</f>
        <v>0</v>
      </c>
      <c r="AJ180">
        <f>'raw data Crude oil'!AJ181</f>
        <v>0</v>
      </c>
      <c r="AK180">
        <f>'raw data Crude oil'!AK181</f>
        <v>0</v>
      </c>
    </row>
    <row r="181" spans="1:37" x14ac:dyDescent="0.3">
      <c r="A181" s="18">
        <f>'raw data Crude oil'!A182</f>
        <v>42989</v>
      </c>
      <c r="B181">
        <f>'raw data Crude oil'!B182</f>
        <v>53.84</v>
      </c>
      <c r="C181">
        <f>'raw data Crude oil'!C182</f>
        <v>53.69</v>
      </c>
      <c r="D181">
        <f>'raw data Crude oil'!D182</f>
        <v>53.64</v>
      </c>
      <c r="E181">
        <f>'raw data Crude oil'!E182</f>
        <v>53.67</v>
      </c>
      <c r="F181">
        <f>'raw data Crude oil'!F182</f>
        <v>53.72</v>
      </c>
      <c r="G181">
        <f>'raw data Crude oil'!G182</f>
        <v>53.76</v>
      </c>
      <c r="H181">
        <f>'raw data Crude oil'!H182</f>
        <v>53.81</v>
      </c>
      <c r="I181">
        <f>'raw data Crude oil'!I182</f>
        <v>53.86</v>
      </c>
      <c r="J181">
        <f>'raw data Crude oil'!J182</f>
        <v>53.93</v>
      </c>
      <c r="K181">
        <f>'raw data Crude oil'!K182</f>
        <v>53.97</v>
      </c>
      <c r="L181">
        <f>'raw data Crude oil'!L182</f>
        <v>53.98</v>
      </c>
      <c r="M181">
        <f>'raw data Crude oil'!M182</f>
        <v>54.01</v>
      </c>
      <c r="N181">
        <f>'raw data Crude oil'!N182</f>
        <v>48.07</v>
      </c>
      <c r="O181">
        <f>'raw data Crude oil'!O182</f>
        <v>48.62</v>
      </c>
      <c r="P181">
        <f>'raw data Crude oil'!P182</f>
        <v>49.07</v>
      </c>
      <c r="Q181">
        <f>'raw data Crude oil'!Q182</f>
        <v>49.42</v>
      </c>
      <c r="R181">
        <f>'raw data Crude oil'!R182</f>
        <v>49.69</v>
      </c>
      <c r="S181">
        <f>'raw data Crude oil'!S182</f>
        <v>49.88</v>
      </c>
      <c r="T181">
        <f>'raw data Crude oil'!T182</f>
        <v>50.02</v>
      </c>
      <c r="U181">
        <f>'raw data Crude oil'!U182</f>
        <v>50.12</v>
      </c>
      <c r="V181">
        <f>'raw data Crude oil'!V182</f>
        <v>50.18</v>
      </c>
      <c r="W181">
        <f>'raw data Crude oil'!W182</f>
        <v>50.21</v>
      </c>
      <c r="X181">
        <f>'raw data Crude oil'!X182</f>
        <v>50.23</v>
      </c>
      <c r="Y181">
        <f>'raw data Crude oil'!Y182</f>
        <v>50.26</v>
      </c>
      <c r="Z181">
        <f>'raw data Crude oil'!Z182</f>
        <v>0</v>
      </c>
      <c r="AA181">
        <f>'raw data Crude oil'!AA182</f>
        <v>0</v>
      </c>
      <c r="AB181">
        <f>'raw data Crude oil'!AB182</f>
        <v>0</v>
      </c>
      <c r="AC181">
        <f>'raw data Crude oil'!AC182</f>
        <v>0</v>
      </c>
      <c r="AD181">
        <f>'raw data Crude oil'!AD182</f>
        <v>0</v>
      </c>
      <c r="AE181">
        <f>'raw data Crude oil'!AE182</f>
        <v>0</v>
      </c>
      <c r="AF181">
        <f>'raw data Crude oil'!AF182</f>
        <v>0</v>
      </c>
      <c r="AG181">
        <f>'raw data Crude oil'!AG182</f>
        <v>0</v>
      </c>
      <c r="AH181">
        <f>'raw data Crude oil'!AH182</f>
        <v>0</v>
      </c>
      <c r="AI181">
        <f>'raw data Crude oil'!AI182</f>
        <v>0</v>
      </c>
      <c r="AJ181">
        <f>'raw data Crude oil'!AJ182</f>
        <v>0</v>
      </c>
      <c r="AK181">
        <f>'raw data Crude oil'!AK182</f>
        <v>0</v>
      </c>
    </row>
    <row r="182" spans="1:37" x14ac:dyDescent="0.3">
      <c r="A182" s="18">
        <f>'raw data Crude oil'!A183</f>
        <v>42990</v>
      </c>
      <c r="B182">
        <f>'raw data Crude oil'!B183</f>
        <v>54.27</v>
      </c>
      <c r="C182">
        <f>'raw data Crude oil'!C183</f>
        <v>54.03</v>
      </c>
      <c r="D182">
        <f>'raw data Crude oil'!D183</f>
        <v>53.94</v>
      </c>
      <c r="E182">
        <f>'raw data Crude oil'!E183</f>
        <v>53.94</v>
      </c>
      <c r="F182">
        <f>'raw data Crude oil'!F183</f>
        <v>53.97</v>
      </c>
      <c r="G182">
        <f>'raw data Crude oil'!G183</f>
        <v>53.99</v>
      </c>
      <c r="H182">
        <f>'raw data Crude oil'!H183</f>
        <v>54.03</v>
      </c>
      <c r="I182">
        <f>'raw data Crude oil'!I183</f>
        <v>54.07</v>
      </c>
      <c r="J182">
        <f>'raw data Crude oil'!J183</f>
        <v>54.14</v>
      </c>
      <c r="K182">
        <f>'raw data Crude oil'!K183</f>
        <v>54.18</v>
      </c>
      <c r="L182">
        <f>'raw data Crude oil'!L183</f>
        <v>54.19</v>
      </c>
      <c r="M182">
        <f>'raw data Crude oil'!M183</f>
        <v>54.22</v>
      </c>
      <c r="N182">
        <f>'raw data Crude oil'!N183</f>
        <v>48.23</v>
      </c>
      <c r="O182">
        <f>'raw data Crude oil'!O183</f>
        <v>48.75</v>
      </c>
      <c r="P182">
        <f>'raw data Crude oil'!P183</f>
        <v>49.17</v>
      </c>
      <c r="Q182">
        <f>'raw data Crude oil'!Q183</f>
        <v>49.48</v>
      </c>
      <c r="R182">
        <f>'raw data Crude oil'!R183</f>
        <v>49.72</v>
      </c>
      <c r="S182">
        <f>'raw data Crude oil'!S183</f>
        <v>49.9</v>
      </c>
      <c r="T182">
        <f>'raw data Crude oil'!T183</f>
        <v>50.03</v>
      </c>
      <c r="U182">
        <f>'raw data Crude oil'!U183</f>
        <v>50.13</v>
      </c>
      <c r="V182">
        <f>'raw data Crude oil'!V183</f>
        <v>50.2</v>
      </c>
      <c r="W182">
        <f>'raw data Crude oil'!W183</f>
        <v>50.23</v>
      </c>
      <c r="X182">
        <f>'raw data Crude oil'!X183</f>
        <v>50.26</v>
      </c>
      <c r="Y182">
        <f>'raw data Crude oil'!Y183</f>
        <v>50.29</v>
      </c>
      <c r="Z182">
        <f>'raw data Crude oil'!Z183</f>
        <v>0</v>
      </c>
      <c r="AA182">
        <f>'raw data Crude oil'!AA183</f>
        <v>0</v>
      </c>
      <c r="AB182">
        <f>'raw data Crude oil'!AB183</f>
        <v>0</v>
      </c>
      <c r="AC182">
        <f>'raw data Crude oil'!AC183</f>
        <v>0</v>
      </c>
      <c r="AD182">
        <f>'raw data Crude oil'!AD183</f>
        <v>0</v>
      </c>
      <c r="AE182">
        <f>'raw data Crude oil'!AE183</f>
        <v>0</v>
      </c>
      <c r="AF182">
        <f>'raw data Crude oil'!AF183</f>
        <v>0</v>
      </c>
      <c r="AG182">
        <f>'raw data Crude oil'!AG183</f>
        <v>0</v>
      </c>
      <c r="AH182">
        <f>'raw data Crude oil'!AH183</f>
        <v>0</v>
      </c>
      <c r="AI182">
        <f>'raw data Crude oil'!AI183</f>
        <v>0</v>
      </c>
      <c r="AJ182">
        <f>'raw data Crude oil'!AJ183</f>
        <v>0</v>
      </c>
      <c r="AK182">
        <f>'raw data Crude oil'!AK183</f>
        <v>0</v>
      </c>
    </row>
    <row r="183" spans="1:37" x14ac:dyDescent="0.3">
      <c r="A183" s="18">
        <f>'raw data Crude oil'!A184</f>
        <v>42991</v>
      </c>
      <c r="B183">
        <f>'raw data Crude oil'!B184</f>
        <v>55.16</v>
      </c>
      <c r="C183">
        <f>'raw data Crude oil'!C184</f>
        <v>54.89</v>
      </c>
      <c r="D183">
        <f>'raw data Crude oil'!D184</f>
        <v>54.74</v>
      </c>
      <c r="E183">
        <f>'raw data Crude oil'!E184</f>
        <v>54.68</v>
      </c>
      <c r="F183">
        <f>'raw data Crude oil'!F184</f>
        <v>54.65</v>
      </c>
      <c r="G183">
        <f>'raw data Crude oil'!G184</f>
        <v>54.63</v>
      </c>
      <c r="H183">
        <f>'raw data Crude oil'!H184</f>
        <v>54.62</v>
      </c>
      <c r="I183">
        <f>'raw data Crude oil'!I184</f>
        <v>54.62</v>
      </c>
      <c r="J183">
        <f>'raw data Crude oil'!J184</f>
        <v>54.66</v>
      </c>
      <c r="K183">
        <f>'raw data Crude oil'!K184</f>
        <v>54.69</v>
      </c>
      <c r="L183">
        <f>'raw data Crude oil'!L184</f>
        <v>54.69</v>
      </c>
      <c r="M183">
        <f>'raw data Crude oil'!M184</f>
        <v>54.7</v>
      </c>
      <c r="N183">
        <f>'raw data Crude oil'!N184</f>
        <v>49.3</v>
      </c>
      <c r="O183">
        <f>'raw data Crude oil'!O184</f>
        <v>49.75</v>
      </c>
      <c r="P183">
        <f>'raw data Crude oil'!P184</f>
        <v>50.1</v>
      </c>
      <c r="Q183">
        <f>'raw data Crude oil'!Q184</f>
        <v>50.35</v>
      </c>
      <c r="R183">
        <f>'raw data Crude oil'!R184</f>
        <v>50.53</v>
      </c>
      <c r="S183">
        <f>'raw data Crude oil'!S184</f>
        <v>50.66</v>
      </c>
      <c r="T183">
        <f>'raw data Crude oil'!T184</f>
        <v>50.74</v>
      </c>
      <c r="U183">
        <f>'raw data Crude oil'!U184</f>
        <v>50.78</v>
      </c>
      <c r="V183">
        <f>'raw data Crude oil'!V184</f>
        <v>50.8</v>
      </c>
      <c r="W183">
        <f>'raw data Crude oil'!W184</f>
        <v>50.8</v>
      </c>
      <c r="X183">
        <f>'raw data Crude oil'!X184</f>
        <v>50.81</v>
      </c>
      <c r="Y183">
        <f>'raw data Crude oil'!Y184</f>
        <v>50.82</v>
      </c>
      <c r="Z183">
        <f>'raw data Crude oil'!Z184</f>
        <v>0</v>
      </c>
      <c r="AA183">
        <f>'raw data Crude oil'!AA184</f>
        <v>0</v>
      </c>
      <c r="AB183">
        <f>'raw data Crude oil'!AB184</f>
        <v>0</v>
      </c>
      <c r="AC183">
        <f>'raw data Crude oil'!AC184</f>
        <v>0</v>
      </c>
      <c r="AD183">
        <f>'raw data Crude oil'!AD184</f>
        <v>0</v>
      </c>
      <c r="AE183">
        <f>'raw data Crude oil'!AE184</f>
        <v>0</v>
      </c>
      <c r="AF183">
        <f>'raw data Crude oil'!AF184</f>
        <v>0</v>
      </c>
      <c r="AG183">
        <f>'raw data Crude oil'!AG184</f>
        <v>0</v>
      </c>
      <c r="AH183">
        <f>'raw data Crude oil'!AH184</f>
        <v>0</v>
      </c>
      <c r="AI183">
        <f>'raw data Crude oil'!AI184</f>
        <v>0</v>
      </c>
      <c r="AJ183">
        <f>'raw data Crude oil'!AJ184</f>
        <v>0</v>
      </c>
      <c r="AK183">
        <f>'raw data Crude oil'!AK184</f>
        <v>0</v>
      </c>
    </row>
    <row r="184" spans="1:37" x14ac:dyDescent="0.3">
      <c r="A184" s="18">
        <f>'raw data Crude oil'!A185</f>
        <v>42992</v>
      </c>
      <c r="B184">
        <f>'raw data Crude oil'!B185</f>
        <v>55.47</v>
      </c>
      <c r="C184">
        <f>'raw data Crude oil'!C185</f>
        <v>55.22</v>
      </c>
      <c r="D184">
        <f>'raw data Crude oil'!D185</f>
        <v>55.09</v>
      </c>
      <c r="E184">
        <f>'raw data Crude oil'!E185</f>
        <v>55.04</v>
      </c>
      <c r="F184">
        <f>'raw data Crude oil'!F185</f>
        <v>55.03</v>
      </c>
      <c r="G184">
        <f>'raw data Crude oil'!G185</f>
        <v>55.02</v>
      </c>
      <c r="H184">
        <f>'raw data Crude oil'!H185</f>
        <v>55.01</v>
      </c>
      <c r="I184">
        <f>'raw data Crude oil'!I185</f>
        <v>55</v>
      </c>
      <c r="J184">
        <f>'raw data Crude oil'!J185</f>
        <v>55.03</v>
      </c>
      <c r="K184">
        <f>'raw data Crude oil'!K185</f>
        <v>55.04</v>
      </c>
      <c r="L184">
        <f>'raw data Crude oil'!L185</f>
        <v>55.03</v>
      </c>
      <c r="M184">
        <f>'raw data Crude oil'!M185</f>
        <v>55.04</v>
      </c>
      <c r="N184">
        <f>'raw data Crude oil'!N185</f>
        <v>49.89</v>
      </c>
      <c r="O184">
        <f>'raw data Crude oil'!O185</f>
        <v>50.35</v>
      </c>
      <c r="P184">
        <f>'raw data Crude oil'!P185</f>
        <v>50.66</v>
      </c>
      <c r="Q184">
        <f>'raw data Crude oil'!Q185</f>
        <v>50.89</v>
      </c>
      <c r="R184">
        <f>'raw data Crude oil'!R185</f>
        <v>51.06</v>
      </c>
      <c r="S184">
        <f>'raw data Crude oil'!S185</f>
        <v>51.17</v>
      </c>
      <c r="T184">
        <f>'raw data Crude oil'!T185</f>
        <v>51.23</v>
      </c>
      <c r="U184">
        <f>'raw data Crude oil'!U185</f>
        <v>51.26</v>
      </c>
      <c r="V184">
        <f>'raw data Crude oil'!V185</f>
        <v>51.27</v>
      </c>
      <c r="W184">
        <f>'raw data Crude oil'!W185</f>
        <v>51.26</v>
      </c>
      <c r="X184">
        <f>'raw data Crude oil'!X185</f>
        <v>51.25</v>
      </c>
      <c r="Y184">
        <f>'raw data Crude oil'!Y185</f>
        <v>51.25</v>
      </c>
      <c r="Z184">
        <f>'raw data Crude oil'!Z185</f>
        <v>0</v>
      </c>
      <c r="AA184">
        <f>'raw data Crude oil'!AA185</f>
        <v>0</v>
      </c>
      <c r="AB184">
        <f>'raw data Crude oil'!AB185</f>
        <v>0</v>
      </c>
      <c r="AC184">
        <f>'raw data Crude oil'!AC185</f>
        <v>0</v>
      </c>
      <c r="AD184">
        <f>'raw data Crude oil'!AD185</f>
        <v>0</v>
      </c>
      <c r="AE184">
        <f>'raw data Crude oil'!AE185</f>
        <v>0</v>
      </c>
      <c r="AF184">
        <f>'raw data Crude oil'!AF185</f>
        <v>0</v>
      </c>
      <c r="AG184">
        <f>'raw data Crude oil'!AG185</f>
        <v>0</v>
      </c>
      <c r="AH184">
        <f>'raw data Crude oil'!AH185</f>
        <v>0</v>
      </c>
      <c r="AI184">
        <f>'raw data Crude oil'!AI185</f>
        <v>0</v>
      </c>
      <c r="AJ184">
        <f>'raw data Crude oil'!AJ185</f>
        <v>0</v>
      </c>
      <c r="AK184">
        <f>'raw data Crude oil'!AK185</f>
        <v>0</v>
      </c>
    </row>
    <row r="185" spans="1:37" x14ac:dyDescent="0.3">
      <c r="A185" s="18">
        <f>'raw data Crude oil'!A186</f>
        <v>42993</v>
      </c>
      <c r="B185">
        <f>'raw data Crude oil'!B186</f>
        <v>55.62</v>
      </c>
      <c r="C185">
        <f>'raw data Crude oil'!C186</f>
        <v>55.42</v>
      </c>
      <c r="D185">
        <f>'raw data Crude oil'!D186</f>
        <v>55.3</v>
      </c>
      <c r="E185">
        <f>'raw data Crude oil'!E186</f>
        <v>55.26</v>
      </c>
      <c r="F185">
        <f>'raw data Crude oil'!F186</f>
        <v>55.27</v>
      </c>
      <c r="G185">
        <f>'raw data Crude oil'!G186</f>
        <v>55.28</v>
      </c>
      <c r="H185">
        <f>'raw data Crude oil'!H186</f>
        <v>55.29</v>
      </c>
      <c r="I185">
        <f>'raw data Crude oil'!I186</f>
        <v>55.29</v>
      </c>
      <c r="J185">
        <f>'raw data Crude oil'!J186</f>
        <v>55.31</v>
      </c>
      <c r="K185">
        <f>'raw data Crude oil'!K186</f>
        <v>55.33</v>
      </c>
      <c r="L185">
        <f>'raw data Crude oil'!L186</f>
        <v>55.33</v>
      </c>
      <c r="M185">
        <f>'raw data Crude oil'!M186</f>
        <v>55.34</v>
      </c>
      <c r="N185">
        <f>'raw data Crude oil'!N186</f>
        <v>49.89</v>
      </c>
      <c r="O185">
        <f>'raw data Crude oil'!O186</f>
        <v>50.44</v>
      </c>
      <c r="P185">
        <f>'raw data Crude oil'!P186</f>
        <v>50.81</v>
      </c>
      <c r="Q185">
        <f>'raw data Crude oil'!Q186</f>
        <v>51.09</v>
      </c>
      <c r="R185">
        <f>'raw data Crude oil'!R186</f>
        <v>51.3</v>
      </c>
      <c r="S185">
        <f>'raw data Crude oil'!S186</f>
        <v>51.44</v>
      </c>
      <c r="T185">
        <f>'raw data Crude oil'!T186</f>
        <v>51.51</v>
      </c>
      <c r="U185">
        <f>'raw data Crude oil'!U186</f>
        <v>51.54</v>
      </c>
      <c r="V185">
        <f>'raw data Crude oil'!V186</f>
        <v>51.55</v>
      </c>
      <c r="W185">
        <f>'raw data Crude oil'!W186</f>
        <v>51.53</v>
      </c>
      <c r="X185">
        <f>'raw data Crude oil'!X186</f>
        <v>51.52</v>
      </c>
      <c r="Y185">
        <f>'raw data Crude oil'!Y186</f>
        <v>51.51</v>
      </c>
      <c r="Z185">
        <f>'raw data Crude oil'!Z186</f>
        <v>0</v>
      </c>
      <c r="AA185">
        <f>'raw data Crude oil'!AA186</f>
        <v>0</v>
      </c>
      <c r="AB185">
        <f>'raw data Crude oil'!AB186</f>
        <v>0</v>
      </c>
      <c r="AC185">
        <f>'raw data Crude oil'!AC186</f>
        <v>0</v>
      </c>
      <c r="AD185">
        <f>'raw data Crude oil'!AD186</f>
        <v>0</v>
      </c>
      <c r="AE185">
        <f>'raw data Crude oil'!AE186</f>
        <v>0</v>
      </c>
      <c r="AF185">
        <f>'raw data Crude oil'!AF186</f>
        <v>0</v>
      </c>
      <c r="AG185">
        <f>'raw data Crude oil'!AG186</f>
        <v>0</v>
      </c>
      <c r="AH185">
        <f>'raw data Crude oil'!AH186</f>
        <v>0</v>
      </c>
      <c r="AI185">
        <f>'raw data Crude oil'!AI186</f>
        <v>0</v>
      </c>
      <c r="AJ185">
        <f>'raw data Crude oil'!AJ186</f>
        <v>0</v>
      </c>
      <c r="AK185">
        <f>'raw data Crude oil'!AK186</f>
        <v>0</v>
      </c>
    </row>
    <row r="186" spans="1:37" x14ac:dyDescent="0.3">
      <c r="A186" s="18">
        <f>'raw data Crude oil'!A187</f>
        <v>42996</v>
      </c>
      <c r="B186">
        <f>'raw data Crude oil'!B187</f>
        <v>55.48</v>
      </c>
      <c r="C186">
        <f>'raw data Crude oil'!C187</f>
        <v>55.25</v>
      </c>
      <c r="D186">
        <f>'raw data Crude oil'!D187</f>
        <v>55.08</v>
      </c>
      <c r="E186">
        <f>'raw data Crude oil'!E187</f>
        <v>55.01</v>
      </c>
      <c r="F186">
        <f>'raw data Crude oil'!F187</f>
        <v>54.99</v>
      </c>
      <c r="G186">
        <f>'raw data Crude oil'!G187</f>
        <v>54.98</v>
      </c>
      <c r="H186">
        <f>'raw data Crude oil'!H187</f>
        <v>54.97</v>
      </c>
      <c r="I186">
        <f>'raw data Crude oil'!I187</f>
        <v>54.96</v>
      </c>
      <c r="J186">
        <f>'raw data Crude oil'!J187</f>
        <v>54.97</v>
      </c>
      <c r="K186">
        <f>'raw data Crude oil'!K187</f>
        <v>54.98</v>
      </c>
      <c r="L186">
        <f>'raw data Crude oil'!L187</f>
        <v>54.98</v>
      </c>
      <c r="M186">
        <f>'raw data Crude oil'!M187</f>
        <v>54.99</v>
      </c>
      <c r="N186">
        <f>'raw data Crude oil'!N187</f>
        <v>49.91</v>
      </c>
      <c r="O186">
        <f>'raw data Crude oil'!O187</f>
        <v>50.35</v>
      </c>
      <c r="P186">
        <f>'raw data Crude oil'!P187</f>
        <v>50.66</v>
      </c>
      <c r="Q186">
        <f>'raw data Crude oil'!Q187</f>
        <v>50.9</v>
      </c>
      <c r="R186">
        <f>'raw data Crude oil'!R187</f>
        <v>51.07</v>
      </c>
      <c r="S186">
        <f>'raw data Crude oil'!S187</f>
        <v>51.18</v>
      </c>
      <c r="T186">
        <f>'raw data Crude oil'!T187</f>
        <v>51.23</v>
      </c>
      <c r="U186">
        <f>'raw data Crude oil'!U187</f>
        <v>51.24</v>
      </c>
      <c r="V186">
        <f>'raw data Crude oil'!V187</f>
        <v>51.23</v>
      </c>
      <c r="W186">
        <f>'raw data Crude oil'!W187</f>
        <v>51.2</v>
      </c>
      <c r="X186">
        <f>'raw data Crude oil'!X187</f>
        <v>51.17</v>
      </c>
      <c r="Y186">
        <f>'raw data Crude oil'!Y187</f>
        <v>51.15</v>
      </c>
      <c r="Z186">
        <f>'raw data Crude oil'!Z187</f>
        <v>0</v>
      </c>
      <c r="AA186">
        <f>'raw data Crude oil'!AA187</f>
        <v>0</v>
      </c>
      <c r="AB186">
        <f>'raw data Crude oil'!AB187</f>
        <v>0</v>
      </c>
      <c r="AC186">
        <f>'raw data Crude oil'!AC187</f>
        <v>0</v>
      </c>
      <c r="AD186">
        <f>'raw data Crude oil'!AD187</f>
        <v>0</v>
      </c>
      <c r="AE186">
        <f>'raw data Crude oil'!AE187</f>
        <v>0</v>
      </c>
      <c r="AF186">
        <f>'raw data Crude oil'!AF187</f>
        <v>0</v>
      </c>
      <c r="AG186">
        <f>'raw data Crude oil'!AG187</f>
        <v>0</v>
      </c>
      <c r="AH186">
        <f>'raw data Crude oil'!AH187</f>
        <v>0</v>
      </c>
      <c r="AI186">
        <f>'raw data Crude oil'!AI187</f>
        <v>0</v>
      </c>
      <c r="AJ186">
        <f>'raw data Crude oil'!AJ187</f>
        <v>0</v>
      </c>
      <c r="AK186">
        <f>'raw data Crude oil'!AK187</f>
        <v>0</v>
      </c>
    </row>
    <row r="187" spans="1:37" x14ac:dyDescent="0.3">
      <c r="A187" s="18">
        <f>'raw data Crude oil'!A188</f>
        <v>42997</v>
      </c>
      <c r="B187">
        <f>'raw data Crude oil'!B188</f>
        <v>55.14</v>
      </c>
      <c r="C187">
        <f>'raw data Crude oil'!C188</f>
        <v>54.9</v>
      </c>
      <c r="D187">
        <f>'raw data Crude oil'!D188</f>
        <v>54.72</v>
      </c>
      <c r="E187">
        <f>'raw data Crude oil'!E188</f>
        <v>54.63</v>
      </c>
      <c r="F187">
        <f>'raw data Crude oil'!F188</f>
        <v>54.59</v>
      </c>
      <c r="G187">
        <f>'raw data Crude oil'!G188</f>
        <v>54.57</v>
      </c>
      <c r="H187">
        <f>'raw data Crude oil'!H188</f>
        <v>54.57</v>
      </c>
      <c r="I187">
        <f>'raw data Crude oil'!I188</f>
        <v>54.56</v>
      </c>
      <c r="J187">
        <f>'raw data Crude oil'!J188</f>
        <v>54.57</v>
      </c>
      <c r="K187">
        <f>'raw data Crude oil'!K188</f>
        <v>54.58</v>
      </c>
      <c r="L187">
        <f>'raw data Crude oil'!L188</f>
        <v>54.57</v>
      </c>
      <c r="M187">
        <f>'raw data Crude oil'!M188</f>
        <v>54.57</v>
      </c>
      <c r="N187">
        <f>'raw data Crude oil'!N188</f>
        <v>49.48</v>
      </c>
      <c r="O187">
        <f>'raw data Crude oil'!O188</f>
        <v>49.9</v>
      </c>
      <c r="P187">
        <f>'raw data Crude oil'!P188</f>
        <v>50.24</v>
      </c>
      <c r="Q187">
        <f>'raw data Crude oil'!Q188</f>
        <v>50.5</v>
      </c>
      <c r="R187">
        <f>'raw data Crude oil'!R188</f>
        <v>50.69</v>
      </c>
      <c r="S187">
        <f>'raw data Crude oil'!S188</f>
        <v>50.82</v>
      </c>
      <c r="T187">
        <f>'raw data Crude oil'!T188</f>
        <v>50.9</v>
      </c>
      <c r="U187">
        <f>'raw data Crude oil'!U188</f>
        <v>50.94</v>
      </c>
      <c r="V187">
        <f>'raw data Crude oil'!V188</f>
        <v>50.95</v>
      </c>
      <c r="W187">
        <f>'raw data Crude oil'!W188</f>
        <v>50.93</v>
      </c>
      <c r="X187">
        <f>'raw data Crude oil'!X188</f>
        <v>50.91</v>
      </c>
      <c r="Y187">
        <f>'raw data Crude oil'!Y188</f>
        <v>50.89</v>
      </c>
      <c r="Z187">
        <f>'raw data Crude oil'!Z188</f>
        <v>0</v>
      </c>
      <c r="AA187">
        <f>'raw data Crude oil'!AA188</f>
        <v>0</v>
      </c>
      <c r="AB187">
        <f>'raw data Crude oil'!AB188</f>
        <v>0</v>
      </c>
      <c r="AC187">
        <f>'raw data Crude oil'!AC188</f>
        <v>0</v>
      </c>
      <c r="AD187">
        <f>'raw data Crude oil'!AD188</f>
        <v>0</v>
      </c>
      <c r="AE187">
        <f>'raw data Crude oil'!AE188</f>
        <v>0</v>
      </c>
      <c r="AF187">
        <f>'raw data Crude oil'!AF188</f>
        <v>0</v>
      </c>
      <c r="AG187">
        <f>'raw data Crude oil'!AG188</f>
        <v>0</v>
      </c>
      <c r="AH187">
        <f>'raw data Crude oil'!AH188</f>
        <v>0</v>
      </c>
      <c r="AI187">
        <f>'raw data Crude oil'!AI188</f>
        <v>0</v>
      </c>
      <c r="AJ187">
        <f>'raw data Crude oil'!AJ188</f>
        <v>0</v>
      </c>
      <c r="AK187">
        <f>'raw data Crude oil'!AK188</f>
        <v>0</v>
      </c>
    </row>
    <row r="188" spans="1:37" x14ac:dyDescent="0.3">
      <c r="A188" s="18">
        <f>'raw data Crude oil'!A189</f>
        <v>42998</v>
      </c>
      <c r="B188">
        <f>'raw data Crude oil'!B189</f>
        <v>56.29</v>
      </c>
      <c r="C188">
        <f>'raw data Crude oil'!C189</f>
        <v>55.93</v>
      </c>
      <c r="D188">
        <f>'raw data Crude oil'!D189</f>
        <v>55.68</v>
      </c>
      <c r="E188">
        <f>'raw data Crude oil'!E189</f>
        <v>55.53</v>
      </c>
      <c r="F188">
        <f>'raw data Crude oil'!F189</f>
        <v>55.44</v>
      </c>
      <c r="G188">
        <f>'raw data Crude oil'!G189</f>
        <v>55.37</v>
      </c>
      <c r="H188">
        <f>'raw data Crude oil'!H189</f>
        <v>55.32</v>
      </c>
      <c r="I188">
        <f>'raw data Crude oil'!I189</f>
        <v>55.27</v>
      </c>
      <c r="J188">
        <f>'raw data Crude oil'!J189</f>
        <v>55.25</v>
      </c>
      <c r="K188">
        <f>'raw data Crude oil'!K189</f>
        <v>55.22</v>
      </c>
      <c r="L188">
        <f>'raw data Crude oil'!L189</f>
        <v>55.17</v>
      </c>
      <c r="M188">
        <f>'raw data Crude oil'!M189</f>
        <v>55.14</v>
      </c>
      <c r="N188">
        <f>'raw data Crude oil'!N189</f>
        <v>50.41</v>
      </c>
      <c r="O188">
        <f>'raw data Crude oil'!O189</f>
        <v>50.69</v>
      </c>
      <c r="P188">
        <f>'raw data Crude oil'!P189</f>
        <v>51.04</v>
      </c>
      <c r="Q188">
        <f>'raw data Crude oil'!Q189</f>
        <v>51.29</v>
      </c>
      <c r="R188">
        <f>'raw data Crude oil'!R189</f>
        <v>51.46</v>
      </c>
      <c r="S188">
        <f>'raw data Crude oil'!S189</f>
        <v>51.56</v>
      </c>
      <c r="T188">
        <f>'raw data Crude oil'!T189</f>
        <v>51.6</v>
      </c>
      <c r="U188">
        <f>'raw data Crude oil'!U189</f>
        <v>51.6</v>
      </c>
      <c r="V188">
        <f>'raw data Crude oil'!V189</f>
        <v>51.58</v>
      </c>
      <c r="W188">
        <f>'raw data Crude oil'!W189</f>
        <v>51.53</v>
      </c>
      <c r="X188">
        <f>'raw data Crude oil'!X189</f>
        <v>51.48</v>
      </c>
      <c r="Y188">
        <f>'raw data Crude oil'!Y189</f>
        <v>51.43</v>
      </c>
      <c r="Z188">
        <f>'raw data Crude oil'!Z189</f>
        <v>0</v>
      </c>
      <c r="AA188">
        <f>'raw data Crude oil'!AA189</f>
        <v>0</v>
      </c>
      <c r="AB188">
        <f>'raw data Crude oil'!AB189</f>
        <v>0</v>
      </c>
      <c r="AC188">
        <f>'raw data Crude oil'!AC189</f>
        <v>0</v>
      </c>
      <c r="AD188">
        <f>'raw data Crude oil'!AD189</f>
        <v>0</v>
      </c>
      <c r="AE188">
        <f>'raw data Crude oil'!AE189</f>
        <v>0</v>
      </c>
      <c r="AF188">
        <f>'raw data Crude oil'!AF189</f>
        <v>0</v>
      </c>
      <c r="AG188">
        <f>'raw data Crude oil'!AG189</f>
        <v>0</v>
      </c>
      <c r="AH188">
        <f>'raw data Crude oil'!AH189</f>
        <v>0</v>
      </c>
      <c r="AI188">
        <f>'raw data Crude oil'!AI189</f>
        <v>0</v>
      </c>
      <c r="AJ188">
        <f>'raw data Crude oil'!AJ189</f>
        <v>0</v>
      </c>
      <c r="AK188">
        <f>'raw data Crude oil'!AK189</f>
        <v>0</v>
      </c>
    </row>
    <row r="189" spans="1:37" x14ac:dyDescent="0.3">
      <c r="A189" s="18">
        <f>'raw data Crude oil'!A190</f>
        <v>42999</v>
      </c>
      <c r="B189">
        <f>'raw data Crude oil'!B190</f>
        <v>56.43</v>
      </c>
      <c r="C189">
        <f>'raw data Crude oil'!C190</f>
        <v>56.09</v>
      </c>
      <c r="D189">
        <f>'raw data Crude oil'!D190</f>
        <v>55.82</v>
      </c>
      <c r="E189">
        <f>'raw data Crude oil'!E190</f>
        <v>55.66</v>
      </c>
      <c r="F189">
        <f>'raw data Crude oil'!F190</f>
        <v>55.56</v>
      </c>
      <c r="G189">
        <f>'raw data Crude oil'!G190</f>
        <v>55.5</v>
      </c>
      <c r="H189">
        <f>'raw data Crude oil'!H190</f>
        <v>55.44</v>
      </c>
      <c r="I189">
        <f>'raw data Crude oil'!I190</f>
        <v>55.39</v>
      </c>
      <c r="J189">
        <f>'raw data Crude oil'!J190</f>
        <v>55.36</v>
      </c>
      <c r="K189">
        <f>'raw data Crude oil'!K190</f>
        <v>55.32</v>
      </c>
      <c r="L189">
        <f>'raw data Crude oil'!L190</f>
        <v>55.26</v>
      </c>
      <c r="M189">
        <f>'raw data Crude oil'!M190</f>
        <v>55.21</v>
      </c>
      <c r="N189">
        <f>'raw data Crude oil'!N190</f>
        <v>50.55</v>
      </c>
      <c r="O189">
        <f>'raw data Crude oil'!O190</f>
        <v>50.93</v>
      </c>
      <c r="P189">
        <f>'raw data Crude oil'!P190</f>
        <v>51.21</v>
      </c>
      <c r="Q189">
        <f>'raw data Crude oil'!Q190</f>
        <v>51.39</v>
      </c>
      <c r="R189">
        <f>'raw data Crude oil'!R190</f>
        <v>51.49</v>
      </c>
      <c r="S189">
        <f>'raw data Crude oil'!S190</f>
        <v>51.54</v>
      </c>
      <c r="T189">
        <f>'raw data Crude oil'!T190</f>
        <v>51.55</v>
      </c>
      <c r="U189">
        <f>'raw data Crude oil'!U190</f>
        <v>51.53</v>
      </c>
      <c r="V189">
        <f>'raw data Crude oil'!V190</f>
        <v>51.48</v>
      </c>
      <c r="W189">
        <f>'raw data Crude oil'!W190</f>
        <v>51.43</v>
      </c>
      <c r="X189">
        <f>'raw data Crude oil'!X190</f>
        <v>51.4</v>
      </c>
      <c r="Y189">
        <f>'raw data Crude oil'!Y190</f>
        <v>51.37</v>
      </c>
      <c r="Z189">
        <f>'raw data Crude oil'!Z190</f>
        <v>0</v>
      </c>
      <c r="AA189">
        <f>'raw data Crude oil'!AA190</f>
        <v>0</v>
      </c>
      <c r="AB189">
        <f>'raw data Crude oil'!AB190</f>
        <v>0</v>
      </c>
      <c r="AC189">
        <f>'raw data Crude oil'!AC190</f>
        <v>0</v>
      </c>
      <c r="AD189">
        <f>'raw data Crude oil'!AD190</f>
        <v>0</v>
      </c>
      <c r="AE189">
        <f>'raw data Crude oil'!AE190</f>
        <v>0</v>
      </c>
      <c r="AF189">
        <f>'raw data Crude oil'!AF190</f>
        <v>0</v>
      </c>
      <c r="AG189">
        <f>'raw data Crude oil'!AG190</f>
        <v>0</v>
      </c>
      <c r="AH189">
        <f>'raw data Crude oil'!AH190</f>
        <v>0</v>
      </c>
      <c r="AI189">
        <f>'raw data Crude oil'!AI190</f>
        <v>0</v>
      </c>
      <c r="AJ189">
        <f>'raw data Crude oil'!AJ190</f>
        <v>0</v>
      </c>
      <c r="AK189">
        <f>'raw data Crude oil'!AK190</f>
        <v>0</v>
      </c>
    </row>
    <row r="190" spans="1:37" x14ac:dyDescent="0.3">
      <c r="A190" s="18">
        <f>'raw data Crude oil'!A191</f>
        <v>43000</v>
      </c>
      <c r="B190">
        <f>'raw data Crude oil'!B191</f>
        <v>56.86</v>
      </c>
      <c r="C190">
        <f>'raw data Crude oil'!C191</f>
        <v>56.42</v>
      </c>
      <c r="D190">
        <f>'raw data Crude oil'!D191</f>
        <v>56.1</v>
      </c>
      <c r="E190">
        <f>'raw data Crude oil'!E191</f>
        <v>55.9</v>
      </c>
      <c r="F190">
        <f>'raw data Crude oil'!F191</f>
        <v>55.78</v>
      </c>
      <c r="G190">
        <f>'raw data Crude oil'!G191</f>
        <v>55.7</v>
      </c>
      <c r="H190">
        <f>'raw data Crude oil'!H191</f>
        <v>55.63</v>
      </c>
      <c r="I190">
        <f>'raw data Crude oil'!I191</f>
        <v>55.57</v>
      </c>
      <c r="J190">
        <f>'raw data Crude oil'!J191</f>
        <v>55.53</v>
      </c>
      <c r="K190">
        <f>'raw data Crude oil'!K191</f>
        <v>55.48</v>
      </c>
      <c r="L190">
        <f>'raw data Crude oil'!L191</f>
        <v>55.41</v>
      </c>
      <c r="M190">
        <f>'raw data Crude oil'!M191</f>
        <v>55.35</v>
      </c>
      <c r="N190">
        <f>'raw data Crude oil'!N191</f>
        <v>50.66</v>
      </c>
      <c r="O190">
        <f>'raw data Crude oil'!O191</f>
        <v>51.03</v>
      </c>
      <c r="P190">
        <f>'raw data Crude oil'!P191</f>
        <v>51.31</v>
      </c>
      <c r="Q190">
        <f>'raw data Crude oil'!Q191</f>
        <v>51.47</v>
      </c>
      <c r="R190">
        <f>'raw data Crude oil'!R191</f>
        <v>51.56</v>
      </c>
      <c r="S190">
        <f>'raw data Crude oil'!S191</f>
        <v>51.6</v>
      </c>
      <c r="T190">
        <f>'raw data Crude oil'!T191</f>
        <v>51.6</v>
      </c>
      <c r="U190">
        <f>'raw data Crude oil'!U191</f>
        <v>51.58</v>
      </c>
      <c r="V190">
        <f>'raw data Crude oil'!V191</f>
        <v>51.53</v>
      </c>
      <c r="W190">
        <f>'raw data Crude oil'!W191</f>
        <v>51.48</v>
      </c>
      <c r="X190">
        <f>'raw data Crude oil'!X191</f>
        <v>51.45</v>
      </c>
      <c r="Y190">
        <f>'raw data Crude oil'!Y191</f>
        <v>51.42</v>
      </c>
      <c r="Z190">
        <f>'raw data Crude oil'!Z191</f>
        <v>0</v>
      </c>
      <c r="AA190">
        <f>'raw data Crude oil'!AA191</f>
        <v>0</v>
      </c>
      <c r="AB190">
        <f>'raw data Crude oil'!AB191</f>
        <v>0</v>
      </c>
      <c r="AC190">
        <f>'raw data Crude oil'!AC191</f>
        <v>0</v>
      </c>
      <c r="AD190">
        <f>'raw data Crude oil'!AD191</f>
        <v>0</v>
      </c>
      <c r="AE190">
        <f>'raw data Crude oil'!AE191</f>
        <v>0</v>
      </c>
      <c r="AF190">
        <f>'raw data Crude oil'!AF191</f>
        <v>0</v>
      </c>
      <c r="AG190">
        <f>'raw data Crude oil'!AG191</f>
        <v>0</v>
      </c>
      <c r="AH190">
        <f>'raw data Crude oil'!AH191</f>
        <v>0</v>
      </c>
      <c r="AI190">
        <f>'raw data Crude oil'!AI191</f>
        <v>0</v>
      </c>
      <c r="AJ190">
        <f>'raw data Crude oil'!AJ191</f>
        <v>0</v>
      </c>
      <c r="AK190">
        <f>'raw data Crude oil'!AK191</f>
        <v>0</v>
      </c>
    </row>
    <row r="191" spans="1:37" x14ac:dyDescent="0.3">
      <c r="A191" s="18">
        <f>'raw data Crude oil'!A192</f>
        <v>43003</v>
      </c>
      <c r="B191">
        <f>'raw data Crude oil'!B192</f>
        <v>59.02</v>
      </c>
      <c r="C191">
        <f>'raw data Crude oil'!C192</f>
        <v>58.43</v>
      </c>
      <c r="D191">
        <f>'raw data Crude oil'!D192</f>
        <v>58.03</v>
      </c>
      <c r="E191">
        <f>'raw data Crude oil'!E192</f>
        <v>57.75</v>
      </c>
      <c r="F191">
        <f>'raw data Crude oil'!F192</f>
        <v>57.55</v>
      </c>
      <c r="G191">
        <f>'raw data Crude oil'!G192</f>
        <v>57.4</v>
      </c>
      <c r="H191">
        <f>'raw data Crude oil'!H192</f>
        <v>57.26</v>
      </c>
      <c r="I191">
        <f>'raw data Crude oil'!I192</f>
        <v>57.11</v>
      </c>
      <c r="J191">
        <f>'raw data Crude oil'!J192</f>
        <v>56.97</v>
      </c>
      <c r="K191">
        <f>'raw data Crude oil'!K192</f>
        <v>56.82</v>
      </c>
      <c r="L191">
        <f>'raw data Crude oil'!L192</f>
        <v>56.65</v>
      </c>
      <c r="M191">
        <f>'raw data Crude oil'!M192</f>
        <v>56.5</v>
      </c>
      <c r="N191">
        <f>'raw data Crude oil'!N192</f>
        <v>52.22</v>
      </c>
      <c r="O191">
        <f>'raw data Crude oil'!O192</f>
        <v>52.52</v>
      </c>
      <c r="P191">
        <f>'raw data Crude oil'!P192</f>
        <v>52.74</v>
      </c>
      <c r="Q191">
        <f>'raw data Crude oil'!Q192</f>
        <v>52.84</v>
      </c>
      <c r="R191">
        <f>'raw data Crude oil'!R192</f>
        <v>52.88</v>
      </c>
      <c r="S191">
        <f>'raw data Crude oil'!S192</f>
        <v>52.86</v>
      </c>
      <c r="T191">
        <f>'raw data Crude oil'!T192</f>
        <v>52.8</v>
      </c>
      <c r="U191">
        <f>'raw data Crude oil'!U192</f>
        <v>52.71</v>
      </c>
      <c r="V191">
        <f>'raw data Crude oil'!V192</f>
        <v>52.59</v>
      </c>
      <c r="W191">
        <f>'raw data Crude oil'!W192</f>
        <v>52.48</v>
      </c>
      <c r="X191">
        <f>'raw data Crude oil'!X192</f>
        <v>52.38</v>
      </c>
      <c r="Y191">
        <f>'raw data Crude oil'!Y192</f>
        <v>52.28</v>
      </c>
      <c r="Z191">
        <f>'raw data Crude oil'!Z192</f>
        <v>0</v>
      </c>
      <c r="AA191">
        <f>'raw data Crude oil'!AA192</f>
        <v>0</v>
      </c>
      <c r="AB191">
        <f>'raw data Crude oil'!AB192</f>
        <v>0</v>
      </c>
      <c r="AC191">
        <f>'raw data Crude oil'!AC192</f>
        <v>0</v>
      </c>
      <c r="AD191">
        <f>'raw data Crude oil'!AD192</f>
        <v>0</v>
      </c>
      <c r="AE191">
        <f>'raw data Crude oil'!AE192</f>
        <v>0</v>
      </c>
      <c r="AF191">
        <f>'raw data Crude oil'!AF192</f>
        <v>0</v>
      </c>
      <c r="AG191">
        <f>'raw data Crude oil'!AG192</f>
        <v>0</v>
      </c>
      <c r="AH191">
        <f>'raw data Crude oil'!AH192</f>
        <v>0</v>
      </c>
      <c r="AI191">
        <f>'raw data Crude oil'!AI192</f>
        <v>0</v>
      </c>
      <c r="AJ191">
        <f>'raw data Crude oil'!AJ192</f>
        <v>0</v>
      </c>
      <c r="AK191">
        <f>'raw data Crude oil'!AK192</f>
        <v>0</v>
      </c>
    </row>
    <row r="192" spans="1:37" x14ac:dyDescent="0.3">
      <c r="A192" s="18">
        <f>'raw data Crude oil'!A193</f>
        <v>43004</v>
      </c>
      <c r="B192">
        <f>'raw data Crude oil'!B193</f>
        <v>58.44</v>
      </c>
      <c r="C192">
        <f>'raw data Crude oil'!C193</f>
        <v>57.92</v>
      </c>
      <c r="D192">
        <f>'raw data Crude oil'!D193</f>
        <v>57.62</v>
      </c>
      <c r="E192">
        <f>'raw data Crude oil'!E193</f>
        <v>57.4</v>
      </c>
      <c r="F192">
        <f>'raw data Crude oil'!F193</f>
        <v>57.24</v>
      </c>
      <c r="G192">
        <f>'raw data Crude oil'!G193</f>
        <v>57.11</v>
      </c>
      <c r="H192">
        <f>'raw data Crude oil'!H193</f>
        <v>56.99</v>
      </c>
      <c r="I192">
        <f>'raw data Crude oil'!I193</f>
        <v>56.85</v>
      </c>
      <c r="J192">
        <f>'raw data Crude oil'!J193</f>
        <v>56.73</v>
      </c>
      <c r="K192">
        <f>'raw data Crude oil'!K193</f>
        <v>56.6</v>
      </c>
      <c r="L192">
        <f>'raw data Crude oil'!L193</f>
        <v>56.44</v>
      </c>
      <c r="M192">
        <f>'raw data Crude oil'!M193</f>
        <v>56.3</v>
      </c>
      <c r="N192">
        <f>'raw data Crude oil'!N193</f>
        <v>51.88</v>
      </c>
      <c r="O192">
        <f>'raw data Crude oil'!O193</f>
        <v>52.19</v>
      </c>
      <c r="P192">
        <f>'raw data Crude oil'!P193</f>
        <v>52.42</v>
      </c>
      <c r="Q192">
        <f>'raw data Crude oil'!Q193</f>
        <v>52.54</v>
      </c>
      <c r="R192">
        <f>'raw data Crude oil'!R193</f>
        <v>52.6</v>
      </c>
      <c r="S192">
        <f>'raw data Crude oil'!S193</f>
        <v>52.6</v>
      </c>
      <c r="T192">
        <f>'raw data Crude oil'!T193</f>
        <v>52.56</v>
      </c>
      <c r="U192">
        <f>'raw data Crude oil'!U193</f>
        <v>52.48</v>
      </c>
      <c r="V192">
        <f>'raw data Crude oil'!V193</f>
        <v>52.37</v>
      </c>
      <c r="W192">
        <f>'raw data Crude oil'!W193</f>
        <v>52.26</v>
      </c>
      <c r="X192">
        <f>'raw data Crude oil'!X193</f>
        <v>52.17</v>
      </c>
      <c r="Y192">
        <f>'raw data Crude oil'!Y193</f>
        <v>52.09</v>
      </c>
      <c r="Z192">
        <f>'raw data Crude oil'!Z193</f>
        <v>0</v>
      </c>
      <c r="AA192">
        <f>'raw data Crude oil'!AA193</f>
        <v>0</v>
      </c>
      <c r="AB192">
        <f>'raw data Crude oil'!AB193</f>
        <v>0</v>
      </c>
      <c r="AC192">
        <f>'raw data Crude oil'!AC193</f>
        <v>0</v>
      </c>
      <c r="AD192">
        <f>'raw data Crude oil'!AD193</f>
        <v>0</v>
      </c>
      <c r="AE192">
        <f>'raw data Crude oil'!AE193</f>
        <v>0</v>
      </c>
      <c r="AF192">
        <f>'raw data Crude oil'!AF193</f>
        <v>0</v>
      </c>
      <c r="AG192">
        <f>'raw data Crude oil'!AG193</f>
        <v>0</v>
      </c>
      <c r="AH192">
        <f>'raw data Crude oil'!AH193</f>
        <v>0</v>
      </c>
      <c r="AI192">
        <f>'raw data Crude oil'!AI193</f>
        <v>0</v>
      </c>
      <c r="AJ192">
        <f>'raw data Crude oil'!AJ193</f>
        <v>0</v>
      </c>
      <c r="AK192">
        <f>'raw data Crude oil'!AK193</f>
        <v>0</v>
      </c>
    </row>
    <row r="193" spans="1:37" x14ac:dyDescent="0.3">
      <c r="A193" s="18">
        <f>'raw data Crude oil'!A194</f>
        <v>43005</v>
      </c>
      <c r="B193">
        <f>'raw data Crude oil'!B194</f>
        <v>57.9</v>
      </c>
      <c r="C193">
        <f>'raw data Crude oil'!C194</f>
        <v>57.57</v>
      </c>
      <c r="D193">
        <f>'raw data Crude oil'!D194</f>
        <v>57.35</v>
      </c>
      <c r="E193">
        <f>'raw data Crude oil'!E194</f>
        <v>57.18</v>
      </c>
      <c r="F193">
        <f>'raw data Crude oil'!F194</f>
        <v>57.06</v>
      </c>
      <c r="G193">
        <f>'raw data Crude oil'!G194</f>
        <v>56.96</v>
      </c>
      <c r="H193">
        <f>'raw data Crude oil'!H194</f>
        <v>56.87</v>
      </c>
      <c r="I193">
        <f>'raw data Crude oil'!I194</f>
        <v>56.75</v>
      </c>
      <c r="J193">
        <f>'raw data Crude oil'!J194</f>
        <v>56.64</v>
      </c>
      <c r="K193">
        <f>'raw data Crude oil'!K194</f>
        <v>56.53</v>
      </c>
      <c r="L193">
        <f>'raw data Crude oil'!L194</f>
        <v>56.39</v>
      </c>
      <c r="M193">
        <f>'raw data Crude oil'!M194</f>
        <v>56.27</v>
      </c>
      <c r="N193">
        <f>'raw data Crude oil'!N194</f>
        <v>52.14</v>
      </c>
      <c r="O193">
        <f>'raw data Crude oil'!O194</f>
        <v>52.43</v>
      </c>
      <c r="P193">
        <f>'raw data Crude oil'!P194</f>
        <v>52.63</v>
      </c>
      <c r="Q193">
        <f>'raw data Crude oil'!Q194</f>
        <v>52.72</v>
      </c>
      <c r="R193">
        <f>'raw data Crude oil'!R194</f>
        <v>52.76</v>
      </c>
      <c r="S193">
        <f>'raw data Crude oil'!S194</f>
        <v>52.74</v>
      </c>
      <c r="T193">
        <f>'raw data Crude oil'!T194</f>
        <v>52.68</v>
      </c>
      <c r="U193">
        <f>'raw data Crude oil'!U194</f>
        <v>52.59</v>
      </c>
      <c r="V193">
        <f>'raw data Crude oil'!V194</f>
        <v>52.47</v>
      </c>
      <c r="W193">
        <f>'raw data Crude oil'!W194</f>
        <v>52.35</v>
      </c>
      <c r="X193">
        <f>'raw data Crude oil'!X194</f>
        <v>52.26</v>
      </c>
      <c r="Y193">
        <f>'raw data Crude oil'!Y194</f>
        <v>52.17</v>
      </c>
      <c r="Z193">
        <f>'raw data Crude oil'!Z194</f>
        <v>0</v>
      </c>
      <c r="AA193">
        <f>'raw data Crude oil'!AA194</f>
        <v>0</v>
      </c>
      <c r="AB193">
        <f>'raw data Crude oil'!AB194</f>
        <v>0</v>
      </c>
      <c r="AC193">
        <f>'raw data Crude oil'!AC194</f>
        <v>0</v>
      </c>
      <c r="AD193">
        <f>'raw data Crude oil'!AD194</f>
        <v>0</v>
      </c>
      <c r="AE193">
        <f>'raw data Crude oil'!AE194</f>
        <v>0</v>
      </c>
      <c r="AF193">
        <f>'raw data Crude oil'!AF194</f>
        <v>0</v>
      </c>
      <c r="AG193">
        <f>'raw data Crude oil'!AG194</f>
        <v>0</v>
      </c>
      <c r="AH193">
        <f>'raw data Crude oil'!AH194</f>
        <v>0</v>
      </c>
      <c r="AI193">
        <f>'raw data Crude oil'!AI194</f>
        <v>0</v>
      </c>
      <c r="AJ193">
        <f>'raw data Crude oil'!AJ194</f>
        <v>0</v>
      </c>
      <c r="AK193">
        <f>'raw data Crude oil'!AK194</f>
        <v>0</v>
      </c>
    </row>
    <row r="194" spans="1:37" x14ac:dyDescent="0.3">
      <c r="A194" s="18">
        <f>'raw data Crude oil'!A195</f>
        <v>43006</v>
      </c>
      <c r="B194">
        <f>'raw data Crude oil'!B195</f>
        <v>57.41</v>
      </c>
      <c r="C194">
        <f>'raw data Crude oil'!C195</f>
        <v>57.16</v>
      </c>
      <c r="D194">
        <f>'raw data Crude oil'!D195</f>
        <v>56.92</v>
      </c>
      <c r="E194">
        <f>'raw data Crude oil'!E195</f>
        <v>56.73</v>
      </c>
      <c r="F194">
        <f>'raw data Crude oil'!F195</f>
        <v>56.57</v>
      </c>
      <c r="G194">
        <f>'raw data Crude oil'!G195</f>
        <v>56.44</v>
      </c>
      <c r="H194">
        <f>'raw data Crude oil'!H195</f>
        <v>56.32</v>
      </c>
      <c r="I194">
        <f>'raw data Crude oil'!I195</f>
        <v>56.18</v>
      </c>
      <c r="J194">
        <f>'raw data Crude oil'!J195</f>
        <v>56.07</v>
      </c>
      <c r="K194">
        <f>'raw data Crude oil'!K195</f>
        <v>55.95</v>
      </c>
      <c r="L194">
        <f>'raw data Crude oil'!L195</f>
        <v>55.83</v>
      </c>
      <c r="M194">
        <f>'raw data Crude oil'!M195</f>
        <v>55.72</v>
      </c>
      <c r="N194">
        <f>'raw data Crude oil'!N195</f>
        <v>51.56</v>
      </c>
      <c r="O194">
        <f>'raw data Crude oil'!O195</f>
        <v>51.87</v>
      </c>
      <c r="P194">
        <f>'raw data Crude oil'!P195</f>
        <v>52.09</v>
      </c>
      <c r="Q194">
        <f>'raw data Crude oil'!Q195</f>
        <v>52.2</v>
      </c>
      <c r="R194">
        <f>'raw data Crude oil'!R195</f>
        <v>52.24</v>
      </c>
      <c r="S194">
        <f>'raw data Crude oil'!S195</f>
        <v>52.23</v>
      </c>
      <c r="T194">
        <f>'raw data Crude oil'!T195</f>
        <v>52.17</v>
      </c>
      <c r="U194">
        <f>'raw data Crude oil'!U195</f>
        <v>52.08</v>
      </c>
      <c r="V194">
        <f>'raw data Crude oil'!V195</f>
        <v>51.96</v>
      </c>
      <c r="W194">
        <f>'raw data Crude oil'!W195</f>
        <v>51.85</v>
      </c>
      <c r="X194">
        <f>'raw data Crude oil'!X195</f>
        <v>51.76</v>
      </c>
      <c r="Y194">
        <f>'raw data Crude oil'!Y195</f>
        <v>51.68</v>
      </c>
      <c r="Z194">
        <f>'raw data Crude oil'!Z195</f>
        <v>0</v>
      </c>
      <c r="AA194">
        <f>'raw data Crude oil'!AA195</f>
        <v>0</v>
      </c>
      <c r="AB194">
        <f>'raw data Crude oil'!AB195</f>
        <v>0</v>
      </c>
      <c r="AC194">
        <f>'raw data Crude oil'!AC195</f>
        <v>0</v>
      </c>
      <c r="AD194">
        <f>'raw data Crude oil'!AD195</f>
        <v>0</v>
      </c>
      <c r="AE194">
        <f>'raw data Crude oil'!AE195</f>
        <v>0</v>
      </c>
      <c r="AF194">
        <f>'raw data Crude oil'!AF195</f>
        <v>0</v>
      </c>
      <c r="AG194">
        <f>'raw data Crude oil'!AG195</f>
        <v>0</v>
      </c>
      <c r="AH194">
        <f>'raw data Crude oil'!AH195</f>
        <v>0</v>
      </c>
      <c r="AI194">
        <f>'raw data Crude oil'!AI195</f>
        <v>0</v>
      </c>
      <c r="AJ194">
        <f>'raw data Crude oil'!AJ195</f>
        <v>0</v>
      </c>
      <c r="AK194">
        <f>'raw data Crude oil'!AK195</f>
        <v>0</v>
      </c>
    </row>
    <row r="195" spans="1:37" x14ac:dyDescent="0.3">
      <c r="A195" s="18">
        <f>'raw data Crude oil'!A196</f>
        <v>43007</v>
      </c>
      <c r="B195">
        <f>'raw data Crude oil'!B196</f>
        <v>57.54</v>
      </c>
      <c r="C195">
        <f>'raw data Crude oil'!C196</f>
        <v>56.79</v>
      </c>
      <c r="D195">
        <f>'raw data Crude oil'!D196</f>
        <v>56.59</v>
      </c>
      <c r="E195">
        <f>'raw data Crude oil'!E196</f>
        <v>56.43</v>
      </c>
      <c r="F195">
        <f>'raw data Crude oil'!F196</f>
        <v>56.31</v>
      </c>
      <c r="G195">
        <f>'raw data Crude oil'!G196</f>
        <v>56.21</v>
      </c>
      <c r="H195">
        <f>'raw data Crude oil'!H196</f>
        <v>56.11</v>
      </c>
      <c r="I195">
        <f>'raw data Crude oil'!I196</f>
        <v>55.99</v>
      </c>
      <c r="J195">
        <f>'raw data Crude oil'!J196</f>
        <v>55.89</v>
      </c>
      <c r="K195">
        <f>'raw data Crude oil'!K196</f>
        <v>55.79</v>
      </c>
      <c r="L195">
        <f>'raw data Crude oil'!L196</f>
        <v>55.67</v>
      </c>
      <c r="M195">
        <f>'raw data Crude oil'!M196</f>
        <v>55.58</v>
      </c>
      <c r="N195">
        <f>'raw data Crude oil'!N196</f>
        <v>51.67</v>
      </c>
      <c r="O195">
        <f>'raw data Crude oil'!O196</f>
        <v>51.95</v>
      </c>
      <c r="P195">
        <f>'raw data Crude oil'!P196</f>
        <v>52.14</v>
      </c>
      <c r="Q195">
        <f>'raw data Crude oil'!Q196</f>
        <v>52.22</v>
      </c>
      <c r="R195">
        <f>'raw data Crude oil'!R196</f>
        <v>52.24</v>
      </c>
      <c r="S195">
        <f>'raw data Crude oil'!S196</f>
        <v>52.21</v>
      </c>
      <c r="T195">
        <f>'raw data Crude oil'!T196</f>
        <v>52.14</v>
      </c>
      <c r="U195">
        <f>'raw data Crude oil'!U196</f>
        <v>52.05</v>
      </c>
      <c r="V195">
        <f>'raw data Crude oil'!V196</f>
        <v>51.93</v>
      </c>
      <c r="W195">
        <f>'raw data Crude oil'!W196</f>
        <v>51.82</v>
      </c>
      <c r="X195">
        <f>'raw data Crude oil'!X196</f>
        <v>51.73</v>
      </c>
      <c r="Y195">
        <f>'raw data Crude oil'!Y196</f>
        <v>51.65</v>
      </c>
      <c r="Z195">
        <f>'raw data Crude oil'!Z196</f>
        <v>0</v>
      </c>
      <c r="AA195">
        <f>'raw data Crude oil'!AA196</f>
        <v>0</v>
      </c>
      <c r="AB195">
        <f>'raw data Crude oil'!AB196</f>
        <v>0</v>
      </c>
      <c r="AC195">
        <f>'raw data Crude oil'!AC196</f>
        <v>0</v>
      </c>
      <c r="AD195">
        <f>'raw data Crude oil'!AD196</f>
        <v>0</v>
      </c>
      <c r="AE195">
        <f>'raw data Crude oil'!AE196</f>
        <v>0</v>
      </c>
      <c r="AF195">
        <f>'raw data Crude oil'!AF196</f>
        <v>0</v>
      </c>
      <c r="AG195">
        <f>'raw data Crude oil'!AG196</f>
        <v>0</v>
      </c>
      <c r="AH195">
        <f>'raw data Crude oil'!AH196</f>
        <v>0</v>
      </c>
      <c r="AI195">
        <f>'raw data Crude oil'!AI196</f>
        <v>0</v>
      </c>
      <c r="AJ195">
        <f>'raw data Crude oil'!AJ196</f>
        <v>0</v>
      </c>
      <c r="AK195">
        <f>'raw data Crude oil'!AK196</f>
        <v>0</v>
      </c>
    </row>
    <row r="196" spans="1:37" x14ac:dyDescent="0.3">
      <c r="A196" s="18">
        <f>'raw data Crude oil'!A197</f>
        <v>43010</v>
      </c>
      <c r="B196">
        <f>'raw data Crude oil'!B197</f>
        <v>56.12</v>
      </c>
      <c r="C196">
        <f>'raw data Crude oil'!C197</f>
        <v>55.89</v>
      </c>
      <c r="D196">
        <f>'raw data Crude oil'!D197</f>
        <v>55.71</v>
      </c>
      <c r="E196">
        <f>'raw data Crude oil'!E197</f>
        <v>55.58</v>
      </c>
      <c r="F196">
        <f>'raw data Crude oil'!F197</f>
        <v>55.49</v>
      </c>
      <c r="G196">
        <f>'raw data Crude oil'!G197</f>
        <v>55.39</v>
      </c>
      <c r="H196">
        <f>'raw data Crude oil'!H197</f>
        <v>55.27</v>
      </c>
      <c r="I196">
        <f>'raw data Crude oil'!I197</f>
        <v>55.18</v>
      </c>
      <c r="J196">
        <f>'raw data Crude oil'!J197</f>
        <v>55.07</v>
      </c>
      <c r="K196">
        <f>'raw data Crude oil'!K197</f>
        <v>54.95</v>
      </c>
      <c r="L196">
        <f>'raw data Crude oil'!L197</f>
        <v>54.85</v>
      </c>
      <c r="M196">
        <f>'raw data Crude oil'!M197</f>
        <v>54.77</v>
      </c>
      <c r="N196">
        <f>'raw data Crude oil'!N197</f>
        <v>50.58</v>
      </c>
      <c r="O196">
        <f>'raw data Crude oil'!O197</f>
        <v>50.9</v>
      </c>
      <c r="P196">
        <f>'raw data Crude oil'!P197</f>
        <v>51.14</v>
      </c>
      <c r="Q196">
        <f>'raw data Crude oil'!Q197</f>
        <v>51.27</v>
      </c>
      <c r="R196">
        <f>'raw data Crude oil'!R197</f>
        <v>51.33</v>
      </c>
      <c r="S196">
        <f>'raw data Crude oil'!S197</f>
        <v>51.35</v>
      </c>
      <c r="T196">
        <f>'raw data Crude oil'!T197</f>
        <v>51.31</v>
      </c>
      <c r="U196">
        <f>'raw data Crude oil'!U197</f>
        <v>51.24</v>
      </c>
      <c r="V196">
        <f>'raw data Crude oil'!V197</f>
        <v>51.14</v>
      </c>
      <c r="W196">
        <f>'raw data Crude oil'!W197</f>
        <v>51.04</v>
      </c>
      <c r="X196">
        <f>'raw data Crude oil'!X197</f>
        <v>50.95</v>
      </c>
      <c r="Y196">
        <f>'raw data Crude oil'!Y197</f>
        <v>50.87</v>
      </c>
      <c r="Z196">
        <f>'raw data Crude oil'!Z197</f>
        <v>0</v>
      </c>
      <c r="AA196">
        <f>'raw data Crude oil'!AA197</f>
        <v>0</v>
      </c>
      <c r="AB196">
        <f>'raw data Crude oil'!AB197</f>
        <v>0</v>
      </c>
      <c r="AC196">
        <f>'raw data Crude oil'!AC197</f>
        <v>0</v>
      </c>
      <c r="AD196">
        <f>'raw data Crude oil'!AD197</f>
        <v>0</v>
      </c>
      <c r="AE196">
        <f>'raw data Crude oil'!AE197</f>
        <v>0</v>
      </c>
      <c r="AF196">
        <f>'raw data Crude oil'!AF197</f>
        <v>0</v>
      </c>
      <c r="AG196">
        <f>'raw data Crude oil'!AG197</f>
        <v>0</v>
      </c>
      <c r="AH196">
        <f>'raw data Crude oil'!AH197</f>
        <v>0</v>
      </c>
      <c r="AI196">
        <f>'raw data Crude oil'!AI197</f>
        <v>0</v>
      </c>
      <c r="AJ196">
        <f>'raw data Crude oil'!AJ197</f>
        <v>0</v>
      </c>
      <c r="AK196">
        <f>'raw data Crude oil'!AK197</f>
        <v>0</v>
      </c>
    </row>
    <row r="197" spans="1:37" x14ac:dyDescent="0.3">
      <c r="A197" s="18">
        <f>'raw data Crude oil'!A198</f>
        <v>43011</v>
      </c>
      <c r="B197">
        <f>'raw data Crude oil'!B198</f>
        <v>56</v>
      </c>
      <c r="C197">
        <f>'raw data Crude oil'!C198</f>
        <v>55.78</v>
      </c>
      <c r="D197">
        <f>'raw data Crude oil'!D198</f>
        <v>55.59</v>
      </c>
      <c r="E197">
        <f>'raw data Crude oil'!E198</f>
        <v>55.47</v>
      </c>
      <c r="F197">
        <f>'raw data Crude oil'!F198</f>
        <v>55.38</v>
      </c>
      <c r="G197">
        <f>'raw data Crude oil'!G198</f>
        <v>55.29</v>
      </c>
      <c r="H197">
        <f>'raw data Crude oil'!H198</f>
        <v>55.19</v>
      </c>
      <c r="I197">
        <f>'raw data Crude oil'!I198</f>
        <v>55.11</v>
      </c>
      <c r="J197">
        <f>'raw data Crude oil'!J198</f>
        <v>55.01</v>
      </c>
      <c r="K197">
        <f>'raw data Crude oil'!K198</f>
        <v>54.9</v>
      </c>
      <c r="L197">
        <f>'raw data Crude oil'!L198</f>
        <v>54.81</v>
      </c>
      <c r="M197">
        <f>'raw data Crude oil'!M198</f>
        <v>54.73</v>
      </c>
      <c r="N197">
        <f>'raw data Crude oil'!N198</f>
        <v>50.42</v>
      </c>
      <c r="O197">
        <f>'raw data Crude oil'!O198</f>
        <v>50.74</v>
      </c>
      <c r="P197">
        <f>'raw data Crude oil'!P198</f>
        <v>50.99</v>
      </c>
      <c r="Q197">
        <f>'raw data Crude oil'!Q198</f>
        <v>51.13</v>
      </c>
      <c r="R197">
        <f>'raw data Crude oil'!R198</f>
        <v>51.22</v>
      </c>
      <c r="S197">
        <f>'raw data Crude oil'!S198</f>
        <v>51.25</v>
      </c>
      <c r="T197">
        <f>'raw data Crude oil'!T198</f>
        <v>51.23</v>
      </c>
      <c r="U197">
        <f>'raw data Crude oil'!U198</f>
        <v>51.18</v>
      </c>
      <c r="V197">
        <f>'raw data Crude oil'!V198</f>
        <v>51.09</v>
      </c>
      <c r="W197">
        <f>'raw data Crude oil'!W198</f>
        <v>50.99</v>
      </c>
      <c r="X197">
        <f>'raw data Crude oil'!X198</f>
        <v>50.9</v>
      </c>
      <c r="Y197">
        <f>'raw data Crude oil'!Y198</f>
        <v>50.82</v>
      </c>
      <c r="Z197">
        <f>'raw data Crude oil'!Z198</f>
        <v>0</v>
      </c>
      <c r="AA197">
        <f>'raw data Crude oil'!AA198</f>
        <v>0</v>
      </c>
      <c r="AB197">
        <f>'raw data Crude oil'!AB198</f>
        <v>0</v>
      </c>
      <c r="AC197">
        <f>'raw data Crude oil'!AC198</f>
        <v>0</v>
      </c>
      <c r="AD197">
        <f>'raw data Crude oil'!AD198</f>
        <v>0</v>
      </c>
      <c r="AE197">
        <f>'raw data Crude oil'!AE198</f>
        <v>0</v>
      </c>
      <c r="AF197">
        <f>'raw data Crude oil'!AF198</f>
        <v>0</v>
      </c>
      <c r="AG197">
        <f>'raw data Crude oil'!AG198</f>
        <v>0</v>
      </c>
      <c r="AH197">
        <f>'raw data Crude oil'!AH198</f>
        <v>0</v>
      </c>
      <c r="AI197">
        <f>'raw data Crude oil'!AI198</f>
        <v>0</v>
      </c>
      <c r="AJ197">
        <f>'raw data Crude oil'!AJ198</f>
        <v>0</v>
      </c>
      <c r="AK197">
        <f>'raw data Crude oil'!AK198</f>
        <v>0</v>
      </c>
    </row>
    <row r="198" spans="1:37" x14ac:dyDescent="0.3">
      <c r="A198" s="18">
        <f>'raw data Crude oil'!A199</f>
        <v>43012</v>
      </c>
      <c r="B198">
        <f>'raw data Crude oil'!B199</f>
        <v>55.8</v>
      </c>
      <c r="C198">
        <f>'raw data Crude oil'!C199</f>
        <v>55.6</v>
      </c>
      <c r="D198">
        <f>'raw data Crude oil'!D199</f>
        <v>55.41</v>
      </c>
      <c r="E198">
        <f>'raw data Crude oil'!E199</f>
        <v>55.29</v>
      </c>
      <c r="F198">
        <f>'raw data Crude oil'!F199</f>
        <v>55.22</v>
      </c>
      <c r="G198">
        <f>'raw data Crude oil'!G199</f>
        <v>55.16</v>
      </c>
      <c r="H198">
        <f>'raw data Crude oil'!H199</f>
        <v>55.08</v>
      </c>
      <c r="I198">
        <f>'raw data Crude oil'!I199</f>
        <v>55.01</v>
      </c>
      <c r="J198">
        <f>'raw data Crude oil'!J199</f>
        <v>54.92</v>
      </c>
      <c r="K198">
        <f>'raw data Crude oil'!K199</f>
        <v>54.83</v>
      </c>
      <c r="L198">
        <f>'raw data Crude oil'!L199</f>
        <v>54.75</v>
      </c>
      <c r="M198">
        <f>'raw data Crude oil'!M199</f>
        <v>54.68</v>
      </c>
      <c r="N198">
        <f>'raw data Crude oil'!N199</f>
        <v>49.98</v>
      </c>
      <c r="O198">
        <f>'raw data Crude oil'!O199</f>
        <v>50.32</v>
      </c>
      <c r="P198">
        <f>'raw data Crude oil'!P199</f>
        <v>50.6</v>
      </c>
      <c r="Q198">
        <f>'raw data Crude oil'!Q199</f>
        <v>50.79</v>
      </c>
      <c r="R198">
        <f>'raw data Crude oil'!R199</f>
        <v>50.92</v>
      </c>
      <c r="S198">
        <f>'raw data Crude oil'!S199</f>
        <v>50.99</v>
      </c>
      <c r="T198">
        <f>'raw data Crude oil'!T199</f>
        <v>51.01</v>
      </c>
      <c r="U198">
        <f>'raw data Crude oil'!U199</f>
        <v>50.99</v>
      </c>
      <c r="V198">
        <f>'raw data Crude oil'!V199</f>
        <v>50.93</v>
      </c>
      <c r="W198">
        <f>'raw data Crude oil'!W199</f>
        <v>50.86</v>
      </c>
      <c r="X198">
        <f>'raw data Crude oil'!X199</f>
        <v>50.8</v>
      </c>
      <c r="Y198">
        <f>'raw data Crude oil'!Y199</f>
        <v>50.74</v>
      </c>
      <c r="Z198">
        <f>'raw data Crude oil'!Z199</f>
        <v>0</v>
      </c>
      <c r="AA198">
        <f>'raw data Crude oil'!AA199</f>
        <v>0</v>
      </c>
      <c r="AB198">
        <f>'raw data Crude oil'!AB199</f>
        <v>0</v>
      </c>
      <c r="AC198">
        <f>'raw data Crude oil'!AC199</f>
        <v>0</v>
      </c>
      <c r="AD198">
        <f>'raw data Crude oil'!AD199</f>
        <v>0</v>
      </c>
      <c r="AE198">
        <f>'raw data Crude oil'!AE199</f>
        <v>0</v>
      </c>
      <c r="AF198">
        <f>'raw data Crude oil'!AF199</f>
        <v>0</v>
      </c>
      <c r="AG198">
        <f>'raw data Crude oil'!AG199</f>
        <v>0</v>
      </c>
      <c r="AH198">
        <f>'raw data Crude oil'!AH199</f>
        <v>0</v>
      </c>
      <c r="AI198">
        <f>'raw data Crude oil'!AI199</f>
        <v>0</v>
      </c>
      <c r="AJ198">
        <f>'raw data Crude oil'!AJ199</f>
        <v>0</v>
      </c>
      <c r="AK198">
        <f>'raw data Crude oil'!AK199</f>
        <v>0</v>
      </c>
    </row>
    <row r="199" spans="1:37" x14ac:dyDescent="0.3">
      <c r="A199" s="18">
        <f>'raw data Crude oil'!A200</f>
        <v>43013</v>
      </c>
      <c r="B199">
        <f>'raw data Crude oil'!B200</f>
        <v>57</v>
      </c>
      <c r="C199">
        <f>'raw data Crude oil'!C200</f>
        <v>56.71</v>
      </c>
      <c r="D199">
        <f>'raw data Crude oil'!D200</f>
        <v>56.46</v>
      </c>
      <c r="E199">
        <f>'raw data Crude oil'!E200</f>
        <v>56.29</v>
      </c>
      <c r="F199">
        <f>'raw data Crude oil'!F200</f>
        <v>56.18</v>
      </c>
      <c r="G199">
        <f>'raw data Crude oil'!G200</f>
        <v>56.08</v>
      </c>
      <c r="H199">
        <f>'raw data Crude oil'!H200</f>
        <v>55.96</v>
      </c>
      <c r="I199">
        <f>'raw data Crude oil'!I200</f>
        <v>55.86</v>
      </c>
      <c r="J199">
        <f>'raw data Crude oil'!J200</f>
        <v>55.75</v>
      </c>
      <c r="K199">
        <f>'raw data Crude oil'!K200</f>
        <v>55.64</v>
      </c>
      <c r="L199">
        <f>'raw data Crude oil'!L200</f>
        <v>55.54</v>
      </c>
      <c r="M199">
        <f>'raw data Crude oil'!M200</f>
        <v>55.46</v>
      </c>
      <c r="N199">
        <f>'raw data Crude oil'!N200</f>
        <v>50.79</v>
      </c>
      <c r="O199">
        <f>'raw data Crude oil'!O200</f>
        <v>51.15</v>
      </c>
      <c r="P199">
        <f>'raw data Crude oil'!P200</f>
        <v>51.44</v>
      </c>
      <c r="Q199">
        <f>'raw data Crude oil'!Q200</f>
        <v>51.64</v>
      </c>
      <c r="R199">
        <f>'raw data Crude oil'!R200</f>
        <v>51.77</v>
      </c>
      <c r="S199">
        <f>'raw data Crude oil'!S200</f>
        <v>51.84</v>
      </c>
      <c r="T199">
        <f>'raw data Crude oil'!T200</f>
        <v>51.85</v>
      </c>
      <c r="U199">
        <f>'raw data Crude oil'!U200</f>
        <v>51.82</v>
      </c>
      <c r="V199">
        <f>'raw data Crude oil'!V200</f>
        <v>51.74</v>
      </c>
      <c r="W199">
        <f>'raw data Crude oil'!W200</f>
        <v>51.66</v>
      </c>
      <c r="X199">
        <f>'raw data Crude oil'!X200</f>
        <v>51.58</v>
      </c>
      <c r="Y199">
        <f>'raw data Crude oil'!Y200</f>
        <v>51.51</v>
      </c>
      <c r="Z199">
        <f>'raw data Crude oil'!Z200</f>
        <v>0</v>
      </c>
      <c r="AA199">
        <f>'raw data Crude oil'!AA200</f>
        <v>0</v>
      </c>
      <c r="AB199">
        <f>'raw data Crude oil'!AB200</f>
        <v>0</v>
      </c>
      <c r="AC199">
        <f>'raw data Crude oil'!AC200</f>
        <v>0</v>
      </c>
      <c r="AD199">
        <f>'raw data Crude oil'!AD200</f>
        <v>0</v>
      </c>
      <c r="AE199">
        <f>'raw data Crude oil'!AE200</f>
        <v>0</v>
      </c>
      <c r="AF199">
        <f>'raw data Crude oil'!AF200</f>
        <v>0</v>
      </c>
      <c r="AG199">
        <f>'raw data Crude oil'!AG200</f>
        <v>0</v>
      </c>
      <c r="AH199">
        <f>'raw data Crude oil'!AH200</f>
        <v>0</v>
      </c>
      <c r="AI199">
        <f>'raw data Crude oil'!AI200</f>
        <v>0</v>
      </c>
      <c r="AJ199">
        <f>'raw data Crude oil'!AJ200</f>
        <v>0</v>
      </c>
      <c r="AK199">
        <f>'raw data Crude oil'!AK200</f>
        <v>0</v>
      </c>
    </row>
    <row r="200" spans="1:37" x14ac:dyDescent="0.3">
      <c r="A200" s="18">
        <f>'raw data Crude oil'!A201</f>
        <v>43014</v>
      </c>
      <c r="B200">
        <f>'raw data Crude oil'!B201</f>
        <v>55.62</v>
      </c>
      <c r="C200">
        <f>'raw data Crude oil'!C201</f>
        <v>55.36</v>
      </c>
      <c r="D200">
        <f>'raw data Crude oil'!D201</f>
        <v>55.13</v>
      </c>
      <c r="E200">
        <f>'raw data Crude oil'!E201</f>
        <v>54.98</v>
      </c>
      <c r="F200">
        <f>'raw data Crude oil'!F201</f>
        <v>54.87</v>
      </c>
      <c r="G200">
        <f>'raw data Crude oil'!G201</f>
        <v>54.77</v>
      </c>
      <c r="H200">
        <f>'raw data Crude oil'!H201</f>
        <v>54.66</v>
      </c>
      <c r="I200">
        <f>'raw data Crude oil'!I201</f>
        <v>54.58</v>
      </c>
      <c r="J200">
        <f>'raw data Crude oil'!J201</f>
        <v>54.48</v>
      </c>
      <c r="K200">
        <f>'raw data Crude oil'!K201</f>
        <v>54.38</v>
      </c>
      <c r="L200">
        <f>'raw data Crude oil'!L201</f>
        <v>54.29</v>
      </c>
      <c r="M200">
        <f>'raw data Crude oil'!M201</f>
        <v>54.22</v>
      </c>
      <c r="N200">
        <f>'raw data Crude oil'!N201</f>
        <v>49.29</v>
      </c>
      <c r="O200">
        <f>'raw data Crude oil'!O201</f>
        <v>49.65</v>
      </c>
      <c r="P200">
        <f>'raw data Crude oil'!P201</f>
        <v>49.92</v>
      </c>
      <c r="Q200">
        <f>'raw data Crude oil'!Q201</f>
        <v>50.12</v>
      </c>
      <c r="R200">
        <f>'raw data Crude oil'!R201</f>
        <v>50.27</v>
      </c>
      <c r="S200">
        <f>'raw data Crude oil'!S201</f>
        <v>50.36</v>
      </c>
      <c r="T200">
        <f>'raw data Crude oil'!T201</f>
        <v>50.4</v>
      </c>
      <c r="U200">
        <f>'raw data Crude oil'!U201</f>
        <v>50.41</v>
      </c>
      <c r="V200">
        <f>'raw data Crude oil'!V201</f>
        <v>50.38</v>
      </c>
      <c r="W200">
        <f>'raw data Crude oil'!W201</f>
        <v>50.34</v>
      </c>
      <c r="X200">
        <f>'raw data Crude oil'!X201</f>
        <v>50.31</v>
      </c>
      <c r="Y200">
        <f>'raw data Crude oil'!Y201</f>
        <v>50.27</v>
      </c>
      <c r="Z200">
        <f>'raw data Crude oil'!Z201</f>
        <v>0</v>
      </c>
      <c r="AA200">
        <f>'raw data Crude oil'!AA201</f>
        <v>0</v>
      </c>
      <c r="AB200">
        <f>'raw data Crude oil'!AB201</f>
        <v>0</v>
      </c>
      <c r="AC200">
        <f>'raw data Crude oil'!AC201</f>
        <v>0</v>
      </c>
      <c r="AD200">
        <f>'raw data Crude oil'!AD201</f>
        <v>0</v>
      </c>
      <c r="AE200">
        <f>'raw data Crude oil'!AE201</f>
        <v>0</v>
      </c>
      <c r="AF200">
        <f>'raw data Crude oil'!AF201</f>
        <v>0</v>
      </c>
      <c r="AG200">
        <f>'raw data Crude oil'!AG201</f>
        <v>0</v>
      </c>
      <c r="AH200">
        <f>'raw data Crude oil'!AH201</f>
        <v>0</v>
      </c>
      <c r="AI200">
        <f>'raw data Crude oil'!AI201</f>
        <v>0</v>
      </c>
      <c r="AJ200">
        <f>'raw data Crude oil'!AJ201</f>
        <v>0</v>
      </c>
      <c r="AK200">
        <f>'raw data Crude oil'!AK201</f>
        <v>0</v>
      </c>
    </row>
    <row r="201" spans="1:37" x14ac:dyDescent="0.3">
      <c r="A201" s="18">
        <f>'raw data Crude oil'!A202</f>
        <v>43017</v>
      </c>
      <c r="B201">
        <f>'raw data Crude oil'!B202</f>
        <v>55.79</v>
      </c>
      <c r="C201">
        <f>'raw data Crude oil'!C202</f>
        <v>55.54</v>
      </c>
      <c r="D201">
        <f>'raw data Crude oil'!D202</f>
        <v>55.3</v>
      </c>
      <c r="E201">
        <f>'raw data Crude oil'!E202</f>
        <v>55.14</v>
      </c>
      <c r="F201">
        <f>'raw data Crude oil'!F202</f>
        <v>55.03</v>
      </c>
      <c r="G201">
        <f>'raw data Crude oil'!G202</f>
        <v>54.92</v>
      </c>
      <c r="H201">
        <f>'raw data Crude oil'!H202</f>
        <v>54.8</v>
      </c>
      <c r="I201">
        <f>'raw data Crude oil'!I202</f>
        <v>54.71</v>
      </c>
      <c r="J201">
        <f>'raw data Crude oil'!J202</f>
        <v>54.61</v>
      </c>
      <c r="K201">
        <f>'raw data Crude oil'!K202</f>
        <v>54.51</v>
      </c>
      <c r="L201">
        <f>'raw data Crude oil'!L202</f>
        <v>54.43</v>
      </c>
      <c r="M201">
        <f>'raw data Crude oil'!M202</f>
        <v>54.36</v>
      </c>
      <c r="N201">
        <f>'raw data Crude oil'!N202</f>
        <v>49.58</v>
      </c>
      <c r="O201">
        <f>'raw data Crude oil'!O202</f>
        <v>49.93</v>
      </c>
      <c r="P201">
        <f>'raw data Crude oil'!P202</f>
        <v>50.18</v>
      </c>
      <c r="Q201">
        <f>'raw data Crude oil'!Q202</f>
        <v>50.38</v>
      </c>
      <c r="R201">
        <f>'raw data Crude oil'!R202</f>
        <v>50.53</v>
      </c>
      <c r="S201">
        <f>'raw data Crude oil'!S202</f>
        <v>50.63</v>
      </c>
      <c r="T201">
        <f>'raw data Crude oil'!T202</f>
        <v>50.68</v>
      </c>
      <c r="U201">
        <f>'raw data Crude oil'!U202</f>
        <v>50.7</v>
      </c>
      <c r="V201">
        <f>'raw data Crude oil'!V202</f>
        <v>50.68</v>
      </c>
      <c r="W201">
        <f>'raw data Crude oil'!W202</f>
        <v>50.64</v>
      </c>
      <c r="X201">
        <f>'raw data Crude oil'!X202</f>
        <v>50.6</v>
      </c>
      <c r="Y201">
        <f>'raw data Crude oil'!Y202</f>
        <v>50.56</v>
      </c>
      <c r="Z201">
        <f>'raw data Crude oil'!Z202</f>
        <v>0</v>
      </c>
      <c r="AA201">
        <f>'raw data Crude oil'!AA202</f>
        <v>0</v>
      </c>
      <c r="AB201">
        <f>'raw data Crude oil'!AB202</f>
        <v>0</v>
      </c>
      <c r="AC201">
        <f>'raw data Crude oil'!AC202</f>
        <v>0</v>
      </c>
      <c r="AD201">
        <f>'raw data Crude oil'!AD202</f>
        <v>0</v>
      </c>
      <c r="AE201">
        <f>'raw data Crude oil'!AE202</f>
        <v>0</v>
      </c>
      <c r="AF201">
        <f>'raw data Crude oil'!AF202</f>
        <v>0</v>
      </c>
      <c r="AG201">
        <f>'raw data Crude oil'!AG202</f>
        <v>0</v>
      </c>
      <c r="AH201">
        <f>'raw data Crude oil'!AH202</f>
        <v>0</v>
      </c>
      <c r="AI201">
        <f>'raw data Crude oil'!AI202</f>
        <v>0</v>
      </c>
      <c r="AJ201">
        <f>'raw data Crude oil'!AJ202</f>
        <v>0</v>
      </c>
      <c r="AK201">
        <f>'raw data Crude oil'!AK202</f>
        <v>0</v>
      </c>
    </row>
    <row r="202" spans="1:37" x14ac:dyDescent="0.3">
      <c r="A202" s="18">
        <f>'raw data Crude oil'!A203</f>
        <v>43018</v>
      </c>
      <c r="B202">
        <f>'raw data Crude oil'!B203</f>
        <v>56.61</v>
      </c>
      <c r="C202">
        <f>'raw data Crude oil'!C203</f>
        <v>56.36</v>
      </c>
      <c r="D202">
        <f>'raw data Crude oil'!D203</f>
        <v>56.12</v>
      </c>
      <c r="E202">
        <f>'raw data Crude oil'!E203</f>
        <v>55.96</v>
      </c>
      <c r="F202">
        <f>'raw data Crude oil'!F203</f>
        <v>55.84</v>
      </c>
      <c r="G202">
        <f>'raw data Crude oil'!G203</f>
        <v>55.72</v>
      </c>
      <c r="H202">
        <f>'raw data Crude oil'!H203</f>
        <v>55.59</v>
      </c>
      <c r="I202">
        <f>'raw data Crude oil'!I203</f>
        <v>55.47</v>
      </c>
      <c r="J202">
        <f>'raw data Crude oil'!J203</f>
        <v>55.35</v>
      </c>
      <c r="K202">
        <f>'raw data Crude oil'!K203</f>
        <v>55.23</v>
      </c>
      <c r="L202">
        <f>'raw data Crude oil'!L203</f>
        <v>55.12</v>
      </c>
      <c r="M202">
        <f>'raw data Crude oil'!M203</f>
        <v>55.03</v>
      </c>
      <c r="N202">
        <f>'raw data Crude oil'!N203</f>
        <v>50.92</v>
      </c>
      <c r="O202">
        <f>'raw data Crude oil'!O203</f>
        <v>51.23</v>
      </c>
      <c r="P202">
        <f>'raw data Crude oil'!P203</f>
        <v>51.43</v>
      </c>
      <c r="Q202">
        <f>'raw data Crude oil'!Q203</f>
        <v>51.58</v>
      </c>
      <c r="R202">
        <f>'raw data Crude oil'!R203</f>
        <v>51.68</v>
      </c>
      <c r="S202">
        <f>'raw data Crude oil'!S203</f>
        <v>51.73</v>
      </c>
      <c r="T202">
        <f>'raw data Crude oil'!T203</f>
        <v>51.74</v>
      </c>
      <c r="U202">
        <f>'raw data Crude oil'!U203</f>
        <v>51.72</v>
      </c>
      <c r="V202">
        <f>'raw data Crude oil'!V203</f>
        <v>51.67</v>
      </c>
      <c r="W202">
        <f>'raw data Crude oil'!W203</f>
        <v>51.6</v>
      </c>
      <c r="X202">
        <f>'raw data Crude oil'!X203</f>
        <v>51.53</v>
      </c>
      <c r="Y202">
        <f>'raw data Crude oil'!Y203</f>
        <v>51.45</v>
      </c>
      <c r="Z202">
        <f>'raw data Crude oil'!Z203</f>
        <v>0</v>
      </c>
      <c r="AA202">
        <f>'raw data Crude oil'!AA203</f>
        <v>0</v>
      </c>
      <c r="AB202">
        <f>'raw data Crude oil'!AB203</f>
        <v>0</v>
      </c>
      <c r="AC202">
        <f>'raw data Crude oil'!AC203</f>
        <v>0</v>
      </c>
      <c r="AD202">
        <f>'raw data Crude oil'!AD203</f>
        <v>0</v>
      </c>
      <c r="AE202">
        <f>'raw data Crude oil'!AE203</f>
        <v>0</v>
      </c>
      <c r="AF202">
        <f>'raw data Crude oil'!AF203</f>
        <v>0</v>
      </c>
      <c r="AG202">
        <f>'raw data Crude oil'!AG203</f>
        <v>0</v>
      </c>
      <c r="AH202">
        <f>'raw data Crude oil'!AH203</f>
        <v>0</v>
      </c>
      <c r="AI202">
        <f>'raw data Crude oil'!AI203</f>
        <v>0</v>
      </c>
      <c r="AJ202">
        <f>'raw data Crude oil'!AJ203</f>
        <v>0</v>
      </c>
      <c r="AK202">
        <f>'raw data Crude oil'!AK203</f>
        <v>0</v>
      </c>
    </row>
    <row r="203" spans="1:37" x14ac:dyDescent="0.3">
      <c r="A203" s="18">
        <f>'raw data Crude oil'!A204</f>
        <v>43019</v>
      </c>
      <c r="B203">
        <f>'raw data Crude oil'!B204</f>
        <v>56.94</v>
      </c>
      <c r="C203">
        <f>'raw data Crude oil'!C204</f>
        <v>56.73</v>
      </c>
      <c r="D203">
        <f>'raw data Crude oil'!D204</f>
        <v>56.52</v>
      </c>
      <c r="E203">
        <f>'raw data Crude oil'!E204</f>
        <v>56.39</v>
      </c>
      <c r="F203">
        <f>'raw data Crude oil'!F204</f>
        <v>56.28</v>
      </c>
      <c r="G203">
        <f>'raw data Crude oil'!G204</f>
        <v>56.17</v>
      </c>
      <c r="H203">
        <f>'raw data Crude oil'!H204</f>
        <v>56.04</v>
      </c>
      <c r="I203">
        <f>'raw data Crude oil'!I204</f>
        <v>55.93</v>
      </c>
      <c r="J203">
        <f>'raw data Crude oil'!J204</f>
        <v>55.81</v>
      </c>
      <c r="K203">
        <f>'raw data Crude oil'!K204</f>
        <v>55.67</v>
      </c>
      <c r="L203">
        <f>'raw data Crude oil'!L204</f>
        <v>55.55</v>
      </c>
      <c r="M203">
        <f>'raw data Crude oil'!M204</f>
        <v>55.44</v>
      </c>
      <c r="N203">
        <f>'raw data Crude oil'!N204</f>
        <v>51.3</v>
      </c>
      <c r="O203">
        <f>'raw data Crude oil'!O204</f>
        <v>51.6</v>
      </c>
      <c r="P203">
        <f>'raw data Crude oil'!P204</f>
        <v>51.8</v>
      </c>
      <c r="Q203">
        <f>'raw data Crude oil'!Q204</f>
        <v>51.95</v>
      </c>
      <c r="R203">
        <f>'raw data Crude oil'!R204</f>
        <v>52.05</v>
      </c>
      <c r="S203">
        <f>'raw data Crude oil'!S204</f>
        <v>52.09</v>
      </c>
      <c r="T203">
        <f>'raw data Crude oil'!T204</f>
        <v>52.09</v>
      </c>
      <c r="U203">
        <f>'raw data Crude oil'!U204</f>
        <v>52.06</v>
      </c>
      <c r="V203">
        <f>'raw data Crude oil'!V204</f>
        <v>52.01</v>
      </c>
      <c r="W203">
        <f>'raw data Crude oil'!W204</f>
        <v>51.94</v>
      </c>
      <c r="X203">
        <f>'raw data Crude oil'!X204</f>
        <v>51.87</v>
      </c>
      <c r="Y203">
        <f>'raw data Crude oil'!Y204</f>
        <v>51.79</v>
      </c>
      <c r="Z203">
        <f>'raw data Crude oil'!Z204</f>
        <v>0</v>
      </c>
      <c r="AA203">
        <f>'raw data Crude oil'!AA204</f>
        <v>0</v>
      </c>
      <c r="AB203">
        <f>'raw data Crude oil'!AB204</f>
        <v>0</v>
      </c>
      <c r="AC203">
        <f>'raw data Crude oil'!AC204</f>
        <v>0</v>
      </c>
      <c r="AD203">
        <f>'raw data Crude oil'!AD204</f>
        <v>0</v>
      </c>
      <c r="AE203">
        <f>'raw data Crude oil'!AE204</f>
        <v>0</v>
      </c>
      <c r="AF203">
        <f>'raw data Crude oil'!AF204</f>
        <v>0</v>
      </c>
      <c r="AG203">
        <f>'raw data Crude oil'!AG204</f>
        <v>0</v>
      </c>
      <c r="AH203">
        <f>'raw data Crude oil'!AH204</f>
        <v>0</v>
      </c>
      <c r="AI203">
        <f>'raw data Crude oil'!AI204</f>
        <v>0</v>
      </c>
      <c r="AJ203">
        <f>'raw data Crude oil'!AJ204</f>
        <v>0</v>
      </c>
      <c r="AK203">
        <f>'raw data Crude oil'!AK204</f>
        <v>0</v>
      </c>
    </row>
    <row r="204" spans="1:37" x14ac:dyDescent="0.3">
      <c r="A204" s="18">
        <f>'raw data Crude oil'!A205</f>
        <v>43020</v>
      </c>
      <c r="B204">
        <f>'raw data Crude oil'!B205</f>
        <v>56.25</v>
      </c>
      <c r="C204">
        <f>'raw data Crude oil'!C205</f>
        <v>56.07</v>
      </c>
      <c r="D204">
        <f>'raw data Crude oil'!D205</f>
        <v>55.89</v>
      </c>
      <c r="E204">
        <f>'raw data Crude oil'!E205</f>
        <v>55.77</v>
      </c>
      <c r="F204">
        <f>'raw data Crude oil'!F205</f>
        <v>55.69</v>
      </c>
      <c r="G204">
        <f>'raw data Crude oil'!G205</f>
        <v>55.61</v>
      </c>
      <c r="H204">
        <f>'raw data Crude oil'!H205</f>
        <v>55.51</v>
      </c>
      <c r="I204">
        <f>'raw data Crude oil'!I205</f>
        <v>55.42</v>
      </c>
      <c r="J204">
        <f>'raw data Crude oil'!J205</f>
        <v>55.31</v>
      </c>
      <c r="K204">
        <f>'raw data Crude oil'!K205</f>
        <v>55.18</v>
      </c>
      <c r="L204">
        <f>'raw data Crude oil'!L205</f>
        <v>55.07</v>
      </c>
      <c r="M204">
        <f>'raw data Crude oil'!M205</f>
        <v>54.97</v>
      </c>
      <c r="N204">
        <f>'raw data Crude oil'!N205</f>
        <v>50.6</v>
      </c>
      <c r="O204">
        <f>'raw data Crude oil'!O205</f>
        <v>50.93</v>
      </c>
      <c r="P204">
        <f>'raw data Crude oil'!P205</f>
        <v>51.15</v>
      </c>
      <c r="Q204">
        <f>'raw data Crude oil'!Q205</f>
        <v>51.33</v>
      </c>
      <c r="R204">
        <f>'raw data Crude oil'!R205</f>
        <v>51.47</v>
      </c>
      <c r="S204">
        <f>'raw data Crude oil'!S205</f>
        <v>51.55</v>
      </c>
      <c r="T204">
        <f>'raw data Crude oil'!T205</f>
        <v>51.58</v>
      </c>
      <c r="U204">
        <f>'raw data Crude oil'!U205</f>
        <v>51.58</v>
      </c>
      <c r="V204">
        <f>'raw data Crude oil'!V205</f>
        <v>51.55</v>
      </c>
      <c r="W204">
        <f>'raw data Crude oil'!W205</f>
        <v>51.49</v>
      </c>
      <c r="X204">
        <f>'raw data Crude oil'!X205</f>
        <v>51.42</v>
      </c>
      <c r="Y204">
        <f>'raw data Crude oil'!Y205</f>
        <v>51.36</v>
      </c>
      <c r="Z204">
        <f>'raw data Crude oil'!Z205</f>
        <v>0</v>
      </c>
      <c r="AA204">
        <f>'raw data Crude oil'!AA205</f>
        <v>0</v>
      </c>
      <c r="AB204">
        <f>'raw data Crude oil'!AB205</f>
        <v>0</v>
      </c>
      <c r="AC204">
        <f>'raw data Crude oil'!AC205</f>
        <v>0</v>
      </c>
      <c r="AD204">
        <f>'raw data Crude oil'!AD205</f>
        <v>0</v>
      </c>
      <c r="AE204">
        <f>'raw data Crude oil'!AE205</f>
        <v>0</v>
      </c>
      <c r="AF204">
        <f>'raw data Crude oil'!AF205</f>
        <v>0</v>
      </c>
      <c r="AG204">
        <f>'raw data Crude oil'!AG205</f>
        <v>0</v>
      </c>
      <c r="AH204">
        <f>'raw data Crude oil'!AH205</f>
        <v>0</v>
      </c>
      <c r="AI204">
        <f>'raw data Crude oil'!AI205</f>
        <v>0</v>
      </c>
      <c r="AJ204">
        <f>'raw data Crude oil'!AJ205</f>
        <v>0</v>
      </c>
      <c r="AK204">
        <f>'raw data Crude oil'!AK205</f>
        <v>0</v>
      </c>
    </row>
    <row r="205" spans="1:37" x14ac:dyDescent="0.3">
      <c r="A205" s="18">
        <f>'raw data Crude oil'!A206</f>
        <v>43021</v>
      </c>
      <c r="B205">
        <f>'raw data Crude oil'!B206</f>
        <v>57.17</v>
      </c>
      <c r="C205">
        <f>'raw data Crude oil'!C206</f>
        <v>56.95</v>
      </c>
      <c r="D205">
        <f>'raw data Crude oil'!D206</f>
        <v>56.71</v>
      </c>
      <c r="E205">
        <f>'raw data Crude oil'!E206</f>
        <v>56.54</v>
      </c>
      <c r="F205">
        <f>'raw data Crude oil'!F206</f>
        <v>56.43</v>
      </c>
      <c r="G205">
        <f>'raw data Crude oil'!G206</f>
        <v>56.33</v>
      </c>
      <c r="H205">
        <f>'raw data Crude oil'!H206</f>
        <v>56.21</v>
      </c>
      <c r="I205">
        <f>'raw data Crude oil'!I206</f>
        <v>56.09</v>
      </c>
      <c r="J205">
        <f>'raw data Crude oil'!J206</f>
        <v>55.96</v>
      </c>
      <c r="K205">
        <f>'raw data Crude oil'!K206</f>
        <v>55.81</v>
      </c>
      <c r="L205">
        <f>'raw data Crude oil'!L206</f>
        <v>55.67</v>
      </c>
      <c r="M205">
        <f>'raw data Crude oil'!M206</f>
        <v>55.54</v>
      </c>
      <c r="N205">
        <f>'raw data Crude oil'!N206</f>
        <v>51.45</v>
      </c>
      <c r="O205">
        <f>'raw data Crude oil'!O206</f>
        <v>51.73</v>
      </c>
      <c r="P205">
        <f>'raw data Crude oil'!P206</f>
        <v>51.94</v>
      </c>
      <c r="Q205">
        <f>'raw data Crude oil'!Q206</f>
        <v>52.1</v>
      </c>
      <c r="R205">
        <f>'raw data Crude oil'!R206</f>
        <v>52.21</v>
      </c>
      <c r="S205">
        <f>'raw data Crude oil'!S206</f>
        <v>52.26</v>
      </c>
      <c r="T205">
        <f>'raw data Crude oil'!T206</f>
        <v>52.26</v>
      </c>
      <c r="U205">
        <f>'raw data Crude oil'!U206</f>
        <v>52.23</v>
      </c>
      <c r="V205">
        <f>'raw data Crude oil'!V206</f>
        <v>52.17</v>
      </c>
      <c r="W205">
        <f>'raw data Crude oil'!W206</f>
        <v>52.1</v>
      </c>
      <c r="X205">
        <f>'raw data Crude oil'!X206</f>
        <v>52.01</v>
      </c>
      <c r="Y205">
        <f>'raw data Crude oil'!Y206</f>
        <v>51.93</v>
      </c>
      <c r="Z205">
        <f>'raw data Crude oil'!Z206</f>
        <v>0</v>
      </c>
      <c r="AA205">
        <f>'raw data Crude oil'!AA206</f>
        <v>0</v>
      </c>
      <c r="AB205">
        <f>'raw data Crude oil'!AB206</f>
        <v>0</v>
      </c>
      <c r="AC205">
        <f>'raw data Crude oil'!AC206</f>
        <v>0</v>
      </c>
      <c r="AD205">
        <f>'raw data Crude oil'!AD206</f>
        <v>0</v>
      </c>
      <c r="AE205">
        <f>'raw data Crude oil'!AE206</f>
        <v>0</v>
      </c>
      <c r="AF205">
        <f>'raw data Crude oil'!AF206</f>
        <v>0</v>
      </c>
      <c r="AG205">
        <f>'raw data Crude oil'!AG206</f>
        <v>0</v>
      </c>
      <c r="AH205">
        <f>'raw data Crude oil'!AH206</f>
        <v>0</v>
      </c>
      <c r="AI205">
        <f>'raw data Crude oil'!AI206</f>
        <v>0</v>
      </c>
      <c r="AJ205">
        <f>'raw data Crude oil'!AJ206</f>
        <v>0</v>
      </c>
      <c r="AK205">
        <f>'raw data Crude oil'!AK206</f>
        <v>0</v>
      </c>
    </row>
    <row r="206" spans="1:37" x14ac:dyDescent="0.3">
      <c r="A206" s="18">
        <f>'raw data Crude oil'!A207</f>
        <v>43024</v>
      </c>
      <c r="B206">
        <f>'raw data Crude oil'!B207</f>
        <v>57.82</v>
      </c>
      <c r="C206">
        <f>'raw data Crude oil'!C207</f>
        <v>57.56</v>
      </c>
      <c r="D206">
        <f>'raw data Crude oil'!D207</f>
        <v>57.28</v>
      </c>
      <c r="E206">
        <f>'raw data Crude oil'!E207</f>
        <v>57.07</v>
      </c>
      <c r="F206">
        <f>'raw data Crude oil'!F207</f>
        <v>56.93</v>
      </c>
      <c r="G206">
        <f>'raw data Crude oil'!G207</f>
        <v>56.82</v>
      </c>
      <c r="H206">
        <f>'raw data Crude oil'!H207</f>
        <v>56.69</v>
      </c>
      <c r="I206">
        <f>'raw data Crude oil'!I207</f>
        <v>56.55</v>
      </c>
      <c r="J206">
        <f>'raw data Crude oil'!J207</f>
        <v>56.4</v>
      </c>
      <c r="K206">
        <f>'raw data Crude oil'!K207</f>
        <v>56.23</v>
      </c>
      <c r="L206">
        <f>'raw data Crude oil'!L207</f>
        <v>56.06</v>
      </c>
      <c r="M206">
        <f>'raw data Crude oil'!M207</f>
        <v>55.91</v>
      </c>
      <c r="N206">
        <f>'raw data Crude oil'!N207</f>
        <v>51.87</v>
      </c>
      <c r="O206">
        <f>'raw data Crude oil'!O207</f>
        <v>52.14</v>
      </c>
      <c r="P206">
        <f>'raw data Crude oil'!P207</f>
        <v>52.34</v>
      </c>
      <c r="Q206">
        <f>'raw data Crude oil'!Q207</f>
        <v>52.49</v>
      </c>
      <c r="R206">
        <f>'raw data Crude oil'!R207</f>
        <v>52.59</v>
      </c>
      <c r="S206">
        <f>'raw data Crude oil'!S207</f>
        <v>52.63</v>
      </c>
      <c r="T206">
        <f>'raw data Crude oil'!T207</f>
        <v>52.62</v>
      </c>
      <c r="U206">
        <f>'raw data Crude oil'!U207</f>
        <v>52.57</v>
      </c>
      <c r="V206">
        <f>'raw data Crude oil'!V207</f>
        <v>52.47</v>
      </c>
      <c r="W206">
        <f>'raw data Crude oil'!W207</f>
        <v>52.36</v>
      </c>
      <c r="X206">
        <f>'raw data Crude oil'!X207</f>
        <v>52.25</v>
      </c>
      <c r="Y206">
        <f>'raw data Crude oil'!Y207</f>
        <v>52.14</v>
      </c>
      <c r="Z206">
        <f>'raw data Crude oil'!Z207</f>
        <v>0</v>
      </c>
      <c r="AA206">
        <f>'raw data Crude oil'!AA207</f>
        <v>0</v>
      </c>
      <c r="AB206">
        <f>'raw data Crude oil'!AB207</f>
        <v>0</v>
      </c>
      <c r="AC206">
        <f>'raw data Crude oil'!AC207</f>
        <v>0</v>
      </c>
      <c r="AD206">
        <f>'raw data Crude oil'!AD207</f>
        <v>0</v>
      </c>
      <c r="AE206">
        <f>'raw data Crude oil'!AE207</f>
        <v>0</v>
      </c>
      <c r="AF206">
        <f>'raw data Crude oil'!AF207</f>
        <v>0</v>
      </c>
      <c r="AG206">
        <f>'raw data Crude oil'!AG207</f>
        <v>0</v>
      </c>
      <c r="AH206">
        <f>'raw data Crude oil'!AH207</f>
        <v>0</v>
      </c>
      <c r="AI206">
        <f>'raw data Crude oil'!AI207</f>
        <v>0</v>
      </c>
      <c r="AJ206">
        <f>'raw data Crude oil'!AJ207</f>
        <v>0</v>
      </c>
      <c r="AK206">
        <f>'raw data Crude oil'!AK207</f>
        <v>0</v>
      </c>
    </row>
    <row r="207" spans="1:37" x14ac:dyDescent="0.3">
      <c r="A207" s="18">
        <f>'raw data Crude oil'!A208</f>
        <v>43025</v>
      </c>
      <c r="B207">
        <f>'raw data Crude oil'!B208</f>
        <v>57.88</v>
      </c>
      <c r="C207">
        <f>'raw data Crude oil'!C208</f>
        <v>57.54</v>
      </c>
      <c r="D207">
        <f>'raw data Crude oil'!D208</f>
        <v>57.21</v>
      </c>
      <c r="E207">
        <f>'raw data Crude oil'!E208</f>
        <v>56.97</v>
      </c>
      <c r="F207">
        <f>'raw data Crude oil'!F208</f>
        <v>56.81</v>
      </c>
      <c r="G207">
        <f>'raw data Crude oil'!G208</f>
        <v>56.68</v>
      </c>
      <c r="H207">
        <f>'raw data Crude oil'!H208</f>
        <v>56.53</v>
      </c>
      <c r="I207">
        <f>'raw data Crude oil'!I208</f>
        <v>56.38</v>
      </c>
      <c r="J207">
        <f>'raw data Crude oil'!J208</f>
        <v>56.22</v>
      </c>
      <c r="K207">
        <f>'raw data Crude oil'!K208</f>
        <v>56.04</v>
      </c>
      <c r="L207">
        <f>'raw data Crude oil'!L208</f>
        <v>55.88</v>
      </c>
      <c r="M207">
        <f>'raw data Crude oil'!M208</f>
        <v>55.73</v>
      </c>
      <c r="N207">
        <f>'raw data Crude oil'!N208</f>
        <v>51.88</v>
      </c>
      <c r="O207">
        <f>'raw data Crude oil'!O208</f>
        <v>52.11</v>
      </c>
      <c r="P207">
        <f>'raw data Crude oil'!P208</f>
        <v>52.28</v>
      </c>
      <c r="Q207">
        <f>'raw data Crude oil'!Q208</f>
        <v>52.39</v>
      </c>
      <c r="R207">
        <f>'raw data Crude oil'!R208</f>
        <v>52.46</v>
      </c>
      <c r="S207">
        <f>'raw data Crude oil'!S208</f>
        <v>52.47</v>
      </c>
      <c r="T207">
        <f>'raw data Crude oil'!T208</f>
        <v>52.43</v>
      </c>
      <c r="U207">
        <f>'raw data Crude oil'!U208</f>
        <v>52.35</v>
      </c>
      <c r="V207">
        <f>'raw data Crude oil'!V208</f>
        <v>52.23</v>
      </c>
      <c r="W207">
        <f>'raw data Crude oil'!W208</f>
        <v>52.11</v>
      </c>
      <c r="X207">
        <f>'raw data Crude oil'!X208</f>
        <v>51.98</v>
      </c>
      <c r="Y207">
        <f>'raw data Crude oil'!Y208</f>
        <v>51.87</v>
      </c>
      <c r="Z207">
        <f>'raw data Crude oil'!Z208</f>
        <v>0</v>
      </c>
      <c r="AA207">
        <f>'raw data Crude oil'!AA208</f>
        <v>0</v>
      </c>
      <c r="AB207">
        <f>'raw data Crude oil'!AB208</f>
        <v>0</v>
      </c>
      <c r="AC207">
        <f>'raw data Crude oil'!AC208</f>
        <v>0</v>
      </c>
      <c r="AD207">
        <f>'raw data Crude oil'!AD208</f>
        <v>0</v>
      </c>
      <c r="AE207">
        <f>'raw data Crude oil'!AE208</f>
        <v>0</v>
      </c>
      <c r="AF207">
        <f>'raw data Crude oil'!AF208</f>
        <v>0</v>
      </c>
      <c r="AG207">
        <f>'raw data Crude oil'!AG208</f>
        <v>0</v>
      </c>
      <c r="AH207">
        <f>'raw data Crude oil'!AH208</f>
        <v>0</v>
      </c>
      <c r="AI207">
        <f>'raw data Crude oil'!AI208</f>
        <v>0</v>
      </c>
      <c r="AJ207">
        <f>'raw data Crude oil'!AJ208</f>
        <v>0</v>
      </c>
      <c r="AK207">
        <f>'raw data Crude oil'!AK208</f>
        <v>0</v>
      </c>
    </row>
    <row r="208" spans="1:37" x14ac:dyDescent="0.3">
      <c r="A208" s="18">
        <f>'raw data Crude oil'!A209</f>
        <v>43026</v>
      </c>
      <c r="B208">
        <f>'raw data Crude oil'!B209</f>
        <v>58.15</v>
      </c>
      <c r="C208">
        <f>'raw data Crude oil'!C209</f>
        <v>57.8</v>
      </c>
      <c r="D208">
        <f>'raw data Crude oil'!D209</f>
        <v>57.48</v>
      </c>
      <c r="E208">
        <f>'raw data Crude oil'!E209</f>
        <v>57.26</v>
      </c>
      <c r="F208">
        <f>'raw data Crude oil'!F209</f>
        <v>57.11</v>
      </c>
      <c r="G208">
        <f>'raw data Crude oil'!G209</f>
        <v>56.98</v>
      </c>
      <c r="H208">
        <f>'raw data Crude oil'!H209</f>
        <v>56.83</v>
      </c>
      <c r="I208">
        <f>'raw data Crude oil'!I209</f>
        <v>56.69</v>
      </c>
      <c r="J208">
        <f>'raw data Crude oil'!J209</f>
        <v>56.53</v>
      </c>
      <c r="K208">
        <f>'raw data Crude oil'!K209</f>
        <v>56.36</v>
      </c>
      <c r="L208">
        <f>'raw data Crude oil'!L209</f>
        <v>56.2</v>
      </c>
      <c r="M208">
        <f>'raw data Crude oil'!M209</f>
        <v>56.06</v>
      </c>
      <c r="N208">
        <f>'raw data Crude oil'!N209</f>
        <v>52.04</v>
      </c>
      <c r="O208">
        <f>'raw data Crude oil'!O209</f>
        <v>52.26</v>
      </c>
      <c r="P208">
        <f>'raw data Crude oil'!P209</f>
        <v>52.45</v>
      </c>
      <c r="Q208">
        <f>'raw data Crude oil'!Q209</f>
        <v>52.56</v>
      </c>
      <c r="R208">
        <f>'raw data Crude oil'!R209</f>
        <v>52.64</v>
      </c>
      <c r="S208">
        <f>'raw data Crude oil'!S209</f>
        <v>52.66</v>
      </c>
      <c r="T208">
        <f>'raw data Crude oil'!T209</f>
        <v>52.63</v>
      </c>
      <c r="U208">
        <f>'raw data Crude oil'!U209</f>
        <v>52.56</v>
      </c>
      <c r="V208">
        <f>'raw data Crude oil'!V209</f>
        <v>52.44</v>
      </c>
      <c r="W208">
        <f>'raw data Crude oil'!W209</f>
        <v>52.31</v>
      </c>
      <c r="X208">
        <f>'raw data Crude oil'!X209</f>
        <v>52.18</v>
      </c>
      <c r="Y208">
        <f>'raw data Crude oil'!Y209</f>
        <v>52.07</v>
      </c>
      <c r="Z208">
        <f>'raw data Crude oil'!Z209</f>
        <v>0</v>
      </c>
      <c r="AA208">
        <f>'raw data Crude oil'!AA209</f>
        <v>0</v>
      </c>
      <c r="AB208">
        <f>'raw data Crude oil'!AB209</f>
        <v>0</v>
      </c>
      <c r="AC208">
        <f>'raw data Crude oil'!AC209</f>
        <v>0</v>
      </c>
      <c r="AD208">
        <f>'raw data Crude oil'!AD209</f>
        <v>0</v>
      </c>
      <c r="AE208">
        <f>'raw data Crude oil'!AE209</f>
        <v>0</v>
      </c>
      <c r="AF208">
        <f>'raw data Crude oil'!AF209</f>
        <v>0</v>
      </c>
      <c r="AG208">
        <f>'raw data Crude oil'!AG209</f>
        <v>0</v>
      </c>
      <c r="AH208">
        <f>'raw data Crude oil'!AH209</f>
        <v>0</v>
      </c>
      <c r="AI208">
        <f>'raw data Crude oil'!AI209</f>
        <v>0</v>
      </c>
      <c r="AJ208">
        <f>'raw data Crude oil'!AJ209</f>
        <v>0</v>
      </c>
      <c r="AK208">
        <f>'raw data Crude oil'!AK209</f>
        <v>0</v>
      </c>
    </row>
    <row r="209" spans="1:37" x14ac:dyDescent="0.3">
      <c r="A209" s="18">
        <f>'raw data Crude oil'!A210</f>
        <v>43027</v>
      </c>
      <c r="B209">
        <f>'raw data Crude oil'!B210</f>
        <v>57.23</v>
      </c>
      <c r="C209">
        <f>'raw data Crude oil'!C210</f>
        <v>56.98</v>
      </c>
      <c r="D209">
        <f>'raw data Crude oil'!D210</f>
        <v>56.73</v>
      </c>
      <c r="E209">
        <f>'raw data Crude oil'!E210</f>
        <v>56.57</v>
      </c>
      <c r="F209">
        <f>'raw data Crude oil'!F210</f>
        <v>56.46</v>
      </c>
      <c r="G209">
        <f>'raw data Crude oil'!G210</f>
        <v>56.34</v>
      </c>
      <c r="H209">
        <f>'raw data Crude oil'!H210</f>
        <v>56.2</v>
      </c>
      <c r="I209">
        <f>'raw data Crude oil'!I210</f>
        <v>56.08</v>
      </c>
      <c r="J209">
        <f>'raw data Crude oil'!J210</f>
        <v>55.94</v>
      </c>
      <c r="K209">
        <f>'raw data Crude oil'!K210</f>
        <v>55.8</v>
      </c>
      <c r="L209">
        <f>'raw data Crude oil'!L210</f>
        <v>55.66</v>
      </c>
      <c r="M209">
        <f>'raw data Crude oil'!M210</f>
        <v>55.54</v>
      </c>
      <c r="N209">
        <f>'raw data Crude oil'!N210</f>
        <v>51.29</v>
      </c>
      <c r="O209">
        <f>'raw data Crude oil'!O210</f>
        <v>51.51</v>
      </c>
      <c r="P209">
        <f>'raw data Crude oil'!P210</f>
        <v>51.73</v>
      </c>
      <c r="Q209">
        <f>'raw data Crude oil'!Q210</f>
        <v>51.87</v>
      </c>
      <c r="R209">
        <f>'raw data Crude oil'!R210</f>
        <v>51.97</v>
      </c>
      <c r="S209">
        <f>'raw data Crude oil'!S210</f>
        <v>52.01</v>
      </c>
      <c r="T209">
        <f>'raw data Crude oil'!T210</f>
        <v>52</v>
      </c>
      <c r="U209">
        <f>'raw data Crude oil'!U210</f>
        <v>51.94</v>
      </c>
      <c r="V209">
        <f>'raw data Crude oil'!V210</f>
        <v>51.84</v>
      </c>
      <c r="W209">
        <f>'raw data Crude oil'!W210</f>
        <v>51.73</v>
      </c>
      <c r="X209">
        <f>'raw data Crude oil'!X210</f>
        <v>51.62</v>
      </c>
      <c r="Y209">
        <f>'raw data Crude oil'!Y210</f>
        <v>51.51</v>
      </c>
      <c r="Z209">
        <f>'raw data Crude oil'!Z210</f>
        <v>0</v>
      </c>
      <c r="AA209">
        <f>'raw data Crude oil'!AA210</f>
        <v>0</v>
      </c>
      <c r="AB209">
        <f>'raw data Crude oil'!AB210</f>
        <v>0</v>
      </c>
      <c r="AC209">
        <f>'raw data Crude oil'!AC210</f>
        <v>0</v>
      </c>
      <c r="AD209">
        <f>'raw data Crude oil'!AD210</f>
        <v>0</v>
      </c>
      <c r="AE209">
        <f>'raw data Crude oil'!AE210</f>
        <v>0</v>
      </c>
      <c r="AF209">
        <f>'raw data Crude oil'!AF210</f>
        <v>0</v>
      </c>
      <c r="AG209">
        <f>'raw data Crude oil'!AG210</f>
        <v>0</v>
      </c>
      <c r="AH209">
        <f>'raw data Crude oil'!AH210</f>
        <v>0</v>
      </c>
      <c r="AI209">
        <f>'raw data Crude oil'!AI210</f>
        <v>0</v>
      </c>
      <c r="AJ209">
        <f>'raw data Crude oil'!AJ210</f>
        <v>0</v>
      </c>
      <c r="AK209">
        <f>'raw data Crude oil'!AK210</f>
        <v>0</v>
      </c>
    </row>
    <row r="210" spans="1:37" x14ac:dyDescent="0.3">
      <c r="A210" s="18">
        <f>'raw data Crude oil'!A211</f>
        <v>43028</v>
      </c>
      <c r="B210">
        <f>'raw data Crude oil'!B211</f>
        <v>57.75</v>
      </c>
      <c r="C210">
        <f>'raw data Crude oil'!C211</f>
        <v>57.58</v>
      </c>
      <c r="D210">
        <f>'raw data Crude oil'!D211</f>
        <v>57.33</v>
      </c>
      <c r="E210">
        <f>'raw data Crude oil'!E211</f>
        <v>57.17</v>
      </c>
      <c r="F210">
        <f>'raw data Crude oil'!F211</f>
        <v>57.05</v>
      </c>
      <c r="G210">
        <f>'raw data Crude oil'!G211</f>
        <v>56.93</v>
      </c>
      <c r="H210">
        <f>'raw data Crude oil'!H211</f>
        <v>56.77</v>
      </c>
      <c r="I210">
        <f>'raw data Crude oil'!I211</f>
        <v>56.62</v>
      </c>
      <c r="J210">
        <f>'raw data Crude oil'!J211</f>
        <v>56.47</v>
      </c>
      <c r="K210">
        <f>'raw data Crude oil'!K211</f>
        <v>56.31</v>
      </c>
      <c r="L210">
        <f>'raw data Crude oil'!L211</f>
        <v>56.15</v>
      </c>
      <c r="M210">
        <f>'raw data Crude oil'!M211</f>
        <v>56.01</v>
      </c>
      <c r="N210">
        <f>'raw data Crude oil'!N211</f>
        <v>51.47</v>
      </c>
      <c r="O210">
        <f>'raw data Crude oil'!O211</f>
        <v>51.84</v>
      </c>
      <c r="P210">
        <f>'raw data Crude oil'!P211</f>
        <v>52.04</v>
      </c>
      <c r="Q210">
        <f>'raw data Crude oil'!Q211</f>
        <v>52.17</v>
      </c>
      <c r="R210">
        <f>'raw data Crude oil'!R211</f>
        <v>52.26</v>
      </c>
      <c r="S210">
        <f>'raw data Crude oil'!S211</f>
        <v>52.3</v>
      </c>
      <c r="T210">
        <f>'raw data Crude oil'!T211</f>
        <v>52.29</v>
      </c>
      <c r="U210">
        <f>'raw data Crude oil'!U211</f>
        <v>52.23</v>
      </c>
      <c r="V210">
        <f>'raw data Crude oil'!V211</f>
        <v>52.12</v>
      </c>
      <c r="W210">
        <f>'raw data Crude oil'!W211</f>
        <v>52</v>
      </c>
      <c r="X210">
        <f>'raw data Crude oil'!X211</f>
        <v>51.88</v>
      </c>
      <c r="Y210">
        <f>'raw data Crude oil'!Y211</f>
        <v>51.76</v>
      </c>
      <c r="Z210">
        <f>'raw data Crude oil'!Z211</f>
        <v>0</v>
      </c>
      <c r="AA210">
        <f>'raw data Crude oil'!AA211</f>
        <v>0</v>
      </c>
      <c r="AB210">
        <f>'raw data Crude oil'!AB211</f>
        <v>0</v>
      </c>
      <c r="AC210">
        <f>'raw data Crude oil'!AC211</f>
        <v>0</v>
      </c>
      <c r="AD210">
        <f>'raw data Crude oil'!AD211</f>
        <v>0</v>
      </c>
      <c r="AE210">
        <f>'raw data Crude oil'!AE211</f>
        <v>0</v>
      </c>
      <c r="AF210">
        <f>'raw data Crude oil'!AF211</f>
        <v>0</v>
      </c>
      <c r="AG210">
        <f>'raw data Crude oil'!AG211</f>
        <v>0</v>
      </c>
      <c r="AH210">
        <f>'raw data Crude oil'!AH211</f>
        <v>0</v>
      </c>
      <c r="AI210">
        <f>'raw data Crude oil'!AI211</f>
        <v>0</v>
      </c>
      <c r="AJ210">
        <f>'raw data Crude oil'!AJ211</f>
        <v>0</v>
      </c>
      <c r="AK210">
        <f>'raw data Crude oil'!AK211</f>
        <v>0</v>
      </c>
    </row>
    <row r="211" spans="1:37" x14ac:dyDescent="0.3">
      <c r="A211" s="18">
        <f>'raw data Crude oil'!A212</f>
        <v>43031</v>
      </c>
      <c r="B211">
        <f>'raw data Crude oil'!B212</f>
        <v>57.37</v>
      </c>
      <c r="C211">
        <f>'raw data Crude oil'!C212</f>
        <v>57.27</v>
      </c>
      <c r="D211">
        <f>'raw data Crude oil'!D212</f>
        <v>57.08</v>
      </c>
      <c r="E211">
        <f>'raw data Crude oil'!E212</f>
        <v>56.94</v>
      </c>
      <c r="F211">
        <f>'raw data Crude oil'!F212</f>
        <v>56.83</v>
      </c>
      <c r="G211">
        <f>'raw data Crude oil'!G212</f>
        <v>56.72</v>
      </c>
      <c r="H211">
        <f>'raw data Crude oil'!H212</f>
        <v>56.57</v>
      </c>
      <c r="I211">
        <f>'raw data Crude oil'!I212</f>
        <v>56.43</v>
      </c>
      <c r="J211">
        <f>'raw data Crude oil'!J212</f>
        <v>56.28</v>
      </c>
      <c r="K211">
        <f>'raw data Crude oil'!K212</f>
        <v>56.12</v>
      </c>
      <c r="L211">
        <f>'raw data Crude oil'!L212</f>
        <v>55.97</v>
      </c>
      <c r="M211">
        <f>'raw data Crude oil'!M212</f>
        <v>55.82</v>
      </c>
      <c r="N211">
        <f>'raw data Crude oil'!N212</f>
        <v>51.9</v>
      </c>
      <c r="O211">
        <f>'raw data Crude oil'!O212</f>
        <v>52.08</v>
      </c>
      <c r="P211">
        <f>'raw data Crude oil'!P212</f>
        <v>52.19</v>
      </c>
      <c r="Q211">
        <f>'raw data Crude oil'!Q212</f>
        <v>52.26</v>
      </c>
      <c r="R211">
        <f>'raw data Crude oil'!R212</f>
        <v>52.28</v>
      </c>
      <c r="S211">
        <f>'raw data Crude oil'!S212</f>
        <v>52.25</v>
      </c>
      <c r="T211">
        <f>'raw data Crude oil'!T212</f>
        <v>52.18</v>
      </c>
      <c r="U211">
        <f>'raw data Crude oil'!U212</f>
        <v>52.06</v>
      </c>
      <c r="V211">
        <f>'raw data Crude oil'!V212</f>
        <v>51.93</v>
      </c>
      <c r="W211">
        <f>'raw data Crude oil'!W212</f>
        <v>51.8</v>
      </c>
      <c r="X211">
        <f>'raw data Crude oil'!X212</f>
        <v>51.67</v>
      </c>
      <c r="Y211">
        <f>'raw data Crude oil'!Y212</f>
        <v>51.54</v>
      </c>
      <c r="Z211">
        <f>'raw data Crude oil'!Z212</f>
        <v>0</v>
      </c>
      <c r="AA211">
        <f>'raw data Crude oil'!AA212</f>
        <v>0</v>
      </c>
      <c r="AB211">
        <f>'raw data Crude oil'!AB212</f>
        <v>0</v>
      </c>
      <c r="AC211">
        <f>'raw data Crude oil'!AC212</f>
        <v>0</v>
      </c>
      <c r="AD211">
        <f>'raw data Crude oil'!AD212</f>
        <v>0</v>
      </c>
      <c r="AE211">
        <f>'raw data Crude oil'!AE212</f>
        <v>0</v>
      </c>
      <c r="AF211">
        <f>'raw data Crude oil'!AF212</f>
        <v>0</v>
      </c>
      <c r="AG211">
        <f>'raw data Crude oil'!AG212</f>
        <v>0</v>
      </c>
      <c r="AH211">
        <f>'raw data Crude oil'!AH212</f>
        <v>0</v>
      </c>
      <c r="AI211">
        <f>'raw data Crude oil'!AI212</f>
        <v>0</v>
      </c>
      <c r="AJ211">
        <f>'raw data Crude oil'!AJ212</f>
        <v>0</v>
      </c>
      <c r="AK211">
        <f>'raw data Crude oil'!AK212</f>
        <v>0</v>
      </c>
    </row>
    <row r="212" spans="1:37" x14ac:dyDescent="0.3">
      <c r="A212" s="18">
        <f>'raw data Crude oil'!A213</f>
        <v>43032</v>
      </c>
      <c r="B212">
        <f>'raw data Crude oil'!B213</f>
        <v>58.33</v>
      </c>
      <c r="C212">
        <f>'raw data Crude oil'!C213</f>
        <v>58.17</v>
      </c>
      <c r="D212">
        <f>'raw data Crude oil'!D213</f>
        <v>57.91</v>
      </c>
      <c r="E212">
        <f>'raw data Crude oil'!E213</f>
        <v>57.73</v>
      </c>
      <c r="F212">
        <f>'raw data Crude oil'!F213</f>
        <v>57.59</v>
      </c>
      <c r="G212">
        <f>'raw data Crude oil'!G213</f>
        <v>57.47</v>
      </c>
      <c r="H212">
        <f>'raw data Crude oil'!H213</f>
        <v>57.32</v>
      </c>
      <c r="I212">
        <f>'raw data Crude oil'!I213</f>
        <v>57.17</v>
      </c>
      <c r="J212">
        <f>'raw data Crude oil'!J213</f>
        <v>57.01</v>
      </c>
      <c r="K212">
        <f>'raw data Crude oil'!K213</f>
        <v>56.84</v>
      </c>
      <c r="L212">
        <f>'raw data Crude oil'!L213</f>
        <v>56.68</v>
      </c>
      <c r="M212">
        <f>'raw data Crude oil'!M213</f>
        <v>56.52</v>
      </c>
      <c r="N212">
        <f>'raw data Crude oil'!N213</f>
        <v>52.47</v>
      </c>
      <c r="O212">
        <f>'raw data Crude oil'!O213</f>
        <v>52.67</v>
      </c>
      <c r="P212">
        <f>'raw data Crude oil'!P213</f>
        <v>52.79</v>
      </c>
      <c r="Q212">
        <f>'raw data Crude oil'!Q213</f>
        <v>52.87</v>
      </c>
      <c r="R212">
        <f>'raw data Crude oil'!R213</f>
        <v>52.9</v>
      </c>
      <c r="S212">
        <f>'raw data Crude oil'!S213</f>
        <v>52.87</v>
      </c>
      <c r="T212">
        <f>'raw data Crude oil'!T213</f>
        <v>52.8</v>
      </c>
      <c r="U212">
        <f>'raw data Crude oil'!U213</f>
        <v>52.68</v>
      </c>
      <c r="V212">
        <f>'raw data Crude oil'!V213</f>
        <v>52.54</v>
      </c>
      <c r="W212">
        <f>'raw data Crude oil'!W213</f>
        <v>52.39</v>
      </c>
      <c r="X212">
        <f>'raw data Crude oil'!X213</f>
        <v>52.25</v>
      </c>
      <c r="Y212">
        <f>'raw data Crude oil'!Y213</f>
        <v>52.11</v>
      </c>
      <c r="Z212">
        <f>'raw data Crude oil'!Z213</f>
        <v>0</v>
      </c>
      <c r="AA212">
        <f>'raw data Crude oil'!AA213</f>
        <v>0</v>
      </c>
      <c r="AB212">
        <f>'raw data Crude oil'!AB213</f>
        <v>0</v>
      </c>
      <c r="AC212">
        <f>'raw data Crude oil'!AC213</f>
        <v>0</v>
      </c>
      <c r="AD212">
        <f>'raw data Crude oil'!AD213</f>
        <v>0</v>
      </c>
      <c r="AE212">
        <f>'raw data Crude oil'!AE213</f>
        <v>0</v>
      </c>
      <c r="AF212">
        <f>'raw data Crude oil'!AF213</f>
        <v>0</v>
      </c>
      <c r="AG212">
        <f>'raw data Crude oil'!AG213</f>
        <v>0</v>
      </c>
      <c r="AH212">
        <f>'raw data Crude oil'!AH213</f>
        <v>0</v>
      </c>
      <c r="AI212">
        <f>'raw data Crude oil'!AI213</f>
        <v>0</v>
      </c>
      <c r="AJ212">
        <f>'raw data Crude oil'!AJ213</f>
        <v>0</v>
      </c>
      <c r="AK212">
        <f>'raw data Crude oil'!AK213</f>
        <v>0</v>
      </c>
    </row>
    <row r="213" spans="1:37" x14ac:dyDescent="0.3">
      <c r="A213" s="18">
        <f>'raw data Crude oil'!A214</f>
        <v>43033</v>
      </c>
      <c r="B213">
        <f>'raw data Crude oil'!B214</f>
        <v>58.44</v>
      </c>
      <c r="C213">
        <f>'raw data Crude oil'!C214</f>
        <v>58.23</v>
      </c>
      <c r="D213">
        <f>'raw data Crude oil'!D214</f>
        <v>57.97</v>
      </c>
      <c r="E213">
        <f>'raw data Crude oil'!E214</f>
        <v>57.82</v>
      </c>
      <c r="F213">
        <f>'raw data Crude oil'!F214</f>
        <v>57.7</v>
      </c>
      <c r="G213">
        <f>'raw data Crude oil'!G214</f>
        <v>57.6</v>
      </c>
      <c r="H213">
        <f>'raw data Crude oil'!H214</f>
        <v>57.46</v>
      </c>
      <c r="I213">
        <f>'raw data Crude oil'!I214</f>
        <v>57.33</v>
      </c>
      <c r="J213">
        <f>'raw data Crude oil'!J214</f>
        <v>57.18</v>
      </c>
      <c r="K213">
        <f>'raw data Crude oil'!K214</f>
        <v>57.01</v>
      </c>
      <c r="L213">
        <f>'raw data Crude oil'!L214</f>
        <v>56.85</v>
      </c>
      <c r="M213">
        <f>'raw data Crude oil'!M214</f>
        <v>56.69</v>
      </c>
      <c r="N213">
        <f>'raw data Crude oil'!N214</f>
        <v>52.18</v>
      </c>
      <c r="O213">
        <f>'raw data Crude oil'!O214</f>
        <v>52.43</v>
      </c>
      <c r="P213">
        <f>'raw data Crude oil'!P214</f>
        <v>52.59</v>
      </c>
      <c r="Q213">
        <f>'raw data Crude oil'!Q214</f>
        <v>52.71</v>
      </c>
      <c r="R213">
        <f>'raw data Crude oil'!R214</f>
        <v>52.78</v>
      </c>
      <c r="S213">
        <f>'raw data Crude oil'!S214</f>
        <v>52.78</v>
      </c>
      <c r="T213">
        <f>'raw data Crude oil'!T214</f>
        <v>52.72</v>
      </c>
      <c r="U213">
        <f>'raw data Crude oil'!U214</f>
        <v>52.61</v>
      </c>
      <c r="V213">
        <f>'raw data Crude oil'!V214</f>
        <v>52.47</v>
      </c>
      <c r="W213">
        <f>'raw data Crude oil'!W214</f>
        <v>52.33</v>
      </c>
      <c r="X213">
        <f>'raw data Crude oil'!X214</f>
        <v>52.19</v>
      </c>
      <c r="Y213">
        <f>'raw data Crude oil'!Y214</f>
        <v>52.06</v>
      </c>
      <c r="Z213">
        <f>'raw data Crude oil'!Z214</f>
        <v>0</v>
      </c>
      <c r="AA213">
        <f>'raw data Crude oil'!AA214</f>
        <v>0</v>
      </c>
      <c r="AB213">
        <f>'raw data Crude oil'!AB214</f>
        <v>0</v>
      </c>
      <c r="AC213">
        <f>'raw data Crude oil'!AC214</f>
        <v>0</v>
      </c>
      <c r="AD213">
        <f>'raw data Crude oil'!AD214</f>
        <v>0</v>
      </c>
      <c r="AE213">
        <f>'raw data Crude oil'!AE214</f>
        <v>0</v>
      </c>
      <c r="AF213">
        <f>'raw data Crude oil'!AF214</f>
        <v>0</v>
      </c>
      <c r="AG213">
        <f>'raw data Crude oil'!AG214</f>
        <v>0</v>
      </c>
      <c r="AH213">
        <f>'raw data Crude oil'!AH214</f>
        <v>0</v>
      </c>
      <c r="AI213">
        <f>'raw data Crude oil'!AI214</f>
        <v>0</v>
      </c>
      <c r="AJ213">
        <f>'raw data Crude oil'!AJ214</f>
        <v>0</v>
      </c>
      <c r="AK213">
        <f>'raw data Crude oil'!AK214</f>
        <v>0</v>
      </c>
    </row>
    <row r="214" spans="1:37" x14ac:dyDescent="0.3">
      <c r="A214" s="18">
        <f>'raw data Crude oil'!A215</f>
        <v>43034</v>
      </c>
      <c r="B214">
        <f>'raw data Crude oil'!B215</f>
        <v>59.3</v>
      </c>
      <c r="C214">
        <f>'raw data Crude oil'!C215</f>
        <v>59.04</v>
      </c>
      <c r="D214">
        <f>'raw data Crude oil'!D215</f>
        <v>58.74</v>
      </c>
      <c r="E214">
        <f>'raw data Crude oil'!E215</f>
        <v>58.53</v>
      </c>
      <c r="F214">
        <f>'raw data Crude oil'!F215</f>
        <v>58.36</v>
      </c>
      <c r="G214">
        <f>'raw data Crude oil'!G215</f>
        <v>58.21</v>
      </c>
      <c r="H214">
        <f>'raw data Crude oil'!H215</f>
        <v>58.04</v>
      </c>
      <c r="I214">
        <f>'raw data Crude oil'!I215</f>
        <v>57.87</v>
      </c>
      <c r="J214">
        <f>'raw data Crude oil'!J215</f>
        <v>57.69</v>
      </c>
      <c r="K214">
        <f>'raw data Crude oil'!K215</f>
        <v>57.49</v>
      </c>
      <c r="L214">
        <f>'raw data Crude oil'!L215</f>
        <v>57.31</v>
      </c>
      <c r="M214">
        <f>'raw data Crude oil'!M215</f>
        <v>57.13</v>
      </c>
      <c r="N214">
        <f>'raw data Crude oil'!N215</f>
        <v>52.64</v>
      </c>
      <c r="O214">
        <f>'raw data Crude oil'!O215</f>
        <v>52.86</v>
      </c>
      <c r="P214">
        <f>'raw data Crude oil'!P215</f>
        <v>53</v>
      </c>
      <c r="Q214">
        <f>'raw data Crude oil'!Q215</f>
        <v>53.1</v>
      </c>
      <c r="R214">
        <f>'raw data Crude oil'!R215</f>
        <v>53.15</v>
      </c>
      <c r="S214">
        <f>'raw data Crude oil'!S215</f>
        <v>53.13</v>
      </c>
      <c r="T214">
        <f>'raw data Crude oil'!T215</f>
        <v>53.06</v>
      </c>
      <c r="U214">
        <f>'raw data Crude oil'!U215</f>
        <v>52.93</v>
      </c>
      <c r="V214">
        <f>'raw data Crude oil'!V215</f>
        <v>52.78</v>
      </c>
      <c r="W214">
        <f>'raw data Crude oil'!W215</f>
        <v>52.63</v>
      </c>
      <c r="X214">
        <f>'raw data Crude oil'!X215</f>
        <v>52.47</v>
      </c>
      <c r="Y214">
        <f>'raw data Crude oil'!Y215</f>
        <v>52.32</v>
      </c>
      <c r="Z214">
        <f>'raw data Crude oil'!Z215</f>
        <v>0</v>
      </c>
      <c r="AA214">
        <f>'raw data Crude oil'!AA215</f>
        <v>0</v>
      </c>
      <c r="AB214">
        <f>'raw data Crude oil'!AB215</f>
        <v>0</v>
      </c>
      <c r="AC214">
        <f>'raw data Crude oil'!AC215</f>
        <v>0</v>
      </c>
      <c r="AD214">
        <f>'raw data Crude oil'!AD215</f>
        <v>0</v>
      </c>
      <c r="AE214">
        <f>'raw data Crude oil'!AE215</f>
        <v>0</v>
      </c>
      <c r="AF214">
        <f>'raw data Crude oil'!AF215</f>
        <v>0</v>
      </c>
      <c r="AG214">
        <f>'raw data Crude oil'!AG215</f>
        <v>0</v>
      </c>
      <c r="AH214">
        <f>'raw data Crude oil'!AH215</f>
        <v>0</v>
      </c>
      <c r="AI214">
        <f>'raw data Crude oil'!AI215</f>
        <v>0</v>
      </c>
      <c r="AJ214">
        <f>'raw data Crude oil'!AJ215</f>
        <v>0</v>
      </c>
      <c r="AK214">
        <f>'raw data Crude oil'!AK215</f>
        <v>0</v>
      </c>
    </row>
    <row r="215" spans="1:37" x14ac:dyDescent="0.3">
      <c r="A215" s="18">
        <f>'raw data Crude oil'!A216</f>
        <v>43035</v>
      </c>
      <c r="B215">
        <f>'raw data Crude oil'!B216</f>
        <v>60.44</v>
      </c>
      <c r="C215">
        <f>'raw data Crude oil'!C216</f>
        <v>60.13</v>
      </c>
      <c r="D215">
        <f>'raw data Crude oil'!D216</f>
        <v>59.81</v>
      </c>
      <c r="E215">
        <f>'raw data Crude oil'!E216</f>
        <v>59.58</v>
      </c>
      <c r="F215">
        <f>'raw data Crude oil'!F216</f>
        <v>59.39</v>
      </c>
      <c r="G215">
        <f>'raw data Crude oil'!G216</f>
        <v>59.22</v>
      </c>
      <c r="H215">
        <f>'raw data Crude oil'!H216</f>
        <v>59.02</v>
      </c>
      <c r="I215">
        <f>'raw data Crude oil'!I216</f>
        <v>58.83</v>
      </c>
      <c r="J215">
        <f>'raw data Crude oil'!J216</f>
        <v>58.64</v>
      </c>
      <c r="K215">
        <f>'raw data Crude oil'!K216</f>
        <v>58.42</v>
      </c>
      <c r="L215">
        <f>'raw data Crude oil'!L216</f>
        <v>58.22</v>
      </c>
      <c r="M215">
        <f>'raw data Crude oil'!M216</f>
        <v>58.03</v>
      </c>
      <c r="N215">
        <f>'raw data Crude oil'!N216</f>
        <v>53.9</v>
      </c>
      <c r="O215">
        <f>'raw data Crude oil'!O216</f>
        <v>54.09</v>
      </c>
      <c r="P215">
        <f>'raw data Crude oil'!P216</f>
        <v>54.18</v>
      </c>
      <c r="Q215">
        <f>'raw data Crude oil'!Q216</f>
        <v>54.21</v>
      </c>
      <c r="R215">
        <f>'raw data Crude oil'!R216</f>
        <v>54.2</v>
      </c>
      <c r="S215">
        <f>'raw data Crude oil'!S216</f>
        <v>54.13</v>
      </c>
      <c r="T215">
        <f>'raw data Crude oil'!T216</f>
        <v>54.01</v>
      </c>
      <c r="U215">
        <f>'raw data Crude oil'!U216</f>
        <v>53.83</v>
      </c>
      <c r="V215">
        <f>'raw data Crude oil'!V216</f>
        <v>53.64</v>
      </c>
      <c r="W215">
        <f>'raw data Crude oil'!W216</f>
        <v>53.45</v>
      </c>
      <c r="X215">
        <f>'raw data Crude oil'!X216</f>
        <v>53.26</v>
      </c>
      <c r="Y215">
        <f>'raw data Crude oil'!Y216</f>
        <v>53.07</v>
      </c>
      <c r="Z215">
        <f>'raw data Crude oil'!Z216</f>
        <v>0</v>
      </c>
      <c r="AA215">
        <f>'raw data Crude oil'!AA216</f>
        <v>0</v>
      </c>
      <c r="AB215">
        <f>'raw data Crude oil'!AB216</f>
        <v>0</v>
      </c>
      <c r="AC215">
        <f>'raw data Crude oil'!AC216</f>
        <v>0</v>
      </c>
      <c r="AD215">
        <f>'raw data Crude oil'!AD216</f>
        <v>0</v>
      </c>
      <c r="AE215">
        <f>'raw data Crude oil'!AE216</f>
        <v>0</v>
      </c>
      <c r="AF215">
        <f>'raw data Crude oil'!AF216</f>
        <v>0</v>
      </c>
      <c r="AG215">
        <f>'raw data Crude oil'!AG216</f>
        <v>0</v>
      </c>
      <c r="AH215">
        <f>'raw data Crude oil'!AH216</f>
        <v>0</v>
      </c>
      <c r="AI215">
        <f>'raw data Crude oil'!AI216</f>
        <v>0</v>
      </c>
      <c r="AJ215">
        <f>'raw data Crude oil'!AJ216</f>
        <v>0</v>
      </c>
      <c r="AK215">
        <f>'raw data Crude oil'!AK216</f>
        <v>0</v>
      </c>
    </row>
    <row r="216" spans="1:37" x14ac:dyDescent="0.3">
      <c r="A216" s="18">
        <f>'raw data Crude oil'!A217</f>
        <v>43038</v>
      </c>
      <c r="B216">
        <f>'raw data Crude oil'!B217</f>
        <v>60.9</v>
      </c>
      <c r="C216">
        <f>'raw data Crude oil'!C217</f>
        <v>60.59</v>
      </c>
      <c r="D216">
        <f>'raw data Crude oil'!D217</f>
        <v>60.31</v>
      </c>
      <c r="E216">
        <f>'raw data Crude oil'!E217</f>
        <v>60.1</v>
      </c>
      <c r="F216">
        <f>'raw data Crude oil'!F217</f>
        <v>59.91</v>
      </c>
      <c r="G216">
        <f>'raw data Crude oil'!G217</f>
        <v>59.74</v>
      </c>
      <c r="H216">
        <f>'raw data Crude oil'!H217</f>
        <v>59.54</v>
      </c>
      <c r="I216">
        <f>'raw data Crude oil'!I217</f>
        <v>59.35</v>
      </c>
      <c r="J216">
        <f>'raw data Crude oil'!J217</f>
        <v>59.14</v>
      </c>
      <c r="K216">
        <f>'raw data Crude oil'!K217</f>
        <v>58.9</v>
      </c>
      <c r="L216">
        <f>'raw data Crude oil'!L217</f>
        <v>58.69</v>
      </c>
      <c r="M216">
        <f>'raw data Crude oil'!M217</f>
        <v>58.48</v>
      </c>
      <c r="N216">
        <f>'raw data Crude oil'!N217</f>
        <v>54.15</v>
      </c>
      <c r="O216">
        <f>'raw data Crude oil'!O217</f>
        <v>54.37</v>
      </c>
      <c r="P216">
        <f>'raw data Crude oil'!P217</f>
        <v>54.48</v>
      </c>
      <c r="Q216">
        <f>'raw data Crude oil'!Q217</f>
        <v>54.53</v>
      </c>
      <c r="R216">
        <f>'raw data Crude oil'!R217</f>
        <v>54.51</v>
      </c>
      <c r="S216">
        <f>'raw data Crude oil'!S217</f>
        <v>54.41</v>
      </c>
      <c r="T216">
        <f>'raw data Crude oil'!T217</f>
        <v>54.26</v>
      </c>
      <c r="U216">
        <f>'raw data Crude oil'!U217</f>
        <v>54.06</v>
      </c>
      <c r="V216">
        <f>'raw data Crude oil'!V217</f>
        <v>53.85</v>
      </c>
      <c r="W216">
        <f>'raw data Crude oil'!W217</f>
        <v>53.63</v>
      </c>
      <c r="X216">
        <f>'raw data Crude oil'!X217</f>
        <v>53.42</v>
      </c>
      <c r="Y216">
        <f>'raw data Crude oil'!Y217</f>
        <v>53.22</v>
      </c>
      <c r="Z216">
        <f>'raw data Crude oil'!Z217</f>
        <v>0</v>
      </c>
      <c r="AA216">
        <f>'raw data Crude oil'!AA217</f>
        <v>0</v>
      </c>
      <c r="AB216">
        <f>'raw data Crude oil'!AB217</f>
        <v>0</v>
      </c>
      <c r="AC216">
        <f>'raw data Crude oil'!AC217</f>
        <v>0</v>
      </c>
      <c r="AD216">
        <f>'raw data Crude oil'!AD217</f>
        <v>0</v>
      </c>
      <c r="AE216">
        <f>'raw data Crude oil'!AE217</f>
        <v>0</v>
      </c>
      <c r="AF216">
        <f>'raw data Crude oil'!AF217</f>
        <v>0</v>
      </c>
      <c r="AG216">
        <f>'raw data Crude oil'!AG217</f>
        <v>0</v>
      </c>
      <c r="AH216">
        <f>'raw data Crude oil'!AH217</f>
        <v>0</v>
      </c>
      <c r="AI216">
        <f>'raw data Crude oil'!AI217</f>
        <v>0</v>
      </c>
      <c r="AJ216">
        <f>'raw data Crude oil'!AJ217</f>
        <v>0</v>
      </c>
      <c r="AK216">
        <f>'raw data Crude oil'!AK217</f>
        <v>0</v>
      </c>
    </row>
    <row r="217" spans="1:37" x14ac:dyDescent="0.3">
      <c r="A217" s="18">
        <f>'raw data Crude oil'!A218</f>
        <v>43039</v>
      </c>
      <c r="B217">
        <f>'raw data Crude oil'!B218</f>
        <v>61.37</v>
      </c>
      <c r="C217">
        <f>'raw data Crude oil'!C218</f>
        <v>60.94</v>
      </c>
      <c r="D217">
        <f>'raw data Crude oil'!D218</f>
        <v>60.66</v>
      </c>
      <c r="E217">
        <f>'raw data Crude oil'!E218</f>
        <v>60.44</v>
      </c>
      <c r="F217">
        <f>'raw data Crude oil'!F218</f>
        <v>60.24</v>
      </c>
      <c r="G217">
        <f>'raw data Crude oil'!G218</f>
        <v>60.06</v>
      </c>
      <c r="H217">
        <f>'raw data Crude oil'!H218</f>
        <v>59.84</v>
      </c>
      <c r="I217">
        <f>'raw data Crude oil'!I218</f>
        <v>59.63</v>
      </c>
      <c r="J217">
        <f>'raw data Crude oil'!J218</f>
        <v>59.4</v>
      </c>
      <c r="K217">
        <f>'raw data Crude oil'!K218</f>
        <v>59.15</v>
      </c>
      <c r="L217">
        <f>'raw data Crude oil'!L218</f>
        <v>58.92</v>
      </c>
      <c r="M217">
        <f>'raw data Crude oil'!M218</f>
        <v>58.69</v>
      </c>
      <c r="N217">
        <f>'raw data Crude oil'!N218</f>
        <v>54.38</v>
      </c>
      <c r="O217">
        <f>'raw data Crude oil'!O218</f>
        <v>54.59</v>
      </c>
      <c r="P217">
        <f>'raw data Crude oil'!P218</f>
        <v>54.69</v>
      </c>
      <c r="Q217">
        <f>'raw data Crude oil'!Q218</f>
        <v>54.72</v>
      </c>
      <c r="R217">
        <f>'raw data Crude oil'!R218</f>
        <v>54.67</v>
      </c>
      <c r="S217">
        <f>'raw data Crude oil'!S218</f>
        <v>54.54</v>
      </c>
      <c r="T217">
        <f>'raw data Crude oil'!T218</f>
        <v>54.36</v>
      </c>
      <c r="U217">
        <f>'raw data Crude oil'!U218</f>
        <v>54.14</v>
      </c>
      <c r="V217">
        <f>'raw data Crude oil'!V218</f>
        <v>53.9</v>
      </c>
      <c r="W217">
        <f>'raw data Crude oil'!W218</f>
        <v>53.66</v>
      </c>
      <c r="X217">
        <f>'raw data Crude oil'!X218</f>
        <v>53.43</v>
      </c>
      <c r="Y217">
        <f>'raw data Crude oil'!Y218</f>
        <v>53.21</v>
      </c>
      <c r="Z217">
        <f>'raw data Crude oil'!Z218</f>
        <v>0</v>
      </c>
      <c r="AA217">
        <f>'raw data Crude oil'!AA218</f>
        <v>0</v>
      </c>
      <c r="AB217">
        <f>'raw data Crude oil'!AB218</f>
        <v>0</v>
      </c>
      <c r="AC217">
        <f>'raw data Crude oil'!AC218</f>
        <v>0</v>
      </c>
      <c r="AD217">
        <f>'raw data Crude oil'!AD218</f>
        <v>0</v>
      </c>
      <c r="AE217">
        <f>'raw data Crude oil'!AE218</f>
        <v>0</v>
      </c>
      <c r="AF217">
        <f>'raw data Crude oil'!AF218</f>
        <v>0</v>
      </c>
      <c r="AG217">
        <f>'raw data Crude oil'!AG218</f>
        <v>0</v>
      </c>
      <c r="AH217">
        <f>'raw data Crude oil'!AH218</f>
        <v>0</v>
      </c>
      <c r="AI217">
        <f>'raw data Crude oil'!AI218</f>
        <v>0</v>
      </c>
      <c r="AJ217">
        <f>'raw data Crude oil'!AJ218</f>
        <v>0</v>
      </c>
      <c r="AK217">
        <f>'raw data Crude oil'!AK218</f>
        <v>0</v>
      </c>
    </row>
    <row r="218" spans="1:37" x14ac:dyDescent="0.3">
      <c r="A218" s="18">
        <f>'raw data Crude oil'!A219</f>
        <v>43040</v>
      </c>
      <c r="B218">
        <f>'raw data Crude oil'!B219</f>
        <v>60.49</v>
      </c>
      <c r="C218">
        <f>'raw data Crude oil'!C219</f>
        <v>60.23</v>
      </c>
      <c r="D218">
        <f>'raw data Crude oil'!D219</f>
        <v>59.99</v>
      </c>
      <c r="E218">
        <f>'raw data Crude oil'!E219</f>
        <v>59.78</v>
      </c>
      <c r="F218">
        <f>'raw data Crude oil'!F219</f>
        <v>59.6</v>
      </c>
      <c r="G218">
        <f>'raw data Crude oil'!G219</f>
        <v>59.4</v>
      </c>
      <c r="H218">
        <f>'raw data Crude oil'!H219</f>
        <v>59.18</v>
      </c>
      <c r="I218">
        <f>'raw data Crude oil'!I219</f>
        <v>58.94</v>
      </c>
      <c r="J218">
        <f>'raw data Crude oil'!J219</f>
        <v>58.68</v>
      </c>
      <c r="K218">
        <f>'raw data Crude oil'!K219</f>
        <v>58.44</v>
      </c>
      <c r="L218">
        <f>'raw data Crude oil'!L219</f>
        <v>58.2</v>
      </c>
      <c r="M218">
        <f>'raw data Crude oil'!M219</f>
        <v>57.97</v>
      </c>
      <c r="N218">
        <f>'raw data Crude oil'!N219</f>
        <v>54.3</v>
      </c>
      <c r="O218">
        <f>'raw data Crude oil'!O219</f>
        <v>54.51</v>
      </c>
      <c r="P218">
        <f>'raw data Crude oil'!P219</f>
        <v>54.62</v>
      </c>
      <c r="Q218">
        <f>'raw data Crude oil'!Q219</f>
        <v>54.66</v>
      </c>
      <c r="R218">
        <f>'raw data Crude oil'!R219</f>
        <v>54.6</v>
      </c>
      <c r="S218">
        <f>'raw data Crude oil'!S219</f>
        <v>54.47</v>
      </c>
      <c r="T218">
        <f>'raw data Crude oil'!T219</f>
        <v>54.27</v>
      </c>
      <c r="U218">
        <f>'raw data Crude oil'!U219</f>
        <v>54.02</v>
      </c>
      <c r="V218">
        <f>'raw data Crude oil'!V219</f>
        <v>53.75</v>
      </c>
      <c r="W218">
        <f>'raw data Crude oil'!W219</f>
        <v>53.48</v>
      </c>
      <c r="X218">
        <f>'raw data Crude oil'!X219</f>
        <v>53.22</v>
      </c>
      <c r="Y218">
        <f>'raw data Crude oil'!Y219</f>
        <v>52.97</v>
      </c>
      <c r="Z218">
        <f>'raw data Crude oil'!Z219</f>
        <v>0</v>
      </c>
      <c r="AA218">
        <f>'raw data Crude oil'!AA219</f>
        <v>0</v>
      </c>
      <c r="AB218">
        <f>'raw data Crude oil'!AB219</f>
        <v>0</v>
      </c>
      <c r="AC218">
        <f>'raw data Crude oil'!AC219</f>
        <v>0</v>
      </c>
      <c r="AD218">
        <f>'raw data Crude oil'!AD219</f>
        <v>0</v>
      </c>
      <c r="AE218">
        <f>'raw data Crude oil'!AE219</f>
        <v>0</v>
      </c>
      <c r="AF218">
        <f>'raw data Crude oil'!AF219</f>
        <v>0</v>
      </c>
      <c r="AG218">
        <f>'raw data Crude oil'!AG219</f>
        <v>0</v>
      </c>
      <c r="AH218">
        <f>'raw data Crude oil'!AH219</f>
        <v>0</v>
      </c>
      <c r="AI218">
        <f>'raw data Crude oil'!AI219</f>
        <v>0</v>
      </c>
      <c r="AJ218">
        <f>'raw data Crude oil'!AJ219</f>
        <v>0</v>
      </c>
      <c r="AK218">
        <f>'raw data Crude oil'!AK219</f>
        <v>0</v>
      </c>
    </row>
    <row r="219" spans="1:37" x14ac:dyDescent="0.3">
      <c r="A219" s="18">
        <f>'raw data Crude oil'!A220</f>
        <v>43041</v>
      </c>
      <c r="B219">
        <f>'raw data Crude oil'!B220</f>
        <v>60.62</v>
      </c>
      <c r="C219">
        <f>'raw data Crude oil'!C220</f>
        <v>60.37</v>
      </c>
      <c r="D219">
        <f>'raw data Crude oil'!D220</f>
        <v>60.11</v>
      </c>
      <c r="E219">
        <f>'raw data Crude oil'!E220</f>
        <v>59.89</v>
      </c>
      <c r="F219">
        <f>'raw data Crude oil'!F220</f>
        <v>59.7</v>
      </c>
      <c r="G219">
        <f>'raw data Crude oil'!G220</f>
        <v>59.48</v>
      </c>
      <c r="H219">
        <f>'raw data Crude oil'!H220</f>
        <v>59.25</v>
      </c>
      <c r="I219">
        <f>'raw data Crude oil'!I220</f>
        <v>58.99</v>
      </c>
      <c r="J219">
        <f>'raw data Crude oil'!J220</f>
        <v>58.71</v>
      </c>
      <c r="K219">
        <f>'raw data Crude oil'!K220</f>
        <v>58.44</v>
      </c>
      <c r="L219">
        <f>'raw data Crude oil'!L220</f>
        <v>58.18</v>
      </c>
      <c r="M219">
        <f>'raw data Crude oil'!M220</f>
        <v>57.92</v>
      </c>
      <c r="N219">
        <f>'raw data Crude oil'!N220</f>
        <v>54.54</v>
      </c>
      <c r="O219">
        <f>'raw data Crude oil'!O220</f>
        <v>54.77</v>
      </c>
      <c r="P219">
        <f>'raw data Crude oil'!P220</f>
        <v>54.89</v>
      </c>
      <c r="Q219">
        <f>'raw data Crude oil'!Q220</f>
        <v>54.93</v>
      </c>
      <c r="R219">
        <f>'raw data Crude oil'!R220</f>
        <v>54.89</v>
      </c>
      <c r="S219">
        <f>'raw data Crude oil'!S220</f>
        <v>54.77</v>
      </c>
      <c r="T219">
        <f>'raw data Crude oil'!T220</f>
        <v>54.58</v>
      </c>
      <c r="U219">
        <f>'raw data Crude oil'!U220</f>
        <v>54.33</v>
      </c>
      <c r="V219">
        <f>'raw data Crude oil'!V220</f>
        <v>54.05</v>
      </c>
      <c r="W219">
        <f>'raw data Crude oil'!W220</f>
        <v>53.77</v>
      </c>
      <c r="X219">
        <f>'raw data Crude oil'!X220</f>
        <v>53.5</v>
      </c>
      <c r="Y219">
        <f>'raw data Crude oil'!Y220</f>
        <v>53.23</v>
      </c>
      <c r="Z219">
        <f>'raw data Crude oil'!Z220</f>
        <v>0</v>
      </c>
      <c r="AA219">
        <f>'raw data Crude oil'!AA220</f>
        <v>0</v>
      </c>
      <c r="AB219">
        <f>'raw data Crude oil'!AB220</f>
        <v>0</v>
      </c>
      <c r="AC219">
        <f>'raw data Crude oil'!AC220</f>
        <v>0</v>
      </c>
      <c r="AD219">
        <f>'raw data Crude oil'!AD220</f>
        <v>0</v>
      </c>
      <c r="AE219">
        <f>'raw data Crude oil'!AE220</f>
        <v>0</v>
      </c>
      <c r="AF219">
        <f>'raw data Crude oil'!AF220</f>
        <v>0</v>
      </c>
      <c r="AG219">
        <f>'raw data Crude oil'!AG220</f>
        <v>0</v>
      </c>
      <c r="AH219">
        <f>'raw data Crude oil'!AH220</f>
        <v>0</v>
      </c>
      <c r="AI219">
        <f>'raw data Crude oil'!AI220</f>
        <v>0</v>
      </c>
      <c r="AJ219">
        <f>'raw data Crude oil'!AJ220</f>
        <v>0</v>
      </c>
      <c r="AK219">
        <f>'raw data Crude oil'!AK220</f>
        <v>0</v>
      </c>
    </row>
    <row r="220" spans="1:37" x14ac:dyDescent="0.3">
      <c r="A220" s="18">
        <f>'raw data Crude oil'!A221</f>
        <v>43042</v>
      </c>
      <c r="B220">
        <f>'raw data Crude oil'!B221</f>
        <v>62.07</v>
      </c>
      <c r="C220">
        <f>'raw data Crude oil'!C221</f>
        <v>61.8</v>
      </c>
      <c r="D220">
        <f>'raw data Crude oil'!D221</f>
        <v>61.52</v>
      </c>
      <c r="E220">
        <f>'raw data Crude oil'!E221</f>
        <v>61.28</v>
      </c>
      <c r="F220">
        <f>'raw data Crude oil'!F221</f>
        <v>61.06</v>
      </c>
      <c r="G220">
        <f>'raw data Crude oil'!G221</f>
        <v>60.81</v>
      </c>
      <c r="H220">
        <f>'raw data Crude oil'!H221</f>
        <v>60.54</v>
      </c>
      <c r="I220">
        <f>'raw data Crude oil'!I221</f>
        <v>60.24</v>
      </c>
      <c r="J220">
        <f>'raw data Crude oil'!J221</f>
        <v>59.92</v>
      </c>
      <c r="K220">
        <f>'raw data Crude oil'!K221</f>
        <v>59.61</v>
      </c>
      <c r="L220">
        <f>'raw data Crude oil'!L221</f>
        <v>59.3</v>
      </c>
      <c r="M220">
        <f>'raw data Crude oil'!M221</f>
        <v>58.99</v>
      </c>
      <c r="N220">
        <f>'raw data Crude oil'!N221</f>
        <v>55.64</v>
      </c>
      <c r="O220">
        <f>'raw data Crude oil'!O221</f>
        <v>55.86</v>
      </c>
      <c r="P220">
        <f>'raw data Crude oil'!P221</f>
        <v>55.98</v>
      </c>
      <c r="Q220">
        <f>'raw data Crude oil'!Q221</f>
        <v>56.02</v>
      </c>
      <c r="R220">
        <f>'raw data Crude oil'!R221</f>
        <v>55.96</v>
      </c>
      <c r="S220">
        <f>'raw data Crude oil'!S221</f>
        <v>55.81</v>
      </c>
      <c r="T220">
        <f>'raw data Crude oil'!T221</f>
        <v>55.58</v>
      </c>
      <c r="U220">
        <f>'raw data Crude oil'!U221</f>
        <v>55.3</v>
      </c>
      <c r="V220">
        <f>'raw data Crude oil'!V221</f>
        <v>54.99</v>
      </c>
      <c r="W220">
        <f>'raw data Crude oil'!W221</f>
        <v>54.67</v>
      </c>
      <c r="X220">
        <f>'raw data Crude oil'!X221</f>
        <v>54.36</v>
      </c>
      <c r="Y220">
        <f>'raw data Crude oil'!Y221</f>
        <v>54.06</v>
      </c>
      <c r="Z220">
        <f>'raw data Crude oil'!Z221</f>
        <v>0</v>
      </c>
      <c r="AA220">
        <f>'raw data Crude oil'!AA221</f>
        <v>0</v>
      </c>
      <c r="AB220">
        <f>'raw data Crude oil'!AB221</f>
        <v>0</v>
      </c>
      <c r="AC220">
        <f>'raw data Crude oil'!AC221</f>
        <v>0</v>
      </c>
      <c r="AD220">
        <f>'raw data Crude oil'!AD221</f>
        <v>0</v>
      </c>
      <c r="AE220">
        <f>'raw data Crude oil'!AE221</f>
        <v>0</v>
      </c>
      <c r="AF220">
        <f>'raw data Crude oil'!AF221</f>
        <v>0</v>
      </c>
      <c r="AG220">
        <f>'raw data Crude oil'!AG221</f>
        <v>0</v>
      </c>
      <c r="AH220">
        <f>'raw data Crude oil'!AH221</f>
        <v>0</v>
      </c>
      <c r="AI220">
        <f>'raw data Crude oil'!AI221</f>
        <v>0</v>
      </c>
      <c r="AJ220">
        <f>'raw data Crude oil'!AJ221</f>
        <v>0</v>
      </c>
      <c r="AK220">
        <f>'raw data Crude oil'!AK221</f>
        <v>0</v>
      </c>
    </row>
    <row r="221" spans="1:37" x14ac:dyDescent="0.3">
      <c r="A221" s="18">
        <f>'raw data Crude oil'!A222</f>
        <v>43045</v>
      </c>
      <c r="B221">
        <f>'raw data Crude oil'!B222</f>
        <v>64.27</v>
      </c>
      <c r="C221">
        <f>'raw data Crude oil'!C222</f>
        <v>63.96</v>
      </c>
      <c r="D221">
        <f>'raw data Crude oil'!D222</f>
        <v>63.63</v>
      </c>
      <c r="E221">
        <f>'raw data Crude oil'!E222</f>
        <v>63.35</v>
      </c>
      <c r="F221">
        <f>'raw data Crude oil'!F222</f>
        <v>63.09</v>
      </c>
      <c r="G221">
        <f>'raw data Crude oil'!G222</f>
        <v>62.79</v>
      </c>
      <c r="H221">
        <f>'raw data Crude oil'!H222</f>
        <v>62.47</v>
      </c>
      <c r="I221">
        <f>'raw data Crude oil'!I222</f>
        <v>62.13</v>
      </c>
      <c r="J221">
        <f>'raw data Crude oil'!J222</f>
        <v>61.77</v>
      </c>
      <c r="K221">
        <f>'raw data Crude oil'!K222</f>
        <v>61.42</v>
      </c>
      <c r="L221">
        <f>'raw data Crude oil'!L222</f>
        <v>61.06</v>
      </c>
      <c r="M221">
        <f>'raw data Crude oil'!M222</f>
        <v>60.72</v>
      </c>
      <c r="N221">
        <f>'raw data Crude oil'!N222</f>
        <v>57.35</v>
      </c>
      <c r="O221">
        <f>'raw data Crude oil'!O222</f>
        <v>57.57</v>
      </c>
      <c r="P221">
        <f>'raw data Crude oil'!P222</f>
        <v>57.7</v>
      </c>
      <c r="Q221">
        <f>'raw data Crude oil'!Q222</f>
        <v>57.72</v>
      </c>
      <c r="R221">
        <f>'raw data Crude oil'!R222</f>
        <v>57.65</v>
      </c>
      <c r="S221">
        <f>'raw data Crude oil'!S222</f>
        <v>57.48</v>
      </c>
      <c r="T221">
        <f>'raw data Crude oil'!T222</f>
        <v>57.21</v>
      </c>
      <c r="U221">
        <f>'raw data Crude oil'!U222</f>
        <v>56.88</v>
      </c>
      <c r="V221">
        <f>'raw data Crude oil'!V222</f>
        <v>56.51</v>
      </c>
      <c r="W221">
        <f>'raw data Crude oil'!W222</f>
        <v>56.13</v>
      </c>
      <c r="X221">
        <f>'raw data Crude oil'!X222</f>
        <v>55.76</v>
      </c>
      <c r="Y221">
        <f>'raw data Crude oil'!Y222</f>
        <v>55.39</v>
      </c>
      <c r="Z221">
        <f>'raw data Crude oil'!Z222</f>
        <v>0</v>
      </c>
      <c r="AA221">
        <f>'raw data Crude oil'!AA222</f>
        <v>0</v>
      </c>
      <c r="AB221">
        <f>'raw data Crude oil'!AB222</f>
        <v>0</v>
      </c>
      <c r="AC221">
        <f>'raw data Crude oil'!AC222</f>
        <v>0</v>
      </c>
      <c r="AD221">
        <f>'raw data Crude oil'!AD222</f>
        <v>0</v>
      </c>
      <c r="AE221">
        <f>'raw data Crude oil'!AE222</f>
        <v>0</v>
      </c>
      <c r="AF221">
        <f>'raw data Crude oil'!AF222</f>
        <v>0</v>
      </c>
      <c r="AG221">
        <f>'raw data Crude oil'!AG222</f>
        <v>0</v>
      </c>
      <c r="AH221">
        <f>'raw data Crude oil'!AH222</f>
        <v>0</v>
      </c>
      <c r="AI221">
        <f>'raw data Crude oil'!AI222</f>
        <v>0</v>
      </c>
      <c r="AJ221">
        <f>'raw data Crude oil'!AJ222</f>
        <v>0</v>
      </c>
      <c r="AK221">
        <f>'raw data Crude oil'!AK222</f>
        <v>0</v>
      </c>
    </row>
    <row r="222" spans="1:37" x14ac:dyDescent="0.3">
      <c r="A222" s="18">
        <f>'raw data Crude oil'!A223</f>
        <v>43046</v>
      </c>
      <c r="B222">
        <f>'raw data Crude oil'!B223</f>
        <v>63.69</v>
      </c>
      <c r="C222">
        <f>'raw data Crude oil'!C223</f>
        <v>63.47</v>
      </c>
      <c r="D222">
        <f>'raw data Crude oil'!D223</f>
        <v>63.21</v>
      </c>
      <c r="E222">
        <f>'raw data Crude oil'!E223</f>
        <v>62.99</v>
      </c>
      <c r="F222">
        <f>'raw data Crude oil'!F223</f>
        <v>62.79</v>
      </c>
      <c r="G222">
        <f>'raw data Crude oil'!G223</f>
        <v>62.55</v>
      </c>
      <c r="H222">
        <f>'raw data Crude oil'!H223</f>
        <v>62.27</v>
      </c>
      <c r="I222">
        <f>'raw data Crude oil'!I223</f>
        <v>61.97</v>
      </c>
      <c r="J222">
        <f>'raw data Crude oil'!J223</f>
        <v>61.64</v>
      </c>
      <c r="K222">
        <f>'raw data Crude oil'!K223</f>
        <v>61.3</v>
      </c>
      <c r="L222">
        <f>'raw data Crude oil'!L223</f>
        <v>60.96</v>
      </c>
      <c r="M222">
        <f>'raw data Crude oil'!M223</f>
        <v>60.62</v>
      </c>
      <c r="N222">
        <f>'raw data Crude oil'!N223</f>
        <v>57.2</v>
      </c>
      <c r="O222">
        <f>'raw data Crude oil'!O223</f>
        <v>57.43</v>
      </c>
      <c r="P222">
        <f>'raw data Crude oil'!P223</f>
        <v>57.59</v>
      </c>
      <c r="Q222">
        <f>'raw data Crude oil'!Q223</f>
        <v>57.63</v>
      </c>
      <c r="R222">
        <f>'raw data Crude oil'!R223</f>
        <v>57.59</v>
      </c>
      <c r="S222">
        <f>'raw data Crude oil'!S223</f>
        <v>57.45</v>
      </c>
      <c r="T222">
        <f>'raw data Crude oil'!T223</f>
        <v>57.21</v>
      </c>
      <c r="U222">
        <f>'raw data Crude oil'!U223</f>
        <v>56.9</v>
      </c>
      <c r="V222">
        <f>'raw data Crude oil'!V223</f>
        <v>56.56</v>
      </c>
      <c r="W222">
        <f>'raw data Crude oil'!W223</f>
        <v>56.2</v>
      </c>
      <c r="X222">
        <f>'raw data Crude oil'!X223</f>
        <v>55.84</v>
      </c>
      <c r="Y222">
        <f>'raw data Crude oil'!Y223</f>
        <v>55.48</v>
      </c>
      <c r="Z222">
        <f>'raw data Crude oil'!Z223</f>
        <v>0</v>
      </c>
      <c r="AA222">
        <f>'raw data Crude oil'!AA223</f>
        <v>0</v>
      </c>
      <c r="AB222">
        <f>'raw data Crude oil'!AB223</f>
        <v>0</v>
      </c>
      <c r="AC222">
        <f>'raw data Crude oil'!AC223</f>
        <v>0</v>
      </c>
      <c r="AD222">
        <f>'raw data Crude oil'!AD223</f>
        <v>0</v>
      </c>
      <c r="AE222">
        <f>'raw data Crude oil'!AE223</f>
        <v>0</v>
      </c>
      <c r="AF222">
        <f>'raw data Crude oil'!AF223</f>
        <v>0</v>
      </c>
      <c r="AG222">
        <f>'raw data Crude oil'!AG223</f>
        <v>0</v>
      </c>
      <c r="AH222">
        <f>'raw data Crude oil'!AH223</f>
        <v>0</v>
      </c>
      <c r="AI222">
        <f>'raw data Crude oil'!AI223</f>
        <v>0</v>
      </c>
      <c r="AJ222">
        <f>'raw data Crude oil'!AJ223</f>
        <v>0</v>
      </c>
      <c r="AK222">
        <f>'raw data Crude oil'!AK223</f>
        <v>0</v>
      </c>
    </row>
    <row r="223" spans="1:37" x14ac:dyDescent="0.3">
      <c r="A223" s="18">
        <f>'raw data Crude oil'!A224</f>
        <v>43047</v>
      </c>
      <c r="B223">
        <f>'raw data Crude oil'!B224</f>
        <v>63.49</v>
      </c>
      <c r="C223">
        <f>'raw data Crude oil'!C224</f>
        <v>63.28</v>
      </c>
      <c r="D223">
        <f>'raw data Crude oil'!D224</f>
        <v>63.02</v>
      </c>
      <c r="E223">
        <f>'raw data Crude oil'!E224</f>
        <v>62.8</v>
      </c>
      <c r="F223">
        <f>'raw data Crude oil'!F224</f>
        <v>62.61</v>
      </c>
      <c r="G223">
        <f>'raw data Crude oil'!G224</f>
        <v>62.39</v>
      </c>
      <c r="H223">
        <f>'raw data Crude oil'!H224</f>
        <v>62.15</v>
      </c>
      <c r="I223">
        <f>'raw data Crude oil'!I224</f>
        <v>61.89</v>
      </c>
      <c r="J223">
        <f>'raw data Crude oil'!J224</f>
        <v>61.6</v>
      </c>
      <c r="K223">
        <f>'raw data Crude oil'!K224</f>
        <v>61.3</v>
      </c>
      <c r="L223">
        <f>'raw data Crude oil'!L224</f>
        <v>60.99</v>
      </c>
      <c r="M223">
        <f>'raw data Crude oil'!M224</f>
        <v>60.69</v>
      </c>
      <c r="N223">
        <f>'raw data Crude oil'!N224</f>
        <v>56.81</v>
      </c>
      <c r="O223">
        <f>'raw data Crude oil'!O224</f>
        <v>57.05</v>
      </c>
      <c r="P223">
        <f>'raw data Crude oil'!P224</f>
        <v>57.22</v>
      </c>
      <c r="Q223">
        <f>'raw data Crude oil'!Q224</f>
        <v>57.32</v>
      </c>
      <c r="R223">
        <f>'raw data Crude oil'!R224</f>
        <v>57.33</v>
      </c>
      <c r="S223">
        <f>'raw data Crude oil'!S224</f>
        <v>57.24</v>
      </c>
      <c r="T223">
        <f>'raw data Crude oil'!T224</f>
        <v>57.05</v>
      </c>
      <c r="U223">
        <f>'raw data Crude oil'!U224</f>
        <v>56.78</v>
      </c>
      <c r="V223">
        <f>'raw data Crude oil'!V224</f>
        <v>56.47</v>
      </c>
      <c r="W223">
        <f>'raw data Crude oil'!W224</f>
        <v>56.15</v>
      </c>
      <c r="X223">
        <f>'raw data Crude oil'!X224</f>
        <v>55.82</v>
      </c>
      <c r="Y223">
        <f>'raw data Crude oil'!Y224</f>
        <v>55.5</v>
      </c>
      <c r="Z223">
        <f>'raw data Crude oil'!Z224</f>
        <v>0</v>
      </c>
      <c r="AA223">
        <f>'raw data Crude oil'!AA224</f>
        <v>0</v>
      </c>
      <c r="AB223">
        <f>'raw data Crude oil'!AB224</f>
        <v>0</v>
      </c>
      <c r="AC223">
        <f>'raw data Crude oil'!AC224</f>
        <v>0</v>
      </c>
      <c r="AD223">
        <f>'raw data Crude oil'!AD224</f>
        <v>0</v>
      </c>
      <c r="AE223">
        <f>'raw data Crude oil'!AE224</f>
        <v>0</v>
      </c>
      <c r="AF223">
        <f>'raw data Crude oil'!AF224</f>
        <v>0</v>
      </c>
      <c r="AG223">
        <f>'raw data Crude oil'!AG224</f>
        <v>0</v>
      </c>
      <c r="AH223">
        <f>'raw data Crude oil'!AH224</f>
        <v>0</v>
      </c>
      <c r="AI223">
        <f>'raw data Crude oil'!AI224</f>
        <v>0</v>
      </c>
      <c r="AJ223">
        <f>'raw data Crude oil'!AJ224</f>
        <v>0</v>
      </c>
      <c r="AK223">
        <f>'raw data Crude oil'!AK224</f>
        <v>0</v>
      </c>
    </row>
    <row r="224" spans="1:37" x14ac:dyDescent="0.3">
      <c r="A224" s="18">
        <f>'raw data Crude oil'!A225</f>
        <v>43048</v>
      </c>
      <c r="B224">
        <f>'raw data Crude oil'!B225</f>
        <v>63.93</v>
      </c>
      <c r="C224">
        <f>'raw data Crude oil'!C225</f>
        <v>63.74</v>
      </c>
      <c r="D224">
        <f>'raw data Crude oil'!D225</f>
        <v>63.49</v>
      </c>
      <c r="E224">
        <f>'raw data Crude oil'!E225</f>
        <v>63.28</v>
      </c>
      <c r="F224">
        <f>'raw data Crude oil'!F225</f>
        <v>63.1</v>
      </c>
      <c r="G224">
        <f>'raw data Crude oil'!G225</f>
        <v>62.89</v>
      </c>
      <c r="H224">
        <f>'raw data Crude oil'!H225</f>
        <v>62.66</v>
      </c>
      <c r="I224">
        <f>'raw data Crude oil'!I225</f>
        <v>62.39</v>
      </c>
      <c r="J224">
        <f>'raw data Crude oil'!J225</f>
        <v>62.1</v>
      </c>
      <c r="K224">
        <f>'raw data Crude oil'!K225</f>
        <v>61.78</v>
      </c>
      <c r="L224">
        <f>'raw data Crude oil'!L225</f>
        <v>61.46</v>
      </c>
      <c r="M224">
        <f>'raw data Crude oil'!M225</f>
        <v>61.14</v>
      </c>
      <c r="N224">
        <f>'raw data Crude oil'!N225</f>
        <v>57.17</v>
      </c>
      <c r="O224">
        <f>'raw data Crude oil'!O225</f>
        <v>57.39</v>
      </c>
      <c r="P224">
        <f>'raw data Crude oil'!P225</f>
        <v>57.56</v>
      </c>
      <c r="Q224">
        <f>'raw data Crude oil'!Q225</f>
        <v>57.65</v>
      </c>
      <c r="R224">
        <f>'raw data Crude oil'!R225</f>
        <v>57.67</v>
      </c>
      <c r="S224">
        <f>'raw data Crude oil'!S225</f>
        <v>57.58</v>
      </c>
      <c r="T224">
        <f>'raw data Crude oil'!T225</f>
        <v>57.38</v>
      </c>
      <c r="U224">
        <f>'raw data Crude oil'!U225</f>
        <v>57.11</v>
      </c>
      <c r="V224">
        <f>'raw data Crude oil'!V225</f>
        <v>56.8</v>
      </c>
      <c r="W224">
        <f>'raw data Crude oil'!W225</f>
        <v>56.46</v>
      </c>
      <c r="X224">
        <f>'raw data Crude oil'!X225</f>
        <v>56.12</v>
      </c>
      <c r="Y224">
        <f>'raw data Crude oil'!Y225</f>
        <v>55.78</v>
      </c>
      <c r="Z224">
        <f>'raw data Crude oil'!Z225</f>
        <v>0</v>
      </c>
      <c r="AA224">
        <f>'raw data Crude oil'!AA225</f>
        <v>0</v>
      </c>
      <c r="AB224">
        <f>'raw data Crude oil'!AB225</f>
        <v>0</v>
      </c>
      <c r="AC224">
        <f>'raw data Crude oil'!AC225</f>
        <v>0</v>
      </c>
      <c r="AD224">
        <f>'raw data Crude oil'!AD225</f>
        <v>0</v>
      </c>
      <c r="AE224">
        <f>'raw data Crude oil'!AE225</f>
        <v>0</v>
      </c>
      <c r="AF224">
        <f>'raw data Crude oil'!AF225</f>
        <v>0</v>
      </c>
      <c r="AG224">
        <f>'raw data Crude oil'!AG225</f>
        <v>0</v>
      </c>
      <c r="AH224">
        <f>'raw data Crude oil'!AH225</f>
        <v>0</v>
      </c>
      <c r="AI224">
        <f>'raw data Crude oil'!AI225</f>
        <v>0</v>
      </c>
      <c r="AJ224">
        <f>'raw data Crude oil'!AJ225</f>
        <v>0</v>
      </c>
      <c r="AK224">
        <f>'raw data Crude oil'!AK225</f>
        <v>0</v>
      </c>
    </row>
    <row r="225" spans="1:37" x14ac:dyDescent="0.3">
      <c r="A225" s="18">
        <f>'raw data Crude oil'!A226</f>
        <v>43049</v>
      </c>
      <c r="B225">
        <f>'raw data Crude oil'!B226</f>
        <v>63.52</v>
      </c>
      <c r="C225">
        <f>'raw data Crude oil'!C226</f>
        <v>63.41</v>
      </c>
      <c r="D225">
        <f>'raw data Crude oil'!D226</f>
        <v>63.22</v>
      </c>
      <c r="E225">
        <f>'raw data Crude oil'!E226</f>
        <v>63.06</v>
      </c>
      <c r="F225">
        <f>'raw data Crude oil'!F226</f>
        <v>62.92</v>
      </c>
      <c r="G225">
        <f>'raw data Crude oil'!G226</f>
        <v>62.76</v>
      </c>
      <c r="H225">
        <f>'raw data Crude oil'!H226</f>
        <v>62.58</v>
      </c>
      <c r="I225">
        <f>'raw data Crude oil'!I226</f>
        <v>62.36</v>
      </c>
      <c r="J225">
        <f>'raw data Crude oil'!J226</f>
        <v>62.11</v>
      </c>
      <c r="K225">
        <f>'raw data Crude oil'!K226</f>
        <v>61.82</v>
      </c>
      <c r="L225">
        <f>'raw data Crude oil'!L226</f>
        <v>61.52</v>
      </c>
      <c r="M225">
        <f>'raw data Crude oil'!M226</f>
        <v>61.22</v>
      </c>
      <c r="N225">
        <f>'raw data Crude oil'!N226</f>
        <v>56.74</v>
      </c>
      <c r="O225">
        <f>'raw data Crude oil'!O226</f>
        <v>56.98</v>
      </c>
      <c r="P225">
        <f>'raw data Crude oil'!P226</f>
        <v>57.16</v>
      </c>
      <c r="Q225">
        <f>'raw data Crude oil'!Q226</f>
        <v>57.28</v>
      </c>
      <c r="R225">
        <f>'raw data Crude oil'!R226</f>
        <v>57.33</v>
      </c>
      <c r="S225">
        <f>'raw data Crude oil'!S226</f>
        <v>57.28</v>
      </c>
      <c r="T225">
        <f>'raw data Crude oil'!T226</f>
        <v>57.13</v>
      </c>
      <c r="U225">
        <f>'raw data Crude oil'!U226</f>
        <v>56.91</v>
      </c>
      <c r="V225">
        <f>'raw data Crude oil'!V226</f>
        <v>56.64</v>
      </c>
      <c r="W225">
        <f>'raw data Crude oil'!W226</f>
        <v>56.34</v>
      </c>
      <c r="X225">
        <f>'raw data Crude oil'!X226</f>
        <v>56.04</v>
      </c>
      <c r="Y225">
        <f>'raw data Crude oil'!Y226</f>
        <v>55.74</v>
      </c>
      <c r="Z225">
        <f>'raw data Crude oil'!Z226</f>
        <v>0</v>
      </c>
      <c r="AA225">
        <f>'raw data Crude oil'!AA226</f>
        <v>0</v>
      </c>
      <c r="AB225">
        <f>'raw data Crude oil'!AB226</f>
        <v>0</v>
      </c>
      <c r="AC225">
        <f>'raw data Crude oil'!AC226</f>
        <v>0</v>
      </c>
      <c r="AD225">
        <f>'raw data Crude oil'!AD226</f>
        <v>0</v>
      </c>
      <c r="AE225">
        <f>'raw data Crude oil'!AE226</f>
        <v>0</v>
      </c>
      <c r="AF225">
        <f>'raw data Crude oil'!AF226</f>
        <v>0</v>
      </c>
      <c r="AG225">
        <f>'raw data Crude oil'!AG226</f>
        <v>0</v>
      </c>
      <c r="AH225">
        <f>'raw data Crude oil'!AH226</f>
        <v>0</v>
      </c>
      <c r="AI225">
        <f>'raw data Crude oil'!AI226</f>
        <v>0</v>
      </c>
      <c r="AJ225">
        <f>'raw data Crude oil'!AJ226</f>
        <v>0</v>
      </c>
      <c r="AK225">
        <f>'raw data Crude oil'!AK226</f>
        <v>0</v>
      </c>
    </row>
    <row r="226" spans="1:37" x14ac:dyDescent="0.3">
      <c r="A226" s="18">
        <f>'raw data Crude oil'!A227</f>
        <v>43052</v>
      </c>
      <c r="B226">
        <f>'raw data Crude oil'!B227</f>
        <v>63.16</v>
      </c>
      <c r="C226">
        <f>'raw data Crude oil'!C227</f>
        <v>63.1</v>
      </c>
      <c r="D226">
        <f>'raw data Crude oil'!D227</f>
        <v>62.97</v>
      </c>
      <c r="E226">
        <f>'raw data Crude oil'!E227</f>
        <v>62.84</v>
      </c>
      <c r="F226">
        <f>'raw data Crude oil'!F227</f>
        <v>62.72</v>
      </c>
      <c r="G226">
        <f>'raw data Crude oil'!G227</f>
        <v>62.58</v>
      </c>
      <c r="H226">
        <f>'raw data Crude oil'!H227</f>
        <v>62.43</v>
      </c>
      <c r="I226">
        <f>'raw data Crude oil'!I227</f>
        <v>62.24</v>
      </c>
      <c r="J226">
        <f>'raw data Crude oil'!J227</f>
        <v>62.01</v>
      </c>
      <c r="K226">
        <f>'raw data Crude oil'!K227</f>
        <v>61.74</v>
      </c>
      <c r="L226">
        <f>'raw data Crude oil'!L227</f>
        <v>61.46</v>
      </c>
      <c r="M226">
        <f>'raw data Crude oil'!M227</f>
        <v>61.17</v>
      </c>
      <c r="N226">
        <f>'raw data Crude oil'!N227</f>
        <v>56.76</v>
      </c>
      <c r="O226">
        <f>'raw data Crude oil'!O227</f>
        <v>56.97</v>
      </c>
      <c r="P226">
        <f>'raw data Crude oil'!P227</f>
        <v>57.13</v>
      </c>
      <c r="Q226">
        <f>'raw data Crude oil'!Q227</f>
        <v>57.27</v>
      </c>
      <c r="R226">
        <f>'raw data Crude oil'!R227</f>
        <v>57.34</v>
      </c>
      <c r="S226">
        <f>'raw data Crude oil'!S227</f>
        <v>57.31</v>
      </c>
      <c r="T226">
        <f>'raw data Crude oil'!T227</f>
        <v>57.18</v>
      </c>
      <c r="U226">
        <f>'raw data Crude oil'!U227</f>
        <v>56.98</v>
      </c>
      <c r="V226">
        <f>'raw data Crude oil'!V227</f>
        <v>56.74</v>
      </c>
      <c r="W226">
        <f>'raw data Crude oil'!W227</f>
        <v>56.47</v>
      </c>
      <c r="X226">
        <f>'raw data Crude oil'!X227</f>
        <v>56.18</v>
      </c>
      <c r="Y226">
        <f>'raw data Crude oil'!Y227</f>
        <v>55.89</v>
      </c>
      <c r="Z226">
        <f>'raw data Crude oil'!Z227</f>
        <v>0</v>
      </c>
      <c r="AA226">
        <f>'raw data Crude oil'!AA227</f>
        <v>0</v>
      </c>
      <c r="AB226">
        <f>'raw data Crude oil'!AB227</f>
        <v>0</v>
      </c>
      <c r="AC226">
        <f>'raw data Crude oil'!AC227</f>
        <v>0</v>
      </c>
      <c r="AD226">
        <f>'raw data Crude oil'!AD227</f>
        <v>0</v>
      </c>
      <c r="AE226">
        <f>'raw data Crude oil'!AE227</f>
        <v>0</v>
      </c>
      <c r="AF226">
        <f>'raw data Crude oil'!AF227</f>
        <v>0</v>
      </c>
      <c r="AG226">
        <f>'raw data Crude oil'!AG227</f>
        <v>0</v>
      </c>
      <c r="AH226">
        <f>'raw data Crude oil'!AH227</f>
        <v>0</v>
      </c>
      <c r="AI226">
        <f>'raw data Crude oil'!AI227</f>
        <v>0</v>
      </c>
      <c r="AJ226">
        <f>'raw data Crude oil'!AJ227</f>
        <v>0</v>
      </c>
      <c r="AK226">
        <f>'raw data Crude oil'!AK227</f>
        <v>0</v>
      </c>
    </row>
    <row r="227" spans="1:37" x14ac:dyDescent="0.3">
      <c r="A227" s="18">
        <f>'raw data Crude oil'!A228</f>
        <v>43053</v>
      </c>
      <c r="B227">
        <f>'raw data Crude oil'!B228</f>
        <v>62.21</v>
      </c>
      <c r="C227">
        <f>'raw data Crude oil'!C228</f>
        <v>62.06</v>
      </c>
      <c r="D227">
        <f>'raw data Crude oil'!D228</f>
        <v>61.87</v>
      </c>
      <c r="E227">
        <f>'raw data Crude oil'!E228</f>
        <v>61.69</v>
      </c>
      <c r="F227">
        <f>'raw data Crude oil'!F228</f>
        <v>61.53</v>
      </c>
      <c r="G227">
        <f>'raw data Crude oil'!G228</f>
        <v>61.36</v>
      </c>
      <c r="H227">
        <f>'raw data Crude oil'!H228</f>
        <v>61.18</v>
      </c>
      <c r="I227">
        <f>'raw data Crude oil'!I228</f>
        <v>60.98</v>
      </c>
      <c r="J227">
        <f>'raw data Crude oil'!J228</f>
        <v>60.74</v>
      </c>
      <c r="K227">
        <f>'raw data Crude oil'!K228</f>
        <v>60.48</v>
      </c>
      <c r="L227">
        <f>'raw data Crude oil'!L228</f>
        <v>60.2</v>
      </c>
      <c r="M227">
        <f>'raw data Crude oil'!M228</f>
        <v>59.93</v>
      </c>
      <c r="N227">
        <f>'raw data Crude oil'!N228</f>
        <v>55.7</v>
      </c>
      <c r="O227">
        <f>'raw data Crude oil'!O228</f>
        <v>55.89</v>
      </c>
      <c r="P227">
        <f>'raw data Crude oil'!P228</f>
        <v>56.03</v>
      </c>
      <c r="Q227">
        <f>'raw data Crude oil'!Q228</f>
        <v>56.16</v>
      </c>
      <c r="R227">
        <f>'raw data Crude oil'!R228</f>
        <v>56.22</v>
      </c>
      <c r="S227">
        <f>'raw data Crude oil'!S228</f>
        <v>56.19</v>
      </c>
      <c r="T227">
        <f>'raw data Crude oil'!T228</f>
        <v>56.07</v>
      </c>
      <c r="U227">
        <f>'raw data Crude oil'!U228</f>
        <v>55.87</v>
      </c>
      <c r="V227">
        <f>'raw data Crude oil'!V228</f>
        <v>55.62</v>
      </c>
      <c r="W227">
        <f>'raw data Crude oil'!W228</f>
        <v>55.35</v>
      </c>
      <c r="X227">
        <f>'raw data Crude oil'!X228</f>
        <v>55.07</v>
      </c>
      <c r="Y227">
        <f>'raw data Crude oil'!Y228</f>
        <v>54.8</v>
      </c>
      <c r="Z227">
        <f>'raw data Crude oil'!Z228</f>
        <v>0</v>
      </c>
      <c r="AA227">
        <f>'raw data Crude oil'!AA228</f>
        <v>0</v>
      </c>
      <c r="AB227">
        <f>'raw data Crude oil'!AB228</f>
        <v>0</v>
      </c>
      <c r="AC227">
        <f>'raw data Crude oil'!AC228</f>
        <v>0</v>
      </c>
      <c r="AD227">
        <f>'raw data Crude oil'!AD228</f>
        <v>0</v>
      </c>
      <c r="AE227">
        <f>'raw data Crude oil'!AE228</f>
        <v>0</v>
      </c>
      <c r="AF227">
        <f>'raw data Crude oil'!AF228</f>
        <v>0</v>
      </c>
      <c r="AG227">
        <f>'raw data Crude oil'!AG228</f>
        <v>0</v>
      </c>
      <c r="AH227">
        <f>'raw data Crude oil'!AH228</f>
        <v>0</v>
      </c>
      <c r="AI227">
        <f>'raw data Crude oil'!AI228</f>
        <v>0</v>
      </c>
      <c r="AJ227">
        <f>'raw data Crude oil'!AJ228</f>
        <v>0</v>
      </c>
      <c r="AK227">
        <f>'raw data Crude oil'!AK228</f>
        <v>0</v>
      </c>
    </row>
    <row r="228" spans="1:37" x14ac:dyDescent="0.3">
      <c r="A228" s="18">
        <f>'raw data Crude oil'!A229</f>
        <v>43054</v>
      </c>
      <c r="B228">
        <f>'raw data Crude oil'!B229</f>
        <v>61.87</v>
      </c>
      <c r="C228">
        <f>'raw data Crude oil'!C229</f>
        <v>61.76</v>
      </c>
      <c r="D228">
        <f>'raw data Crude oil'!D229</f>
        <v>61.57</v>
      </c>
      <c r="E228">
        <f>'raw data Crude oil'!E229</f>
        <v>61.41</v>
      </c>
      <c r="F228">
        <f>'raw data Crude oil'!F229</f>
        <v>61.27</v>
      </c>
      <c r="G228">
        <f>'raw data Crude oil'!G229</f>
        <v>61.12</v>
      </c>
      <c r="H228">
        <f>'raw data Crude oil'!H229</f>
        <v>60.95</v>
      </c>
      <c r="I228">
        <f>'raw data Crude oil'!I229</f>
        <v>60.76</v>
      </c>
      <c r="J228">
        <f>'raw data Crude oil'!J229</f>
        <v>60.54</v>
      </c>
      <c r="K228">
        <f>'raw data Crude oil'!K229</f>
        <v>60.29</v>
      </c>
      <c r="L228">
        <f>'raw data Crude oil'!L229</f>
        <v>60.02</v>
      </c>
      <c r="M228">
        <f>'raw data Crude oil'!M229</f>
        <v>59.76</v>
      </c>
      <c r="N228">
        <f>'raw data Crude oil'!N229</f>
        <v>55.33</v>
      </c>
      <c r="O228">
        <f>'raw data Crude oil'!O229</f>
        <v>55.52</v>
      </c>
      <c r="P228">
        <f>'raw data Crude oil'!P229</f>
        <v>55.66</v>
      </c>
      <c r="Q228">
        <f>'raw data Crude oil'!Q229</f>
        <v>55.79</v>
      </c>
      <c r="R228">
        <f>'raw data Crude oil'!R229</f>
        <v>55.87</v>
      </c>
      <c r="S228">
        <f>'raw data Crude oil'!S229</f>
        <v>55.86</v>
      </c>
      <c r="T228">
        <f>'raw data Crude oil'!T229</f>
        <v>55.76</v>
      </c>
      <c r="U228">
        <f>'raw data Crude oil'!U229</f>
        <v>55.56</v>
      </c>
      <c r="V228">
        <f>'raw data Crude oil'!V229</f>
        <v>55.31</v>
      </c>
      <c r="W228">
        <f>'raw data Crude oil'!W229</f>
        <v>55.05</v>
      </c>
      <c r="X228">
        <f>'raw data Crude oil'!X229</f>
        <v>54.78</v>
      </c>
      <c r="Y228">
        <f>'raw data Crude oil'!Y229</f>
        <v>54.51</v>
      </c>
      <c r="Z228">
        <f>'raw data Crude oil'!Z229</f>
        <v>0</v>
      </c>
      <c r="AA228">
        <f>'raw data Crude oil'!AA229</f>
        <v>0</v>
      </c>
      <c r="AB228">
        <f>'raw data Crude oil'!AB229</f>
        <v>0</v>
      </c>
      <c r="AC228">
        <f>'raw data Crude oil'!AC229</f>
        <v>0</v>
      </c>
      <c r="AD228">
        <f>'raw data Crude oil'!AD229</f>
        <v>0</v>
      </c>
      <c r="AE228">
        <f>'raw data Crude oil'!AE229</f>
        <v>0</v>
      </c>
      <c r="AF228">
        <f>'raw data Crude oil'!AF229</f>
        <v>0</v>
      </c>
      <c r="AG228">
        <f>'raw data Crude oil'!AG229</f>
        <v>0</v>
      </c>
      <c r="AH228">
        <f>'raw data Crude oil'!AH229</f>
        <v>0</v>
      </c>
      <c r="AI228">
        <f>'raw data Crude oil'!AI229</f>
        <v>0</v>
      </c>
      <c r="AJ228">
        <f>'raw data Crude oil'!AJ229</f>
        <v>0</v>
      </c>
      <c r="AK228">
        <f>'raw data Crude oil'!AK229</f>
        <v>0</v>
      </c>
    </row>
    <row r="229" spans="1:37" x14ac:dyDescent="0.3">
      <c r="A229" s="18">
        <f>'raw data Crude oil'!A230</f>
        <v>43055</v>
      </c>
      <c r="B229">
        <f>'raw data Crude oil'!B230</f>
        <v>61.36</v>
      </c>
      <c r="C229">
        <f>'raw data Crude oil'!C230</f>
        <v>61.29</v>
      </c>
      <c r="D229">
        <f>'raw data Crude oil'!D230</f>
        <v>61.13</v>
      </c>
      <c r="E229">
        <f>'raw data Crude oil'!E230</f>
        <v>60.98</v>
      </c>
      <c r="F229">
        <f>'raw data Crude oil'!F230</f>
        <v>60.85</v>
      </c>
      <c r="G229">
        <f>'raw data Crude oil'!G230</f>
        <v>60.7</v>
      </c>
      <c r="H229">
        <f>'raw data Crude oil'!H230</f>
        <v>60.55</v>
      </c>
      <c r="I229">
        <f>'raw data Crude oil'!I230</f>
        <v>60.36</v>
      </c>
      <c r="J229">
        <f>'raw data Crude oil'!J230</f>
        <v>60.13</v>
      </c>
      <c r="K229">
        <f>'raw data Crude oil'!K230</f>
        <v>59.88</v>
      </c>
      <c r="L229">
        <f>'raw data Crude oil'!L230</f>
        <v>59.61</v>
      </c>
      <c r="M229">
        <f>'raw data Crude oil'!M230</f>
        <v>59.34</v>
      </c>
      <c r="N229">
        <f>'raw data Crude oil'!N230</f>
        <v>55.14</v>
      </c>
      <c r="O229">
        <f>'raw data Crude oil'!O230</f>
        <v>55.35</v>
      </c>
      <c r="P229">
        <f>'raw data Crude oil'!P230</f>
        <v>55.49</v>
      </c>
      <c r="Q229">
        <f>'raw data Crude oil'!Q230</f>
        <v>55.6</v>
      </c>
      <c r="R229">
        <f>'raw data Crude oil'!R230</f>
        <v>55.69</v>
      </c>
      <c r="S229">
        <f>'raw data Crude oil'!S230</f>
        <v>55.67</v>
      </c>
      <c r="T229">
        <f>'raw data Crude oil'!T230</f>
        <v>55.57</v>
      </c>
      <c r="U229">
        <f>'raw data Crude oil'!U230</f>
        <v>55.37</v>
      </c>
      <c r="V229">
        <f>'raw data Crude oil'!V230</f>
        <v>55.12</v>
      </c>
      <c r="W229">
        <f>'raw data Crude oil'!W230</f>
        <v>54.85</v>
      </c>
      <c r="X229">
        <f>'raw data Crude oil'!X230</f>
        <v>54.57</v>
      </c>
      <c r="Y229">
        <f>'raw data Crude oil'!Y230</f>
        <v>54.3</v>
      </c>
      <c r="Z229">
        <f>'raw data Crude oil'!Z230</f>
        <v>0</v>
      </c>
      <c r="AA229">
        <f>'raw data Crude oil'!AA230</f>
        <v>0</v>
      </c>
      <c r="AB229">
        <f>'raw data Crude oil'!AB230</f>
        <v>0</v>
      </c>
      <c r="AC229">
        <f>'raw data Crude oil'!AC230</f>
        <v>0</v>
      </c>
      <c r="AD229">
        <f>'raw data Crude oil'!AD230</f>
        <v>0</v>
      </c>
      <c r="AE229">
        <f>'raw data Crude oil'!AE230</f>
        <v>0</v>
      </c>
      <c r="AF229">
        <f>'raw data Crude oil'!AF230</f>
        <v>0</v>
      </c>
      <c r="AG229">
        <f>'raw data Crude oil'!AG230</f>
        <v>0</v>
      </c>
      <c r="AH229">
        <f>'raw data Crude oil'!AH230</f>
        <v>0</v>
      </c>
      <c r="AI229">
        <f>'raw data Crude oil'!AI230</f>
        <v>0</v>
      </c>
      <c r="AJ229">
        <f>'raw data Crude oil'!AJ230</f>
        <v>0</v>
      </c>
      <c r="AK229">
        <f>'raw data Crude oil'!AK230</f>
        <v>0</v>
      </c>
    </row>
    <row r="230" spans="1:37" x14ac:dyDescent="0.3">
      <c r="A230" s="18">
        <f>'raw data Crude oil'!A231</f>
        <v>43056</v>
      </c>
      <c r="B230">
        <f>'raw data Crude oil'!B231</f>
        <v>62.72</v>
      </c>
      <c r="C230">
        <f>'raw data Crude oil'!C231</f>
        <v>62.55</v>
      </c>
      <c r="D230">
        <f>'raw data Crude oil'!D231</f>
        <v>62.33</v>
      </c>
      <c r="E230">
        <f>'raw data Crude oil'!E231</f>
        <v>62.13</v>
      </c>
      <c r="F230">
        <f>'raw data Crude oil'!F231</f>
        <v>61.95</v>
      </c>
      <c r="G230">
        <f>'raw data Crude oil'!G231</f>
        <v>61.77</v>
      </c>
      <c r="H230">
        <f>'raw data Crude oil'!H231</f>
        <v>61.58</v>
      </c>
      <c r="I230">
        <f>'raw data Crude oil'!I231</f>
        <v>61.35</v>
      </c>
      <c r="J230">
        <f>'raw data Crude oil'!J231</f>
        <v>61.08</v>
      </c>
      <c r="K230">
        <f>'raw data Crude oil'!K231</f>
        <v>60.77</v>
      </c>
      <c r="L230">
        <f>'raw data Crude oil'!L231</f>
        <v>60.46</v>
      </c>
      <c r="M230">
        <f>'raw data Crude oil'!M231</f>
        <v>60.14</v>
      </c>
      <c r="N230">
        <f>'raw data Crude oil'!N231</f>
        <v>56.55</v>
      </c>
      <c r="O230">
        <f>'raw data Crude oil'!O231</f>
        <v>56.71</v>
      </c>
      <c r="P230">
        <f>'raw data Crude oil'!P231</f>
        <v>56.81</v>
      </c>
      <c r="Q230">
        <f>'raw data Crude oil'!Q231</f>
        <v>56.87</v>
      </c>
      <c r="R230">
        <f>'raw data Crude oil'!R231</f>
        <v>56.89</v>
      </c>
      <c r="S230">
        <f>'raw data Crude oil'!S231</f>
        <v>56.81</v>
      </c>
      <c r="T230">
        <f>'raw data Crude oil'!T231</f>
        <v>56.65</v>
      </c>
      <c r="U230">
        <f>'raw data Crude oil'!U231</f>
        <v>56.39</v>
      </c>
      <c r="V230">
        <f>'raw data Crude oil'!V231</f>
        <v>56.09</v>
      </c>
      <c r="W230">
        <f>'raw data Crude oil'!W231</f>
        <v>55.77</v>
      </c>
      <c r="X230">
        <f>'raw data Crude oil'!X231</f>
        <v>55.44</v>
      </c>
      <c r="Y230">
        <f>'raw data Crude oil'!Y231</f>
        <v>55.12</v>
      </c>
      <c r="Z230">
        <f>'raw data Crude oil'!Z231</f>
        <v>0</v>
      </c>
      <c r="AA230">
        <f>'raw data Crude oil'!AA231</f>
        <v>0</v>
      </c>
      <c r="AB230">
        <f>'raw data Crude oil'!AB231</f>
        <v>0</v>
      </c>
      <c r="AC230">
        <f>'raw data Crude oil'!AC231</f>
        <v>0</v>
      </c>
      <c r="AD230">
        <f>'raw data Crude oil'!AD231</f>
        <v>0</v>
      </c>
      <c r="AE230">
        <f>'raw data Crude oil'!AE231</f>
        <v>0</v>
      </c>
      <c r="AF230">
        <f>'raw data Crude oil'!AF231</f>
        <v>0</v>
      </c>
      <c r="AG230">
        <f>'raw data Crude oil'!AG231</f>
        <v>0</v>
      </c>
      <c r="AH230">
        <f>'raw data Crude oil'!AH231</f>
        <v>0</v>
      </c>
      <c r="AI230">
        <f>'raw data Crude oil'!AI231</f>
        <v>0</v>
      </c>
      <c r="AJ230">
        <f>'raw data Crude oil'!AJ231</f>
        <v>0</v>
      </c>
      <c r="AK230">
        <f>'raw data Crude oil'!AK231</f>
        <v>0</v>
      </c>
    </row>
    <row r="231" spans="1:37" x14ac:dyDescent="0.3">
      <c r="A231" s="18">
        <f>'raw data Crude oil'!A232</f>
        <v>43059</v>
      </c>
      <c r="B231">
        <f>'raw data Crude oil'!B232</f>
        <v>62.22</v>
      </c>
      <c r="C231">
        <f>'raw data Crude oil'!C232</f>
        <v>62.06</v>
      </c>
      <c r="D231">
        <f>'raw data Crude oil'!D232</f>
        <v>61.86</v>
      </c>
      <c r="E231">
        <f>'raw data Crude oil'!E232</f>
        <v>61.68</v>
      </c>
      <c r="F231">
        <f>'raw data Crude oil'!F232</f>
        <v>61.53</v>
      </c>
      <c r="G231">
        <f>'raw data Crude oil'!G232</f>
        <v>61.36</v>
      </c>
      <c r="H231">
        <f>'raw data Crude oil'!H232</f>
        <v>61.18</v>
      </c>
      <c r="I231">
        <f>'raw data Crude oil'!I232</f>
        <v>60.96</v>
      </c>
      <c r="J231">
        <f>'raw data Crude oil'!J232</f>
        <v>60.69</v>
      </c>
      <c r="K231">
        <f>'raw data Crude oil'!K232</f>
        <v>60.38</v>
      </c>
      <c r="L231">
        <f>'raw data Crude oil'!L232</f>
        <v>60.06</v>
      </c>
      <c r="M231">
        <f>'raw data Crude oil'!M232</f>
        <v>59.75</v>
      </c>
      <c r="N231">
        <f>'raw data Crude oil'!N232</f>
        <v>56.09</v>
      </c>
      <c r="O231">
        <f>'raw data Crude oil'!O232</f>
        <v>56.42</v>
      </c>
      <c r="P231">
        <f>'raw data Crude oil'!P232</f>
        <v>56.53</v>
      </c>
      <c r="Q231">
        <f>'raw data Crude oil'!Q232</f>
        <v>56.6</v>
      </c>
      <c r="R231">
        <f>'raw data Crude oil'!R232</f>
        <v>56.6</v>
      </c>
      <c r="S231">
        <f>'raw data Crude oil'!S232</f>
        <v>56.53</v>
      </c>
      <c r="T231">
        <f>'raw data Crude oil'!T232</f>
        <v>56.36</v>
      </c>
      <c r="U231">
        <f>'raw data Crude oil'!U232</f>
        <v>56.11</v>
      </c>
      <c r="V231">
        <f>'raw data Crude oil'!V232</f>
        <v>55.81</v>
      </c>
      <c r="W231">
        <f>'raw data Crude oil'!W232</f>
        <v>55.5</v>
      </c>
      <c r="X231">
        <f>'raw data Crude oil'!X232</f>
        <v>55.17</v>
      </c>
      <c r="Y231">
        <f>'raw data Crude oil'!Y232</f>
        <v>54.84</v>
      </c>
      <c r="Z231">
        <f>'raw data Crude oil'!Z232</f>
        <v>0</v>
      </c>
      <c r="AA231">
        <f>'raw data Crude oil'!AA232</f>
        <v>0</v>
      </c>
      <c r="AB231">
        <f>'raw data Crude oil'!AB232</f>
        <v>0</v>
      </c>
      <c r="AC231">
        <f>'raw data Crude oil'!AC232</f>
        <v>0</v>
      </c>
      <c r="AD231">
        <f>'raw data Crude oil'!AD232</f>
        <v>0</v>
      </c>
      <c r="AE231">
        <f>'raw data Crude oil'!AE232</f>
        <v>0</v>
      </c>
      <c r="AF231">
        <f>'raw data Crude oil'!AF232</f>
        <v>0</v>
      </c>
      <c r="AG231">
        <f>'raw data Crude oil'!AG232</f>
        <v>0</v>
      </c>
      <c r="AH231">
        <f>'raw data Crude oil'!AH232</f>
        <v>0</v>
      </c>
      <c r="AI231">
        <f>'raw data Crude oil'!AI232</f>
        <v>0</v>
      </c>
      <c r="AJ231">
        <f>'raw data Crude oil'!AJ232</f>
        <v>0</v>
      </c>
      <c r="AK231">
        <f>'raw data Crude oil'!AK232</f>
        <v>0</v>
      </c>
    </row>
    <row r="232" spans="1:37" x14ac:dyDescent="0.3">
      <c r="A232" s="18">
        <f>'raw data Crude oil'!A233</f>
        <v>43060</v>
      </c>
      <c r="B232">
        <f>'raw data Crude oil'!B233</f>
        <v>62.57</v>
      </c>
      <c r="C232">
        <f>'raw data Crude oil'!C233</f>
        <v>62.32</v>
      </c>
      <c r="D232">
        <f>'raw data Crude oil'!D233</f>
        <v>62.09</v>
      </c>
      <c r="E232">
        <f>'raw data Crude oil'!E233</f>
        <v>61.88</v>
      </c>
      <c r="F232">
        <f>'raw data Crude oil'!F233</f>
        <v>61.7</v>
      </c>
      <c r="G232">
        <f>'raw data Crude oil'!G233</f>
        <v>61.52</v>
      </c>
      <c r="H232">
        <f>'raw data Crude oil'!H233</f>
        <v>61.32</v>
      </c>
      <c r="I232">
        <f>'raw data Crude oil'!I233</f>
        <v>61.08</v>
      </c>
      <c r="J232">
        <f>'raw data Crude oil'!J233</f>
        <v>60.79</v>
      </c>
      <c r="K232">
        <f>'raw data Crude oil'!K233</f>
        <v>60.47</v>
      </c>
      <c r="L232">
        <f>'raw data Crude oil'!L233</f>
        <v>60.14</v>
      </c>
      <c r="M232">
        <f>'raw data Crude oil'!M233</f>
        <v>59.82</v>
      </c>
      <c r="N232">
        <f>'raw data Crude oil'!N233</f>
        <v>56.83</v>
      </c>
      <c r="O232">
        <f>'raw data Crude oil'!O233</f>
        <v>56.92</v>
      </c>
      <c r="P232">
        <f>'raw data Crude oil'!P233</f>
        <v>56.96</v>
      </c>
      <c r="Q232">
        <f>'raw data Crude oil'!Q233</f>
        <v>56.92</v>
      </c>
      <c r="R232">
        <f>'raw data Crude oil'!R233</f>
        <v>56.8</v>
      </c>
      <c r="S232">
        <f>'raw data Crude oil'!S233</f>
        <v>56.57</v>
      </c>
      <c r="T232">
        <f>'raw data Crude oil'!T233</f>
        <v>56.29</v>
      </c>
      <c r="U232">
        <f>'raw data Crude oil'!U233</f>
        <v>55.95</v>
      </c>
      <c r="V232">
        <f>'raw data Crude oil'!V233</f>
        <v>55.6</v>
      </c>
      <c r="W232">
        <f>'raw data Crude oil'!W233</f>
        <v>55.26</v>
      </c>
      <c r="X232">
        <f>'raw data Crude oil'!X233</f>
        <v>54.93</v>
      </c>
      <c r="Y232">
        <f>'raw data Crude oil'!Y233</f>
        <v>54.6</v>
      </c>
      <c r="Z232">
        <f>'raw data Crude oil'!Z233</f>
        <v>0</v>
      </c>
      <c r="AA232">
        <f>'raw data Crude oil'!AA233</f>
        <v>0</v>
      </c>
      <c r="AB232">
        <f>'raw data Crude oil'!AB233</f>
        <v>0</v>
      </c>
      <c r="AC232">
        <f>'raw data Crude oil'!AC233</f>
        <v>0</v>
      </c>
      <c r="AD232">
        <f>'raw data Crude oil'!AD233</f>
        <v>0</v>
      </c>
      <c r="AE232">
        <f>'raw data Crude oil'!AE233</f>
        <v>0</v>
      </c>
      <c r="AF232">
        <f>'raw data Crude oil'!AF233</f>
        <v>0</v>
      </c>
      <c r="AG232">
        <f>'raw data Crude oil'!AG233</f>
        <v>0</v>
      </c>
      <c r="AH232">
        <f>'raw data Crude oil'!AH233</f>
        <v>0</v>
      </c>
      <c r="AI232">
        <f>'raw data Crude oil'!AI233</f>
        <v>0</v>
      </c>
      <c r="AJ232">
        <f>'raw data Crude oil'!AJ233</f>
        <v>0</v>
      </c>
      <c r="AK232">
        <f>'raw data Crude oil'!AK233</f>
        <v>0</v>
      </c>
    </row>
    <row r="233" spans="1:37" x14ac:dyDescent="0.3">
      <c r="A233" s="18">
        <f>'raw data Crude oil'!A234</f>
        <v>43061</v>
      </c>
      <c r="B233">
        <f>'raw data Crude oil'!B234</f>
        <v>63.32</v>
      </c>
      <c r="C233">
        <f>'raw data Crude oil'!C234</f>
        <v>62.99</v>
      </c>
      <c r="D233">
        <f>'raw data Crude oil'!D234</f>
        <v>62.72</v>
      </c>
      <c r="E233">
        <f>'raw data Crude oil'!E234</f>
        <v>62.48</v>
      </c>
      <c r="F233">
        <f>'raw data Crude oil'!F234</f>
        <v>62.26</v>
      </c>
      <c r="G233">
        <f>'raw data Crude oil'!G234</f>
        <v>62.05</v>
      </c>
      <c r="H233">
        <f>'raw data Crude oil'!H234</f>
        <v>61.83</v>
      </c>
      <c r="I233">
        <f>'raw data Crude oil'!I234</f>
        <v>61.57</v>
      </c>
      <c r="J233">
        <f>'raw data Crude oil'!J234</f>
        <v>61.26</v>
      </c>
      <c r="K233">
        <f>'raw data Crude oil'!K234</f>
        <v>60.93</v>
      </c>
      <c r="L233">
        <f>'raw data Crude oil'!L234</f>
        <v>60.59</v>
      </c>
      <c r="M233">
        <f>'raw data Crude oil'!M234</f>
        <v>60.26</v>
      </c>
      <c r="N233">
        <f>'raw data Crude oil'!N234</f>
        <v>58.02</v>
      </c>
      <c r="O233">
        <f>'raw data Crude oil'!O234</f>
        <v>58.02</v>
      </c>
      <c r="P233">
        <f>'raw data Crude oil'!P234</f>
        <v>57.94</v>
      </c>
      <c r="Q233">
        <f>'raw data Crude oil'!Q234</f>
        <v>57.78</v>
      </c>
      <c r="R233">
        <f>'raw data Crude oil'!R234</f>
        <v>57.55</v>
      </c>
      <c r="S233">
        <f>'raw data Crude oil'!S234</f>
        <v>57.24</v>
      </c>
      <c r="T233">
        <f>'raw data Crude oil'!T234</f>
        <v>56.88</v>
      </c>
      <c r="U233">
        <f>'raw data Crude oil'!U234</f>
        <v>56.5</v>
      </c>
      <c r="V233">
        <f>'raw data Crude oil'!V234</f>
        <v>56.13</v>
      </c>
      <c r="W233">
        <f>'raw data Crude oil'!W234</f>
        <v>55.79</v>
      </c>
      <c r="X233">
        <f>'raw data Crude oil'!X234</f>
        <v>55.46</v>
      </c>
      <c r="Y233">
        <f>'raw data Crude oil'!Y234</f>
        <v>55.16</v>
      </c>
      <c r="Z233">
        <f>'raw data Crude oil'!Z234</f>
        <v>0</v>
      </c>
      <c r="AA233">
        <f>'raw data Crude oil'!AA234</f>
        <v>0</v>
      </c>
      <c r="AB233">
        <f>'raw data Crude oil'!AB234</f>
        <v>0</v>
      </c>
      <c r="AC233">
        <f>'raw data Crude oil'!AC234</f>
        <v>0</v>
      </c>
      <c r="AD233">
        <f>'raw data Crude oil'!AD234</f>
        <v>0</v>
      </c>
      <c r="AE233">
        <f>'raw data Crude oil'!AE234</f>
        <v>0</v>
      </c>
      <c r="AF233">
        <f>'raw data Crude oil'!AF234</f>
        <v>0</v>
      </c>
      <c r="AG233">
        <f>'raw data Crude oil'!AG234</f>
        <v>0</v>
      </c>
      <c r="AH233">
        <f>'raw data Crude oil'!AH234</f>
        <v>0</v>
      </c>
      <c r="AI233">
        <f>'raw data Crude oil'!AI234</f>
        <v>0</v>
      </c>
      <c r="AJ233">
        <f>'raw data Crude oil'!AJ234</f>
        <v>0</v>
      </c>
      <c r="AK233">
        <f>'raw data Crude oil'!AK234</f>
        <v>0</v>
      </c>
    </row>
    <row r="234" spans="1:37" x14ac:dyDescent="0.3">
      <c r="A234" s="18">
        <f>'raw data Crude oil'!A235</f>
        <v>43062</v>
      </c>
      <c r="B234">
        <f>'raw data Crude oil'!B235</f>
        <v>63.55</v>
      </c>
      <c r="C234">
        <f>'raw data Crude oil'!C235</f>
        <v>63.24</v>
      </c>
      <c r="D234">
        <f>'raw data Crude oil'!D235</f>
        <v>62.97</v>
      </c>
      <c r="E234">
        <f>'raw data Crude oil'!E235</f>
        <v>62.73</v>
      </c>
      <c r="F234">
        <f>'raw data Crude oil'!F235</f>
        <v>62.52</v>
      </c>
      <c r="G234">
        <f>'raw data Crude oil'!G235</f>
        <v>62.32</v>
      </c>
      <c r="H234">
        <f>'raw data Crude oil'!H235</f>
        <v>62.11</v>
      </c>
      <c r="I234">
        <f>'raw data Crude oil'!I235</f>
        <v>61.86</v>
      </c>
      <c r="J234">
        <f>'raw data Crude oil'!J235</f>
        <v>61.57</v>
      </c>
      <c r="K234">
        <f>'raw data Crude oil'!K235</f>
        <v>61.26</v>
      </c>
      <c r="L234">
        <f>'raw data Crude oil'!L235</f>
        <v>60.93</v>
      </c>
      <c r="M234">
        <f>'raw data Crude oil'!M235</f>
        <v>60.61</v>
      </c>
      <c r="N234">
        <f>'raw data Crude oil'!N235</f>
        <v>58.02</v>
      </c>
      <c r="O234">
        <f>'raw data Crude oil'!O235</f>
        <v>58.02</v>
      </c>
      <c r="P234">
        <f>'raw data Crude oil'!P235</f>
        <v>57.94</v>
      </c>
      <c r="Q234">
        <f>'raw data Crude oil'!Q235</f>
        <v>57.78</v>
      </c>
      <c r="R234">
        <f>'raw data Crude oil'!R235</f>
        <v>57.55</v>
      </c>
      <c r="S234">
        <f>'raw data Crude oil'!S235</f>
        <v>57.24</v>
      </c>
      <c r="T234">
        <f>'raw data Crude oil'!T235</f>
        <v>56.88</v>
      </c>
      <c r="U234">
        <f>'raw data Crude oil'!U235</f>
        <v>56.5</v>
      </c>
      <c r="V234">
        <f>'raw data Crude oil'!V235</f>
        <v>56.13</v>
      </c>
      <c r="W234">
        <f>'raw data Crude oil'!W235</f>
        <v>55.79</v>
      </c>
      <c r="X234">
        <f>'raw data Crude oil'!X235</f>
        <v>55.46</v>
      </c>
      <c r="Y234">
        <f>'raw data Crude oil'!Y235</f>
        <v>55.16</v>
      </c>
      <c r="Z234">
        <f>'raw data Crude oil'!Z235</f>
        <v>0</v>
      </c>
      <c r="AA234">
        <f>'raw data Crude oil'!AA235</f>
        <v>0</v>
      </c>
      <c r="AB234">
        <f>'raw data Crude oil'!AB235</f>
        <v>0</v>
      </c>
      <c r="AC234">
        <f>'raw data Crude oil'!AC235</f>
        <v>0</v>
      </c>
      <c r="AD234">
        <f>'raw data Crude oil'!AD235</f>
        <v>0</v>
      </c>
      <c r="AE234">
        <f>'raw data Crude oil'!AE235</f>
        <v>0</v>
      </c>
      <c r="AF234">
        <f>'raw data Crude oil'!AF235</f>
        <v>0</v>
      </c>
      <c r="AG234">
        <f>'raw data Crude oil'!AG235</f>
        <v>0</v>
      </c>
      <c r="AH234">
        <f>'raw data Crude oil'!AH235</f>
        <v>0</v>
      </c>
      <c r="AI234">
        <f>'raw data Crude oil'!AI235</f>
        <v>0</v>
      </c>
      <c r="AJ234">
        <f>'raw data Crude oil'!AJ235</f>
        <v>0</v>
      </c>
      <c r="AK234">
        <f>'raw data Crude oil'!AK235</f>
        <v>0</v>
      </c>
    </row>
    <row r="235" spans="1:37" x14ac:dyDescent="0.3">
      <c r="A235" s="18">
        <f>'raw data Crude oil'!A236</f>
        <v>43063</v>
      </c>
      <c r="B235">
        <f>'raw data Crude oil'!B236</f>
        <v>63.86</v>
      </c>
      <c r="C235">
        <f>'raw data Crude oil'!C236</f>
        <v>63.47</v>
      </c>
      <c r="D235">
        <f>'raw data Crude oil'!D236</f>
        <v>63.18</v>
      </c>
      <c r="E235">
        <f>'raw data Crude oil'!E236</f>
        <v>62.93</v>
      </c>
      <c r="F235">
        <f>'raw data Crude oil'!F236</f>
        <v>62.71</v>
      </c>
      <c r="G235">
        <f>'raw data Crude oil'!G236</f>
        <v>62.51</v>
      </c>
      <c r="H235">
        <f>'raw data Crude oil'!H236</f>
        <v>62.29</v>
      </c>
      <c r="I235">
        <f>'raw data Crude oil'!I236</f>
        <v>62.02</v>
      </c>
      <c r="J235">
        <f>'raw data Crude oil'!J236</f>
        <v>61.71</v>
      </c>
      <c r="K235">
        <f>'raw data Crude oil'!K236</f>
        <v>61.39</v>
      </c>
      <c r="L235">
        <f>'raw data Crude oil'!L236</f>
        <v>61.06</v>
      </c>
      <c r="M235">
        <f>'raw data Crude oil'!M236</f>
        <v>60.73</v>
      </c>
      <c r="N235">
        <f>'raw data Crude oil'!N236</f>
        <v>58.95</v>
      </c>
      <c r="O235">
        <f>'raw data Crude oil'!O236</f>
        <v>58.91</v>
      </c>
      <c r="P235">
        <f>'raw data Crude oil'!P236</f>
        <v>58.73</v>
      </c>
      <c r="Q235">
        <f>'raw data Crude oil'!Q236</f>
        <v>58.48</v>
      </c>
      <c r="R235">
        <f>'raw data Crude oil'!R236</f>
        <v>58.17</v>
      </c>
      <c r="S235">
        <f>'raw data Crude oil'!S236</f>
        <v>57.81</v>
      </c>
      <c r="T235">
        <f>'raw data Crude oil'!T236</f>
        <v>57.42</v>
      </c>
      <c r="U235">
        <f>'raw data Crude oil'!U236</f>
        <v>57.04</v>
      </c>
      <c r="V235">
        <f>'raw data Crude oil'!V236</f>
        <v>56.68</v>
      </c>
      <c r="W235">
        <f>'raw data Crude oil'!W236</f>
        <v>56.34</v>
      </c>
      <c r="X235">
        <f>'raw data Crude oil'!X236</f>
        <v>56.02</v>
      </c>
      <c r="Y235">
        <f>'raw data Crude oil'!Y236</f>
        <v>55.71</v>
      </c>
      <c r="Z235">
        <f>'raw data Crude oil'!Z236</f>
        <v>0</v>
      </c>
      <c r="AA235">
        <f>'raw data Crude oil'!AA236</f>
        <v>0</v>
      </c>
      <c r="AB235">
        <f>'raw data Crude oil'!AB236</f>
        <v>0</v>
      </c>
      <c r="AC235">
        <f>'raw data Crude oil'!AC236</f>
        <v>0</v>
      </c>
      <c r="AD235">
        <f>'raw data Crude oil'!AD236</f>
        <v>0</v>
      </c>
      <c r="AE235">
        <f>'raw data Crude oil'!AE236</f>
        <v>0</v>
      </c>
      <c r="AF235">
        <f>'raw data Crude oil'!AF236</f>
        <v>0</v>
      </c>
      <c r="AG235">
        <f>'raw data Crude oil'!AG236</f>
        <v>0</v>
      </c>
      <c r="AH235">
        <f>'raw data Crude oil'!AH236</f>
        <v>0</v>
      </c>
      <c r="AI235">
        <f>'raw data Crude oil'!AI236</f>
        <v>0</v>
      </c>
      <c r="AJ235">
        <f>'raw data Crude oil'!AJ236</f>
        <v>0</v>
      </c>
      <c r="AK235">
        <f>'raw data Crude oil'!AK236</f>
        <v>0</v>
      </c>
    </row>
    <row r="236" spans="1:37" x14ac:dyDescent="0.3">
      <c r="A236" s="18">
        <f>'raw data Crude oil'!A237</f>
        <v>43066</v>
      </c>
      <c r="B236">
        <f>'raw data Crude oil'!B237</f>
        <v>63.84</v>
      </c>
      <c r="C236">
        <f>'raw data Crude oil'!C237</f>
        <v>63.38</v>
      </c>
      <c r="D236">
        <f>'raw data Crude oil'!D237</f>
        <v>63.09</v>
      </c>
      <c r="E236">
        <f>'raw data Crude oil'!E237</f>
        <v>62.83</v>
      </c>
      <c r="F236">
        <f>'raw data Crude oil'!F237</f>
        <v>62.61</v>
      </c>
      <c r="G236">
        <f>'raw data Crude oil'!G237</f>
        <v>62.42</v>
      </c>
      <c r="H236">
        <f>'raw data Crude oil'!H237</f>
        <v>62.22</v>
      </c>
      <c r="I236">
        <f>'raw data Crude oil'!I237</f>
        <v>61.98</v>
      </c>
      <c r="J236">
        <f>'raw data Crude oil'!J237</f>
        <v>61.7</v>
      </c>
      <c r="K236">
        <f>'raw data Crude oil'!K237</f>
        <v>61.4</v>
      </c>
      <c r="L236">
        <f>'raw data Crude oil'!L237</f>
        <v>61.1</v>
      </c>
      <c r="M236">
        <f>'raw data Crude oil'!M237</f>
        <v>60.8</v>
      </c>
      <c r="N236">
        <f>'raw data Crude oil'!N237</f>
        <v>58.11</v>
      </c>
      <c r="O236">
        <f>'raw data Crude oil'!O237</f>
        <v>58.16</v>
      </c>
      <c r="P236">
        <f>'raw data Crude oil'!P237</f>
        <v>58.08</v>
      </c>
      <c r="Q236">
        <f>'raw data Crude oil'!Q237</f>
        <v>57.92</v>
      </c>
      <c r="R236">
        <f>'raw data Crude oil'!R237</f>
        <v>57.7</v>
      </c>
      <c r="S236">
        <f>'raw data Crude oil'!S237</f>
        <v>57.41</v>
      </c>
      <c r="T236">
        <f>'raw data Crude oil'!T237</f>
        <v>57.1</v>
      </c>
      <c r="U236">
        <f>'raw data Crude oil'!U237</f>
        <v>56.78</v>
      </c>
      <c r="V236">
        <f>'raw data Crude oil'!V237</f>
        <v>56.45</v>
      </c>
      <c r="W236">
        <f>'raw data Crude oil'!W237</f>
        <v>56.15</v>
      </c>
      <c r="X236">
        <f>'raw data Crude oil'!X237</f>
        <v>55.88</v>
      </c>
      <c r="Y236">
        <f>'raw data Crude oil'!Y237</f>
        <v>55.6</v>
      </c>
      <c r="Z236">
        <f>'raw data Crude oil'!Z237</f>
        <v>0</v>
      </c>
      <c r="AA236">
        <f>'raw data Crude oil'!AA237</f>
        <v>0</v>
      </c>
      <c r="AB236">
        <f>'raw data Crude oil'!AB237</f>
        <v>0</v>
      </c>
      <c r="AC236">
        <f>'raw data Crude oil'!AC237</f>
        <v>0</v>
      </c>
      <c r="AD236">
        <f>'raw data Crude oil'!AD237</f>
        <v>0</v>
      </c>
      <c r="AE236">
        <f>'raw data Crude oil'!AE237</f>
        <v>0</v>
      </c>
      <c r="AF236">
        <f>'raw data Crude oil'!AF237</f>
        <v>0</v>
      </c>
      <c r="AG236">
        <f>'raw data Crude oil'!AG237</f>
        <v>0</v>
      </c>
      <c r="AH236">
        <f>'raw data Crude oil'!AH237</f>
        <v>0</v>
      </c>
      <c r="AI236">
        <f>'raw data Crude oil'!AI237</f>
        <v>0</v>
      </c>
      <c r="AJ236">
        <f>'raw data Crude oil'!AJ237</f>
        <v>0</v>
      </c>
      <c r="AK236">
        <f>'raw data Crude oil'!AK237</f>
        <v>0</v>
      </c>
    </row>
    <row r="237" spans="1:37" x14ac:dyDescent="0.3">
      <c r="A237" s="18">
        <f>'raw data Crude oil'!A238</f>
        <v>43067</v>
      </c>
      <c r="B237">
        <f>'raw data Crude oil'!B238</f>
        <v>63.61</v>
      </c>
      <c r="C237">
        <f>'raw data Crude oil'!C238</f>
        <v>63.24</v>
      </c>
      <c r="D237">
        <f>'raw data Crude oil'!D238</f>
        <v>62.99</v>
      </c>
      <c r="E237">
        <f>'raw data Crude oil'!E238</f>
        <v>62.75</v>
      </c>
      <c r="F237">
        <f>'raw data Crude oil'!F238</f>
        <v>62.55</v>
      </c>
      <c r="G237">
        <f>'raw data Crude oil'!G238</f>
        <v>62.38</v>
      </c>
      <c r="H237">
        <f>'raw data Crude oil'!H238</f>
        <v>62.19</v>
      </c>
      <c r="I237">
        <f>'raw data Crude oil'!I238</f>
        <v>61.95</v>
      </c>
      <c r="J237">
        <f>'raw data Crude oil'!J238</f>
        <v>61.67</v>
      </c>
      <c r="K237">
        <f>'raw data Crude oil'!K238</f>
        <v>61.38</v>
      </c>
      <c r="L237">
        <f>'raw data Crude oil'!L238</f>
        <v>61.08</v>
      </c>
      <c r="M237">
        <f>'raw data Crude oil'!M238</f>
        <v>60.79</v>
      </c>
      <c r="N237">
        <f>'raw data Crude oil'!N238</f>
        <v>57.99</v>
      </c>
      <c r="O237">
        <f>'raw data Crude oil'!O238</f>
        <v>58.05</v>
      </c>
      <c r="P237">
        <f>'raw data Crude oil'!P238</f>
        <v>58</v>
      </c>
      <c r="Q237">
        <f>'raw data Crude oil'!Q238</f>
        <v>57.88</v>
      </c>
      <c r="R237">
        <f>'raw data Crude oil'!R238</f>
        <v>57.68</v>
      </c>
      <c r="S237">
        <f>'raw data Crude oil'!S238</f>
        <v>57.4</v>
      </c>
      <c r="T237">
        <f>'raw data Crude oil'!T238</f>
        <v>57.1</v>
      </c>
      <c r="U237">
        <f>'raw data Crude oil'!U238</f>
        <v>56.75</v>
      </c>
      <c r="V237">
        <f>'raw data Crude oil'!V238</f>
        <v>56.46</v>
      </c>
      <c r="W237">
        <f>'raw data Crude oil'!W238</f>
        <v>56.15</v>
      </c>
      <c r="X237">
        <f>'raw data Crude oil'!X238</f>
        <v>55.87</v>
      </c>
      <c r="Y237">
        <f>'raw data Crude oil'!Y238</f>
        <v>55.57</v>
      </c>
      <c r="Z237">
        <f>'raw data Crude oil'!Z238</f>
        <v>0</v>
      </c>
      <c r="AA237">
        <f>'raw data Crude oil'!AA238</f>
        <v>0</v>
      </c>
      <c r="AB237">
        <f>'raw data Crude oil'!AB238</f>
        <v>0</v>
      </c>
      <c r="AC237">
        <f>'raw data Crude oil'!AC238</f>
        <v>0</v>
      </c>
      <c r="AD237">
        <f>'raw data Crude oil'!AD238</f>
        <v>0</v>
      </c>
      <c r="AE237">
        <f>'raw data Crude oil'!AE238</f>
        <v>0</v>
      </c>
      <c r="AF237">
        <f>'raw data Crude oil'!AF238</f>
        <v>0</v>
      </c>
      <c r="AG237">
        <f>'raw data Crude oil'!AG238</f>
        <v>0</v>
      </c>
      <c r="AH237">
        <f>'raw data Crude oil'!AH238</f>
        <v>0</v>
      </c>
      <c r="AI237">
        <f>'raw data Crude oil'!AI238</f>
        <v>0</v>
      </c>
      <c r="AJ237">
        <f>'raw data Crude oil'!AJ238</f>
        <v>0</v>
      </c>
      <c r="AK237">
        <f>'raw data Crude oil'!AK238</f>
        <v>0</v>
      </c>
    </row>
    <row r="238" spans="1:37" x14ac:dyDescent="0.3">
      <c r="A238" s="18">
        <f>'raw data Crude oil'!A239</f>
        <v>43068</v>
      </c>
      <c r="B238">
        <f>'raw data Crude oil'!B239</f>
        <v>63.11</v>
      </c>
      <c r="C238">
        <f>'raw data Crude oil'!C239</f>
        <v>62.53</v>
      </c>
      <c r="D238">
        <f>'raw data Crude oil'!D239</f>
        <v>62.24</v>
      </c>
      <c r="E238">
        <f>'raw data Crude oil'!E239</f>
        <v>61.99</v>
      </c>
      <c r="F238">
        <f>'raw data Crude oil'!F239</f>
        <v>61.78</v>
      </c>
      <c r="G238">
        <f>'raw data Crude oil'!G239</f>
        <v>61.6</v>
      </c>
      <c r="H238">
        <f>'raw data Crude oil'!H239</f>
        <v>61.4</v>
      </c>
      <c r="I238">
        <f>'raw data Crude oil'!I239</f>
        <v>61.16</v>
      </c>
      <c r="J238">
        <f>'raw data Crude oil'!J239</f>
        <v>60.89</v>
      </c>
      <c r="K238">
        <f>'raw data Crude oil'!K239</f>
        <v>60.61</v>
      </c>
      <c r="L238">
        <f>'raw data Crude oil'!L239</f>
        <v>60.33</v>
      </c>
      <c r="M238">
        <f>'raw data Crude oil'!M239</f>
        <v>60.05</v>
      </c>
      <c r="N238">
        <f>'raw data Crude oil'!N239</f>
        <v>57.3</v>
      </c>
      <c r="O238">
        <f>'raw data Crude oil'!O239</f>
        <v>57.36</v>
      </c>
      <c r="P238">
        <f>'raw data Crude oil'!P239</f>
        <v>57.31</v>
      </c>
      <c r="Q238">
        <f>'raw data Crude oil'!Q239</f>
        <v>57.2</v>
      </c>
      <c r="R238">
        <f>'raw data Crude oil'!R239</f>
        <v>57.01</v>
      </c>
      <c r="S238">
        <f>'raw data Crude oil'!S239</f>
        <v>56.75</v>
      </c>
      <c r="T238">
        <f>'raw data Crude oil'!T239</f>
        <v>56.44</v>
      </c>
      <c r="U238">
        <f>'raw data Crude oil'!U239</f>
        <v>56.12</v>
      </c>
      <c r="V238">
        <f>'raw data Crude oil'!V239</f>
        <v>55.82</v>
      </c>
      <c r="W238">
        <f>'raw data Crude oil'!W239</f>
        <v>55.53</v>
      </c>
      <c r="X238">
        <f>'raw data Crude oil'!X239</f>
        <v>55.26</v>
      </c>
      <c r="Y238">
        <f>'raw data Crude oil'!Y239</f>
        <v>55</v>
      </c>
      <c r="Z238">
        <f>'raw data Crude oil'!Z239</f>
        <v>0</v>
      </c>
      <c r="AA238">
        <f>'raw data Crude oil'!AA239</f>
        <v>0</v>
      </c>
      <c r="AB238">
        <f>'raw data Crude oil'!AB239</f>
        <v>0</v>
      </c>
      <c r="AC238">
        <f>'raw data Crude oil'!AC239</f>
        <v>0</v>
      </c>
      <c r="AD238">
        <f>'raw data Crude oil'!AD239</f>
        <v>0</v>
      </c>
      <c r="AE238">
        <f>'raw data Crude oil'!AE239</f>
        <v>0</v>
      </c>
      <c r="AF238">
        <f>'raw data Crude oil'!AF239</f>
        <v>0</v>
      </c>
      <c r="AG238">
        <f>'raw data Crude oil'!AG239</f>
        <v>0</v>
      </c>
      <c r="AH238">
        <f>'raw data Crude oil'!AH239</f>
        <v>0</v>
      </c>
      <c r="AI238">
        <f>'raw data Crude oil'!AI239</f>
        <v>0</v>
      </c>
      <c r="AJ238">
        <f>'raw data Crude oil'!AJ239</f>
        <v>0</v>
      </c>
      <c r="AK238">
        <f>'raw data Crude oil'!AK239</f>
        <v>0</v>
      </c>
    </row>
    <row r="239" spans="1:37" x14ac:dyDescent="0.3">
      <c r="A239" s="18">
        <f>'raw data Crude oil'!A240</f>
        <v>43069</v>
      </c>
      <c r="B239">
        <f>'raw data Crude oil'!B240</f>
        <v>63.57</v>
      </c>
      <c r="C239">
        <f>'raw data Crude oil'!C240</f>
        <v>62.63</v>
      </c>
      <c r="D239">
        <f>'raw data Crude oil'!D240</f>
        <v>62.34</v>
      </c>
      <c r="E239">
        <f>'raw data Crude oil'!E240</f>
        <v>62.07</v>
      </c>
      <c r="F239">
        <f>'raw data Crude oil'!F240</f>
        <v>61.84</v>
      </c>
      <c r="G239">
        <f>'raw data Crude oil'!G240</f>
        <v>61.63</v>
      </c>
      <c r="H239">
        <f>'raw data Crude oil'!H240</f>
        <v>61.4</v>
      </c>
      <c r="I239">
        <f>'raw data Crude oil'!I240</f>
        <v>61.12</v>
      </c>
      <c r="J239">
        <f>'raw data Crude oil'!J240</f>
        <v>60.82</v>
      </c>
      <c r="K239">
        <f>'raw data Crude oil'!K240</f>
        <v>60.52</v>
      </c>
      <c r="L239">
        <f>'raw data Crude oil'!L240</f>
        <v>60.22</v>
      </c>
      <c r="M239">
        <f>'raw data Crude oil'!M240</f>
        <v>59.93</v>
      </c>
      <c r="N239">
        <f>'raw data Crude oil'!N240</f>
        <v>57.4</v>
      </c>
      <c r="O239">
        <f>'raw data Crude oil'!O240</f>
        <v>57.45</v>
      </c>
      <c r="P239">
        <f>'raw data Crude oil'!P240</f>
        <v>57.4</v>
      </c>
      <c r="Q239">
        <f>'raw data Crude oil'!Q240</f>
        <v>57.28</v>
      </c>
      <c r="R239">
        <f>'raw data Crude oil'!R240</f>
        <v>57.09</v>
      </c>
      <c r="S239">
        <f>'raw data Crude oil'!S240</f>
        <v>56.82</v>
      </c>
      <c r="T239">
        <f>'raw data Crude oil'!T240</f>
        <v>56.5</v>
      </c>
      <c r="U239">
        <f>'raw data Crude oil'!U240</f>
        <v>56.17</v>
      </c>
      <c r="V239">
        <f>'raw data Crude oil'!V240</f>
        <v>55.86</v>
      </c>
      <c r="W239">
        <f>'raw data Crude oil'!W240</f>
        <v>55.55</v>
      </c>
      <c r="X239">
        <f>'raw data Crude oil'!X240</f>
        <v>55.25</v>
      </c>
      <c r="Y239">
        <f>'raw data Crude oil'!Y240</f>
        <v>55</v>
      </c>
      <c r="Z239">
        <f>'raw data Crude oil'!Z240</f>
        <v>0</v>
      </c>
      <c r="AA239">
        <f>'raw data Crude oil'!AA240</f>
        <v>0</v>
      </c>
      <c r="AB239">
        <f>'raw data Crude oil'!AB240</f>
        <v>0</v>
      </c>
      <c r="AC239">
        <f>'raw data Crude oil'!AC240</f>
        <v>0</v>
      </c>
      <c r="AD239">
        <f>'raw data Crude oil'!AD240</f>
        <v>0</v>
      </c>
      <c r="AE239">
        <f>'raw data Crude oil'!AE240</f>
        <v>0</v>
      </c>
      <c r="AF239">
        <f>'raw data Crude oil'!AF240</f>
        <v>0</v>
      </c>
      <c r="AG239">
        <f>'raw data Crude oil'!AG240</f>
        <v>0</v>
      </c>
      <c r="AH239">
        <f>'raw data Crude oil'!AH240</f>
        <v>0</v>
      </c>
      <c r="AI239">
        <f>'raw data Crude oil'!AI240</f>
        <v>0</v>
      </c>
      <c r="AJ239">
        <f>'raw data Crude oil'!AJ240</f>
        <v>0</v>
      </c>
      <c r="AK239">
        <f>'raw data Crude oil'!AK240</f>
        <v>0</v>
      </c>
    </row>
    <row r="240" spans="1:37" x14ac:dyDescent="0.3">
      <c r="A240" s="18">
        <f>'raw data Crude oil'!A241</f>
        <v>43070</v>
      </c>
      <c r="B240">
        <f>'raw data Crude oil'!B241</f>
        <v>63.73</v>
      </c>
      <c r="C240">
        <f>'raw data Crude oil'!C241</f>
        <v>63.46</v>
      </c>
      <c r="D240">
        <f>'raw data Crude oil'!D241</f>
        <v>63.19</v>
      </c>
      <c r="E240">
        <f>'raw data Crude oil'!E241</f>
        <v>62.94</v>
      </c>
      <c r="F240">
        <f>'raw data Crude oil'!F241</f>
        <v>62.71</v>
      </c>
      <c r="G240">
        <f>'raw data Crude oil'!G241</f>
        <v>62.45</v>
      </c>
      <c r="H240">
        <f>'raw data Crude oil'!H241</f>
        <v>62.15</v>
      </c>
      <c r="I240">
        <f>'raw data Crude oil'!I241</f>
        <v>61.83</v>
      </c>
      <c r="J240">
        <f>'raw data Crude oil'!J241</f>
        <v>61.5</v>
      </c>
      <c r="K240">
        <f>'raw data Crude oil'!K241</f>
        <v>61.18</v>
      </c>
      <c r="L240">
        <f>'raw data Crude oil'!L241</f>
        <v>60.85</v>
      </c>
      <c r="M240">
        <f>'raw data Crude oil'!M241</f>
        <v>60.56</v>
      </c>
      <c r="N240">
        <f>'raw data Crude oil'!N241</f>
        <v>58.36</v>
      </c>
      <c r="O240">
        <f>'raw data Crude oil'!O241</f>
        <v>58.38</v>
      </c>
      <c r="P240">
        <f>'raw data Crude oil'!P241</f>
        <v>58.31</v>
      </c>
      <c r="Q240">
        <f>'raw data Crude oil'!Q241</f>
        <v>58.17</v>
      </c>
      <c r="R240">
        <f>'raw data Crude oil'!R241</f>
        <v>57.95</v>
      </c>
      <c r="S240">
        <f>'raw data Crude oil'!S241</f>
        <v>57.66</v>
      </c>
      <c r="T240">
        <f>'raw data Crude oil'!T241</f>
        <v>57.32</v>
      </c>
      <c r="U240">
        <f>'raw data Crude oil'!U241</f>
        <v>56.96</v>
      </c>
      <c r="V240">
        <f>'raw data Crude oil'!V241</f>
        <v>56.6</v>
      </c>
      <c r="W240">
        <f>'raw data Crude oil'!W241</f>
        <v>56.26</v>
      </c>
      <c r="X240">
        <f>'raw data Crude oil'!X241</f>
        <v>55.93</v>
      </c>
      <c r="Y240">
        <f>'raw data Crude oil'!Y241</f>
        <v>55.62</v>
      </c>
      <c r="Z240">
        <f>'raw data Crude oil'!Z241</f>
        <v>0</v>
      </c>
      <c r="AA240">
        <f>'raw data Crude oil'!AA241</f>
        <v>0</v>
      </c>
      <c r="AB240">
        <f>'raw data Crude oil'!AB241</f>
        <v>0</v>
      </c>
      <c r="AC240">
        <f>'raw data Crude oil'!AC241</f>
        <v>0</v>
      </c>
      <c r="AD240">
        <f>'raw data Crude oil'!AD241</f>
        <v>0</v>
      </c>
      <c r="AE240">
        <f>'raw data Crude oil'!AE241</f>
        <v>0</v>
      </c>
      <c r="AF240">
        <f>'raw data Crude oil'!AF241</f>
        <v>0</v>
      </c>
      <c r="AG240">
        <f>'raw data Crude oil'!AG241</f>
        <v>0</v>
      </c>
      <c r="AH240">
        <f>'raw data Crude oil'!AH241</f>
        <v>0</v>
      </c>
      <c r="AI240">
        <f>'raw data Crude oil'!AI241</f>
        <v>0</v>
      </c>
      <c r="AJ240">
        <f>'raw data Crude oil'!AJ241</f>
        <v>0</v>
      </c>
      <c r="AK240">
        <f>'raw data Crude oil'!AK241</f>
        <v>0</v>
      </c>
    </row>
    <row r="241" spans="1:37" x14ac:dyDescent="0.3">
      <c r="A241" s="18">
        <f>'raw data Crude oil'!A242</f>
        <v>43073</v>
      </c>
      <c r="B241">
        <f>'raw data Crude oil'!B242</f>
        <v>62.45</v>
      </c>
      <c r="C241">
        <f>'raw data Crude oil'!C242</f>
        <v>62.24</v>
      </c>
      <c r="D241">
        <f>'raw data Crude oil'!D242</f>
        <v>62.04</v>
      </c>
      <c r="E241">
        <f>'raw data Crude oil'!E242</f>
        <v>61.87</v>
      </c>
      <c r="F241">
        <f>'raw data Crude oil'!F242</f>
        <v>61.7</v>
      </c>
      <c r="G241">
        <f>'raw data Crude oil'!G242</f>
        <v>61.5</v>
      </c>
      <c r="H241">
        <f>'raw data Crude oil'!H242</f>
        <v>61.26</v>
      </c>
      <c r="I241">
        <f>'raw data Crude oil'!I242</f>
        <v>60.99</v>
      </c>
      <c r="J241">
        <f>'raw data Crude oil'!J242</f>
        <v>60.71</v>
      </c>
      <c r="K241">
        <f>'raw data Crude oil'!K242</f>
        <v>60.44</v>
      </c>
      <c r="L241">
        <f>'raw data Crude oil'!L242</f>
        <v>60.16</v>
      </c>
      <c r="M241">
        <f>'raw data Crude oil'!M242</f>
        <v>59.92</v>
      </c>
      <c r="N241">
        <f>'raw data Crude oil'!N242</f>
        <v>57.47</v>
      </c>
      <c r="O241">
        <f>'raw data Crude oil'!O242</f>
        <v>57.49</v>
      </c>
      <c r="P241">
        <f>'raw data Crude oil'!P242</f>
        <v>57.42</v>
      </c>
      <c r="Q241">
        <f>'raw data Crude oil'!Q242</f>
        <v>57.31</v>
      </c>
      <c r="R241">
        <f>'raw data Crude oil'!R242</f>
        <v>57.12</v>
      </c>
      <c r="S241">
        <f>'raw data Crude oil'!S242</f>
        <v>56.87</v>
      </c>
      <c r="T241">
        <f>'raw data Crude oil'!T242</f>
        <v>56.58</v>
      </c>
      <c r="U241">
        <f>'raw data Crude oil'!U242</f>
        <v>56.27</v>
      </c>
      <c r="V241">
        <f>'raw data Crude oil'!V242</f>
        <v>55.96</v>
      </c>
      <c r="W241">
        <f>'raw data Crude oil'!W242</f>
        <v>55.66</v>
      </c>
      <c r="X241">
        <f>'raw data Crude oil'!X242</f>
        <v>55.37</v>
      </c>
      <c r="Y241">
        <f>'raw data Crude oil'!Y242</f>
        <v>55.09</v>
      </c>
      <c r="Z241">
        <f>'raw data Crude oil'!Z242</f>
        <v>0</v>
      </c>
      <c r="AA241">
        <f>'raw data Crude oil'!AA242</f>
        <v>0</v>
      </c>
      <c r="AB241">
        <f>'raw data Crude oil'!AB242</f>
        <v>0</v>
      </c>
      <c r="AC241">
        <f>'raw data Crude oil'!AC242</f>
        <v>0</v>
      </c>
      <c r="AD241">
        <f>'raw data Crude oil'!AD242</f>
        <v>0</v>
      </c>
      <c r="AE241">
        <f>'raw data Crude oil'!AE242</f>
        <v>0</v>
      </c>
      <c r="AF241">
        <f>'raw data Crude oil'!AF242</f>
        <v>0</v>
      </c>
      <c r="AG241">
        <f>'raw data Crude oil'!AG242</f>
        <v>0</v>
      </c>
      <c r="AH241">
        <f>'raw data Crude oil'!AH242</f>
        <v>0</v>
      </c>
      <c r="AI241">
        <f>'raw data Crude oil'!AI242</f>
        <v>0</v>
      </c>
      <c r="AJ241">
        <f>'raw data Crude oil'!AJ242</f>
        <v>0</v>
      </c>
      <c r="AK241">
        <f>'raw data Crude oil'!AK242</f>
        <v>0</v>
      </c>
    </row>
    <row r="242" spans="1:37" x14ac:dyDescent="0.3">
      <c r="A242" s="18">
        <f>'raw data Crude oil'!A243</f>
        <v>43074</v>
      </c>
      <c r="B242">
        <f>'raw data Crude oil'!B243</f>
        <v>62.86</v>
      </c>
      <c r="C242">
        <f>'raw data Crude oil'!C243</f>
        <v>62.64</v>
      </c>
      <c r="D242">
        <f>'raw data Crude oil'!D243</f>
        <v>62.43</v>
      </c>
      <c r="E242">
        <f>'raw data Crude oil'!E243</f>
        <v>62.26</v>
      </c>
      <c r="F242">
        <f>'raw data Crude oil'!F243</f>
        <v>62.1</v>
      </c>
      <c r="G242">
        <f>'raw data Crude oil'!G243</f>
        <v>61.91</v>
      </c>
      <c r="H242">
        <f>'raw data Crude oil'!H243</f>
        <v>61.68</v>
      </c>
      <c r="I242">
        <f>'raw data Crude oil'!I243</f>
        <v>61.41</v>
      </c>
      <c r="J242">
        <f>'raw data Crude oil'!J243</f>
        <v>61.14</v>
      </c>
      <c r="K242">
        <f>'raw data Crude oil'!K243</f>
        <v>60.88</v>
      </c>
      <c r="L242">
        <f>'raw data Crude oil'!L243</f>
        <v>60.6</v>
      </c>
      <c r="M242">
        <f>'raw data Crude oil'!M243</f>
        <v>60.38</v>
      </c>
      <c r="N242">
        <f>'raw data Crude oil'!N243</f>
        <v>57.62</v>
      </c>
      <c r="O242">
        <f>'raw data Crude oil'!O243</f>
        <v>57.67</v>
      </c>
      <c r="P242">
        <f>'raw data Crude oil'!P243</f>
        <v>57.65</v>
      </c>
      <c r="Q242">
        <f>'raw data Crude oil'!Q243</f>
        <v>57.58</v>
      </c>
      <c r="R242">
        <f>'raw data Crude oil'!R243</f>
        <v>57.44</v>
      </c>
      <c r="S242">
        <f>'raw data Crude oil'!S243</f>
        <v>57.21</v>
      </c>
      <c r="T242">
        <f>'raw data Crude oil'!T243</f>
        <v>56.94</v>
      </c>
      <c r="U242">
        <f>'raw data Crude oil'!U243</f>
        <v>56.63</v>
      </c>
      <c r="V242">
        <f>'raw data Crude oil'!V243</f>
        <v>56.32</v>
      </c>
      <c r="W242">
        <f>'raw data Crude oil'!W243</f>
        <v>56.02</v>
      </c>
      <c r="X242">
        <f>'raw data Crude oil'!X243</f>
        <v>55.73</v>
      </c>
      <c r="Y242">
        <f>'raw data Crude oil'!Y243</f>
        <v>55.46</v>
      </c>
      <c r="Z242">
        <f>'raw data Crude oil'!Z243</f>
        <v>0</v>
      </c>
      <c r="AA242">
        <f>'raw data Crude oil'!AA243</f>
        <v>0</v>
      </c>
      <c r="AB242">
        <f>'raw data Crude oil'!AB243</f>
        <v>0</v>
      </c>
      <c r="AC242">
        <f>'raw data Crude oil'!AC243</f>
        <v>0</v>
      </c>
      <c r="AD242">
        <f>'raw data Crude oil'!AD243</f>
        <v>0</v>
      </c>
      <c r="AE242">
        <f>'raw data Crude oil'!AE243</f>
        <v>0</v>
      </c>
      <c r="AF242">
        <f>'raw data Crude oil'!AF243</f>
        <v>0</v>
      </c>
      <c r="AG242">
        <f>'raw data Crude oil'!AG243</f>
        <v>0</v>
      </c>
      <c r="AH242">
        <f>'raw data Crude oil'!AH243</f>
        <v>0</v>
      </c>
      <c r="AI242">
        <f>'raw data Crude oil'!AI243</f>
        <v>0</v>
      </c>
      <c r="AJ242">
        <f>'raw data Crude oil'!AJ243</f>
        <v>0</v>
      </c>
      <c r="AK242">
        <f>'raw data Crude oil'!AK243</f>
        <v>0</v>
      </c>
    </row>
    <row r="243" spans="1:37" x14ac:dyDescent="0.3">
      <c r="A243" s="18">
        <f>'raw data Crude oil'!A244</f>
        <v>43075</v>
      </c>
      <c r="B243">
        <f>'raw data Crude oil'!B244</f>
        <v>61.22</v>
      </c>
      <c r="C243">
        <f>'raw data Crude oil'!C244</f>
        <v>61.03</v>
      </c>
      <c r="D243">
        <f>'raw data Crude oil'!D244</f>
        <v>60.87</v>
      </c>
      <c r="E243">
        <f>'raw data Crude oil'!E244</f>
        <v>60.77</v>
      </c>
      <c r="F243">
        <f>'raw data Crude oil'!F244</f>
        <v>60.66</v>
      </c>
      <c r="G243">
        <f>'raw data Crude oil'!G244</f>
        <v>60.51</v>
      </c>
      <c r="H243">
        <f>'raw data Crude oil'!H244</f>
        <v>60.32</v>
      </c>
      <c r="I243">
        <f>'raw data Crude oil'!I244</f>
        <v>60.09</v>
      </c>
      <c r="J243">
        <f>'raw data Crude oil'!J244</f>
        <v>59.85</v>
      </c>
      <c r="K243">
        <f>'raw data Crude oil'!K244</f>
        <v>59.63</v>
      </c>
      <c r="L243">
        <f>'raw data Crude oil'!L244</f>
        <v>59.39</v>
      </c>
      <c r="M243">
        <f>'raw data Crude oil'!M244</f>
        <v>59.22</v>
      </c>
      <c r="N243">
        <f>'raw data Crude oil'!N244</f>
        <v>55.96</v>
      </c>
      <c r="O243">
        <f>'raw data Crude oil'!O244</f>
        <v>56.03</v>
      </c>
      <c r="P243">
        <f>'raw data Crude oil'!P244</f>
        <v>56.05</v>
      </c>
      <c r="Q243">
        <f>'raw data Crude oil'!Q244</f>
        <v>56.07</v>
      </c>
      <c r="R243">
        <f>'raw data Crude oil'!R244</f>
        <v>56.01</v>
      </c>
      <c r="S243">
        <f>'raw data Crude oil'!S244</f>
        <v>55.86</v>
      </c>
      <c r="T243">
        <f>'raw data Crude oil'!T244</f>
        <v>55.66</v>
      </c>
      <c r="U243">
        <f>'raw data Crude oil'!U244</f>
        <v>55.42</v>
      </c>
      <c r="V243">
        <f>'raw data Crude oil'!V244</f>
        <v>55.17</v>
      </c>
      <c r="W243">
        <f>'raw data Crude oil'!W244</f>
        <v>54.92</v>
      </c>
      <c r="X243">
        <f>'raw data Crude oil'!X244</f>
        <v>54.68</v>
      </c>
      <c r="Y243">
        <f>'raw data Crude oil'!Y244</f>
        <v>54.45</v>
      </c>
      <c r="Z243">
        <f>'raw data Crude oil'!Z244</f>
        <v>0</v>
      </c>
      <c r="AA243">
        <f>'raw data Crude oil'!AA244</f>
        <v>0</v>
      </c>
      <c r="AB243">
        <f>'raw data Crude oil'!AB244</f>
        <v>0</v>
      </c>
      <c r="AC243">
        <f>'raw data Crude oil'!AC244</f>
        <v>0</v>
      </c>
      <c r="AD243">
        <f>'raw data Crude oil'!AD244</f>
        <v>0</v>
      </c>
      <c r="AE243">
        <f>'raw data Crude oil'!AE244</f>
        <v>0</v>
      </c>
      <c r="AF243">
        <f>'raw data Crude oil'!AF244</f>
        <v>0</v>
      </c>
      <c r="AG243">
        <f>'raw data Crude oil'!AG244</f>
        <v>0</v>
      </c>
      <c r="AH243">
        <f>'raw data Crude oil'!AH244</f>
        <v>0</v>
      </c>
      <c r="AI243">
        <f>'raw data Crude oil'!AI244</f>
        <v>0</v>
      </c>
      <c r="AJ243">
        <f>'raw data Crude oil'!AJ244</f>
        <v>0</v>
      </c>
      <c r="AK243">
        <f>'raw data Crude oil'!AK244</f>
        <v>0</v>
      </c>
    </row>
    <row r="244" spans="1:37" x14ac:dyDescent="0.3">
      <c r="A244" s="18">
        <f>'raw data Crude oil'!A245</f>
        <v>43076</v>
      </c>
      <c r="B244">
        <f>'raw data Crude oil'!B245</f>
        <v>62.2</v>
      </c>
      <c r="C244">
        <f>'raw data Crude oil'!C245</f>
        <v>61.95</v>
      </c>
      <c r="D244">
        <f>'raw data Crude oil'!D245</f>
        <v>61.74</v>
      </c>
      <c r="E244">
        <f>'raw data Crude oil'!E245</f>
        <v>61.6</v>
      </c>
      <c r="F244">
        <f>'raw data Crude oil'!F245</f>
        <v>61.47</v>
      </c>
      <c r="G244">
        <f>'raw data Crude oil'!G245</f>
        <v>61.3</v>
      </c>
      <c r="H244">
        <f>'raw data Crude oil'!H245</f>
        <v>61.09</v>
      </c>
      <c r="I244">
        <f>'raw data Crude oil'!I245</f>
        <v>60.85</v>
      </c>
      <c r="J244">
        <f>'raw data Crude oil'!J245</f>
        <v>60.61</v>
      </c>
      <c r="K244">
        <f>'raw data Crude oil'!K245</f>
        <v>60.39</v>
      </c>
      <c r="L244">
        <f>'raw data Crude oil'!L245</f>
        <v>60.15</v>
      </c>
      <c r="M244">
        <f>'raw data Crude oil'!M245</f>
        <v>59.99</v>
      </c>
      <c r="N244">
        <f>'raw data Crude oil'!N245</f>
        <v>56.69</v>
      </c>
      <c r="O244">
        <f>'raw data Crude oil'!O245</f>
        <v>56.75</v>
      </c>
      <c r="P244">
        <f>'raw data Crude oil'!P245</f>
        <v>56.76</v>
      </c>
      <c r="Q244">
        <f>'raw data Crude oil'!Q245</f>
        <v>56.76</v>
      </c>
      <c r="R244">
        <f>'raw data Crude oil'!R245</f>
        <v>56.68</v>
      </c>
      <c r="S244">
        <f>'raw data Crude oil'!S245</f>
        <v>56.52</v>
      </c>
      <c r="T244">
        <f>'raw data Crude oil'!T245</f>
        <v>56.3</v>
      </c>
      <c r="U244">
        <f>'raw data Crude oil'!U245</f>
        <v>56.06</v>
      </c>
      <c r="V244">
        <f>'raw data Crude oil'!V245</f>
        <v>55.8</v>
      </c>
      <c r="W244">
        <f>'raw data Crude oil'!W245</f>
        <v>55.54</v>
      </c>
      <c r="X244">
        <f>'raw data Crude oil'!X245</f>
        <v>55.29</v>
      </c>
      <c r="Y244">
        <f>'raw data Crude oil'!Y245</f>
        <v>55.06</v>
      </c>
      <c r="Z244">
        <f>'raw data Crude oil'!Z245</f>
        <v>0</v>
      </c>
      <c r="AA244">
        <f>'raw data Crude oil'!AA245</f>
        <v>0</v>
      </c>
      <c r="AB244">
        <f>'raw data Crude oil'!AB245</f>
        <v>0</v>
      </c>
      <c r="AC244">
        <f>'raw data Crude oil'!AC245</f>
        <v>0</v>
      </c>
      <c r="AD244">
        <f>'raw data Crude oil'!AD245</f>
        <v>0</v>
      </c>
      <c r="AE244">
        <f>'raw data Crude oil'!AE245</f>
        <v>0</v>
      </c>
      <c r="AF244">
        <f>'raw data Crude oil'!AF245</f>
        <v>0</v>
      </c>
      <c r="AG244">
        <f>'raw data Crude oil'!AG245</f>
        <v>0</v>
      </c>
      <c r="AH244">
        <f>'raw data Crude oil'!AH245</f>
        <v>0</v>
      </c>
      <c r="AI244">
        <f>'raw data Crude oil'!AI245</f>
        <v>0</v>
      </c>
      <c r="AJ244">
        <f>'raw data Crude oil'!AJ245</f>
        <v>0</v>
      </c>
      <c r="AK244">
        <f>'raw data Crude oil'!AK245</f>
        <v>0</v>
      </c>
    </row>
    <row r="245" spans="1:37" x14ac:dyDescent="0.3">
      <c r="A245" s="18">
        <f>'raw data Crude oil'!A246</f>
        <v>43077</v>
      </c>
      <c r="B245">
        <f>'raw data Crude oil'!B246</f>
        <v>63.4</v>
      </c>
      <c r="C245">
        <f>'raw data Crude oil'!C246</f>
        <v>63.03</v>
      </c>
      <c r="D245">
        <f>'raw data Crude oil'!D246</f>
        <v>62.76</v>
      </c>
      <c r="E245">
        <f>'raw data Crude oil'!E246</f>
        <v>62.59</v>
      </c>
      <c r="F245">
        <f>'raw data Crude oil'!F246</f>
        <v>62.43</v>
      </c>
      <c r="G245">
        <f>'raw data Crude oil'!G246</f>
        <v>62.23</v>
      </c>
      <c r="H245">
        <f>'raw data Crude oil'!H246</f>
        <v>61.98</v>
      </c>
      <c r="I245">
        <f>'raw data Crude oil'!I246</f>
        <v>61.71</v>
      </c>
      <c r="J245">
        <f>'raw data Crude oil'!J246</f>
        <v>61.44</v>
      </c>
      <c r="K245">
        <f>'raw data Crude oil'!K246</f>
        <v>61.18</v>
      </c>
      <c r="L245">
        <f>'raw data Crude oil'!L246</f>
        <v>60.91</v>
      </c>
      <c r="M245">
        <f>'raw data Crude oil'!M246</f>
        <v>60.73</v>
      </c>
      <c r="N245">
        <f>'raw data Crude oil'!N246</f>
        <v>57.36</v>
      </c>
      <c r="O245">
        <f>'raw data Crude oil'!O246</f>
        <v>57.44</v>
      </c>
      <c r="P245">
        <f>'raw data Crude oil'!P246</f>
        <v>57.46</v>
      </c>
      <c r="Q245">
        <f>'raw data Crude oil'!Q246</f>
        <v>57.46</v>
      </c>
      <c r="R245">
        <f>'raw data Crude oil'!R246</f>
        <v>57.39</v>
      </c>
      <c r="S245">
        <f>'raw data Crude oil'!S246</f>
        <v>57.23</v>
      </c>
      <c r="T245">
        <f>'raw data Crude oil'!T246</f>
        <v>57.01</v>
      </c>
      <c r="U245">
        <f>'raw data Crude oil'!U246</f>
        <v>56.75</v>
      </c>
      <c r="V245">
        <f>'raw data Crude oil'!V246</f>
        <v>56.47</v>
      </c>
      <c r="W245">
        <f>'raw data Crude oil'!W246</f>
        <v>56.18</v>
      </c>
      <c r="X245">
        <f>'raw data Crude oil'!X246</f>
        <v>55.89</v>
      </c>
      <c r="Y245">
        <f>'raw data Crude oil'!Y246</f>
        <v>55.62</v>
      </c>
      <c r="Z245">
        <f>'raw data Crude oil'!Z246</f>
        <v>0</v>
      </c>
      <c r="AA245">
        <f>'raw data Crude oil'!AA246</f>
        <v>0</v>
      </c>
      <c r="AB245">
        <f>'raw data Crude oil'!AB246</f>
        <v>0</v>
      </c>
      <c r="AC245">
        <f>'raw data Crude oil'!AC246</f>
        <v>0</v>
      </c>
      <c r="AD245">
        <f>'raw data Crude oil'!AD246</f>
        <v>0</v>
      </c>
      <c r="AE245">
        <f>'raw data Crude oil'!AE246</f>
        <v>0</v>
      </c>
      <c r="AF245">
        <f>'raw data Crude oil'!AF246</f>
        <v>0</v>
      </c>
      <c r="AG245">
        <f>'raw data Crude oil'!AG246</f>
        <v>0</v>
      </c>
      <c r="AH245">
        <f>'raw data Crude oil'!AH246</f>
        <v>0</v>
      </c>
      <c r="AI245">
        <f>'raw data Crude oil'!AI246</f>
        <v>0</v>
      </c>
      <c r="AJ245">
        <f>'raw data Crude oil'!AJ246</f>
        <v>0</v>
      </c>
      <c r="AK245">
        <f>'raw data Crude oil'!AK246</f>
        <v>0</v>
      </c>
    </row>
    <row r="246" spans="1:37" x14ac:dyDescent="0.3">
      <c r="A246" s="18">
        <f>'raw data Crude oil'!A247</f>
        <v>43080</v>
      </c>
      <c r="B246">
        <f>'raw data Crude oil'!B247</f>
        <v>64.69</v>
      </c>
      <c r="C246">
        <f>'raw data Crude oil'!C247</f>
        <v>64</v>
      </c>
      <c r="D246">
        <f>'raw data Crude oil'!D247</f>
        <v>63.59</v>
      </c>
      <c r="E246">
        <f>'raw data Crude oil'!E247</f>
        <v>63.37</v>
      </c>
      <c r="F246">
        <f>'raw data Crude oil'!F247</f>
        <v>63.19</v>
      </c>
      <c r="G246">
        <f>'raw data Crude oil'!G247</f>
        <v>62.94</v>
      </c>
      <c r="H246">
        <f>'raw data Crude oil'!H247</f>
        <v>62.65</v>
      </c>
      <c r="I246">
        <f>'raw data Crude oil'!I247</f>
        <v>62.35</v>
      </c>
      <c r="J246">
        <f>'raw data Crude oil'!J247</f>
        <v>62.06</v>
      </c>
      <c r="K246">
        <f>'raw data Crude oil'!K247</f>
        <v>61.79</v>
      </c>
      <c r="L246">
        <f>'raw data Crude oil'!L247</f>
        <v>61.5</v>
      </c>
      <c r="M246">
        <f>'raw data Crude oil'!M247</f>
        <v>61.29</v>
      </c>
      <c r="N246">
        <f>'raw data Crude oil'!N247</f>
        <v>57.99</v>
      </c>
      <c r="O246">
        <f>'raw data Crude oil'!O247</f>
        <v>58.05</v>
      </c>
      <c r="P246">
        <f>'raw data Crude oil'!P247</f>
        <v>58.04</v>
      </c>
      <c r="Q246">
        <f>'raw data Crude oil'!Q247</f>
        <v>58.01</v>
      </c>
      <c r="R246">
        <f>'raw data Crude oil'!R247</f>
        <v>57.9</v>
      </c>
      <c r="S246">
        <f>'raw data Crude oil'!S247</f>
        <v>57.72</v>
      </c>
      <c r="T246">
        <f>'raw data Crude oil'!T247</f>
        <v>57.47</v>
      </c>
      <c r="U246">
        <f>'raw data Crude oil'!U247</f>
        <v>57.19</v>
      </c>
      <c r="V246">
        <f>'raw data Crude oil'!V247</f>
        <v>56.87</v>
      </c>
      <c r="W246">
        <f>'raw data Crude oil'!W247</f>
        <v>56.55</v>
      </c>
      <c r="X246">
        <f>'raw data Crude oil'!X247</f>
        <v>56.24</v>
      </c>
      <c r="Y246">
        <f>'raw data Crude oil'!Y247</f>
        <v>55.94</v>
      </c>
      <c r="Z246">
        <f>'raw data Crude oil'!Z247</f>
        <v>0</v>
      </c>
      <c r="AA246">
        <f>'raw data Crude oil'!AA247</f>
        <v>0</v>
      </c>
      <c r="AB246">
        <f>'raw data Crude oil'!AB247</f>
        <v>0</v>
      </c>
      <c r="AC246">
        <f>'raw data Crude oil'!AC247</f>
        <v>0</v>
      </c>
      <c r="AD246">
        <f>'raw data Crude oil'!AD247</f>
        <v>0</v>
      </c>
      <c r="AE246">
        <f>'raw data Crude oil'!AE247</f>
        <v>0</v>
      </c>
      <c r="AF246">
        <f>'raw data Crude oil'!AF247</f>
        <v>0</v>
      </c>
      <c r="AG246">
        <f>'raw data Crude oil'!AG247</f>
        <v>0</v>
      </c>
      <c r="AH246">
        <f>'raw data Crude oil'!AH247</f>
        <v>0</v>
      </c>
      <c r="AI246">
        <f>'raw data Crude oil'!AI247</f>
        <v>0</v>
      </c>
      <c r="AJ246">
        <f>'raw data Crude oil'!AJ247</f>
        <v>0</v>
      </c>
      <c r="AK246">
        <f>'raw data Crude oil'!AK247</f>
        <v>0</v>
      </c>
    </row>
    <row r="247" spans="1:37" x14ac:dyDescent="0.3">
      <c r="A247" s="18">
        <f>'raw data Crude oil'!A248</f>
        <v>43081</v>
      </c>
      <c r="B247">
        <f>'raw data Crude oil'!B248</f>
        <v>63.34</v>
      </c>
      <c r="C247">
        <f>'raw data Crude oil'!C248</f>
        <v>62.73</v>
      </c>
      <c r="D247">
        <f>'raw data Crude oil'!D248</f>
        <v>62.39</v>
      </c>
      <c r="E247">
        <f>'raw data Crude oil'!E248</f>
        <v>62.21</v>
      </c>
      <c r="F247">
        <f>'raw data Crude oil'!F248</f>
        <v>62.03</v>
      </c>
      <c r="G247">
        <f>'raw data Crude oil'!G248</f>
        <v>61.8</v>
      </c>
      <c r="H247">
        <f>'raw data Crude oil'!H248</f>
        <v>61.52</v>
      </c>
      <c r="I247">
        <f>'raw data Crude oil'!I248</f>
        <v>61.22</v>
      </c>
      <c r="J247">
        <f>'raw data Crude oil'!J248</f>
        <v>60.94</v>
      </c>
      <c r="K247">
        <f>'raw data Crude oil'!K248</f>
        <v>60.68</v>
      </c>
      <c r="L247">
        <f>'raw data Crude oil'!L248</f>
        <v>60.41</v>
      </c>
      <c r="M247">
        <f>'raw data Crude oil'!M248</f>
        <v>60.2</v>
      </c>
      <c r="N247">
        <f>'raw data Crude oil'!N248</f>
        <v>57.14</v>
      </c>
      <c r="O247">
        <f>'raw data Crude oil'!O248</f>
        <v>57.16</v>
      </c>
      <c r="P247">
        <f>'raw data Crude oil'!P248</f>
        <v>57.13</v>
      </c>
      <c r="Q247">
        <f>'raw data Crude oil'!Q248</f>
        <v>57.08</v>
      </c>
      <c r="R247">
        <f>'raw data Crude oil'!R248</f>
        <v>56.97</v>
      </c>
      <c r="S247">
        <f>'raw data Crude oil'!S248</f>
        <v>56.78</v>
      </c>
      <c r="T247">
        <f>'raw data Crude oil'!T248</f>
        <v>56.53</v>
      </c>
      <c r="U247">
        <f>'raw data Crude oil'!U248</f>
        <v>56.25</v>
      </c>
      <c r="V247">
        <f>'raw data Crude oil'!V248</f>
        <v>55.96</v>
      </c>
      <c r="W247">
        <f>'raw data Crude oil'!W248</f>
        <v>55.67</v>
      </c>
      <c r="X247">
        <f>'raw data Crude oil'!X248</f>
        <v>55.38</v>
      </c>
      <c r="Y247">
        <f>'raw data Crude oil'!Y248</f>
        <v>55.11</v>
      </c>
      <c r="Z247">
        <f>'raw data Crude oil'!Z248</f>
        <v>0</v>
      </c>
      <c r="AA247">
        <f>'raw data Crude oil'!AA248</f>
        <v>0</v>
      </c>
      <c r="AB247">
        <f>'raw data Crude oil'!AB248</f>
        <v>0</v>
      </c>
      <c r="AC247">
        <f>'raw data Crude oil'!AC248</f>
        <v>0</v>
      </c>
      <c r="AD247">
        <f>'raw data Crude oil'!AD248</f>
        <v>0</v>
      </c>
      <c r="AE247">
        <f>'raw data Crude oil'!AE248</f>
        <v>0</v>
      </c>
      <c r="AF247">
        <f>'raw data Crude oil'!AF248</f>
        <v>0</v>
      </c>
      <c r="AG247">
        <f>'raw data Crude oil'!AG248</f>
        <v>0</v>
      </c>
      <c r="AH247">
        <f>'raw data Crude oil'!AH248</f>
        <v>0</v>
      </c>
      <c r="AI247">
        <f>'raw data Crude oil'!AI248</f>
        <v>0</v>
      </c>
      <c r="AJ247">
        <f>'raw data Crude oil'!AJ248</f>
        <v>0</v>
      </c>
      <c r="AK247">
        <f>'raw data Crude oil'!AK248</f>
        <v>0</v>
      </c>
    </row>
    <row r="248" spans="1:37" x14ac:dyDescent="0.3">
      <c r="A248" s="18">
        <f>'raw data Crude oil'!A249</f>
        <v>43082</v>
      </c>
      <c r="B248">
        <f>'raw data Crude oil'!B249</f>
        <v>62.44</v>
      </c>
      <c r="C248">
        <f>'raw data Crude oil'!C249</f>
        <v>61.81</v>
      </c>
      <c r="D248">
        <f>'raw data Crude oil'!D249</f>
        <v>61.46</v>
      </c>
      <c r="E248">
        <f>'raw data Crude oil'!E249</f>
        <v>61.26</v>
      </c>
      <c r="F248">
        <f>'raw data Crude oil'!F249</f>
        <v>61.07</v>
      </c>
      <c r="G248">
        <f>'raw data Crude oil'!G249</f>
        <v>60.84</v>
      </c>
      <c r="H248">
        <f>'raw data Crude oil'!H249</f>
        <v>60.56</v>
      </c>
      <c r="I248">
        <f>'raw data Crude oil'!I249</f>
        <v>60.26</v>
      </c>
      <c r="J248">
        <f>'raw data Crude oil'!J249</f>
        <v>59.99</v>
      </c>
      <c r="K248">
        <f>'raw data Crude oil'!K249</f>
        <v>59.73</v>
      </c>
      <c r="L248">
        <f>'raw data Crude oil'!L249</f>
        <v>59.45</v>
      </c>
      <c r="M248">
        <f>'raw data Crude oil'!M249</f>
        <v>59.24</v>
      </c>
      <c r="N248">
        <f>'raw data Crude oil'!N249</f>
        <v>56.6</v>
      </c>
      <c r="O248">
        <f>'raw data Crude oil'!O249</f>
        <v>56.59</v>
      </c>
      <c r="P248">
        <f>'raw data Crude oil'!P249</f>
        <v>56.5</v>
      </c>
      <c r="Q248">
        <f>'raw data Crude oil'!Q249</f>
        <v>56.4</v>
      </c>
      <c r="R248">
        <f>'raw data Crude oil'!R249</f>
        <v>56.26</v>
      </c>
      <c r="S248">
        <f>'raw data Crude oil'!S249</f>
        <v>56.05</v>
      </c>
      <c r="T248">
        <f>'raw data Crude oil'!T249</f>
        <v>55.76</v>
      </c>
      <c r="U248">
        <f>'raw data Crude oil'!U249</f>
        <v>55.47</v>
      </c>
      <c r="V248">
        <f>'raw data Crude oil'!V249</f>
        <v>55.18</v>
      </c>
      <c r="W248">
        <f>'raw data Crude oil'!W249</f>
        <v>54.89</v>
      </c>
      <c r="X248">
        <f>'raw data Crude oil'!X249</f>
        <v>54.62</v>
      </c>
      <c r="Y248">
        <f>'raw data Crude oil'!Y249</f>
        <v>54.35</v>
      </c>
      <c r="Z248">
        <f>'raw data Crude oil'!Z249</f>
        <v>0</v>
      </c>
      <c r="AA248">
        <f>'raw data Crude oil'!AA249</f>
        <v>0</v>
      </c>
      <c r="AB248">
        <f>'raw data Crude oil'!AB249</f>
        <v>0</v>
      </c>
      <c r="AC248">
        <f>'raw data Crude oil'!AC249</f>
        <v>0</v>
      </c>
      <c r="AD248">
        <f>'raw data Crude oil'!AD249</f>
        <v>0</v>
      </c>
      <c r="AE248">
        <f>'raw data Crude oil'!AE249</f>
        <v>0</v>
      </c>
      <c r="AF248">
        <f>'raw data Crude oil'!AF249</f>
        <v>0</v>
      </c>
      <c r="AG248">
        <f>'raw data Crude oil'!AG249</f>
        <v>0</v>
      </c>
      <c r="AH248">
        <f>'raw data Crude oil'!AH249</f>
        <v>0</v>
      </c>
      <c r="AI248">
        <f>'raw data Crude oil'!AI249</f>
        <v>0</v>
      </c>
      <c r="AJ248">
        <f>'raw data Crude oil'!AJ249</f>
        <v>0</v>
      </c>
      <c r="AK248">
        <f>'raw data Crude oil'!AK249</f>
        <v>0</v>
      </c>
    </row>
    <row r="249" spans="1:37" x14ac:dyDescent="0.3">
      <c r="A249" s="18">
        <f>'raw data Crude oil'!A250</f>
        <v>43083</v>
      </c>
      <c r="B249">
        <f>'raw data Crude oil'!B250</f>
        <v>63.31</v>
      </c>
      <c r="C249">
        <f>'raw data Crude oil'!C250</f>
        <v>62.66</v>
      </c>
      <c r="D249">
        <f>'raw data Crude oil'!D250</f>
        <v>62.28</v>
      </c>
      <c r="E249">
        <f>'raw data Crude oil'!E250</f>
        <v>62.05</v>
      </c>
      <c r="F249">
        <f>'raw data Crude oil'!F250</f>
        <v>61.85</v>
      </c>
      <c r="G249">
        <f>'raw data Crude oil'!G250</f>
        <v>61.62</v>
      </c>
      <c r="H249">
        <f>'raw data Crude oil'!H250</f>
        <v>61.34</v>
      </c>
      <c r="I249">
        <f>'raw data Crude oil'!I250</f>
        <v>61.04</v>
      </c>
      <c r="J249">
        <f>'raw data Crude oil'!J250</f>
        <v>60.76</v>
      </c>
      <c r="K249">
        <f>'raw data Crude oil'!K250</f>
        <v>60.49</v>
      </c>
      <c r="L249">
        <f>'raw data Crude oil'!L250</f>
        <v>60.2</v>
      </c>
      <c r="M249">
        <f>'raw data Crude oil'!M250</f>
        <v>59.98</v>
      </c>
      <c r="N249">
        <f>'raw data Crude oil'!N250</f>
        <v>57.04</v>
      </c>
      <c r="O249">
        <f>'raw data Crude oil'!O250</f>
        <v>57.08</v>
      </c>
      <c r="P249">
        <f>'raw data Crude oil'!P250</f>
        <v>57.01</v>
      </c>
      <c r="Q249">
        <f>'raw data Crude oil'!Q250</f>
        <v>56.93</v>
      </c>
      <c r="R249">
        <f>'raw data Crude oil'!R250</f>
        <v>56.81</v>
      </c>
      <c r="S249">
        <f>'raw data Crude oil'!S250</f>
        <v>56.63</v>
      </c>
      <c r="T249">
        <f>'raw data Crude oil'!T250</f>
        <v>56.38</v>
      </c>
      <c r="U249">
        <f>'raw data Crude oil'!U250</f>
        <v>56.1</v>
      </c>
      <c r="V249">
        <f>'raw data Crude oil'!V250</f>
        <v>55.8</v>
      </c>
      <c r="W249">
        <f>'raw data Crude oil'!W250</f>
        <v>55.5</v>
      </c>
      <c r="X249">
        <f>'raw data Crude oil'!X250</f>
        <v>55.21</v>
      </c>
      <c r="Y249">
        <f>'raw data Crude oil'!Y250</f>
        <v>54.94</v>
      </c>
      <c r="Z249">
        <f>'raw data Crude oil'!Z250</f>
        <v>0</v>
      </c>
      <c r="AA249">
        <f>'raw data Crude oil'!AA250</f>
        <v>0</v>
      </c>
      <c r="AB249">
        <f>'raw data Crude oil'!AB250</f>
        <v>0</v>
      </c>
      <c r="AC249">
        <f>'raw data Crude oil'!AC250</f>
        <v>0</v>
      </c>
      <c r="AD249">
        <f>'raw data Crude oil'!AD250</f>
        <v>0</v>
      </c>
      <c r="AE249">
        <f>'raw data Crude oil'!AE250</f>
        <v>0</v>
      </c>
      <c r="AF249">
        <f>'raw data Crude oil'!AF250</f>
        <v>0</v>
      </c>
      <c r="AG249">
        <f>'raw data Crude oil'!AG250</f>
        <v>0</v>
      </c>
      <c r="AH249">
        <f>'raw data Crude oil'!AH250</f>
        <v>0</v>
      </c>
      <c r="AI249">
        <f>'raw data Crude oil'!AI250</f>
        <v>0</v>
      </c>
      <c r="AJ249">
        <f>'raw data Crude oil'!AJ250</f>
        <v>0</v>
      </c>
      <c r="AK249">
        <f>'raw data Crude oil'!AK250</f>
        <v>0</v>
      </c>
    </row>
    <row r="250" spans="1:37" x14ac:dyDescent="0.3">
      <c r="A250" s="18">
        <f>'raw data Crude oil'!A251</f>
        <v>43084</v>
      </c>
      <c r="B250">
        <f>'raw data Crude oil'!B251</f>
        <v>63.23</v>
      </c>
      <c r="C250">
        <f>'raw data Crude oil'!C251</f>
        <v>62.65</v>
      </c>
      <c r="D250">
        <f>'raw data Crude oil'!D251</f>
        <v>62.26</v>
      </c>
      <c r="E250">
        <f>'raw data Crude oil'!E251</f>
        <v>62.02</v>
      </c>
      <c r="F250">
        <f>'raw data Crude oil'!F251</f>
        <v>61.83</v>
      </c>
      <c r="G250">
        <f>'raw data Crude oil'!G251</f>
        <v>61.59</v>
      </c>
      <c r="H250">
        <f>'raw data Crude oil'!H251</f>
        <v>61.32</v>
      </c>
      <c r="I250">
        <f>'raw data Crude oil'!I251</f>
        <v>61.03</v>
      </c>
      <c r="J250">
        <f>'raw data Crude oil'!J251</f>
        <v>60.74</v>
      </c>
      <c r="K250">
        <f>'raw data Crude oil'!K251</f>
        <v>60.46</v>
      </c>
      <c r="L250">
        <f>'raw data Crude oil'!L251</f>
        <v>60.15</v>
      </c>
      <c r="M250">
        <f>'raw data Crude oil'!M251</f>
        <v>59.91</v>
      </c>
      <c r="N250">
        <f>'raw data Crude oil'!N251</f>
        <v>57.3</v>
      </c>
      <c r="O250">
        <f>'raw data Crude oil'!O251</f>
        <v>57.33</v>
      </c>
      <c r="P250">
        <f>'raw data Crude oil'!P251</f>
        <v>57.24</v>
      </c>
      <c r="Q250">
        <f>'raw data Crude oil'!Q251</f>
        <v>57.12</v>
      </c>
      <c r="R250">
        <f>'raw data Crude oil'!R251</f>
        <v>56.97</v>
      </c>
      <c r="S250">
        <f>'raw data Crude oil'!S251</f>
        <v>56.77</v>
      </c>
      <c r="T250">
        <f>'raw data Crude oil'!T251</f>
        <v>56.5</v>
      </c>
      <c r="U250">
        <f>'raw data Crude oil'!U251</f>
        <v>56.21</v>
      </c>
      <c r="V250">
        <f>'raw data Crude oil'!V251</f>
        <v>55.9</v>
      </c>
      <c r="W250">
        <f>'raw data Crude oil'!W251</f>
        <v>55.61</v>
      </c>
      <c r="X250">
        <f>'raw data Crude oil'!X251</f>
        <v>55.31</v>
      </c>
      <c r="Y250">
        <f>'raw data Crude oil'!Y251</f>
        <v>55.04</v>
      </c>
      <c r="Z250">
        <f>'raw data Crude oil'!Z251</f>
        <v>0</v>
      </c>
      <c r="AA250">
        <f>'raw data Crude oil'!AA251</f>
        <v>0</v>
      </c>
      <c r="AB250">
        <f>'raw data Crude oil'!AB251</f>
        <v>0</v>
      </c>
      <c r="AC250">
        <f>'raw data Crude oil'!AC251</f>
        <v>0</v>
      </c>
      <c r="AD250">
        <f>'raw data Crude oil'!AD251</f>
        <v>0</v>
      </c>
      <c r="AE250">
        <f>'raw data Crude oil'!AE251</f>
        <v>0</v>
      </c>
      <c r="AF250">
        <f>'raw data Crude oil'!AF251</f>
        <v>0</v>
      </c>
      <c r="AG250">
        <f>'raw data Crude oil'!AG251</f>
        <v>0</v>
      </c>
      <c r="AH250">
        <f>'raw data Crude oil'!AH251</f>
        <v>0</v>
      </c>
      <c r="AI250">
        <f>'raw data Crude oil'!AI251</f>
        <v>0</v>
      </c>
      <c r="AJ250">
        <f>'raw data Crude oil'!AJ251</f>
        <v>0</v>
      </c>
      <c r="AK250">
        <f>'raw data Crude oil'!AK251</f>
        <v>0</v>
      </c>
    </row>
    <row r="251" spans="1:37" x14ac:dyDescent="0.3">
      <c r="A251" s="18">
        <f>'raw data Crude oil'!A252</f>
        <v>43087</v>
      </c>
      <c r="B251">
        <f>'raw data Crude oil'!B252</f>
        <v>63.41</v>
      </c>
      <c r="C251">
        <f>'raw data Crude oil'!C252</f>
        <v>62.91</v>
      </c>
      <c r="D251">
        <f>'raw data Crude oil'!D252</f>
        <v>62.56</v>
      </c>
      <c r="E251">
        <f>'raw data Crude oil'!E252</f>
        <v>62.35</v>
      </c>
      <c r="F251">
        <f>'raw data Crude oil'!F252</f>
        <v>62.19</v>
      </c>
      <c r="G251">
        <f>'raw data Crude oil'!G252</f>
        <v>61.99</v>
      </c>
      <c r="H251">
        <f>'raw data Crude oil'!H252</f>
        <v>61.74</v>
      </c>
      <c r="I251">
        <f>'raw data Crude oil'!I252</f>
        <v>61.47</v>
      </c>
      <c r="J251">
        <f>'raw data Crude oil'!J252</f>
        <v>61.2</v>
      </c>
      <c r="K251">
        <f>'raw data Crude oil'!K252</f>
        <v>60.94</v>
      </c>
      <c r="L251">
        <f>'raw data Crude oil'!L252</f>
        <v>60.65</v>
      </c>
      <c r="M251">
        <f>'raw data Crude oil'!M252</f>
        <v>60.42</v>
      </c>
      <c r="N251">
        <f>'raw data Crude oil'!N252</f>
        <v>57.16</v>
      </c>
      <c r="O251">
        <f>'raw data Crude oil'!O252</f>
        <v>57.22</v>
      </c>
      <c r="P251">
        <f>'raw data Crude oil'!P252</f>
        <v>57.23</v>
      </c>
      <c r="Q251">
        <f>'raw data Crude oil'!Q252</f>
        <v>57.2</v>
      </c>
      <c r="R251">
        <f>'raw data Crude oil'!R252</f>
        <v>57.12</v>
      </c>
      <c r="S251">
        <f>'raw data Crude oil'!S252</f>
        <v>56.98</v>
      </c>
      <c r="T251">
        <f>'raw data Crude oil'!T252</f>
        <v>56.76</v>
      </c>
      <c r="U251">
        <f>'raw data Crude oil'!U252</f>
        <v>56.49</v>
      </c>
      <c r="V251">
        <f>'raw data Crude oil'!V252</f>
        <v>56.22</v>
      </c>
      <c r="W251">
        <f>'raw data Crude oil'!W252</f>
        <v>55.93</v>
      </c>
      <c r="X251">
        <f>'raw data Crude oil'!X252</f>
        <v>55.67</v>
      </c>
      <c r="Y251">
        <f>'raw data Crude oil'!Y252</f>
        <v>55.41</v>
      </c>
      <c r="Z251">
        <f>'raw data Crude oil'!Z252</f>
        <v>0</v>
      </c>
      <c r="AA251">
        <f>'raw data Crude oil'!AA252</f>
        <v>0</v>
      </c>
      <c r="AB251">
        <f>'raw data Crude oil'!AB252</f>
        <v>0</v>
      </c>
      <c r="AC251">
        <f>'raw data Crude oil'!AC252</f>
        <v>0</v>
      </c>
      <c r="AD251">
        <f>'raw data Crude oil'!AD252</f>
        <v>0</v>
      </c>
      <c r="AE251">
        <f>'raw data Crude oil'!AE252</f>
        <v>0</v>
      </c>
      <c r="AF251">
        <f>'raw data Crude oil'!AF252</f>
        <v>0</v>
      </c>
      <c r="AG251">
        <f>'raw data Crude oil'!AG252</f>
        <v>0</v>
      </c>
      <c r="AH251">
        <f>'raw data Crude oil'!AH252</f>
        <v>0</v>
      </c>
      <c r="AI251">
        <f>'raw data Crude oil'!AI252</f>
        <v>0</v>
      </c>
      <c r="AJ251">
        <f>'raw data Crude oil'!AJ252</f>
        <v>0</v>
      </c>
      <c r="AK251">
        <f>'raw data Crude oil'!AK252</f>
        <v>0</v>
      </c>
    </row>
    <row r="252" spans="1:37" x14ac:dyDescent="0.3">
      <c r="A252" s="18">
        <f>'raw data Crude oil'!A253</f>
        <v>43088</v>
      </c>
      <c r="B252">
        <f>'raw data Crude oil'!B253</f>
        <v>63.8</v>
      </c>
      <c r="C252">
        <f>'raw data Crude oil'!C253</f>
        <v>63.4</v>
      </c>
      <c r="D252">
        <f>'raw data Crude oil'!D253</f>
        <v>63.04</v>
      </c>
      <c r="E252">
        <f>'raw data Crude oil'!E253</f>
        <v>62.83</v>
      </c>
      <c r="F252">
        <f>'raw data Crude oil'!F253</f>
        <v>62.66</v>
      </c>
      <c r="G252">
        <f>'raw data Crude oil'!G253</f>
        <v>62.46</v>
      </c>
      <c r="H252">
        <f>'raw data Crude oil'!H253</f>
        <v>62.22</v>
      </c>
      <c r="I252">
        <f>'raw data Crude oil'!I253</f>
        <v>61.95</v>
      </c>
      <c r="J252">
        <f>'raw data Crude oil'!J253</f>
        <v>61.69</v>
      </c>
      <c r="K252">
        <f>'raw data Crude oil'!K253</f>
        <v>61.43</v>
      </c>
      <c r="L252">
        <f>'raw data Crude oil'!L253</f>
        <v>61.13</v>
      </c>
      <c r="M252">
        <f>'raw data Crude oil'!M253</f>
        <v>60.91</v>
      </c>
      <c r="N252">
        <f>'raw data Crude oil'!N253</f>
        <v>57.46</v>
      </c>
      <c r="O252">
        <f>'raw data Crude oil'!O253</f>
        <v>57.56</v>
      </c>
      <c r="P252">
        <f>'raw data Crude oil'!P253</f>
        <v>57.58</v>
      </c>
      <c r="Q252">
        <f>'raw data Crude oil'!Q253</f>
        <v>57.56</v>
      </c>
      <c r="R252">
        <f>'raw data Crude oil'!R253</f>
        <v>57.49</v>
      </c>
      <c r="S252">
        <f>'raw data Crude oil'!S253</f>
        <v>57.35</v>
      </c>
      <c r="T252">
        <f>'raw data Crude oil'!T253</f>
        <v>57.13</v>
      </c>
      <c r="U252">
        <f>'raw data Crude oil'!U253</f>
        <v>56.87</v>
      </c>
      <c r="V252">
        <f>'raw data Crude oil'!V253</f>
        <v>56.59</v>
      </c>
      <c r="W252">
        <f>'raw data Crude oil'!W253</f>
        <v>56.32</v>
      </c>
      <c r="X252">
        <f>'raw data Crude oil'!X253</f>
        <v>56.07</v>
      </c>
      <c r="Y252">
        <f>'raw data Crude oil'!Y253</f>
        <v>55.81</v>
      </c>
      <c r="Z252">
        <f>'raw data Crude oil'!Z253</f>
        <v>0</v>
      </c>
      <c r="AA252">
        <f>'raw data Crude oil'!AA253</f>
        <v>0</v>
      </c>
      <c r="AB252">
        <f>'raw data Crude oil'!AB253</f>
        <v>0</v>
      </c>
      <c r="AC252">
        <f>'raw data Crude oil'!AC253</f>
        <v>0</v>
      </c>
      <c r="AD252">
        <f>'raw data Crude oil'!AD253</f>
        <v>0</v>
      </c>
      <c r="AE252">
        <f>'raw data Crude oil'!AE253</f>
        <v>0</v>
      </c>
      <c r="AF252">
        <f>'raw data Crude oil'!AF253</f>
        <v>0</v>
      </c>
      <c r="AG252">
        <f>'raw data Crude oil'!AG253</f>
        <v>0</v>
      </c>
      <c r="AH252">
        <f>'raw data Crude oil'!AH253</f>
        <v>0</v>
      </c>
      <c r="AI252">
        <f>'raw data Crude oil'!AI253</f>
        <v>0</v>
      </c>
      <c r="AJ252">
        <f>'raw data Crude oil'!AJ253</f>
        <v>0</v>
      </c>
      <c r="AK252">
        <f>'raw data Crude oil'!AK253</f>
        <v>0</v>
      </c>
    </row>
    <row r="253" spans="1:37" x14ac:dyDescent="0.3">
      <c r="A253" s="18">
        <f>'raw data Crude oil'!A254</f>
        <v>43089</v>
      </c>
      <c r="B253">
        <f>'raw data Crude oil'!B254</f>
        <v>64.56</v>
      </c>
      <c r="C253">
        <f>'raw data Crude oil'!C254</f>
        <v>64.11</v>
      </c>
      <c r="D253">
        <f>'raw data Crude oil'!D254</f>
        <v>63.72</v>
      </c>
      <c r="E253">
        <f>'raw data Crude oil'!E254</f>
        <v>63.48</v>
      </c>
      <c r="F253">
        <f>'raw data Crude oil'!F254</f>
        <v>63.27</v>
      </c>
      <c r="G253">
        <f>'raw data Crude oil'!G254</f>
        <v>63.04</v>
      </c>
      <c r="H253">
        <f>'raw data Crude oil'!H254</f>
        <v>62.76</v>
      </c>
      <c r="I253">
        <f>'raw data Crude oil'!I254</f>
        <v>62.47</v>
      </c>
      <c r="J253">
        <f>'raw data Crude oil'!J254</f>
        <v>62.16</v>
      </c>
      <c r="K253">
        <f>'raw data Crude oil'!K254</f>
        <v>61.86</v>
      </c>
      <c r="L253">
        <f>'raw data Crude oil'!L254</f>
        <v>61.53</v>
      </c>
      <c r="M253">
        <f>'raw data Crude oil'!M254</f>
        <v>61.28</v>
      </c>
      <c r="N253">
        <f>'raw data Crude oil'!N254</f>
        <v>58.09</v>
      </c>
      <c r="O253">
        <f>'raw data Crude oil'!O254</f>
        <v>58.13</v>
      </c>
      <c r="P253">
        <f>'raw data Crude oil'!P254</f>
        <v>58.11</v>
      </c>
      <c r="Q253">
        <f>'raw data Crude oil'!Q254</f>
        <v>58.04</v>
      </c>
      <c r="R253">
        <f>'raw data Crude oil'!R254</f>
        <v>57.88</v>
      </c>
      <c r="S253">
        <f>'raw data Crude oil'!S254</f>
        <v>57.63</v>
      </c>
      <c r="T253">
        <f>'raw data Crude oil'!T254</f>
        <v>57.32</v>
      </c>
      <c r="U253">
        <f>'raw data Crude oil'!U254</f>
        <v>57.01</v>
      </c>
      <c r="V253">
        <f>'raw data Crude oil'!V254</f>
        <v>56.71</v>
      </c>
      <c r="W253">
        <f>'raw data Crude oil'!W254</f>
        <v>56.42</v>
      </c>
      <c r="X253">
        <f>'raw data Crude oil'!X254</f>
        <v>56.14</v>
      </c>
      <c r="Y253">
        <f>'raw data Crude oil'!Y254</f>
        <v>55.85</v>
      </c>
      <c r="Z253">
        <f>'raw data Crude oil'!Z254</f>
        <v>0</v>
      </c>
      <c r="AA253">
        <f>'raw data Crude oil'!AA254</f>
        <v>0</v>
      </c>
      <c r="AB253">
        <f>'raw data Crude oil'!AB254</f>
        <v>0</v>
      </c>
      <c r="AC253">
        <f>'raw data Crude oil'!AC254</f>
        <v>0</v>
      </c>
      <c r="AD253">
        <f>'raw data Crude oil'!AD254</f>
        <v>0</v>
      </c>
      <c r="AE253">
        <f>'raw data Crude oil'!AE254</f>
        <v>0</v>
      </c>
      <c r="AF253">
        <f>'raw data Crude oil'!AF254</f>
        <v>0</v>
      </c>
      <c r="AG253">
        <f>'raw data Crude oil'!AG254</f>
        <v>0</v>
      </c>
      <c r="AH253">
        <f>'raw data Crude oil'!AH254</f>
        <v>0</v>
      </c>
      <c r="AI253">
        <f>'raw data Crude oil'!AI254</f>
        <v>0</v>
      </c>
      <c r="AJ253">
        <f>'raw data Crude oil'!AJ254</f>
        <v>0</v>
      </c>
      <c r="AK253">
        <f>'raw data Crude oil'!AK254</f>
        <v>0</v>
      </c>
    </row>
    <row r="254" spans="1:37" x14ac:dyDescent="0.3">
      <c r="A254" s="18">
        <f>'raw data Crude oil'!A255</f>
        <v>43090</v>
      </c>
      <c r="B254">
        <f>'raw data Crude oil'!B255</f>
        <v>64.900000000000006</v>
      </c>
      <c r="C254">
        <f>'raw data Crude oil'!C255</f>
        <v>64.430000000000007</v>
      </c>
      <c r="D254">
        <f>'raw data Crude oil'!D255</f>
        <v>64.040000000000006</v>
      </c>
      <c r="E254">
        <f>'raw data Crude oil'!E255</f>
        <v>63.79</v>
      </c>
      <c r="F254">
        <f>'raw data Crude oil'!F255</f>
        <v>63.58</v>
      </c>
      <c r="G254">
        <f>'raw data Crude oil'!G255</f>
        <v>63.35</v>
      </c>
      <c r="H254">
        <f>'raw data Crude oil'!H255</f>
        <v>63.07</v>
      </c>
      <c r="I254">
        <f>'raw data Crude oil'!I255</f>
        <v>62.78</v>
      </c>
      <c r="J254">
        <f>'raw data Crude oil'!J255</f>
        <v>62.47</v>
      </c>
      <c r="K254">
        <f>'raw data Crude oil'!K255</f>
        <v>62.17</v>
      </c>
      <c r="L254">
        <f>'raw data Crude oil'!L255</f>
        <v>61.84</v>
      </c>
      <c r="M254">
        <f>'raw data Crude oil'!M255</f>
        <v>61.59</v>
      </c>
      <c r="N254">
        <f>'raw data Crude oil'!N255</f>
        <v>58.36</v>
      </c>
      <c r="O254">
        <f>'raw data Crude oil'!O255</f>
        <v>58.4</v>
      </c>
      <c r="P254">
        <f>'raw data Crude oil'!P255</f>
        <v>58.39</v>
      </c>
      <c r="Q254">
        <f>'raw data Crude oil'!Q255</f>
        <v>58.3</v>
      </c>
      <c r="R254">
        <f>'raw data Crude oil'!R255</f>
        <v>58.13</v>
      </c>
      <c r="S254">
        <f>'raw data Crude oil'!S255</f>
        <v>57.88</v>
      </c>
      <c r="T254">
        <f>'raw data Crude oil'!T255</f>
        <v>57.57</v>
      </c>
      <c r="U254">
        <f>'raw data Crude oil'!U255</f>
        <v>57.25</v>
      </c>
      <c r="V254">
        <f>'raw data Crude oil'!V255</f>
        <v>56.94</v>
      </c>
      <c r="W254">
        <f>'raw data Crude oil'!W255</f>
        <v>56.65</v>
      </c>
      <c r="X254">
        <f>'raw data Crude oil'!X255</f>
        <v>56.38</v>
      </c>
      <c r="Y254">
        <f>'raw data Crude oil'!Y255</f>
        <v>56.08</v>
      </c>
      <c r="Z254">
        <f>'raw data Crude oil'!Z255</f>
        <v>0</v>
      </c>
      <c r="AA254">
        <f>'raw data Crude oil'!AA255</f>
        <v>0</v>
      </c>
      <c r="AB254">
        <f>'raw data Crude oil'!AB255</f>
        <v>0</v>
      </c>
      <c r="AC254">
        <f>'raw data Crude oil'!AC255</f>
        <v>0</v>
      </c>
      <c r="AD254">
        <f>'raw data Crude oil'!AD255</f>
        <v>0</v>
      </c>
      <c r="AE254">
        <f>'raw data Crude oil'!AE255</f>
        <v>0</v>
      </c>
      <c r="AF254">
        <f>'raw data Crude oil'!AF255</f>
        <v>0</v>
      </c>
      <c r="AG254">
        <f>'raw data Crude oil'!AG255</f>
        <v>0</v>
      </c>
      <c r="AH254">
        <f>'raw data Crude oil'!AH255</f>
        <v>0</v>
      </c>
      <c r="AI254">
        <f>'raw data Crude oil'!AI255</f>
        <v>0</v>
      </c>
      <c r="AJ254">
        <f>'raw data Crude oil'!AJ255</f>
        <v>0</v>
      </c>
      <c r="AK254">
        <f>'raw data Crude oil'!AK255</f>
        <v>0</v>
      </c>
    </row>
    <row r="255" spans="1:37" x14ac:dyDescent="0.3">
      <c r="A255" s="18">
        <f>'raw data Crude oil'!A256</f>
        <v>43091</v>
      </c>
      <c r="B255">
        <f>'raw data Crude oil'!B256</f>
        <v>65.25</v>
      </c>
      <c r="C255">
        <f>'raw data Crude oil'!C256</f>
        <v>64.73</v>
      </c>
      <c r="D255">
        <f>'raw data Crude oil'!D256</f>
        <v>64.33</v>
      </c>
      <c r="E255">
        <f>'raw data Crude oil'!E256</f>
        <v>64.06</v>
      </c>
      <c r="F255">
        <f>'raw data Crude oil'!F256</f>
        <v>63.85</v>
      </c>
      <c r="G255">
        <f>'raw data Crude oil'!G256</f>
        <v>63.63</v>
      </c>
      <c r="H255">
        <f>'raw data Crude oil'!H256</f>
        <v>63.36</v>
      </c>
      <c r="I255">
        <f>'raw data Crude oil'!I256</f>
        <v>63.08</v>
      </c>
      <c r="J255">
        <f>'raw data Crude oil'!J256</f>
        <v>62.78</v>
      </c>
      <c r="K255">
        <f>'raw data Crude oil'!K256</f>
        <v>62.48</v>
      </c>
      <c r="L255">
        <f>'raw data Crude oil'!L256</f>
        <v>62.16</v>
      </c>
      <c r="M255">
        <f>'raw data Crude oil'!M256</f>
        <v>61.91</v>
      </c>
      <c r="N255">
        <f>'raw data Crude oil'!N256</f>
        <v>58.47</v>
      </c>
      <c r="O255">
        <f>'raw data Crude oil'!O256</f>
        <v>58.54</v>
      </c>
      <c r="P255">
        <f>'raw data Crude oil'!P256</f>
        <v>58.54</v>
      </c>
      <c r="Q255">
        <f>'raw data Crude oil'!Q256</f>
        <v>58.48</v>
      </c>
      <c r="R255">
        <f>'raw data Crude oil'!R256</f>
        <v>58.34</v>
      </c>
      <c r="S255">
        <f>'raw data Crude oil'!S256</f>
        <v>58.12</v>
      </c>
      <c r="T255">
        <f>'raw data Crude oil'!T256</f>
        <v>57.84</v>
      </c>
      <c r="U255">
        <f>'raw data Crude oil'!U256</f>
        <v>57.55</v>
      </c>
      <c r="V255">
        <f>'raw data Crude oil'!V256</f>
        <v>57.25</v>
      </c>
      <c r="W255">
        <f>'raw data Crude oil'!W256</f>
        <v>56.97</v>
      </c>
      <c r="X255">
        <f>'raw data Crude oil'!X256</f>
        <v>56.7</v>
      </c>
      <c r="Y255">
        <f>'raw data Crude oil'!Y256</f>
        <v>56.41</v>
      </c>
      <c r="Z255">
        <f>'raw data Crude oil'!Z256</f>
        <v>0</v>
      </c>
      <c r="AA255">
        <f>'raw data Crude oil'!AA256</f>
        <v>0</v>
      </c>
      <c r="AB255">
        <f>'raw data Crude oil'!AB256</f>
        <v>0</v>
      </c>
      <c r="AC255">
        <f>'raw data Crude oil'!AC256</f>
        <v>0</v>
      </c>
      <c r="AD255">
        <f>'raw data Crude oil'!AD256</f>
        <v>0</v>
      </c>
      <c r="AE255">
        <f>'raw data Crude oil'!AE256</f>
        <v>0</v>
      </c>
      <c r="AF255">
        <f>'raw data Crude oil'!AF256</f>
        <v>0</v>
      </c>
      <c r="AG255">
        <f>'raw data Crude oil'!AG256</f>
        <v>0</v>
      </c>
      <c r="AH255">
        <f>'raw data Crude oil'!AH256</f>
        <v>0</v>
      </c>
      <c r="AI255">
        <f>'raw data Crude oil'!AI256</f>
        <v>0</v>
      </c>
      <c r="AJ255">
        <f>'raw data Crude oil'!AJ256</f>
        <v>0</v>
      </c>
      <c r="AK255">
        <f>'raw data Crude oil'!AK256</f>
        <v>0</v>
      </c>
    </row>
    <row r="256" spans="1:37" x14ac:dyDescent="0.3">
      <c r="A256" s="18">
        <f>'raw data Crude oil'!A257</f>
        <v>43095</v>
      </c>
      <c r="B256">
        <f>'raw data Crude oil'!B257</f>
        <v>67.02</v>
      </c>
      <c r="C256">
        <f>'raw data Crude oil'!C257</f>
        <v>66.459999999999994</v>
      </c>
      <c r="D256">
        <f>'raw data Crude oil'!D257</f>
        <v>66.040000000000006</v>
      </c>
      <c r="E256">
        <f>'raw data Crude oil'!E257</f>
        <v>65.72</v>
      </c>
      <c r="F256">
        <f>'raw data Crude oil'!F257</f>
        <v>65.45</v>
      </c>
      <c r="G256">
        <f>'raw data Crude oil'!G257</f>
        <v>65.19</v>
      </c>
      <c r="H256">
        <f>'raw data Crude oil'!H257</f>
        <v>64.88</v>
      </c>
      <c r="I256">
        <f>'raw data Crude oil'!I257</f>
        <v>64.56</v>
      </c>
      <c r="J256">
        <f>'raw data Crude oil'!J257</f>
        <v>64.209999999999994</v>
      </c>
      <c r="K256">
        <f>'raw data Crude oil'!K257</f>
        <v>63.86</v>
      </c>
      <c r="L256">
        <f>'raw data Crude oil'!L257</f>
        <v>63.49</v>
      </c>
      <c r="M256">
        <f>'raw data Crude oil'!M257</f>
        <v>63.2</v>
      </c>
      <c r="N256">
        <f>'raw data Crude oil'!N257</f>
        <v>59.97</v>
      </c>
      <c r="O256">
        <f>'raw data Crude oil'!O257</f>
        <v>60</v>
      </c>
      <c r="P256">
        <f>'raw data Crude oil'!P257</f>
        <v>59.98</v>
      </c>
      <c r="Q256">
        <f>'raw data Crude oil'!Q257</f>
        <v>59.86</v>
      </c>
      <c r="R256">
        <f>'raw data Crude oil'!R257</f>
        <v>59.67</v>
      </c>
      <c r="S256">
        <f>'raw data Crude oil'!S257</f>
        <v>59.39</v>
      </c>
      <c r="T256">
        <f>'raw data Crude oil'!T257</f>
        <v>59.05</v>
      </c>
      <c r="U256">
        <f>'raw data Crude oil'!U257</f>
        <v>58.7</v>
      </c>
      <c r="V256">
        <f>'raw data Crude oil'!V257</f>
        <v>58.35</v>
      </c>
      <c r="W256">
        <f>'raw data Crude oil'!W257</f>
        <v>58.03</v>
      </c>
      <c r="X256">
        <f>'raw data Crude oil'!X257</f>
        <v>57.71</v>
      </c>
      <c r="Y256">
        <f>'raw data Crude oil'!Y257</f>
        <v>57.37</v>
      </c>
      <c r="Z256">
        <f>'raw data Crude oil'!Z257</f>
        <v>0</v>
      </c>
      <c r="AA256">
        <f>'raw data Crude oil'!AA257</f>
        <v>0</v>
      </c>
      <c r="AB256">
        <f>'raw data Crude oil'!AB257</f>
        <v>0</v>
      </c>
      <c r="AC256">
        <f>'raw data Crude oil'!AC257</f>
        <v>0</v>
      </c>
      <c r="AD256">
        <f>'raw data Crude oil'!AD257</f>
        <v>0</v>
      </c>
      <c r="AE256">
        <f>'raw data Crude oil'!AE257</f>
        <v>0</v>
      </c>
      <c r="AF256">
        <f>'raw data Crude oil'!AF257</f>
        <v>0</v>
      </c>
      <c r="AG256">
        <f>'raw data Crude oil'!AG257</f>
        <v>0</v>
      </c>
      <c r="AH256">
        <f>'raw data Crude oil'!AH257</f>
        <v>0</v>
      </c>
      <c r="AI256">
        <f>'raw data Crude oil'!AI257</f>
        <v>0</v>
      </c>
      <c r="AJ256">
        <f>'raw data Crude oil'!AJ257</f>
        <v>0</v>
      </c>
      <c r="AK256">
        <f>'raw data Crude oil'!AK257</f>
        <v>0</v>
      </c>
    </row>
    <row r="257" spans="1:37" x14ac:dyDescent="0.3">
      <c r="A257" s="18">
        <f>'raw data Crude oil'!A258</f>
        <v>43096</v>
      </c>
      <c r="B257">
        <f>'raw data Crude oil'!B258</f>
        <v>66.44</v>
      </c>
      <c r="C257">
        <f>'raw data Crude oil'!C258</f>
        <v>65.989999999999995</v>
      </c>
      <c r="D257">
        <f>'raw data Crude oil'!D258</f>
        <v>65.599999999999994</v>
      </c>
      <c r="E257">
        <f>'raw data Crude oil'!E258</f>
        <v>65.31</v>
      </c>
      <c r="F257">
        <f>'raw data Crude oil'!F258</f>
        <v>65.05</v>
      </c>
      <c r="G257">
        <f>'raw data Crude oil'!G258</f>
        <v>64.8</v>
      </c>
      <c r="H257">
        <f>'raw data Crude oil'!H258</f>
        <v>64.5</v>
      </c>
      <c r="I257">
        <f>'raw data Crude oil'!I258</f>
        <v>64.180000000000007</v>
      </c>
      <c r="J257">
        <f>'raw data Crude oil'!J258</f>
        <v>63.85</v>
      </c>
      <c r="K257">
        <f>'raw data Crude oil'!K258</f>
        <v>63.51</v>
      </c>
      <c r="L257">
        <f>'raw data Crude oil'!L258</f>
        <v>63.16</v>
      </c>
      <c r="M257">
        <f>'raw data Crude oil'!M258</f>
        <v>62.88</v>
      </c>
      <c r="N257">
        <f>'raw data Crude oil'!N258</f>
        <v>59.64</v>
      </c>
      <c r="O257">
        <f>'raw data Crude oil'!O258</f>
        <v>59.69</v>
      </c>
      <c r="P257">
        <f>'raw data Crude oil'!P258</f>
        <v>59.68</v>
      </c>
      <c r="Q257">
        <f>'raw data Crude oil'!Q258</f>
        <v>59.6</v>
      </c>
      <c r="R257">
        <f>'raw data Crude oil'!R258</f>
        <v>59.43</v>
      </c>
      <c r="S257">
        <f>'raw data Crude oil'!S258</f>
        <v>59.17</v>
      </c>
      <c r="T257">
        <f>'raw data Crude oil'!T258</f>
        <v>58.86</v>
      </c>
      <c r="U257">
        <f>'raw data Crude oil'!U258</f>
        <v>58.53</v>
      </c>
      <c r="V257">
        <f>'raw data Crude oil'!V258</f>
        <v>58.2</v>
      </c>
      <c r="W257">
        <f>'raw data Crude oil'!W258</f>
        <v>57.88</v>
      </c>
      <c r="X257">
        <f>'raw data Crude oil'!X258</f>
        <v>57.58</v>
      </c>
      <c r="Y257">
        <f>'raw data Crude oil'!Y258</f>
        <v>57.27</v>
      </c>
      <c r="Z257">
        <f>'raw data Crude oil'!Z258</f>
        <v>0</v>
      </c>
      <c r="AA257">
        <f>'raw data Crude oil'!AA258</f>
        <v>0</v>
      </c>
      <c r="AB257">
        <f>'raw data Crude oil'!AB258</f>
        <v>0</v>
      </c>
      <c r="AC257">
        <f>'raw data Crude oil'!AC258</f>
        <v>0</v>
      </c>
      <c r="AD257">
        <f>'raw data Crude oil'!AD258</f>
        <v>0</v>
      </c>
      <c r="AE257">
        <f>'raw data Crude oil'!AE258</f>
        <v>0</v>
      </c>
      <c r="AF257">
        <f>'raw data Crude oil'!AF258</f>
        <v>0</v>
      </c>
      <c r="AG257">
        <f>'raw data Crude oil'!AG258</f>
        <v>0</v>
      </c>
      <c r="AH257">
        <f>'raw data Crude oil'!AH258</f>
        <v>0</v>
      </c>
      <c r="AI257">
        <f>'raw data Crude oil'!AI258</f>
        <v>0</v>
      </c>
      <c r="AJ257">
        <f>'raw data Crude oil'!AJ258</f>
        <v>0</v>
      </c>
      <c r="AK257">
        <f>'raw data Crude oil'!AK258</f>
        <v>0</v>
      </c>
    </row>
    <row r="258" spans="1:37" x14ac:dyDescent="0.3">
      <c r="A258" s="18">
        <f>'raw data Crude oil'!A259</f>
        <v>43097</v>
      </c>
      <c r="B258">
        <f>'raw data Crude oil'!B259</f>
        <v>66.72</v>
      </c>
      <c r="C258">
        <f>'raw data Crude oil'!C259</f>
        <v>66.16</v>
      </c>
      <c r="D258">
        <f>'raw data Crude oil'!D259</f>
        <v>65.77</v>
      </c>
      <c r="E258">
        <f>'raw data Crude oil'!E259</f>
        <v>65.459999999999994</v>
      </c>
      <c r="F258">
        <f>'raw data Crude oil'!F259</f>
        <v>65.19</v>
      </c>
      <c r="G258">
        <f>'raw data Crude oil'!G259</f>
        <v>64.930000000000007</v>
      </c>
      <c r="H258">
        <f>'raw data Crude oil'!H259</f>
        <v>64.61</v>
      </c>
      <c r="I258">
        <f>'raw data Crude oil'!I259</f>
        <v>64.28</v>
      </c>
      <c r="J258">
        <f>'raw data Crude oil'!J259</f>
        <v>63.94</v>
      </c>
      <c r="K258">
        <f>'raw data Crude oil'!K259</f>
        <v>63.6</v>
      </c>
      <c r="L258">
        <f>'raw data Crude oil'!L259</f>
        <v>63.25</v>
      </c>
      <c r="M258">
        <f>'raw data Crude oil'!M259</f>
        <v>62.97</v>
      </c>
      <c r="N258">
        <f>'raw data Crude oil'!N259</f>
        <v>59.84</v>
      </c>
      <c r="O258">
        <f>'raw data Crude oil'!O259</f>
        <v>59.87</v>
      </c>
      <c r="P258">
        <f>'raw data Crude oil'!P259</f>
        <v>59.84</v>
      </c>
      <c r="Q258">
        <f>'raw data Crude oil'!Q259</f>
        <v>59.73</v>
      </c>
      <c r="R258">
        <f>'raw data Crude oil'!R259</f>
        <v>59.54</v>
      </c>
      <c r="S258">
        <f>'raw data Crude oil'!S259</f>
        <v>59.27</v>
      </c>
      <c r="T258">
        <f>'raw data Crude oil'!T259</f>
        <v>58.96</v>
      </c>
      <c r="U258">
        <f>'raw data Crude oil'!U259</f>
        <v>58.63</v>
      </c>
      <c r="V258">
        <f>'raw data Crude oil'!V259</f>
        <v>58.3</v>
      </c>
      <c r="W258">
        <f>'raw data Crude oil'!W259</f>
        <v>57.97</v>
      </c>
      <c r="X258">
        <f>'raw data Crude oil'!X259</f>
        <v>57.67</v>
      </c>
      <c r="Y258">
        <f>'raw data Crude oil'!Y259</f>
        <v>57.36</v>
      </c>
      <c r="Z258">
        <f>'raw data Crude oil'!Z259</f>
        <v>0</v>
      </c>
      <c r="AA258">
        <f>'raw data Crude oil'!AA259</f>
        <v>0</v>
      </c>
      <c r="AB258">
        <f>'raw data Crude oil'!AB259</f>
        <v>0</v>
      </c>
      <c r="AC258">
        <f>'raw data Crude oil'!AC259</f>
        <v>0</v>
      </c>
      <c r="AD258">
        <f>'raw data Crude oil'!AD259</f>
        <v>0</v>
      </c>
      <c r="AE258">
        <f>'raw data Crude oil'!AE259</f>
        <v>0</v>
      </c>
      <c r="AF258">
        <f>'raw data Crude oil'!AF259</f>
        <v>0</v>
      </c>
      <c r="AG258">
        <f>'raw data Crude oil'!AG259</f>
        <v>0</v>
      </c>
      <c r="AH258">
        <f>'raw data Crude oil'!AH259</f>
        <v>0</v>
      </c>
      <c r="AI258">
        <f>'raw data Crude oil'!AI259</f>
        <v>0</v>
      </c>
      <c r="AJ258">
        <f>'raw data Crude oil'!AJ259</f>
        <v>0</v>
      </c>
      <c r="AK258">
        <f>'raw data Crude oil'!AK259</f>
        <v>0</v>
      </c>
    </row>
    <row r="259" spans="1:37" x14ac:dyDescent="0.3">
      <c r="A259" s="18">
        <f>'raw data Crude oil'!A260</f>
        <v>43098</v>
      </c>
      <c r="B259">
        <f>'raw data Crude oil'!B260</f>
        <v>66.87</v>
      </c>
      <c r="C259">
        <f>'raw data Crude oil'!C260</f>
        <v>66.44</v>
      </c>
      <c r="D259">
        <f>'raw data Crude oil'!D260</f>
        <v>66.09</v>
      </c>
      <c r="E259">
        <f>'raw data Crude oil'!E260</f>
        <v>65.78</v>
      </c>
      <c r="F259">
        <f>'raw data Crude oil'!F260</f>
        <v>65.48</v>
      </c>
      <c r="G259">
        <f>'raw data Crude oil'!G260</f>
        <v>65.12</v>
      </c>
      <c r="H259">
        <f>'raw data Crude oil'!H260</f>
        <v>64.760000000000005</v>
      </c>
      <c r="I259">
        <f>'raw data Crude oil'!I260</f>
        <v>64.39</v>
      </c>
      <c r="J259">
        <f>'raw data Crude oil'!J260</f>
        <v>64.02</v>
      </c>
      <c r="K259">
        <f>'raw data Crude oil'!K260</f>
        <v>63.64</v>
      </c>
      <c r="L259">
        <f>'raw data Crude oil'!L260</f>
        <v>63.32</v>
      </c>
      <c r="M259">
        <f>'raw data Crude oil'!M260</f>
        <v>62.98</v>
      </c>
      <c r="N259">
        <f>'raw data Crude oil'!N260</f>
        <v>60.42</v>
      </c>
      <c r="O259">
        <f>'raw data Crude oil'!O260</f>
        <v>60.44</v>
      </c>
      <c r="P259">
        <f>'raw data Crude oil'!P260</f>
        <v>60.4</v>
      </c>
      <c r="Q259">
        <f>'raw data Crude oil'!Q260</f>
        <v>60.27</v>
      </c>
      <c r="R259">
        <f>'raw data Crude oil'!R260</f>
        <v>60.06</v>
      </c>
      <c r="S259">
        <f>'raw data Crude oil'!S260</f>
        <v>59.76</v>
      </c>
      <c r="T259">
        <f>'raw data Crude oil'!T260</f>
        <v>59.42</v>
      </c>
      <c r="U259">
        <f>'raw data Crude oil'!U260</f>
        <v>59.07</v>
      </c>
      <c r="V259">
        <f>'raw data Crude oil'!V260</f>
        <v>58.72</v>
      </c>
      <c r="W259">
        <f>'raw data Crude oil'!W260</f>
        <v>58.38</v>
      </c>
      <c r="X259">
        <f>'raw data Crude oil'!X260</f>
        <v>58.07</v>
      </c>
      <c r="Y259">
        <f>'raw data Crude oil'!Y260</f>
        <v>57.75</v>
      </c>
      <c r="Z259">
        <f>'raw data Crude oil'!Z260</f>
        <v>0</v>
      </c>
      <c r="AA259">
        <f>'raw data Crude oil'!AA260</f>
        <v>0</v>
      </c>
      <c r="AB259">
        <f>'raw data Crude oil'!AB260</f>
        <v>0</v>
      </c>
      <c r="AC259">
        <f>'raw data Crude oil'!AC260</f>
        <v>0</v>
      </c>
      <c r="AD259">
        <f>'raw data Crude oil'!AD260</f>
        <v>0</v>
      </c>
      <c r="AE259">
        <f>'raw data Crude oil'!AE260</f>
        <v>0</v>
      </c>
      <c r="AF259">
        <f>'raw data Crude oil'!AF260</f>
        <v>0</v>
      </c>
      <c r="AG259">
        <f>'raw data Crude oil'!AG260</f>
        <v>0</v>
      </c>
      <c r="AH259">
        <f>'raw data Crude oil'!AH260</f>
        <v>0</v>
      </c>
      <c r="AI259">
        <f>'raw data Crude oil'!AI260</f>
        <v>0</v>
      </c>
      <c r="AJ259">
        <f>'raw data Crude oil'!AJ260</f>
        <v>0</v>
      </c>
      <c r="AK259">
        <f>'raw data Crude oil'!AK260</f>
        <v>0</v>
      </c>
    </row>
    <row r="260" spans="1:37" x14ac:dyDescent="0.3">
      <c r="A260" s="18">
        <f>'raw data Crude oil'!A261</f>
        <v>43102</v>
      </c>
      <c r="B260">
        <f>'raw data Crude oil'!B261</f>
        <v>66.569999999999993</v>
      </c>
      <c r="C260">
        <f>'raw data Crude oil'!C261</f>
        <v>66.13</v>
      </c>
      <c r="D260">
        <f>'raw data Crude oil'!D261</f>
        <v>65.790000000000006</v>
      </c>
      <c r="E260">
        <f>'raw data Crude oil'!E261</f>
        <v>65.510000000000005</v>
      </c>
      <c r="F260">
        <f>'raw data Crude oil'!F261</f>
        <v>65.239999999999995</v>
      </c>
      <c r="G260">
        <f>'raw data Crude oil'!G261</f>
        <v>64.930000000000007</v>
      </c>
      <c r="H260">
        <f>'raw data Crude oil'!H261</f>
        <v>64.61</v>
      </c>
      <c r="I260">
        <f>'raw data Crude oil'!I261</f>
        <v>64.260000000000005</v>
      </c>
      <c r="J260">
        <f>'raw data Crude oil'!J261</f>
        <v>63.91</v>
      </c>
      <c r="K260">
        <f>'raw data Crude oil'!K261</f>
        <v>63.55</v>
      </c>
      <c r="L260">
        <f>'raw data Crude oil'!L261</f>
        <v>63.25</v>
      </c>
      <c r="M260">
        <f>'raw data Crude oil'!M261</f>
        <v>62.92</v>
      </c>
      <c r="N260">
        <f>'raw data Crude oil'!N261</f>
        <v>60.37</v>
      </c>
      <c r="O260">
        <f>'raw data Crude oil'!O261</f>
        <v>60.38</v>
      </c>
      <c r="P260">
        <f>'raw data Crude oil'!P261</f>
        <v>60.33</v>
      </c>
      <c r="Q260">
        <f>'raw data Crude oil'!Q261</f>
        <v>60.2</v>
      </c>
      <c r="R260">
        <f>'raw data Crude oil'!R261</f>
        <v>59.99</v>
      </c>
      <c r="S260">
        <f>'raw data Crude oil'!S261</f>
        <v>59.72</v>
      </c>
      <c r="T260">
        <f>'raw data Crude oil'!T261</f>
        <v>59.4</v>
      </c>
      <c r="U260">
        <f>'raw data Crude oil'!U261</f>
        <v>59.07</v>
      </c>
      <c r="V260">
        <f>'raw data Crude oil'!V261</f>
        <v>58.74</v>
      </c>
      <c r="W260">
        <f>'raw data Crude oil'!W261</f>
        <v>58.42</v>
      </c>
      <c r="X260">
        <f>'raw data Crude oil'!X261</f>
        <v>58.12</v>
      </c>
      <c r="Y260">
        <f>'raw data Crude oil'!Y261</f>
        <v>57.81</v>
      </c>
      <c r="Z260">
        <f>'raw data Crude oil'!Z261</f>
        <v>0</v>
      </c>
      <c r="AA260">
        <f>'raw data Crude oil'!AA261</f>
        <v>0</v>
      </c>
      <c r="AB260">
        <f>'raw data Crude oil'!AB261</f>
        <v>0</v>
      </c>
      <c r="AC260">
        <f>'raw data Crude oil'!AC261</f>
        <v>0</v>
      </c>
      <c r="AD260">
        <f>'raw data Crude oil'!AD261</f>
        <v>0</v>
      </c>
      <c r="AE260">
        <f>'raw data Crude oil'!AE261</f>
        <v>0</v>
      </c>
      <c r="AF260">
        <f>'raw data Crude oil'!AF261</f>
        <v>0</v>
      </c>
      <c r="AG260">
        <f>'raw data Crude oil'!AG261</f>
        <v>0</v>
      </c>
      <c r="AH260">
        <f>'raw data Crude oil'!AH261</f>
        <v>0</v>
      </c>
      <c r="AI260">
        <f>'raw data Crude oil'!AI261</f>
        <v>0</v>
      </c>
      <c r="AJ260">
        <f>'raw data Crude oil'!AJ261</f>
        <v>0</v>
      </c>
      <c r="AK260">
        <f>'raw data Crude oil'!AK261</f>
        <v>0</v>
      </c>
    </row>
    <row r="261" spans="1:37" x14ac:dyDescent="0.3">
      <c r="A261" s="18">
        <f>'raw data Crude oil'!A262</f>
        <v>43103</v>
      </c>
      <c r="B261">
        <f>'raw data Crude oil'!B262</f>
        <v>67.84</v>
      </c>
      <c r="C261">
        <f>'raw data Crude oil'!C262</f>
        <v>67.290000000000006</v>
      </c>
      <c r="D261">
        <f>'raw data Crude oil'!D262</f>
        <v>66.900000000000006</v>
      </c>
      <c r="E261">
        <f>'raw data Crude oil'!E262</f>
        <v>66.569999999999993</v>
      </c>
      <c r="F261">
        <f>'raw data Crude oil'!F262</f>
        <v>66.239999999999995</v>
      </c>
      <c r="G261">
        <f>'raw data Crude oil'!G262</f>
        <v>65.87</v>
      </c>
      <c r="H261">
        <f>'raw data Crude oil'!H262</f>
        <v>65.489999999999995</v>
      </c>
      <c r="I261">
        <f>'raw data Crude oil'!I262</f>
        <v>65.09</v>
      </c>
      <c r="J261">
        <f>'raw data Crude oil'!J262</f>
        <v>64.680000000000007</v>
      </c>
      <c r="K261">
        <f>'raw data Crude oil'!K262</f>
        <v>64.27</v>
      </c>
      <c r="L261">
        <f>'raw data Crude oil'!L262</f>
        <v>63.93</v>
      </c>
      <c r="M261">
        <f>'raw data Crude oil'!M262</f>
        <v>63.58</v>
      </c>
      <c r="N261">
        <f>'raw data Crude oil'!N262</f>
        <v>61.63</v>
      </c>
      <c r="O261">
        <f>'raw data Crude oil'!O262</f>
        <v>61.55</v>
      </c>
      <c r="P261">
        <f>'raw data Crude oil'!P262</f>
        <v>61.41</v>
      </c>
      <c r="Q261">
        <f>'raw data Crude oil'!Q262</f>
        <v>61.21</v>
      </c>
      <c r="R261">
        <f>'raw data Crude oil'!R262</f>
        <v>60.94</v>
      </c>
      <c r="S261">
        <f>'raw data Crude oil'!S262</f>
        <v>60.58</v>
      </c>
      <c r="T261">
        <f>'raw data Crude oil'!T262</f>
        <v>60.2</v>
      </c>
      <c r="U261">
        <f>'raw data Crude oil'!U262</f>
        <v>59.82</v>
      </c>
      <c r="V261">
        <f>'raw data Crude oil'!V262</f>
        <v>59.45</v>
      </c>
      <c r="W261">
        <f>'raw data Crude oil'!W262</f>
        <v>59.1</v>
      </c>
      <c r="X261">
        <f>'raw data Crude oil'!X262</f>
        <v>58.77</v>
      </c>
      <c r="Y261">
        <f>'raw data Crude oil'!Y262</f>
        <v>58.43</v>
      </c>
      <c r="Z261">
        <f>'raw data Crude oil'!Z262</f>
        <v>0</v>
      </c>
      <c r="AA261">
        <f>'raw data Crude oil'!AA262</f>
        <v>0</v>
      </c>
      <c r="AB261">
        <f>'raw data Crude oil'!AB262</f>
        <v>0</v>
      </c>
      <c r="AC261">
        <f>'raw data Crude oil'!AC262</f>
        <v>0</v>
      </c>
      <c r="AD261">
        <f>'raw data Crude oil'!AD262</f>
        <v>0</v>
      </c>
      <c r="AE261">
        <f>'raw data Crude oil'!AE262</f>
        <v>0</v>
      </c>
      <c r="AF261">
        <f>'raw data Crude oil'!AF262</f>
        <v>0</v>
      </c>
      <c r="AG261">
        <f>'raw data Crude oil'!AG262</f>
        <v>0</v>
      </c>
      <c r="AH261">
        <f>'raw data Crude oil'!AH262</f>
        <v>0</v>
      </c>
      <c r="AI261">
        <f>'raw data Crude oil'!AI262</f>
        <v>0</v>
      </c>
      <c r="AJ261">
        <f>'raw data Crude oil'!AJ262</f>
        <v>0</v>
      </c>
      <c r="AK261">
        <f>'raw data Crude oil'!AK262</f>
        <v>0</v>
      </c>
    </row>
    <row r="262" spans="1:37" x14ac:dyDescent="0.3">
      <c r="A262" s="18">
        <f>'raw data Crude oil'!A263</f>
        <v>43104</v>
      </c>
      <c r="B262">
        <f>'raw data Crude oil'!B263</f>
        <v>68.069999999999993</v>
      </c>
      <c r="C262">
        <f>'raw data Crude oil'!C263</f>
        <v>67.510000000000005</v>
      </c>
      <c r="D262">
        <f>'raw data Crude oil'!D263</f>
        <v>67.11</v>
      </c>
      <c r="E262">
        <f>'raw data Crude oil'!E263</f>
        <v>66.77</v>
      </c>
      <c r="F262">
        <f>'raw data Crude oil'!F263</f>
        <v>66.430000000000007</v>
      </c>
      <c r="G262">
        <f>'raw data Crude oil'!G263</f>
        <v>66.069999999999993</v>
      </c>
      <c r="H262">
        <f>'raw data Crude oil'!H263</f>
        <v>65.69</v>
      </c>
      <c r="I262">
        <f>'raw data Crude oil'!I263</f>
        <v>65.28</v>
      </c>
      <c r="J262">
        <f>'raw data Crude oil'!J263</f>
        <v>64.87</v>
      </c>
      <c r="K262">
        <f>'raw data Crude oil'!K263</f>
        <v>64.47</v>
      </c>
      <c r="L262">
        <f>'raw data Crude oil'!L263</f>
        <v>64.13</v>
      </c>
      <c r="M262">
        <f>'raw data Crude oil'!M263</f>
        <v>63.78</v>
      </c>
      <c r="N262">
        <f>'raw data Crude oil'!N263</f>
        <v>62.01</v>
      </c>
      <c r="O262">
        <f>'raw data Crude oil'!O263</f>
        <v>61.9</v>
      </c>
      <c r="P262">
        <f>'raw data Crude oil'!P263</f>
        <v>61.73</v>
      </c>
      <c r="Q262">
        <f>'raw data Crude oil'!Q263</f>
        <v>61.52</v>
      </c>
      <c r="R262">
        <f>'raw data Crude oil'!R263</f>
        <v>61.23</v>
      </c>
      <c r="S262">
        <f>'raw data Crude oil'!S263</f>
        <v>60.87</v>
      </c>
      <c r="T262">
        <f>'raw data Crude oil'!T263</f>
        <v>60.47</v>
      </c>
      <c r="U262">
        <f>'raw data Crude oil'!U263</f>
        <v>60.07</v>
      </c>
      <c r="V262">
        <f>'raw data Crude oil'!V263</f>
        <v>59.68</v>
      </c>
      <c r="W262">
        <f>'raw data Crude oil'!W263</f>
        <v>59.31</v>
      </c>
      <c r="X262">
        <f>'raw data Crude oil'!X263</f>
        <v>58.95</v>
      </c>
      <c r="Y262">
        <f>'raw data Crude oil'!Y263</f>
        <v>58.59</v>
      </c>
      <c r="Z262">
        <f>'raw data Crude oil'!Z263</f>
        <v>0</v>
      </c>
      <c r="AA262">
        <f>'raw data Crude oil'!AA263</f>
        <v>0</v>
      </c>
      <c r="AB262">
        <f>'raw data Crude oil'!AB263</f>
        <v>0</v>
      </c>
      <c r="AC262">
        <f>'raw data Crude oil'!AC263</f>
        <v>0</v>
      </c>
      <c r="AD262">
        <f>'raw data Crude oil'!AD263</f>
        <v>0</v>
      </c>
      <c r="AE262">
        <f>'raw data Crude oil'!AE263</f>
        <v>0</v>
      </c>
      <c r="AF262">
        <f>'raw data Crude oil'!AF263</f>
        <v>0</v>
      </c>
      <c r="AG262">
        <f>'raw data Crude oil'!AG263</f>
        <v>0</v>
      </c>
      <c r="AH262">
        <f>'raw data Crude oil'!AH263</f>
        <v>0</v>
      </c>
      <c r="AI262">
        <f>'raw data Crude oil'!AI263</f>
        <v>0</v>
      </c>
      <c r="AJ262">
        <f>'raw data Crude oil'!AJ263</f>
        <v>0</v>
      </c>
      <c r="AK262">
        <f>'raw data Crude oil'!AK263</f>
        <v>0</v>
      </c>
    </row>
    <row r="263" spans="1:37" x14ac:dyDescent="0.3">
      <c r="A263" s="18">
        <f>'raw data Crude oil'!A264</f>
        <v>43105</v>
      </c>
      <c r="B263">
        <f>'raw data Crude oil'!B264</f>
        <v>67.62</v>
      </c>
      <c r="C263">
        <f>'raw data Crude oil'!C264</f>
        <v>67.099999999999994</v>
      </c>
      <c r="D263">
        <f>'raw data Crude oil'!D264</f>
        <v>66.73</v>
      </c>
      <c r="E263">
        <f>'raw data Crude oil'!E264</f>
        <v>66.41</v>
      </c>
      <c r="F263">
        <f>'raw data Crude oil'!F264</f>
        <v>66.099999999999994</v>
      </c>
      <c r="G263">
        <f>'raw data Crude oil'!G264</f>
        <v>65.760000000000005</v>
      </c>
      <c r="H263">
        <f>'raw data Crude oil'!H264</f>
        <v>65.41</v>
      </c>
      <c r="I263">
        <f>'raw data Crude oil'!I264</f>
        <v>65.040000000000006</v>
      </c>
      <c r="J263">
        <f>'raw data Crude oil'!J264</f>
        <v>64.67</v>
      </c>
      <c r="K263">
        <f>'raw data Crude oil'!K264</f>
        <v>64.31</v>
      </c>
      <c r="L263">
        <f>'raw data Crude oil'!L264</f>
        <v>64</v>
      </c>
      <c r="M263">
        <f>'raw data Crude oil'!M264</f>
        <v>63.68</v>
      </c>
      <c r="N263">
        <f>'raw data Crude oil'!N264</f>
        <v>61.44</v>
      </c>
      <c r="O263">
        <f>'raw data Crude oil'!O264</f>
        <v>61.41</v>
      </c>
      <c r="P263">
        <f>'raw data Crude oil'!P264</f>
        <v>61.3</v>
      </c>
      <c r="Q263">
        <f>'raw data Crude oil'!Q264</f>
        <v>61.15</v>
      </c>
      <c r="R263">
        <f>'raw data Crude oil'!R264</f>
        <v>60.93</v>
      </c>
      <c r="S263">
        <f>'raw data Crude oil'!S264</f>
        <v>60.62</v>
      </c>
      <c r="T263">
        <f>'raw data Crude oil'!T264</f>
        <v>60.27</v>
      </c>
      <c r="U263">
        <f>'raw data Crude oil'!U264</f>
        <v>59.93</v>
      </c>
      <c r="V263">
        <f>'raw data Crude oil'!V264</f>
        <v>59.58</v>
      </c>
      <c r="W263">
        <f>'raw data Crude oil'!W264</f>
        <v>59.24</v>
      </c>
      <c r="X263">
        <f>'raw data Crude oil'!X264</f>
        <v>58.93</v>
      </c>
      <c r="Y263">
        <f>'raw data Crude oil'!Y264</f>
        <v>58.61</v>
      </c>
      <c r="Z263">
        <f>'raw data Crude oil'!Z264</f>
        <v>0</v>
      </c>
      <c r="AA263">
        <f>'raw data Crude oil'!AA264</f>
        <v>0</v>
      </c>
      <c r="AB263">
        <f>'raw data Crude oil'!AB264</f>
        <v>0</v>
      </c>
      <c r="AC263">
        <f>'raw data Crude oil'!AC264</f>
        <v>0</v>
      </c>
      <c r="AD263">
        <f>'raw data Crude oil'!AD264</f>
        <v>0</v>
      </c>
      <c r="AE263">
        <f>'raw data Crude oil'!AE264</f>
        <v>0</v>
      </c>
      <c r="AF263">
        <f>'raw data Crude oil'!AF264</f>
        <v>0</v>
      </c>
      <c r="AG263">
        <f>'raw data Crude oil'!AG264</f>
        <v>0</v>
      </c>
      <c r="AH263">
        <f>'raw data Crude oil'!AH264</f>
        <v>0</v>
      </c>
      <c r="AI263">
        <f>'raw data Crude oil'!AI264</f>
        <v>0</v>
      </c>
      <c r="AJ263">
        <f>'raw data Crude oil'!AJ264</f>
        <v>0</v>
      </c>
      <c r="AK263">
        <f>'raw data Crude oil'!AK264</f>
        <v>0</v>
      </c>
    </row>
    <row r="264" spans="1:37" x14ac:dyDescent="0.3">
      <c r="A264" s="18">
        <f>'raw data Crude oil'!A265</f>
        <v>43108</v>
      </c>
      <c r="B264">
        <f>'raw data Crude oil'!B265</f>
        <v>67.78</v>
      </c>
      <c r="C264">
        <f>'raw data Crude oil'!C265</f>
        <v>67.31</v>
      </c>
      <c r="D264">
        <f>'raw data Crude oil'!D265</f>
        <v>66.95</v>
      </c>
      <c r="E264">
        <f>'raw data Crude oil'!E265</f>
        <v>66.64</v>
      </c>
      <c r="F264">
        <f>'raw data Crude oil'!F265</f>
        <v>66.349999999999994</v>
      </c>
      <c r="G264">
        <f>'raw data Crude oil'!G265</f>
        <v>66.02</v>
      </c>
      <c r="H264">
        <f>'raw data Crude oil'!H265</f>
        <v>65.680000000000007</v>
      </c>
      <c r="I264">
        <f>'raw data Crude oil'!I265</f>
        <v>65.319999999999993</v>
      </c>
      <c r="J264">
        <f>'raw data Crude oil'!J265</f>
        <v>64.97</v>
      </c>
      <c r="K264">
        <f>'raw data Crude oil'!K265</f>
        <v>64.61</v>
      </c>
      <c r="L264">
        <f>'raw data Crude oil'!L265</f>
        <v>64.31</v>
      </c>
      <c r="M264">
        <f>'raw data Crude oil'!M265</f>
        <v>64</v>
      </c>
      <c r="N264">
        <f>'raw data Crude oil'!N265</f>
        <v>61.73</v>
      </c>
      <c r="O264">
        <f>'raw data Crude oil'!O265</f>
        <v>61.72</v>
      </c>
      <c r="P264">
        <f>'raw data Crude oil'!P265</f>
        <v>61.62</v>
      </c>
      <c r="Q264">
        <f>'raw data Crude oil'!Q265</f>
        <v>61.48</v>
      </c>
      <c r="R264">
        <f>'raw data Crude oil'!R265</f>
        <v>61.28</v>
      </c>
      <c r="S264">
        <f>'raw data Crude oil'!S265</f>
        <v>60.99</v>
      </c>
      <c r="T264">
        <f>'raw data Crude oil'!T265</f>
        <v>60.66</v>
      </c>
      <c r="U264">
        <f>'raw data Crude oil'!U265</f>
        <v>60.33</v>
      </c>
      <c r="V264">
        <f>'raw data Crude oil'!V265</f>
        <v>59.99</v>
      </c>
      <c r="W264">
        <f>'raw data Crude oil'!W265</f>
        <v>59.66</v>
      </c>
      <c r="X264">
        <f>'raw data Crude oil'!X265</f>
        <v>59.34</v>
      </c>
      <c r="Y264">
        <f>'raw data Crude oil'!Y265</f>
        <v>59.01</v>
      </c>
      <c r="Z264">
        <f>'raw data Crude oil'!Z265</f>
        <v>0</v>
      </c>
      <c r="AA264">
        <f>'raw data Crude oil'!AA265</f>
        <v>0</v>
      </c>
      <c r="AB264">
        <f>'raw data Crude oil'!AB265</f>
        <v>0</v>
      </c>
      <c r="AC264">
        <f>'raw data Crude oil'!AC265</f>
        <v>0</v>
      </c>
      <c r="AD264">
        <f>'raw data Crude oil'!AD265</f>
        <v>0</v>
      </c>
      <c r="AE264">
        <f>'raw data Crude oil'!AE265</f>
        <v>0</v>
      </c>
      <c r="AF264">
        <f>'raw data Crude oil'!AF265</f>
        <v>0</v>
      </c>
      <c r="AG264">
        <f>'raw data Crude oil'!AG265</f>
        <v>0</v>
      </c>
      <c r="AH264">
        <f>'raw data Crude oil'!AH265</f>
        <v>0</v>
      </c>
      <c r="AI264">
        <f>'raw data Crude oil'!AI265</f>
        <v>0</v>
      </c>
      <c r="AJ264">
        <f>'raw data Crude oil'!AJ265</f>
        <v>0</v>
      </c>
      <c r="AK264">
        <f>'raw data Crude oil'!AK265</f>
        <v>0</v>
      </c>
    </row>
    <row r="265" spans="1:37" x14ac:dyDescent="0.3">
      <c r="A265" s="18">
        <f>'raw data Crude oil'!A266</f>
        <v>43109</v>
      </c>
      <c r="B265">
        <f>'raw data Crude oil'!B266</f>
        <v>68.819999999999993</v>
      </c>
      <c r="C265">
        <f>'raw data Crude oil'!C266</f>
        <v>68.34</v>
      </c>
      <c r="D265">
        <f>'raw data Crude oil'!D266</f>
        <v>67.959999999999994</v>
      </c>
      <c r="E265">
        <f>'raw data Crude oil'!E266</f>
        <v>67.61</v>
      </c>
      <c r="F265">
        <f>'raw data Crude oil'!F266</f>
        <v>67.27</v>
      </c>
      <c r="G265">
        <f>'raw data Crude oil'!G266</f>
        <v>66.92</v>
      </c>
      <c r="H265">
        <f>'raw data Crude oil'!H266</f>
        <v>66.55</v>
      </c>
      <c r="I265">
        <f>'raw data Crude oil'!I266</f>
        <v>66.17</v>
      </c>
      <c r="J265">
        <f>'raw data Crude oil'!J266</f>
        <v>65.790000000000006</v>
      </c>
      <c r="K265">
        <f>'raw data Crude oil'!K266</f>
        <v>65.41</v>
      </c>
      <c r="L265">
        <f>'raw data Crude oil'!L266</f>
        <v>65.09</v>
      </c>
      <c r="M265">
        <f>'raw data Crude oil'!M266</f>
        <v>64.760000000000005</v>
      </c>
      <c r="N265">
        <f>'raw data Crude oil'!N266</f>
        <v>62.96</v>
      </c>
      <c r="O265">
        <f>'raw data Crude oil'!O266</f>
        <v>62.87</v>
      </c>
      <c r="P265">
        <f>'raw data Crude oil'!P266</f>
        <v>62.7</v>
      </c>
      <c r="Q265">
        <f>'raw data Crude oil'!Q266</f>
        <v>62.49</v>
      </c>
      <c r="R265">
        <f>'raw data Crude oil'!R266</f>
        <v>62.23</v>
      </c>
      <c r="S265">
        <f>'raw data Crude oil'!S266</f>
        <v>61.9</v>
      </c>
      <c r="T265">
        <f>'raw data Crude oil'!T266</f>
        <v>61.53</v>
      </c>
      <c r="U265">
        <f>'raw data Crude oil'!U266</f>
        <v>61.16</v>
      </c>
      <c r="V265">
        <f>'raw data Crude oil'!V266</f>
        <v>60.79</v>
      </c>
      <c r="W265">
        <f>'raw data Crude oil'!W266</f>
        <v>60.42</v>
      </c>
      <c r="X265">
        <f>'raw data Crude oil'!X266</f>
        <v>60.07</v>
      </c>
      <c r="Y265">
        <f>'raw data Crude oil'!Y266</f>
        <v>59.73</v>
      </c>
      <c r="Z265">
        <f>'raw data Crude oil'!Z266</f>
        <v>0</v>
      </c>
      <c r="AA265">
        <f>'raw data Crude oil'!AA266</f>
        <v>0</v>
      </c>
      <c r="AB265">
        <f>'raw data Crude oil'!AB266</f>
        <v>0</v>
      </c>
      <c r="AC265">
        <f>'raw data Crude oil'!AC266</f>
        <v>0</v>
      </c>
      <c r="AD265">
        <f>'raw data Crude oil'!AD266</f>
        <v>0</v>
      </c>
      <c r="AE265">
        <f>'raw data Crude oil'!AE266</f>
        <v>0</v>
      </c>
      <c r="AF265">
        <f>'raw data Crude oil'!AF266</f>
        <v>0</v>
      </c>
      <c r="AG265">
        <f>'raw data Crude oil'!AG266</f>
        <v>0</v>
      </c>
      <c r="AH265">
        <f>'raw data Crude oil'!AH266</f>
        <v>0</v>
      </c>
      <c r="AI265">
        <f>'raw data Crude oil'!AI266</f>
        <v>0</v>
      </c>
      <c r="AJ265">
        <f>'raw data Crude oil'!AJ266</f>
        <v>0</v>
      </c>
      <c r="AK265">
        <f>'raw data Crude oil'!AK266</f>
        <v>0</v>
      </c>
    </row>
    <row r="266" spans="1:37" x14ac:dyDescent="0.3">
      <c r="A266" s="18">
        <f>'raw data Crude oil'!A267</f>
        <v>43110</v>
      </c>
      <c r="B266">
        <f>'raw data Crude oil'!B267</f>
        <v>69.2</v>
      </c>
      <c r="C266">
        <f>'raw data Crude oil'!C267</f>
        <v>68.73</v>
      </c>
      <c r="D266">
        <f>'raw data Crude oil'!D267</f>
        <v>68.349999999999994</v>
      </c>
      <c r="E266">
        <f>'raw data Crude oil'!E267</f>
        <v>67.989999999999995</v>
      </c>
      <c r="F266">
        <f>'raw data Crude oil'!F267</f>
        <v>67.64</v>
      </c>
      <c r="G266">
        <f>'raw data Crude oil'!G267</f>
        <v>67.27</v>
      </c>
      <c r="H266">
        <f>'raw data Crude oil'!H267</f>
        <v>66.88</v>
      </c>
      <c r="I266">
        <f>'raw data Crude oil'!I267</f>
        <v>66.47</v>
      </c>
      <c r="J266">
        <f>'raw data Crude oil'!J267</f>
        <v>66.069999999999993</v>
      </c>
      <c r="K266">
        <f>'raw data Crude oil'!K267</f>
        <v>65.650000000000006</v>
      </c>
      <c r="L266">
        <f>'raw data Crude oil'!L267</f>
        <v>65.31</v>
      </c>
      <c r="M266">
        <f>'raw data Crude oil'!M267</f>
        <v>64.959999999999994</v>
      </c>
      <c r="N266">
        <f>'raw data Crude oil'!N267</f>
        <v>63.57</v>
      </c>
      <c r="O266">
        <f>'raw data Crude oil'!O267</f>
        <v>63.42</v>
      </c>
      <c r="P266">
        <f>'raw data Crude oil'!P267</f>
        <v>63.21</v>
      </c>
      <c r="Q266">
        <f>'raw data Crude oil'!Q267</f>
        <v>62.98</v>
      </c>
      <c r="R266">
        <f>'raw data Crude oil'!R267</f>
        <v>62.68</v>
      </c>
      <c r="S266">
        <f>'raw data Crude oil'!S267</f>
        <v>62.32</v>
      </c>
      <c r="T266">
        <f>'raw data Crude oil'!T267</f>
        <v>61.91</v>
      </c>
      <c r="U266">
        <f>'raw data Crude oil'!U267</f>
        <v>61.51</v>
      </c>
      <c r="V266">
        <f>'raw data Crude oil'!V267</f>
        <v>61.1</v>
      </c>
      <c r="W266">
        <f>'raw data Crude oil'!W267</f>
        <v>60.7</v>
      </c>
      <c r="X266">
        <f>'raw data Crude oil'!X267</f>
        <v>60.33</v>
      </c>
      <c r="Y266">
        <f>'raw data Crude oil'!Y267</f>
        <v>59.94</v>
      </c>
      <c r="Z266">
        <f>'raw data Crude oil'!Z267</f>
        <v>0</v>
      </c>
      <c r="AA266">
        <f>'raw data Crude oil'!AA267</f>
        <v>0</v>
      </c>
      <c r="AB266">
        <f>'raw data Crude oil'!AB267</f>
        <v>0</v>
      </c>
      <c r="AC266">
        <f>'raw data Crude oil'!AC267</f>
        <v>0</v>
      </c>
      <c r="AD266">
        <f>'raw data Crude oil'!AD267</f>
        <v>0</v>
      </c>
      <c r="AE266">
        <f>'raw data Crude oil'!AE267</f>
        <v>0</v>
      </c>
      <c r="AF266">
        <f>'raw data Crude oil'!AF267</f>
        <v>0</v>
      </c>
      <c r="AG266">
        <f>'raw data Crude oil'!AG267</f>
        <v>0</v>
      </c>
      <c r="AH266">
        <f>'raw data Crude oil'!AH267</f>
        <v>0</v>
      </c>
      <c r="AI266">
        <f>'raw data Crude oil'!AI267</f>
        <v>0</v>
      </c>
      <c r="AJ266">
        <f>'raw data Crude oil'!AJ267</f>
        <v>0</v>
      </c>
      <c r="AK266">
        <f>'raw data Crude oil'!AK267</f>
        <v>0</v>
      </c>
    </row>
    <row r="267" spans="1:37" x14ac:dyDescent="0.3">
      <c r="A267" s="18">
        <f>'raw data Crude oil'!A268</f>
        <v>43111</v>
      </c>
      <c r="B267">
        <f>'raw data Crude oil'!B268</f>
        <v>69.260000000000005</v>
      </c>
      <c r="C267">
        <f>'raw data Crude oil'!C268</f>
        <v>68.77</v>
      </c>
      <c r="D267">
        <f>'raw data Crude oil'!D268</f>
        <v>68.37</v>
      </c>
      <c r="E267">
        <f>'raw data Crude oil'!E268</f>
        <v>68.010000000000005</v>
      </c>
      <c r="F267">
        <f>'raw data Crude oil'!F268</f>
        <v>67.64</v>
      </c>
      <c r="G267">
        <f>'raw data Crude oil'!G268</f>
        <v>67.27</v>
      </c>
      <c r="H267">
        <f>'raw data Crude oil'!H268</f>
        <v>66.87</v>
      </c>
      <c r="I267">
        <f>'raw data Crude oil'!I268</f>
        <v>66.45</v>
      </c>
      <c r="J267">
        <f>'raw data Crude oil'!J268</f>
        <v>66.040000000000006</v>
      </c>
      <c r="K267">
        <f>'raw data Crude oil'!K268</f>
        <v>65.63</v>
      </c>
      <c r="L267">
        <f>'raw data Crude oil'!L268</f>
        <v>65.28</v>
      </c>
      <c r="M267">
        <f>'raw data Crude oil'!M268</f>
        <v>64.92</v>
      </c>
      <c r="N267">
        <f>'raw data Crude oil'!N268</f>
        <v>63.8</v>
      </c>
      <c r="O267">
        <f>'raw data Crude oil'!O268</f>
        <v>63.68</v>
      </c>
      <c r="P267">
        <f>'raw data Crude oil'!P268</f>
        <v>63.46</v>
      </c>
      <c r="Q267">
        <f>'raw data Crude oil'!Q268</f>
        <v>63.2</v>
      </c>
      <c r="R267">
        <f>'raw data Crude oil'!R268</f>
        <v>62.89</v>
      </c>
      <c r="S267">
        <f>'raw data Crude oil'!S268</f>
        <v>62.52</v>
      </c>
      <c r="T267">
        <f>'raw data Crude oil'!T268</f>
        <v>62.09</v>
      </c>
      <c r="U267">
        <f>'raw data Crude oil'!U268</f>
        <v>61.67</v>
      </c>
      <c r="V267">
        <f>'raw data Crude oil'!V268</f>
        <v>61.25</v>
      </c>
      <c r="W267">
        <f>'raw data Crude oil'!W268</f>
        <v>60.85</v>
      </c>
      <c r="X267">
        <f>'raw data Crude oil'!X268</f>
        <v>60.48</v>
      </c>
      <c r="Y267">
        <f>'raw data Crude oil'!Y268</f>
        <v>60.09</v>
      </c>
      <c r="Z267">
        <f>'raw data Crude oil'!Z268</f>
        <v>0</v>
      </c>
      <c r="AA267">
        <f>'raw data Crude oil'!AA268</f>
        <v>0</v>
      </c>
      <c r="AB267">
        <f>'raw data Crude oil'!AB268</f>
        <v>0</v>
      </c>
      <c r="AC267">
        <f>'raw data Crude oil'!AC268</f>
        <v>0</v>
      </c>
      <c r="AD267">
        <f>'raw data Crude oil'!AD268</f>
        <v>0</v>
      </c>
      <c r="AE267">
        <f>'raw data Crude oil'!AE268</f>
        <v>0</v>
      </c>
      <c r="AF267">
        <f>'raw data Crude oil'!AF268</f>
        <v>0</v>
      </c>
      <c r="AG267">
        <f>'raw data Crude oil'!AG268</f>
        <v>0</v>
      </c>
      <c r="AH267">
        <f>'raw data Crude oil'!AH268</f>
        <v>0</v>
      </c>
      <c r="AI267">
        <f>'raw data Crude oil'!AI268</f>
        <v>0</v>
      </c>
      <c r="AJ267">
        <f>'raw data Crude oil'!AJ268</f>
        <v>0</v>
      </c>
      <c r="AK267">
        <f>'raw data Crude oil'!AK268</f>
        <v>0</v>
      </c>
    </row>
    <row r="268" spans="1:37" x14ac:dyDescent="0.3">
      <c r="A268" s="18">
        <f>'raw data Crude oil'!A269</f>
        <v>43112</v>
      </c>
      <c r="B268">
        <f>'raw data Crude oil'!B269</f>
        <v>69.87</v>
      </c>
      <c r="C268">
        <f>'raw data Crude oil'!C269</f>
        <v>69.38</v>
      </c>
      <c r="D268">
        <f>'raw data Crude oil'!D269</f>
        <v>68.98</v>
      </c>
      <c r="E268">
        <f>'raw data Crude oil'!E269</f>
        <v>68.61</v>
      </c>
      <c r="F268">
        <f>'raw data Crude oil'!F269</f>
        <v>68.22</v>
      </c>
      <c r="G268">
        <f>'raw data Crude oil'!G269</f>
        <v>67.819999999999993</v>
      </c>
      <c r="H268">
        <f>'raw data Crude oil'!H269</f>
        <v>67.400000000000006</v>
      </c>
      <c r="I268">
        <f>'raw data Crude oil'!I269</f>
        <v>66.97</v>
      </c>
      <c r="J268">
        <f>'raw data Crude oil'!J269</f>
        <v>66.55</v>
      </c>
      <c r="K268">
        <f>'raw data Crude oil'!K269</f>
        <v>66.12</v>
      </c>
      <c r="L268">
        <f>'raw data Crude oil'!L269</f>
        <v>65.77</v>
      </c>
      <c r="M268">
        <f>'raw data Crude oil'!M269</f>
        <v>65.41</v>
      </c>
      <c r="N268">
        <f>'raw data Crude oil'!N269</f>
        <v>64.3</v>
      </c>
      <c r="O268">
        <f>'raw data Crude oil'!O269</f>
        <v>64.23</v>
      </c>
      <c r="P268">
        <f>'raw data Crude oil'!P269</f>
        <v>64.03</v>
      </c>
      <c r="Q268">
        <f>'raw data Crude oil'!Q269</f>
        <v>63.77</v>
      </c>
      <c r="R268">
        <f>'raw data Crude oil'!R269</f>
        <v>63.44</v>
      </c>
      <c r="S268">
        <f>'raw data Crude oil'!S269</f>
        <v>63.05</v>
      </c>
      <c r="T268">
        <f>'raw data Crude oil'!T269</f>
        <v>62.61</v>
      </c>
      <c r="U268">
        <f>'raw data Crude oil'!U269</f>
        <v>62.17</v>
      </c>
      <c r="V268">
        <f>'raw data Crude oil'!V269</f>
        <v>61.73</v>
      </c>
      <c r="W268">
        <f>'raw data Crude oil'!W269</f>
        <v>61.3</v>
      </c>
      <c r="X268">
        <f>'raw data Crude oil'!X269</f>
        <v>60.89</v>
      </c>
      <c r="Y268">
        <f>'raw data Crude oil'!Y269</f>
        <v>60.5</v>
      </c>
      <c r="Z268">
        <f>'raw data Crude oil'!Z269</f>
        <v>0</v>
      </c>
      <c r="AA268">
        <f>'raw data Crude oil'!AA269</f>
        <v>0</v>
      </c>
      <c r="AB268">
        <f>'raw data Crude oil'!AB269</f>
        <v>0</v>
      </c>
      <c r="AC268">
        <f>'raw data Crude oil'!AC269</f>
        <v>0</v>
      </c>
      <c r="AD268">
        <f>'raw data Crude oil'!AD269</f>
        <v>0</v>
      </c>
      <c r="AE268">
        <f>'raw data Crude oil'!AE269</f>
        <v>0</v>
      </c>
      <c r="AF268">
        <f>'raw data Crude oil'!AF269</f>
        <v>0</v>
      </c>
      <c r="AG268">
        <f>'raw data Crude oil'!AG269</f>
        <v>0</v>
      </c>
      <c r="AH268">
        <f>'raw data Crude oil'!AH269</f>
        <v>0</v>
      </c>
      <c r="AI268">
        <f>'raw data Crude oil'!AI269</f>
        <v>0</v>
      </c>
      <c r="AJ268">
        <f>'raw data Crude oil'!AJ269</f>
        <v>0</v>
      </c>
      <c r="AK268">
        <f>'raw data Crude oil'!AK269</f>
        <v>0</v>
      </c>
    </row>
    <row r="269" spans="1:37" x14ac:dyDescent="0.3">
      <c r="A269" s="18">
        <f>'raw data Crude oil'!A270</f>
        <v>43115</v>
      </c>
      <c r="B269">
        <f>'raw data Crude oil'!B270</f>
        <v>70.260000000000005</v>
      </c>
      <c r="C269">
        <f>'raw data Crude oil'!C270</f>
        <v>69.83</v>
      </c>
      <c r="D269">
        <f>'raw data Crude oil'!D270</f>
        <v>69.48</v>
      </c>
      <c r="E269">
        <f>'raw data Crude oil'!E270</f>
        <v>69.17</v>
      </c>
      <c r="F269">
        <f>'raw data Crude oil'!F270</f>
        <v>68.81</v>
      </c>
      <c r="G269">
        <f>'raw data Crude oil'!G270</f>
        <v>68.42</v>
      </c>
      <c r="H269">
        <f>'raw data Crude oil'!H270</f>
        <v>68.010000000000005</v>
      </c>
      <c r="I269">
        <f>'raw data Crude oil'!I270</f>
        <v>67.58</v>
      </c>
      <c r="J269">
        <f>'raw data Crude oil'!J270</f>
        <v>67.16</v>
      </c>
      <c r="K269">
        <f>'raw data Crude oil'!K270</f>
        <v>66.73</v>
      </c>
      <c r="L269">
        <f>'raw data Crude oil'!L270</f>
        <v>66.38</v>
      </c>
      <c r="M269">
        <f>'raw data Crude oil'!M270</f>
        <v>66.02</v>
      </c>
      <c r="N269">
        <f>'raw data Crude oil'!N270</f>
        <v>64.3</v>
      </c>
      <c r="O269">
        <f>'raw data Crude oil'!O270</f>
        <v>64.23</v>
      </c>
      <c r="P269">
        <f>'raw data Crude oil'!P270</f>
        <v>64.03</v>
      </c>
      <c r="Q269">
        <f>'raw data Crude oil'!Q270</f>
        <v>63.77</v>
      </c>
      <c r="R269">
        <f>'raw data Crude oil'!R270</f>
        <v>63.44</v>
      </c>
      <c r="S269">
        <f>'raw data Crude oil'!S270</f>
        <v>63.05</v>
      </c>
      <c r="T269">
        <f>'raw data Crude oil'!T270</f>
        <v>62.61</v>
      </c>
      <c r="U269">
        <f>'raw data Crude oil'!U270</f>
        <v>62.17</v>
      </c>
      <c r="V269">
        <f>'raw data Crude oil'!V270</f>
        <v>61.73</v>
      </c>
      <c r="W269">
        <f>'raw data Crude oil'!W270</f>
        <v>61.3</v>
      </c>
      <c r="X269">
        <f>'raw data Crude oil'!X270</f>
        <v>60.89</v>
      </c>
      <c r="Y269">
        <f>'raw data Crude oil'!Y270</f>
        <v>60.5</v>
      </c>
      <c r="Z269">
        <f>'raw data Crude oil'!Z270</f>
        <v>0</v>
      </c>
      <c r="AA269">
        <f>'raw data Crude oil'!AA270</f>
        <v>0</v>
      </c>
      <c r="AB269">
        <f>'raw data Crude oil'!AB270</f>
        <v>0</v>
      </c>
      <c r="AC269">
        <f>'raw data Crude oil'!AC270</f>
        <v>0</v>
      </c>
      <c r="AD269">
        <f>'raw data Crude oil'!AD270</f>
        <v>0</v>
      </c>
      <c r="AE269">
        <f>'raw data Crude oil'!AE270</f>
        <v>0</v>
      </c>
      <c r="AF269">
        <f>'raw data Crude oil'!AF270</f>
        <v>0</v>
      </c>
      <c r="AG269">
        <f>'raw data Crude oil'!AG270</f>
        <v>0</v>
      </c>
      <c r="AH269">
        <f>'raw data Crude oil'!AH270</f>
        <v>0</v>
      </c>
      <c r="AI269">
        <f>'raw data Crude oil'!AI270</f>
        <v>0</v>
      </c>
      <c r="AJ269">
        <f>'raw data Crude oil'!AJ270</f>
        <v>0</v>
      </c>
      <c r="AK269">
        <f>'raw data Crude oil'!AK270</f>
        <v>0</v>
      </c>
    </row>
    <row r="270" spans="1:37" x14ac:dyDescent="0.3">
      <c r="A270" s="18">
        <f>'raw data Crude oil'!A271</f>
        <v>43116</v>
      </c>
      <c r="B270">
        <f>'raw data Crude oil'!B271</f>
        <v>69.150000000000006</v>
      </c>
      <c r="C270">
        <f>'raw data Crude oil'!C271</f>
        <v>68.78</v>
      </c>
      <c r="D270">
        <f>'raw data Crude oil'!D271</f>
        <v>68.45</v>
      </c>
      <c r="E270">
        <f>'raw data Crude oil'!E271</f>
        <v>68.150000000000006</v>
      </c>
      <c r="F270">
        <f>'raw data Crude oil'!F271</f>
        <v>67.83</v>
      </c>
      <c r="G270">
        <f>'raw data Crude oil'!G271</f>
        <v>67.47</v>
      </c>
      <c r="H270">
        <f>'raw data Crude oil'!H271</f>
        <v>67.09</v>
      </c>
      <c r="I270">
        <f>'raw data Crude oil'!I271</f>
        <v>66.69</v>
      </c>
      <c r="J270">
        <f>'raw data Crude oil'!J271</f>
        <v>66.290000000000006</v>
      </c>
      <c r="K270">
        <f>'raw data Crude oil'!K271</f>
        <v>65.89</v>
      </c>
      <c r="L270">
        <f>'raw data Crude oil'!L271</f>
        <v>65.56</v>
      </c>
      <c r="M270">
        <f>'raw data Crude oil'!M271</f>
        <v>65.22</v>
      </c>
      <c r="N270">
        <f>'raw data Crude oil'!N271</f>
        <v>63.73</v>
      </c>
      <c r="O270">
        <f>'raw data Crude oil'!O271</f>
        <v>63.67</v>
      </c>
      <c r="P270">
        <f>'raw data Crude oil'!P271</f>
        <v>63.49</v>
      </c>
      <c r="Q270">
        <f>'raw data Crude oil'!Q271</f>
        <v>63.27</v>
      </c>
      <c r="R270">
        <f>'raw data Crude oil'!R271</f>
        <v>62.97</v>
      </c>
      <c r="S270">
        <f>'raw data Crude oil'!S271</f>
        <v>62.6</v>
      </c>
      <c r="T270">
        <f>'raw data Crude oil'!T271</f>
        <v>62.19</v>
      </c>
      <c r="U270">
        <f>'raw data Crude oil'!U271</f>
        <v>61.78</v>
      </c>
      <c r="V270">
        <f>'raw data Crude oil'!V271</f>
        <v>61.38</v>
      </c>
      <c r="W270">
        <f>'raw data Crude oil'!W271</f>
        <v>60.98</v>
      </c>
      <c r="X270">
        <f>'raw data Crude oil'!X271</f>
        <v>60.61</v>
      </c>
      <c r="Y270">
        <f>'raw data Crude oil'!Y271</f>
        <v>60.22</v>
      </c>
      <c r="Z270">
        <f>'raw data Crude oil'!Z271</f>
        <v>0</v>
      </c>
      <c r="AA270">
        <f>'raw data Crude oil'!AA271</f>
        <v>0</v>
      </c>
      <c r="AB270">
        <f>'raw data Crude oil'!AB271</f>
        <v>0</v>
      </c>
      <c r="AC270">
        <f>'raw data Crude oil'!AC271</f>
        <v>0</v>
      </c>
      <c r="AD270">
        <f>'raw data Crude oil'!AD271</f>
        <v>0</v>
      </c>
      <c r="AE270">
        <f>'raw data Crude oil'!AE271</f>
        <v>0</v>
      </c>
      <c r="AF270">
        <f>'raw data Crude oil'!AF271</f>
        <v>0</v>
      </c>
      <c r="AG270">
        <f>'raw data Crude oil'!AG271</f>
        <v>0</v>
      </c>
      <c r="AH270">
        <f>'raw data Crude oil'!AH271</f>
        <v>0</v>
      </c>
      <c r="AI270">
        <f>'raw data Crude oil'!AI271</f>
        <v>0</v>
      </c>
      <c r="AJ270">
        <f>'raw data Crude oil'!AJ271</f>
        <v>0</v>
      </c>
      <c r="AK270">
        <f>'raw data Crude oil'!AK271</f>
        <v>0</v>
      </c>
    </row>
    <row r="271" spans="1:37" x14ac:dyDescent="0.3">
      <c r="A271" s="18">
        <f>'raw data Crude oil'!A272</f>
        <v>43117</v>
      </c>
      <c r="B271">
        <f>'raw data Crude oil'!B272</f>
        <v>69.38</v>
      </c>
      <c r="C271">
        <f>'raw data Crude oil'!C272</f>
        <v>69</v>
      </c>
      <c r="D271">
        <f>'raw data Crude oil'!D272</f>
        <v>68.650000000000006</v>
      </c>
      <c r="E271">
        <f>'raw data Crude oil'!E272</f>
        <v>68.319999999999993</v>
      </c>
      <c r="F271">
        <f>'raw data Crude oil'!F272</f>
        <v>67.989999999999995</v>
      </c>
      <c r="G271">
        <f>'raw data Crude oil'!G272</f>
        <v>67.63</v>
      </c>
      <c r="H271">
        <f>'raw data Crude oil'!H272</f>
        <v>67.25</v>
      </c>
      <c r="I271">
        <f>'raw data Crude oil'!I272</f>
        <v>66.849999999999994</v>
      </c>
      <c r="J271">
        <f>'raw data Crude oil'!J272</f>
        <v>66.45</v>
      </c>
      <c r="K271">
        <f>'raw data Crude oil'!K272</f>
        <v>66.05</v>
      </c>
      <c r="L271">
        <f>'raw data Crude oil'!L272</f>
        <v>65.72</v>
      </c>
      <c r="M271">
        <f>'raw data Crude oil'!M272</f>
        <v>65.39</v>
      </c>
      <c r="N271">
        <f>'raw data Crude oil'!N272</f>
        <v>63.97</v>
      </c>
      <c r="O271">
        <f>'raw data Crude oil'!O272</f>
        <v>63.92</v>
      </c>
      <c r="P271">
        <f>'raw data Crude oil'!P272</f>
        <v>63.74</v>
      </c>
      <c r="Q271">
        <f>'raw data Crude oil'!Q272</f>
        <v>63.52</v>
      </c>
      <c r="R271">
        <f>'raw data Crude oil'!R272</f>
        <v>63.21</v>
      </c>
      <c r="S271">
        <f>'raw data Crude oil'!S272</f>
        <v>62.85</v>
      </c>
      <c r="T271">
        <f>'raw data Crude oil'!T272</f>
        <v>62.44</v>
      </c>
      <c r="U271">
        <f>'raw data Crude oil'!U272</f>
        <v>62.02</v>
      </c>
      <c r="V271">
        <f>'raw data Crude oil'!V272</f>
        <v>61.6</v>
      </c>
      <c r="W271">
        <f>'raw data Crude oil'!W272</f>
        <v>61.2</v>
      </c>
      <c r="X271">
        <f>'raw data Crude oil'!X272</f>
        <v>60.82</v>
      </c>
      <c r="Y271">
        <f>'raw data Crude oil'!Y272</f>
        <v>60.43</v>
      </c>
      <c r="Z271">
        <f>'raw data Crude oil'!Z272</f>
        <v>0</v>
      </c>
      <c r="AA271">
        <f>'raw data Crude oil'!AA272</f>
        <v>0</v>
      </c>
      <c r="AB271">
        <f>'raw data Crude oil'!AB272</f>
        <v>0</v>
      </c>
      <c r="AC271">
        <f>'raw data Crude oil'!AC272</f>
        <v>0</v>
      </c>
      <c r="AD271">
        <f>'raw data Crude oil'!AD272</f>
        <v>0</v>
      </c>
      <c r="AE271">
        <f>'raw data Crude oil'!AE272</f>
        <v>0</v>
      </c>
      <c r="AF271">
        <f>'raw data Crude oil'!AF272</f>
        <v>0</v>
      </c>
      <c r="AG271">
        <f>'raw data Crude oil'!AG272</f>
        <v>0</v>
      </c>
      <c r="AH271">
        <f>'raw data Crude oil'!AH272</f>
        <v>0</v>
      </c>
      <c r="AI271">
        <f>'raw data Crude oil'!AI272</f>
        <v>0</v>
      </c>
      <c r="AJ271">
        <f>'raw data Crude oil'!AJ272</f>
        <v>0</v>
      </c>
      <c r="AK271">
        <f>'raw data Crude oil'!AK272</f>
        <v>0</v>
      </c>
    </row>
    <row r="272" spans="1:37" x14ac:dyDescent="0.3">
      <c r="A272" s="18">
        <f>'raw data Crude oil'!A273</f>
        <v>43118</v>
      </c>
      <c r="B272">
        <f>'raw data Crude oil'!B273</f>
        <v>69.31</v>
      </c>
      <c r="C272">
        <f>'raw data Crude oil'!C273</f>
        <v>68.92</v>
      </c>
      <c r="D272">
        <f>'raw data Crude oil'!D273</f>
        <v>68.59</v>
      </c>
      <c r="E272">
        <f>'raw data Crude oil'!E273</f>
        <v>68.28</v>
      </c>
      <c r="F272">
        <f>'raw data Crude oil'!F273</f>
        <v>67.97</v>
      </c>
      <c r="G272">
        <f>'raw data Crude oil'!G273</f>
        <v>67.64</v>
      </c>
      <c r="H272">
        <f>'raw data Crude oil'!H273</f>
        <v>67.28</v>
      </c>
      <c r="I272">
        <f>'raw data Crude oil'!I273</f>
        <v>66.89</v>
      </c>
      <c r="J272">
        <f>'raw data Crude oil'!J273</f>
        <v>66.5</v>
      </c>
      <c r="K272">
        <f>'raw data Crude oil'!K273</f>
        <v>66.11</v>
      </c>
      <c r="L272">
        <f>'raw data Crude oil'!L273</f>
        <v>65.78</v>
      </c>
      <c r="M272">
        <f>'raw data Crude oil'!M273</f>
        <v>65.459999999999994</v>
      </c>
      <c r="N272">
        <f>'raw data Crude oil'!N273</f>
        <v>63.95</v>
      </c>
      <c r="O272">
        <f>'raw data Crude oil'!O273</f>
        <v>63.89</v>
      </c>
      <c r="P272">
        <f>'raw data Crude oil'!P273</f>
        <v>63.71</v>
      </c>
      <c r="Q272">
        <f>'raw data Crude oil'!Q273</f>
        <v>63.49</v>
      </c>
      <c r="R272">
        <f>'raw data Crude oil'!R273</f>
        <v>63.2</v>
      </c>
      <c r="S272">
        <f>'raw data Crude oil'!S273</f>
        <v>62.85</v>
      </c>
      <c r="T272">
        <f>'raw data Crude oil'!T273</f>
        <v>62.45</v>
      </c>
      <c r="U272">
        <f>'raw data Crude oil'!U273</f>
        <v>62.03</v>
      </c>
      <c r="V272">
        <f>'raw data Crude oil'!V273</f>
        <v>61.63</v>
      </c>
      <c r="W272">
        <f>'raw data Crude oil'!W273</f>
        <v>61.24</v>
      </c>
      <c r="X272">
        <f>'raw data Crude oil'!X273</f>
        <v>60.86</v>
      </c>
      <c r="Y272">
        <f>'raw data Crude oil'!Y273</f>
        <v>60.47</v>
      </c>
      <c r="Z272">
        <f>'raw data Crude oil'!Z273</f>
        <v>0</v>
      </c>
      <c r="AA272">
        <f>'raw data Crude oil'!AA273</f>
        <v>0</v>
      </c>
      <c r="AB272">
        <f>'raw data Crude oil'!AB273</f>
        <v>0</v>
      </c>
      <c r="AC272">
        <f>'raw data Crude oil'!AC273</f>
        <v>0</v>
      </c>
      <c r="AD272">
        <f>'raw data Crude oil'!AD273</f>
        <v>0</v>
      </c>
      <c r="AE272">
        <f>'raw data Crude oil'!AE273</f>
        <v>0</v>
      </c>
      <c r="AF272">
        <f>'raw data Crude oil'!AF273</f>
        <v>0</v>
      </c>
      <c r="AG272">
        <f>'raw data Crude oil'!AG273</f>
        <v>0</v>
      </c>
      <c r="AH272">
        <f>'raw data Crude oil'!AH273</f>
        <v>0</v>
      </c>
      <c r="AI272">
        <f>'raw data Crude oil'!AI273</f>
        <v>0</v>
      </c>
      <c r="AJ272">
        <f>'raw data Crude oil'!AJ273</f>
        <v>0</v>
      </c>
      <c r="AK272">
        <f>'raw data Crude oil'!AK273</f>
        <v>0</v>
      </c>
    </row>
    <row r="273" spans="1:37" x14ac:dyDescent="0.3">
      <c r="A273" s="18">
        <f>'raw data Crude oil'!A274</f>
        <v>43119</v>
      </c>
      <c r="B273">
        <f>'raw data Crude oil'!B274</f>
        <v>68.61</v>
      </c>
      <c r="C273">
        <f>'raw data Crude oil'!C274</f>
        <v>68.239999999999995</v>
      </c>
      <c r="D273">
        <f>'raw data Crude oil'!D274</f>
        <v>67.900000000000006</v>
      </c>
      <c r="E273">
        <f>'raw data Crude oil'!E274</f>
        <v>67.599999999999994</v>
      </c>
      <c r="F273">
        <f>'raw data Crude oil'!F274</f>
        <v>67.3</v>
      </c>
      <c r="G273">
        <f>'raw data Crude oil'!G274</f>
        <v>66.989999999999995</v>
      </c>
      <c r="H273">
        <f>'raw data Crude oil'!H274</f>
        <v>66.650000000000006</v>
      </c>
      <c r="I273">
        <f>'raw data Crude oil'!I274</f>
        <v>66.28</v>
      </c>
      <c r="J273">
        <f>'raw data Crude oil'!J274</f>
        <v>65.92</v>
      </c>
      <c r="K273">
        <f>'raw data Crude oil'!K274</f>
        <v>65.55</v>
      </c>
      <c r="L273">
        <f>'raw data Crude oil'!L274</f>
        <v>65.239999999999995</v>
      </c>
      <c r="M273">
        <f>'raw data Crude oil'!M274</f>
        <v>64.95</v>
      </c>
      <c r="N273">
        <f>'raw data Crude oil'!N274</f>
        <v>63.37</v>
      </c>
      <c r="O273">
        <f>'raw data Crude oil'!O274</f>
        <v>63.31</v>
      </c>
      <c r="P273">
        <f>'raw data Crude oil'!P274</f>
        <v>63.16</v>
      </c>
      <c r="Q273">
        <f>'raw data Crude oil'!Q274</f>
        <v>62.96</v>
      </c>
      <c r="R273">
        <f>'raw data Crude oil'!R274</f>
        <v>62.68</v>
      </c>
      <c r="S273">
        <f>'raw data Crude oil'!S274</f>
        <v>62.33</v>
      </c>
      <c r="T273">
        <f>'raw data Crude oil'!T274</f>
        <v>61.93</v>
      </c>
      <c r="U273">
        <f>'raw data Crude oil'!U274</f>
        <v>61.53</v>
      </c>
      <c r="V273">
        <f>'raw data Crude oil'!V274</f>
        <v>61.14</v>
      </c>
      <c r="W273">
        <f>'raw data Crude oil'!W274</f>
        <v>60.77</v>
      </c>
      <c r="X273">
        <f>'raw data Crude oil'!X274</f>
        <v>60.41</v>
      </c>
      <c r="Y273">
        <f>'raw data Crude oil'!Y274</f>
        <v>60.05</v>
      </c>
      <c r="Z273">
        <f>'raw data Crude oil'!Z274</f>
        <v>0</v>
      </c>
      <c r="AA273">
        <f>'raw data Crude oil'!AA274</f>
        <v>0</v>
      </c>
      <c r="AB273">
        <f>'raw data Crude oil'!AB274</f>
        <v>0</v>
      </c>
      <c r="AC273">
        <f>'raw data Crude oil'!AC274</f>
        <v>0</v>
      </c>
      <c r="AD273">
        <f>'raw data Crude oil'!AD274</f>
        <v>0</v>
      </c>
      <c r="AE273">
        <f>'raw data Crude oil'!AE274</f>
        <v>0</v>
      </c>
      <c r="AF273">
        <f>'raw data Crude oil'!AF274</f>
        <v>0</v>
      </c>
      <c r="AG273">
        <f>'raw data Crude oil'!AG274</f>
        <v>0</v>
      </c>
      <c r="AH273">
        <f>'raw data Crude oil'!AH274</f>
        <v>0</v>
      </c>
      <c r="AI273">
        <f>'raw data Crude oil'!AI274</f>
        <v>0</v>
      </c>
      <c r="AJ273">
        <f>'raw data Crude oil'!AJ274</f>
        <v>0</v>
      </c>
      <c r="AK273">
        <f>'raw data Crude oil'!AK274</f>
        <v>0</v>
      </c>
    </row>
    <row r="274" spans="1:37" x14ac:dyDescent="0.3">
      <c r="A274" s="18">
        <f>'raw data Crude oil'!A275</f>
        <v>43122</v>
      </c>
      <c r="B274">
        <f>'raw data Crude oil'!B275</f>
        <v>69.03</v>
      </c>
      <c r="C274">
        <f>'raw data Crude oil'!C275</f>
        <v>68.63</v>
      </c>
      <c r="D274">
        <f>'raw data Crude oil'!D275</f>
        <v>68.260000000000005</v>
      </c>
      <c r="E274">
        <f>'raw data Crude oil'!E275</f>
        <v>67.94</v>
      </c>
      <c r="F274">
        <f>'raw data Crude oil'!F275</f>
        <v>67.62</v>
      </c>
      <c r="G274">
        <f>'raw data Crude oil'!G275</f>
        <v>67.3</v>
      </c>
      <c r="H274">
        <f>'raw data Crude oil'!H275</f>
        <v>66.95</v>
      </c>
      <c r="I274">
        <f>'raw data Crude oil'!I275</f>
        <v>66.569999999999993</v>
      </c>
      <c r="J274">
        <f>'raw data Crude oil'!J275</f>
        <v>66.2</v>
      </c>
      <c r="K274">
        <f>'raw data Crude oil'!K275</f>
        <v>65.819999999999993</v>
      </c>
      <c r="L274">
        <f>'raw data Crude oil'!L275</f>
        <v>65.5</v>
      </c>
      <c r="M274">
        <f>'raw data Crude oil'!M275</f>
        <v>65.19</v>
      </c>
      <c r="N274">
        <f>'raw data Crude oil'!N275</f>
        <v>63.49</v>
      </c>
      <c r="O274">
        <f>'raw data Crude oil'!O275</f>
        <v>63.57</v>
      </c>
      <c r="P274">
        <f>'raw data Crude oil'!P275</f>
        <v>63.43</v>
      </c>
      <c r="Q274">
        <f>'raw data Crude oil'!Q275</f>
        <v>63.23</v>
      </c>
      <c r="R274">
        <f>'raw data Crude oil'!R275</f>
        <v>62.96</v>
      </c>
      <c r="S274">
        <f>'raw data Crude oil'!S275</f>
        <v>62.62</v>
      </c>
      <c r="T274">
        <f>'raw data Crude oil'!T275</f>
        <v>62.22</v>
      </c>
      <c r="U274">
        <f>'raw data Crude oil'!U275</f>
        <v>61.82</v>
      </c>
      <c r="V274">
        <f>'raw data Crude oil'!V275</f>
        <v>61.42</v>
      </c>
      <c r="W274">
        <f>'raw data Crude oil'!W275</f>
        <v>61.03</v>
      </c>
      <c r="X274">
        <f>'raw data Crude oil'!X275</f>
        <v>60.67</v>
      </c>
      <c r="Y274">
        <f>'raw data Crude oil'!Y275</f>
        <v>60.3</v>
      </c>
      <c r="Z274">
        <f>'raw data Crude oil'!Z275</f>
        <v>0</v>
      </c>
      <c r="AA274">
        <f>'raw data Crude oil'!AA275</f>
        <v>0</v>
      </c>
      <c r="AB274">
        <f>'raw data Crude oil'!AB275</f>
        <v>0</v>
      </c>
      <c r="AC274">
        <f>'raw data Crude oil'!AC275</f>
        <v>0</v>
      </c>
      <c r="AD274">
        <f>'raw data Crude oil'!AD275</f>
        <v>0</v>
      </c>
      <c r="AE274">
        <f>'raw data Crude oil'!AE275</f>
        <v>0</v>
      </c>
      <c r="AF274">
        <f>'raw data Crude oil'!AF275</f>
        <v>0</v>
      </c>
      <c r="AG274">
        <f>'raw data Crude oil'!AG275</f>
        <v>0</v>
      </c>
      <c r="AH274">
        <f>'raw data Crude oil'!AH275</f>
        <v>0</v>
      </c>
      <c r="AI274">
        <f>'raw data Crude oil'!AI275</f>
        <v>0</v>
      </c>
      <c r="AJ274">
        <f>'raw data Crude oil'!AJ275</f>
        <v>0</v>
      </c>
      <c r="AK274">
        <f>'raw data Crude oil'!AK275</f>
        <v>0</v>
      </c>
    </row>
    <row r="275" spans="1:37" x14ac:dyDescent="0.3">
      <c r="A275" s="18">
        <f>'raw data Crude oil'!A276</f>
        <v>43123</v>
      </c>
      <c r="B275">
        <f>'raw data Crude oil'!B276</f>
        <v>69.959999999999994</v>
      </c>
      <c r="C275">
        <f>'raw data Crude oil'!C276</f>
        <v>69.540000000000006</v>
      </c>
      <c r="D275">
        <f>'raw data Crude oil'!D276</f>
        <v>69.150000000000006</v>
      </c>
      <c r="E275">
        <f>'raw data Crude oil'!E276</f>
        <v>68.790000000000006</v>
      </c>
      <c r="F275">
        <f>'raw data Crude oil'!F276</f>
        <v>68.430000000000007</v>
      </c>
      <c r="G275">
        <f>'raw data Crude oil'!G276</f>
        <v>68.08</v>
      </c>
      <c r="H275">
        <f>'raw data Crude oil'!H276</f>
        <v>67.709999999999994</v>
      </c>
      <c r="I275">
        <f>'raw data Crude oil'!I276</f>
        <v>67.3</v>
      </c>
      <c r="J275">
        <f>'raw data Crude oil'!J276</f>
        <v>66.900000000000006</v>
      </c>
      <c r="K275">
        <f>'raw data Crude oil'!K276</f>
        <v>66.489999999999995</v>
      </c>
      <c r="L275">
        <f>'raw data Crude oil'!L276</f>
        <v>66.150000000000006</v>
      </c>
      <c r="M275">
        <f>'raw data Crude oil'!M276</f>
        <v>65.819999999999993</v>
      </c>
      <c r="N275">
        <f>'raw data Crude oil'!N276</f>
        <v>64.47</v>
      </c>
      <c r="O275">
        <f>'raw data Crude oil'!O276</f>
        <v>64.31</v>
      </c>
      <c r="P275">
        <f>'raw data Crude oil'!P276</f>
        <v>64.09</v>
      </c>
      <c r="Q275">
        <f>'raw data Crude oil'!Q276</f>
        <v>63.79</v>
      </c>
      <c r="R275">
        <f>'raw data Crude oil'!R276</f>
        <v>63.42</v>
      </c>
      <c r="S275">
        <f>'raw data Crude oil'!S276</f>
        <v>62.98</v>
      </c>
      <c r="T275">
        <f>'raw data Crude oil'!T276</f>
        <v>62.55</v>
      </c>
      <c r="U275">
        <f>'raw data Crude oil'!U276</f>
        <v>62.12</v>
      </c>
      <c r="V275">
        <f>'raw data Crude oil'!V276</f>
        <v>61.68</v>
      </c>
      <c r="W275">
        <f>'raw data Crude oil'!W276</f>
        <v>61.3</v>
      </c>
      <c r="X275">
        <f>'raw data Crude oil'!X276</f>
        <v>60.9</v>
      </c>
      <c r="Y275">
        <f>'raw data Crude oil'!Y276</f>
        <v>60.48</v>
      </c>
      <c r="Z275">
        <f>'raw data Crude oil'!Z276</f>
        <v>0</v>
      </c>
      <c r="AA275">
        <f>'raw data Crude oil'!AA276</f>
        <v>0</v>
      </c>
      <c r="AB275">
        <f>'raw data Crude oil'!AB276</f>
        <v>0</v>
      </c>
      <c r="AC275">
        <f>'raw data Crude oil'!AC276</f>
        <v>0</v>
      </c>
      <c r="AD275">
        <f>'raw data Crude oil'!AD276</f>
        <v>0</v>
      </c>
      <c r="AE275">
        <f>'raw data Crude oil'!AE276</f>
        <v>0</v>
      </c>
      <c r="AF275">
        <f>'raw data Crude oil'!AF276</f>
        <v>0</v>
      </c>
      <c r="AG275">
        <f>'raw data Crude oil'!AG276</f>
        <v>0</v>
      </c>
      <c r="AH275">
        <f>'raw data Crude oil'!AH276</f>
        <v>0</v>
      </c>
      <c r="AI275">
        <f>'raw data Crude oil'!AI276</f>
        <v>0</v>
      </c>
      <c r="AJ275">
        <f>'raw data Crude oil'!AJ276</f>
        <v>0</v>
      </c>
      <c r="AK275">
        <f>'raw data Crude oil'!AK276</f>
        <v>0</v>
      </c>
    </row>
    <row r="276" spans="1:37" x14ac:dyDescent="0.3">
      <c r="A276" s="18">
        <f>'raw data Crude oil'!A277</f>
        <v>43124</v>
      </c>
      <c r="B276">
        <f>'raw data Crude oil'!B277</f>
        <v>70.53</v>
      </c>
      <c r="C276">
        <f>'raw data Crude oil'!C277</f>
        <v>70.02</v>
      </c>
      <c r="D276">
        <f>'raw data Crude oil'!D277</f>
        <v>69.599999999999994</v>
      </c>
      <c r="E276">
        <f>'raw data Crude oil'!E277</f>
        <v>69.209999999999994</v>
      </c>
      <c r="F276">
        <f>'raw data Crude oil'!F277</f>
        <v>68.819999999999993</v>
      </c>
      <c r="G276">
        <f>'raw data Crude oil'!G277</f>
        <v>68.44</v>
      </c>
      <c r="H276">
        <f>'raw data Crude oil'!H277</f>
        <v>68.03</v>
      </c>
      <c r="I276">
        <f>'raw data Crude oil'!I277</f>
        <v>67.59</v>
      </c>
      <c r="J276">
        <f>'raw data Crude oil'!J277</f>
        <v>67.150000000000006</v>
      </c>
      <c r="K276">
        <f>'raw data Crude oil'!K277</f>
        <v>66.709999999999994</v>
      </c>
      <c r="L276">
        <f>'raw data Crude oil'!L277</f>
        <v>66.33</v>
      </c>
      <c r="M276">
        <f>'raw data Crude oil'!M277</f>
        <v>65.97</v>
      </c>
      <c r="N276">
        <f>'raw data Crude oil'!N277</f>
        <v>65.61</v>
      </c>
      <c r="O276">
        <f>'raw data Crude oil'!O277</f>
        <v>65.36</v>
      </c>
      <c r="P276">
        <f>'raw data Crude oil'!P277</f>
        <v>65.03</v>
      </c>
      <c r="Q276">
        <f>'raw data Crude oil'!Q277</f>
        <v>64.61</v>
      </c>
      <c r="R276">
        <f>'raw data Crude oil'!R277</f>
        <v>64.12</v>
      </c>
      <c r="S276">
        <f>'raw data Crude oil'!S277</f>
        <v>63.58</v>
      </c>
      <c r="T276">
        <f>'raw data Crude oil'!T277</f>
        <v>63.05</v>
      </c>
      <c r="U276">
        <f>'raw data Crude oil'!U277</f>
        <v>62.55</v>
      </c>
      <c r="V276">
        <f>'raw data Crude oil'!V277</f>
        <v>62.07</v>
      </c>
      <c r="W276">
        <f>'raw data Crude oil'!W277</f>
        <v>61.63</v>
      </c>
      <c r="X276">
        <f>'raw data Crude oil'!X277</f>
        <v>61.18</v>
      </c>
      <c r="Y276">
        <f>'raw data Crude oil'!Y277</f>
        <v>60.71</v>
      </c>
      <c r="Z276">
        <f>'raw data Crude oil'!Z277</f>
        <v>0</v>
      </c>
      <c r="AA276">
        <f>'raw data Crude oil'!AA277</f>
        <v>0</v>
      </c>
      <c r="AB276">
        <f>'raw data Crude oil'!AB277</f>
        <v>0</v>
      </c>
      <c r="AC276">
        <f>'raw data Crude oil'!AC277</f>
        <v>0</v>
      </c>
      <c r="AD276">
        <f>'raw data Crude oil'!AD277</f>
        <v>0</v>
      </c>
      <c r="AE276">
        <f>'raw data Crude oil'!AE277</f>
        <v>0</v>
      </c>
      <c r="AF276">
        <f>'raw data Crude oil'!AF277</f>
        <v>0</v>
      </c>
      <c r="AG276">
        <f>'raw data Crude oil'!AG277</f>
        <v>0</v>
      </c>
      <c r="AH276">
        <f>'raw data Crude oil'!AH277</f>
        <v>0</v>
      </c>
      <c r="AI276">
        <f>'raw data Crude oil'!AI277</f>
        <v>0</v>
      </c>
      <c r="AJ276">
        <f>'raw data Crude oil'!AJ277</f>
        <v>0</v>
      </c>
      <c r="AK276">
        <f>'raw data Crude oil'!AK277</f>
        <v>0</v>
      </c>
    </row>
    <row r="277" spans="1:37" x14ac:dyDescent="0.3">
      <c r="A277" s="18">
        <f>'raw data Crude oil'!A278</f>
        <v>43125</v>
      </c>
      <c r="B277">
        <f>'raw data Crude oil'!B278</f>
        <v>70.42</v>
      </c>
      <c r="C277">
        <f>'raw data Crude oil'!C278</f>
        <v>69.97</v>
      </c>
      <c r="D277">
        <f>'raw data Crude oil'!D278</f>
        <v>69.599999999999994</v>
      </c>
      <c r="E277">
        <f>'raw data Crude oil'!E278</f>
        <v>69.260000000000005</v>
      </c>
      <c r="F277">
        <f>'raw data Crude oil'!F278</f>
        <v>68.900000000000006</v>
      </c>
      <c r="G277">
        <f>'raw data Crude oil'!G278</f>
        <v>68.540000000000006</v>
      </c>
      <c r="H277">
        <f>'raw data Crude oil'!H278</f>
        <v>68.14</v>
      </c>
      <c r="I277">
        <f>'raw data Crude oil'!I278</f>
        <v>67.72</v>
      </c>
      <c r="J277">
        <f>'raw data Crude oil'!J278</f>
        <v>67.28</v>
      </c>
      <c r="K277">
        <f>'raw data Crude oil'!K278</f>
        <v>66.83</v>
      </c>
      <c r="L277">
        <f>'raw data Crude oil'!L278</f>
        <v>66.459999999999994</v>
      </c>
      <c r="M277">
        <f>'raw data Crude oil'!M278</f>
        <v>66.09</v>
      </c>
      <c r="N277">
        <f>'raw data Crude oil'!N278</f>
        <v>65.510000000000005</v>
      </c>
      <c r="O277">
        <f>'raw data Crude oil'!O278</f>
        <v>65.37</v>
      </c>
      <c r="P277">
        <f>'raw data Crude oil'!P278</f>
        <v>65.099999999999994</v>
      </c>
      <c r="Q277">
        <f>'raw data Crude oil'!Q278</f>
        <v>64.72</v>
      </c>
      <c r="R277">
        <f>'raw data Crude oil'!R278</f>
        <v>64.27</v>
      </c>
      <c r="S277">
        <f>'raw data Crude oil'!S278</f>
        <v>63.75</v>
      </c>
      <c r="T277">
        <f>'raw data Crude oil'!T278</f>
        <v>63.23</v>
      </c>
      <c r="U277">
        <f>'raw data Crude oil'!U278</f>
        <v>62.74</v>
      </c>
      <c r="V277">
        <f>'raw data Crude oil'!V278</f>
        <v>62.27</v>
      </c>
      <c r="W277">
        <f>'raw data Crude oil'!W278</f>
        <v>61.82</v>
      </c>
      <c r="X277">
        <f>'raw data Crude oil'!X278</f>
        <v>61.36</v>
      </c>
      <c r="Y277">
        <f>'raw data Crude oil'!Y278</f>
        <v>60.88</v>
      </c>
      <c r="Z277">
        <f>'raw data Crude oil'!Z278</f>
        <v>0</v>
      </c>
      <c r="AA277">
        <f>'raw data Crude oil'!AA278</f>
        <v>0</v>
      </c>
      <c r="AB277">
        <f>'raw data Crude oil'!AB278</f>
        <v>0</v>
      </c>
      <c r="AC277">
        <f>'raw data Crude oil'!AC278</f>
        <v>0</v>
      </c>
      <c r="AD277">
        <f>'raw data Crude oil'!AD278</f>
        <v>0</v>
      </c>
      <c r="AE277">
        <f>'raw data Crude oil'!AE278</f>
        <v>0</v>
      </c>
      <c r="AF277">
        <f>'raw data Crude oil'!AF278</f>
        <v>0</v>
      </c>
      <c r="AG277">
        <f>'raw data Crude oil'!AG278</f>
        <v>0</v>
      </c>
      <c r="AH277">
        <f>'raw data Crude oil'!AH278</f>
        <v>0</v>
      </c>
      <c r="AI277">
        <f>'raw data Crude oil'!AI278</f>
        <v>0</v>
      </c>
      <c r="AJ277">
        <f>'raw data Crude oil'!AJ278</f>
        <v>0</v>
      </c>
      <c r="AK277">
        <f>'raw data Crude oil'!AK278</f>
        <v>0</v>
      </c>
    </row>
    <row r="278" spans="1:37" x14ac:dyDescent="0.3">
      <c r="A278" s="18">
        <f>'raw data Crude oil'!A279</f>
        <v>43126</v>
      </c>
      <c r="B278">
        <f>'raw data Crude oil'!B279</f>
        <v>70.52</v>
      </c>
      <c r="C278">
        <f>'raw data Crude oil'!C279</f>
        <v>70.150000000000006</v>
      </c>
      <c r="D278">
        <f>'raw data Crude oil'!D279</f>
        <v>69.8</v>
      </c>
      <c r="E278">
        <f>'raw data Crude oil'!E279</f>
        <v>69.459999999999994</v>
      </c>
      <c r="F278">
        <f>'raw data Crude oil'!F279</f>
        <v>69.09</v>
      </c>
      <c r="G278">
        <f>'raw data Crude oil'!G279</f>
        <v>68.709999999999994</v>
      </c>
      <c r="H278">
        <f>'raw data Crude oil'!H279</f>
        <v>68.290000000000006</v>
      </c>
      <c r="I278">
        <f>'raw data Crude oil'!I279</f>
        <v>67.849999999999994</v>
      </c>
      <c r="J278">
        <f>'raw data Crude oil'!J279</f>
        <v>67.400000000000006</v>
      </c>
      <c r="K278">
        <f>'raw data Crude oil'!K279</f>
        <v>66.930000000000007</v>
      </c>
      <c r="L278">
        <f>'raw data Crude oil'!L279</f>
        <v>66.53</v>
      </c>
      <c r="M278">
        <f>'raw data Crude oil'!M279</f>
        <v>66.150000000000006</v>
      </c>
      <c r="N278">
        <f>'raw data Crude oil'!N279</f>
        <v>66.14</v>
      </c>
      <c r="O278">
        <f>'raw data Crude oil'!O279</f>
        <v>65.97</v>
      </c>
      <c r="P278">
        <f>'raw data Crude oil'!P279</f>
        <v>65.67</v>
      </c>
      <c r="Q278">
        <f>'raw data Crude oil'!Q279</f>
        <v>65.260000000000005</v>
      </c>
      <c r="R278">
        <f>'raw data Crude oil'!R279</f>
        <v>64.760000000000005</v>
      </c>
      <c r="S278">
        <f>'raw data Crude oil'!S279</f>
        <v>64.2</v>
      </c>
      <c r="T278">
        <f>'raw data Crude oil'!T279</f>
        <v>63.65</v>
      </c>
      <c r="U278">
        <f>'raw data Crude oil'!U279</f>
        <v>63.12</v>
      </c>
      <c r="V278">
        <f>'raw data Crude oil'!V279</f>
        <v>62.61</v>
      </c>
      <c r="W278">
        <f>'raw data Crude oil'!W279</f>
        <v>62.14</v>
      </c>
      <c r="X278">
        <f>'raw data Crude oil'!X279</f>
        <v>61.66</v>
      </c>
      <c r="Y278">
        <f>'raw data Crude oil'!Y279</f>
        <v>61.15</v>
      </c>
      <c r="Z278">
        <f>'raw data Crude oil'!Z279</f>
        <v>0</v>
      </c>
      <c r="AA278">
        <f>'raw data Crude oil'!AA279</f>
        <v>0</v>
      </c>
      <c r="AB278">
        <f>'raw data Crude oil'!AB279</f>
        <v>0</v>
      </c>
      <c r="AC278">
        <f>'raw data Crude oil'!AC279</f>
        <v>0</v>
      </c>
      <c r="AD278">
        <f>'raw data Crude oil'!AD279</f>
        <v>0</v>
      </c>
      <c r="AE278">
        <f>'raw data Crude oil'!AE279</f>
        <v>0</v>
      </c>
      <c r="AF278">
        <f>'raw data Crude oil'!AF279</f>
        <v>0</v>
      </c>
      <c r="AG278">
        <f>'raw data Crude oil'!AG279</f>
        <v>0</v>
      </c>
      <c r="AH278">
        <f>'raw data Crude oil'!AH279</f>
        <v>0</v>
      </c>
      <c r="AI278">
        <f>'raw data Crude oil'!AI279</f>
        <v>0</v>
      </c>
      <c r="AJ278">
        <f>'raw data Crude oil'!AJ279</f>
        <v>0</v>
      </c>
      <c r="AK278">
        <f>'raw data Crude oil'!AK279</f>
        <v>0</v>
      </c>
    </row>
    <row r="279" spans="1:37" x14ac:dyDescent="0.3">
      <c r="A279" s="18">
        <f>'raw data Crude oil'!A280</f>
        <v>43129</v>
      </c>
      <c r="B279">
        <f>'raw data Crude oil'!B280</f>
        <v>69.459999999999994</v>
      </c>
      <c r="C279">
        <f>'raw data Crude oil'!C280</f>
        <v>69.2</v>
      </c>
      <c r="D279">
        <f>'raw data Crude oil'!D280</f>
        <v>68.94</v>
      </c>
      <c r="E279">
        <f>'raw data Crude oil'!E280</f>
        <v>68.67</v>
      </c>
      <c r="F279">
        <f>'raw data Crude oil'!F280</f>
        <v>68.349999999999994</v>
      </c>
      <c r="G279">
        <f>'raw data Crude oil'!G280</f>
        <v>68</v>
      </c>
      <c r="H279">
        <f>'raw data Crude oil'!H280</f>
        <v>67.61</v>
      </c>
      <c r="I279">
        <f>'raw data Crude oil'!I280</f>
        <v>67.2</v>
      </c>
      <c r="J279">
        <f>'raw data Crude oil'!J280</f>
        <v>66.77</v>
      </c>
      <c r="K279">
        <f>'raw data Crude oil'!K280</f>
        <v>66.319999999999993</v>
      </c>
      <c r="L279">
        <f>'raw data Crude oil'!L280</f>
        <v>65.94</v>
      </c>
      <c r="M279">
        <f>'raw data Crude oil'!M280</f>
        <v>65.58</v>
      </c>
      <c r="N279">
        <f>'raw data Crude oil'!N280</f>
        <v>65.56</v>
      </c>
      <c r="O279">
        <f>'raw data Crude oil'!O280</f>
        <v>65.39</v>
      </c>
      <c r="P279">
        <f>'raw data Crude oil'!P280</f>
        <v>65.099999999999994</v>
      </c>
      <c r="Q279">
        <f>'raw data Crude oil'!Q280</f>
        <v>64.709999999999994</v>
      </c>
      <c r="R279">
        <f>'raw data Crude oil'!R280</f>
        <v>64.239999999999995</v>
      </c>
      <c r="S279">
        <f>'raw data Crude oil'!S280</f>
        <v>63.7</v>
      </c>
      <c r="T279">
        <f>'raw data Crude oil'!T280</f>
        <v>63.16</v>
      </c>
      <c r="U279">
        <f>'raw data Crude oil'!U280</f>
        <v>62.63</v>
      </c>
      <c r="V279">
        <f>'raw data Crude oil'!V280</f>
        <v>62.12</v>
      </c>
      <c r="W279">
        <f>'raw data Crude oil'!W280</f>
        <v>61.65</v>
      </c>
      <c r="X279">
        <f>'raw data Crude oil'!X280</f>
        <v>61.17</v>
      </c>
      <c r="Y279">
        <f>'raw data Crude oil'!Y280</f>
        <v>60.67</v>
      </c>
      <c r="Z279">
        <f>'raw data Crude oil'!Z280</f>
        <v>0</v>
      </c>
      <c r="AA279">
        <f>'raw data Crude oil'!AA280</f>
        <v>0</v>
      </c>
      <c r="AB279">
        <f>'raw data Crude oil'!AB280</f>
        <v>0</v>
      </c>
      <c r="AC279">
        <f>'raw data Crude oil'!AC280</f>
        <v>0</v>
      </c>
      <c r="AD279">
        <f>'raw data Crude oil'!AD280</f>
        <v>0</v>
      </c>
      <c r="AE279">
        <f>'raw data Crude oil'!AE280</f>
        <v>0</v>
      </c>
      <c r="AF279">
        <f>'raw data Crude oil'!AF280</f>
        <v>0</v>
      </c>
      <c r="AG279">
        <f>'raw data Crude oil'!AG280</f>
        <v>0</v>
      </c>
      <c r="AH279">
        <f>'raw data Crude oil'!AH280</f>
        <v>0</v>
      </c>
      <c r="AI279">
        <f>'raw data Crude oil'!AI280</f>
        <v>0</v>
      </c>
      <c r="AJ279">
        <f>'raw data Crude oil'!AJ280</f>
        <v>0</v>
      </c>
      <c r="AK279">
        <f>'raw data Crude oil'!AK280</f>
        <v>0</v>
      </c>
    </row>
    <row r="280" spans="1:37" x14ac:dyDescent="0.3">
      <c r="A280" s="18">
        <f>'raw data Crude oil'!A281</f>
        <v>43130</v>
      </c>
      <c r="B280">
        <f>'raw data Crude oil'!B281</f>
        <v>69.02</v>
      </c>
      <c r="C280">
        <f>'raw data Crude oil'!C281</f>
        <v>68.52</v>
      </c>
      <c r="D280">
        <f>'raw data Crude oil'!D281</f>
        <v>68.209999999999994</v>
      </c>
      <c r="E280">
        <f>'raw data Crude oil'!E281</f>
        <v>67.900000000000006</v>
      </c>
      <c r="F280">
        <f>'raw data Crude oil'!F281</f>
        <v>67.540000000000006</v>
      </c>
      <c r="G280">
        <f>'raw data Crude oil'!G281</f>
        <v>67.180000000000007</v>
      </c>
      <c r="H280">
        <f>'raw data Crude oil'!H281</f>
        <v>66.8</v>
      </c>
      <c r="I280">
        <f>'raw data Crude oil'!I281</f>
        <v>66.400000000000006</v>
      </c>
      <c r="J280">
        <f>'raw data Crude oil'!J281</f>
        <v>65.989999999999995</v>
      </c>
      <c r="K280">
        <f>'raw data Crude oil'!K281</f>
        <v>65.56</v>
      </c>
      <c r="L280">
        <f>'raw data Crude oil'!L281</f>
        <v>65.19</v>
      </c>
      <c r="M280">
        <f>'raw data Crude oil'!M281</f>
        <v>64.849999999999994</v>
      </c>
      <c r="N280">
        <f>'raw data Crude oil'!N281</f>
        <v>64.5</v>
      </c>
      <c r="O280">
        <f>'raw data Crude oil'!O281</f>
        <v>64.349999999999994</v>
      </c>
      <c r="P280">
        <f>'raw data Crude oil'!P281</f>
        <v>64.11</v>
      </c>
      <c r="Q280">
        <f>'raw data Crude oil'!Q281</f>
        <v>63.77</v>
      </c>
      <c r="R280">
        <f>'raw data Crude oil'!R281</f>
        <v>63.34</v>
      </c>
      <c r="S280">
        <f>'raw data Crude oil'!S281</f>
        <v>62.83</v>
      </c>
      <c r="T280">
        <f>'raw data Crude oil'!T281</f>
        <v>62.3</v>
      </c>
      <c r="U280">
        <f>'raw data Crude oil'!U281</f>
        <v>61.78</v>
      </c>
      <c r="V280">
        <f>'raw data Crude oil'!V281</f>
        <v>61.29</v>
      </c>
      <c r="W280">
        <f>'raw data Crude oil'!W281</f>
        <v>60.83</v>
      </c>
      <c r="X280">
        <f>'raw data Crude oil'!X281</f>
        <v>60.37</v>
      </c>
      <c r="Y280">
        <f>'raw data Crude oil'!Y281</f>
        <v>59.89</v>
      </c>
      <c r="Z280">
        <f>'raw data Crude oil'!Z281</f>
        <v>0</v>
      </c>
      <c r="AA280">
        <f>'raw data Crude oil'!AA281</f>
        <v>0</v>
      </c>
      <c r="AB280">
        <f>'raw data Crude oil'!AB281</f>
        <v>0</v>
      </c>
      <c r="AC280">
        <f>'raw data Crude oil'!AC281</f>
        <v>0</v>
      </c>
      <c r="AD280">
        <f>'raw data Crude oil'!AD281</f>
        <v>0</v>
      </c>
      <c r="AE280">
        <f>'raw data Crude oil'!AE281</f>
        <v>0</v>
      </c>
      <c r="AF280">
        <f>'raw data Crude oil'!AF281</f>
        <v>0</v>
      </c>
      <c r="AG280">
        <f>'raw data Crude oil'!AG281</f>
        <v>0</v>
      </c>
      <c r="AH280">
        <f>'raw data Crude oil'!AH281</f>
        <v>0</v>
      </c>
      <c r="AI280">
        <f>'raw data Crude oil'!AI281</f>
        <v>0</v>
      </c>
      <c r="AJ280">
        <f>'raw data Crude oil'!AJ281</f>
        <v>0</v>
      </c>
      <c r="AK280">
        <f>'raw data Crude oil'!AK281</f>
        <v>0</v>
      </c>
    </row>
    <row r="281" spans="1:37" x14ac:dyDescent="0.3">
      <c r="A281" s="18">
        <f>'raw data Crude oil'!A282</f>
        <v>43131</v>
      </c>
      <c r="B281">
        <f>'raw data Crude oil'!B282</f>
        <v>69.05</v>
      </c>
      <c r="C281">
        <f>'raw data Crude oil'!C282</f>
        <v>68.89</v>
      </c>
      <c r="D281">
        <f>'raw data Crude oil'!D282</f>
        <v>68.569999999999993</v>
      </c>
      <c r="E281">
        <f>'raw data Crude oil'!E282</f>
        <v>68.239999999999995</v>
      </c>
      <c r="F281">
        <f>'raw data Crude oil'!F282</f>
        <v>67.87</v>
      </c>
      <c r="G281">
        <f>'raw data Crude oil'!G282</f>
        <v>67.5</v>
      </c>
      <c r="H281">
        <f>'raw data Crude oil'!H282</f>
        <v>67.11</v>
      </c>
      <c r="I281">
        <f>'raw data Crude oil'!I282</f>
        <v>66.709999999999994</v>
      </c>
      <c r="J281">
        <f>'raw data Crude oil'!J282</f>
        <v>66.28</v>
      </c>
      <c r="K281">
        <f>'raw data Crude oil'!K282</f>
        <v>65.83</v>
      </c>
      <c r="L281">
        <f>'raw data Crude oil'!L282</f>
        <v>65.45</v>
      </c>
      <c r="M281">
        <f>'raw data Crude oil'!M282</f>
        <v>65.09</v>
      </c>
      <c r="N281">
        <f>'raw data Crude oil'!N282</f>
        <v>64.73</v>
      </c>
      <c r="O281">
        <f>'raw data Crude oil'!O282</f>
        <v>64.56</v>
      </c>
      <c r="P281">
        <f>'raw data Crude oil'!P282</f>
        <v>64.31</v>
      </c>
      <c r="Q281">
        <f>'raw data Crude oil'!Q282</f>
        <v>63.96</v>
      </c>
      <c r="R281">
        <f>'raw data Crude oil'!R282</f>
        <v>63.53</v>
      </c>
      <c r="S281">
        <f>'raw data Crude oil'!S282</f>
        <v>63.02</v>
      </c>
      <c r="T281">
        <f>'raw data Crude oil'!T282</f>
        <v>62.49</v>
      </c>
      <c r="U281">
        <f>'raw data Crude oil'!U282</f>
        <v>61.97</v>
      </c>
      <c r="V281">
        <f>'raw data Crude oil'!V282</f>
        <v>61.47</v>
      </c>
      <c r="W281">
        <f>'raw data Crude oil'!W282</f>
        <v>61.01</v>
      </c>
      <c r="X281">
        <f>'raw data Crude oil'!X282</f>
        <v>60.56</v>
      </c>
      <c r="Y281">
        <f>'raw data Crude oil'!Y282</f>
        <v>60.08</v>
      </c>
      <c r="Z281">
        <f>'raw data Crude oil'!Z282</f>
        <v>0</v>
      </c>
      <c r="AA281">
        <f>'raw data Crude oil'!AA282</f>
        <v>0</v>
      </c>
      <c r="AB281">
        <f>'raw data Crude oil'!AB282</f>
        <v>0</v>
      </c>
      <c r="AC281">
        <f>'raw data Crude oil'!AC282</f>
        <v>0</v>
      </c>
      <c r="AD281">
        <f>'raw data Crude oil'!AD282</f>
        <v>0</v>
      </c>
      <c r="AE281">
        <f>'raw data Crude oil'!AE282</f>
        <v>0</v>
      </c>
      <c r="AF281">
        <f>'raw data Crude oil'!AF282</f>
        <v>0</v>
      </c>
      <c r="AG281">
        <f>'raw data Crude oil'!AG282</f>
        <v>0</v>
      </c>
      <c r="AH281">
        <f>'raw data Crude oil'!AH282</f>
        <v>0</v>
      </c>
      <c r="AI281">
        <f>'raw data Crude oil'!AI282</f>
        <v>0</v>
      </c>
      <c r="AJ281">
        <f>'raw data Crude oil'!AJ282</f>
        <v>0</v>
      </c>
      <c r="AK281">
        <f>'raw data Crude oil'!AK282</f>
        <v>0</v>
      </c>
    </row>
    <row r="282" spans="1:37" x14ac:dyDescent="0.3">
      <c r="A282" s="18">
        <f>'raw data Crude oil'!A283</f>
        <v>43132</v>
      </c>
      <c r="B282">
        <f>'raw data Crude oil'!B283</f>
        <v>69.650000000000006</v>
      </c>
      <c r="C282">
        <f>'raw data Crude oil'!C283</f>
        <v>69.349999999999994</v>
      </c>
      <c r="D282">
        <f>'raw data Crude oil'!D283</f>
        <v>69.02</v>
      </c>
      <c r="E282">
        <f>'raw data Crude oil'!E283</f>
        <v>68.64</v>
      </c>
      <c r="F282">
        <f>'raw data Crude oil'!F283</f>
        <v>68.25</v>
      </c>
      <c r="G282">
        <f>'raw data Crude oil'!G283</f>
        <v>67.84</v>
      </c>
      <c r="H282">
        <f>'raw data Crude oil'!H283</f>
        <v>67.42</v>
      </c>
      <c r="I282">
        <f>'raw data Crude oil'!I283</f>
        <v>66.959999999999994</v>
      </c>
      <c r="J282">
        <f>'raw data Crude oil'!J283</f>
        <v>66.489999999999995</v>
      </c>
      <c r="K282">
        <f>'raw data Crude oil'!K283</f>
        <v>66.069999999999993</v>
      </c>
      <c r="L282">
        <f>'raw data Crude oil'!L283</f>
        <v>65.680000000000007</v>
      </c>
      <c r="M282">
        <f>'raw data Crude oil'!M283</f>
        <v>65.290000000000006</v>
      </c>
      <c r="N282">
        <f>'raw data Crude oil'!N283</f>
        <v>65.8</v>
      </c>
      <c r="O282">
        <f>'raw data Crude oil'!O283</f>
        <v>65.55</v>
      </c>
      <c r="P282">
        <f>'raw data Crude oil'!P283</f>
        <v>65.209999999999994</v>
      </c>
      <c r="Q282">
        <f>'raw data Crude oil'!Q283</f>
        <v>64.8</v>
      </c>
      <c r="R282">
        <f>'raw data Crude oil'!R283</f>
        <v>64.319999999999993</v>
      </c>
      <c r="S282">
        <f>'raw data Crude oil'!S283</f>
        <v>63.77</v>
      </c>
      <c r="T282">
        <f>'raw data Crude oil'!T283</f>
        <v>63.2</v>
      </c>
      <c r="U282">
        <f>'raw data Crude oil'!U283</f>
        <v>62.63</v>
      </c>
      <c r="V282">
        <f>'raw data Crude oil'!V283</f>
        <v>62.1</v>
      </c>
      <c r="W282">
        <f>'raw data Crude oil'!W283</f>
        <v>61.61</v>
      </c>
      <c r="X282">
        <f>'raw data Crude oil'!X283</f>
        <v>61.13</v>
      </c>
      <c r="Y282">
        <f>'raw data Crude oil'!Y283</f>
        <v>60.63</v>
      </c>
      <c r="Z282">
        <f>'raw data Crude oil'!Z283</f>
        <v>0</v>
      </c>
      <c r="AA282">
        <f>'raw data Crude oil'!AA283</f>
        <v>0</v>
      </c>
      <c r="AB282">
        <f>'raw data Crude oil'!AB283</f>
        <v>0</v>
      </c>
      <c r="AC282">
        <f>'raw data Crude oil'!AC283</f>
        <v>0</v>
      </c>
      <c r="AD282">
        <f>'raw data Crude oil'!AD283</f>
        <v>0</v>
      </c>
      <c r="AE282">
        <f>'raw data Crude oil'!AE283</f>
        <v>0</v>
      </c>
      <c r="AF282">
        <f>'raw data Crude oil'!AF283</f>
        <v>0</v>
      </c>
      <c r="AG282">
        <f>'raw data Crude oil'!AG283</f>
        <v>0</v>
      </c>
      <c r="AH282">
        <f>'raw data Crude oil'!AH283</f>
        <v>0</v>
      </c>
      <c r="AI282">
        <f>'raw data Crude oil'!AI283</f>
        <v>0</v>
      </c>
      <c r="AJ282">
        <f>'raw data Crude oil'!AJ283</f>
        <v>0</v>
      </c>
      <c r="AK282">
        <f>'raw data Crude oil'!AK283</f>
        <v>0</v>
      </c>
    </row>
    <row r="283" spans="1:37" x14ac:dyDescent="0.3">
      <c r="A283" s="18">
        <f>'raw data Crude oil'!A284</f>
        <v>43133</v>
      </c>
      <c r="B283">
        <f>'raw data Crude oil'!B284</f>
        <v>68.58</v>
      </c>
      <c r="C283">
        <f>'raw data Crude oil'!C284</f>
        <v>68.28</v>
      </c>
      <c r="D283">
        <f>'raw data Crude oil'!D284</f>
        <v>67.930000000000007</v>
      </c>
      <c r="E283">
        <f>'raw data Crude oil'!E284</f>
        <v>67.540000000000006</v>
      </c>
      <c r="F283">
        <f>'raw data Crude oil'!F284</f>
        <v>67.150000000000006</v>
      </c>
      <c r="G283">
        <f>'raw data Crude oil'!G284</f>
        <v>66.739999999999995</v>
      </c>
      <c r="H283">
        <f>'raw data Crude oil'!H284</f>
        <v>66.319999999999993</v>
      </c>
      <c r="I283">
        <f>'raw data Crude oil'!I284</f>
        <v>65.88</v>
      </c>
      <c r="J283">
        <f>'raw data Crude oil'!J284</f>
        <v>65.41</v>
      </c>
      <c r="K283">
        <f>'raw data Crude oil'!K284</f>
        <v>65</v>
      </c>
      <c r="L283">
        <f>'raw data Crude oil'!L284</f>
        <v>64.61</v>
      </c>
      <c r="M283">
        <f>'raw data Crude oil'!M284</f>
        <v>64.22</v>
      </c>
      <c r="N283">
        <f>'raw data Crude oil'!N284</f>
        <v>65.45</v>
      </c>
      <c r="O283">
        <f>'raw data Crude oil'!O284</f>
        <v>65.069999999999993</v>
      </c>
      <c r="P283">
        <f>'raw data Crude oil'!P284</f>
        <v>64.61</v>
      </c>
      <c r="Q283">
        <f>'raw data Crude oil'!Q284</f>
        <v>64.11</v>
      </c>
      <c r="R283">
        <f>'raw data Crude oil'!R284</f>
        <v>63.55</v>
      </c>
      <c r="S283">
        <f>'raw data Crude oil'!S284</f>
        <v>62.95</v>
      </c>
      <c r="T283">
        <f>'raw data Crude oil'!T284</f>
        <v>62.35</v>
      </c>
      <c r="U283">
        <f>'raw data Crude oil'!U284</f>
        <v>61.77</v>
      </c>
      <c r="V283">
        <f>'raw data Crude oil'!V284</f>
        <v>61.24</v>
      </c>
      <c r="W283">
        <f>'raw data Crude oil'!W284</f>
        <v>60.73</v>
      </c>
      <c r="X283">
        <f>'raw data Crude oil'!X284</f>
        <v>60.24</v>
      </c>
      <c r="Y283">
        <f>'raw data Crude oil'!Y284</f>
        <v>59.73</v>
      </c>
      <c r="Z283">
        <f>'raw data Crude oil'!Z284</f>
        <v>0</v>
      </c>
      <c r="AA283">
        <f>'raw data Crude oil'!AA284</f>
        <v>0</v>
      </c>
      <c r="AB283">
        <f>'raw data Crude oil'!AB284</f>
        <v>0</v>
      </c>
      <c r="AC283">
        <f>'raw data Crude oil'!AC284</f>
        <v>0</v>
      </c>
      <c r="AD283">
        <f>'raw data Crude oil'!AD284</f>
        <v>0</v>
      </c>
      <c r="AE283">
        <f>'raw data Crude oil'!AE284</f>
        <v>0</v>
      </c>
      <c r="AF283">
        <f>'raw data Crude oil'!AF284</f>
        <v>0</v>
      </c>
      <c r="AG283">
        <f>'raw data Crude oil'!AG284</f>
        <v>0</v>
      </c>
      <c r="AH283">
        <f>'raw data Crude oil'!AH284</f>
        <v>0</v>
      </c>
      <c r="AI283">
        <f>'raw data Crude oil'!AI284</f>
        <v>0</v>
      </c>
      <c r="AJ283">
        <f>'raw data Crude oil'!AJ284</f>
        <v>0</v>
      </c>
      <c r="AK283">
        <f>'raw data Crude oil'!AK284</f>
        <v>0</v>
      </c>
    </row>
    <row r="284" spans="1:37" x14ac:dyDescent="0.3">
      <c r="A284" s="18">
        <f>'raw data Crude oil'!A285</f>
        <v>43136</v>
      </c>
      <c r="B284">
        <f>'raw data Crude oil'!B285</f>
        <v>67.62</v>
      </c>
      <c r="C284">
        <f>'raw data Crude oil'!C285</f>
        <v>67.28</v>
      </c>
      <c r="D284">
        <f>'raw data Crude oil'!D285</f>
        <v>66.930000000000007</v>
      </c>
      <c r="E284">
        <f>'raw data Crude oil'!E285</f>
        <v>66.56</v>
      </c>
      <c r="F284">
        <f>'raw data Crude oil'!F285</f>
        <v>66.2</v>
      </c>
      <c r="G284">
        <f>'raw data Crude oil'!G285</f>
        <v>65.819999999999993</v>
      </c>
      <c r="H284">
        <f>'raw data Crude oil'!H285</f>
        <v>65.44</v>
      </c>
      <c r="I284">
        <f>'raw data Crude oil'!I285</f>
        <v>65.040000000000006</v>
      </c>
      <c r="J284">
        <f>'raw data Crude oil'!J285</f>
        <v>64.61</v>
      </c>
      <c r="K284">
        <f>'raw data Crude oil'!K285</f>
        <v>64.239999999999995</v>
      </c>
      <c r="L284">
        <f>'raw data Crude oil'!L285</f>
        <v>63.89</v>
      </c>
      <c r="M284">
        <f>'raw data Crude oil'!M285</f>
        <v>63.54</v>
      </c>
      <c r="N284">
        <f>'raw data Crude oil'!N285</f>
        <v>64.150000000000006</v>
      </c>
      <c r="O284">
        <f>'raw data Crude oil'!O285</f>
        <v>63.83</v>
      </c>
      <c r="P284">
        <f>'raw data Crude oil'!P285</f>
        <v>63.41</v>
      </c>
      <c r="Q284">
        <f>'raw data Crude oil'!Q285</f>
        <v>62.96</v>
      </c>
      <c r="R284">
        <f>'raw data Crude oil'!R285</f>
        <v>62.46</v>
      </c>
      <c r="S284">
        <f>'raw data Crude oil'!S285</f>
        <v>61.92</v>
      </c>
      <c r="T284">
        <f>'raw data Crude oil'!T285</f>
        <v>61.38</v>
      </c>
      <c r="U284">
        <f>'raw data Crude oil'!U285</f>
        <v>60.88</v>
      </c>
      <c r="V284">
        <f>'raw data Crude oil'!V285</f>
        <v>60.4</v>
      </c>
      <c r="W284">
        <f>'raw data Crude oil'!W285</f>
        <v>59.97</v>
      </c>
      <c r="X284">
        <f>'raw data Crude oil'!X285</f>
        <v>59.54</v>
      </c>
      <c r="Y284">
        <f>'raw data Crude oil'!Y285</f>
        <v>59.08</v>
      </c>
      <c r="Z284">
        <f>'raw data Crude oil'!Z285</f>
        <v>0</v>
      </c>
      <c r="AA284">
        <f>'raw data Crude oil'!AA285</f>
        <v>0</v>
      </c>
      <c r="AB284">
        <f>'raw data Crude oil'!AB285</f>
        <v>0</v>
      </c>
      <c r="AC284">
        <f>'raw data Crude oil'!AC285</f>
        <v>0</v>
      </c>
      <c r="AD284">
        <f>'raw data Crude oil'!AD285</f>
        <v>0</v>
      </c>
      <c r="AE284">
        <f>'raw data Crude oil'!AE285</f>
        <v>0</v>
      </c>
      <c r="AF284">
        <f>'raw data Crude oil'!AF285</f>
        <v>0</v>
      </c>
      <c r="AG284">
        <f>'raw data Crude oil'!AG285</f>
        <v>0</v>
      </c>
      <c r="AH284">
        <f>'raw data Crude oil'!AH285</f>
        <v>0</v>
      </c>
      <c r="AI284">
        <f>'raw data Crude oil'!AI285</f>
        <v>0</v>
      </c>
      <c r="AJ284">
        <f>'raw data Crude oil'!AJ285</f>
        <v>0</v>
      </c>
      <c r="AK284">
        <f>'raw data Crude oil'!AK285</f>
        <v>0</v>
      </c>
    </row>
    <row r="285" spans="1:37" x14ac:dyDescent="0.3">
      <c r="A285" s="18">
        <f>'raw data Crude oil'!A286</f>
        <v>43137</v>
      </c>
      <c r="B285">
        <f>'raw data Crude oil'!B286</f>
        <v>66.86</v>
      </c>
      <c r="C285">
        <f>'raw data Crude oil'!C286</f>
        <v>66.48</v>
      </c>
      <c r="D285">
        <f>'raw data Crude oil'!D286</f>
        <v>66.11</v>
      </c>
      <c r="E285">
        <f>'raw data Crude oil'!E286</f>
        <v>65.75</v>
      </c>
      <c r="F285">
        <f>'raw data Crude oil'!F286</f>
        <v>65.38</v>
      </c>
      <c r="G285">
        <f>'raw data Crude oil'!G286</f>
        <v>65</v>
      </c>
      <c r="H285">
        <f>'raw data Crude oil'!H286</f>
        <v>64.61</v>
      </c>
      <c r="I285">
        <f>'raw data Crude oil'!I286</f>
        <v>64.209999999999994</v>
      </c>
      <c r="J285">
        <f>'raw data Crude oil'!J286</f>
        <v>63.79</v>
      </c>
      <c r="K285">
        <f>'raw data Crude oil'!K286</f>
        <v>63.43</v>
      </c>
      <c r="L285">
        <f>'raw data Crude oil'!L286</f>
        <v>63.09</v>
      </c>
      <c r="M285">
        <f>'raw data Crude oil'!M286</f>
        <v>62.75</v>
      </c>
      <c r="N285">
        <f>'raw data Crude oil'!N286</f>
        <v>63.39</v>
      </c>
      <c r="O285">
        <f>'raw data Crude oil'!O286</f>
        <v>63.11</v>
      </c>
      <c r="P285">
        <f>'raw data Crude oil'!P286</f>
        <v>62.7</v>
      </c>
      <c r="Q285">
        <f>'raw data Crude oil'!Q286</f>
        <v>62.26</v>
      </c>
      <c r="R285">
        <f>'raw data Crude oil'!R286</f>
        <v>61.75</v>
      </c>
      <c r="S285">
        <f>'raw data Crude oil'!S286</f>
        <v>61.21</v>
      </c>
      <c r="T285">
        <f>'raw data Crude oil'!T286</f>
        <v>60.67</v>
      </c>
      <c r="U285">
        <f>'raw data Crude oil'!U286</f>
        <v>60.17</v>
      </c>
      <c r="V285">
        <f>'raw data Crude oil'!V286</f>
        <v>59.71</v>
      </c>
      <c r="W285">
        <f>'raw data Crude oil'!W286</f>
        <v>59.3</v>
      </c>
      <c r="X285">
        <f>'raw data Crude oil'!X286</f>
        <v>58.88</v>
      </c>
      <c r="Y285">
        <f>'raw data Crude oil'!Y286</f>
        <v>58.45</v>
      </c>
      <c r="Z285">
        <f>'raw data Crude oil'!Z286</f>
        <v>0</v>
      </c>
      <c r="AA285">
        <f>'raw data Crude oil'!AA286</f>
        <v>0</v>
      </c>
      <c r="AB285">
        <f>'raw data Crude oil'!AB286</f>
        <v>0</v>
      </c>
      <c r="AC285">
        <f>'raw data Crude oil'!AC286</f>
        <v>0</v>
      </c>
      <c r="AD285">
        <f>'raw data Crude oil'!AD286</f>
        <v>0</v>
      </c>
      <c r="AE285">
        <f>'raw data Crude oil'!AE286</f>
        <v>0</v>
      </c>
      <c r="AF285">
        <f>'raw data Crude oil'!AF286</f>
        <v>0</v>
      </c>
      <c r="AG285">
        <f>'raw data Crude oil'!AG286</f>
        <v>0</v>
      </c>
      <c r="AH285">
        <f>'raw data Crude oil'!AH286</f>
        <v>0</v>
      </c>
      <c r="AI285">
        <f>'raw data Crude oil'!AI286</f>
        <v>0</v>
      </c>
      <c r="AJ285">
        <f>'raw data Crude oil'!AJ286</f>
        <v>0</v>
      </c>
      <c r="AK285">
        <f>'raw data Crude oil'!AK286</f>
        <v>0</v>
      </c>
    </row>
    <row r="286" spans="1:37" x14ac:dyDescent="0.3">
      <c r="A286" s="18">
        <f>'raw data Crude oil'!A287</f>
        <v>43138</v>
      </c>
      <c r="B286">
        <f>'raw data Crude oil'!B287</f>
        <v>65.510000000000005</v>
      </c>
      <c r="C286">
        <f>'raw data Crude oil'!C287</f>
        <v>65.150000000000006</v>
      </c>
      <c r="D286">
        <f>'raw data Crude oil'!D287</f>
        <v>64.790000000000006</v>
      </c>
      <c r="E286">
        <f>'raw data Crude oil'!E287</f>
        <v>64.45</v>
      </c>
      <c r="F286">
        <f>'raw data Crude oil'!F287</f>
        <v>64.09</v>
      </c>
      <c r="G286">
        <f>'raw data Crude oil'!G287</f>
        <v>63.73</v>
      </c>
      <c r="H286">
        <f>'raw data Crude oil'!H287</f>
        <v>63.36</v>
      </c>
      <c r="I286">
        <f>'raw data Crude oil'!I287</f>
        <v>62.99</v>
      </c>
      <c r="J286">
        <f>'raw data Crude oil'!J287</f>
        <v>62.6</v>
      </c>
      <c r="K286">
        <f>'raw data Crude oil'!K287</f>
        <v>62.26</v>
      </c>
      <c r="L286">
        <f>'raw data Crude oil'!L287</f>
        <v>61.95</v>
      </c>
      <c r="M286">
        <f>'raw data Crude oil'!M287</f>
        <v>61.64</v>
      </c>
      <c r="N286">
        <f>'raw data Crude oil'!N287</f>
        <v>61.79</v>
      </c>
      <c r="O286">
        <f>'raw data Crude oil'!O287</f>
        <v>61.55</v>
      </c>
      <c r="P286">
        <f>'raw data Crude oil'!P287</f>
        <v>61.19</v>
      </c>
      <c r="Q286">
        <f>'raw data Crude oil'!Q287</f>
        <v>60.81</v>
      </c>
      <c r="R286">
        <f>'raw data Crude oil'!R287</f>
        <v>60.36</v>
      </c>
      <c r="S286">
        <f>'raw data Crude oil'!S287</f>
        <v>59.86</v>
      </c>
      <c r="T286">
        <f>'raw data Crude oil'!T287</f>
        <v>59.35</v>
      </c>
      <c r="U286">
        <f>'raw data Crude oil'!U287</f>
        <v>58.87</v>
      </c>
      <c r="V286">
        <f>'raw data Crude oil'!V287</f>
        <v>58.44</v>
      </c>
      <c r="W286">
        <f>'raw data Crude oil'!W287</f>
        <v>58.04</v>
      </c>
      <c r="X286">
        <f>'raw data Crude oil'!X287</f>
        <v>57.65</v>
      </c>
      <c r="Y286">
        <f>'raw data Crude oil'!Y287</f>
        <v>57.23</v>
      </c>
      <c r="Z286">
        <f>'raw data Crude oil'!Z287</f>
        <v>0</v>
      </c>
      <c r="AA286">
        <f>'raw data Crude oil'!AA287</f>
        <v>0</v>
      </c>
      <c r="AB286">
        <f>'raw data Crude oil'!AB287</f>
        <v>0</v>
      </c>
      <c r="AC286">
        <f>'raw data Crude oil'!AC287</f>
        <v>0</v>
      </c>
      <c r="AD286">
        <f>'raw data Crude oil'!AD287</f>
        <v>0</v>
      </c>
      <c r="AE286">
        <f>'raw data Crude oil'!AE287</f>
        <v>0</v>
      </c>
      <c r="AF286">
        <f>'raw data Crude oil'!AF287</f>
        <v>0</v>
      </c>
      <c r="AG286">
        <f>'raw data Crude oil'!AG287</f>
        <v>0</v>
      </c>
      <c r="AH286">
        <f>'raw data Crude oil'!AH287</f>
        <v>0</v>
      </c>
      <c r="AI286">
        <f>'raw data Crude oil'!AI287</f>
        <v>0</v>
      </c>
      <c r="AJ286">
        <f>'raw data Crude oil'!AJ287</f>
        <v>0</v>
      </c>
      <c r="AK286">
        <f>'raw data Crude oil'!AK287</f>
        <v>0</v>
      </c>
    </row>
    <row r="287" spans="1:37" x14ac:dyDescent="0.3">
      <c r="A287" s="18">
        <f>'raw data Crude oil'!A288</f>
        <v>43139</v>
      </c>
      <c r="B287">
        <f>'raw data Crude oil'!B288</f>
        <v>64.81</v>
      </c>
      <c r="C287">
        <f>'raw data Crude oil'!C288</f>
        <v>64.489999999999995</v>
      </c>
      <c r="D287">
        <f>'raw data Crude oil'!D288</f>
        <v>64.180000000000007</v>
      </c>
      <c r="E287">
        <f>'raw data Crude oil'!E288</f>
        <v>63.87</v>
      </c>
      <c r="F287">
        <f>'raw data Crude oil'!F288</f>
        <v>63.53</v>
      </c>
      <c r="G287">
        <f>'raw data Crude oil'!G288</f>
        <v>63.18</v>
      </c>
      <c r="H287">
        <f>'raw data Crude oil'!H288</f>
        <v>62.82</v>
      </c>
      <c r="I287">
        <f>'raw data Crude oil'!I288</f>
        <v>62.47</v>
      </c>
      <c r="J287">
        <f>'raw data Crude oil'!J288</f>
        <v>62.09</v>
      </c>
      <c r="K287">
        <f>'raw data Crude oil'!K288</f>
        <v>61.77</v>
      </c>
      <c r="L287">
        <f>'raw data Crude oil'!L288</f>
        <v>61.48</v>
      </c>
      <c r="M287">
        <f>'raw data Crude oil'!M288</f>
        <v>61.18</v>
      </c>
      <c r="N287">
        <f>'raw data Crude oil'!N288</f>
        <v>61.15</v>
      </c>
      <c r="O287">
        <f>'raw data Crude oil'!O288</f>
        <v>60.94</v>
      </c>
      <c r="P287">
        <f>'raw data Crude oil'!P288</f>
        <v>60.62</v>
      </c>
      <c r="Q287">
        <f>'raw data Crude oil'!Q288</f>
        <v>60.27</v>
      </c>
      <c r="R287">
        <f>'raw data Crude oil'!R288</f>
        <v>59.86</v>
      </c>
      <c r="S287">
        <f>'raw data Crude oil'!S288</f>
        <v>59.39</v>
      </c>
      <c r="T287">
        <f>'raw data Crude oil'!T288</f>
        <v>58.9</v>
      </c>
      <c r="U287">
        <f>'raw data Crude oil'!U288</f>
        <v>58.45</v>
      </c>
      <c r="V287">
        <f>'raw data Crude oil'!V288</f>
        <v>58.03</v>
      </c>
      <c r="W287">
        <f>'raw data Crude oil'!W288</f>
        <v>57.63</v>
      </c>
      <c r="X287">
        <f>'raw data Crude oil'!X288</f>
        <v>57.24</v>
      </c>
      <c r="Y287">
        <f>'raw data Crude oil'!Y288</f>
        <v>56.84</v>
      </c>
      <c r="Z287">
        <f>'raw data Crude oil'!Z288</f>
        <v>0</v>
      </c>
      <c r="AA287">
        <f>'raw data Crude oil'!AA288</f>
        <v>0</v>
      </c>
      <c r="AB287">
        <f>'raw data Crude oil'!AB288</f>
        <v>0</v>
      </c>
      <c r="AC287">
        <f>'raw data Crude oil'!AC288</f>
        <v>0</v>
      </c>
      <c r="AD287">
        <f>'raw data Crude oil'!AD288</f>
        <v>0</v>
      </c>
      <c r="AE287">
        <f>'raw data Crude oil'!AE288</f>
        <v>0</v>
      </c>
      <c r="AF287">
        <f>'raw data Crude oil'!AF288</f>
        <v>0</v>
      </c>
      <c r="AG287">
        <f>'raw data Crude oil'!AG288</f>
        <v>0</v>
      </c>
      <c r="AH287">
        <f>'raw data Crude oil'!AH288</f>
        <v>0</v>
      </c>
      <c r="AI287">
        <f>'raw data Crude oil'!AI288</f>
        <v>0</v>
      </c>
      <c r="AJ287">
        <f>'raw data Crude oil'!AJ288</f>
        <v>0</v>
      </c>
      <c r="AK287">
        <f>'raw data Crude oil'!AK288</f>
        <v>0</v>
      </c>
    </row>
    <row r="288" spans="1:37" x14ac:dyDescent="0.3">
      <c r="A288" s="18">
        <f>'raw data Crude oil'!A289</f>
        <v>43140</v>
      </c>
      <c r="B288">
        <f>'raw data Crude oil'!B289</f>
        <v>62.79</v>
      </c>
      <c r="C288">
        <f>'raw data Crude oil'!C289</f>
        <v>62.48</v>
      </c>
      <c r="D288">
        <f>'raw data Crude oil'!D289</f>
        <v>62.16</v>
      </c>
      <c r="E288">
        <f>'raw data Crude oil'!E289</f>
        <v>61.85</v>
      </c>
      <c r="F288">
        <f>'raw data Crude oil'!F289</f>
        <v>61.52</v>
      </c>
      <c r="G288">
        <f>'raw data Crude oil'!G289</f>
        <v>61.18</v>
      </c>
      <c r="H288">
        <f>'raw data Crude oil'!H289</f>
        <v>60.85</v>
      </c>
      <c r="I288">
        <f>'raw data Crude oil'!I289</f>
        <v>60.53</v>
      </c>
      <c r="J288">
        <f>'raw data Crude oil'!J289</f>
        <v>60.2</v>
      </c>
      <c r="K288">
        <f>'raw data Crude oil'!K289</f>
        <v>59.92</v>
      </c>
      <c r="L288">
        <f>'raw data Crude oil'!L289</f>
        <v>59.66</v>
      </c>
      <c r="M288">
        <f>'raw data Crude oil'!M289</f>
        <v>59.4</v>
      </c>
      <c r="N288">
        <f>'raw data Crude oil'!N289</f>
        <v>59.2</v>
      </c>
      <c r="O288">
        <f>'raw data Crude oil'!O289</f>
        <v>58.99</v>
      </c>
      <c r="P288">
        <f>'raw data Crude oil'!P289</f>
        <v>58.67</v>
      </c>
      <c r="Q288">
        <f>'raw data Crude oil'!Q289</f>
        <v>58.32</v>
      </c>
      <c r="R288">
        <f>'raw data Crude oil'!R289</f>
        <v>57.9</v>
      </c>
      <c r="S288">
        <f>'raw data Crude oil'!S289</f>
        <v>57.45</v>
      </c>
      <c r="T288">
        <f>'raw data Crude oil'!T289</f>
        <v>56.99</v>
      </c>
      <c r="U288">
        <f>'raw data Crude oil'!U289</f>
        <v>56.57</v>
      </c>
      <c r="V288">
        <f>'raw data Crude oil'!V289</f>
        <v>56.17</v>
      </c>
      <c r="W288">
        <f>'raw data Crude oil'!W289</f>
        <v>55.8</v>
      </c>
      <c r="X288">
        <f>'raw data Crude oil'!X289</f>
        <v>55.43</v>
      </c>
      <c r="Y288">
        <f>'raw data Crude oil'!Y289</f>
        <v>55.06</v>
      </c>
      <c r="Z288">
        <f>'raw data Crude oil'!Z289</f>
        <v>0</v>
      </c>
      <c r="AA288">
        <f>'raw data Crude oil'!AA289</f>
        <v>0</v>
      </c>
      <c r="AB288">
        <f>'raw data Crude oil'!AB289</f>
        <v>0</v>
      </c>
      <c r="AC288">
        <f>'raw data Crude oil'!AC289</f>
        <v>0</v>
      </c>
      <c r="AD288">
        <f>'raw data Crude oil'!AD289</f>
        <v>0</v>
      </c>
      <c r="AE288">
        <f>'raw data Crude oil'!AE289</f>
        <v>0</v>
      </c>
      <c r="AF288">
        <f>'raw data Crude oil'!AF289</f>
        <v>0</v>
      </c>
      <c r="AG288">
        <f>'raw data Crude oil'!AG289</f>
        <v>0</v>
      </c>
      <c r="AH288">
        <f>'raw data Crude oil'!AH289</f>
        <v>0</v>
      </c>
      <c r="AI288">
        <f>'raw data Crude oil'!AI289</f>
        <v>0</v>
      </c>
      <c r="AJ288">
        <f>'raw data Crude oil'!AJ289</f>
        <v>0</v>
      </c>
      <c r="AK288">
        <f>'raw data Crude oil'!AK289</f>
        <v>0</v>
      </c>
    </row>
    <row r="289" spans="1:37" x14ac:dyDescent="0.3">
      <c r="A289" s="18">
        <f>'raw data Crude oil'!A290</f>
        <v>43143</v>
      </c>
      <c r="B289">
        <f>'raw data Crude oil'!B290</f>
        <v>62.59</v>
      </c>
      <c r="C289">
        <f>'raw data Crude oil'!C290</f>
        <v>62.33</v>
      </c>
      <c r="D289">
        <f>'raw data Crude oil'!D290</f>
        <v>62.04</v>
      </c>
      <c r="E289">
        <f>'raw data Crude oil'!E290</f>
        <v>61.74</v>
      </c>
      <c r="F289">
        <f>'raw data Crude oil'!F290</f>
        <v>61.43</v>
      </c>
      <c r="G289">
        <f>'raw data Crude oil'!G290</f>
        <v>61.1</v>
      </c>
      <c r="H289">
        <f>'raw data Crude oil'!H290</f>
        <v>60.78</v>
      </c>
      <c r="I289">
        <f>'raw data Crude oil'!I290</f>
        <v>60.47</v>
      </c>
      <c r="J289">
        <f>'raw data Crude oil'!J290</f>
        <v>60.15</v>
      </c>
      <c r="K289">
        <f>'raw data Crude oil'!K290</f>
        <v>59.87</v>
      </c>
      <c r="L289">
        <f>'raw data Crude oil'!L290</f>
        <v>59.62</v>
      </c>
      <c r="M289">
        <f>'raw data Crude oil'!M290</f>
        <v>59.38</v>
      </c>
      <c r="N289">
        <f>'raw data Crude oil'!N290</f>
        <v>59.29</v>
      </c>
      <c r="O289">
        <f>'raw data Crude oil'!O290</f>
        <v>59.08</v>
      </c>
      <c r="P289">
        <f>'raw data Crude oil'!P290</f>
        <v>58.73</v>
      </c>
      <c r="Q289">
        <f>'raw data Crude oil'!Q290</f>
        <v>58.35</v>
      </c>
      <c r="R289">
        <f>'raw data Crude oil'!R290</f>
        <v>57.92</v>
      </c>
      <c r="S289">
        <f>'raw data Crude oil'!S290</f>
        <v>57.46</v>
      </c>
      <c r="T289">
        <f>'raw data Crude oil'!T290</f>
        <v>57.01</v>
      </c>
      <c r="U289">
        <f>'raw data Crude oil'!U290</f>
        <v>56.59</v>
      </c>
      <c r="V289">
        <f>'raw data Crude oil'!V290</f>
        <v>56.2</v>
      </c>
      <c r="W289">
        <f>'raw data Crude oil'!W290</f>
        <v>55.83</v>
      </c>
      <c r="X289">
        <f>'raw data Crude oil'!X290</f>
        <v>55.48</v>
      </c>
      <c r="Y289">
        <f>'raw data Crude oil'!Y290</f>
        <v>55.12</v>
      </c>
      <c r="Z289">
        <f>'raw data Crude oil'!Z290</f>
        <v>0</v>
      </c>
      <c r="AA289">
        <f>'raw data Crude oil'!AA290</f>
        <v>0</v>
      </c>
      <c r="AB289">
        <f>'raw data Crude oil'!AB290</f>
        <v>0</v>
      </c>
      <c r="AC289">
        <f>'raw data Crude oil'!AC290</f>
        <v>0</v>
      </c>
      <c r="AD289">
        <f>'raw data Crude oil'!AD290</f>
        <v>0</v>
      </c>
      <c r="AE289">
        <f>'raw data Crude oil'!AE290</f>
        <v>0</v>
      </c>
      <c r="AF289">
        <f>'raw data Crude oil'!AF290</f>
        <v>0</v>
      </c>
      <c r="AG289">
        <f>'raw data Crude oil'!AG290</f>
        <v>0</v>
      </c>
      <c r="AH289">
        <f>'raw data Crude oil'!AH290</f>
        <v>0</v>
      </c>
      <c r="AI289">
        <f>'raw data Crude oil'!AI290</f>
        <v>0</v>
      </c>
      <c r="AJ289">
        <f>'raw data Crude oil'!AJ290</f>
        <v>0</v>
      </c>
      <c r="AK289">
        <f>'raw data Crude oil'!AK290</f>
        <v>0</v>
      </c>
    </row>
    <row r="290" spans="1:37" x14ac:dyDescent="0.3">
      <c r="A290" s="18">
        <f>'raw data Crude oil'!A291</f>
        <v>43144</v>
      </c>
      <c r="B290">
        <f>'raw data Crude oil'!B291</f>
        <v>62.72</v>
      </c>
      <c r="C290">
        <f>'raw data Crude oil'!C291</f>
        <v>62.44</v>
      </c>
      <c r="D290">
        <f>'raw data Crude oil'!D291</f>
        <v>62.15</v>
      </c>
      <c r="E290">
        <f>'raw data Crude oil'!E291</f>
        <v>61.86</v>
      </c>
      <c r="F290">
        <f>'raw data Crude oil'!F291</f>
        <v>61.56</v>
      </c>
      <c r="G290">
        <f>'raw data Crude oil'!G291</f>
        <v>61.25</v>
      </c>
      <c r="H290">
        <f>'raw data Crude oil'!H291</f>
        <v>60.94</v>
      </c>
      <c r="I290">
        <f>'raw data Crude oil'!I291</f>
        <v>60.65</v>
      </c>
      <c r="J290">
        <f>'raw data Crude oil'!J291</f>
        <v>60.34</v>
      </c>
      <c r="K290">
        <f>'raw data Crude oil'!K291</f>
        <v>60.06</v>
      </c>
      <c r="L290">
        <f>'raw data Crude oil'!L291</f>
        <v>59.82</v>
      </c>
      <c r="M290">
        <f>'raw data Crude oil'!M291</f>
        <v>59.59</v>
      </c>
      <c r="N290">
        <f>'raw data Crude oil'!N291</f>
        <v>59.19</v>
      </c>
      <c r="O290">
        <f>'raw data Crude oil'!O291</f>
        <v>59.03</v>
      </c>
      <c r="P290">
        <f>'raw data Crude oil'!P291</f>
        <v>58.75</v>
      </c>
      <c r="Q290">
        <f>'raw data Crude oil'!Q291</f>
        <v>58.41</v>
      </c>
      <c r="R290">
        <f>'raw data Crude oil'!R291</f>
        <v>58.02</v>
      </c>
      <c r="S290">
        <f>'raw data Crude oil'!S291</f>
        <v>57.58</v>
      </c>
      <c r="T290">
        <f>'raw data Crude oil'!T291</f>
        <v>57.14</v>
      </c>
      <c r="U290">
        <f>'raw data Crude oil'!U291</f>
        <v>56.74</v>
      </c>
      <c r="V290">
        <f>'raw data Crude oil'!V291</f>
        <v>56.37</v>
      </c>
      <c r="W290">
        <f>'raw data Crude oil'!W291</f>
        <v>56.03</v>
      </c>
      <c r="X290">
        <f>'raw data Crude oil'!X291</f>
        <v>55.69</v>
      </c>
      <c r="Y290">
        <f>'raw data Crude oil'!Y291</f>
        <v>55.37</v>
      </c>
      <c r="Z290">
        <f>'raw data Crude oil'!Z291</f>
        <v>0</v>
      </c>
      <c r="AA290">
        <f>'raw data Crude oil'!AA291</f>
        <v>0</v>
      </c>
      <c r="AB290">
        <f>'raw data Crude oil'!AB291</f>
        <v>0</v>
      </c>
      <c r="AC290">
        <f>'raw data Crude oil'!AC291</f>
        <v>0</v>
      </c>
      <c r="AD290">
        <f>'raw data Crude oil'!AD291</f>
        <v>0</v>
      </c>
      <c r="AE290">
        <f>'raw data Crude oil'!AE291</f>
        <v>0</v>
      </c>
      <c r="AF290">
        <f>'raw data Crude oil'!AF291</f>
        <v>0</v>
      </c>
      <c r="AG290">
        <f>'raw data Crude oil'!AG291</f>
        <v>0</v>
      </c>
      <c r="AH290">
        <f>'raw data Crude oil'!AH291</f>
        <v>0</v>
      </c>
      <c r="AI290">
        <f>'raw data Crude oil'!AI291</f>
        <v>0</v>
      </c>
      <c r="AJ290">
        <f>'raw data Crude oil'!AJ291</f>
        <v>0</v>
      </c>
      <c r="AK290">
        <f>'raw data Crude oil'!AK291</f>
        <v>0</v>
      </c>
    </row>
    <row r="291" spans="1:37" x14ac:dyDescent="0.3">
      <c r="A291" s="18">
        <f>'raw data Crude oil'!A292</f>
        <v>43145</v>
      </c>
      <c r="B291">
        <f>'raw data Crude oil'!B292</f>
        <v>64.36</v>
      </c>
      <c r="C291">
        <f>'raw data Crude oil'!C292</f>
        <v>64.02</v>
      </c>
      <c r="D291">
        <f>'raw data Crude oil'!D292</f>
        <v>63.68</v>
      </c>
      <c r="E291">
        <f>'raw data Crude oil'!E292</f>
        <v>63.34</v>
      </c>
      <c r="F291">
        <f>'raw data Crude oil'!F292</f>
        <v>62.99</v>
      </c>
      <c r="G291">
        <f>'raw data Crude oil'!G292</f>
        <v>62.64</v>
      </c>
      <c r="H291">
        <f>'raw data Crude oil'!H292</f>
        <v>62.27</v>
      </c>
      <c r="I291">
        <f>'raw data Crude oil'!I292</f>
        <v>61.91</v>
      </c>
      <c r="J291">
        <f>'raw data Crude oil'!J292</f>
        <v>61.55</v>
      </c>
      <c r="K291">
        <f>'raw data Crude oil'!K292</f>
        <v>61.21</v>
      </c>
      <c r="L291">
        <f>'raw data Crude oil'!L292</f>
        <v>60.92</v>
      </c>
      <c r="M291">
        <f>'raw data Crude oil'!M292</f>
        <v>60.63</v>
      </c>
      <c r="N291">
        <f>'raw data Crude oil'!N292</f>
        <v>60.6</v>
      </c>
      <c r="O291">
        <f>'raw data Crude oil'!O292</f>
        <v>60.51</v>
      </c>
      <c r="P291">
        <f>'raw data Crude oil'!P292</f>
        <v>60.27</v>
      </c>
      <c r="Q291">
        <f>'raw data Crude oil'!Q292</f>
        <v>59.92</v>
      </c>
      <c r="R291">
        <f>'raw data Crude oil'!R292</f>
        <v>59.48</v>
      </c>
      <c r="S291">
        <f>'raw data Crude oil'!S292</f>
        <v>59</v>
      </c>
      <c r="T291">
        <f>'raw data Crude oil'!T292</f>
        <v>58.51</v>
      </c>
      <c r="U291">
        <f>'raw data Crude oil'!U292</f>
        <v>58.05</v>
      </c>
      <c r="V291">
        <f>'raw data Crude oil'!V292</f>
        <v>57.65</v>
      </c>
      <c r="W291">
        <f>'raw data Crude oil'!W292</f>
        <v>57.25</v>
      </c>
      <c r="X291">
        <f>'raw data Crude oil'!X292</f>
        <v>56.87</v>
      </c>
      <c r="Y291">
        <f>'raw data Crude oil'!Y292</f>
        <v>56.47</v>
      </c>
      <c r="Z291">
        <f>'raw data Crude oil'!Z292</f>
        <v>0</v>
      </c>
      <c r="AA291">
        <f>'raw data Crude oil'!AA292</f>
        <v>0</v>
      </c>
      <c r="AB291">
        <f>'raw data Crude oil'!AB292</f>
        <v>0</v>
      </c>
      <c r="AC291">
        <f>'raw data Crude oil'!AC292</f>
        <v>0</v>
      </c>
      <c r="AD291">
        <f>'raw data Crude oil'!AD292</f>
        <v>0</v>
      </c>
      <c r="AE291">
        <f>'raw data Crude oil'!AE292</f>
        <v>0</v>
      </c>
      <c r="AF291">
        <f>'raw data Crude oil'!AF292</f>
        <v>0</v>
      </c>
      <c r="AG291">
        <f>'raw data Crude oil'!AG292</f>
        <v>0</v>
      </c>
      <c r="AH291">
        <f>'raw data Crude oil'!AH292</f>
        <v>0</v>
      </c>
      <c r="AI291">
        <f>'raw data Crude oil'!AI292</f>
        <v>0</v>
      </c>
      <c r="AJ291">
        <f>'raw data Crude oil'!AJ292</f>
        <v>0</v>
      </c>
      <c r="AK291">
        <f>'raw data Crude oil'!AK292</f>
        <v>0</v>
      </c>
    </row>
    <row r="292" spans="1:37" x14ac:dyDescent="0.3">
      <c r="A292" s="18">
        <f>'raw data Crude oil'!A293</f>
        <v>43146</v>
      </c>
      <c r="B292">
        <f>'raw data Crude oil'!B293</f>
        <v>64.33</v>
      </c>
      <c r="C292">
        <f>'raw data Crude oil'!C293</f>
        <v>64</v>
      </c>
      <c r="D292">
        <f>'raw data Crude oil'!D293</f>
        <v>63.68</v>
      </c>
      <c r="E292">
        <f>'raw data Crude oil'!E293</f>
        <v>63.34</v>
      </c>
      <c r="F292">
        <f>'raw data Crude oil'!F293</f>
        <v>62.98</v>
      </c>
      <c r="G292">
        <f>'raw data Crude oil'!G293</f>
        <v>62.62</v>
      </c>
      <c r="H292">
        <f>'raw data Crude oil'!H293</f>
        <v>62.25</v>
      </c>
      <c r="I292">
        <f>'raw data Crude oil'!I293</f>
        <v>61.88</v>
      </c>
      <c r="J292">
        <f>'raw data Crude oil'!J293</f>
        <v>61.5</v>
      </c>
      <c r="K292">
        <f>'raw data Crude oil'!K293</f>
        <v>61.16</v>
      </c>
      <c r="L292">
        <f>'raw data Crude oil'!L293</f>
        <v>60.86</v>
      </c>
      <c r="M292">
        <f>'raw data Crude oil'!M293</f>
        <v>60.56</v>
      </c>
      <c r="N292">
        <f>'raw data Crude oil'!N293</f>
        <v>61.34</v>
      </c>
      <c r="O292">
        <f>'raw data Crude oil'!O293</f>
        <v>61.17</v>
      </c>
      <c r="P292">
        <f>'raw data Crude oil'!P293</f>
        <v>60.78</v>
      </c>
      <c r="Q292">
        <f>'raw data Crude oil'!Q293</f>
        <v>60.28</v>
      </c>
      <c r="R292">
        <f>'raw data Crude oil'!R293</f>
        <v>59.73</v>
      </c>
      <c r="S292">
        <f>'raw data Crude oil'!S293</f>
        <v>59.17</v>
      </c>
      <c r="T292">
        <f>'raw data Crude oil'!T293</f>
        <v>58.62</v>
      </c>
      <c r="U292">
        <f>'raw data Crude oil'!U293</f>
        <v>58.12</v>
      </c>
      <c r="V292">
        <f>'raw data Crude oil'!V293</f>
        <v>57.67</v>
      </c>
      <c r="W292">
        <f>'raw data Crude oil'!W293</f>
        <v>57.27</v>
      </c>
      <c r="X292">
        <f>'raw data Crude oil'!X293</f>
        <v>56.87</v>
      </c>
      <c r="Y292">
        <f>'raw data Crude oil'!Y293</f>
        <v>56.46</v>
      </c>
      <c r="Z292">
        <f>'raw data Crude oil'!Z293</f>
        <v>0</v>
      </c>
      <c r="AA292">
        <f>'raw data Crude oil'!AA293</f>
        <v>0</v>
      </c>
      <c r="AB292">
        <f>'raw data Crude oil'!AB293</f>
        <v>0</v>
      </c>
      <c r="AC292">
        <f>'raw data Crude oil'!AC293</f>
        <v>0</v>
      </c>
      <c r="AD292">
        <f>'raw data Crude oil'!AD293</f>
        <v>0</v>
      </c>
      <c r="AE292">
        <f>'raw data Crude oil'!AE293</f>
        <v>0</v>
      </c>
      <c r="AF292">
        <f>'raw data Crude oil'!AF293</f>
        <v>0</v>
      </c>
      <c r="AG292">
        <f>'raw data Crude oil'!AG293</f>
        <v>0</v>
      </c>
      <c r="AH292">
        <f>'raw data Crude oil'!AH293</f>
        <v>0</v>
      </c>
      <c r="AI292">
        <f>'raw data Crude oil'!AI293</f>
        <v>0</v>
      </c>
      <c r="AJ292">
        <f>'raw data Crude oil'!AJ293</f>
        <v>0</v>
      </c>
      <c r="AK292">
        <f>'raw data Crude oil'!AK293</f>
        <v>0</v>
      </c>
    </row>
    <row r="293" spans="1:37" x14ac:dyDescent="0.3">
      <c r="A293" s="18">
        <f>'raw data Crude oil'!A294</f>
        <v>43147</v>
      </c>
      <c r="B293">
        <f>'raw data Crude oil'!B294</f>
        <v>64.84</v>
      </c>
      <c r="C293">
        <f>'raw data Crude oil'!C294</f>
        <v>64.53</v>
      </c>
      <c r="D293">
        <f>'raw data Crude oil'!D294</f>
        <v>64.209999999999994</v>
      </c>
      <c r="E293">
        <f>'raw data Crude oil'!E294</f>
        <v>63.88</v>
      </c>
      <c r="F293">
        <f>'raw data Crude oil'!F294</f>
        <v>63.54</v>
      </c>
      <c r="G293">
        <f>'raw data Crude oil'!G294</f>
        <v>63.18</v>
      </c>
      <c r="H293">
        <f>'raw data Crude oil'!H294</f>
        <v>62.79</v>
      </c>
      <c r="I293">
        <f>'raw data Crude oil'!I294</f>
        <v>62.41</v>
      </c>
      <c r="J293">
        <f>'raw data Crude oil'!J294</f>
        <v>62.01</v>
      </c>
      <c r="K293">
        <f>'raw data Crude oil'!K294</f>
        <v>61.65</v>
      </c>
      <c r="L293">
        <f>'raw data Crude oil'!L294</f>
        <v>61.33</v>
      </c>
      <c r="M293">
        <f>'raw data Crude oil'!M294</f>
        <v>61.03</v>
      </c>
      <c r="N293">
        <f>'raw data Crude oil'!N294</f>
        <v>61.68</v>
      </c>
      <c r="O293">
        <f>'raw data Crude oil'!O294</f>
        <v>61.55</v>
      </c>
      <c r="P293">
        <f>'raw data Crude oil'!P294</f>
        <v>61.2</v>
      </c>
      <c r="Q293">
        <f>'raw data Crude oil'!Q294</f>
        <v>60.73</v>
      </c>
      <c r="R293">
        <f>'raw data Crude oil'!R294</f>
        <v>60.19</v>
      </c>
      <c r="S293">
        <f>'raw data Crude oil'!S294</f>
        <v>59.63</v>
      </c>
      <c r="T293">
        <f>'raw data Crude oil'!T294</f>
        <v>59.09</v>
      </c>
      <c r="U293">
        <f>'raw data Crude oil'!U294</f>
        <v>58.58</v>
      </c>
      <c r="V293">
        <f>'raw data Crude oil'!V294</f>
        <v>58.13</v>
      </c>
      <c r="W293">
        <f>'raw data Crude oil'!W294</f>
        <v>57.72</v>
      </c>
      <c r="X293">
        <f>'raw data Crude oil'!X294</f>
        <v>57.32</v>
      </c>
      <c r="Y293">
        <f>'raw data Crude oil'!Y294</f>
        <v>56.92</v>
      </c>
      <c r="Z293">
        <f>'raw data Crude oil'!Z294</f>
        <v>0</v>
      </c>
      <c r="AA293">
        <f>'raw data Crude oil'!AA294</f>
        <v>0</v>
      </c>
      <c r="AB293">
        <f>'raw data Crude oil'!AB294</f>
        <v>0</v>
      </c>
      <c r="AC293">
        <f>'raw data Crude oil'!AC294</f>
        <v>0</v>
      </c>
      <c r="AD293">
        <f>'raw data Crude oil'!AD294</f>
        <v>0</v>
      </c>
      <c r="AE293">
        <f>'raw data Crude oil'!AE294</f>
        <v>0</v>
      </c>
      <c r="AF293">
        <f>'raw data Crude oil'!AF294</f>
        <v>0</v>
      </c>
      <c r="AG293">
        <f>'raw data Crude oil'!AG294</f>
        <v>0</v>
      </c>
      <c r="AH293">
        <f>'raw data Crude oil'!AH294</f>
        <v>0</v>
      </c>
      <c r="AI293">
        <f>'raw data Crude oil'!AI294</f>
        <v>0</v>
      </c>
      <c r="AJ293">
        <f>'raw data Crude oil'!AJ294</f>
        <v>0</v>
      </c>
      <c r="AK293">
        <f>'raw data Crude oil'!AK294</f>
        <v>0</v>
      </c>
    </row>
    <row r="294" spans="1:37" x14ac:dyDescent="0.3">
      <c r="A294" s="18">
        <f>'raw data Crude oil'!A295</f>
        <v>43150</v>
      </c>
      <c r="B294">
        <f>'raw data Crude oil'!B295</f>
        <v>65.67</v>
      </c>
      <c r="C294">
        <f>'raw data Crude oil'!C295</f>
        <v>65.39</v>
      </c>
      <c r="D294">
        <f>'raw data Crude oil'!D295</f>
        <v>65.08</v>
      </c>
      <c r="E294">
        <f>'raw data Crude oil'!E295</f>
        <v>64.75</v>
      </c>
      <c r="F294">
        <f>'raw data Crude oil'!F295</f>
        <v>64.41</v>
      </c>
      <c r="G294">
        <f>'raw data Crude oil'!G295</f>
        <v>64.03</v>
      </c>
      <c r="H294">
        <f>'raw data Crude oil'!H295</f>
        <v>63.63</v>
      </c>
      <c r="I294">
        <f>'raw data Crude oil'!I295</f>
        <v>63.23</v>
      </c>
      <c r="J294">
        <f>'raw data Crude oil'!J295</f>
        <v>62.81</v>
      </c>
      <c r="K294">
        <f>'raw data Crude oil'!K295</f>
        <v>62.44</v>
      </c>
      <c r="L294">
        <f>'raw data Crude oil'!L295</f>
        <v>62.11</v>
      </c>
      <c r="M294">
        <f>'raw data Crude oil'!M295</f>
        <v>61.79</v>
      </c>
      <c r="N294">
        <f>'raw data Crude oil'!N295</f>
        <v>61.68</v>
      </c>
      <c r="O294">
        <f>'raw data Crude oil'!O295</f>
        <v>61.55</v>
      </c>
      <c r="P294">
        <f>'raw data Crude oil'!P295</f>
        <v>61.2</v>
      </c>
      <c r="Q294">
        <f>'raw data Crude oil'!Q295</f>
        <v>60.73</v>
      </c>
      <c r="R294">
        <f>'raw data Crude oil'!R295</f>
        <v>60.19</v>
      </c>
      <c r="S294">
        <f>'raw data Crude oil'!S295</f>
        <v>59.63</v>
      </c>
      <c r="T294">
        <f>'raw data Crude oil'!T295</f>
        <v>59.09</v>
      </c>
      <c r="U294">
        <f>'raw data Crude oil'!U295</f>
        <v>58.58</v>
      </c>
      <c r="V294">
        <f>'raw data Crude oil'!V295</f>
        <v>58.13</v>
      </c>
      <c r="W294">
        <f>'raw data Crude oil'!W295</f>
        <v>57.72</v>
      </c>
      <c r="X294">
        <f>'raw data Crude oil'!X295</f>
        <v>57.32</v>
      </c>
      <c r="Y294">
        <f>'raw data Crude oil'!Y295</f>
        <v>56.92</v>
      </c>
      <c r="Z294">
        <f>'raw data Crude oil'!Z295</f>
        <v>0</v>
      </c>
      <c r="AA294">
        <f>'raw data Crude oil'!AA295</f>
        <v>0</v>
      </c>
      <c r="AB294">
        <f>'raw data Crude oil'!AB295</f>
        <v>0</v>
      </c>
      <c r="AC294">
        <f>'raw data Crude oil'!AC295</f>
        <v>0</v>
      </c>
      <c r="AD294">
        <f>'raw data Crude oil'!AD295</f>
        <v>0</v>
      </c>
      <c r="AE294">
        <f>'raw data Crude oil'!AE295</f>
        <v>0</v>
      </c>
      <c r="AF294">
        <f>'raw data Crude oil'!AF295</f>
        <v>0</v>
      </c>
      <c r="AG294">
        <f>'raw data Crude oil'!AG295</f>
        <v>0</v>
      </c>
      <c r="AH294">
        <f>'raw data Crude oil'!AH295</f>
        <v>0</v>
      </c>
      <c r="AI294">
        <f>'raw data Crude oil'!AI295</f>
        <v>0</v>
      </c>
      <c r="AJ294">
        <f>'raw data Crude oil'!AJ295</f>
        <v>0</v>
      </c>
      <c r="AK294">
        <f>'raw data Crude oil'!AK295</f>
        <v>0</v>
      </c>
    </row>
    <row r="295" spans="1:37" x14ac:dyDescent="0.3">
      <c r="A295" s="18">
        <f>'raw data Crude oil'!A296</f>
        <v>43151</v>
      </c>
      <c r="B295">
        <f>'raw data Crude oil'!B296</f>
        <v>65.25</v>
      </c>
      <c r="C295">
        <f>'raw data Crude oil'!C296</f>
        <v>65.05</v>
      </c>
      <c r="D295">
        <f>'raw data Crude oil'!D296</f>
        <v>64.790000000000006</v>
      </c>
      <c r="E295">
        <f>'raw data Crude oil'!E296</f>
        <v>64.5</v>
      </c>
      <c r="F295">
        <f>'raw data Crude oil'!F296</f>
        <v>64.2</v>
      </c>
      <c r="G295">
        <f>'raw data Crude oil'!G296</f>
        <v>63.86</v>
      </c>
      <c r="H295">
        <f>'raw data Crude oil'!H296</f>
        <v>63.5</v>
      </c>
      <c r="I295">
        <f>'raw data Crude oil'!I296</f>
        <v>63.12</v>
      </c>
      <c r="J295">
        <f>'raw data Crude oil'!J296</f>
        <v>62.73</v>
      </c>
      <c r="K295">
        <f>'raw data Crude oil'!K296</f>
        <v>62.39</v>
      </c>
      <c r="L295">
        <f>'raw data Crude oil'!L296</f>
        <v>62.08</v>
      </c>
      <c r="M295">
        <f>'raw data Crude oil'!M296</f>
        <v>61.77</v>
      </c>
      <c r="N295">
        <f>'raw data Crude oil'!N296</f>
        <v>61.9</v>
      </c>
      <c r="O295">
        <f>'raw data Crude oil'!O296</f>
        <v>61.79</v>
      </c>
      <c r="P295">
        <f>'raw data Crude oil'!P296</f>
        <v>61.56</v>
      </c>
      <c r="Q295">
        <f>'raw data Crude oil'!Q296</f>
        <v>61.2</v>
      </c>
      <c r="R295">
        <f>'raw data Crude oil'!R296</f>
        <v>60.74</v>
      </c>
      <c r="S295">
        <f>'raw data Crude oil'!S296</f>
        <v>60.23</v>
      </c>
      <c r="T295">
        <f>'raw data Crude oil'!T296</f>
        <v>59.7</v>
      </c>
      <c r="U295">
        <f>'raw data Crude oil'!U296</f>
        <v>59.21</v>
      </c>
      <c r="V295">
        <f>'raw data Crude oil'!V296</f>
        <v>58.75</v>
      </c>
      <c r="W295">
        <f>'raw data Crude oil'!W296</f>
        <v>58.37</v>
      </c>
      <c r="X295">
        <f>'raw data Crude oil'!X296</f>
        <v>57.98</v>
      </c>
      <c r="Y295">
        <f>'raw data Crude oil'!Y296</f>
        <v>57.59</v>
      </c>
      <c r="Z295">
        <f>'raw data Crude oil'!Z296</f>
        <v>0</v>
      </c>
      <c r="AA295">
        <f>'raw data Crude oil'!AA296</f>
        <v>0</v>
      </c>
      <c r="AB295">
        <f>'raw data Crude oil'!AB296</f>
        <v>0</v>
      </c>
      <c r="AC295">
        <f>'raw data Crude oil'!AC296</f>
        <v>0</v>
      </c>
      <c r="AD295">
        <f>'raw data Crude oil'!AD296</f>
        <v>0</v>
      </c>
      <c r="AE295">
        <f>'raw data Crude oil'!AE296</f>
        <v>0</v>
      </c>
      <c r="AF295">
        <f>'raw data Crude oil'!AF296</f>
        <v>0</v>
      </c>
      <c r="AG295">
        <f>'raw data Crude oil'!AG296</f>
        <v>0</v>
      </c>
      <c r="AH295">
        <f>'raw data Crude oil'!AH296</f>
        <v>0</v>
      </c>
      <c r="AI295">
        <f>'raw data Crude oil'!AI296</f>
        <v>0</v>
      </c>
      <c r="AJ295">
        <f>'raw data Crude oil'!AJ296</f>
        <v>0</v>
      </c>
      <c r="AK295">
        <f>'raw data Crude oil'!AK296</f>
        <v>0</v>
      </c>
    </row>
    <row r="296" spans="1:37" x14ac:dyDescent="0.3">
      <c r="A296" s="18">
        <f>'raw data Crude oil'!A297</f>
        <v>43152</v>
      </c>
      <c r="B296">
        <f>'raw data Crude oil'!B297</f>
        <v>65.42</v>
      </c>
      <c r="C296">
        <f>'raw data Crude oil'!C297</f>
        <v>65.150000000000006</v>
      </c>
      <c r="D296">
        <f>'raw data Crude oil'!D297</f>
        <v>64.88</v>
      </c>
      <c r="E296">
        <f>'raw data Crude oil'!E297</f>
        <v>64.59</v>
      </c>
      <c r="F296">
        <f>'raw data Crude oil'!F297</f>
        <v>64.27</v>
      </c>
      <c r="G296">
        <f>'raw data Crude oil'!G297</f>
        <v>63.93</v>
      </c>
      <c r="H296">
        <f>'raw data Crude oil'!H297</f>
        <v>63.57</v>
      </c>
      <c r="I296">
        <f>'raw data Crude oil'!I297</f>
        <v>63.21</v>
      </c>
      <c r="J296">
        <f>'raw data Crude oil'!J297</f>
        <v>62.83</v>
      </c>
      <c r="K296">
        <f>'raw data Crude oil'!K297</f>
        <v>62.49</v>
      </c>
      <c r="L296">
        <f>'raw data Crude oil'!L297</f>
        <v>62.18</v>
      </c>
      <c r="M296">
        <f>'raw data Crude oil'!M297</f>
        <v>61.88</v>
      </c>
      <c r="N296">
        <f>'raw data Crude oil'!N297</f>
        <v>61.68</v>
      </c>
      <c r="O296">
        <f>'raw data Crude oil'!O297</f>
        <v>61.52</v>
      </c>
      <c r="P296">
        <f>'raw data Crude oil'!P297</f>
        <v>61.2</v>
      </c>
      <c r="Q296">
        <f>'raw data Crude oil'!Q297</f>
        <v>60.78</v>
      </c>
      <c r="R296">
        <f>'raw data Crude oil'!R297</f>
        <v>60.29</v>
      </c>
      <c r="S296">
        <f>'raw data Crude oil'!S297</f>
        <v>59.78</v>
      </c>
      <c r="T296">
        <f>'raw data Crude oil'!T297</f>
        <v>59.3</v>
      </c>
      <c r="U296">
        <f>'raw data Crude oil'!U297</f>
        <v>58.87</v>
      </c>
      <c r="V296">
        <f>'raw data Crude oil'!V297</f>
        <v>58.47</v>
      </c>
      <c r="W296">
        <f>'raw data Crude oil'!W297</f>
        <v>58.08</v>
      </c>
      <c r="X296">
        <f>'raw data Crude oil'!X297</f>
        <v>57.7</v>
      </c>
      <c r="Y296">
        <f>'raw data Crude oil'!Y297</f>
        <v>57.34</v>
      </c>
      <c r="Z296">
        <f>'raw data Crude oil'!Z297</f>
        <v>0</v>
      </c>
      <c r="AA296">
        <f>'raw data Crude oil'!AA297</f>
        <v>0</v>
      </c>
      <c r="AB296">
        <f>'raw data Crude oil'!AB297</f>
        <v>0</v>
      </c>
      <c r="AC296">
        <f>'raw data Crude oil'!AC297</f>
        <v>0</v>
      </c>
      <c r="AD296">
        <f>'raw data Crude oil'!AD297</f>
        <v>0</v>
      </c>
      <c r="AE296">
        <f>'raw data Crude oil'!AE297</f>
        <v>0</v>
      </c>
      <c r="AF296">
        <f>'raw data Crude oil'!AF297</f>
        <v>0</v>
      </c>
      <c r="AG296">
        <f>'raw data Crude oil'!AG297</f>
        <v>0</v>
      </c>
      <c r="AH296">
        <f>'raw data Crude oil'!AH297</f>
        <v>0</v>
      </c>
      <c r="AI296">
        <f>'raw data Crude oil'!AI297</f>
        <v>0</v>
      </c>
      <c r="AJ296">
        <f>'raw data Crude oil'!AJ297</f>
        <v>0</v>
      </c>
      <c r="AK296">
        <f>'raw data Crude oil'!AK297</f>
        <v>0</v>
      </c>
    </row>
    <row r="297" spans="1:37" x14ac:dyDescent="0.3">
      <c r="A297" s="18">
        <f>'raw data Crude oil'!A298</f>
        <v>43153</v>
      </c>
      <c r="B297">
        <f>'raw data Crude oil'!B298</f>
        <v>66.39</v>
      </c>
      <c r="C297">
        <f>'raw data Crude oil'!C298</f>
        <v>66.11</v>
      </c>
      <c r="D297">
        <f>'raw data Crude oil'!D298</f>
        <v>65.83</v>
      </c>
      <c r="E297">
        <f>'raw data Crude oil'!E298</f>
        <v>65.510000000000005</v>
      </c>
      <c r="F297">
        <f>'raw data Crude oil'!F298</f>
        <v>65.16</v>
      </c>
      <c r="G297">
        <f>'raw data Crude oil'!G298</f>
        <v>64.790000000000006</v>
      </c>
      <c r="H297">
        <f>'raw data Crude oil'!H298</f>
        <v>64.400000000000006</v>
      </c>
      <c r="I297">
        <f>'raw data Crude oil'!I298</f>
        <v>64</v>
      </c>
      <c r="J297">
        <f>'raw data Crude oil'!J298</f>
        <v>63.59</v>
      </c>
      <c r="K297">
        <f>'raw data Crude oil'!K298</f>
        <v>63.22</v>
      </c>
      <c r="L297">
        <f>'raw data Crude oil'!L298</f>
        <v>62.88</v>
      </c>
      <c r="M297">
        <f>'raw data Crude oil'!M298</f>
        <v>62.55</v>
      </c>
      <c r="N297">
        <f>'raw data Crude oil'!N298</f>
        <v>62.77</v>
      </c>
      <c r="O297">
        <f>'raw data Crude oil'!O298</f>
        <v>62.6</v>
      </c>
      <c r="P297">
        <f>'raw data Crude oil'!P298</f>
        <v>62.25</v>
      </c>
      <c r="Q297">
        <f>'raw data Crude oil'!Q298</f>
        <v>61.78</v>
      </c>
      <c r="R297">
        <f>'raw data Crude oil'!R298</f>
        <v>61.25</v>
      </c>
      <c r="S297">
        <f>'raw data Crude oil'!S298</f>
        <v>60.7</v>
      </c>
      <c r="T297">
        <f>'raw data Crude oil'!T298</f>
        <v>60.17</v>
      </c>
      <c r="U297">
        <f>'raw data Crude oil'!U298</f>
        <v>59.7</v>
      </c>
      <c r="V297">
        <f>'raw data Crude oil'!V298</f>
        <v>59.27</v>
      </c>
      <c r="W297">
        <f>'raw data Crude oil'!W298</f>
        <v>58.85</v>
      </c>
      <c r="X297">
        <f>'raw data Crude oil'!X298</f>
        <v>58.42</v>
      </c>
      <c r="Y297">
        <f>'raw data Crude oil'!Y298</f>
        <v>58.03</v>
      </c>
      <c r="Z297">
        <f>'raw data Crude oil'!Z298</f>
        <v>0</v>
      </c>
      <c r="AA297">
        <f>'raw data Crude oil'!AA298</f>
        <v>0</v>
      </c>
      <c r="AB297">
        <f>'raw data Crude oil'!AB298</f>
        <v>0</v>
      </c>
      <c r="AC297">
        <f>'raw data Crude oil'!AC298</f>
        <v>0</v>
      </c>
      <c r="AD297">
        <f>'raw data Crude oil'!AD298</f>
        <v>0</v>
      </c>
      <c r="AE297">
        <f>'raw data Crude oil'!AE298</f>
        <v>0</v>
      </c>
      <c r="AF297">
        <f>'raw data Crude oil'!AF298</f>
        <v>0</v>
      </c>
      <c r="AG297">
        <f>'raw data Crude oil'!AG298</f>
        <v>0</v>
      </c>
      <c r="AH297">
        <f>'raw data Crude oil'!AH298</f>
        <v>0</v>
      </c>
      <c r="AI297">
        <f>'raw data Crude oil'!AI298</f>
        <v>0</v>
      </c>
      <c r="AJ297">
        <f>'raw data Crude oil'!AJ298</f>
        <v>0</v>
      </c>
      <c r="AK297">
        <f>'raw data Crude oil'!AK298</f>
        <v>0</v>
      </c>
    </row>
    <row r="298" spans="1:37" x14ac:dyDescent="0.3">
      <c r="A298" s="18">
        <f>'raw data Crude oil'!A299</f>
        <v>43154</v>
      </c>
      <c r="B298">
        <f>'raw data Crude oil'!B299</f>
        <v>67.31</v>
      </c>
      <c r="C298">
        <f>'raw data Crude oil'!C299</f>
        <v>67.040000000000006</v>
      </c>
      <c r="D298">
        <f>'raw data Crude oil'!D299</f>
        <v>66.77</v>
      </c>
      <c r="E298">
        <f>'raw data Crude oil'!E299</f>
        <v>66.44</v>
      </c>
      <c r="F298">
        <f>'raw data Crude oil'!F299</f>
        <v>66.069999999999993</v>
      </c>
      <c r="G298">
        <f>'raw data Crude oil'!G299</f>
        <v>65.7</v>
      </c>
      <c r="H298">
        <f>'raw data Crude oil'!H299</f>
        <v>65.3</v>
      </c>
      <c r="I298">
        <f>'raw data Crude oil'!I299</f>
        <v>64.89</v>
      </c>
      <c r="J298">
        <f>'raw data Crude oil'!J299</f>
        <v>64.47</v>
      </c>
      <c r="K298">
        <f>'raw data Crude oil'!K299</f>
        <v>64.09</v>
      </c>
      <c r="L298">
        <f>'raw data Crude oil'!L299</f>
        <v>63.75</v>
      </c>
      <c r="M298">
        <f>'raw data Crude oil'!M299</f>
        <v>63.41</v>
      </c>
      <c r="N298">
        <f>'raw data Crude oil'!N299</f>
        <v>63.55</v>
      </c>
      <c r="O298">
        <f>'raw data Crude oil'!O299</f>
        <v>63.41</v>
      </c>
      <c r="P298">
        <f>'raw data Crude oil'!P299</f>
        <v>63.1</v>
      </c>
      <c r="Q298">
        <f>'raw data Crude oil'!Q299</f>
        <v>62.67</v>
      </c>
      <c r="R298">
        <f>'raw data Crude oil'!R299</f>
        <v>62.16</v>
      </c>
      <c r="S298">
        <f>'raw data Crude oil'!S299</f>
        <v>61.61</v>
      </c>
      <c r="T298">
        <f>'raw data Crude oil'!T299</f>
        <v>61.06</v>
      </c>
      <c r="U298">
        <f>'raw data Crude oil'!U299</f>
        <v>60.56</v>
      </c>
      <c r="V298">
        <f>'raw data Crude oil'!V299</f>
        <v>60.13</v>
      </c>
      <c r="W298">
        <f>'raw data Crude oil'!W299</f>
        <v>59.7</v>
      </c>
      <c r="X298">
        <f>'raw data Crude oil'!X299</f>
        <v>59.26</v>
      </c>
      <c r="Y298">
        <f>'raw data Crude oil'!Y299</f>
        <v>58.86</v>
      </c>
      <c r="Z298">
        <f>'raw data Crude oil'!Z299</f>
        <v>0</v>
      </c>
      <c r="AA298">
        <f>'raw data Crude oil'!AA299</f>
        <v>0</v>
      </c>
      <c r="AB298">
        <f>'raw data Crude oil'!AB299</f>
        <v>0</v>
      </c>
      <c r="AC298">
        <f>'raw data Crude oil'!AC299</f>
        <v>0</v>
      </c>
      <c r="AD298">
        <f>'raw data Crude oil'!AD299</f>
        <v>0</v>
      </c>
      <c r="AE298">
        <f>'raw data Crude oil'!AE299</f>
        <v>0</v>
      </c>
      <c r="AF298">
        <f>'raw data Crude oil'!AF299</f>
        <v>0</v>
      </c>
      <c r="AG298">
        <f>'raw data Crude oil'!AG299</f>
        <v>0</v>
      </c>
      <c r="AH298">
        <f>'raw data Crude oil'!AH299</f>
        <v>0</v>
      </c>
      <c r="AI298">
        <f>'raw data Crude oil'!AI299</f>
        <v>0</v>
      </c>
      <c r="AJ298">
        <f>'raw data Crude oil'!AJ299</f>
        <v>0</v>
      </c>
      <c r="AK298">
        <f>'raw data Crude oil'!AK299</f>
        <v>0</v>
      </c>
    </row>
    <row r="299" spans="1:37" x14ac:dyDescent="0.3">
      <c r="A299" s="18">
        <f>'raw data Crude oil'!A300</f>
        <v>43157</v>
      </c>
      <c r="B299">
        <f>'raw data Crude oil'!B300</f>
        <v>67.5</v>
      </c>
      <c r="C299">
        <f>'raw data Crude oil'!C300</f>
        <v>67.290000000000006</v>
      </c>
      <c r="D299">
        <f>'raw data Crude oil'!D300</f>
        <v>67.040000000000006</v>
      </c>
      <c r="E299">
        <f>'raw data Crude oil'!E300</f>
        <v>66.73</v>
      </c>
      <c r="F299">
        <f>'raw data Crude oil'!F300</f>
        <v>66.38</v>
      </c>
      <c r="G299">
        <f>'raw data Crude oil'!G300</f>
        <v>66.02</v>
      </c>
      <c r="H299">
        <f>'raw data Crude oil'!H300</f>
        <v>65.63</v>
      </c>
      <c r="I299">
        <f>'raw data Crude oil'!I300</f>
        <v>65.22</v>
      </c>
      <c r="J299">
        <f>'raw data Crude oil'!J300</f>
        <v>64.81</v>
      </c>
      <c r="K299">
        <f>'raw data Crude oil'!K300</f>
        <v>64.45</v>
      </c>
      <c r="L299">
        <f>'raw data Crude oil'!L300</f>
        <v>64.12</v>
      </c>
      <c r="M299">
        <f>'raw data Crude oil'!M300</f>
        <v>63.79</v>
      </c>
      <c r="N299">
        <f>'raw data Crude oil'!N300</f>
        <v>63.91</v>
      </c>
      <c r="O299">
        <f>'raw data Crude oil'!O300</f>
        <v>63.77</v>
      </c>
      <c r="P299">
        <f>'raw data Crude oil'!P300</f>
        <v>63.45</v>
      </c>
      <c r="Q299">
        <f>'raw data Crude oil'!Q300</f>
        <v>63</v>
      </c>
      <c r="R299">
        <f>'raw data Crude oil'!R300</f>
        <v>62.48</v>
      </c>
      <c r="S299">
        <f>'raw data Crude oil'!S300</f>
        <v>61.92</v>
      </c>
      <c r="T299">
        <f>'raw data Crude oil'!T300</f>
        <v>61.38</v>
      </c>
      <c r="U299">
        <f>'raw data Crude oil'!U300</f>
        <v>60.89</v>
      </c>
      <c r="V299">
        <f>'raw data Crude oil'!V300</f>
        <v>60.46</v>
      </c>
      <c r="W299">
        <f>'raw data Crude oil'!W300</f>
        <v>60.04</v>
      </c>
      <c r="X299">
        <f>'raw data Crude oil'!X300</f>
        <v>59.62</v>
      </c>
      <c r="Y299">
        <f>'raw data Crude oil'!Y300</f>
        <v>59.22</v>
      </c>
      <c r="Z299">
        <f>'raw data Crude oil'!Z300</f>
        <v>0</v>
      </c>
      <c r="AA299">
        <f>'raw data Crude oil'!AA300</f>
        <v>0</v>
      </c>
      <c r="AB299">
        <f>'raw data Crude oil'!AB300</f>
        <v>0</v>
      </c>
      <c r="AC299">
        <f>'raw data Crude oil'!AC300</f>
        <v>0</v>
      </c>
      <c r="AD299">
        <f>'raw data Crude oil'!AD300</f>
        <v>0</v>
      </c>
      <c r="AE299">
        <f>'raw data Crude oil'!AE300</f>
        <v>0</v>
      </c>
      <c r="AF299">
        <f>'raw data Crude oil'!AF300</f>
        <v>0</v>
      </c>
      <c r="AG299">
        <f>'raw data Crude oil'!AG300</f>
        <v>0</v>
      </c>
      <c r="AH299">
        <f>'raw data Crude oil'!AH300</f>
        <v>0</v>
      </c>
      <c r="AI299">
        <f>'raw data Crude oil'!AI300</f>
        <v>0</v>
      </c>
      <c r="AJ299">
        <f>'raw data Crude oil'!AJ300</f>
        <v>0</v>
      </c>
      <c r="AK299">
        <f>'raw data Crude oil'!AK300</f>
        <v>0</v>
      </c>
    </row>
    <row r="300" spans="1:37" x14ac:dyDescent="0.3">
      <c r="A300" s="18">
        <f>'raw data Crude oil'!A301</f>
        <v>43158</v>
      </c>
      <c r="B300">
        <f>'raw data Crude oil'!B301</f>
        <v>66.63</v>
      </c>
      <c r="C300">
        <f>'raw data Crude oil'!C301</f>
        <v>66.52</v>
      </c>
      <c r="D300">
        <f>'raw data Crude oil'!D301</f>
        <v>66.28</v>
      </c>
      <c r="E300">
        <f>'raw data Crude oil'!E301</f>
        <v>65.98</v>
      </c>
      <c r="F300">
        <f>'raw data Crude oil'!F301</f>
        <v>65.64</v>
      </c>
      <c r="G300">
        <f>'raw data Crude oil'!G301</f>
        <v>65.290000000000006</v>
      </c>
      <c r="H300">
        <f>'raw data Crude oil'!H301</f>
        <v>64.92</v>
      </c>
      <c r="I300">
        <f>'raw data Crude oil'!I301</f>
        <v>64.53</v>
      </c>
      <c r="J300">
        <f>'raw data Crude oil'!J301</f>
        <v>64.14</v>
      </c>
      <c r="K300">
        <f>'raw data Crude oil'!K301</f>
        <v>63.79</v>
      </c>
      <c r="L300">
        <f>'raw data Crude oil'!L301</f>
        <v>63.48</v>
      </c>
      <c r="M300">
        <f>'raw data Crude oil'!M301</f>
        <v>63.17</v>
      </c>
      <c r="N300">
        <f>'raw data Crude oil'!N301</f>
        <v>63.01</v>
      </c>
      <c r="O300">
        <f>'raw data Crude oil'!O301</f>
        <v>62.9</v>
      </c>
      <c r="P300">
        <f>'raw data Crude oil'!P301</f>
        <v>62.63</v>
      </c>
      <c r="Q300">
        <f>'raw data Crude oil'!Q301</f>
        <v>62.22</v>
      </c>
      <c r="R300">
        <f>'raw data Crude oil'!R301</f>
        <v>61.71</v>
      </c>
      <c r="S300">
        <f>'raw data Crude oil'!S301</f>
        <v>61.17</v>
      </c>
      <c r="T300">
        <f>'raw data Crude oil'!T301</f>
        <v>60.64</v>
      </c>
      <c r="U300">
        <f>'raw data Crude oil'!U301</f>
        <v>60.17</v>
      </c>
      <c r="V300">
        <f>'raw data Crude oil'!V301</f>
        <v>59.76</v>
      </c>
      <c r="W300">
        <f>'raw data Crude oil'!W301</f>
        <v>59.35</v>
      </c>
      <c r="X300">
        <f>'raw data Crude oil'!X301</f>
        <v>58.94</v>
      </c>
      <c r="Y300">
        <f>'raw data Crude oil'!Y301</f>
        <v>58.56</v>
      </c>
      <c r="Z300">
        <f>'raw data Crude oil'!Z301</f>
        <v>0</v>
      </c>
      <c r="AA300">
        <f>'raw data Crude oil'!AA301</f>
        <v>0</v>
      </c>
      <c r="AB300">
        <f>'raw data Crude oil'!AB301</f>
        <v>0</v>
      </c>
      <c r="AC300">
        <f>'raw data Crude oil'!AC301</f>
        <v>0</v>
      </c>
      <c r="AD300">
        <f>'raw data Crude oil'!AD301</f>
        <v>0</v>
      </c>
      <c r="AE300">
        <f>'raw data Crude oil'!AE301</f>
        <v>0</v>
      </c>
      <c r="AF300">
        <f>'raw data Crude oil'!AF301</f>
        <v>0</v>
      </c>
      <c r="AG300">
        <f>'raw data Crude oil'!AG301</f>
        <v>0</v>
      </c>
      <c r="AH300">
        <f>'raw data Crude oil'!AH301</f>
        <v>0</v>
      </c>
      <c r="AI300">
        <f>'raw data Crude oil'!AI301</f>
        <v>0</v>
      </c>
      <c r="AJ300">
        <f>'raw data Crude oil'!AJ301</f>
        <v>0</v>
      </c>
      <c r="AK300">
        <f>'raw data Crude oil'!AK301</f>
        <v>0</v>
      </c>
    </row>
    <row r="301" spans="1:37" x14ac:dyDescent="0.3">
      <c r="A301" s="18">
        <f>'raw data Crude oil'!A302</f>
        <v>43159</v>
      </c>
      <c r="B301">
        <f>'raw data Crude oil'!B302</f>
        <v>65.78</v>
      </c>
      <c r="C301">
        <f>'raw data Crude oil'!C302</f>
        <v>64.73</v>
      </c>
      <c r="D301">
        <f>'raw data Crude oil'!D302</f>
        <v>64.459999999999994</v>
      </c>
      <c r="E301">
        <f>'raw data Crude oil'!E302</f>
        <v>64.13</v>
      </c>
      <c r="F301">
        <f>'raw data Crude oil'!F302</f>
        <v>63.78</v>
      </c>
      <c r="G301">
        <f>'raw data Crude oil'!G302</f>
        <v>63.44</v>
      </c>
      <c r="H301">
        <f>'raw data Crude oil'!H302</f>
        <v>63.07</v>
      </c>
      <c r="I301">
        <f>'raw data Crude oil'!I302</f>
        <v>62.7</v>
      </c>
      <c r="J301">
        <f>'raw data Crude oil'!J302</f>
        <v>62.33</v>
      </c>
      <c r="K301">
        <f>'raw data Crude oil'!K302</f>
        <v>62.01</v>
      </c>
      <c r="L301">
        <f>'raw data Crude oil'!L302</f>
        <v>61.71</v>
      </c>
      <c r="M301">
        <f>'raw data Crude oil'!M302</f>
        <v>61.43</v>
      </c>
      <c r="N301">
        <f>'raw data Crude oil'!N302</f>
        <v>61.64</v>
      </c>
      <c r="O301">
        <f>'raw data Crude oil'!O302</f>
        <v>61.47</v>
      </c>
      <c r="P301">
        <f>'raw data Crude oil'!P302</f>
        <v>61.14</v>
      </c>
      <c r="Q301">
        <f>'raw data Crude oil'!Q302</f>
        <v>60.67</v>
      </c>
      <c r="R301">
        <f>'raw data Crude oil'!R302</f>
        <v>60.14</v>
      </c>
      <c r="S301">
        <f>'raw data Crude oil'!S302</f>
        <v>59.58</v>
      </c>
      <c r="T301">
        <f>'raw data Crude oil'!T302</f>
        <v>59.04</v>
      </c>
      <c r="U301">
        <f>'raw data Crude oil'!U302</f>
        <v>58.56</v>
      </c>
      <c r="V301">
        <f>'raw data Crude oil'!V302</f>
        <v>58.15</v>
      </c>
      <c r="W301">
        <f>'raw data Crude oil'!W302</f>
        <v>57.75</v>
      </c>
      <c r="X301">
        <f>'raw data Crude oil'!X302</f>
        <v>57.34</v>
      </c>
      <c r="Y301">
        <f>'raw data Crude oil'!Y302</f>
        <v>56.98</v>
      </c>
      <c r="Z301">
        <f>'raw data Crude oil'!Z302</f>
        <v>0</v>
      </c>
      <c r="AA301">
        <f>'raw data Crude oil'!AA302</f>
        <v>0</v>
      </c>
      <c r="AB301">
        <f>'raw data Crude oil'!AB302</f>
        <v>0</v>
      </c>
      <c r="AC301">
        <f>'raw data Crude oil'!AC302</f>
        <v>0</v>
      </c>
      <c r="AD301">
        <f>'raw data Crude oil'!AD302</f>
        <v>0</v>
      </c>
      <c r="AE301">
        <f>'raw data Crude oil'!AE302</f>
        <v>0</v>
      </c>
      <c r="AF301">
        <f>'raw data Crude oil'!AF302</f>
        <v>0</v>
      </c>
      <c r="AG301">
        <f>'raw data Crude oil'!AG302</f>
        <v>0</v>
      </c>
      <c r="AH301">
        <f>'raw data Crude oil'!AH302</f>
        <v>0</v>
      </c>
      <c r="AI301">
        <f>'raw data Crude oil'!AI302</f>
        <v>0</v>
      </c>
      <c r="AJ301">
        <f>'raw data Crude oil'!AJ302</f>
        <v>0</v>
      </c>
      <c r="AK301">
        <f>'raw data Crude oil'!AK302</f>
        <v>0</v>
      </c>
    </row>
    <row r="302" spans="1:37" x14ac:dyDescent="0.3">
      <c r="A302" s="18">
        <f>'raw data Crude oil'!A303</f>
        <v>43160</v>
      </c>
      <c r="B302">
        <f>'raw data Crude oil'!B303</f>
        <v>63.83</v>
      </c>
      <c r="C302">
        <f>'raw data Crude oil'!C303</f>
        <v>63.59</v>
      </c>
      <c r="D302">
        <f>'raw data Crude oil'!D303</f>
        <v>63.29</v>
      </c>
      <c r="E302">
        <f>'raw data Crude oil'!E303</f>
        <v>62.97</v>
      </c>
      <c r="F302">
        <f>'raw data Crude oil'!F303</f>
        <v>62.65</v>
      </c>
      <c r="G302">
        <f>'raw data Crude oil'!G303</f>
        <v>62.31</v>
      </c>
      <c r="H302">
        <f>'raw data Crude oil'!H303</f>
        <v>61.98</v>
      </c>
      <c r="I302">
        <f>'raw data Crude oil'!I303</f>
        <v>61.64</v>
      </c>
      <c r="J302">
        <f>'raw data Crude oil'!J303</f>
        <v>61.33</v>
      </c>
      <c r="K302">
        <f>'raw data Crude oil'!K303</f>
        <v>61.06</v>
      </c>
      <c r="L302">
        <f>'raw data Crude oil'!L303</f>
        <v>60.79</v>
      </c>
      <c r="M302">
        <f>'raw data Crude oil'!M303</f>
        <v>60.54</v>
      </c>
      <c r="N302">
        <f>'raw data Crude oil'!N303</f>
        <v>60.99</v>
      </c>
      <c r="O302">
        <f>'raw data Crude oil'!O303</f>
        <v>60.8</v>
      </c>
      <c r="P302">
        <f>'raw data Crude oil'!P303</f>
        <v>60.44</v>
      </c>
      <c r="Q302">
        <f>'raw data Crude oil'!Q303</f>
        <v>59.98</v>
      </c>
      <c r="R302">
        <f>'raw data Crude oil'!R303</f>
        <v>59.45</v>
      </c>
      <c r="S302">
        <f>'raw data Crude oil'!S303</f>
        <v>58.92</v>
      </c>
      <c r="T302">
        <f>'raw data Crude oil'!T303</f>
        <v>58.42</v>
      </c>
      <c r="U302">
        <f>'raw data Crude oil'!U303</f>
        <v>57.98</v>
      </c>
      <c r="V302">
        <f>'raw data Crude oil'!V303</f>
        <v>57.59</v>
      </c>
      <c r="W302">
        <f>'raw data Crude oil'!W303</f>
        <v>57.23</v>
      </c>
      <c r="X302">
        <f>'raw data Crude oil'!X303</f>
        <v>56.85</v>
      </c>
      <c r="Y302">
        <f>'raw data Crude oil'!Y303</f>
        <v>56.51</v>
      </c>
      <c r="Z302">
        <f>'raw data Crude oil'!Z303</f>
        <v>0</v>
      </c>
      <c r="AA302">
        <f>'raw data Crude oil'!AA303</f>
        <v>0</v>
      </c>
      <c r="AB302">
        <f>'raw data Crude oil'!AB303</f>
        <v>0</v>
      </c>
      <c r="AC302">
        <f>'raw data Crude oil'!AC303</f>
        <v>0</v>
      </c>
      <c r="AD302">
        <f>'raw data Crude oil'!AD303</f>
        <v>0</v>
      </c>
      <c r="AE302">
        <f>'raw data Crude oil'!AE303</f>
        <v>0</v>
      </c>
      <c r="AF302">
        <f>'raw data Crude oil'!AF303</f>
        <v>0</v>
      </c>
      <c r="AG302">
        <f>'raw data Crude oil'!AG303</f>
        <v>0</v>
      </c>
      <c r="AH302">
        <f>'raw data Crude oil'!AH303</f>
        <v>0</v>
      </c>
      <c r="AI302">
        <f>'raw data Crude oil'!AI303</f>
        <v>0</v>
      </c>
      <c r="AJ302">
        <f>'raw data Crude oil'!AJ303</f>
        <v>0</v>
      </c>
      <c r="AK302">
        <f>'raw data Crude oil'!AK303</f>
        <v>0</v>
      </c>
    </row>
    <row r="303" spans="1:37" x14ac:dyDescent="0.3">
      <c r="A303" s="18">
        <f>'raw data Crude oil'!A304</f>
        <v>43161</v>
      </c>
      <c r="B303">
        <f>'raw data Crude oil'!B304</f>
        <v>64.37</v>
      </c>
      <c r="C303">
        <f>'raw data Crude oil'!C304</f>
        <v>64.11</v>
      </c>
      <c r="D303">
        <f>'raw data Crude oil'!D304</f>
        <v>63.8</v>
      </c>
      <c r="E303">
        <f>'raw data Crude oil'!E304</f>
        <v>63.48</v>
      </c>
      <c r="F303">
        <f>'raw data Crude oil'!F304</f>
        <v>63.15</v>
      </c>
      <c r="G303">
        <f>'raw data Crude oil'!G304</f>
        <v>62.81</v>
      </c>
      <c r="H303">
        <f>'raw data Crude oil'!H304</f>
        <v>62.46</v>
      </c>
      <c r="I303">
        <f>'raw data Crude oil'!I304</f>
        <v>62.1</v>
      </c>
      <c r="J303">
        <f>'raw data Crude oil'!J304</f>
        <v>61.79</v>
      </c>
      <c r="K303">
        <f>'raw data Crude oil'!K304</f>
        <v>61.51</v>
      </c>
      <c r="L303">
        <f>'raw data Crude oil'!L304</f>
        <v>61.23</v>
      </c>
      <c r="M303">
        <f>'raw data Crude oil'!M304</f>
        <v>60.97</v>
      </c>
      <c r="N303">
        <f>'raw data Crude oil'!N304</f>
        <v>61.25</v>
      </c>
      <c r="O303">
        <f>'raw data Crude oil'!O304</f>
        <v>61.09</v>
      </c>
      <c r="P303">
        <f>'raw data Crude oil'!P304</f>
        <v>60.78</v>
      </c>
      <c r="Q303">
        <f>'raw data Crude oil'!Q304</f>
        <v>60.36</v>
      </c>
      <c r="R303">
        <f>'raw data Crude oil'!R304</f>
        <v>59.87</v>
      </c>
      <c r="S303">
        <f>'raw data Crude oil'!S304</f>
        <v>59.36</v>
      </c>
      <c r="T303">
        <f>'raw data Crude oil'!T304</f>
        <v>58.87</v>
      </c>
      <c r="U303">
        <f>'raw data Crude oil'!U304</f>
        <v>58.43</v>
      </c>
      <c r="V303">
        <f>'raw data Crude oil'!V304</f>
        <v>58.04</v>
      </c>
      <c r="W303">
        <f>'raw data Crude oil'!W304</f>
        <v>57.66</v>
      </c>
      <c r="X303">
        <f>'raw data Crude oil'!X304</f>
        <v>57.29</v>
      </c>
      <c r="Y303">
        <f>'raw data Crude oil'!Y304</f>
        <v>56.93</v>
      </c>
      <c r="Z303">
        <f>'raw data Crude oil'!Z304</f>
        <v>0</v>
      </c>
      <c r="AA303">
        <f>'raw data Crude oil'!AA304</f>
        <v>0</v>
      </c>
      <c r="AB303">
        <f>'raw data Crude oil'!AB304</f>
        <v>0</v>
      </c>
      <c r="AC303">
        <f>'raw data Crude oil'!AC304</f>
        <v>0</v>
      </c>
      <c r="AD303">
        <f>'raw data Crude oil'!AD304</f>
        <v>0</v>
      </c>
      <c r="AE303">
        <f>'raw data Crude oil'!AE304</f>
        <v>0</v>
      </c>
      <c r="AF303">
        <f>'raw data Crude oil'!AF304</f>
        <v>0</v>
      </c>
      <c r="AG303">
        <f>'raw data Crude oil'!AG304</f>
        <v>0</v>
      </c>
      <c r="AH303">
        <f>'raw data Crude oil'!AH304</f>
        <v>0</v>
      </c>
      <c r="AI303">
        <f>'raw data Crude oil'!AI304</f>
        <v>0</v>
      </c>
      <c r="AJ303">
        <f>'raw data Crude oil'!AJ304</f>
        <v>0</v>
      </c>
      <c r="AK303">
        <f>'raw data Crude oil'!AK304</f>
        <v>0</v>
      </c>
    </row>
    <row r="304" spans="1:37" x14ac:dyDescent="0.3">
      <c r="A304" s="18">
        <f>'raw data Crude oil'!A305</f>
        <v>43164</v>
      </c>
      <c r="B304">
        <f>'raw data Crude oil'!B305</f>
        <v>65.540000000000006</v>
      </c>
      <c r="C304">
        <f>'raw data Crude oil'!C305</f>
        <v>65.3</v>
      </c>
      <c r="D304">
        <f>'raw data Crude oil'!D305</f>
        <v>65.010000000000005</v>
      </c>
      <c r="E304">
        <f>'raw data Crude oil'!E305</f>
        <v>64.7</v>
      </c>
      <c r="F304">
        <f>'raw data Crude oil'!F305</f>
        <v>64.38</v>
      </c>
      <c r="G304">
        <f>'raw data Crude oil'!G305</f>
        <v>64.02</v>
      </c>
      <c r="H304">
        <f>'raw data Crude oil'!H305</f>
        <v>63.65</v>
      </c>
      <c r="I304">
        <f>'raw data Crude oil'!I305</f>
        <v>63.27</v>
      </c>
      <c r="J304">
        <f>'raw data Crude oil'!J305</f>
        <v>62.94</v>
      </c>
      <c r="K304">
        <f>'raw data Crude oil'!K305</f>
        <v>62.64</v>
      </c>
      <c r="L304">
        <f>'raw data Crude oil'!L305</f>
        <v>62.34</v>
      </c>
      <c r="M304">
        <f>'raw data Crude oil'!M305</f>
        <v>62.07</v>
      </c>
      <c r="N304">
        <f>'raw data Crude oil'!N305</f>
        <v>62.57</v>
      </c>
      <c r="O304">
        <f>'raw data Crude oil'!O305</f>
        <v>62.39</v>
      </c>
      <c r="P304">
        <f>'raw data Crude oil'!P305</f>
        <v>62.05</v>
      </c>
      <c r="Q304">
        <f>'raw data Crude oil'!Q305</f>
        <v>61.6</v>
      </c>
      <c r="R304">
        <f>'raw data Crude oil'!R305</f>
        <v>61.08</v>
      </c>
      <c r="S304">
        <f>'raw data Crude oil'!S305</f>
        <v>60.55</v>
      </c>
      <c r="T304">
        <f>'raw data Crude oil'!T305</f>
        <v>60.04</v>
      </c>
      <c r="U304">
        <f>'raw data Crude oil'!U305</f>
        <v>59.58</v>
      </c>
      <c r="V304">
        <f>'raw data Crude oil'!V305</f>
        <v>59.15</v>
      </c>
      <c r="W304">
        <f>'raw data Crude oil'!W305</f>
        <v>58.75</v>
      </c>
      <c r="X304">
        <f>'raw data Crude oil'!X305</f>
        <v>58.34</v>
      </c>
      <c r="Y304">
        <f>'raw data Crude oil'!Y305</f>
        <v>57.95</v>
      </c>
      <c r="Z304">
        <f>'raw data Crude oil'!Z305</f>
        <v>0</v>
      </c>
      <c r="AA304">
        <f>'raw data Crude oil'!AA305</f>
        <v>0</v>
      </c>
      <c r="AB304">
        <f>'raw data Crude oil'!AB305</f>
        <v>0</v>
      </c>
      <c r="AC304">
        <f>'raw data Crude oil'!AC305</f>
        <v>0</v>
      </c>
      <c r="AD304">
        <f>'raw data Crude oil'!AD305</f>
        <v>0</v>
      </c>
      <c r="AE304">
        <f>'raw data Crude oil'!AE305</f>
        <v>0</v>
      </c>
      <c r="AF304">
        <f>'raw data Crude oil'!AF305</f>
        <v>0</v>
      </c>
      <c r="AG304">
        <f>'raw data Crude oil'!AG305</f>
        <v>0</v>
      </c>
      <c r="AH304">
        <f>'raw data Crude oil'!AH305</f>
        <v>0</v>
      </c>
      <c r="AI304">
        <f>'raw data Crude oil'!AI305</f>
        <v>0</v>
      </c>
      <c r="AJ304">
        <f>'raw data Crude oil'!AJ305</f>
        <v>0</v>
      </c>
      <c r="AK304">
        <f>'raw data Crude oil'!AK305</f>
        <v>0</v>
      </c>
    </row>
    <row r="305" spans="1:37" x14ac:dyDescent="0.3">
      <c r="A305" s="18">
        <f>'raw data Crude oil'!A306</f>
        <v>43165</v>
      </c>
      <c r="B305">
        <f>'raw data Crude oil'!B306</f>
        <v>65.790000000000006</v>
      </c>
      <c r="C305">
        <f>'raw data Crude oil'!C306</f>
        <v>65.55</v>
      </c>
      <c r="D305">
        <f>'raw data Crude oil'!D306</f>
        <v>65.25</v>
      </c>
      <c r="E305">
        <f>'raw data Crude oil'!E306</f>
        <v>64.930000000000007</v>
      </c>
      <c r="F305">
        <f>'raw data Crude oil'!F306</f>
        <v>64.599999999999994</v>
      </c>
      <c r="G305">
        <f>'raw data Crude oil'!G306</f>
        <v>64.25</v>
      </c>
      <c r="H305">
        <f>'raw data Crude oil'!H306</f>
        <v>63.88</v>
      </c>
      <c r="I305">
        <f>'raw data Crude oil'!I306</f>
        <v>63.49</v>
      </c>
      <c r="J305">
        <f>'raw data Crude oil'!J306</f>
        <v>63.16</v>
      </c>
      <c r="K305">
        <f>'raw data Crude oil'!K306</f>
        <v>62.86</v>
      </c>
      <c r="L305">
        <f>'raw data Crude oil'!L306</f>
        <v>62.56</v>
      </c>
      <c r="M305">
        <f>'raw data Crude oil'!M306</f>
        <v>62.27</v>
      </c>
      <c r="N305">
        <f>'raw data Crude oil'!N306</f>
        <v>62.6</v>
      </c>
      <c r="O305">
        <f>'raw data Crude oil'!O306</f>
        <v>62.45</v>
      </c>
      <c r="P305">
        <f>'raw data Crude oil'!P306</f>
        <v>62.16</v>
      </c>
      <c r="Q305">
        <f>'raw data Crude oil'!Q306</f>
        <v>61.73</v>
      </c>
      <c r="R305">
        <f>'raw data Crude oil'!R306</f>
        <v>61.23</v>
      </c>
      <c r="S305">
        <f>'raw data Crude oil'!S306</f>
        <v>60.7</v>
      </c>
      <c r="T305">
        <f>'raw data Crude oil'!T306</f>
        <v>60.18</v>
      </c>
      <c r="U305">
        <f>'raw data Crude oil'!U306</f>
        <v>59.7</v>
      </c>
      <c r="V305">
        <f>'raw data Crude oil'!V306</f>
        <v>59.26</v>
      </c>
      <c r="W305">
        <f>'raw data Crude oil'!W306</f>
        <v>58.84</v>
      </c>
      <c r="X305">
        <f>'raw data Crude oil'!X306</f>
        <v>58.42</v>
      </c>
      <c r="Y305">
        <f>'raw data Crude oil'!Y306</f>
        <v>58.02</v>
      </c>
      <c r="Z305">
        <f>'raw data Crude oil'!Z306</f>
        <v>0</v>
      </c>
      <c r="AA305">
        <f>'raw data Crude oil'!AA306</f>
        <v>0</v>
      </c>
      <c r="AB305">
        <f>'raw data Crude oil'!AB306</f>
        <v>0</v>
      </c>
      <c r="AC305">
        <f>'raw data Crude oil'!AC306</f>
        <v>0</v>
      </c>
      <c r="AD305">
        <f>'raw data Crude oil'!AD306</f>
        <v>0</v>
      </c>
      <c r="AE305">
        <f>'raw data Crude oil'!AE306</f>
        <v>0</v>
      </c>
      <c r="AF305">
        <f>'raw data Crude oil'!AF306</f>
        <v>0</v>
      </c>
      <c r="AG305">
        <f>'raw data Crude oil'!AG306</f>
        <v>0</v>
      </c>
      <c r="AH305">
        <f>'raw data Crude oil'!AH306</f>
        <v>0</v>
      </c>
      <c r="AI305">
        <f>'raw data Crude oil'!AI306</f>
        <v>0</v>
      </c>
      <c r="AJ305">
        <f>'raw data Crude oil'!AJ306</f>
        <v>0</v>
      </c>
      <c r="AK305">
        <f>'raw data Crude oil'!AK306</f>
        <v>0</v>
      </c>
    </row>
    <row r="306" spans="1:37" x14ac:dyDescent="0.3">
      <c r="A306" s="18">
        <f>'raw data Crude oil'!A307</f>
        <v>43166</v>
      </c>
      <c r="B306">
        <f>'raw data Crude oil'!B307</f>
        <v>64.34</v>
      </c>
      <c r="C306">
        <f>'raw data Crude oil'!C307</f>
        <v>64.150000000000006</v>
      </c>
      <c r="D306">
        <f>'raw data Crude oil'!D307</f>
        <v>63.88</v>
      </c>
      <c r="E306">
        <f>'raw data Crude oil'!E307</f>
        <v>63.59</v>
      </c>
      <c r="F306">
        <f>'raw data Crude oil'!F307</f>
        <v>63.27</v>
      </c>
      <c r="G306">
        <f>'raw data Crude oil'!G307</f>
        <v>62.94</v>
      </c>
      <c r="H306">
        <f>'raw data Crude oil'!H307</f>
        <v>62.6</v>
      </c>
      <c r="I306">
        <f>'raw data Crude oil'!I307</f>
        <v>62.25</v>
      </c>
      <c r="J306">
        <f>'raw data Crude oil'!J307</f>
        <v>61.95</v>
      </c>
      <c r="K306">
        <f>'raw data Crude oil'!K307</f>
        <v>61.68</v>
      </c>
      <c r="L306">
        <f>'raw data Crude oil'!L307</f>
        <v>61.4</v>
      </c>
      <c r="M306">
        <f>'raw data Crude oil'!M307</f>
        <v>61.14</v>
      </c>
      <c r="N306">
        <f>'raw data Crude oil'!N307</f>
        <v>61.15</v>
      </c>
      <c r="O306">
        <f>'raw data Crude oil'!O307</f>
        <v>61.02</v>
      </c>
      <c r="P306">
        <f>'raw data Crude oil'!P307</f>
        <v>60.75</v>
      </c>
      <c r="Q306">
        <f>'raw data Crude oil'!Q307</f>
        <v>60.37</v>
      </c>
      <c r="R306">
        <f>'raw data Crude oil'!R307</f>
        <v>59.93</v>
      </c>
      <c r="S306">
        <f>'raw data Crude oil'!S307</f>
        <v>59.45</v>
      </c>
      <c r="T306">
        <f>'raw data Crude oil'!T307</f>
        <v>58.97</v>
      </c>
      <c r="U306">
        <f>'raw data Crude oil'!U307</f>
        <v>58.53</v>
      </c>
      <c r="V306">
        <f>'raw data Crude oil'!V307</f>
        <v>58.12</v>
      </c>
      <c r="W306">
        <f>'raw data Crude oil'!W307</f>
        <v>57.73</v>
      </c>
      <c r="X306">
        <f>'raw data Crude oil'!X307</f>
        <v>57.33</v>
      </c>
      <c r="Y306">
        <f>'raw data Crude oil'!Y307</f>
        <v>56.96</v>
      </c>
      <c r="Z306">
        <f>'raw data Crude oil'!Z307</f>
        <v>0</v>
      </c>
      <c r="AA306">
        <f>'raw data Crude oil'!AA307</f>
        <v>0</v>
      </c>
      <c r="AB306">
        <f>'raw data Crude oil'!AB307</f>
        <v>0</v>
      </c>
      <c r="AC306">
        <f>'raw data Crude oil'!AC307</f>
        <v>0</v>
      </c>
      <c r="AD306">
        <f>'raw data Crude oil'!AD307</f>
        <v>0</v>
      </c>
      <c r="AE306">
        <f>'raw data Crude oil'!AE307</f>
        <v>0</v>
      </c>
      <c r="AF306">
        <f>'raw data Crude oil'!AF307</f>
        <v>0</v>
      </c>
      <c r="AG306">
        <f>'raw data Crude oil'!AG307</f>
        <v>0</v>
      </c>
      <c r="AH306">
        <f>'raw data Crude oil'!AH307</f>
        <v>0</v>
      </c>
      <c r="AI306">
        <f>'raw data Crude oil'!AI307</f>
        <v>0</v>
      </c>
      <c r="AJ306">
        <f>'raw data Crude oil'!AJ307</f>
        <v>0</v>
      </c>
      <c r="AK306">
        <f>'raw data Crude oil'!AK307</f>
        <v>0</v>
      </c>
    </row>
    <row r="307" spans="1:37" x14ac:dyDescent="0.3">
      <c r="A307" s="18">
        <f>'raw data Crude oil'!A308</f>
        <v>43167</v>
      </c>
      <c r="B307">
        <f>'raw data Crude oil'!B308</f>
        <v>63.61</v>
      </c>
      <c r="C307">
        <f>'raw data Crude oil'!C308</f>
        <v>63.44</v>
      </c>
      <c r="D307">
        <f>'raw data Crude oil'!D308</f>
        <v>63.17</v>
      </c>
      <c r="E307">
        <f>'raw data Crude oil'!E308</f>
        <v>62.9</v>
      </c>
      <c r="F307">
        <f>'raw data Crude oil'!F308</f>
        <v>62.61</v>
      </c>
      <c r="G307">
        <f>'raw data Crude oil'!G308</f>
        <v>62.31</v>
      </c>
      <c r="H307">
        <f>'raw data Crude oil'!H308</f>
        <v>62</v>
      </c>
      <c r="I307">
        <f>'raw data Crude oil'!I308</f>
        <v>61.68</v>
      </c>
      <c r="J307">
        <f>'raw data Crude oil'!J308</f>
        <v>61.39</v>
      </c>
      <c r="K307">
        <f>'raw data Crude oil'!K308</f>
        <v>61.14</v>
      </c>
      <c r="L307">
        <f>'raw data Crude oil'!L308</f>
        <v>60.9</v>
      </c>
      <c r="M307">
        <f>'raw data Crude oil'!M308</f>
        <v>60.67</v>
      </c>
      <c r="N307">
        <f>'raw data Crude oil'!N308</f>
        <v>60.12</v>
      </c>
      <c r="O307">
        <f>'raw data Crude oil'!O308</f>
        <v>60.06</v>
      </c>
      <c r="P307">
        <f>'raw data Crude oil'!P308</f>
        <v>59.91</v>
      </c>
      <c r="Q307">
        <f>'raw data Crude oil'!Q308</f>
        <v>59.64</v>
      </c>
      <c r="R307">
        <f>'raw data Crude oil'!R308</f>
        <v>59.27</v>
      </c>
      <c r="S307">
        <f>'raw data Crude oil'!S308</f>
        <v>58.84</v>
      </c>
      <c r="T307">
        <f>'raw data Crude oil'!T308</f>
        <v>58.41</v>
      </c>
      <c r="U307">
        <f>'raw data Crude oil'!U308</f>
        <v>58.01</v>
      </c>
      <c r="V307">
        <f>'raw data Crude oil'!V308</f>
        <v>57.64</v>
      </c>
      <c r="W307">
        <f>'raw data Crude oil'!W308</f>
        <v>57.28</v>
      </c>
      <c r="X307">
        <f>'raw data Crude oil'!X308</f>
        <v>56.91</v>
      </c>
      <c r="Y307">
        <f>'raw data Crude oil'!Y308</f>
        <v>56.58</v>
      </c>
      <c r="Z307">
        <f>'raw data Crude oil'!Z308</f>
        <v>0</v>
      </c>
      <c r="AA307">
        <f>'raw data Crude oil'!AA308</f>
        <v>0</v>
      </c>
      <c r="AB307">
        <f>'raw data Crude oil'!AB308</f>
        <v>0</v>
      </c>
      <c r="AC307">
        <f>'raw data Crude oil'!AC308</f>
        <v>0</v>
      </c>
      <c r="AD307">
        <f>'raw data Crude oil'!AD308</f>
        <v>0</v>
      </c>
      <c r="AE307">
        <f>'raw data Crude oil'!AE308</f>
        <v>0</v>
      </c>
      <c r="AF307">
        <f>'raw data Crude oil'!AF308</f>
        <v>0</v>
      </c>
      <c r="AG307">
        <f>'raw data Crude oil'!AG308</f>
        <v>0</v>
      </c>
      <c r="AH307">
        <f>'raw data Crude oil'!AH308</f>
        <v>0</v>
      </c>
      <c r="AI307">
        <f>'raw data Crude oil'!AI308</f>
        <v>0</v>
      </c>
      <c r="AJ307">
        <f>'raw data Crude oil'!AJ308</f>
        <v>0</v>
      </c>
      <c r="AK307">
        <f>'raw data Crude oil'!AK308</f>
        <v>0</v>
      </c>
    </row>
    <row r="308" spans="1:37" x14ac:dyDescent="0.3">
      <c r="A308" s="18">
        <f>'raw data Crude oil'!A309</f>
        <v>43168</v>
      </c>
      <c r="B308">
        <f>'raw data Crude oil'!B309</f>
        <v>65.489999999999995</v>
      </c>
      <c r="C308">
        <f>'raw data Crude oil'!C309</f>
        <v>65.27</v>
      </c>
      <c r="D308">
        <f>'raw data Crude oil'!D309</f>
        <v>64.95</v>
      </c>
      <c r="E308">
        <f>'raw data Crude oil'!E309</f>
        <v>64.63</v>
      </c>
      <c r="F308">
        <f>'raw data Crude oil'!F309</f>
        <v>64.31</v>
      </c>
      <c r="G308">
        <f>'raw data Crude oil'!G309</f>
        <v>63.97</v>
      </c>
      <c r="H308">
        <f>'raw data Crude oil'!H309</f>
        <v>63.63</v>
      </c>
      <c r="I308">
        <f>'raw data Crude oil'!I309</f>
        <v>63.29</v>
      </c>
      <c r="J308">
        <f>'raw data Crude oil'!J309</f>
        <v>62.97</v>
      </c>
      <c r="K308">
        <f>'raw data Crude oil'!K309</f>
        <v>62.69</v>
      </c>
      <c r="L308">
        <f>'raw data Crude oil'!L309</f>
        <v>62.41</v>
      </c>
      <c r="M308">
        <f>'raw data Crude oil'!M309</f>
        <v>62.15</v>
      </c>
      <c r="N308">
        <f>'raw data Crude oil'!N309</f>
        <v>62.04</v>
      </c>
      <c r="O308">
        <f>'raw data Crude oil'!O309</f>
        <v>61.92</v>
      </c>
      <c r="P308">
        <f>'raw data Crude oil'!P309</f>
        <v>61.69</v>
      </c>
      <c r="Q308">
        <f>'raw data Crude oil'!Q309</f>
        <v>61.33</v>
      </c>
      <c r="R308">
        <f>'raw data Crude oil'!R309</f>
        <v>60.89</v>
      </c>
      <c r="S308">
        <f>'raw data Crude oil'!S309</f>
        <v>60.42</v>
      </c>
      <c r="T308">
        <f>'raw data Crude oil'!T309</f>
        <v>59.95</v>
      </c>
      <c r="U308">
        <f>'raw data Crude oil'!U309</f>
        <v>59.52</v>
      </c>
      <c r="V308">
        <f>'raw data Crude oil'!V309</f>
        <v>59.13</v>
      </c>
      <c r="W308">
        <f>'raw data Crude oil'!W309</f>
        <v>58.73</v>
      </c>
      <c r="X308">
        <f>'raw data Crude oil'!X309</f>
        <v>58.33</v>
      </c>
      <c r="Y308">
        <f>'raw data Crude oil'!Y309</f>
        <v>57.95</v>
      </c>
      <c r="Z308">
        <f>'raw data Crude oil'!Z309</f>
        <v>0</v>
      </c>
      <c r="AA308">
        <f>'raw data Crude oil'!AA309</f>
        <v>0</v>
      </c>
      <c r="AB308">
        <f>'raw data Crude oil'!AB309</f>
        <v>0</v>
      </c>
      <c r="AC308">
        <f>'raw data Crude oil'!AC309</f>
        <v>0</v>
      </c>
      <c r="AD308">
        <f>'raw data Crude oil'!AD309</f>
        <v>0</v>
      </c>
      <c r="AE308">
        <f>'raw data Crude oil'!AE309</f>
        <v>0</v>
      </c>
      <c r="AF308">
        <f>'raw data Crude oil'!AF309</f>
        <v>0</v>
      </c>
      <c r="AG308">
        <f>'raw data Crude oil'!AG309</f>
        <v>0</v>
      </c>
      <c r="AH308">
        <f>'raw data Crude oil'!AH309</f>
        <v>0</v>
      </c>
      <c r="AI308">
        <f>'raw data Crude oil'!AI309</f>
        <v>0</v>
      </c>
      <c r="AJ308">
        <f>'raw data Crude oil'!AJ309</f>
        <v>0</v>
      </c>
      <c r="AK308">
        <f>'raw data Crude oil'!AK309</f>
        <v>0</v>
      </c>
    </row>
    <row r="309" spans="1:37" x14ac:dyDescent="0.3">
      <c r="A309" s="18">
        <f>'raw data Crude oil'!A310</f>
        <v>43171</v>
      </c>
      <c r="B309">
        <f>'raw data Crude oil'!B310</f>
        <v>64.95</v>
      </c>
      <c r="C309">
        <f>'raw data Crude oil'!C310</f>
        <v>64.790000000000006</v>
      </c>
      <c r="D309">
        <f>'raw data Crude oil'!D310</f>
        <v>64.52</v>
      </c>
      <c r="E309">
        <f>'raw data Crude oil'!E310</f>
        <v>64.25</v>
      </c>
      <c r="F309">
        <f>'raw data Crude oil'!F310</f>
        <v>63.95</v>
      </c>
      <c r="G309">
        <f>'raw data Crude oil'!G310</f>
        <v>63.64</v>
      </c>
      <c r="H309">
        <f>'raw data Crude oil'!H310</f>
        <v>63.33</v>
      </c>
      <c r="I309">
        <f>'raw data Crude oil'!I310</f>
        <v>63.01</v>
      </c>
      <c r="J309">
        <f>'raw data Crude oil'!J310</f>
        <v>62.72</v>
      </c>
      <c r="K309">
        <f>'raw data Crude oil'!K310</f>
        <v>62.45</v>
      </c>
      <c r="L309">
        <f>'raw data Crude oil'!L310</f>
        <v>62.19</v>
      </c>
      <c r="M309">
        <f>'raw data Crude oil'!M310</f>
        <v>61.94</v>
      </c>
      <c r="N309">
        <f>'raw data Crude oil'!N310</f>
        <v>61.36</v>
      </c>
      <c r="O309">
        <f>'raw data Crude oil'!O310</f>
        <v>61.33</v>
      </c>
      <c r="P309">
        <f>'raw data Crude oil'!P310</f>
        <v>61.16</v>
      </c>
      <c r="Q309">
        <f>'raw data Crude oil'!Q310</f>
        <v>60.87</v>
      </c>
      <c r="R309">
        <f>'raw data Crude oil'!R310</f>
        <v>60.49</v>
      </c>
      <c r="S309">
        <f>'raw data Crude oil'!S310</f>
        <v>60.06</v>
      </c>
      <c r="T309">
        <f>'raw data Crude oil'!T310</f>
        <v>59.63</v>
      </c>
      <c r="U309">
        <f>'raw data Crude oil'!U310</f>
        <v>59.24</v>
      </c>
      <c r="V309">
        <f>'raw data Crude oil'!V310</f>
        <v>58.87</v>
      </c>
      <c r="W309">
        <f>'raw data Crude oil'!W310</f>
        <v>58.52</v>
      </c>
      <c r="X309">
        <f>'raw data Crude oil'!X310</f>
        <v>58.13</v>
      </c>
      <c r="Y309">
        <f>'raw data Crude oil'!Y310</f>
        <v>57.78</v>
      </c>
      <c r="Z309">
        <f>'raw data Crude oil'!Z310</f>
        <v>0</v>
      </c>
      <c r="AA309">
        <f>'raw data Crude oil'!AA310</f>
        <v>0</v>
      </c>
      <c r="AB309">
        <f>'raw data Crude oil'!AB310</f>
        <v>0</v>
      </c>
      <c r="AC309">
        <f>'raw data Crude oil'!AC310</f>
        <v>0</v>
      </c>
      <c r="AD309">
        <f>'raw data Crude oil'!AD310</f>
        <v>0</v>
      </c>
      <c r="AE309">
        <f>'raw data Crude oil'!AE310</f>
        <v>0</v>
      </c>
      <c r="AF309">
        <f>'raw data Crude oil'!AF310</f>
        <v>0</v>
      </c>
      <c r="AG309">
        <f>'raw data Crude oil'!AG310</f>
        <v>0</v>
      </c>
      <c r="AH309">
        <f>'raw data Crude oil'!AH310</f>
        <v>0</v>
      </c>
      <c r="AI309">
        <f>'raw data Crude oil'!AI310</f>
        <v>0</v>
      </c>
      <c r="AJ309">
        <f>'raw data Crude oil'!AJ310</f>
        <v>0</v>
      </c>
      <c r="AK309">
        <f>'raw data Crude oil'!AK310</f>
        <v>0</v>
      </c>
    </row>
    <row r="310" spans="1:37" x14ac:dyDescent="0.3">
      <c r="A310" s="18">
        <f>'raw data Crude oil'!A311</f>
        <v>43172</v>
      </c>
      <c r="B310">
        <f>'raw data Crude oil'!B311</f>
        <v>64.64</v>
      </c>
      <c r="C310">
        <f>'raw data Crude oil'!C311</f>
        <v>64.52</v>
      </c>
      <c r="D310">
        <f>'raw data Crude oil'!D311</f>
        <v>64.290000000000006</v>
      </c>
      <c r="E310">
        <f>'raw data Crude oil'!E311</f>
        <v>64.02</v>
      </c>
      <c r="F310">
        <f>'raw data Crude oil'!F311</f>
        <v>63.74</v>
      </c>
      <c r="G310">
        <f>'raw data Crude oil'!G311</f>
        <v>63.46</v>
      </c>
      <c r="H310">
        <f>'raw data Crude oil'!H311</f>
        <v>63.17</v>
      </c>
      <c r="I310">
        <f>'raw data Crude oil'!I311</f>
        <v>62.87</v>
      </c>
      <c r="J310">
        <f>'raw data Crude oil'!J311</f>
        <v>62.6</v>
      </c>
      <c r="K310">
        <f>'raw data Crude oil'!K311</f>
        <v>62.34</v>
      </c>
      <c r="L310">
        <f>'raw data Crude oil'!L311</f>
        <v>62.09</v>
      </c>
      <c r="M310">
        <f>'raw data Crude oil'!M311</f>
        <v>61.85</v>
      </c>
      <c r="N310">
        <f>'raw data Crude oil'!N311</f>
        <v>60.71</v>
      </c>
      <c r="O310">
        <f>'raw data Crude oil'!O311</f>
        <v>60.75</v>
      </c>
      <c r="P310">
        <f>'raw data Crude oil'!P311</f>
        <v>60.65</v>
      </c>
      <c r="Q310">
        <f>'raw data Crude oil'!Q311</f>
        <v>60.41</v>
      </c>
      <c r="R310">
        <f>'raw data Crude oil'!R311</f>
        <v>60.07</v>
      </c>
      <c r="S310">
        <f>'raw data Crude oil'!S311</f>
        <v>59.67</v>
      </c>
      <c r="T310">
        <f>'raw data Crude oil'!T311</f>
        <v>59.27</v>
      </c>
      <c r="U310">
        <f>'raw data Crude oil'!U311</f>
        <v>58.91</v>
      </c>
      <c r="V310">
        <f>'raw data Crude oil'!V311</f>
        <v>58.56</v>
      </c>
      <c r="W310">
        <f>'raw data Crude oil'!W311</f>
        <v>58.23</v>
      </c>
      <c r="X310">
        <f>'raw data Crude oil'!X311</f>
        <v>57.87</v>
      </c>
      <c r="Y310">
        <f>'raw data Crude oil'!Y311</f>
        <v>57.53</v>
      </c>
      <c r="Z310">
        <f>'raw data Crude oil'!Z311</f>
        <v>0</v>
      </c>
      <c r="AA310">
        <f>'raw data Crude oil'!AA311</f>
        <v>0</v>
      </c>
      <c r="AB310">
        <f>'raw data Crude oil'!AB311</f>
        <v>0</v>
      </c>
      <c r="AC310">
        <f>'raw data Crude oil'!AC311</f>
        <v>0</v>
      </c>
      <c r="AD310">
        <f>'raw data Crude oil'!AD311</f>
        <v>0</v>
      </c>
      <c r="AE310">
        <f>'raw data Crude oil'!AE311</f>
        <v>0</v>
      </c>
      <c r="AF310">
        <f>'raw data Crude oil'!AF311</f>
        <v>0</v>
      </c>
      <c r="AG310">
        <f>'raw data Crude oil'!AG311</f>
        <v>0</v>
      </c>
      <c r="AH310">
        <f>'raw data Crude oil'!AH311</f>
        <v>0</v>
      </c>
      <c r="AI310">
        <f>'raw data Crude oil'!AI311</f>
        <v>0</v>
      </c>
      <c r="AJ310">
        <f>'raw data Crude oil'!AJ311</f>
        <v>0</v>
      </c>
      <c r="AK310">
        <f>'raw data Crude oil'!AK311</f>
        <v>0</v>
      </c>
    </row>
    <row r="311" spans="1:37" x14ac:dyDescent="0.3">
      <c r="A311" s="18">
        <f>'raw data Crude oil'!A312</f>
        <v>43173</v>
      </c>
      <c r="B311">
        <f>'raw data Crude oil'!B312</f>
        <v>64.89</v>
      </c>
      <c r="C311">
        <f>'raw data Crude oil'!C312</f>
        <v>64.760000000000005</v>
      </c>
      <c r="D311">
        <f>'raw data Crude oil'!D312</f>
        <v>64.5</v>
      </c>
      <c r="E311">
        <f>'raw data Crude oil'!E312</f>
        <v>64.22</v>
      </c>
      <c r="F311">
        <f>'raw data Crude oil'!F312</f>
        <v>63.93</v>
      </c>
      <c r="G311">
        <f>'raw data Crude oil'!G312</f>
        <v>63.64</v>
      </c>
      <c r="H311">
        <f>'raw data Crude oil'!H312</f>
        <v>63.34</v>
      </c>
      <c r="I311">
        <f>'raw data Crude oil'!I312</f>
        <v>63.04</v>
      </c>
      <c r="J311">
        <f>'raw data Crude oil'!J312</f>
        <v>62.76</v>
      </c>
      <c r="K311">
        <f>'raw data Crude oil'!K312</f>
        <v>62.51</v>
      </c>
      <c r="L311">
        <f>'raw data Crude oil'!L312</f>
        <v>62.26</v>
      </c>
      <c r="M311">
        <f>'raw data Crude oil'!M312</f>
        <v>62.03</v>
      </c>
      <c r="N311">
        <f>'raw data Crude oil'!N312</f>
        <v>60.96</v>
      </c>
      <c r="O311">
        <f>'raw data Crude oil'!O312</f>
        <v>61.02</v>
      </c>
      <c r="P311">
        <f>'raw data Crude oil'!P312</f>
        <v>60.91</v>
      </c>
      <c r="Q311">
        <f>'raw data Crude oil'!Q312</f>
        <v>60.66</v>
      </c>
      <c r="R311">
        <f>'raw data Crude oil'!R312</f>
        <v>60.31</v>
      </c>
      <c r="S311">
        <f>'raw data Crude oil'!S312</f>
        <v>59.89</v>
      </c>
      <c r="T311">
        <f>'raw data Crude oil'!T312</f>
        <v>59.49</v>
      </c>
      <c r="U311">
        <f>'raw data Crude oil'!U312</f>
        <v>59.12</v>
      </c>
      <c r="V311">
        <f>'raw data Crude oil'!V312</f>
        <v>58.79</v>
      </c>
      <c r="W311">
        <f>'raw data Crude oil'!W312</f>
        <v>58.45</v>
      </c>
      <c r="X311">
        <f>'raw data Crude oil'!X312</f>
        <v>58.11</v>
      </c>
      <c r="Y311">
        <f>'raw data Crude oil'!Y312</f>
        <v>57.78</v>
      </c>
      <c r="Z311">
        <f>'raw data Crude oil'!Z312</f>
        <v>0</v>
      </c>
      <c r="AA311">
        <f>'raw data Crude oil'!AA312</f>
        <v>0</v>
      </c>
      <c r="AB311">
        <f>'raw data Crude oil'!AB312</f>
        <v>0</v>
      </c>
      <c r="AC311">
        <f>'raw data Crude oil'!AC312</f>
        <v>0</v>
      </c>
      <c r="AD311">
        <f>'raw data Crude oil'!AD312</f>
        <v>0</v>
      </c>
      <c r="AE311">
        <f>'raw data Crude oil'!AE312</f>
        <v>0</v>
      </c>
      <c r="AF311">
        <f>'raw data Crude oil'!AF312</f>
        <v>0</v>
      </c>
      <c r="AG311">
        <f>'raw data Crude oil'!AG312</f>
        <v>0</v>
      </c>
      <c r="AH311">
        <f>'raw data Crude oil'!AH312</f>
        <v>0</v>
      </c>
      <c r="AI311">
        <f>'raw data Crude oil'!AI312</f>
        <v>0</v>
      </c>
      <c r="AJ311">
        <f>'raw data Crude oil'!AJ312</f>
        <v>0</v>
      </c>
      <c r="AK311">
        <f>'raw data Crude oil'!AK312</f>
        <v>0</v>
      </c>
    </row>
    <row r="312" spans="1:37" x14ac:dyDescent="0.3">
      <c r="A312" s="18">
        <f>'raw data Crude oil'!A313</f>
        <v>43174</v>
      </c>
      <c r="B312">
        <f>'raw data Crude oil'!B313</f>
        <v>65.12</v>
      </c>
      <c r="C312">
        <f>'raw data Crude oil'!C313</f>
        <v>64.95</v>
      </c>
      <c r="D312">
        <f>'raw data Crude oil'!D313</f>
        <v>64.680000000000007</v>
      </c>
      <c r="E312">
        <f>'raw data Crude oil'!E313</f>
        <v>64.38</v>
      </c>
      <c r="F312">
        <f>'raw data Crude oil'!F313</f>
        <v>64.069999999999993</v>
      </c>
      <c r="G312">
        <f>'raw data Crude oil'!G313</f>
        <v>63.77</v>
      </c>
      <c r="H312">
        <f>'raw data Crude oil'!H313</f>
        <v>63.46</v>
      </c>
      <c r="I312">
        <f>'raw data Crude oil'!I313</f>
        <v>63.15</v>
      </c>
      <c r="J312">
        <f>'raw data Crude oil'!J313</f>
        <v>62.86</v>
      </c>
      <c r="K312">
        <f>'raw data Crude oil'!K313</f>
        <v>62.6</v>
      </c>
      <c r="L312">
        <f>'raw data Crude oil'!L313</f>
        <v>62.34</v>
      </c>
      <c r="M312">
        <f>'raw data Crude oil'!M313</f>
        <v>62.1</v>
      </c>
      <c r="N312">
        <f>'raw data Crude oil'!N313</f>
        <v>61.19</v>
      </c>
      <c r="O312">
        <f>'raw data Crude oil'!O313</f>
        <v>61.25</v>
      </c>
      <c r="P312">
        <f>'raw data Crude oil'!P313</f>
        <v>61.13</v>
      </c>
      <c r="Q312">
        <f>'raw data Crude oil'!Q313</f>
        <v>60.85</v>
      </c>
      <c r="R312">
        <f>'raw data Crude oil'!R313</f>
        <v>60.46</v>
      </c>
      <c r="S312">
        <f>'raw data Crude oil'!S313</f>
        <v>60.04</v>
      </c>
      <c r="T312">
        <f>'raw data Crude oil'!T313</f>
        <v>59.62</v>
      </c>
      <c r="U312">
        <f>'raw data Crude oil'!U313</f>
        <v>59.24</v>
      </c>
      <c r="V312">
        <f>'raw data Crude oil'!V313</f>
        <v>58.88</v>
      </c>
      <c r="W312">
        <f>'raw data Crude oil'!W313</f>
        <v>58.54</v>
      </c>
      <c r="X312">
        <f>'raw data Crude oil'!X313</f>
        <v>58.17</v>
      </c>
      <c r="Y312">
        <f>'raw data Crude oil'!Y313</f>
        <v>57.82</v>
      </c>
      <c r="Z312">
        <f>'raw data Crude oil'!Z313</f>
        <v>0</v>
      </c>
      <c r="AA312">
        <f>'raw data Crude oil'!AA313</f>
        <v>0</v>
      </c>
      <c r="AB312">
        <f>'raw data Crude oil'!AB313</f>
        <v>0</v>
      </c>
      <c r="AC312">
        <f>'raw data Crude oil'!AC313</f>
        <v>0</v>
      </c>
      <c r="AD312">
        <f>'raw data Crude oil'!AD313</f>
        <v>0</v>
      </c>
      <c r="AE312">
        <f>'raw data Crude oil'!AE313</f>
        <v>0</v>
      </c>
      <c r="AF312">
        <f>'raw data Crude oil'!AF313</f>
        <v>0</v>
      </c>
      <c r="AG312">
        <f>'raw data Crude oil'!AG313</f>
        <v>0</v>
      </c>
      <c r="AH312">
        <f>'raw data Crude oil'!AH313</f>
        <v>0</v>
      </c>
      <c r="AI312">
        <f>'raw data Crude oil'!AI313</f>
        <v>0</v>
      </c>
      <c r="AJ312">
        <f>'raw data Crude oil'!AJ313</f>
        <v>0</v>
      </c>
      <c r="AK312">
        <f>'raw data Crude oil'!AK313</f>
        <v>0</v>
      </c>
    </row>
    <row r="313" spans="1:37" x14ac:dyDescent="0.3">
      <c r="A313" s="18">
        <f>'raw data Crude oil'!A314</f>
        <v>43175</v>
      </c>
      <c r="B313">
        <f>'raw data Crude oil'!B314</f>
        <v>66.209999999999994</v>
      </c>
      <c r="C313">
        <f>'raw data Crude oil'!C314</f>
        <v>66.05</v>
      </c>
      <c r="D313">
        <f>'raw data Crude oil'!D314</f>
        <v>65.75</v>
      </c>
      <c r="E313">
        <f>'raw data Crude oil'!E314</f>
        <v>65.41</v>
      </c>
      <c r="F313">
        <f>'raw data Crude oil'!F314</f>
        <v>65.06</v>
      </c>
      <c r="G313">
        <f>'raw data Crude oil'!G314</f>
        <v>64.709999999999994</v>
      </c>
      <c r="H313">
        <f>'raw data Crude oil'!H314</f>
        <v>64.36</v>
      </c>
      <c r="I313">
        <f>'raw data Crude oil'!I314</f>
        <v>64.010000000000005</v>
      </c>
      <c r="J313">
        <f>'raw data Crude oil'!J314</f>
        <v>63.68</v>
      </c>
      <c r="K313">
        <f>'raw data Crude oil'!K314</f>
        <v>63.38</v>
      </c>
      <c r="L313">
        <f>'raw data Crude oil'!L314</f>
        <v>63.08</v>
      </c>
      <c r="M313">
        <f>'raw data Crude oil'!M314</f>
        <v>62.8</v>
      </c>
      <c r="N313">
        <f>'raw data Crude oil'!N314</f>
        <v>62.34</v>
      </c>
      <c r="O313">
        <f>'raw data Crude oil'!O314</f>
        <v>62.41</v>
      </c>
      <c r="P313">
        <f>'raw data Crude oil'!P314</f>
        <v>62.25</v>
      </c>
      <c r="Q313">
        <f>'raw data Crude oil'!Q314</f>
        <v>61.94</v>
      </c>
      <c r="R313">
        <f>'raw data Crude oil'!R314</f>
        <v>61.49</v>
      </c>
      <c r="S313">
        <f>'raw data Crude oil'!S314</f>
        <v>61.03</v>
      </c>
      <c r="T313">
        <f>'raw data Crude oil'!T314</f>
        <v>60.55</v>
      </c>
      <c r="U313">
        <f>'raw data Crude oil'!U314</f>
        <v>60.11</v>
      </c>
      <c r="V313">
        <f>'raw data Crude oil'!V314</f>
        <v>59.7</v>
      </c>
      <c r="W313">
        <f>'raw data Crude oil'!W314</f>
        <v>59.3</v>
      </c>
      <c r="X313">
        <f>'raw data Crude oil'!X314</f>
        <v>58.88</v>
      </c>
      <c r="Y313">
        <f>'raw data Crude oil'!Y314</f>
        <v>58.47</v>
      </c>
      <c r="Z313">
        <f>'raw data Crude oil'!Z314</f>
        <v>0</v>
      </c>
      <c r="AA313">
        <f>'raw data Crude oil'!AA314</f>
        <v>0</v>
      </c>
      <c r="AB313">
        <f>'raw data Crude oil'!AB314</f>
        <v>0</v>
      </c>
      <c r="AC313">
        <f>'raw data Crude oil'!AC314</f>
        <v>0</v>
      </c>
      <c r="AD313">
        <f>'raw data Crude oil'!AD314</f>
        <v>0</v>
      </c>
      <c r="AE313">
        <f>'raw data Crude oil'!AE314</f>
        <v>0</v>
      </c>
      <c r="AF313">
        <f>'raw data Crude oil'!AF314</f>
        <v>0</v>
      </c>
      <c r="AG313">
        <f>'raw data Crude oil'!AG314</f>
        <v>0</v>
      </c>
      <c r="AH313">
        <f>'raw data Crude oil'!AH314</f>
        <v>0</v>
      </c>
      <c r="AI313">
        <f>'raw data Crude oil'!AI314</f>
        <v>0</v>
      </c>
      <c r="AJ313">
        <f>'raw data Crude oil'!AJ314</f>
        <v>0</v>
      </c>
      <c r="AK313">
        <f>'raw data Crude oil'!AK314</f>
        <v>0</v>
      </c>
    </row>
    <row r="314" spans="1:37" x14ac:dyDescent="0.3">
      <c r="A314" s="18">
        <f>'raw data Crude oil'!A315</f>
        <v>43178</v>
      </c>
      <c r="B314">
        <f>'raw data Crude oil'!B315</f>
        <v>66.05</v>
      </c>
      <c r="C314">
        <f>'raw data Crude oil'!C315</f>
        <v>65.819999999999993</v>
      </c>
      <c r="D314">
        <f>'raw data Crude oil'!D315</f>
        <v>65.48</v>
      </c>
      <c r="E314">
        <f>'raw data Crude oil'!E315</f>
        <v>65.12</v>
      </c>
      <c r="F314">
        <f>'raw data Crude oil'!F315</f>
        <v>64.760000000000005</v>
      </c>
      <c r="G314">
        <f>'raw data Crude oil'!G315</f>
        <v>64.39</v>
      </c>
      <c r="H314">
        <f>'raw data Crude oil'!H315</f>
        <v>64.03</v>
      </c>
      <c r="I314">
        <f>'raw data Crude oil'!I315</f>
        <v>63.67</v>
      </c>
      <c r="J314">
        <f>'raw data Crude oil'!J315</f>
        <v>63.34</v>
      </c>
      <c r="K314">
        <f>'raw data Crude oil'!K315</f>
        <v>63.03</v>
      </c>
      <c r="L314">
        <f>'raw data Crude oil'!L315</f>
        <v>62.73</v>
      </c>
      <c r="M314">
        <f>'raw data Crude oil'!M315</f>
        <v>62.45</v>
      </c>
      <c r="N314">
        <f>'raw data Crude oil'!N315</f>
        <v>62.06</v>
      </c>
      <c r="O314">
        <f>'raw data Crude oil'!O315</f>
        <v>62.13</v>
      </c>
      <c r="P314">
        <f>'raw data Crude oil'!P315</f>
        <v>61.96</v>
      </c>
      <c r="Q314">
        <f>'raw data Crude oil'!Q315</f>
        <v>61.61</v>
      </c>
      <c r="R314">
        <f>'raw data Crude oil'!R315</f>
        <v>61.16</v>
      </c>
      <c r="S314">
        <f>'raw data Crude oil'!S315</f>
        <v>60.67</v>
      </c>
      <c r="T314">
        <f>'raw data Crude oil'!T315</f>
        <v>60.19</v>
      </c>
      <c r="U314">
        <f>'raw data Crude oil'!U315</f>
        <v>59.75</v>
      </c>
      <c r="V314">
        <f>'raw data Crude oil'!V315</f>
        <v>59.35</v>
      </c>
      <c r="W314">
        <f>'raw data Crude oil'!W315</f>
        <v>58.96</v>
      </c>
      <c r="X314">
        <f>'raw data Crude oil'!X315</f>
        <v>58.53</v>
      </c>
      <c r="Y314">
        <f>'raw data Crude oil'!Y315</f>
        <v>58.14</v>
      </c>
      <c r="Z314">
        <f>'raw data Crude oil'!Z315</f>
        <v>0</v>
      </c>
      <c r="AA314">
        <f>'raw data Crude oil'!AA315</f>
        <v>0</v>
      </c>
      <c r="AB314">
        <f>'raw data Crude oil'!AB315</f>
        <v>0</v>
      </c>
      <c r="AC314">
        <f>'raw data Crude oil'!AC315</f>
        <v>0</v>
      </c>
      <c r="AD314">
        <f>'raw data Crude oil'!AD315</f>
        <v>0</v>
      </c>
      <c r="AE314">
        <f>'raw data Crude oil'!AE315</f>
        <v>0</v>
      </c>
      <c r="AF314">
        <f>'raw data Crude oil'!AF315</f>
        <v>0</v>
      </c>
      <c r="AG314">
        <f>'raw data Crude oil'!AG315</f>
        <v>0</v>
      </c>
      <c r="AH314">
        <f>'raw data Crude oil'!AH315</f>
        <v>0</v>
      </c>
      <c r="AI314">
        <f>'raw data Crude oil'!AI315</f>
        <v>0</v>
      </c>
      <c r="AJ314">
        <f>'raw data Crude oil'!AJ315</f>
        <v>0</v>
      </c>
      <c r="AK314">
        <f>'raw data Crude oil'!AK315</f>
        <v>0</v>
      </c>
    </row>
    <row r="315" spans="1:37" x14ac:dyDescent="0.3">
      <c r="A315" s="18">
        <f>'raw data Crude oil'!A316</f>
        <v>43179</v>
      </c>
      <c r="B315">
        <f>'raw data Crude oil'!B316</f>
        <v>67.42</v>
      </c>
      <c r="C315">
        <f>'raw data Crude oil'!C316</f>
        <v>67.13</v>
      </c>
      <c r="D315">
        <f>'raw data Crude oil'!D316</f>
        <v>66.760000000000005</v>
      </c>
      <c r="E315">
        <f>'raw data Crude oil'!E316</f>
        <v>66.37</v>
      </c>
      <c r="F315">
        <f>'raw data Crude oil'!F316</f>
        <v>65.97</v>
      </c>
      <c r="G315">
        <f>'raw data Crude oil'!G316</f>
        <v>65.569999999999993</v>
      </c>
      <c r="H315">
        <f>'raw data Crude oil'!H316</f>
        <v>65.180000000000007</v>
      </c>
      <c r="I315">
        <f>'raw data Crude oil'!I316</f>
        <v>64.790000000000006</v>
      </c>
      <c r="J315">
        <f>'raw data Crude oil'!J316</f>
        <v>64.42</v>
      </c>
      <c r="K315">
        <f>'raw data Crude oil'!K316</f>
        <v>64.09</v>
      </c>
      <c r="L315">
        <f>'raw data Crude oil'!L316</f>
        <v>63.76</v>
      </c>
      <c r="M315">
        <f>'raw data Crude oil'!M316</f>
        <v>63.44</v>
      </c>
      <c r="N315">
        <f>'raw data Crude oil'!N316</f>
        <v>63.4</v>
      </c>
      <c r="O315">
        <f>'raw data Crude oil'!O316</f>
        <v>63.54</v>
      </c>
      <c r="P315">
        <f>'raw data Crude oil'!P316</f>
        <v>63.31</v>
      </c>
      <c r="Q315">
        <f>'raw data Crude oil'!Q316</f>
        <v>62.9</v>
      </c>
      <c r="R315">
        <f>'raw data Crude oil'!R316</f>
        <v>62.38</v>
      </c>
      <c r="S315">
        <f>'raw data Crude oil'!S316</f>
        <v>61.83</v>
      </c>
      <c r="T315">
        <f>'raw data Crude oil'!T316</f>
        <v>61.29</v>
      </c>
      <c r="U315">
        <f>'raw data Crude oil'!U316</f>
        <v>60.79</v>
      </c>
      <c r="V315">
        <f>'raw data Crude oil'!V316</f>
        <v>60.33</v>
      </c>
      <c r="W315">
        <f>'raw data Crude oil'!W316</f>
        <v>59.89</v>
      </c>
      <c r="X315">
        <f>'raw data Crude oil'!X316</f>
        <v>59.43</v>
      </c>
      <c r="Y315">
        <f>'raw data Crude oil'!Y316</f>
        <v>58.99</v>
      </c>
      <c r="Z315">
        <f>'raw data Crude oil'!Z316</f>
        <v>0</v>
      </c>
      <c r="AA315">
        <f>'raw data Crude oil'!AA316</f>
        <v>0</v>
      </c>
      <c r="AB315">
        <f>'raw data Crude oil'!AB316</f>
        <v>0</v>
      </c>
      <c r="AC315">
        <f>'raw data Crude oil'!AC316</f>
        <v>0</v>
      </c>
      <c r="AD315">
        <f>'raw data Crude oil'!AD316</f>
        <v>0</v>
      </c>
      <c r="AE315">
        <f>'raw data Crude oil'!AE316</f>
        <v>0</v>
      </c>
      <c r="AF315">
        <f>'raw data Crude oil'!AF316</f>
        <v>0</v>
      </c>
      <c r="AG315">
        <f>'raw data Crude oil'!AG316</f>
        <v>0</v>
      </c>
      <c r="AH315">
        <f>'raw data Crude oil'!AH316</f>
        <v>0</v>
      </c>
      <c r="AI315">
        <f>'raw data Crude oil'!AI316</f>
        <v>0</v>
      </c>
      <c r="AJ315">
        <f>'raw data Crude oil'!AJ316</f>
        <v>0</v>
      </c>
      <c r="AK315">
        <f>'raw data Crude oil'!AK316</f>
        <v>0</v>
      </c>
    </row>
    <row r="316" spans="1:37" x14ac:dyDescent="0.3">
      <c r="A316" s="18">
        <f>'raw data Crude oil'!A317</f>
        <v>43180</v>
      </c>
      <c r="B316">
        <f>'raw data Crude oil'!B317</f>
        <v>69.47</v>
      </c>
      <c r="C316">
        <f>'raw data Crude oil'!C317</f>
        <v>69.069999999999993</v>
      </c>
      <c r="D316">
        <f>'raw data Crude oil'!D317</f>
        <v>68.64</v>
      </c>
      <c r="E316">
        <f>'raw data Crude oil'!E317</f>
        <v>68.23</v>
      </c>
      <c r="F316">
        <f>'raw data Crude oil'!F317</f>
        <v>67.819999999999993</v>
      </c>
      <c r="G316">
        <f>'raw data Crude oil'!G317</f>
        <v>67.42</v>
      </c>
      <c r="H316">
        <f>'raw data Crude oil'!H317</f>
        <v>67.010000000000005</v>
      </c>
      <c r="I316">
        <f>'raw data Crude oil'!I317</f>
        <v>66.599999999999994</v>
      </c>
      <c r="J316">
        <f>'raw data Crude oil'!J317</f>
        <v>66.22</v>
      </c>
      <c r="K316">
        <f>'raw data Crude oil'!K317</f>
        <v>65.86</v>
      </c>
      <c r="L316">
        <f>'raw data Crude oil'!L317</f>
        <v>65.5</v>
      </c>
      <c r="M316">
        <f>'raw data Crude oil'!M317</f>
        <v>65.150000000000006</v>
      </c>
      <c r="N316">
        <f>'raw data Crude oil'!N317</f>
        <v>65.17</v>
      </c>
      <c r="O316">
        <f>'raw data Crude oil'!O317</f>
        <v>64.95</v>
      </c>
      <c r="P316">
        <f>'raw data Crude oil'!P317</f>
        <v>64.540000000000006</v>
      </c>
      <c r="Q316">
        <f>'raw data Crude oil'!Q317</f>
        <v>64</v>
      </c>
      <c r="R316">
        <f>'raw data Crude oil'!R317</f>
        <v>63.42</v>
      </c>
      <c r="S316">
        <f>'raw data Crude oil'!S317</f>
        <v>62.82</v>
      </c>
      <c r="T316">
        <f>'raw data Crude oil'!T317</f>
        <v>62.28</v>
      </c>
      <c r="U316">
        <f>'raw data Crude oil'!U317</f>
        <v>61.78</v>
      </c>
      <c r="V316">
        <f>'raw data Crude oil'!V317</f>
        <v>61.28</v>
      </c>
      <c r="W316">
        <f>'raw data Crude oil'!W317</f>
        <v>60.77</v>
      </c>
      <c r="X316">
        <f>'raw data Crude oil'!X317</f>
        <v>60.3</v>
      </c>
      <c r="Y316">
        <f>'raw data Crude oil'!Y317</f>
        <v>59.86</v>
      </c>
      <c r="Z316">
        <f>'raw data Crude oil'!Z317</f>
        <v>0</v>
      </c>
      <c r="AA316">
        <f>'raw data Crude oil'!AA317</f>
        <v>0</v>
      </c>
      <c r="AB316">
        <f>'raw data Crude oil'!AB317</f>
        <v>0</v>
      </c>
      <c r="AC316">
        <f>'raw data Crude oil'!AC317</f>
        <v>0</v>
      </c>
      <c r="AD316">
        <f>'raw data Crude oil'!AD317</f>
        <v>0</v>
      </c>
      <c r="AE316">
        <f>'raw data Crude oil'!AE317</f>
        <v>0</v>
      </c>
      <c r="AF316">
        <f>'raw data Crude oil'!AF317</f>
        <v>0</v>
      </c>
      <c r="AG316">
        <f>'raw data Crude oil'!AG317</f>
        <v>0</v>
      </c>
      <c r="AH316">
        <f>'raw data Crude oil'!AH317</f>
        <v>0</v>
      </c>
      <c r="AI316">
        <f>'raw data Crude oil'!AI317</f>
        <v>0</v>
      </c>
      <c r="AJ316">
        <f>'raw data Crude oil'!AJ317</f>
        <v>0</v>
      </c>
      <c r="AK316">
        <f>'raw data Crude oil'!AK317</f>
        <v>0</v>
      </c>
    </row>
    <row r="317" spans="1:37" x14ac:dyDescent="0.3">
      <c r="A317" s="18">
        <f>'raw data Crude oil'!A318</f>
        <v>43181</v>
      </c>
      <c r="B317">
        <f>'raw data Crude oil'!B318</f>
        <v>68.91</v>
      </c>
      <c r="C317">
        <f>'raw data Crude oil'!C318</f>
        <v>68.38</v>
      </c>
      <c r="D317">
        <f>'raw data Crude oil'!D318</f>
        <v>67.95</v>
      </c>
      <c r="E317">
        <f>'raw data Crude oil'!E318</f>
        <v>67.55</v>
      </c>
      <c r="F317">
        <f>'raw data Crude oil'!F318</f>
        <v>67.17</v>
      </c>
      <c r="G317">
        <f>'raw data Crude oil'!G318</f>
        <v>66.790000000000006</v>
      </c>
      <c r="H317">
        <f>'raw data Crude oil'!H318</f>
        <v>66.41</v>
      </c>
      <c r="I317">
        <f>'raw data Crude oil'!I318</f>
        <v>66.010000000000005</v>
      </c>
      <c r="J317">
        <f>'raw data Crude oil'!J318</f>
        <v>65.650000000000006</v>
      </c>
      <c r="K317">
        <f>'raw data Crude oil'!K318</f>
        <v>65.3</v>
      </c>
      <c r="L317">
        <f>'raw data Crude oil'!L318</f>
        <v>64.95</v>
      </c>
      <c r="M317">
        <f>'raw data Crude oil'!M318</f>
        <v>64.61</v>
      </c>
      <c r="N317">
        <f>'raw data Crude oil'!N318</f>
        <v>64.3</v>
      </c>
      <c r="O317">
        <f>'raw data Crude oil'!O318</f>
        <v>64.180000000000007</v>
      </c>
      <c r="P317">
        <f>'raw data Crude oil'!P318</f>
        <v>63.83</v>
      </c>
      <c r="Q317">
        <f>'raw data Crude oil'!Q318</f>
        <v>63.37</v>
      </c>
      <c r="R317">
        <f>'raw data Crude oil'!R318</f>
        <v>62.84</v>
      </c>
      <c r="S317">
        <f>'raw data Crude oil'!S318</f>
        <v>62.3</v>
      </c>
      <c r="T317">
        <f>'raw data Crude oil'!T318</f>
        <v>61.81</v>
      </c>
      <c r="U317">
        <f>'raw data Crude oil'!U318</f>
        <v>61.35</v>
      </c>
      <c r="V317">
        <f>'raw data Crude oil'!V318</f>
        <v>60.88</v>
      </c>
      <c r="W317">
        <f>'raw data Crude oil'!W318</f>
        <v>60.39</v>
      </c>
      <c r="X317">
        <f>'raw data Crude oil'!X318</f>
        <v>59.94</v>
      </c>
      <c r="Y317">
        <f>'raw data Crude oil'!Y318</f>
        <v>59.51</v>
      </c>
      <c r="Z317">
        <f>'raw data Crude oil'!Z318</f>
        <v>0</v>
      </c>
      <c r="AA317">
        <f>'raw data Crude oil'!AA318</f>
        <v>0</v>
      </c>
      <c r="AB317">
        <f>'raw data Crude oil'!AB318</f>
        <v>0</v>
      </c>
      <c r="AC317">
        <f>'raw data Crude oil'!AC318</f>
        <v>0</v>
      </c>
      <c r="AD317">
        <f>'raw data Crude oil'!AD318</f>
        <v>0</v>
      </c>
      <c r="AE317">
        <f>'raw data Crude oil'!AE318</f>
        <v>0</v>
      </c>
      <c r="AF317">
        <f>'raw data Crude oil'!AF318</f>
        <v>0</v>
      </c>
      <c r="AG317">
        <f>'raw data Crude oil'!AG318</f>
        <v>0</v>
      </c>
      <c r="AH317">
        <f>'raw data Crude oil'!AH318</f>
        <v>0</v>
      </c>
      <c r="AI317">
        <f>'raw data Crude oil'!AI318</f>
        <v>0</v>
      </c>
      <c r="AJ317">
        <f>'raw data Crude oil'!AJ318</f>
        <v>0</v>
      </c>
      <c r="AK317">
        <f>'raw data Crude oil'!AK318</f>
        <v>0</v>
      </c>
    </row>
    <row r="318" spans="1:37" x14ac:dyDescent="0.3">
      <c r="A318" s="18">
        <f>'raw data Crude oil'!A319</f>
        <v>43182</v>
      </c>
      <c r="B318">
        <f>'raw data Crude oil'!B319</f>
        <v>70.45</v>
      </c>
      <c r="C318">
        <f>'raw data Crude oil'!C319</f>
        <v>69.81</v>
      </c>
      <c r="D318">
        <f>'raw data Crude oil'!D319</f>
        <v>69.349999999999994</v>
      </c>
      <c r="E318">
        <f>'raw data Crude oil'!E319</f>
        <v>68.900000000000006</v>
      </c>
      <c r="F318">
        <f>'raw data Crude oil'!F319</f>
        <v>68.459999999999994</v>
      </c>
      <c r="G318">
        <f>'raw data Crude oil'!G319</f>
        <v>68.040000000000006</v>
      </c>
      <c r="H318">
        <f>'raw data Crude oil'!H319</f>
        <v>67.62</v>
      </c>
      <c r="I318">
        <f>'raw data Crude oil'!I319</f>
        <v>67.180000000000007</v>
      </c>
      <c r="J318">
        <f>'raw data Crude oil'!J319</f>
        <v>66.78</v>
      </c>
      <c r="K318">
        <f>'raw data Crude oil'!K319</f>
        <v>66.41</v>
      </c>
      <c r="L318">
        <f>'raw data Crude oil'!L319</f>
        <v>66.03</v>
      </c>
      <c r="M318">
        <f>'raw data Crude oil'!M319</f>
        <v>65.66</v>
      </c>
      <c r="N318">
        <f>'raw data Crude oil'!N319</f>
        <v>65.88</v>
      </c>
      <c r="O318">
        <f>'raw data Crude oil'!O319</f>
        <v>65.709999999999994</v>
      </c>
      <c r="P318">
        <f>'raw data Crude oil'!P319</f>
        <v>65.290000000000006</v>
      </c>
      <c r="Q318">
        <f>'raw data Crude oil'!Q319</f>
        <v>64.739999999999995</v>
      </c>
      <c r="R318">
        <f>'raw data Crude oil'!R319</f>
        <v>64.16</v>
      </c>
      <c r="S318">
        <f>'raw data Crude oil'!S319</f>
        <v>63.56</v>
      </c>
      <c r="T318">
        <f>'raw data Crude oil'!T319</f>
        <v>63.01</v>
      </c>
      <c r="U318">
        <f>'raw data Crude oil'!U319</f>
        <v>62.51</v>
      </c>
      <c r="V318">
        <f>'raw data Crude oil'!V319</f>
        <v>61.99</v>
      </c>
      <c r="W318">
        <f>'raw data Crude oil'!W319</f>
        <v>61.46</v>
      </c>
      <c r="X318">
        <f>'raw data Crude oil'!X319</f>
        <v>60.96</v>
      </c>
      <c r="Y318">
        <f>'raw data Crude oil'!Y319</f>
        <v>60.5</v>
      </c>
      <c r="Z318">
        <f>'raw data Crude oil'!Z319</f>
        <v>0</v>
      </c>
      <c r="AA318">
        <f>'raw data Crude oil'!AA319</f>
        <v>0</v>
      </c>
      <c r="AB318">
        <f>'raw data Crude oil'!AB319</f>
        <v>0</v>
      </c>
      <c r="AC318">
        <f>'raw data Crude oil'!AC319</f>
        <v>0</v>
      </c>
      <c r="AD318">
        <f>'raw data Crude oil'!AD319</f>
        <v>0</v>
      </c>
      <c r="AE318">
        <f>'raw data Crude oil'!AE319</f>
        <v>0</v>
      </c>
      <c r="AF318">
        <f>'raw data Crude oil'!AF319</f>
        <v>0</v>
      </c>
      <c r="AG318">
        <f>'raw data Crude oil'!AG319</f>
        <v>0</v>
      </c>
      <c r="AH318">
        <f>'raw data Crude oil'!AH319</f>
        <v>0</v>
      </c>
      <c r="AI318">
        <f>'raw data Crude oil'!AI319</f>
        <v>0</v>
      </c>
      <c r="AJ318">
        <f>'raw data Crude oil'!AJ319</f>
        <v>0</v>
      </c>
      <c r="AK318">
        <f>'raw data Crude oil'!AK319</f>
        <v>0</v>
      </c>
    </row>
    <row r="319" spans="1:37" x14ac:dyDescent="0.3">
      <c r="A319" s="18">
        <f>'raw data Crude oil'!A320</f>
        <v>43185</v>
      </c>
      <c r="B319">
        <f>'raw data Crude oil'!B320</f>
        <v>70.12</v>
      </c>
      <c r="C319">
        <f>'raw data Crude oil'!C320</f>
        <v>69.52</v>
      </c>
      <c r="D319">
        <f>'raw data Crude oil'!D320</f>
        <v>69.069999999999993</v>
      </c>
      <c r="E319">
        <f>'raw data Crude oil'!E320</f>
        <v>68.599999999999994</v>
      </c>
      <c r="F319">
        <f>'raw data Crude oil'!F320</f>
        <v>68.14</v>
      </c>
      <c r="G319">
        <f>'raw data Crude oil'!G320</f>
        <v>67.72</v>
      </c>
      <c r="H319">
        <f>'raw data Crude oil'!H320</f>
        <v>67.3</v>
      </c>
      <c r="I319">
        <f>'raw data Crude oil'!I320</f>
        <v>66.87</v>
      </c>
      <c r="J319">
        <f>'raw data Crude oil'!J320</f>
        <v>66.47</v>
      </c>
      <c r="K319">
        <f>'raw data Crude oil'!K320</f>
        <v>66.099999999999994</v>
      </c>
      <c r="L319">
        <f>'raw data Crude oil'!L320</f>
        <v>65.73</v>
      </c>
      <c r="M319">
        <f>'raw data Crude oil'!M320</f>
        <v>65.38</v>
      </c>
      <c r="N319">
        <f>'raw data Crude oil'!N320</f>
        <v>65.55</v>
      </c>
      <c r="O319">
        <f>'raw data Crude oil'!O320</f>
        <v>65.41</v>
      </c>
      <c r="P319">
        <f>'raw data Crude oil'!P320</f>
        <v>65.03</v>
      </c>
      <c r="Q319">
        <f>'raw data Crude oil'!Q320</f>
        <v>64.489999999999995</v>
      </c>
      <c r="R319">
        <f>'raw data Crude oil'!R320</f>
        <v>63.92</v>
      </c>
      <c r="S319">
        <f>'raw data Crude oil'!S320</f>
        <v>63.33</v>
      </c>
      <c r="T319">
        <f>'raw data Crude oil'!T320</f>
        <v>62.79</v>
      </c>
      <c r="U319">
        <f>'raw data Crude oil'!U320</f>
        <v>62.28</v>
      </c>
      <c r="V319">
        <f>'raw data Crude oil'!V320</f>
        <v>61.77</v>
      </c>
      <c r="W319">
        <f>'raw data Crude oil'!W320</f>
        <v>61.24</v>
      </c>
      <c r="X319">
        <f>'raw data Crude oil'!X320</f>
        <v>60.76</v>
      </c>
      <c r="Y319">
        <f>'raw data Crude oil'!Y320</f>
        <v>60.3</v>
      </c>
      <c r="Z319">
        <f>'raw data Crude oil'!Z320</f>
        <v>0</v>
      </c>
      <c r="AA319">
        <f>'raw data Crude oil'!AA320</f>
        <v>0</v>
      </c>
      <c r="AB319">
        <f>'raw data Crude oil'!AB320</f>
        <v>0</v>
      </c>
      <c r="AC319">
        <f>'raw data Crude oil'!AC320</f>
        <v>0</v>
      </c>
      <c r="AD319">
        <f>'raw data Crude oil'!AD320</f>
        <v>0</v>
      </c>
      <c r="AE319">
        <f>'raw data Crude oil'!AE320</f>
        <v>0</v>
      </c>
      <c r="AF319">
        <f>'raw data Crude oil'!AF320</f>
        <v>0</v>
      </c>
      <c r="AG319">
        <f>'raw data Crude oil'!AG320</f>
        <v>0</v>
      </c>
      <c r="AH319">
        <f>'raw data Crude oil'!AH320</f>
        <v>0</v>
      </c>
      <c r="AI319">
        <f>'raw data Crude oil'!AI320</f>
        <v>0</v>
      </c>
      <c r="AJ319">
        <f>'raw data Crude oil'!AJ320</f>
        <v>0</v>
      </c>
      <c r="AK319">
        <f>'raw data Crude oil'!AK320</f>
        <v>0</v>
      </c>
    </row>
    <row r="320" spans="1:37" x14ac:dyDescent="0.3">
      <c r="A320" s="18">
        <f>'raw data Crude oil'!A321</f>
        <v>43186</v>
      </c>
      <c r="B320">
        <f>'raw data Crude oil'!B321</f>
        <v>70.11</v>
      </c>
      <c r="C320">
        <f>'raw data Crude oil'!C321</f>
        <v>69.459999999999994</v>
      </c>
      <c r="D320">
        <f>'raw data Crude oil'!D321</f>
        <v>69.02</v>
      </c>
      <c r="E320">
        <f>'raw data Crude oil'!E321</f>
        <v>68.56</v>
      </c>
      <c r="F320">
        <f>'raw data Crude oil'!F321</f>
        <v>68.13</v>
      </c>
      <c r="G320">
        <f>'raw data Crude oil'!G321</f>
        <v>67.73</v>
      </c>
      <c r="H320">
        <f>'raw data Crude oil'!H321</f>
        <v>67.34</v>
      </c>
      <c r="I320">
        <f>'raw data Crude oil'!I321</f>
        <v>66.94</v>
      </c>
      <c r="J320">
        <f>'raw data Crude oil'!J321</f>
        <v>66.56</v>
      </c>
      <c r="K320">
        <f>'raw data Crude oil'!K321</f>
        <v>66.209999999999994</v>
      </c>
      <c r="L320">
        <f>'raw data Crude oil'!L321</f>
        <v>65.849999999999994</v>
      </c>
      <c r="M320">
        <f>'raw data Crude oil'!M321</f>
        <v>65.5</v>
      </c>
      <c r="N320">
        <f>'raw data Crude oil'!N321</f>
        <v>65.25</v>
      </c>
      <c r="O320">
        <f>'raw data Crude oil'!O321</f>
        <v>65.180000000000007</v>
      </c>
      <c r="P320">
        <f>'raw data Crude oil'!P321</f>
        <v>64.86</v>
      </c>
      <c r="Q320">
        <f>'raw data Crude oil'!Q321</f>
        <v>64.36</v>
      </c>
      <c r="R320">
        <f>'raw data Crude oil'!R321</f>
        <v>63.83</v>
      </c>
      <c r="S320">
        <f>'raw data Crude oil'!S321</f>
        <v>63.3</v>
      </c>
      <c r="T320">
        <f>'raw data Crude oil'!T321</f>
        <v>62.78</v>
      </c>
      <c r="U320">
        <f>'raw data Crude oil'!U321</f>
        <v>62.29</v>
      </c>
      <c r="V320">
        <f>'raw data Crude oil'!V321</f>
        <v>61.81</v>
      </c>
      <c r="W320">
        <f>'raw data Crude oil'!W321</f>
        <v>61.31</v>
      </c>
      <c r="X320">
        <f>'raw data Crude oil'!X321</f>
        <v>60.84</v>
      </c>
      <c r="Y320">
        <f>'raw data Crude oil'!Y321</f>
        <v>60.41</v>
      </c>
      <c r="Z320">
        <f>'raw data Crude oil'!Z321</f>
        <v>0</v>
      </c>
      <c r="AA320">
        <f>'raw data Crude oil'!AA321</f>
        <v>0</v>
      </c>
      <c r="AB320">
        <f>'raw data Crude oil'!AB321</f>
        <v>0</v>
      </c>
      <c r="AC320">
        <f>'raw data Crude oil'!AC321</f>
        <v>0</v>
      </c>
      <c r="AD320">
        <f>'raw data Crude oil'!AD321</f>
        <v>0</v>
      </c>
      <c r="AE320">
        <f>'raw data Crude oil'!AE321</f>
        <v>0</v>
      </c>
      <c r="AF320">
        <f>'raw data Crude oil'!AF321</f>
        <v>0</v>
      </c>
      <c r="AG320">
        <f>'raw data Crude oil'!AG321</f>
        <v>0</v>
      </c>
      <c r="AH320">
        <f>'raw data Crude oil'!AH321</f>
        <v>0</v>
      </c>
      <c r="AI320">
        <f>'raw data Crude oil'!AI321</f>
        <v>0</v>
      </c>
      <c r="AJ320">
        <f>'raw data Crude oil'!AJ321</f>
        <v>0</v>
      </c>
      <c r="AK320">
        <f>'raw data Crude oil'!AK321</f>
        <v>0</v>
      </c>
    </row>
    <row r="321" spans="1:37" x14ac:dyDescent="0.3">
      <c r="A321" s="18">
        <f>'raw data Crude oil'!A322</f>
        <v>43187</v>
      </c>
      <c r="B321">
        <f>'raw data Crude oil'!B322</f>
        <v>69.53</v>
      </c>
      <c r="C321">
        <f>'raw data Crude oil'!C322</f>
        <v>68.760000000000005</v>
      </c>
      <c r="D321">
        <f>'raw data Crude oil'!D322</f>
        <v>68.319999999999993</v>
      </c>
      <c r="E321">
        <f>'raw data Crude oil'!E322</f>
        <v>67.87</v>
      </c>
      <c r="F321">
        <f>'raw data Crude oil'!F322</f>
        <v>67.45</v>
      </c>
      <c r="G321">
        <f>'raw data Crude oil'!G322</f>
        <v>67.05</v>
      </c>
      <c r="H321">
        <f>'raw data Crude oil'!H322</f>
        <v>66.67</v>
      </c>
      <c r="I321">
        <f>'raw data Crude oil'!I322</f>
        <v>66.28</v>
      </c>
      <c r="J321">
        <f>'raw data Crude oil'!J322</f>
        <v>65.91</v>
      </c>
      <c r="K321">
        <f>'raw data Crude oil'!K322</f>
        <v>65.569999999999993</v>
      </c>
      <c r="L321">
        <f>'raw data Crude oil'!L322</f>
        <v>65.23</v>
      </c>
      <c r="M321">
        <f>'raw data Crude oil'!M322</f>
        <v>64.89</v>
      </c>
      <c r="N321">
        <f>'raw data Crude oil'!N322</f>
        <v>64.38</v>
      </c>
      <c r="O321">
        <f>'raw data Crude oil'!O322</f>
        <v>64.349999999999994</v>
      </c>
      <c r="P321">
        <f>'raw data Crude oil'!P322</f>
        <v>64.06</v>
      </c>
      <c r="Q321">
        <f>'raw data Crude oil'!Q322</f>
        <v>63.59</v>
      </c>
      <c r="R321">
        <f>'raw data Crude oil'!R322</f>
        <v>63.07</v>
      </c>
      <c r="S321">
        <f>'raw data Crude oil'!S322</f>
        <v>62.54</v>
      </c>
      <c r="T321">
        <f>'raw data Crude oil'!T322</f>
        <v>62.05</v>
      </c>
      <c r="U321">
        <f>'raw data Crude oil'!U322</f>
        <v>61.59</v>
      </c>
      <c r="V321">
        <f>'raw data Crude oil'!V322</f>
        <v>61.12</v>
      </c>
      <c r="W321">
        <f>'raw data Crude oil'!W322</f>
        <v>60.65</v>
      </c>
      <c r="X321">
        <f>'raw data Crude oil'!X322</f>
        <v>60.21</v>
      </c>
      <c r="Y321">
        <f>'raw data Crude oil'!Y322</f>
        <v>59.8</v>
      </c>
      <c r="Z321">
        <f>'raw data Crude oil'!Z322</f>
        <v>0</v>
      </c>
      <c r="AA321">
        <f>'raw data Crude oil'!AA322</f>
        <v>0</v>
      </c>
      <c r="AB321">
        <f>'raw data Crude oil'!AB322</f>
        <v>0</v>
      </c>
      <c r="AC321">
        <f>'raw data Crude oil'!AC322</f>
        <v>0</v>
      </c>
      <c r="AD321">
        <f>'raw data Crude oil'!AD322</f>
        <v>0</v>
      </c>
      <c r="AE321">
        <f>'raw data Crude oil'!AE322</f>
        <v>0</v>
      </c>
      <c r="AF321">
        <f>'raw data Crude oil'!AF322</f>
        <v>0</v>
      </c>
      <c r="AG321">
        <f>'raw data Crude oil'!AG322</f>
        <v>0</v>
      </c>
      <c r="AH321">
        <f>'raw data Crude oil'!AH322</f>
        <v>0</v>
      </c>
      <c r="AI321">
        <f>'raw data Crude oil'!AI322</f>
        <v>0</v>
      </c>
      <c r="AJ321">
        <f>'raw data Crude oil'!AJ322</f>
        <v>0</v>
      </c>
      <c r="AK321">
        <f>'raw data Crude oil'!AK322</f>
        <v>0</v>
      </c>
    </row>
    <row r="322" spans="1:37" x14ac:dyDescent="0.3">
      <c r="A322" s="18">
        <f>'raw data Crude oil'!A323</f>
        <v>43188</v>
      </c>
      <c r="B322">
        <f>'raw data Crude oil'!B323</f>
        <v>70.27</v>
      </c>
      <c r="C322">
        <f>'raw data Crude oil'!C323</f>
        <v>69.34</v>
      </c>
      <c r="D322">
        <f>'raw data Crude oil'!D323</f>
        <v>68.849999999999994</v>
      </c>
      <c r="E322">
        <f>'raw data Crude oil'!E323</f>
        <v>68.36</v>
      </c>
      <c r="F322">
        <f>'raw data Crude oil'!F323</f>
        <v>67.91</v>
      </c>
      <c r="G322">
        <f>'raw data Crude oil'!G323</f>
        <v>67.489999999999995</v>
      </c>
      <c r="H322">
        <f>'raw data Crude oil'!H323</f>
        <v>67.09</v>
      </c>
      <c r="I322">
        <f>'raw data Crude oil'!I323</f>
        <v>66.680000000000007</v>
      </c>
      <c r="J322">
        <f>'raw data Crude oil'!J323</f>
        <v>66.290000000000006</v>
      </c>
      <c r="K322">
        <f>'raw data Crude oil'!K323</f>
        <v>65.94</v>
      </c>
      <c r="L322">
        <f>'raw data Crude oil'!L323</f>
        <v>65.58</v>
      </c>
      <c r="M322">
        <f>'raw data Crude oil'!M323</f>
        <v>65.22</v>
      </c>
      <c r="N322">
        <f>'raw data Crude oil'!N323</f>
        <v>64.94</v>
      </c>
      <c r="O322">
        <f>'raw data Crude oil'!O323</f>
        <v>64.87</v>
      </c>
      <c r="P322">
        <f>'raw data Crude oil'!P323</f>
        <v>64.540000000000006</v>
      </c>
      <c r="Q322">
        <f>'raw data Crude oil'!Q323</f>
        <v>64.040000000000006</v>
      </c>
      <c r="R322">
        <f>'raw data Crude oil'!R323</f>
        <v>63.48</v>
      </c>
      <c r="S322">
        <f>'raw data Crude oil'!S323</f>
        <v>62.92</v>
      </c>
      <c r="T322">
        <f>'raw data Crude oil'!T323</f>
        <v>62.4</v>
      </c>
      <c r="U322">
        <f>'raw data Crude oil'!U323</f>
        <v>61.91</v>
      </c>
      <c r="V322">
        <f>'raw data Crude oil'!V323</f>
        <v>61.43</v>
      </c>
      <c r="W322">
        <f>'raw data Crude oil'!W323</f>
        <v>60.94</v>
      </c>
      <c r="X322">
        <f>'raw data Crude oil'!X323</f>
        <v>60.48</v>
      </c>
      <c r="Y322">
        <f>'raw data Crude oil'!Y323</f>
        <v>60.06</v>
      </c>
      <c r="Z322">
        <f>'raw data Crude oil'!Z323</f>
        <v>0</v>
      </c>
      <c r="AA322">
        <f>'raw data Crude oil'!AA323</f>
        <v>0</v>
      </c>
      <c r="AB322">
        <f>'raw data Crude oil'!AB323</f>
        <v>0</v>
      </c>
      <c r="AC322">
        <f>'raw data Crude oil'!AC323</f>
        <v>0</v>
      </c>
      <c r="AD322">
        <f>'raw data Crude oil'!AD323</f>
        <v>0</v>
      </c>
      <c r="AE322">
        <f>'raw data Crude oil'!AE323</f>
        <v>0</v>
      </c>
      <c r="AF322">
        <f>'raw data Crude oil'!AF323</f>
        <v>0</v>
      </c>
      <c r="AG322">
        <f>'raw data Crude oil'!AG323</f>
        <v>0</v>
      </c>
      <c r="AH322">
        <f>'raw data Crude oil'!AH323</f>
        <v>0</v>
      </c>
      <c r="AI322">
        <f>'raw data Crude oil'!AI323</f>
        <v>0</v>
      </c>
      <c r="AJ322">
        <f>'raw data Crude oil'!AJ323</f>
        <v>0</v>
      </c>
      <c r="AK322">
        <f>'raw data Crude oil'!AK323</f>
        <v>0</v>
      </c>
    </row>
    <row r="323" spans="1:37" x14ac:dyDescent="0.3">
      <c r="A323" s="18">
        <f>'raw data Crude oil'!A324</f>
        <v>43192</v>
      </c>
      <c r="B323">
        <f>'raw data Crude oil'!B324</f>
        <v>67.64</v>
      </c>
      <c r="C323">
        <f>'raw data Crude oil'!C324</f>
        <v>67.180000000000007</v>
      </c>
      <c r="D323">
        <f>'raw data Crude oil'!D324</f>
        <v>66.7</v>
      </c>
      <c r="E323">
        <f>'raw data Crude oil'!E324</f>
        <v>66.23</v>
      </c>
      <c r="F323">
        <f>'raw data Crude oil'!F324</f>
        <v>65.81</v>
      </c>
      <c r="G323">
        <f>'raw data Crude oil'!G324</f>
        <v>65.44</v>
      </c>
      <c r="H323">
        <f>'raw data Crude oil'!H324</f>
        <v>65.06</v>
      </c>
      <c r="I323">
        <f>'raw data Crude oil'!I324</f>
        <v>64.69</v>
      </c>
      <c r="J323">
        <f>'raw data Crude oil'!J324</f>
        <v>64.36</v>
      </c>
      <c r="K323">
        <f>'raw data Crude oil'!K324</f>
        <v>64.02</v>
      </c>
      <c r="L323">
        <f>'raw data Crude oil'!L324</f>
        <v>63.69</v>
      </c>
      <c r="M323">
        <f>'raw data Crude oil'!M324</f>
        <v>63.36</v>
      </c>
      <c r="N323">
        <f>'raw data Crude oil'!N324</f>
        <v>63.01</v>
      </c>
      <c r="O323">
        <f>'raw data Crude oil'!O324</f>
        <v>62.99</v>
      </c>
      <c r="P323">
        <f>'raw data Crude oil'!P324</f>
        <v>62.72</v>
      </c>
      <c r="Q323">
        <f>'raw data Crude oil'!Q324</f>
        <v>62.26</v>
      </c>
      <c r="R323">
        <f>'raw data Crude oil'!R324</f>
        <v>61.75</v>
      </c>
      <c r="S323">
        <f>'raw data Crude oil'!S324</f>
        <v>61.24</v>
      </c>
      <c r="T323">
        <f>'raw data Crude oil'!T324</f>
        <v>60.77</v>
      </c>
      <c r="U323">
        <f>'raw data Crude oil'!U324</f>
        <v>60.33</v>
      </c>
      <c r="V323">
        <f>'raw data Crude oil'!V324</f>
        <v>59.9</v>
      </c>
      <c r="W323">
        <f>'raw data Crude oil'!W324</f>
        <v>59.45</v>
      </c>
      <c r="X323">
        <f>'raw data Crude oil'!X324</f>
        <v>59.03</v>
      </c>
      <c r="Y323">
        <f>'raw data Crude oil'!Y324</f>
        <v>58.64</v>
      </c>
      <c r="Z323">
        <f>'raw data Crude oil'!Z324</f>
        <v>0</v>
      </c>
      <c r="AA323">
        <f>'raw data Crude oil'!AA324</f>
        <v>0</v>
      </c>
      <c r="AB323">
        <f>'raw data Crude oil'!AB324</f>
        <v>0</v>
      </c>
      <c r="AC323">
        <f>'raw data Crude oil'!AC324</f>
        <v>0</v>
      </c>
      <c r="AD323">
        <f>'raw data Crude oil'!AD324</f>
        <v>0</v>
      </c>
      <c r="AE323">
        <f>'raw data Crude oil'!AE324</f>
        <v>0</v>
      </c>
      <c r="AF323">
        <f>'raw data Crude oil'!AF324</f>
        <v>0</v>
      </c>
      <c r="AG323">
        <f>'raw data Crude oil'!AG324</f>
        <v>0</v>
      </c>
      <c r="AH323">
        <f>'raw data Crude oil'!AH324</f>
        <v>0</v>
      </c>
      <c r="AI323">
        <f>'raw data Crude oil'!AI324</f>
        <v>0</v>
      </c>
      <c r="AJ323">
        <f>'raw data Crude oil'!AJ324</f>
        <v>0</v>
      </c>
      <c r="AK323">
        <f>'raw data Crude oil'!AK324</f>
        <v>0</v>
      </c>
    </row>
    <row r="324" spans="1:37" x14ac:dyDescent="0.3">
      <c r="A324" s="18">
        <f>'raw data Crude oil'!A325</f>
        <v>43193</v>
      </c>
      <c r="B324">
        <f>'raw data Crude oil'!B325</f>
        <v>68.12</v>
      </c>
      <c r="C324">
        <f>'raw data Crude oil'!C325</f>
        <v>67.67</v>
      </c>
      <c r="D324">
        <f>'raw data Crude oil'!D325</f>
        <v>67.209999999999994</v>
      </c>
      <c r="E324">
        <f>'raw data Crude oil'!E325</f>
        <v>66.77</v>
      </c>
      <c r="F324">
        <f>'raw data Crude oil'!F325</f>
        <v>66.38</v>
      </c>
      <c r="G324">
        <f>'raw data Crude oil'!G325</f>
        <v>66.010000000000005</v>
      </c>
      <c r="H324">
        <f>'raw data Crude oil'!H325</f>
        <v>65.650000000000006</v>
      </c>
      <c r="I324">
        <f>'raw data Crude oil'!I325</f>
        <v>65.3</v>
      </c>
      <c r="J324">
        <f>'raw data Crude oil'!J325</f>
        <v>64.98</v>
      </c>
      <c r="K324">
        <f>'raw data Crude oil'!K325</f>
        <v>64.650000000000006</v>
      </c>
      <c r="L324">
        <f>'raw data Crude oil'!L325</f>
        <v>64.319999999999993</v>
      </c>
      <c r="M324">
        <f>'raw data Crude oil'!M325</f>
        <v>64</v>
      </c>
      <c r="N324">
        <f>'raw data Crude oil'!N325</f>
        <v>63.51</v>
      </c>
      <c r="O324">
        <f>'raw data Crude oil'!O325</f>
        <v>63.46</v>
      </c>
      <c r="P324">
        <f>'raw data Crude oil'!P325</f>
        <v>63.21</v>
      </c>
      <c r="Q324">
        <f>'raw data Crude oil'!Q325</f>
        <v>62.77</v>
      </c>
      <c r="R324">
        <f>'raw data Crude oil'!R325</f>
        <v>62.28</v>
      </c>
      <c r="S324">
        <f>'raw data Crude oil'!S325</f>
        <v>61.78</v>
      </c>
      <c r="T324">
        <f>'raw data Crude oil'!T325</f>
        <v>61.33</v>
      </c>
      <c r="U324">
        <f>'raw data Crude oil'!U325</f>
        <v>60.9</v>
      </c>
      <c r="V324">
        <f>'raw data Crude oil'!V325</f>
        <v>60.48</v>
      </c>
      <c r="W324">
        <f>'raw data Crude oil'!W325</f>
        <v>60.03</v>
      </c>
      <c r="X324">
        <f>'raw data Crude oil'!X325</f>
        <v>59.63</v>
      </c>
      <c r="Y324">
        <f>'raw data Crude oil'!Y325</f>
        <v>59.23</v>
      </c>
      <c r="Z324">
        <f>'raw data Crude oil'!Z325</f>
        <v>0</v>
      </c>
      <c r="AA324">
        <f>'raw data Crude oil'!AA325</f>
        <v>0</v>
      </c>
      <c r="AB324">
        <f>'raw data Crude oil'!AB325</f>
        <v>0</v>
      </c>
      <c r="AC324">
        <f>'raw data Crude oil'!AC325</f>
        <v>0</v>
      </c>
      <c r="AD324">
        <f>'raw data Crude oil'!AD325</f>
        <v>0</v>
      </c>
      <c r="AE324">
        <f>'raw data Crude oil'!AE325</f>
        <v>0</v>
      </c>
      <c r="AF324">
        <f>'raw data Crude oil'!AF325</f>
        <v>0</v>
      </c>
      <c r="AG324">
        <f>'raw data Crude oil'!AG325</f>
        <v>0</v>
      </c>
      <c r="AH324">
        <f>'raw data Crude oil'!AH325</f>
        <v>0</v>
      </c>
      <c r="AI324">
        <f>'raw data Crude oil'!AI325</f>
        <v>0</v>
      </c>
      <c r="AJ324">
        <f>'raw data Crude oil'!AJ325</f>
        <v>0</v>
      </c>
      <c r="AK324">
        <f>'raw data Crude oil'!AK325</f>
        <v>0</v>
      </c>
    </row>
    <row r="325" spans="1:37" x14ac:dyDescent="0.3">
      <c r="A325" s="18">
        <f>'raw data Crude oil'!A326</f>
        <v>43194</v>
      </c>
      <c r="B325">
        <f>'raw data Crude oil'!B326</f>
        <v>68.02</v>
      </c>
      <c r="C325">
        <f>'raw data Crude oil'!C326</f>
        <v>67.55</v>
      </c>
      <c r="D325">
        <f>'raw data Crude oil'!D326</f>
        <v>67.08</v>
      </c>
      <c r="E325">
        <f>'raw data Crude oil'!E326</f>
        <v>66.650000000000006</v>
      </c>
      <c r="F325">
        <f>'raw data Crude oil'!F326</f>
        <v>66.27</v>
      </c>
      <c r="G325">
        <f>'raw data Crude oil'!G326</f>
        <v>65.91</v>
      </c>
      <c r="H325">
        <f>'raw data Crude oil'!H326</f>
        <v>65.56</v>
      </c>
      <c r="I325">
        <f>'raw data Crude oil'!I326</f>
        <v>65.22</v>
      </c>
      <c r="J325">
        <f>'raw data Crude oil'!J326</f>
        <v>64.91</v>
      </c>
      <c r="K325">
        <f>'raw data Crude oil'!K326</f>
        <v>64.59</v>
      </c>
      <c r="L325">
        <f>'raw data Crude oil'!L326</f>
        <v>64.27</v>
      </c>
      <c r="M325">
        <f>'raw data Crude oil'!M326</f>
        <v>63.96</v>
      </c>
      <c r="N325">
        <f>'raw data Crude oil'!N326</f>
        <v>63.37</v>
      </c>
      <c r="O325">
        <f>'raw data Crude oil'!O326</f>
        <v>63.33</v>
      </c>
      <c r="P325">
        <f>'raw data Crude oil'!P326</f>
        <v>63.1</v>
      </c>
      <c r="Q325">
        <f>'raw data Crude oil'!Q326</f>
        <v>62.69</v>
      </c>
      <c r="R325">
        <f>'raw data Crude oil'!R326</f>
        <v>62.22</v>
      </c>
      <c r="S325">
        <f>'raw data Crude oil'!S326</f>
        <v>61.74</v>
      </c>
      <c r="T325">
        <f>'raw data Crude oil'!T326</f>
        <v>61.29</v>
      </c>
      <c r="U325">
        <f>'raw data Crude oil'!U326</f>
        <v>60.87</v>
      </c>
      <c r="V325">
        <f>'raw data Crude oil'!V326</f>
        <v>60.46</v>
      </c>
      <c r="W325">
        <f>'raw data Crude oil'!W326</f>
        <v>60.04</v>
      </c>
      <c r="X325">
        <f>'raw data Crude oil'!X326</f>
        <v>59.65</v>
      </c>
      <c r="Y325">
        <f>'raw data Crude oil'!Y326</f>
        <v>59.27</v>
      </c>
      <c r="Z325">
        <f>'raw data Crude oil'!Z326</f>
        <v>0</v>
      </c>
      <c r="AA325">
        <f>'raw data Crude oil'!AA326</f>
        <v>0</v>
      </c>
      <c r="AB325">
        <f>'raw data Crude oil'!AB326</f>
        <v>0</v>
      </c>
      <c r="AC325">
        <f>'raw data Crude oil'!AC326</f>
        <v>0</v>
      </c>
      <c r="AD325">
        <f>'raw data Crude oil'!AD326</f>
        <v>0</v>
      </c>
      <c r="AE325">
        <f>'raw data Crude oil'!AE326</f>
        <v>0</v>
      </c>
      <c r="AF325">
        <f>'raw data Crude oil'!AF326</f>
        <v>0</v>
      </c>
      <c r="AG325">
        <f>'raw data Crude oil'!AG326</f>
        <v>0</v>
      </c>
      <c r="AH325">
        <f>'raw data Crude oil'!AH326</f>
        <v>0</v>
      </c>
      <c r="AI325">
        <f>'raw data Crude oil'!AI326</f>
        <v>0</v>
      </c>
      <c r="AJ325">
        <f>'raw data Crude oil'!AJ326</f>
        <v>0</v>
      </c>
      <c r="AK325">
        <f>'raw data Crude oil'!AK326</f>
        <v>0</v>
      </c>
    </row>
    <row r="326" spans="1:37" x14ac:dyDescent="0.3">
      <c r="A326" s="18">
        <f>'raw data Crude oil'!A327</f>
        <v>43195</v>
      </c>
      <c r="B326">
        <f>'raw data Crude oil'!B327</f>
        <v>68.33</v>
      </c>
      <c r="C326">
        <f>'raw data Crude oil'!C327</f>
        <v>67.900000000000006</v>
      </c>
      <c r="D326">
        <f>'raw data Crude oil'!D327</f>
        <v>67.45</v>
      </c>
      <c r="E326">
        <f>'raw data Crude oil'!E327</f>
        <v>67.03</v>
      </c>
      <c r="F326">
        <f>'raw data Crude oil'!F327</f>
        <v>66.650000000000006</v>
      </c>
      <c r="G326">
        <f>'raw data Crude oil'!G327</f>
        <v>66.3</v>
      </c>
      <c r="H326">
        <f>'raw data Crude oil'!H327</f>
        <v>65.95</v>
      </c>
      <c r="I326">
        <f>'raw data Crude oil'!I327</f>
        <v>65.62</v>
      </c>
      <c r="J326">
        <f>'raw data Crude oil'!J327</f>
        <v>65.31</v>
      </c>
      <c r="K326">
        <f>'raw data Crude oil'!K327</f>
        <v>64.989999999999995</v>
      </c>
      <c r="L326">
        <f>'raw data Crude oil'!L327</f>
        <v>64.67</v>
      </c>
      <c r="M326">
        <f>'raw data Crude oil'!M327</f>
        <v>64.36</v>
      </c>
      <c r="N326">
        <f>'raw data Crude oil'!N327</f>
        <v>63.54</v>
      </c>
      <c r="O326">
        <f>'raw data Crude oil'!O327</f>
        <v>63.54</v>
      </c>
      <c r="P326">
        <f>'raw data Crude oil'!P327</f>
        <v>63.34</v>
      </c>
      <c r="Q326">
        <f>'raw data Crude oil'!Q327</f>
        <v>62.98</v>
      </c>
      <c r="R326">
        <f>'raw data Crude oil'!R327</f>
        <v>62.56</v>
      </c>
      <c r="S326">
        <f>'raw data Crude oil'!S327</f>
        <v>62.12</v>
      </c>
      <c r="T326">
        <f>'raw data Crude oil'!T327</f>
        <v>61.69</v>
      </c>
      <c r="U326">
        <f>'raw data Crude oil'!U327</f>
        <v>61.29</v>
      </c>
      <c r="V326">
        <f>'raw data Crude oil'!V327</f>
        <v>60.9</v>
      </c>
      <c r="W326">
        <f>'raw data Crude oil'!W327</f>
        <v>60.48</v>
      </c>
      <c r="X326">
        <f>'raw data Crude oil'!X327</f>
        <v>60.08</v>
      </c>
      <c r="Y326">
        <f>'raw data Crude oil'!Y327</f>
        <v>59.69</v>
      </c>
      <c r="Z326">
        <f>'raw data Crude oil'!Z327</f>
        <v>0</v>
      </c>
      <c r="AA326">
        <f>'raw data Crude oil'!AA327</f>
        <v>0</v>
      </c>
      <c r="AB326">
        <f>'raw data Crude oil'!AB327</f>
        <v>0</v>
      </c>
      <c r="AC326">
        <f>'raw data Crude oil'!AC327</f>
        <v>0</v>
      </c>
      <c r="AD326">
        <f>'raw data Crude oil'!AD327</f>
        <v>0</v>
      </c>
      <c r="AE326">
        <f>'raw data Crude oil'!AE327</f>
        <v>0</v>
      </c>
      <c r="AF326">
        <f>'raw data Crude oil'!AF327</f>
        <v>0</v>
      </c>
      <c r="AG326">
        <f>'raw data Crude oil'!AG327</f>
        <v>0</v>
      </c>
      <c r="AH326">
        <f>'raw data Crude oil'!AH327</f>
        <v>0</v>
      </c>
      <c r="AI326">
        <f>'raw data Crude oil'!AI327</f>
        <v>0</v>
      </c>
      <c r="AJ326">
        <f>'raw data Crude oil'!AJ327</f>
        <v>0</v>
      </c>
      <c r="AK326">
        <f>'raw data Crude oil'!AK327</f>
        <v>0</v>
      </c>
    </row>
    <row r="327" spans="1:37" x14ac:dyDescent="0.3">
      <c r="A327" s="18">
        <f>'raw data Crude oil'!A328</f>
        <v>43196</v>
      </c>
      <c r="B327">
        <f>'raw data Crude oil'!B328</f>
        <v>67.11</v>
      </c>
      <c r="C327">
        <f>'raw data Crude oil'!C328</f>
        <v>66.680000000000007</v>
      </c>
      <c r="D327">
        <f>'raw data Crude oil'!D328</f>
        <v>66.239999999999995</v>
      </c>
      <c r="E327">
        <f>'raw data Crude oil'!E328</f>
        <v>65.819999999999993</v>
      </c>
      <c r="F327">
        <f>'raw data Crude oil'!F328</f>
        <v>65.44</v>
      </c>
      <c r="G327">
        <f>'raw data Crude oil'!G328</f>
        <v>65.09</v>
      </c>
      <c r="H327">
        <f>'raw data Crude oil'!H328</f>
        <v>64.739999999999995</v>
      </c>
      <c r="I327">
        <f>'raw data Crude oil'!I328</f>
        <v>64.42</v>
      </c>
      <c r="J327">
        <f>'raw data Crude oil'!J328</f>
        <v>64.13</v>
      </c>
      <c r="K327">
        <f>'raw data Crude oil'!K328</f>
        <v>63.83</v>
      </c>
      <c r="L327">
        <f>'raw data Crude oil'!L328</f>
        <v>63.54</v>
      </c>
      <c r="M327">
        <f>'raw data Crude oil'!M328</f>
        <v>63.25</v>
      </c>
      <c r="N327">
        <f>'raw data Crude oil'!N328</f>
        <v>62.06</v>
      </c>
      <c r="O327">
        <f>'raw data Crude oil'!O328</f>
        <v>62.1</v>
      </c>
      <c r="P327">
        <f>'raw data Crude oil'!P328</f>
        <v>61.96</v>
      </c>
      <c r="Q327">
        <f>'raw data Crude oil'!Q328</f>
        <v>61.64</v>
      </c>
      <c r="R327">
        <f>'raw data Crude oil'!R328</f>
        <v>61.26</v>
      </c>
      <c r="S327">
        <f>'raw data Crude oil'!S328</f>
        <v>60.87</v>
      </c>
      <c r="T327">
        <f>'raw data Crude oil'!T328</f>
        <v>60.5</v>
      </c>
      <c r="U327">
        <f>'raw data Crude oil'!U328</f>
        <v>60.14</v>
      </c>
      <c r="V327">
        <f>'raw data Crude oil'!V328</f>
        <v>59.78</v>
      </c>
      <c r="W327">
        <f>'raw data Crude oil'!W328</f>
        <v>59.38</v>
      </c>
      <c r="X327">
        <f>'raw data Crude oil'!X328</f>
        <v>59</v>
      </c>
      <c r="Y327">
        <f>'raw data Crude oil'!Y328</f>
        <v>58.64</v>
      </c>
      <c r="Z327">
        <f>'raw data Crude oil'!Z328</f>
        <v>0</v>
      </c>
      <c r="AA327">
        <f>'raw data Crude oil'!AA328</f>
        <v>0</v>
      </c>
      <c r="AB327">
        <f>'raw data Crude oil'!AB328</f>
        <v>0</v>
      </c>
      <c r="AC327">
        <f>'raw data Crude oil'!AC328</f>
        <v>0</v>
      </c>
      <c r="AD327">
        <f>'raw data Crude oil'!AD328</f>
        <v>0</v>
      </c>
      <c r="AE327">
        <f>'raw data Crude oil'!AE328</f>
        <v>0</v>
      </c>
      <c r="AF327">
        <f>'raw data Crude oil'!AF328</f>
        <v>0</v>
      </c>
      <c r="AG327">
        <f>'raw data Crude oil'!AG328</f>
        <v>0</v>
      </c>
      <c r="AH327">
        <f>'raw data Crude oil'!AH328</f>
        <v>0</v>
      </c>
      <c r="AI327">
        <f>'raw data Crude oil'!AI328</f>
        <v>0</v>
      </c>
      <c r="AJ327">
        <f>'raw data Crude oil'!AJ328</f>
        <v>0</v>
      </c>
      <c r="AK327">
        <f>'raw data Crude oil'!AK328</f>
        <v>0</v>
      </c>
    </row>
    <row r="328" spans="1:37" x14ac:dyDescent="0.3">
      <c r="A328" s="18">
        <f>'raw data Crude oil'!A329</f>
        <v>43199</v>
      </c>
      <c r="B328">
        <f>'raw data Crude oil'!B329</f>
        <v>68.650000000000006</v>
      </c>
      <c r="C328">
        <f>'raw data Crude oil'!C329</f>
        <v>68.180000000000007</v>
      </c>
      <c r="D328">
        <f>'raw data Crude oil'!D329</f>
        <v>67.7</v>
      </c>
      <c r="E328">
        <f>'raw data Crude oil'!E329</f>
        <v>67.23</v>
      </c>
      <c r="F328">
        <f>'raw data Crude oil'!F329</f>
        <v>66.790000000000006</v>
      </c>
      <c r="G328">
        <f>'raw data Crude oil'!G329</f>
        <v>66.38</v>
      </c>
      <c r="H328">
        <f>'raw data Crude oil'!H329</f>
        <v>65.98</v>
      </c>
      <c r="I328">
        <f>'raw data Crude oil'!I329</f>
        <v>65.61</v>
      </c>
      <c r="J328">
        <f>'raw data Crude oil'!J329</f>
        <v>65.25</v>
      </c>
      <c r="K328">
        <f>'raw data Crude oil'!K329</f>
        <v>64.900000000000006</v>
      </c>
      <c r="L328">
        <f>'raw data Crude oil'!L329</f>
        <v>64.56</v>
      </c>
      <c r="M328">
        <f>'raw data Crude oil'!M329</f>
        <v>64.22</v>
      </c>
      <c r="N328">
        <f>'raw data Crude oil'!N329</f>
        <v>63.42</v>
      </c>
      <c r="O328">
        <f>'raw data Crude oil'!O329</f>
        <v>63.43</v>
      </c>
      <c r="P328">
        <f>'raw data Crude oil'!P329</f>
        <v>63.26</v>
      </c>
      <c r="Q328">
        <f>'raw data Crude oil'!Q329</f>
        <v>62.91</v>
      </c>
      <c r="R328">
        <f>'raw data Crude oil'!R329</f>
        <v>62.5</v>
      </c>
      <c r="S328">
        <f>'raw data Crude oil'!S329</f>
        <v>62.08</v>
      </c>
      <c r="T328">
        <f>'raw data Crude oil'!T329</f>
        <v>61.68</v>
      </c>
      <c r="U328">
        <f>'raw data Crude oil'!U329</f>
        <v>61.29</v>
      </c>
      <c r="V328">
        <f>'raw data Crude oil'!V329</f>
        <v>60.89</v>
      </c>
      <c r="W328">
        <f>'raw data Crude oil'!W329</f>
        <v>60.46</v>
      </c>
      <c r="X328">
        <f>'raw data Crude oil'!X329</f>
        <v>60.04</v>
      </c>
      <c r="Y328">
        <f>'raw data Crude oil'!Y329</f>
        <v>59.63</v>
      </c>
      <c r="Z328">
        <f>'raw data Crude oil'!Z329</f>
        <v>0</v>
      </c>
      <c r="AA328">
        <f>'raw data Crude oil'!AA329</f>
        <v>0</v>
      </c>
      <c r="AB328">
        <f>'raw data Crude oil'!AB329</f>
        <v>0</v>
      </c>
      <c r="AC328">
        <f>'raw data Crude oil'!AC329</f>
        <v>0</v>
      </c>
      <c r="AD328">
        <f>'raw data Crude oil'!AD329</f>
        <v>0</v>
      </c>
      <c r="AE328">
        <f>'raw data Crude oil'!AE329</f>
        <v>0</v>
      </c>
      <c r="AF328">
        <f>'raw data Crude oil'!AF329</f>
        <v>0</v>
      </c>
      <c r="AG328">
        <f>'raw data Crude oil'!AG329</f>
        <v>0</v>
      </c>
      <c r="AH328">
        <f>'raw data Crude oil'!AH329</f>
        <v>0</v>
      </c>
      <c r="AI328">
        <f>'raw data Crude oil'!AI329</f>
        <v>0</v>
      </c>
      <c r="AJ328">
        <f>'raw data Crude oil'!AJ329</f>
        <v>0</v>
      </c>
      <c r="AK328">
        <f>'raw data Crude oil'!AK329</f>
        <v>0</v>
      </c>
    </row>
    <row r="329" spans="1:37" x14ac:dyDescent="0.3">
      <c r="A329" s="18">
        <f>'raw data Crude oil'!A330</f>
        <v>43200</v>
      </c>
      <c r="B329">
        <f>'raw data Crude oil'!B330</f>
        <v>71.040000000000006</v>
      </c>
      <c r="C329">
        <f>'raw data Crude oil'!C330</f>
        <v>70.42</v>
      </c>
      <c r="D329">
        <f>'raw data Crude oil'!D330</f>
        <v>69.87</v>
      </c>
      <c r="E329">
        <f>'raw data Crude oil'!E330</f>
        <v>69.34</v>
      </c>
      <c r="F329">
        <f>'raw data Crude oil'!F330</f>
        <v>68.81</v>
      </c>
      <c r="G329">
        <f>'raw data Crude oil'!G330</f>
        <v>68.31</v>
      </c>
      <c r="H329">
        <f>'raw data Crude oil'!H330</f>
        <v>67.83</v>
      </c>
      <c r="I329">
        <f>'raw data Crude oil'!I330</f>
        <v>67.37</v>
      </c>
      <c r="J329">
        <f>'raw data Crude oil'!J330</f>
        <v>66.930000000000007</v>
      </c>
      <c r="K329">
        <f>'raw data Crude oil'!K330</f>
        <v>66.5</v>
      </c>
      <c r="L329">
        <f>'raw data Crude oil'!L330</f>
        <v>66.09</v>
      </c>
      <c r="M329">
        <f>'raw data Crude oil'!M330</f>
        <v>65.680000000000007</v>
      </c>
      <c r="N329">
        <f>'raw data Crude oil'!N330</f>
        <v>65.510000000000005</v>
      </c>
      <c r="O329">
        <f>'raw data Crude oil'!O330</f>
        <v>65.44</v>
      </c>
      <c r="P329">
        <f>'raw data Crude oil'!P330</f>
        <v>65.17</v>
      </c>
      <c r="Q329">
        <f>'raw data Crude oil'!Q330</f>
        <v>64.7</v>
      </c>
      <c r="R329">
        <f>'raw data Crude oil'!R330</f>
        <v>64.16</v>
      </c>
      <c r="S329">
        <f>'raw data Crude oil'!S330</f>
        <v>63.6</v>
      </c>
      <c r="T329">
        <f>'raw data Crude oil'!T330</f>
        <v>63.08</v>
      </c>
      <c r="U329">
        <f>'raw data Crude oil'!U330</f>
        <v>62.58</v>
      </c>
      <c r="V329">
        <f>'raw data Crude oil'!V330</f>
        <v>62.08</v>
      </c>
      <c r="W329">
        <f>'raw data Crude oil'!W330</f>
        <v>61.56</v>
      </c>
      <c r="X329">
        <f>'raw data Crude oil'!X330</f>
        <v>61.05</v>
      </c>
      <c r="Y329">
        <f>'raw data Crude oil'!Y330</f>
        <v>60.58</v>
      </c>
      <c r="Z329">
        <f>'raw data Crude oil'!Z330</f>
        <v>0</v>
      </c>
      <c r="AA329">
        <f>'raw data Crude oil'!AA330</f>
        <v>0</v>
      </c>
      <c r="AB329">
        <f>'raw data Crude oil'!AB330</f>
        <v>0</v>
      </c>
      <c r="AC329">
        <f>'raw data Crude oil'!AC330</f>
        <v>0</v>
      </c>
      <c r="AD329">
        <f>'raw data Crude oil'!AD330</f>
        <v>0</v>
      </c>
      <c r="AE329">
        <f>'raw data Crude oil'!AE330</f>
        <v>0</v>
      </c>
      <c r="AF329">
        <f>'raw data Crude oil'!AF330</f>
        <v>0</v>
      </c>
      <c r="AG329">
        <f>'raw data Crude oil'!AG330</f>
        <v>0</v>
      </c>
      <c r="AH329">
        <f>'raw data Crude oil'!AH330</f>
        <v>0</v>
      </c>
      <c r="AI329">
        <f>'raw data Crude oil'!AI330</f>
        <v>0</v>
      </c>
      <c r="AJ329">
        <f>'raw data Crude oil'!AJ330</f>
        <v>0</v>
      </c>
      <c r="AK329">
        <f>'raw data Crude oil'!AK330</f>
        <v>0</v>
      </c>
    </row>
    <row r="330" spans="1:37" x14ac:dyDescent="0.3">
      <c r="A330" s="18">
        <f>'raw data Crude oil'!A331</f>
        <v>43201</v>
      </c>
      <c r="B330">
        <f>'raw data Crude oil'!B331</f>
        <v>72.06</v>
      </c>
      <c r="C330">
        <f>'raw data Crude oil'!C331</f>
        <v>71.459999999999994</v>
      </c>
      <c r="D330">
        <f>'raw data Crude oil'!D331</f>
        <v>70.930000000000007</v>
      </c>
      <c r="E330">
        <f>'raw data Crude oil'!E331</f>
        <v>70.42</v>
      </c>
      <c r="F330">
        <f>'raw data Crude oil'!F331</f>
        <v>69.900000000000006</v>
      </c>
      <c r="G330">
        <f>'raw data Crude oil'!G331</f>
        <v>69.41</v>
      </c>
      <c r="H330">
        <f>'raw data Crude oil'!H331</f>
        <v>68.94</v>
      </c>
      <c r="I330">
        <f>'raw data Crude oil'!I331</f>
        <v>68.5</v>
      </c>
      <c r="J330">
        <f>'raw data Crude oil'!J331</f>
        <v>68.06</v>
      </c>
      <c r="K330">
        <f>'raw data Crude oil'!K331</f>
        <v>67.62</v>
      </c>
      <c r="L330">
        <f>'raw data Crude oil'!L331</f>
        <v>67.19</v>
      </c>
      <c r="M330">
        <f>'raw data Crude oil'!M331</f>
        <v>66.760000000000005</v>
      </c>
      <c r="N330">
        <f>'raw data Crude oil'!N331</f>
        <v>66.819999999999993</v>
      </c>
      <c r="O330">
        <f>'raw data Crude oil'!O331</f>
        <v>66.739999999999995</v>
      </c>
      <c r="P330">
        <f>'raw data Crude oil'!P331</f>
        <v>66.44</v>
      </c>
      <c r="Q330">
        <f>'raw data Crude oil'!Q331</f>
        <v>65.91</v>
      </c>
      <c r="R330">
        <f>'raw data Crude oil'!R331</f>
        <v>65.34</v>
      </c>
      <c r="S330">
        <f>'raw data Crude oil'!S331</f>
        <v>64.77</v>
      </c>
      <c r="T330">
        <f>'raw data Crude oil'!T331</f>
        <v>64.239999999999995</v>
      </c>
      <c r="U330">
        <f>'raw data Crude oil'!U331</f>
        <v>63.72</v>
      </c>
      <c r="V330">
        <f>'raw data Crude oil'!V331</f>
        <v>63.21</v>
      </c>
      <c r="W330">
        <f>'raw data Crude oil'!W331</f>
        <v>62.66</v>
      </c>
      <c r="X330">
        <f>'raw data Crude oil'!X331</f>
        <v>62.11</v>
      </c>
      <c r="Y330">
        <f>'raw data Crude oil'!Y331</f>
        <v>61.61</v>
      </c>
      <c r="Z330">
        <f>'raw data Crude oil'!Z331</f>
        <v>0</v>
      </c>
      <c r="AA330">
        <f>'raw data Crude oil'!AA331</f>
        <v>0</v>
      </c>
      <c r="AB330">
        <f>'raw data Crude oil'!AB331</f>
        <v>0</v>
      </c>
      <c r="AC330">
        <f>'raw data Crude oil'!AC331</f>
        <v>0</v>
      </c>
      <c r="AD330">
        <f>'raw data Crude oil'!AD331</f>
        <v>0</v>
      </c>
      <c r="AE330">
        <f>'raw data Crude oil'!AE331</f>
        <v>0</v>
      </c>
      <c r="AF330">
        <f>'raw data Crude oil'!AF331</f>
        <v>0</v>
      </c>
      <c r="AG330">
        <f>'raw data Crude oil'!AG331</f>
        <v>0</v>
      </c>
      <c r="AH330">
        <f>'raw data Crude oil'!AH331</f>
        <v>0</v>
      </c>
      <c r="AI330">
        <f>'raw data Crude oil'!AI331</f>
        <v>0</v>
      </c>
      <c r="AJ330">
        <f>'raw data Crude oil'!AJ331</f>
        <v>0</v>
      </c>
      <c r="AK330">
        <f>'raw data Crude oil'!AK331</f>
        <v>0</v>
      </c>
    </row>
    <row r="331" spans="1:37" x14ac:dyDescent="0.3">
      <c r="A331" s="18">
        <f>'raw data Crude oil'!A332</f>
        <v>43202</v>
      </c>
      <c r="B331">
        <f>'raw data Crude oil'!B332</f>
        <v>72.02</v>
      </c>
      <c r="C331">
        <f>'raw data Crude oil'!C332</f>
        <v>71.400000000000006</v>
      </c>
      <c r="D331">
        <f>'raw data Crude oil'!D332</f>
        <v>70.849999999999994</v>
      </c>
      <c r="E331">
        <f>'raw data Crude oil'!E332</f>
        <v>70.3</v>
      </c>
      <c r="F331">
        <f>'raw data Crude oil'!F332</f>
        <v>69.739999999999995</v>
      </c>
      <c r="G331">
        <f>'raw data Crude oil'!G332</f>
        <v>69.22</v>
      </c>
      <c r="H331">
        <f>'raw data Crude oil'!H332</f>
        <v>68.72</v>
      </c>
      <c r="I331">
        <f>'raw data Crude oil'!I332</f>
        <v>68.25</v>
      </c>
      <c r="J331">
        <f>'raw data Crude oil'!J332</f>
        <v>67.8</v>
      </c>
      <c r="K331">
        <f>'raw data Crude oil'!K332</f>
        <v>67.34</v>
      </c>
      <c r="L331">
        <f>'raw data Crude oil'!L332</f>
        <v>66.900000000000006</v>
      </c>
      <c r="M331">
        <f>'raw data Crude oil'!M332</f>
        <v>66.45</v>
      </c>
      <c r="N331">
        <f>'raw data Crude oil'!N332</f>
        <v>67.069999999999993</v>
      </c>
      <c r="O331">
        <f>'raw data Crude oil'!O332</f>
        <v>66.95</v>
      </c>
      <c r="P331">
        <f>'raw data Crude oil'!P332</f>
        <v>66.58</v>
      </c>
      <c r="Q331">
        <f>'raw data Crude oil'!Q332</f>
        <v>66.010000000000005</v>
      </c>
      <c r="R331">
        <f>'raw data Crude oil'!R332</f>
        <v>65.400000000000006</v>
      </c>
      <c r="S331">
        <f>'raw data Crude oil'!S332</f>
        <v>64.8</v>
      </c>
      <c r="T331">
        <f>'raw data Crude oil'!T332</f>
        <v>64.25</v>
      </c>
      <c r="U331">
        <f>'raw data Crude oil'!U332</f>
        <v>63.72</v>
      </c>
      <c r="V331">
        <f>'raw data Crude oil'!V332</f>
        <v>63.2</v>
      </c>
      <c r="W331">
        <f>'raw data Crude oil'!W332</f>
        <v>62.62</v>
      </c>
      <c r="X331">
        <f>'raw data Crude oil'!X332</f>
        <v>62.06</v>
      </c>
      <c r="Y331">
        <f>'raw data Crude oil'!Y332</f>
        <v>61.52</v>
      </c>
      <c r="Z331">
        <f>'raw data Crude oil'!Z332</f>
        <v>0</v>
      </c>
      <c r="AA331">
        <f>'raw data Crude oil'!AA332</f>
        <v>0</v>
      </c>
      <c r="AB331">
        <f>'raw data Crude oil'!AB332</f>
        <v>0</v>
      </c>
      <c r="AC331">
        <f>'raw data Crude oil'!AC332</f>
        <v>0</v>
      </c>
      <c r="AD331">
        <f>'raw data Crude oil'!AD332</f>
        <v>0</v>
      </c>
      <c r="AE331">
        <f>'raw data Crude oil'!AE332</f>
        <v>0</v>
      </c>
      <c r="AF331">
        <f>'raw data Crude oil'!AF332</f>
        <v>0</v>
      </c>
      <c r="AG331">
        <f>'raw data Crude oil'!AG332</f>
        <v>0</v>
      </c>
      <c r="AH331">
        <f>'raw data Crude oil'!AH332</f>
        <v>0</v>
      </c>
      <c r="AI331">
        <f>'raw data Crude oil'!AI332</f>
        <v>0</v>
      </c>
      <c r="AJ331">
        <f>'raw data Crude oil'!AJ332</f>
        <v>0</v>
      </c>
      <c r="AK331">
        <f>'raw data Crude oil'!AK332</f>
        <v>0</v>
      </c>
    </row>
    <row r="332" spans="1:37" x14ac:dyDescent="0.3">
      <c r="A332" s="18">
        <f>'raw data Crude oil'!A333</f>
        <v>43203</v>
      </c>
      <c r="B332">
        <f>'raw data Crude oil'!B333</f>
        <v>72.58</v>
      </c>
      <c r="C332">
        <f>'raw data Crude oil'!C333</f>
        <v>71.930000000000007</v>
      </c>
      <c r="D332">
        <f>'raw data Crude oil'!D333</f>
        <v>71.38</v>
      </c>
      <c r="E332">
        <f>'raw data Crude oil'!E333</f>
        <v>70.819999999999993</v>
      </c>
      <c r="F332">
        <f>'raw data Crude oil'!F333</f>
        <v>70.260000000000005</v>
      </c>
      <c r="G332">
        <f>'raw data Crude oil'!G333</f>
        <v>69.739999999999995</v>
      </c>
      <c r="H332">
        <f>'raw data Crude oil'!H333</f>
        <v>69.239999999999995</v>
      </c>
      <c r="I332">
        <f>'raw data Crude oil'!I333</f>
        <v>68.77</v>
      </c>
      <c r="J332">
        <f>'raw data Crude oil'!J333</f>
        <v>68.319999999999993</v>
      </c>
      <c r="K332">
        <f>'raw data Crude oil'!K333</f>
        <v>67.849999999999994</v>
      </c>
      <c r="L332">
        <f>'raw data Crude oil'!L333</f>
        <v>67.400000000000006</v>
      </c>
      <c r="M332">
        <f>'raw data Crude oil'!M333</f>
        <v>66.95</v>
      </c>
      <c r="N332">
        <f>'raw data Crude oil'!N333</f>
        <v>67.39</v>
      </c>
      <c r="O332">
        <f>'raw data Crude oil'!O333</f>
        <v>67.33</v>
      </c>
      <c r="P332">
        <f>'raw data Crude oil'!P333</f>
        <v>67</v>
      </c>
      <c r="Q332">
        <f>'raw data Crude oil'!Q333</f>
        <v>66.45</v>
      </c>
      <c r="R332">
        <f>'raw data Crude oil'!R333</f>
        <v>65.849999999999994</v>
      </c>
      <c r="S332">
        <f>'raw data Crude oil'!S333</f>
        <v>65.23</v>
      </c>
      <c r="T332">
        <f>'raw data Crude oil'!T333</f>
        <v>64.67</v>
      </c>
      <c r="U332">
        <f>'raw data Crude oil'!U333</f>
        <v>64.13</v>
      </c>
      <c r="V332">
        <f>'raw data Crude oil'!V333</f>
        <v>63.59</v>
      </c>
      <c r="W332">
        <f>'raw data Crude oil'!W333</f>
        <v>63</v>
      </c>
      <c r="X332">
        <f>'raw data Crude oil'!X333</f>
        <v>62.42</v>
      </c>
      <c r="Y332">
        <f>'raw data Crude oil'!Y333</f>
        <v>61.86</v>
      </c>
      <c r="Z332">
        <f>'raw data Crude oil'!Z333</f>
        <v>0</v>
      </c>
      <c r="AA332">
        <f>'raw data Crude oil'!AA333</f>
        <v>0</v>
      </c>
      <c r="AB332">
        <f>'raw data Crude oil'!AB333</f>
        <v>0</v>
      </c>
      <c r="AC332">
        <f>'raw data Crude oil'!AC333</f>
        <v>0</v>
      </c>
      <c r="AD332">
        <f>'raw data Crude oil'!AD333</f>
        <v>0</v>
      </c>
      <c r="AE332">
        <f>'raw data Crude oil'!AE333</f>
        <v>0</v>
      </c>
      <c r="AF332">
        <f>'raw data Crude oil'!AF333</f>
        <v>0</v>
      </c>
      <c r="AG332">
        <f>'raw data Crude oil'!AG333</f>
        <v>0</v>
      </c>
      <c r="AH332">
        <f>'raw data Crude oil'!AH333</f>
        <v>0</v>
      </c>
      <c r="AI332">
        <f>'raw data Crude oil'!AI333</f>
        <v>0</v>
      </c>
      <c r="AJ332">
        <f>'raw data Crude oil'!AJ333</f>
        <v>0</v>
      </c>
      <c r="AK332">
        <f>'raw data Crude oil'!AK333</f>
        <v>0</v>
      </c>
    </row>
    <row r="333" spans="1:37" x14ac:dyDescent="0.3">
      <c r="A333" s="18">
        <f>'raw data Crude oil'!A334</f>
        <v>43206</v>
      </c>
      <c r="B333">
        <f>'raw data Crude oil'!B334</f>
        <v>71.42</v>
      </c>
      <c r="C333">
        <f>'raw data Crude oil'!C334</f>
        <v>70.81</v>
      </c>
      <c r="D333">
        <f>'raw data Crude oil'!D334</f>
        <v>70.290000000000006</v>
      </c>
      <c r="E333">
        <f>'raw data Crude oil'!E334</f>
        <v>69.78</v>
      </c>
      <c r="F333">
        <f>'raw data Crude oil'!F334</f>
        <v>69.28</v>
      </c>
      <c r="G333">
        <f>'raw data Crude oil'!G334</f>
        <v>68.819999999999993</v>
      </c>
      <c r="H333">
        <f>'raw data Crude oil'!H334</f>
        <v>68.37</v>
      </c>
      <c r="I333">
        <f>'raw data Crude oil'!I334</f>
        <v>67.95</v>
      </c>
      <c r="J333">
        <f>'raw data Crude oil'!J334</f>
        <v>67.55</v>
      </c>
      <c r="K333">
        <f>'raw data Crude oil'!K334</f>
        <v>67.12</v>
      </c>
      <c r="L333">
        <f>'raw data Crude oil'!L334</f>
        <v>66.709999999999994</v>
      </c>
      <c r="M333">
        <f>'raw data Crude oil'!M334</f>
        <v>66.3</v>
      </c>
      <c r="N333">
        <f>'raw data Crude oil'!N334</f>
        <v>66.22</v>
      </c>
      <c r="O333">
        <f>'raw data Crude oil'!O334</f>
        <v>66.2</v>
      </c>
      <c r="P333">
        <f>'raw data Crude oil'!P334</f>
        <v>65.94</v>
      </c>
      <c r="Q333">
        <f>'raw data Crude oil'!Q334</f>
        <v>65.459999999999994</v>
      </c>
      <c r="R333">
        <f>'raw data Crude oil'!R334</f>
        <v>64.91</v>
      </c>
      <c r="S333">
        <f>'raw data Crude oil'!S334</f>
        <v>64.349999999999994</v>
      </c>
      <c r="T333">
        <f>'raw data Crude oil'!T334</f>
        <v>63.84</v>
      </c>
      <c r="U333">
        <f>'raw data Crude oil'!U334</f>
        <v>63.36</v>
      </c>
      <c r="V333">
        <f>'raw data Crude oil'!V334</f>
        <v>62.89</v>
      </c>
      <c r="W333">
        <f>'raw data Crude oil'!W334</f>
        <v>62.36</v>
      </c>
      <c r="X333">
        <f>'raw data Crude oil'!X334</f>
        <v>61.83</v>
      </c>
      <c r="Y333">
        <f>'raw data Crude oil'!Y334</f>
        <v>61.31</v>
      </c>
      <c r="Z333">
        <f>'raw data Crude oil'!Z334</f>
        <v>0</v>
      </c>
      <c r="AA333">
        <f>'raw data Crude oil'!AA334</f>
        <v>0</v>
      </c>
      <c r="AB333">
        <f>'raw data Crude oil'!AB334</f>
        <v>0</v>
      </c>
      <c r="AC333">
        <f>'raw data Crude oil'!AC334</f>
        <v>0</v>
      </c>
      <c r="AD333">
        <f>'raw data Crude oil'!AD334</f>
        <v>0</v>
      </c>
      <c r="AE333">
        <f>'raw data Crude oil'!AE334</f>
        <v>0</v>
      </c>
      <c r="AF333">
        <f>'raw data Crude oil'!AF334</f>
        <v>0</v>
      </c>
      <c r="AG333">
        <f>'raw data Crude oil'!AG334</f>
        <v>0</v>
      </c>
      <c r="AH333">
        <f>'raw data Crude oil'!AH334</f>
        <v>0</v>
      </c>
      <c r="AI333">
        <f>'raw data Crude oil'!AI334</f>
        <v>0</v>
      </c>
      <c r="AJ333">
        <f>'raw data Crude oil'!AJ334</f>
        <v>0</v>
      </c>
      <c r="AK333">
        <f>'raw data Crude oil'!AK334</f>
        <v>0</v>
      </c>
    </row>
    <row r="334" spans="1:37" x14ac:dyDescent="0.3">
      <c r="A334" s="18">
        <f>'raw data Crude oil'!A335</f>
        <v>43207</v>
      </c>
      <c r="B334">
        <f>'raw data Crude oil'!B335</f>
        <v>71.58</v>
      </c>
      <c r="C334">
        <f>'raw data Crude oil'!C335</f>
        <v>70.97</v>
      </c>
      <c r="D334">
        <f>'raw data Crude oil'!D335</f>
        <v>70.44</v>
      </c>
      <c r="E334">
        <f>'raw data Crude oil'!E335</f>
        <v>69.94</v>
      </c>
      <c r="F334">
        <f>'raw data Crude oil'!F335</f>
        <v>69.45</v>
      </c>
      <c r="G334">
        <f>'raw data Crude oil'!G335</f>
        <v>69</v>
      </c>
      <c r="H334">
        <f>'raw data Crude oil'!H335</f>
        <v>68.55</v>
      </c>
      <c r="I334">
        <f>'raw data Crude oil'!I335</f>
        <v>68.13</v>
      </c>
      <c r="J334">
        <f>'raw data Crude oil'!J335</f>
        <v>67.73</v>
      </c>
      <c r="K334">
        <f>'raw data Crude oil'!K335</f>
        <v>67.3</v>
      </c>
      <c r="L334">
        <f>'raw data Crude oil'!L335</f>
        <v>66.89</v>
      </c>
      <c r="M334">
        <f>'raw data Crude oil'!M335</f>
        <v>66.48</v>
      </c>
      <c r="N334">
        <f>'raw data Crude oil'!N335</f>
        <v>66.52</v>
      </c>
      <c r="O334">
        <f>'raw data Crude oil'!O335</f>
        <v>66.510000000000005</v>
      </c>
      <c r="P334">
        <f>'raw data Crude oil'!P335</f>
        <v>66.239999999999995</v>
      </c>
      <c r="Q334">
        <f>'raw data Crude oil'!Q335</f>
        <v>65.75</v>
      </c>
      <c r="R334">
        <f>'raw data Crude oil'!R335</f>
        <v>65.2</v>
      </c>
      <c r="S334">
        <f>'raw data Crude oil'!S335</f>
        <v>64.650000000000006</v>
      </c>
      <c r="T334">
        <f>'raw data Crude oil'!T335</f>
        <v>64.150000000000006</v>
      </c>
      <c r="U334">
        <f>'raw data Crude oil'!U335</f>
        <v>63.67</v>
      </c>
      <c r="V334">
        <f>'raw data Crude oil'!V335</f>
        <v>63.2</v>
      </c>
      <c r="W334">
        <f>'raw data Crude oil'!W335</f>
        <v>62.66</v>
      </c>
      <c r="X334">
        <f>'raw data Crude oil'!X335</f>
        <v>62.14</v>
      </c>
      <c r="Y334">
        <f>'raw data Crude oil'!Y335</f>
        <v>61.62</v>
      </c>
      <c r="Z334">
        <f>'raw data Crude oil'!Z335</f>
        <v>0</v>
      </c>
      <c r="AA334">
        <f>'raw data Crude oil'!AA335</f>
        <v>0</v>
      </c>
      <c r="AB334">
        <f>'raw data Crude oil'!AB335</f>
        <v>0</v>
      </c>
      <c r="AC334">
        <f>'raw data Crude oil'!AC335</f>
        <v>0</v>
      </c>
      <c r="AD334">
        <f>'raw data Crude oil'!AD335</f>
        <v>0</v>
      </c>
      <c r="AE334">
        <f>'raw data Crude oil'!AE335</f>
        <v>0</v>
      </c>
      <c r="AF334">
        <f>'raw data Crude oil'!AF335</f>
        <v>0</v>
      </c>
      <c r="AG334">
        <f>'raw data Crude oil'!AG335</f>
        <v>0</v>
      </c>
      <c r="AH334">
        <f>'raw data Crude oil'!AH335</f>
        <v>0</v>
      </c>
      <c r="AI334">
        <f>'raw data Crude oil'!AI335</f>
        <v>0</v>
      </c>
      <c r="AJ334">
        <f>'raw data Crude oil'!AJ335</f>
        <v>0</v>
      </c>
      <c r="AK334">
        <f>'raw data Crude oil'!AK335</f>
        <v>0</v>
      </c>
    </row>
    <row r="335" spans="1:37" x14ac:dyDescent="0.3">
      <c r="A335" s="18">
        <f>'raw data Crude oil'!A336</f>
        <v>43208</v>
      </c>
      <c r="B335">
        <f>'raw data Crude oil'!B336</f>
        <v>73.48</v>
      </c>
      <c r="C335">
        <f>'raw data Crude oil'!C336</f>
        <v>72.84</v>
      </c>
      <c r="D335">
        <f>'raw data Crude oil'!D336</f>
        <v>72.28</v>
      </c>
      <c r="E335">
        <f>'raw data Crude oil'!E336</f>
        <v>71.709999999999994</v>
      </c>
      <c r="F335">
        <f>'raw data Crude oil'!F336</f>
        <v>71.13</v>
      </c>
      <c r="G335">
        <f>'raw data Crude oil'!G336</f>
        <v>70.61</v>
      </c>
      <c r="H335">
        <f>'raw data Crude oil'!H336</f>
        <v>70.09</v>
      </c>
      <c r="I335">
        <f>'raw data Crude oil'!I336</f>
        <v>69.599999999999994</v>
      </c>
      <c r="J335">
        <f>'raw data Crude oil'!J336</f>
        <v>69.12</v>
      </c>
      <c r="K335">
        <f>'raw data Crude oil'!K336</f>
        <v>68.63</v>
      </c>
      <c r="L335">
        <f>'raw data Crude oil'!L336</f>
        <v>68.16</v>
      </c>
      <c r="M335">
        <f>'raw data Crude oil'!M336</f>
        <v>67.69</v>
      </c>
      <c r="N335">
        <f>'raw data Crude oil'!N336</f>
        <v>68.47</v>
      </c>
      <c r="O335">
        <f>'raw data Crude oil'!O336</f>
        <v>68.47</v>
      </c>
      <c r="P335">
        <f>'raw data Crude oil'!P336</f>
        <v>68.150000000000006</v>
      </c>
      <c r="Q335">
        <f>'raw data Crude oil'!Q336</f>
        <v>67.55</v>
      </c>
      <c r="R335">
        <f>'raw data Crude oil'!R336</f>
        <v>66.87</v>
      </c>
      <c r="S335">
        <f>'raw data Crude oil'!S336</f>
        <v>66.2</v>
      </c>
      <c r="T335">
        <f>'raw data Crude oil'!T336</f>
        <v>65.59</v>
      </c>
      <c r="U335">
        <f>'raw data Crude oil'!U336</f>
        <v>65.02</v>
      </c>
      <c r="V335">
        <f>'raw data Crude oil'!V336</f>
        <v>64.459999999999994</v>
      </c>
      <c r="W335">
        <f>'raw data Crude oil'!W336</f>
        <v>63.84</v>
      </c>
      <c r="X335">
        <f>'raw data Crude oil'!X336</f>
        <v>63.24</v>
      </c>
      <c r="Y335">
        <f>'raw data Crude oil'!Y336</f>
        <v>62.65</v>
      </c>
      <c r="Z335">
        <f>'raw data Crude oil'!Z336</f>
        <v>0</v>
      </c>
      <c r="AA335">
        <f>'raw data Crude oil'!AA336</f>
        <v>0</v>
      </c>
      <c r="AB335">
        <f>'raw data Crude oil'!AB336</f>
        <v>0</v>
      </c>
      <c r="AC335">
        <f>'raw data Crude oil'!AC336</f>
        <v>0</v>
      </c>
      <c r="AD335">
        <f>'raw data Crude oil'!AD336</f>
        <v>0</v>
      </c>
      <c r="AE335">
        <f>'raw data Crude oil'!AE336</f>
        <v>0</v>
      </c>
      <c r="AF335">
        <f>'raw data Crude oil'!AF336</f>
        <v>0</v>
      </c>
      <c r="AG335">
        <f>'raw data Crude oil'!AG336</f>
        <v>0</v>
      </c>
      <c r="AH335">
        <f>'raw data Crude oil'!AH336</f>
        <v>0</v>
      </c>
      <c r="AI335">
        <f>'raw data Crude oil'!AI336</f>
        <v>0</v>
      </c>
      <c r="AJ335">
        <f>'raw data Crude oil'!AJ336</f>
        <v>0</v>
      </c>
      <c r="AK335">
        <f>'raw data Crude oil'!AK336</f>
        <v>0</v>
      </c>
    </row>
    <row r="336" spans="1:37" x14ac:dyDescent="0.3">
      <c r="A336" s="18">
        <f>'raw data Crude oil'!A337</f>
        <v>43209</v>
      </c>
      <c r="B336">
        <f>'raw data Crude oil'!B337</f>
        <v>73.78</v>
      </c>
      <c r="C336">
        <f>'raw data Crude oil'!C337</f>
        <v>73.11</v>
      </c>
      <c r="D336">
        <f>'raw data Crude oil'!D337</f>
        <v>72.540000000000006</v>
      </c>
      <c r="E336">
        <f>'raw data Crude oil'!E337</f>
        <v>72.010000000000005</v>
      </c>
      <c r="F336">
        <f>'raw data Crude oil'!F337</f>
        <v>71.47</v>
      </c>
      <c r="G336">
        <f>'raw data Crude oil'!G337</f>
        <v>70.98</v>
      </c>
      <c r="H336">
        <f>'raw data Crude oil'!H337</f>
        <v>70.48</v>
      </c>
      <c r="I336">
        <f>'raw data Crude oil'!I337</f>
        <v>70</v>
      </c>
      <c r="J336">
        <f>'raw data Crude oil'!J337</f>
        <v>69.540000000000006</v>
      </c>
      <c r="K336">
        <f>'raw data Crude oil'!K337</f>
        <v>69.06</v>
      </c>
      <c r="L336">
        <f>'raw data Crude oil'!L337</f>
        <v>68.59</v>
      </c>
      <c r="M336">
        <f>'raw data Crude oil'!M337</f>
        <v>68.12</v>
      </c>
      <c r="N336">
        <f>'raw data Crude oil'!N337</f>
        <v>68.290000000000006</v>
      </c>
      <c r="O336">
        <f>'raw data Crude oil'!O337</f>
        <v>68.33</v>
      </c>
      <c r="P336">
        <f>'raw data Crude oil'!P337</f>
        <v>68.08</v>
      </c>
      <c r="Q336">
        <f>'raw data Crude oil'!Q337</f>
        <v>67.53</v>
      </c>
      <c r="R336">
        <f>'raw data Crude oil'!R337</f>
        <v>66.900000000000006</v>
      </c>
      <c r="S336">
        <f>'raw data Crude oil'!S337</f>
        <v>66.260000000000005</v>
      </c>
      <c r="T336">
        <f>'raw data Crude oil'!T337</f>
        <v>65.67</v>
      </c>
      <c r="U336">
        <f>'raw data Crude oil'!U337</f>
        <v>65.099999999999994</v>
      </c>
      <c r="V336">
        <f>'raw data Crude oil'!V337</f>
        <v>64.55</v>
      </c>
      <c r="W336">
        <f>'raw data Crude oil'!W337</f>
        <v>63.95</v>
      </c>
      <c r="X336">
        <f>'raw data Crude oil'!X337</f>
        <v>63.37</v>
      </c>
      <c r="Y336">
        <f>'raw data Crude oil'!Y337</f>
        <v>62.8</v>
      </c>
      <c r="Z336">
        <f>'raw data Crude oil'!Z337</f>
        <v>0</v>
      </c>
      <c r="AA336">
        <f>'raw data Crude oil'!AA337</f>
        <v>0</v>
      </c>
      <c r="AB336">
        <f>'raw data Crude oil'!AB337</f>
        <v>0</v>
      </c>
      <c r="AC336">
        <f>'raw data Crude oil'!AC337</f>
        <v>0</v>
      </c>
      <c r="AD336">
        <f>'raw data Crude oil'!AD337</f>
        <v>0</v>
      </c>
      <c r="AE336">
        <f>'raw data Crude oil'!AE337</f>
        <v>0</v>
      </c>
      <c r="AF336">
        <f>'raw data Crude oil'!AF337</f>
        <v>0</v>
      </c>
      <c r="AG336">
        <f>'raw data Crude oil'!AG337</f>
        <v>0</v>
      </c>
      <c r="AH336">
        <f>'raw data Crude oil'!AH337</f>
        <v>0</v>
      </c>
      <c r="AI336">
        <f>'raw data Crude oil'!AI337</f>
        <v>0</v>
      </c>
      <c r="AJ336">
        <f>'raw data Crude oil'!AJ337</f>
        <v>0</v>
      </c>
      <c r="AK336">
        <f>'raw data Crude oil'!AK337</f>
        <v>0</v>
      </c>
    </row>
    <row r="337" spans="1:37" x14ac:dyDescent="0.3">
      <c r="A337" s="18">
        <f>'raw data Crude oil'!A338</f>
        <v>43210</v>
      </c>
      <c r="B337">
        <f>'raw data Crude oil'!B338</f>
        <v>74.06</v>
      </c>
      <c r="C337">
        <f>'raw data Crude oil'!C338</f>
        <v>73.349999999999994</v>
      </c>
      <c r="D337">
        <f>'raw data Crude oil'!D338</f>
        <v>72.78</v>
      </c>
      <c r="E337">
        <f>'raw data Crude oil'!E338</f>
        <v>72.23</v>
      </c>
      <c r="F337">
        <f>'raw data Crude oil'!F338</f>
        <v>71.7</v>
      </c>
      <c r="G337">
        <f>'raw data Crude oil'!G338</f>
        <v>71.22</v>
      </c>
      <c r="H337">
        <f>'raw data Crude oil'!H338</f>
        <v>70.739999999999995</v>
      </c>
      <c r="I337">
        <f>'raw data Crude oil'!I338</f>
        <v>70.27</v>
      </c>
      <c r="J337">
        <f>'raw data Crude oil'!J338</f>
        <v>69.81</v>
      </c>
      <c r="K337">
        <f>'raw data Crude oil'!K338</f>
        <v>69.33</v>
      </c>
      <c r="L337">
        <f>'raw data Crude oil'!L338</f>
        <v>68.86</v>
      </c>
      <c r="M337">
        <f>'raw data Crude oil'!M338</f>
        <v>68.39</v>
      </c>
      <c r="N337">
        <f>'raw data Crude oil'!N338</f>
        <v>68.38</v>
      </c>
      <c r="O337">
        <f>'raw data Crude oil'!O338</f>
        <v>68.400000000000006</v>
      </c>
      <c r="P337">
        <f>'raw data Crude oil'!P338</f>
        <v>68.180000000000007</v>
      </c>
      <c r="Q337">
        <f>'raw data Crude oil'!Q338</f>
        <v>67.66</v>
      </c>
      <c r="R337">
        <f>'raw data Crude oil'!R338</f>
        <v>67.05</v>
      </c>
      <c r="S337">
        <f>'raw data Crude oil'!S338</f>
        <v>66.430000000000007</v>
      </c>
      <c r="T337">
        <f>'raw data Crude oil'!T338</f>
        <v>65.849999999999994</v>
      </c>
      <c r="U337">
        <f>'raw data Crude oil'!U338</f>
        <v>65.28</v>
      </c>
      <c r="V337">
        <f>'raw data Crude oil'!V338</f>
        <v>64.73</v>
      </c>
      <c r="W337">
        <f>'raw data Crude oil'!W338</f>
        <v>64.12</v>
      </c>
      <c r="X337">
        <f>'raw data Crude oil'!X338</f>
        <v>63.55</v>
      </c>
      <c r="Y337">
        <f>'raw data Crude oil'!Y338</f>
        <v>62.98</v>
      </c>
      <c r="Z337">
        <f>'raw data Crude oil'!Z338</f>
        <v>0</v>
      </c>
      <c r="AA337">
        <f>'raw data Crude oil'!AA338</f>
        <v>0</v>
      </c>
      <c r="AB337">
        <f>'raw data Crude oil'!AB338</f>
        <v>0</v>
      </c>
      <c r="AC337">
        <f>'raw data Crude oil'!AC338</f>
        <v>0</v>
      </c>
      <c r="AD337">
        <f>'raw data Crude oil'!AD338</f>
        <v>0</v>
      </c>
      <c r="AE337">
        <f>'raw data Crude oil'!AE338</f>
        <v>0</v>
      </c>
      <c r="AF337">
        <f>'raw data Crude oil'!AF338</f>
        <v>0</v>
      </c>
      <c r="AG337">
        <f>'raw data Crude oil'!AG338</f>
        <v>0</v>
      </c>
      <c r="AH337">
        <f>'raw data Crude oil'!AH338</f>
        <v>0</v>
      </c>
      <c r="AI337">
        <f>'raw data Crude oil'!AI338</f>
        <v>0</v>
      </c>
      <c r="AJ337">
        <f>'raw data Crude oil'!AJ338</f>
        <v>0</v>
      </c>
      <c r="AK337">
        <f>'raw data Crude oil'!AK338</f>
        <v>0</v>
      </c>
    </row>
    <row r="338" spans="1:37" x14ac:dyDescent="0.3">
      <c r="A338" s="18">
        <f>'raw data Crude oil'!A339</f>
        <v>43213</v>
      </c>
      <c r="B338">
        <f>'raw data Crude oil'!B339</f>
        <v>74.709999999999994</v>
      </c>
      <c r="C338">
        <f>'raw data Crude oil'!C339</f>
        <v>74.010000000000005</v>
      </c>
      <c r="D338">
        <f>'raw data Crude oil'!D339</f>
        <v>73.45</v>
      </c>
      <c r="E338">
        <f>'raw data Crude oil'!E339</f>
        <v>72.900000000000006</v>
      </c>
      <c r="F338">
        <f>'raw data Crude oil'!F339</f>
        <v>72.349999999999994</v>
      </c>
      <c r="G338">
        <f>'raw data Crude oil'!G339</f>
        <v>71.849999999999994</v>
      </c>
      <c r="H338">
        <f>'raw data Crude oil'!H339</f>
        <v>71.349999999999994</v>
      </c>
      <c r="I338">
        <f>'raw data Crude oil'!I339</f>
        <v>70.86</v>
      </c>
      <c r="J338">
        <f>'raw data Crude oil'!J339</f>
        <v>70.39</v>
      </c>
      <c r="K338">
        <f>'raw data Crude oil'!K339</f>
        <v>69.91</v>
      </c>
      <c r="L338">
        <f>'raw data Crude oil'!L339</f>
        <v>69.44</v>
      </c>
      <c r="M338">
        <f>'raw data Crude oil'!M339</f>
        <v>68.97</v>
      </c>
      <c r="N338">
        <f>'raw data Crude oil'!N339</f>
        <v>68.64</v>
      </c>
      <c r="O338">
        <f>'raw data Crude oil'!O339</f>
        <v>68.47</v>
      </c>
      <c r="P338">
        <f>'raw data Crude oil'!P339</f>
        <v>68.02</v>
      </c>
      <c r="Q338">
        <f>'raw data Crude oil'!Q339</f>
        <v>67.430000000000007</v>
      </c>
      <c r="R338">
        <f>'raw data Crude oil'!R339</f>
        <v>66.83</v>
      </c>
      <c r="S338">
        <f>'raw data Crude oil'!S339</f>
        <v>66.25</v>
      </c>
      <c r="T338">
        <f>'raw data Crude oil'!T339</f>
        <v>65.69</v>
      </c>
      <c r="U338">
        <f>'raw data Crude oil'!U339</f>
        <v>65.12</v>
      </c>
      <c r="V338">
        <f>'raw data Crude oil'!V339</f>
        <v>64.52</v>
      </c>
      <c r="W338">
        <f>'raw data Crude oil'!W339</f>
        <v>63.93</v>
      </c>
      <c r="X338">
        <f>'raw data Crude oil'!X339</f>
        <v>63.35</v>
      </c>
      <c r="Y338">
        <f>'raw data Crude oil'!Y339</f>
        <v>62.8</v>
      </c>
      <c r="Z338">
        <f>'raw data Crude oil'!Z339</f>
        <v>0</v>
      </c>
      <c r="AA338">
        <f>'raw data Crude oil'!AA339</f>
        <v>0</v>
      </c>
      <c r="AB338">
        <f>'raw data Crude oil'!AB339</f>
        <v>0</v>
      </c>
      <c r="AC338">
        <f>'raw data Crude oil'!AC339</f>
        <v>0</v>
      </c>
      <c r="AD338">
        <f>'raw data Crude oil'!AD339</f>
        <v>0</v>
      </c>
      <c r="AE338">
        <f>'raw data Crude oil'!AE339</f>
        <v>0</v>
      </c>
      <c r="AF338">
        <f>'raw data Crude oil'!AF339</f>
        <v>0</v>
      </c>
      <c r="AG338">
        <f>'raw data Crude oil'!AG339</f>
        <v>0</v>
      </c>
      <c r="AH338">
        <f>'raw data Crude oil'!AH339</f>
        <v>0</v>
      </c>
      <c r="AI338">
        <f>'raw data Crude oil'!AI339</f>
        <v>0</v>
      </c>
      <c r="AJ338">
        <f>'raw data Crude oil'!AJ339</f>
        <v>0</v>
      </c>
      <c r="AK338">
        <f>'raw data Crude oil'!AK339</f>
        <v>0</v>
      </c>
    </row>
    <row r="339" spans="1:37" x14ac:dyDescent="0.3">
      <c r="A339" s="18">
        <f>'raw data Crude oil'!A340</f>
        <v>43214</v>
      </c>
      <c r="B339">
        <f>'raw data Crude oil'!B340</f>
        <v>73.86</v>
      </c>
      <c r="C339">
        <f>'raw data Crude oil'!C340</f>
        <v>73.069999999999993</v>
      </c>
      <c r="D339">
        <f>'raw data Crude oil'!D340</f>
        <v>72.53</v>
      </c>
      <c r="E339">
        <f>'raw data Crude oil'!E340</f>
        <v>72.010000000000005</v>
      </c>
      <c r="F339">
        <f>'raw data Crude oil'!F340</f>
        <v>71.48</v>
      </c>
      <c r="G339">
        <f>'raw data Crude oil'!G340</f>
        <v>71</v>
      </c>
      <c r="H339">
        <f>'raw data Crude oil'!H340</f>
        <v>70.52</v>
      </c>
      <c r="I339">
        <f>'raw data Crude oil'!I340</f>
        <v>70.06</v>
      </c>
      <c r="J339">
        <f>'raw data Crude oil'!J340</f>
        <v>69.599999999999994</v>
      </c>
      <c r="K339">
        <f>'raw data Crude oil'!K340</f>
        <v>69.13</v>
      </c>
      <c r="L339">
        <f>'raw data Crude oil'!L340</f>
        <v>68.67</v>
      </c>
      <c r="M339">
        <f>'raw data Crude oil'!M340</f>
        <v>68.209999999999994</v>
      </c>
      <c r="N339">
        <f>'raw data Crude oil'!N340</f>
        <v>67.7</v>
      </c>
      <c r="O339">
        <f>'raw data Crude oil'!O340</f>
        <v>67.569999999999993</v>
      </c>
      <c r="P339">
        <f>'raw data Crude oil'!P340</f>
        <v>67.17</v>
      </c>
      <c r="Q339">
        <f>'raw data Crude oil'!Q340</f>
        <v>66.62</v>
      </c>
      <c r="R339">
        <f>'raw data Crude oil'!R340</f>
        <v>66.05</v>
      </c>
      <c r="S339">
        <f>'raw data Crude oil'!S340</f>
        <v>65.510000000000005</v>
      </c>
      <c r="T339">
        <f>'raw data Crude oil'!T340</f>
        <v>64.97</v>
      </c>
      <c r="U339">
        <f>'raw data Crude oil'!U340</f>
        <v>64.44</v>
      </c>
      <c r="V339">
        <f>'raw data Crude oil'!V340</f>
        <v>63.84</v>
      </c>
      <c r="W339">
        <f>'raw data Crude oil'!W340</f>
        <v>63.25</v>
      </c>
      <c r="X339">
        <f>'raw data Crude oil'!X340</f>
        <v>62.67</v>
      </c>
      <c r="Y339">
        <f>'raw data Crude oil'!Y340</f>
        <v>62.12</v>
      </c>
      <c r="Z339">
        <f>'raw data Crude oil'!Z340</f>
        <v>0</v>
      </c>
      <c r="AA339">
        <f>'raw data Crude oil'!AA340</f>
        <v>0</v>
      </c>
      <c r="AB339">
        <f>'raw data Crude oil'!AB340</f>
        <v>0</v>
      </c>
      <c r="AC339">
        <f>'raw data Crude oil'!AC340</f>
        <v>0</v>
      </c>
      <c r="AD339">
        <f>'raw data Crude oil'!AD340</f>
        <v>0</v>
      </c>
      <c r="AE339">
        <f>'raw data Crude oil'!AE340</f>
        <v>0</v>
      </c>
      <c r="AF339">
        <f>'raw data Crude oil'!AF340</f>
        <v>0</v>
      </c>
      <c r="AG339">
        <f>'raw data Crude oil'!AG340</f>
        <v>0</v>
      </c>
      <c r="AH339">
        <f>'raw data Crude oil'!AH340</f>
        <v>0</v>
      </c>
      <c r="AI339">
        <f>'raw data Crude oil'!AI340</f>
        <v>0</v>
      </c>
      <c r="AJ339">
        <f>'raw data Crude oil'!AJ340</f>
        <v>0</v>
      </c>
      <c r="AK339">
        <f>'raw data Crude oil'!AK340</f>
        <v>0</v>
      </c>
    </row>
    <row r="340" spans="1:37" x14ac:dyDescent="0.3">
      <c r="A340" s="18">
        <f>'raw data Crude oil'!A341</f>
        <v>43215</v>
      </c>
      <c r="B340">
        <f>'raw data Crude oil'!B341</f>
        <v>74</v>
      </c>
      <c r="C340">
        <f>'raw data Crude oil'!C341</f>
        <v>73.23</v>
      </c>
      <c r="D340">
        <f>'raw data Crude oil'!D341</f>
        <v>72.72</v>
      </c>
      <c r="E340">
        <f>'raw data Crude oil'!E341</f>
        <v>72.22</v>
      </c>
      <c r="F340">
        <f>'raw data Crude oil'!F341</f>
        <v>71.7</v>
      </c>
      <c r="G340">
        <f>'raw data Crude oil'!G341</f>
        <v>71.22</v>
      </c>
      <c r="H340">
        <f>'raw data Crude oil'!H341</f>
        <v>70.739999999999995</v>
      </c>
      <c r="I340">
        <f>'raw data Crude oil'!I341</f>
        <v>70.27</v>
      </c>
      <c r="J340">
        <f>'raw data Crude oil'!J341</f>
        <v>69.8</v>
      </c>
      <c r="K340">
        <f>'raw data Crude oil'!K341</f>
        <v>69.33</v>
      </c>
      <c r="L340">
        <f>'raw data Crude oil'!L341</f>
        <v>68.88</v>
      </c>
      <c r="M340">
        <f>'raw data Crude oil'!M341</f>
        <v>68.42</v>
      </c>
      <c r="N340">
        <f>'raw data Crude oil'!N341</f>
        <v>68.05</v>
      </c>
      <c r="O340">
        <f>'raw data Crude oil'!O341</f>
        <v>67.92</v>
      </c>
      <c r="P340">
        <f>'raw data Crude oil'!P341</f>
        <v>67.53</v>
      </c>
      <c r="Q340">
        <f>'raw data Crude oil'!Q341</f>
        <v>66.98</v>
      </c>
      <c r="R340">
        <f>'raw data Crude oil'!R341</f>
        <v>66.41</v>
      </c>
      <c r="S340">
        <f>'raw data Crude oil'!S341</f>
        <v>65.87</v>
      </c>
      <c r="T340">
        <f>'raw data Crude oil'!T341</f>
        <v>65.34</v>
      </c>
      <c r="U340">
        <f>'raw data Crude oil'!U341</f>
        <v>64.8</v>
      </c>
      <c r="V340">
        <f>'raw data Crude oil'!V341</f>
        <v>64.19</v>
      </c>
      <c r="W340">
        <f>'raw data Crude oil'!W341</f>
        <v>63.59</v>
      </c>
      <c r="X340">
        <f>'raw data Crude oil'!X341</f>
        <v>63.01</v>
      </c>
      <c r="Y340">
        <f>'raw data Crude oil'!Y341</f>
        <v>62.44</v>
      </c>
      <c r="Z340">
        <f>'raw data Crude oil'!Z341</f>
        <v>0</v>
      </c>
      <c r="AA340">
        <f>'raw data Crude oil'!AA341</f>
        <v>0</v>
      </c>
      <c r="AB340">
        <f>'raw data Crude oil'!AB341</f>
        <v>0</v>
      </c>
      <c r="AC340">
        <f>'raw data Crude oil'!AC341</f>
        <v>0</v>
      </c>
      <c r="AD340">
        <f>'raw data Crude oil'!AD341</f>
        <v>0</v>
      </c>
      <c r="AE340">
        <f>'raw data Crude oil'!AE341</f>
        <v>0</v>
      </c>
      <c r="AF340">
        <f>'raw data Crude oil'!AF341</f>
        <v>0</v>
      </c>
      <c r="AG340">
        <f>'raw data Crude oil'!AG341</f>
        <v>0</v>
      </c>
      <c r="AH340">
        <f>'raw data Crude oil'!AH341</f>
        <v>0</v>
      </c>
      <c r="AI340">
        <f>'raw data Crude oil'!AI341</f>
        <v>0</v>
      </c>
      <c r="AJ340">
        <f>'raw data Crude oil'!AJ341</f>
        <v>0</v>
      </c>
      <c r="AK340">
        <f>'raw data Crude oil'!AK341</f>
        <v>0</v>
      </c>
    </row>
    <row r="341" spans="1:37" x14ac:dyDescent="0.3">
      <c r="A341" s="18">
        <f>'raw data Crude oil'!A342</f>
        <v>43216</v>
      </c>
      <c r="B341">
        <f>'raw data Crude oil'!B342</f>
        <v>74.739999999999995</v>
      </c>
      <c r="C341">
        <f>'raw data Crude oil'!C342</f>
        <v>73.88</v>
      </c>
      <c r="D341">
        <f>'raw data Crude oil'!D342</f>
        <v>73.34</v>
      </c>
      <c r="E341">
        <f>'raw data Crude oil'!E342</f>
        <v>72.790000000000006</v>
      </c>
      <c r="F341">
        <f>'raw data Crude oil'!F342</f>
        <v>72.239999999999995</v>
      </c>
      <c r="G341">
        <f>'raw data Crude oil'!G342</f>
        <v>71.739999999999995</v>
      </c>
      <c r="H341">
        <f>'raw data Crude oil'!H342</f>
        <v>71.239999999999995</v>
      </c>
      <c r="I341">
        <f>'raw data Crude oil'!I342</f>
        <v>70.760000000000005</v>
      </c>
      <c r="J341">
        <f>'raw data Crude oil'!J342</f>
        <v>70.27</v>
      </c>
      <c r="K341">
        <f>'raw data Crude oil'!K342</f>
        <v>69.78</v>
      </c>
      <c r="L341">
        <f>'raw data Crude oil'!L342</f>
        <v>69.31</v>
      </c>
      <c r="M341">
        <f>'raw data Crude oil'!M342</f>
        <v>68.83</v>
      </c>
      <c r="N341">
        <f>'raw data Crude oil'!N342</f>
        <v>68.19</v>
      </c>
      <c r="O341">
        <f>'raw data Crude oil'!O342</f>
        <v>68.08</v>
      </c>
      <c r="P341">
        <f>'raw data Crude oil'!P342</f>
        <v>67.739999999999995</v>
      </c>
      <c r="Q341">
        <f>'raw data Crude oil'!Q342</f>
        <v>67.209999999999994</v>
      </c>
      <c r="R341">
        <f>'raw data Crude oil'!R342</f>
        <v>66.64</v>
      </c>
      <c r="S341">
        <f>'raw data Crude oil'!S342</f>
        <v>66.11</v>
      </c>
      <c r="T341">
        <f>'raw data Crude oil'!T342</f>
        <v>65.569999999999993</v>
      </c>
      <c r="U341">
        <f>'raw data Crude oil'!U342</f>
        <v>65.02</v>
      </c>
      <c r="V341">
        <f>'raw data Crude oil'!V342</f>
        <v>64.400000000000006</v>
      </c>
      <c r="W341">
        <f>'raw data Crude oil'!W342</f>
        <v>63.78</v>
      </c>
      <c r="X341">
        <f>'raw data Crude oil'!X342</f>
        <v>63.17</v>
      </c>
      <c r="Y341">
        <f>'raw data Crude oil'!Y342</f>
        <v>62.59</v>
      </c>
      <c r="Z341">
        <f>'raw data Crude oil'!Z342</f>
        <v>0</v>
      </c>
      <c r="AA341">
        <f>'raw data Crude oil'!AA342</f>
        <v>0</v>
      </c>
      <c r="AB341">
        <f>'raw data Crude oil'!AB342</f>
        <v>0</v>
      </c>
      <c r="AC341">
        <f>'raw data Crude oil'!AC342</f>
        <v>0</v>
      </c>
      <c r="AD341">
        <f>'raw data Crude oil'!AD342</f>
        <v>0</v>
      </c>
      <c r="AE341">
        <f>'raw data Crude oil'!AE342</f>
        <v>0</v>
      </c>
      <c r="AF341">
        <f>'raw data Crude oil'!AF342</f>
        <v>0</v>
      </c>
      <c r="AG341">
        <f>'raw data Crude oil'!AG342</f>
        <v>0</v>
      </c>
      <c r="AH341">
        <f>'raw data Crude oil'!AH342</f>
        <v>0</v>
      </c>
      <c r="AI341">
        <f>'raw data Crude oil'!AI342</f>
        <v>0</v>
      </c>
      <c r="AJ341">
        <f>'raw data Crude oil'!AJ342</f>
        <v>0</v>
      </c>
      <c r="AK341">
        <f>'raw data Crude oil'!AK342</f>
        <v>0</v>
      </c>
    </row>
    <row r="342" spans="1:37" x14ac:dyDescent="0.3">
      <c r="A342" s="18">
        <f>'raw data Crude oil'!A343</f>
        <v>43217</v>
      </c>
      <c r="B342">
        <f>'raw data Crude oil'!B343</f>
        <v>74.64</v>
      </c>
      <c r="C342">
        <f>'raw data Crude oil'!C343</f>
        <v>73.790000000000006</v>
      </c>
      <c r="D342">
        <f>'raw data Crude oil'!D343</f>
        <v>73.25</v>
      </c>
      <c r="E342">
        <f>'raw data Crude oil'!E343</f>
        <v>72.7</v>
      </c>
      <c r="F342">
        <f>'raw data Crude oil'!F343</f>
        <v>72.150000000000006</v>
      </c>
      <c r="G342">
        <f>'raw data Crude oil'!G343</f>
        <v>71.66</v>
      </c>
      <c r="H342">
        <f>'raw data Crude oil'!H343</f>
        <v>71.17</v>
      </c>
      <c r="I342">
        <f>'raw data Crude oil'!I343</f>
        <v>70.69</v>
      </c>
      <c r="J342">
        <f>'raw data Crude oil'!J343</f>
        <v>70.2</v>
      </c>
      <c r="K342">
        <f>'raw data Crude oil'!K343</f>
        <v>69.72</v>
      </c>
      <c r="L342">
        <f>'raw data Crude oil'!L343</f>
        <v>69.25</v>
      </c>
      <c r="M342">
        <f>'raw data Crude oil'!M343</f>
        <v>68.77</v>
      </c>
      <c r="N342">
        <f>'raw data Crude oil'!N343</f>
        <v>68.099999999999994</v>
      </c>
      <c r="O342">
        <f>'raw data Crude oil'!O343</f>
        <v>67.98</v>
      </c>
      <c r="P342">
        <f>'raw data Crude oil'!P343</f>
        <v>67.63</v>
      </c>
      <c r="Q342">
        <f>'raw data Crude oil'!Q343</f>
        <v>67.099999999999994</v>
      </c>
      <c r="R342">
        <f>'raw data Crude oil'!R343</f>
        <v>66.52</v>
      </c>
      <c r="S342">
        <f>'raw data Crude oil'!S343</f>
        <v>65.97</v>
      </c>
      <c r="T342">
        <f>'raw data Crude oil'!T343</f>
        <v>65.430000000000007</v>
      </c>
      <c r="U342">
        <f>'raw data Crude oil'!U343</f>
        <v>64.89</v>
      </c>
      <c r="V342">
        <f>'raw data Crude oil'!V343</f>
        <v>64.260000000000005</v>
      </c>
      <c r="W342">
        <f>'raw data Crude oil'!W343</f>
        <v>63.64</v>
      </c>
      <c r="X342">
        <f>'raw data Crude oil'!X343</f>
        <v>63.04</v>
      </c>
      <c r="Y342">
        <f>'raw data Crude oil'!Y343</f>
        <v>62.45</v>
      </c>
      <c r="Z342">
        <f>'raw data Crude oil'!Z343</f>
        <v>0</v>
      </c>
      <c r="AA342">
        <f>'raw data Crude oil'!AA343</f>
        <v>0</v>
      </c>
      <c r="AB342">
        <f>'raw data Crude oil'!AB343</f>
        <v>0</v>
      </c>
      <c r="AC342">
        <f>'raw data Crude oil'!AC343</f>
        <v>0</v>
      </c>
      <c r="AD342">
        <f>'raw data Crude oil'!AD343</f>
        <v>0</v>
      </c>
      <c r="AE342">
        <f>'raw data Crude oil'!AE343</f>
        <v>0</v>
      </c>
      <c r="AF342">
        <f>'raw data Crude oil'!AF343</f>
        <v>0</v>
      </c>
      <c r="AG342">
        <f>'raw data Crude oil'!AG343</f>
        <v>0</v>
      </c>
      <c r="AH342">
        <f>'raw data Crude oil'!AH343</f>
        <v>0</v>
      </c>
      <c r="AI342">
        <f>'raw data Crude oil'!AI343</f>
        <v>0</v>
      </c>
      <c r="AJ342">
        <f>'raw data Crude oil'!AJ343</f>
        <v>0</v>
      </c>
      <c r="AK342">
        <f>'raw data Crude oil'!AK343</f>
        <v>0</v>
      </c>
    </row>
    <row r="343" spans="1:37" x14ac:dyDescent="0.3">
      <c r="A343" s="18">
        <f>'raw data Crude oil'!A344</f>
        <v>43220</v>
      </c>
      <c r="B343">
        <f>'raw data Crude oil'!B344</f>
        <v>75.17</v>
      </c>
      <c r="C343">
        <f>'raw data Crude oil'!C344</f>
        <v>74.69</v>
      </c>
      <c r="D343">
        <f>'raw data Crude oil'!D344</f>
        <v>74.17</v>
      </c>
      <c r="E343">
        <f>'raw data Crude oil'!E344</f>
        <v>73.599999999999994</v>
      </c>
      <c r="F343">
        <f>'raw data Crude oil'!F344</f>
        <v>73.040000000000006</v>
      </c>
      <c r="G343">
        <f>'raw data Crude oil'!G344</f>
        <v>72.540000000000006</v>
      </c>
      <c r="H343">
        <f>'raw data Crude oil'!H344</f>
        <v>72.040000000000006</v>
      </c>
      <c r="I343">
        <f>'raw data Crude oil'!I344</f>
        <v>71.540000000000006</v>
      </c>
      <c r="J343">
        <f>'raw data Crude oil'!J344</f>
        <v>71.040000000000006</v>
      </c>
      <c r="K343">
        <f>'raw data Crude oil'!K344</f>
        <v>70.540000000000006</v>
      </c>
      <c r="L343">
        <f>'raw data Crude oil'!L344</f>
        <v>70.05</v>
      </c>
      <c r="M343">
        <f>'raw data Crude oil'!M344</f>
        <v>69.56</v>
      </c>
      <c r="N343">
        <f>'raw data Crude oil'!N344</f>
        <v>68.569999999999993</v>
      </c>
      <c r="O343">
        <f>'raw data Crude oil'!O344</f>
        <v>68.48</v>
      </c>
      <c r="P343">
        <f>'raw data Crude oil'!P344</f>
        <v>68.17</v>
      </c>
      <c r="Q343">
        <f>'raw data Crude oil'!Q344</f>
        <v>67.680000000000007</v>
      </c>
      <c r="R343">
        <f>'raw data Crude oil'!R344</f>
        <v>67.09</v>
      </c>
      <c r="S343">
        <f>'raw data Crude oil'!S344</f>
        <v>66.540000000000006</v>
      </c>
      <c r="T343">
        <f>'raw data Crude oil'!T344</f>
        <v>65.989999999999995</v>
      </c>
      <c r="U343">
        <f>'raw data Crude oil'!U344</f>
        <v>65.430000000000007</v>
      </c>
      <c r="V343">
        <f>'raw data Crude oil'!V344</f>
        <v>64.8</v>
      </c>
      <c r="W343">
        <f>'raw data Crude oil'!W344</f>
        <v>64.180000000000007</v>
      </c>
      <c r="X343">
        <f>'raw data Crude oil'!X344</f>
        <v>63.57</v>
      </c>
      <c r="Y343">
        <f>'raw data Crude oil'!Y344</f>
        <v>62.98</v>
      </c>
      <c r="Z343">
        <f>'raw data Crude oil'!Z344</f>
        <v>0</v>
      </c>
      <c r="AA343">
        <f>'raw data Crude oil'!AA344</f>
        <v>0</v>
      </c>
      <c r="AB343">
        <f>'raw data Crude oil'!AB344</f>
        <v>0</v>
      </c>
      <c r="AC343">
        <f>'raw data Crude oil'!AC344</f>
        <v>0</v>
      </c>
      <c r="AD343">
        <f>'raw data Crude oil'!AD344</f>
        <v>0</v>
      </c>
      <c r="AE343">
        <f>'raw data Crude oil'!AE344</f>
        <v>0</v>
      </c>
      <c r="AF343">
        <f>'raw data Crude oil'!AF344</f>
        <v>0</v>
      </c>
      <c r="AG343">
        <f>'raw data Crude oil'!AG344</f>
        <v>0</v>
      </c>
      <c r="AH343">
        <f>'raw data Crude oil'!AH344</f>
        <v>0</v>
      </c>
      <c r="AI343">
        <f>'raw data Crude oil'!AI344</f>
        <v>0</v>
      </c>
      <c r="AJ343">
        <f>'raw data Crude oil'!AJ344</f>
        <v>0</v>
      </c>
      <c r="AK343">
        <f>'raw data Crude oil'!AK344</f>
        <v>0</v>
      </c>
    </row>
    <row r="344" spans="1:37" x14ac:dyDescent="0.3">
      <c r="A344" s="18">
        <f>'raw data Crude oil'!A345</f>
        <v>43221</v>
      </c>
      <c r="B344">
        <f>'raw data Crude oil'!B345</f>
        <v>73.13</v>
      </c>
      <c r="C344">
        <f>'raw data Crude oil'!C345</f>
        <v>72.7</v>
      </c>
      <c r="D344">
        <f>'raw data Crude oil'!D345</f>
        <v>72.209999999999994</v>
      </c>
      <c r="E344">
        <f>'raw data Crude oil'!E345</f>
        <v>71.709999999999994</v>
      </c>
      <c r="F344">
        <f>'raw data Crude oil'!F345</f>
        <v>71.239999999999995</v>
      </c>
      <c r="G344">
        <f>'raw data Crude oil'!G345</f>
        <v>70.77</v>
      </c>
      <c r="H344">
        <f>'raw data Crude oil'!H345</f>
        <v>70.319999999999993</v>
      </c>
      <c r="I344">
        <f>'raw data Crude oil'!I345</f>
        <v>69.87</v>
      </c>
      <c r="J344">
        <f>'raw data Crude oil'!J345</f>
        <v>69.42</v>
      </c>
      <c r="K344">
        <f>'raw data Crude oil'!K345</f>
        <v>68.98</v>
      </c>
      <c r="L344">
        <f>'raw data Crude oil'!L345</f>
        <v>68.540000000000006</v>
      </c>
      <c r="M344">
        <f>'raw data Crude oil'!M345</f>
        <v>68.11</v>
      </c>
      <c r="N344">
        <f>'raw data Crude oil'!N345</f>
        <v>67.25</v>
      </c>
      <c r="O344">
        <f>'raw data Crude oil'!O345</f>
        <v>67.13</v>
      </c>
      <c r="P344">
        <f>'raw data Crude oil'!P345</f>
        <v>66.819999999999993</v>
      </c>
      <c r="Q344">
        <f>'raw data Crude oil'!Q345</f>
        <v>66.349999999999994</v>
      </c>
      <c r="R344">
        <f>'raw data Crude oil'!R345</f>
        <v>65.790000000000006</v>
      </c>
      <c r="S344">
        <f>'raw data Crude oil'!S345</f>
        <v>65.260000000000005</v>
      </c>
      <c r="T344">
        <f>'raw data Crude oil'!T345</f>
        <v>64.760000000000005</v>
      </c>
      <c r="U344">
        <f>'raw data Crude oil'!U345</f>
        <v>64.239999999999995</v>
      </c>
      <c r="V344">
        <f>'raw data Crude oil'!V345</f>
        <v>63.67</v>
      </c>
      <c r="W344">
        <f>'raw data Crude oil'!W345</f>
        <v>63.11</v>
      </c>
      <c r="X344">
        <f>'raw data Crude oil'!X345</f>
        <v>62.55</v>
      </c>
      <c r="Y344">
        <f>'raw data Crude oil'!Y345</f>
        <v>62.02</v>
      </c>
      <c r="Z344">
        <f>'raw data Crude oil'!Z345</f>
        <v>0</v>
      </c>
      <c r="AA344">
        <f>'raw data Crude oil'!AA345</f>
        <v>0</v>
      </c>
      <c r="AB344">
        <f>'raw data Crude oil'!AB345</f>
        <v>0</v>
      </c>
      <c r="AC344">
        <f>'raw data Crude oil'!AC345</f>
        <v>0</v>
      </c>
      <c r="AD344">
        <f>'raw data Crude oil'!AD345</f>
        <v>0</v>
      </c>
      <c r="AE344">
        <f>'raw data Crude oil'!AE345</f>
        <v>0</v>
      </c>
      <c r="AF344">
        <f>'raw data Crude oil'!AF345</f>
        <v>0</v>
      </c>
      <c r="AG344">
        <f>'raw data Crude oil'!AG345</f>
        <v>0</v>
      </c>
      <c r="AH344">
        <f>'raw data Crude oil'!AH345</f>
        <v>0</v>
      </c>
      <c r="AI344">
        <f>'raw data Crude oil'!AI345</f>
        <v>0</v>
      </c>
      <c r="AJ344">
        <f>'raw data Crude oil'!AJ345</f>
        <v>0</v>
      </c>
      <c r="AK344">
        <f>'raw data Crude oil'!AK345</f>
        <v>0</v>
      </c>
    </row>
    <row r="345" spans="1:37" x14ac:dyDescent="0.3">
      <c r="A345" s="18">
        <f>'raw data Crude oil'!A346</f>
        <v>43222</v>
      </c>
      <c r="B345">
        <f>'raw data Crude oil'!B346</f>
        <v>73.36</v>
      </c>
      <c r="C345">
        <f>'raw data Crude oil'!C346</f>
        <v>72.94</v>
      </c>
      <c r="D345">
        <f>'raw data Crude oil'!D346</f>
        <v>72.400000000000006</v>
      </c>
      <c r="E345">
        <f>'raw data Crude oil'!E346</f>
        <v>71.87</v>
      </c>
      <c r="F345">
        <f>'raw data Crude oil'!F346</f>
        <v>71.400000000000006</v>
      </c>
      <c r="G345">
        <f>'raw data Crude oil'!G346</f>
        <v>70.92</v>
      </c>
      <c r="H345">
        <f>'raw data Crude oil'!H346</f>
        <v>70.459999999999994</v>
      </c>
      <c r="I345">
        <f>'raw data Crude oil'!I346</f>
        <v>70</v>
      </c>
      <c r="J345">
        <f>'raw data Crude oil'!J346</f>
        <v>69.53</v>
      </c>
      <c r="K345">
        <f>'raw data Crude oil'!K346</f>
        <v>69.08</v>
      </c>
      <c r="L345">
        <f>'raw data Crude oil'!L346</f>
        <v>68.63</v>
      </c>
      <c r="M345">
        <f>'raw data Crude oil'!M346</f>
        <v>68.180000000000007</v>
      </c>
      <c r="N345">
        <f>'raw data Crude oil'!N346</f>
        <v>67.930000000000007</v>
      </c>
      <c r="O345">
        <f>'raw data Crude oil'!O346</f>
        <v>67.77</v>
      </c>
      <c r="P345">
        <f>'raw data Crude oil'!P346</f>
        <v>67.349999999999994</v>
      </c>
      <c r="Q345">
        <f>'raw data Crude oil'!Q346</f>
        <v>66.819999999999993</v>
      </c>
      <c r="R345">
        <f>'raw data Crude oil'!R346</f>
        <v>66.23</v>
      </c>
      <c r="S345">
        <f>'raw data Crude oil'!S346</f>
        <v>65.69</v>
      </c>
      <c r="T345">
        <f>'raw data Crude oil'!T346</f>
        <v>65.180000000000007</v>
      </c>
      <c r="U345">
        <f>'raw data Crude oil'!U346</f>
        <v>64.650000000000006</v>
      </c>
      <c r="V345">
        <f>'raw data Crude oil'!V346</f>
        <v>64.06</v>
      </c>
      <c r="W345">
        <f>'raw data Crude oil'!W346</f>
        <v>63.47</v>
      </c>
      <c r="X345">
        <f>'raw data Crude oil'!X346</f>
        <v>62.89</v>
      </c>
      <c r="Y345">
        <f>'raw data Crude oil'!Y346</f>
        <v>62.33</v>
      </c>
      <c r="Z345">
        <f>'raw data Crude oil'!Z346</f>
        <v>0</v>
      </c>
      <c r="AA345">
        <f>'raw data Crude oil'!AA346</f>
        <v>0</v>
      </c>
      <c r="AB345">
        <f>'raw data Crude oil'!AB346</f>
        <v>0</v>
      </c>
      <c r="AC345">
        <f>'raw data Crude oil'!AC346</f>
        <v>0</v>
      </c>
      <c r="AD345">
        <f>'raw data Crude oil'!AD346</f>
        <v>0</v>
      </c>
      <c r="AE345">
        <f>'raw data Crude oil'!AE346</f>
        <v>0</v>
      </c>
      <c r="AF345">
        <f>'raw data Crude oil'!AF346</f>
        <v>0</v>
      </c>
      <c r="AG345">
        <f>'raw data Crude oil'!AG346</f>
        <v>0</v>
      </c>
      <c r="AH345">
        <f>'raw data Crude oil'!AH346</f>
        <v>0</v>
      </c>
      <c r="AI345">
        <f>'raw data Crude oil'!AI346</f>
        <v>0</v>
      </c>
      <c r="AJ345">
        <f>'raw data Crude oil'!AJ346</f>
        <v>0</v>
      </c>
      <c r="AK345">
        <f>'raw data Crude oil'!AK346</f>
        <v>0</v>
      </c>
    </row>
    <row r="346" spans="1:37" x14ac:dyDescent="0.3">
      <c r="A346" s="18">
        <f>'raw data Crude oil'!A347</f>
        <v>43223</v>
      </c>
      <c r="B346">
        <f>'raw data Crude oil'!B347</f>
        <v>73.62</v>
      </c>
      <c r="C346">
        <f>'raw data Crude oil'!C347</f>
        <v>73.22</v>
      </c>
      <c r="D346">
        <f>'raw data Crude oil'!D347</f>
        <v>72.650000000000006</v>
      </c>
      <c r="E346">
        <f>'raw data Crude oil'!E347</f>
        <v>72.08</v>
      </c>
      <c r="F346">
        <f>'raw data Crude oil'!F347</f>
        <v>71.599999999999994</v>
      </c>
      <c r="G346">
        <f>'raw data Crude oil'!G347</f>
        <v>71.12</v>
      </c>
      <c r="H346">
        <f>'raw data Crude oil'!H347</f>
        <v>70.66</v>
      </c>
      <c r="I346">
        <f>'raw data Crude oil'!I347</f>
        <v>70.2</v>
      </c>
      <c r="J346">
        <f>'raw data Crude oil'!J347</f>
        <v>69.73</v>
      </c>
      <c r="K346">
        <f>'raw data Crude oil'!K347</f>
        <v>69.28</v>
      </c>
      <c r="L346">
        <f>'raw data Crude oil'!L347</f>
        <v>68.81</v>
      </c>
      <c r="M346">
        <f>'raw data Crude oil'!M347</f>
        <v>68.349999999999994</v>
      </c>
      <c r="N346">
        <f>'raw data Crude oil'!N347</f>
        <v>68.430000000000007</v>
      </c>
      <c r="O346">
        <f>'raw data Crude oil'!O347</f>
        <v>68.260000000000005</v>
      </c>
      <c r="P346">
        <f>'raw data Crude oil'!P347</f>
        <v>67.8</v>
      </c>
      <c r="Q346">
        <f>'raw data Crude oil'!Q347</f>
        <v>67.22</v>
      </c>
      <c r="R346">
        <f>'raw data Crude oil'!R347</f>
        <v>66.64</v>
      </c>
      <c r="S346">
        <f>'raw data Crude oil'!S347</f>
        <v>66.12</v>
      </c>
      <c r="T346">
        <f>'raw data Crude oil'!T347</f>
        <v>65.62</v>
      </c>
      <c r="U346">
        <f>'raw data Crude oil'!U347</f>
        <v>65.09</v>
      </c>
      <c r="V346">
        <f>'raw data Crude oil'!V347</f>
        <v>64.489999999999995</v>
      </c>
      <c r="W346">
        <f>'raw data Crude oil'!W347</f>
        <v>63.9</v>
      </c>
      <c r="X346">
        <f>'raw data Crude oil'!X347</f>
        <v>63.32</v>
      </c>
      <c r="Y346">
        <f>'raw data Crude oil'!Y347</f>
        <v>62.75</v>
      </c>
      <c r="Z346">
        <f>'raw data Crude oil'!Z347</f>
        <v>0</v>
      </c>
      <c r="AA346">
        <f>'raw data Crude oil'!AA347</f>
        <v>0</v>
      </c>
      <c r="AB346">
        <f>'raw data Crude oil'!AB347</f>
        <v>0</v>
      </c>
      <c r="AC346">
        <f>'raw data Crude oil'!AC347</f>
        <v>0</v>
      </c>
      <c r="AD346">
        <f>'raw data Crude oil'!AD347</f>
        <v>0</v>
      </c>
      <c r="AE346">
        <f>'raw data Crude oil'!AE347</f>
        <v>0</v>
      </c>
      <c r="AF346">
        <f>'raw data Crude oil'!AF347</f>
        <v>0</v>
      </c>
      <c r="AG346">
        <f>'raw data Crude oil'!AG347</f>
        <v>0</v>
      </c>
      <c r="AH346">
        <f>'raw data Crude oil'!AH347</f>
        <v>0</v>
      </c>
      <c r="AI346">
        <f>'raw data Crude oil'!AI347</f>
        <v>0</v>
      </c>
      <c r="AJ346">
        <f>'raw data Crude oil'!AJ347</f>
        <v>0</v>
      </c>
      <c r="AK346">
        <f>'raw data Crude oil'!AK347</f>
        <v>0</v>
      </c>
    </row>
    <row r="347" spans="1:37" x14ac:dyDescent="0.3">
      <c r="A347" s="18">
        <f>'raw data Crude oil'!A348</f>
        <v>43224</v>
      </c>
      <c r="B347">
        <f>'raw data Crude oil'!B348</f>
        <v>74.87</v>
      </c>
      <c r="C347">
        <f>'raw data Crude oil'!C348</f>
        <v>74.52</v>
      </c>
      <c r="D347">
        <f>'raw data Crude oil'!D348</f>
        <v>73.989999999999995</v>
      </c>
      <c r="E347">
        <f>'raw data Crude oil'!E348</f>
        <v>73.459999999999994</v>
      </c>
      <c r="F347">
        <f>'raw data Crude oil'!F348</f>
        <v>73</v>
      </c>
      <c r="G347">
        <f>'raw data Crude oil'!G348</f>
        <v>72.540000000000006</v>
      </c>
      <c r="H347">
        <f>'raw data Crude oil'!H348</f>
        <v>72.09</v>
      </c>
      <c r="I347">
        <f>'raw data Crude oil'!I348</f>
        <v>71.62</v>
      </c>
      <c r="J347">
        <f>'raw data Crude oil'!J348</f>
        <v>71.16</v>
      </c>
      <c r="K347">
        <f>'raw data Crude oil'!K348</f>
        <v>70.7</v>
      </c>
      <c r="L347">
        <f>'raw data Crude oil'!L348</f>
        <v>70.22</v>
      </c>
      <c r="M347">
        <f>'raw data Crude oil'!M348</f>
        <v>69.760000000000005</v>
      </c>
      <c r="N347">
        <f>'raw data Crude oil'!N348</f>
        <v>69.72</v>
      </c>
      <c r="O347">
        <f>'raw data Crude oil'!O348</f>
        <v>69.58</v>
      </c>
      <c r="P347">
        <f>'raw data Crude oil'!P348</f>
        <v>69.16</v>
      </c>
      <c r="Q347">
        <f>'raw data Crude oil'!Q348</f>
        <v>68.62</v>
      </c>
      <c r="R347">
        <f>'raw data Crude oil'!R348</f>
        <v>68.05</v>
      </c>
      <c r="S347">
        <f>'raw data Crude oil'!S348</f>
        <v>67.52</v>
      </c>
      <c r="T347">
        <f>'raw data Crude oil'!T348</f>
        <v>67.010000000000005</v>
      </c>
      <c r="U347">
        <f>'raw data Crude oil'!U348</f>
        <v>66.48</v>
      </c>
      <c r="V347">
        <f>'raw data Crude oil'!V348</f>
        <v>65.87</v>
      </c>
      <c r="W347">
        <f>'raw data Crude oil'!W348</f>
        <v>65.260000000000005</v>
      </c>
      <c r="X347">
        <f>'raw data Crude oil'!X348</f>
        <v>64.67</v>
      </c>
      <c r="Y347">
        <f>'raw data Crude oil'!Y348</f>
        <v>64.09</v>
      </c>
      <c r="Z347">
        <f>'raw data Crude oil'!Z348</f>
        <v>0</v>
      </c>
      <c r="AA347">
        <f>'raw data Crude oil'!AA348</f>
        <v>0</v>
      </c>
      <c r="AB347">
        <f>'raw data Crude oil'!AB348</f>
        <v>0</v>
      </c>
      <c r="AC347">
        <f>'raw data Crude oil'!AC348</f>
        <v>0</v>
      </c>
      <c r="AD347">
        <f>'raw data Crude oil'!AD348</f>
        <v>0</v>
      </c>
      <c r="AE347">
        <f>'raw data Crude oil'!AE348</f>
        <v>0</v>
      </c>
      <c r="AF347">
        <f>'raw data Crude oil'!AF348</f>
        <v>0</v>
      </c>
      <c r="AG347">
        <f>'raw data Crude oil'!AG348</f>
        <v>0</v>
      </c>
      <c r="AH347">
        <f>'raw data Crude oil'!AH348</f>
        <v>0</v>
      </c>
      <c r="AI347">
        <f>'raw data Crude oil'!AI348</f>
        <v>0</v>
      </c>
      <c r="AJ347">
        <f>'raw data Crude oil'!AJ348</f>
        <v>0</v>
      </c>
      <c r="AK347">
        <f>'raw data Crude oil'!AK348</f>
        <v>0</v>
      </c>
    </row>
    <row r="348" spans="1:37" x14ac:dyDescent="0.3">
      <c r="A348" s="18">
        <f>'raw data Crude oil'!A349</f>
        <v>43227</v>
      </c>
      <c r="B348">
        <f>'raw data Crude oil'!B349</f>
        <v>76.17</v>
      </c>
      <c r="C348">
        <f>'raw data Crude oil'!C349</f>
        <v>75.83</v>
      </c>
      <c r="D348">
        <f>'raw data Crude oil'!D349</f>
        <v>75.33</v>
      </c>
      <c r="E348">
        <f>'raw data Crude oil'!E349</f>
        <v>74.81</v>
      </c>
      <c r="F348">
        <f>'raw data Crude oil'!F349</f>
        <v>74.33</v>
      </c>
      <c r="G348">
        <f>'raw data Crude oil'!G349</f>
        <v>73.83</v>
      </c>
      <c r="H348">
        <f>'raw data Crude oil'!H349</f>
        <v>73.34</v>
      </c>
      <c r="I348">
        <f>'raw data Crude oil'!I349</f>
        <v>72.849999999999994</v>
      </c>
      <c r="J348">
        <f>'raw data Crude oil'!J349</f>
        <v>72.36</v>
      </c>
      <c r="K348">
        <f>'raw data Crude oil'!K349</f>
        <v>71.88</v>
      </c>
      <c r="L348">
        <f>'raw data Crude oil'!L349</f>
        <v>71.38</v>
      </c>
      <c r="M348">
        <f>'raw data Crude oil'!M349</f>
        <v>70.89</v>
      </c>
      <c r="N348">
        <f>'raw data Crude oil'!N349</f>
        <v>70.73</v>
      </c>
      <c r="O348">
        <f>'raw data Crude oil'!O349</f>
        <v>70.62</v>
      </c>
      <c r="P348">
        <f>'raw data Crude oil'!P349</f>
        <v>70.260000000000005</v>
      </c>
      <c r="Q348">
        <f>'raw data Crude oil'!Q349</f>
        <v>69.760000000000005</v>
      </c>
      <c r="R348">
        <f>'raw data Crude oil'!R349</f>
        <v>69.209999999999994</v>
      </c>
      <c r="S348">
        <f>'raw data Crude oil'!S349</f>
        <v>68.69</v>
      </c>
      <c r="T348">
        <f>'raw data Crude oil'!T349</f>
        <v>68.17</v>
      </c>
      <c r="U348">
        <f>'raw data Crude oil'!U349</f>
        <v>67.63</v>
      </c>
      <c r="V348">
        <f>'raw data Crude oil'!V349</f>
        <v>67.010000000000005</v>
      </c>
      <c r="W348">
        <f>'raw data Crude oil'!W349</f>
        <v>66.38</v>
      </c>
      <c r="X348">
        <f>'raw data Crude oil'!X349</f>
        <v>65.75</v>
      </c>
      <c r="Y348">
        <f>'raw data Crude oil'!Y349</f>
        <v>65.14</v>
      </c>
      <c r="Z348">
        <f>'raw data Crude oil'!Z349</f>
        <v>0</v>
      </c>
      <c r="AA348">
        <f>'raw data Crude oil'!AA349</f>
        <v>0</v>
      </c>
      <c r="AB348">
        <f>'raw data Crude oil'!AB349</f>
        <v>0</v>
      </c>
      <c r="AC348">
        <f>'raw data Crude oil'!AC349</f>
        <v>0</v>
      </c>
      <c r="AD348">
        <f>'raw data Crude oil'!AD349</f>
        <v>0</v>
      </c>
      <c r="AE348">
        <f>'raw data Crude oil'!AE349</f>
        <v>0</v>
      </c>
      <c r="AF348">
        <f>'raw data Crude oil'!AF349</f>
        <v>0</v>
      </c>
      <c r="AG348">
        <f>'raw data Crude oil'!AG349</f>
        <v>0</v>
      </c>
      <c r="AH348">
        <f>'raw data Crude oil'!AH349</f>
        <v>0</v>
      </c>
      <c r="AI348">
        <f>'raw data Crude oil'!AI349</f>
        <v>0</v>
      </c>
      <c r="AJ348">
        <f>'raw data Crude oil'!AJ349</f>
        <v>0</v>
      </c>
      <c r="AK348">
        <f>'raw data Crude oil'!AK349</f>
        <v>0</v>
      </c>
    </row>
    <row r="349" spans="1:37" x14ac:dyDescent="0.3">
      <c r="A349" s="18">
        <f>'raw data Crude oil'!A350</f>
        <v>43228</v>
      </c>
      <c r="B349">
        <f>'raw data Crude oil'!B350</f>
        <v>74.849999999999994</v>
      </c>
      <c r="C349">
        <f>'raw data Crude oil'!C350</f>
        <v>74.569999999999993</v>
      </c>
      <c r="D349">
        <f>'raw data Crude oil'!D350</f>
        <v>74.06</v>
      </c>
      <c r="E349">
        <f>'raw data Crude oil'!E350</f>
        <v>73.53</v>
      </c>
      <c r="F349">
        <f>'raw data Crude oil'!F350</f>
        <v>73.040000000000006</v>
      </c>
      <c r="G349">
        <f>'raw data Crude oil'!G350</f>
        <v>72.53</v>
      </c>
      <c r="H349">
        <f>'raw data Crude oil'!H350</f>
        <v>72.05</v>
      </c>
      <c r="I349">
        <f>'raw data Crude oil'!I350</f>
        <v>71.56</v>
      </c>
      <c r="J349">
        <f>'raw data Crude oil'!J350</f>
        <v>71.09</v>
      </c>
      <c r="K349">
        <f>'raw data Crude oil'!K350</f>
        <v>70.63</v>
      </c>
      <c r="L349">
        <f>'raw data Crude oil'!L350</f>
        <v>70.16</v>
      </c>
      <c r="M349">
        <f>'raw data Crude oil'!M350</f>
        <v>69.69</v>
      </c>
      <c r="N349">
        <f>'raw data Crude oil'!N350</f>
        <v>69.06</v>
      </c>
      <c r="O349">
        <f>'raw data Crude oil'!O350</f>
        <v>68.97</v>
      </c>
      <c r="P349">
        <f>'raw data Crude oil'!P350</f>
        <v>68.66</v>
      </c>
      <c r="Q349">
        <f>'raw data Crude oil'!Q350</f>
        <v>68.19</v>
      </c>
      <c r="R349">
        <f>'raw data Crude oil'!R350</f>
        <v>67.67</v>
      </c>
      <c r="S349">
        <f>'raw data Crude oil'!S350</f>
        <v>67.180000000000007</v>
      </c>
      <c r="T349">
        <f>'raw data Crude oil'!T350</f>
        <v>66.69</v>
      </c>
      <c r="U349">
        <f>'raw data Crude oil'!U350</f>
        <v>66.19</v>
      </c>
      <c r="V349">
        <f>'raw data Crude oil'!V350</f>
        <v>65.59</v>
      </c>
      <c r="W349">
        <f>'raw data Crude oil'!W350</f>
        <v>64.989999999999995</v>
      </c>
      <c r="X349">
        <f>'raw data Crude oil'!X350</f>
        <v>64.39</v>
      </c>
      <c r="Y349">
        <f>'raw data Crude oil'!Y350</f>
        <v>63.83</v>
      </c>
      <c r="Z349">
        <f>'raw data Crude oil'!Z350</f>
        <v>0</v>
      </c>
      <c r="AA349">
        <f>'raw data Crude oil'!AA350</f>
        <v>0</v>
      </c>
      <c r="AB349">
        <f>'raw data Crude oil'!AB350</f>
        <v>0</v>
      </c>
      <c r="AC349">
        <f>'raw data Crude oil'!AC350</f>
        <v>0</v>
      </c>
      <c r="AD349">
        <f>'raw data Crude oil'!AD350</f>
        <v>0</v>
      </c>
      <c r="AE349">
        <f>'raw data Crude oil'!AE350</f>
        <v>0</v>
      </c>
      <c r="AF349">
        <f>'raw data Crude oil'!AF350</f>
        <v>0</v>
      </c>
      <c r="AG349">
        <f>'raw data Crude oil'!AG350</f>
        <v>0</v>
      </c>
      <c r="AH349">
        <f>'raw data Crude oil'!AH350</f>
        <v>0</v>
      </c>
      <c r="AI349">
        <f>'raw data Crude oil'!AI350</f>
        <v>0</v>
      </c>
      <c r="AJ349">
        <f>'raw data Crude oil'!AJ350</f>
        <v>0</v>
      </c>
      <c r="AK349">
        <f>'raw data Crude oil'!AK350</f>
        <v>0</v>
      </c>
    </row>
    <row r="350" spans="1:37" x14ac:dyDescent="0.3">
      <c r="A350" s="18">
        <f>'raw data Crude oil'!A351</f>
        <v>43229</v>
      </c>
      <c r="B350">
        <f>'raw data Crude oil'!B351</f>
        <v>77.209999999999994</v>
      </c>
      <c r="C350">
        <f>'raw data Crude oil'!C351</f>
        <v>76.930000000000007</v>
      </c>
      <c r="D350">
        <f>'raw data Crude oil'!D351</f>
        <v>76.44</v>
      </c>
      <c r="E350">
        <f>'raw data Crude oil'!E351</f>
        <v>75.91</v>
      </c>
      <c r="F350">
        <f>'raw data Crude oil'!F351</f>
        <v>75.400000000000006</v>
      </c>
      <c r="G350">
        <f>'raw data Crude oil'!G351</f>
        <v>74.87</v>
      </c>
      <c r="H350">
        <f>'raw data Crude oil'!H351</f>
        <v>74.37</v>
      </c>
      <c r="I350">
        <f>'raw data Crude oil'!I351</f>
        <v>73.849999999999994</v>
      </c>
      <c r="J350">
        <f>'raw data Crude oil'!J351</f>
        <v>73.33</v>
      </c>
      <c r="K350">
        <f>'raw data Crude oil'!K351</f>
        <v>72.83</v>
      </c>
      <c r="L350">
        <f>'raw data Crude oil'!L351</f>
        <v>72.319999999999993</v>
      </c>
      <c r="M350">
        <f>'raw data Crude oil'!M351</f>
        <v>71.81</v>
      </c>
      <c r="N350">
        <f>'raw data Crude oil'!N351</f>
        <v>71.14</v>
      </c>
      <c r="O350">
        <f>'raw data Crude oil'!O351</f>
        <v>71.05</v>
      </c>
      <c r="P350">
        <f>'raw data Crude oil'!P351</f>
        <v>70.75</v>
      </c>
      <c r="Q350">
        <f>'raw data Crude oil'!Q351</f>
        <v>70.27</v>
      </c>
      <c r="R350">
        <f>'raw data Crude oil'!R351</f>
        <v>69.73</v>
      </c>
      <c r="S350">
        <f>'raw data Crude oil'!S351</f>
        <v>69.22</v>
      </c>
      <c r="T350">
        <f>'raw data Crude oil'!T351</f>
        <v>68.709999999999994</v>
      </c>
      <c r="U350">
        <f>'raw data Crude oil'!U351</f>
        <v>68.19</v>
      </c>
      <c r="V350">
        <f>'raw data Crude oil'!V351</f>
        <v>67.569999999999993</v>
      </c>
      <c r="W350">
        <f>'raw data Crude oil'!W351</f>
        <v>66.930000000000007</v>
      </c>
      <c r="X350">
        <f>'raw data Crude oil'!X351</f>
        <v>66.3</v>
      </c>
      <c r="Y350">
        <f>'raw data Crude oil'!Y351</f>
        <v>65.680000000000007</v>
      </c>
      <c r="Z350">
        <f>'raw data Crude oil'!Z351</f>
        <v>0</v>
      </c>
      <c r="AA350">
        <f>'raw data Crude oil'!AA351</f>
        <v>0</v>
      </c>
      <c r="AB350">
        <f>'raw data Crude oil'!AB351</f>
        <v>0</v>
      </c>
      <c r="AC350">
        <f>'raw data Crude oil'!AC351</f>
        <v>0</v>
      </c>
      <c r="AD350">
        <f>'raw data Crude oil'!AD351</f>
        <v>0</v>
      </c>
      <c r="AE350">
        <f>'raw data Crude oil'!AE351</f>
        <v>0</v>
      </c>
      <c r="AF350">
        <f>'raw data Crude oil'!AF351</f>
        <v>0</v>
      </c>
      <c r="AG350">
        <f>'raw data Crude oil'!AG351</f>
        <v>0</v>
      </c>
      <c r="AH350">
        <f>'raw data Crude oil'!AH351</f>
        <v>0</v>
      </c>
      <c r="AI350">
        <f>'raw data Crude oil'!AI351</f>
        <v>0</v>
      </c>
      <c r="AJ350">
        <f>'raw data Crude oil'!AJ351</f>
        <v>0</v>
      </c>
      <c r="AK350">
        <f>'raw data Crude oil'!AK351</f>
        <v>0</v>
      </c>
    </row>
    <row r="351" spans="1:37" x14ac:dyDescent="0.3">
      <c r="A351" s="18">
        <f>'raw data Crude oil'!A352</f>
        <v>43230</v>
      </c>
      <c r="B351">
        <f>'raw data Crude oil'!B352</f>
        <v>77.47</v>
      </c>
      <c r="C351">
        <f>'raw data Crude oil'!C352</f>
        <v>77.239999999999995</v>
      </c>
      <c r="D351">
        <f>'raw data Crude oil'!D352</f>
        <v>76.81</v>
      </c>
      <c r="E351">
        <f>'raw data Crude oil'!E352</f>
        <v>76.33</v>
      </c>
      <c r="F351">
        <f>'raw data Crude oil'!F352</f>
        <v>75.84</v>
      </c>
      <c r="G351">
        <f>'raw data Crude oil'!G352</f>
        <v>75.319999999999993</v>
      </c>
      <c r="H351">
        <f>'raw data Crude oil'!H352</f>
        <v>74.84</v>
      </c>
      <c r="I351">
        <f>'raw data Crude oil'!I352</f>
        <v>74.34</v>
      </c>
      <c r="J351">
        <f>'raw data Crude oil'!J352</f>
        <v>73.84</v>
      </c>
      <c r="K351">
        <f>'raw data Crude oil'!K352</f>
        <v>73.36</v>
      </c>
      <c r="L351">
        <f>'raw data Crude oil'!L352</f>
        <v>72.84</v>
      </c>
      <c r="M351">
        <f>'raw data Crude oil'!M352</f>
        <v>72.319999999999993</v>
      </c>
      <c r="N351">
        <f>'raw data Crude oil'!N352</f>
        <v>71.36</v>
      </c>
      <c r="O351">
        <f>'raw data Crude oil'!O352</f>
        <v>71.31</v>
      </c>
      <c r="P351">
        <f>'raw data Crude oil'!P352</f>
        <v>71.069999999999993</v>
      </c>
      <c r="Q351">
        <f>'raw data Crude oil'!Q352</f>
        <v>70.63</v>
      </c>
      <c r="R351">
        <f>'raw data Crude oil'!R352</f>
        <v>70.13</v>
      </c>
      <c r="S351">
        <f>'raw data Crude oil'!S352</f>
        <v>69.67</v>
      </c>
      <c r="T351">
        <f>'raw data Crude oil'!T352</f>
        <v>69.2</v>
      </c>
      <c r="U351">
        <f>'raw data Crude oil'!U352</f>
        <v>68.72</v>
      </c>
      <c r="V351">
        <f>'raw data Crude oil'!V352</f>
        <v>68.12</v>
      </c>
      <c r="W351">
        <f>'raw data Crude oil'!W352</f>
        <v>67.489999999999995</v>
      </c>
      <c r="X351">
        <f>'raw data Crude oil'!X352</f>
        <v>66.86</v>
      </c>
      <c r="Y351">
        <f>'raw data Crude oil'!Y352</f>
        <v>66.239999999999995</v>
      </c>
      <c r="Z351">
        <f>'raw data Crude oil'!Z352</f>
        <v>0</v>
      </c>
      <c r="AA351">
        <f>'raw data Crude oil'!AA352</f>
        <v>0</v>
      </c>
      <c r="AB351">
        <f>'raw data Crude oil'!AB352</f>
        <v>0</v>
      </c>
      <c r="AC351">
        <f>'raw data Crude oil'!AC352</f>
        <v>0</v>
      </c>
      <c r="AD351">
        <f>'raw data Crude oil'!AD352</f>
        <v>0</v>
      </c>
      <c r="AE351">
        <f>'raw data Crude oil'!AE352</f>
        <v>0</v>
      </c>
      <c r="AF351">
        <f>'raw data Crude oil'!AF352</f>
        <v>0</v>
      </c>
      <c r="AG351">
        <f>'raw data Crude oil'!AG352</f>
        <v>0</v>
      </c>
      <c r="AH351">
        <f>'raw data Crude oil'!AH352</f>
        <v>0</v>
      </c>
      <c r="AI351">
        <f>'raw data Crude oil'!AI352</f>
        <v>0</v>
      </c>
      <c r="AJ351">
        <f>'raw data Crude oil'!AJ352</f>
        <v>0</v>
      </c>
      <c r="AK351">
        <f>'raw data Crude oil'!AK352</f>
        <v>0</v>
      </c>
    </row>
    <row r="352" spans="1:37" x14ac:dyDescent="0.3">
      <c r="A352" s="18">
        <f>'raw data Crude oil'!A353</f>
        <v>43231</v>
      </c>
      <c r="B352">
        <f>'raw data Crude oil'!B353</f>
        <v>77.12</v>
      </c>
      <c r="C352">
        <f>'raw data Crude oil'!C353</f>
        <v>76.94</v>
      </c>
      <c r="D352">
        <f>'raw data Crude oil'!D353</f>
        <v>76.540000000000006</v>
      </c>
      <c r="E352">
        <f>'raw data Crude oil'!E353</f>
        <v>76.08</v>
      </c>
      <c r="F352">
        <f>'raw data Crude oil'!F353</f>
        <v>75.62</v>
      </c>
      <c r="G352">
        <f>'raw data Crude oil'!G353</f>
        <v>75.150000000000006</v>
      </c>
      <c r="H352">
        <f>'raw data Crude oil'!H353</f>
        <v>74.709999999999994</v>
      </c>
      <c r="I352">
        <f>'raw data Crude oil'!I353</f>
        <v>74.239999999999995</v>
      </c>
      <c r="J352">
        <f>'raw data Crude oil'!J353</f>
        <v>73.77</v>
      </c>
      <c r="K352">
        <f>'raw data Crude oil'!K353</f>
        <v>73.31</v>
      </c>
      <c r="L352">
        <f>'raw data Crude oil'!L353</f>
        <v>72.819999999999993</v>
      </c>
      <c r="M352">
        <f>'raw data Crude oil'!M353</f>
        <v>72.319999999999993</v>
      </c>
      <c r="N352">
        <f>'raw data Crude oil'!N353</f>
        <v>70.7</v>
      </c>
      <c r="O352">
        <f>'raw data Crude oil'!O353</f>
        <v>70.680000000000007</v>
      </c>
      <c r="P352">
        <f>'raw data Crude oil'!P353</f>
        <v>70.47</v>
      </c>
      <c r="Q352">
        <f>'raw data Crude oil'!Q353</f>
        <v>70.09</v>
      </c>
      <c r="R352">
        <f>'raw data Crude oil'!R353</f>
        <v>69.66</v>
      </c>
      <c r="S352">
        <f>'raw data Crude oil'!S353</f>
        <v>69.239999999999995</v>
      </c>
      <c r="T352">
        <f>'raw data Crude oil'!T353</f>
        <v>68.81</v>
      </c>
      <c r="U352">
        <f>'raw data Crude oil'!U353</f>
        <v>68.37</v>
      </c>
      <c r="V352">
        <f>'raw data Crude oil'!V353</f>
        <v>67.819999999999993</v>
      </c>
      <c r="W352">
        <f>'raw data Crude oil'!W353</f>
        <v>67.209999999999994</v>
      </c>
      <c r="X352">
        <f>'raw data Crude oil'!X353</f>
        <v>66.61</v>
      </c>
      <c r="Y352">
        <f>'raw data Crude oil'!Y353</f>
        <v>66.03</v>
      </c>
      <c r="Z352">
        <f>'raw data Crude oil'!Z353</f>
        <v>0</v>
      </c>
      <c r="AA352">
        <f>'raw data Crude oil'!AA353</f>
        <v>0</v>
      </c>
      <c r="AB352">
        <f>'raw data Crude oil'!AB353</f>
        <v>0</v>
      </c>
      <c r="AC352">
        <f>'raw data Crude oil'!AC353</f>
        <v>0</v>
      </c>
      <c r="AD352">
        <f>'raw data Crude oil'!AD353</f>
        <v>0</v>
      </c>
      <c r="AE352">
        <f>'raw data Crude oil'!AE353</f>
        <v>0</v>
      </c>
      <c r="AF352">
        <f>'raw data Crude oil'!AF353</f>
        <v>0</v>
      </c>
      <c r="AG352">
        <f>'raw data Crude oil'!AG353</f>
        <v>0</v>
      </c>
      <c r="AH352">
        <f>'raw data Crude oil'!AH353</f>
        <v>0</v>
      </c>
      <c r="AI352">
        <f>'raw data Crude oil'!AI353</f>
        <v>0</v>
      </c>
      <c r="AJ352">
        <f>'raw data Crude oil'!AJ353</f>
        <v>0</v>
      </c>
      <c r="AK352">
        <f>'raw data Crude oil'!AK353</f>
        <v>0</v>
      </c>
    </row>
    <row r="353" spans="1:37" x14ac:dyDescent="0.3">
      <c r="A353" s="18">
        <f>'raw data Crude oil'!A354</f>
        <v>43234</v>
      </c>
      <c r="B353">
        <f>'raw data Crude oil'!B354</f>
        <v>78.23</v>
      </c>
      <c r="C353">
        <f>'raw data Crude oil'!C354</f>
        <v>77.989999999999995</v>
      </c>
      <c r="D353">
        <f>'raw data Crude oil'!D354</f>
        <v>77.52</v>
      </c>
      <c r="E353">
        <f>'raw data Crude oil'!E354</f>
        <v>77</v>
      </c>
      <c r="F353">
        <f>'raw data Crude oil'!F354</f>
        <v>76.510000000000005</v>
      </c>
      <c r="G353">
        <f>'raw data Crude oil'!G354</f>
        <v>76.010000000000005</v>
      </c>
      <c r="H353">
        <f>'raw data Crude oil'!H354</f>
        <v>75.53</v>
      </c>
      <c r="I353">
        <f>'raw data Crude oil'!I354</f>
        <v>75.02</v>
      </c>
      <c r="J353">
        <f>'raw data Crude oil'!J354</f>
        <v>74.53</v>
      </c>
      <c r="K353">
        <f>'raw data Crude oil'!K354</f>
        <v>74.06</v>
      </c>
      <c r="L353">
        <f>'raw data Crude oil'!L354</f>
        <v>73.55</v>
      </c>
      <c r="M353">
        <f>'raw data Crude oil'!M354</f>
        <v>73.05</v>
      </c>
      <c r="N353">
        <f>'raw data Crude oil'!N354</f>
        <v>70.959999999999994</v>
      </c>
      <c r="O353">
        <f>'raw data Crude oil'!O354</f>
        <v>70.989999999999995</v>
      </c>
      <c r="P353">
        <f>'raw data Crude oil'!P354</f>
        <v>70.81</v>
      </c>
      <c r="Q353">
        <f>'raw data Crude oil'!Q354</f>
        <v>70.45</v>
      </c>
      <c r="R353">
        <f>'raw data Crude oil'!R354</f>
        <v>70.040000000000006</v>
      </c>
      <c r="S353">
        <f>'raw data Crude oil'!S354</f>
        <v>69.63</v>
      </c>
      <c r="T353">
        <f>'raw data Crude oil'!T354</f>
        <v>69.209999999999994</v>
      </c>
      <c r="U353">
        <f>'raw data Crude oil'!U354</f>
        <v>68.75</v>
      </c>
      <c r="V353">
        <f>'raw data Crude oil'!V354</f>
        <v>68.19</v>
      </c>
      <c r="W353">
        <f>'raw data Crude oil'!W354</f>
        <v>67.58</v>
      </c>
      <c r="X353">
        <f>'raw data Crude oil'!X354</f>
        <v>66.98</v>
      </c>
      <c r="Y353">
        <f>'raw data Crude oil'!Y354</f>
        <v>66.39</v>
      </c>
      <c r="Z353">
        <f>'raw data Crude oil'!Z354</f>
        <v>0</v>
      </c>
      <c r="AA353">
        <f>'raw data Crude oil'!AA354</f>
        <v>0</v>
      </c>
      <c r="AB353">
        <f>'raw data Crude oil'!AB354</f>
        <v>0</v>
      </c>
      <c r="AC353">
        <f>'raw data Crude oil'!AC354</f>
        <v>0</v>
      </c>
      <c r="AD353">
        <f>'raw data Crude oil'!AD354</f>
        <v>0</v>
      </c>
      <c r="AE353">
        <f>'raw data Crude oil'!AE354</f>
        <v>0</v>
      </c>
      <c r="AF353">
        <f>'raw data Crude oil'!AF354</f>
        <v>0</v>
      </c>
      <c r="AG353">
        <f>'raw data Crude oil'!AG354</f>
        <v>0</v>
      </c>
      <c r="AH353">
        <f>'raw data Crude oil'!AH354</f>
        <v>0</v>
      </c>
      <c r="AI353">
        <f>'raw data Crude oil'!AI354</f>
        <v>0</v>
      </c>
      <c r="AJ353">
        <f>'raw data Crude oil'!AJ354</f>
        <v>0</v>
      </c>
      <c r="AK353">
        <f>'raw data Crude oil'!AK354</f>
        <v>0</v>
      </c>
    </row>
    <row r="354" spans="1:37" x14ac:dyDescent="0.3">
      <c r="A354" s="18">
        <f>'raw data Crude oil'!A355</f>
        <v>43235</v>
      </c>
      <c r="B354">
        <f>'raw data Crude oil'!B355</f>
        <v>78.430000000000007</v>
      </c>
      <c r="C354">
        <f>'raw data Crude oil'!C355</f>
        <v>78.27</v>
      </c>
      <c r="D354">
        <f>'raw data Crude oil'!D355</f>
        <v>77.88</v>
      </c>
      <c r="E354">
        <f>'raw data Crude oil'!E355</f>
        <v>77.44</v>
      </c>
      <c r="F354">
        <f>'raw data Crude oil'!F355</f>
        <v>76.989999999999995</v>
      </c>
      <c r="G354">
        <f>'raw data Crude oil'!G355</f>
        <v>76.53</v>
      </c>
      <c r="H354">
        <f>'raw data Crude oil'!H355</f>
        <v>76.06</v>
      </c>
      <c r="I354">
        <f>'raw data Crude oil'!I355</f>
        <v>75.56</v>
      </c>
      <c r="J354">
        <f>'raw data Crude oil'!J355</f>
        <v>75.09</v>
      </c>
      <c r="K354">
        <f>'raw data Crude oil'!K355</f>
        <v>74.63</v>
      </c>
      <c r="L354">
        <f>'raw data Crude oil'!L355</f>
        <v>74.13</v>
      </c>
      <c r="M354">
        <f>'raw data Crude oil'!M355</f>
        <v>73.63</v>
      </c>
      <c r="N354">
        <f>'raw data Crude oil'!N355</f>
        <v>71.31</v>
      </c>
      <c r="O354">
        <f>'raw data Crude oil'!O355</f>
        <v>71.37</v>
      </c>
      <c r="P354">
        <f>'raw data Crude oil'!P355</f>
        <v>71.150000000000006</v>
      </c>
      <c r="Q354">
        <f>'raw data Crude oil'!Q355</f>
        <v>70.72</v>
      </c>
      <c r="R354">
        <f>'raw data Crude oil'!R355</f>
        <v>70.23</v>
      </c>
      <c r="S354">
        <f>'raw data Crude oil'!S355</f>
        <v>69.78</v>
      </c>
      <c r="T354">
        <f>'raw data Crude oil'!T355</f>
        <v>69.34</v>
      </c>
      <c r="U354">
        <f>'raw data Crude oil'!U355</f>
        <v>68.86</v>
      </c>
      <c r="V354">
        <f>'raw data Crude oil'!V355</f>
        <v>68.290000000000006</v>
      </c>
      <c r="W354">
        <f>'raw data Crude oil'!W355</f>
        <v>67.69</v>
      </c>
      <c r="X354">
        <f>'raw data Crude oil'!X355</f>
        <v>67.09</v>
      </c>
      <c r="Y354">
        <f>'raw data Crude oil'!Y355</f>
        <v>66.5</v>
      </c>
      <c r="Z354">
        <f>'raw data Crude oil'!Z355</f>
        <v>0</v>
      </c>
      <c r="AA354">
        <f>'raw data Crude oil'!AA355</f>
        <v>0</v>
      </c>
      <c r="AB354">
        <f>'raw data Crude oil'!AB355</f>
        <v>0</v>
      </c>
      <c r="AC354">
        <f>'raw data Crude oil'!AC355</f>
        <v>0</v>
      </c>
      <c r="AD354">
        <f>'raw data Crude oil'!AD355</f>
        <v>0</v>
      </c>
      <c r="AE354">
        <f>'raw data Crude oil'!AE355</f>
        <v>0</v>
      </c>
      <c r="AF354">
        <f>'raw data Crude oil'!AF355</f>
        <v>0</v>
      </c>
      <c r="AG354">
        <f>'raw data Crude oil'!AG355</f>
        <v>0</v>
      </c>
      <c r="AH354">
        <f>'raw data Crude oil'!AH355</f>
        <v>0</v>
      </c>
      <c r="AI354">
        <f>'raw data Crude oil'!AI355</f>
        <v>0</v>
      </c>
      <c r="AJ354">
        <f>'raw data Crude oil'!AJ355</f>
        <v>0</v>
      </c>
      <c r="AK354">
        <f>'raw data Crude oil'!AK355</f>
        <v>0</v>
      </c>
    </row>
    <row r="355" spans="1:37" x14ac:dyDescent="0.3">
      <c r="A355" s="18">
        <f>'raw data Crude oil'!A356</f>
        <v>43236</v>
      </c>
      <c r="B355">
        <f>'raw data Crude oil'!B356</f>
        <v>79.28</v>
      </c>
      <c r="C355">
        <f>'raw data Crude oil'!C356</f>
        <v>79.17</v>
      </c>
      <c r="D355">
        <f>'raw data Crude oil'!D356</f>
        <v>78.790000000000006</v>
      </c>
      <c r="E355">
        <f>'raw data Crude oil'!E356</f>
        <v>78.319999999999993</v>
      </c>
      <c r="F355">
        <f>'raw data Crude oil'!F356</f>
        <v>77.86</v>
      </c>
      <c r="G355">
        <f>'raw data Crude oil'!G356</f>
        <v>77.38</v>
      </c>
      <c r="H355">
        <f>'raw data Crude oil'!H356</f>
        <v>76.900000000000006</v>
      </c>
      <c r="I355">
        <f>'raw data Crude oil'!I356</f>
        <v>76.400000000000006</v>
      </c>
      <c r="J355">
        <f>'raw data Crude oil'!J356</f>
        <v>75.92</v>
      </c>
      <c r="K355">
        <f>'raw data Crude oil'!K356</f>
        <v>75.45</v>
      </c>
      <c r="L355">
        <f>'raw data Crude oil'!L356</f>
        <v>74.95</v>
      </c>
      <c r="M355">
        <f>'raw data Crude oil'!M356</f>
        <v>74.44</v>
      </c>
      <c r="N355">
        <f>'raw data Crude oil'!N356</f>
        <v>71.489999999999995</v>
      </c>
      <c r="O355">
        <f>'raw data Crude oil'!O356</f>
        <v>71.56</v>
      </c>
      <c r="P355">
        <f>'raw data Crude oil'!P356</f>
        <v>71.349999999999994</v>
      </c>
      <c r="Q355">
        <f>'raw data Crude oil'!Q356</f>
        <v>70.930000000000007</v>
      </c>
      <c r="R355">
        <f>'raw data Crude oil'!R356</f>
        <v>70.45</v>
      </c>
      <c r="S355">
        <f>'raw data Crude oil'!S356</f>
        <v>69.989999999999995</v>
      </c>
      <c r="T355">
        <f>'raw data Crude oil'!T356</f>
        <v>69.56</v>
      </c>
      <c r="U355">
        <f>'raw data Crude oil'!U356</f>
        <v>69.08</v>
      </c>
      <c r="V355">
        <f>'raw data Crude oil'!V356</f>
        <v>68.510000000000005</v>
      </c>
      <c r="W355">
        <f>'raw data Crude oil'!W356</f>
        <v>67.900000000000006</v>
      </c>
      <c r="X355">
        <f>'raw data Crude oil'!X356</f>
        <v>67.3</v>
      </c>
      <c r="Y355">
        <f>'raw data Crude oil'!Y356</f>
        <v>66.709999999999994</v>
      </c>
      <c r="Z355">
        <f>'raw data Crude oil'!Z356</f>
        <v>0</v>
      </c>
      <c r="AA355">
        <f>'raw data Crude oil'!AA356</f>
        <v>0</v>
      </c>
      <c r="AB355">
        <f>'raw data Crude oil'!AB356</f>
        <v>0</v>
      </c>
      <c r="AC355">
        <f>'raw data Crude oil'!AC356</f>
        <v>0</v>
      </c>
      <c r="AD355">
        <f>'raw data Crude oil'!AD356</f>
        <v>0</v>
      </c>
      <c r="AE355">
        <f>'raw data Crude oil'!AE356</f>
        <v>0</v>
      </c>
      <c r="AF355">
        <f>'raw data Crude oil'!AF356</f>
        <v>0</v>
      </c>
      <c r="AG355">
        <f>'raw data Crude oil'!AG356</f>
        <v>0</v>
      </c>
      <c r="AH355">
        <f>'raw data Crude oil'!AH356</f>
        <v>0</v>
      </c>
      <c r="AI355">
        <f>'raw data Crude oil'!AI356</f>
        <v>0</v>
      </c>
      <c r="AJ355">
        <f>'raw data Crude oil'!AJ356</f>
        <v>0</v>
      </c>
      <c r="AK355">
        <f>'raw data Crude oil'!AK356</f>
        <v>0</v>
      </c>
    </row>
    <row r="356" spans="1:37" x14ac:dyDescent="0.3">
      <c r="A356" s="18">
        <f>'raw data Crude oil'!A357</f>
        <v>43237</v>
      </c>
      <c r="B356">
        <f>'raw data Crude oil'!B357</f>
        <v>79.3</v>
      </c>
      <c r="C356">
        <f>'raw data Crude oil'!C357</f>
        <v>79.25</v>
      </c>
      <c r="D356">
        <f>'raw data Crude oil'!D357</f>
        <v>78.88</v>
      </c>
      <c r="E356">
        <f>'raw data Crude oil'!E357</f>
        <v>78.44</v>
      </c>
      <c r="F356">
        <f>'raw data Crude oil'!F357</f>
        <v>78.02</v>
      </c>
      <c r="G356">
        <f>'raw data Crude oil'!G357</f>
        <v>77.58</v>
      </c>
      <c r="H356">
        <f>'raw data Crude oil'!H357</f>
        <v>77.13</v>
      </c>
      <c r="I356">
        <f>'raw data Crude oil'!I357</f>
        <v>76.650000000000006</v>
      </c>
      <c r="J356">
        <f>'raw data Crude oil'!J357</f>
        <v>76.180000000000007</v>
      </c>
      <c r="K356">
        <f>'raw data Crude oil'!K357</f>
        <v>75.72</v>
      </c>
      <c r="L356">
        <f>'raw data Crude oil'!L357</f>
        <v>75.239999999999995</v>
      </c>
      <c r="M356">
        <f>'raw data Crude oil'!M357</f>
        <v>74.739999999999995</v>
      </c>
      <c r="N356">
        <f>'raw data Crude oil'!N357</f>
        <v>71.489999999999995</v>
      </c>
      <c r="O356">
        <f>'raw data Crude oil'!O357</f>
        <v>71.569999999999993</v>
      </c>
      <c r="P356">
        <f>'raw data Crude oil'!P357</f>
        <v>71.33</v>
      </c>
      <c r="Q356">
        <f>'raw data Crude oil'!Q357</f>
        <v>70.86</v>
      </c>
      <c r="R356">
        <f>'raw data Crude oil'!R357</f>
        <v>70.349999999999994</v>
      </c>
      <c r="S356">
        <f>'raw data Crude oil'!S357</f>
        <v>69.86</v>
      </c>
      <c r="T356">
        <f>'raw data Crude oil'!T357</f>
        <v>69.400000000000006</v>
      </c>
      <c r="U356">
        <f>'raw data Crude oil'!U357</f>
        <v>68.94</v>
      </c>
      <c r="V356">
        <f>'raw data Crude oil'!V357</f>
        <v>68.38</v>
      </c>
      <c r="W356">
        <f>'raw data Crude oil'!W357</f>
        <v>67.8</v>
      </c>
      <c r="X356">
        <f>'raw data Crude oil'!X357</f>
        <v>67.239999999999995</v>
      </c>
      <c r="Y356">
        <f>'raw data Crude oil'!Y357</f>
        <v>66.69</v>
      </c>
      <c r="Z356">
        <f>'raw data Crude oil'!Z357</f>
        <v>0</v>
      </c>
      <c r="AA356">
        <f>'raw data Crude oil'!AA357</f>
        <v>0</v>
      </c>
      <c r="AB356">
        <f>'raw data Crude oil'!AB357</f>
        <v>0</v>
      </c>
      <c r="AC356">
        <f>'raw data Crude oil'!AC357</f>
        <v>0</v>
      </c>
      <c r="AD356">
        <f>'raw data Crude oil'!AD357</f>
        <v>0</v>
      </c>
      <c r="AE356">
        <f>'raw data Crude oil'!AE357</f>
        <v>0</v>
      </c>
      <c r="AF356">
        <f>'raw data Crude oil'!AF357</f>
        <v>0</v>
      </c>
      <c r="AG356">
        <f>'raw data Crude oil'!AG357</f>
        <v>0</v>
      </c>
      <c r="AH356">
        <f>'raw data Crude oil'!AH357</f>
        <v>0</v>
      </c>
      <c r="AI356">
        <f>'raw data Crude oil'!AI357</f>
        <v>0</v>
      </c>
      <c r="AJ356">
        <f>'raw data Crude oil'!AJ357</f>
        <v>0</v>
      </c>
      <c r="AK356">
        <f>'raw data Crude oil'!AK357</f>
        <v>0</v>
      </c>
    </row>
    <row r="357" spans="1:37" x14ac:dyDescent="0.3">
      <c r="A357" s="18">
        <f>'raw data Crude oil'!A358</f>
        <v>43238</v>
      </c>
      <c r="B357">
        <f>'raw data Crude oil'!B358</f>
        <v>78.510000000000005</v>
      </c>
      <c r="C357">
        <f>'raw data Crude oil'!C358</f>
        <v>78.489999999999995</v>
      </c>
      <c r="D357">
        <f>'raw data Crude oil'!D358</f>
        <v>78.150000000000006</v>
      </c>
      <c r="E357">
        <f>'raw data Crude oil'!E358</f>
        <v>77.760000000000005</v>
      </c>
      <c r="F357">
        <f>'raw data Crude oil'!F358</f>
        <v>77.39</v>
      </c>
      <c r="G357">
        <f>'raw data Crude oil'!G358</f>
        <v>77</v>
      </c>
      <c r="H357">
        <f>'raw data Crude oil'!H358</f>
        <v>76.599999999999994</v>
      </c>
      <c r="I357">
        <f>'raw data Crude oil'!I358</f>
        <v>76.180000000000007</v>
      </c>
      <c r="J357">
        <f>'raw data Crude oil'!J358</f>
        <v>75.78</v>
      </c>
      <c r="K357">
        <f>'raw data Crude oil'!K358</f>
        <v>75.37</v>
      </c>
      <c r="L357">
        <f>'raw data Crude oil'!L358</f>
        <v>74.930000000000007</v>
      </c>
      <c r="M357">
        <f>'raw data Crude oil'!M358</f>
        <v>74.47</v>
      </c>
      <c r="N357">
        <f>'raw data Crude oil'!N358</f>
        <v>71.28</v>
      </c>
      <c r="O357">
        <f>'raw data Crude oil'!O358</f>
        <v>71.37</v>
      </c>
      <c r="P357">
        <f>'raw data Crude oil'!P358</f>
        <v>71.11</v>
      </c>
      <c r="Q357">
        <f>'raw data Crude oil'!Q358</f>
        <v>70.62</v>
      </c>
      <c r="R357">
        <f>'raw data Crude oil'!R358</f>
        <v>70.08</v>
      </c>
      <c r="S357">
        <f>'raw data Crude oil'!S358</f>
        <v>69.569999999999993</v>
      </c>
      <c r="T357">
        <f>'raw data Crude oil'!T358</f>
        <v>69.11</v>
      </c>
      <c r="U357">
        <f>'raw data Crude oil'!U358</f>
        <v>68.66</v>
      </c>
      <c r="V357">
        <f>'raw data Crude oil'!V358</f>
        <v>68.11</v>
      </c>
      <c r="W357">
        <f>'raw data Crude oil'!W358</f>
        <v>67.569999999999993</v>
      </c>
      <c r="X357">
        <f>'raw data Crude oil'!X358</f>
        <v>67.040000000000006</v>
      </c>
      <c r="Y357">
        <f>'raw data Crude oil'!Y358</f>
        <v>66.540000000000006</v>
      </c>
      <c r="Z357">
        <f>'raw data Crude oil'!Z358</f>
        <v>0</v>
      </c>
      <c r="AA357">
        <f>'raw data Crude oil'!AA358</f>
        <v>0</v>
      </c>
      <c r="AB357">
        <f>'raw data Crude oil'!AB358</f>
        <v>0</v>
      </c>
      <c r="AC357">
        <f>'raw data Crude oil'!AC358</f>
        <v>0</v>
      </c>
      <c r="AD357">
        <f>'raw data Crude oil'!AD358</f>
        <v>0</v>
      </c>
      <c r="AE357">
        <f>'raw data Crude oil'!AE358</f>
        <v>0</v>
      </c>
      <c r="AF357">
        <f>'raw data Crude oil'!AF358</f>
        <v>0</v>
      </c>
      <c r="AG357">
        <f>'raw data Crude oil'!AG358</f>
        <v>0</v>
      </c>
      <c r="AH357">
        <f>'raw data Crude oil'!AH358</f>
        <v>0</v>
      </c>
      <c r="AI357">
        <f>'raw data Crude oil'!AI358</f>
        <v>0</v>
      </c>
      <c r="AJ357">
        <f>'raw data Crude oil'!AJ358</f>
        <v>0</v>
      </c>
      <c r="AK357">
        <f>'raw data Crude oil'!AK358</f>
        <v>0</v>
      </c>
    </row>
    <row r="358" spans="1:37" x14ac:dyDescent="0.3">
      <c r="A358" s="18">
        <f>'raw data Crude oil'!A359</f>
        <v>43241</v>
      </c>
      <c r="B358">
        <f>'raw data Crude oil'!B359</f>
        <v>79.22</v>
      </c>
      <c r="C358">
        <f>'raw data Crude oil'!C359</f>
        <v>79.260000000000005</v>
      </c>
      <c r="D358">
        <f>'raw data Crude oil'!D359</f>
        <v>78.87</v>
      </c>
      <c r="E358">
        <f>'raw data Crude oil'!E359</f>
        <v>78.42</v>
      </c>
      <c r="F358">
        <f>'raw data Crude oil'!F359</f>
        <v>78.010000000000005</v>
      </c>
      <c r="G358">
        <f>'raw data Crude oil'!G359</f>
        <v>77.61</v>
      </c>
      <c r="H358">
        <f>'raw data Crude oil'!H359</f>
        <v>77.2</v>
      </c>
      <c r="I358">
        <f>'raw data Crude oil'!I359</f>
        <v>76.77</v>
      </c>
      <c r="J358">
        <f>'raw data Crude oil'!J359</f>
        <v>76.36</v>
      </c>
      <c r="K358">
        <f>'raw data Crude oil'!K359</f>
        <v>75.95</v>
      </c>
      <c r="L358">
        <f>'raw data Crude oil'!L359</f>
        <v>75.510000000000005</v>
      </c>
      <c r="M358">
        <f>'raw data Crude oil'!M359</f>
        <v>75.06</v>
      </c>
      <c r="N358">
        <f>'raw data Crude oil'!N359</f>
        <v>72.239999999999995</v>
      </c>
      <c r="O358">
        <f>'raw data Crude oil'!O359</f>
        <v>72.349999999999994</v>
      </c>
      <c r="P358">
        <f>'raw data Crude oil'!P359</f>
        <v>72.08</v>
      </c>
      <c r="Q358">
        <f>'raw data Crude oil'!Q359</f>
        <v>71.540000000000006</v>
      </c>
      <c r="R358">
        <f>'raw data Crude oil'!R359</f>
        <v>70.959999999999994</v>
      </c>
      <c r="S358">
        <f>'raw data Crude oil'!S359</f>
        <v>70.42</v>
      </c>
      <c r="T358">
        <f>'raw data Crude oil'!T359</f>
        <v>69.94</v>
      </c>
      <c r="U358">
        <f>'raw data Crude oil'!U359</f>
        <v>69.459999999999994</v>
      </c>
      <c r="V358">
        <f>'raw data Crude oil'!V359</f>
        <v>68.900000000000006</v>
      </c>
      <c r="W358">
        <f>'raw data Crude oil'!W359</f>
        <v>68.349999999999994</v>
      </c>
      <c r="X358">
        <f>'raw data Crude oil'!X359</f>
        <v>67.819999999999993</v>
      </c>
      <c r="Y358">
        <f>'raw data Crude oil'!Y359</f>
        <v>67.33</v>
      </c>
      <c r="Z358">
        <f>'raw data Crude oil'!Z359</f>
        <v>0</v>
      </c>
      <c r="AA358">
        <f>'raw data Crude oil'!AA359</f>
        <v>0</v>
      </c>
      <c r="AB358">
        <f>'raw data Crude oil'!AB359</f>
        <v>0</v>
      </c>
      <c r="AC358">
        <f>'raw data Crude oil'!AC359</f>
        <v>0</v>
      </c>
      <c r="AD358">
        <f>'raw data Crude oil'!AD359</f>
        <v>0</v>
      </c>
      <c r="AE358">
        <f>'raw data Crude oil'!AE359</f>
        <v>0</v>
      </c>
      <c r="AF358">
        <f>'raw data Crude oil'!AF359</f>
        <v>0</v>
      </c>
      <c r="AG358">
        <f>'raw data Crude oil'!AG359</f>
        <v>0</v>
      </c>
      <c r="AH358">
        <f>'raw data Crude oil'!AH359</f>
        <v>0</v>
      </c>
      <c r="AI358">
        <f>'raw data Crude oil'!AI359</f>
        <v>0</v>
      </c>
      <c r="AJ358">
        <f>'raw data Crude oil'!AJ359</f>
        <v>0</v>
      </c>
      <c r="AK358">
        <f>'raw data Crude oil'!AK359</f>
        <v>0</v>
      </c>
    </row>
    <row r="359" spans="1:37" x14ac:dyDescent="0.3">
      <c r="A359" s="18">
        <f>'raw data Crude oil'!A360</f>
        <v>43242</v>
      </c>
      <c r="B359">
        <f>'raw data Crude oil'!B360</f>
        <v>79.569999999999993</v>
      </c>
      <c r="C359">
        <f>'raw data Crude oil'!C360</f>
        <v>79.59</v>
      </c>
      <c r="D359">
        <f>'raw data Crude oil'!D360</f>
        <v>79.2</v>
      </c>
      <c r="E359">
        <f>'raw data Crude oil'!E360</f>
        <v>78.760000000000005</v>
      </c>
      <c r="F359">
        <f>'raw data Crude oil'!F360</f>
        <v>78.36</v>
      </c>
      <c r="G359">
        <f>'raw data Crude oil'!G360</f>
        <v>77.97</v>
      </c>
      <c r="H359">
        <f>'raw data Crude oil'!H360</f>
        <v>77.56</v>
      </c>
      <c r="I359">
        <f>'raw data Crude oil'!I360</f>
        <v>77.12</v>
      </c>
      <c r="J359">
        <f>'raw data Crude oil'!J360</f>
        <v>76.7</v>
      </c>
      <c r="K359">
        <f>'raw data Crude oil'!K360</f>
        <v>76.290000000000006</v>
      </c>
      <c r="L359">
        <f>'raw data Crude oil'!L360</f>
        <v>75.84</v>
      </c>
      <c r="M359">
        <f>'raw data Crude oil'!M360</f>
        <v>75.38</v>
      </c>
      <c r="N359">
        <f>'raw data Crude oil'!N360</f>
        <v>72.13</v>
      </c>
      <c r="O359">
        <f>'raw data Crude oil'!O360</f>
        <v>72.2</v>
      </c>
      <c r="P359">
        <f>'raw data Crude oil'!P360</f>
        <v>72.02</v>
      </c>
      <c r="Q359">
        <f>'raw data Crude oil'!Q360</f>
        <v>71.569999999999993</v>
      </c>
      <c r="R359">
        <f>'raw data Crude oil'!R360</f>
        <v>71.03</v>
      </c>
      <c r="S359">
        <f>'raw data Crude oil'!S360</f>
        <v>70.52</v>
      </c>
      <c r="T359">
        <f>'raw data Crude oil'!T360</f>
        <v>70.040000000000006</v>
      </c>
      <c r="U359">
        <f>'raw data Crude oil'!U360</f>
        <v>69.55</v>
      </c>
      <c r="V359">
        <f>'raw data Crude oil'!V360</f>
        <v>68.98</v>
      </c>
      <c r="W359">
        <f>'raw data Crude oil'!W360</f>
        <v>68.41</v>
      </c>
      <c r="X359">
        <f>'raw data Crude oil'!X360</f>
        <v>67.86</v>
      </c>
      <c r="Y359">
        <f>'raw data Crude oil'!Y360</f>
        <v>67.349999999999994</v>
      </c>
      <c r="Z359">
        <f>'raw data Crude oil'!Z360</f>
        <v>0</v>
      </c>
      <c r="AA359">
        <f>'raw data Crude oil'!AA360</f>
        <v>0</v>
      </c>
      <c r="AB359">
        <f>'raw data Crude oil'!AB360</f>
        <v>0</v>
      </c>
      <c r="AC359">
        <f>'raw data Crude oil'!AC360</f>
        <v>0</v>
      </c>
      <c r="AD359">
        <f>'raw data Crude oil'!AD360</f>
        <v>0</v>
      </c>
      <c r="AE359">
        <f>'raw data Crude oil'!AE360</f>
        <v>0</v>
      </c>
      <c r="AF359">
        <f>'raw data Crude oil'!AF360</f>
        <v>0</v>
      </c>
      <c r="AG359">
        <f>'raw data Crude oil'!AG360</f>
        <v>0</v>
      </c>
      <c r="AH359">
        <f>'raw data Crude oil'!AH360</f>
        <v>0</v>
      </c>
      <c r="AI359">
        <f>'raw data Crude oil'!AI360</f>
        <v>0</v>
      </c>
      <c r="AJ359">
        <f>'raw data Crude oil'!AJ360</f>
        <v>0</v>
      </c>
      <c r="AK359">
        <f>'raw data Crude oil'!AK360</f>
        <v>0</v>
      </c>
    </row>
    <row r="360" spans="1:37" x14ac:dyDescent="0.3">
      <c r="A360" s="18">
        <f>'raw data Crude oil'!A361</f>
        <v>43243</v>
      </c>
      <c r="B360">
        <f>'raw data Crude oil'!B361</f>
        <v>79.8</v>
      </c>
      <c r="C360">
        <f>'raw data Crude oil'!C361</f>
        <v>79.84</v>
      </c>
      <c r="D360">
        <f>'raw data Crude oil'!D361</f>
        <v>79.45</v>
      </c>
      <c r="E360">
        <f>'raw data Crude oil'!E361</f>
        <v>79.010000000000005</v>
      </c>
      <c r="F360">
        <f>'raw data Crude oil'!F361</f>
        <v>78.61</v>
      </c>
      <c r="G360">
        <f>'raw data Crude oil'!G361</f>
        <v>78.23</v>
      </c>
      <c r="H360">
        <f>'raw data Crude oil'!H361</f>
        <v>77.83</v>
      </c>
      <c r="I360">
        <f>'raw data Crude oil'!I361</f>
        <v>77.39</v>
      </c>
      <c r="J360">
        <f>'raw data Crude oil'!J361</f>
        <v>76.97</v>
      </c>
      <c r="K360">
        <f>'raw data Crude oil'!K361</f>
        <v>76.56</v>
      </c>
      <c r="L360">
        <f>'raw data Crude oil'!L361</f>
        <v>76.11</v>
      </c>
      <c r="M360">
        <f>'raw data Crude oil'!M361</f>
        <v>75.64</v>
      </c>
      <c r="N360">
        <f>'raw data Crude oil'!N361</f>
        <v>71.84</v>
      </c>
      <c r="O360">
        <f>'raw data Crude oil'!O361</f>
        <v>71.709999999999994</v>
      </c>
      <c r="P360">
        <f>'raw data Crude oil'!P361</f>
        <v>71.319999999999993</v>
      </c>
      <c r="Q360">
        <f>'raw data Crude oil'!Q361</f>
        <v>70.819999999999993</v>
      </c>
      <c r="R360">
        <f>'raw data Crude oil'!R361</f>
        <v>70.34</v>
      </c>
      <c r="S360">
        <f>'raw data Crude oil'!S361</f>
        <v>69.87</v>
      </c>
      <c r="T360">
        <f>'raw data Crude oil'!T361</f>
        <v>69.400000000000006</v>
      </c>
      <c r="U360">
        <f>'raw data Crude oil'!U361</f>
        <v>68.86</v>
      </c>
      <c r="V360">
        <f>'raw data Crude oil'!V361</f>
        <v>68.3</v>
      </c>
      <c r="W360">
        <f>'raw data Crude oil'!W361</f>
        <v>67.77</v>
      </c>
      <c r="X360">
        <f>'raw data Crude oil'!X361</f>
        <v>67.260000000000005</v>
      </c>
      <c r="Y360">
        <f>'raw data Crude oil'!Y361</f>
        <v>66.77</v>
      </c>
      <c r="Z360">
        <f>'raw data Crude oil'!Z361</f>
        <v>0</v>
      </c>
      <c r="AA360">
        <f>'raw data Crude oil'!AA361</f>
        <v>0</v>
      </c>
      <c r="AB360">
        <f>'raw data Crude oil'!AB361</f>
        <v>0</v>
      </c>
      <c r="AC360">
        <f>'raw data Crude oil'!AC361</f>
        <v>0</v>
      </c>
      <c r="AD360">
        <f>'raw data Crude oil'!AD361</f>
        <v>0</v>
      </c>
      <c r="AE360">
        <f>'raw data Crude oil'!AE361</f>
        <v>0</v>
      </c>
      <c r="AF360">
        <f>'raw data Crude oil'!AF361</f>
        <v>0</v>
      </c>
      <c r="AG360">
        <f>'raw data Crude oil'!AG361</f>
        <v>0</v>
      </c>
      <c r="AH360">
        <f>'raw data Crude oil'!AH361</f>
        <v>0</v>
      </c>
      <c r="AI360">
        <f>'raw data Crude oil'!AI361</f>
        <v>0</v>
      </c>
      <c r="AJ360">
        <f>'raw data Crude oil'!AJ361</f>
        <v>0</v>
      </c>
      <c r="AK360">
        <f>'raw data Crude oil'!AK361</f>
        <v>0</v>
      </c>
    </row>
    <row r="361" spans="1:37" x14ac:dyDescent="0.3">
      <c r="A361" s="18">
        <f>'raw data Crude oil'!A362</f>
        <v>43244</v>
      </c>
      <c r="B361">
        <f>'raw data Crude oil'!B362</f>
        <v>78.790000000000006</v>
      </c>
      <c r="C361">
        <f>'raw data Crude oil'!C362</f>
        <v>78.83</v>
      </c>
      <c r="D361">
        <f>'raw data Crude oil'!D362</f>
        <v>78.48</v>
      </c>
      <c r="E361">
        <f>'raw data Crude oil'!E362</f>
        <v>78.069999999999993</v>
      </c>
      <c r="F361">
        <f>'raw data Crude oil'!F362</f>
        <v>77.7</v>
      </c>
      <c r="G361">
        <f>'raw data Crude oil'!G362</f>
        <v>77.349999999999994</v>
      </c>
      <c r="H361">
        <f>'raw data Crude oil'!H362</f>
        <v>76.97</v>
      </c>
      <c r="I361">
        <f>'raw data Crude oil'!I362</f>
        <v>76.55</v>
      </c>
      <c r="J361">
        <f>'raw data Crude oil'!J362</f>
        <v>76.14</v>
      </c>
      <c r="K361">
        <f>'raw data Crude oil'!K362</f>
        <v>75.75</v>
      </c>
      <c r="L361">
        <f>'raw data Crude oil'!L362</f>
        <v>75.319999999999993</v>
      </c>
      <c r="M361">
        <f>'raw data Crude oil'!M362</f>
        <v>74.87</v>
      </c>
      <c r="N361">
        <f>'raw data Crude oil'!N362</f>
        <v>70.709999999999994</v>
      </c>
      <c r="O361">
        <f>'raw data Crude oil'!O362</f>
        <v>70.58</v>
      </c>
      <c r="P361">
        <f>'raw data Crude oil'!P362</f>
        <v>70.19</v>
      </c>
      <c r="Q361">
        <f>'raw data Crude oil'!Q362</f>
        <v>69.69</v>
      </c>
      <c r="R361">
        <f>'raw data Crude oil'!R362</f>
        <v>69.23</v>
      </c>
      <c r="S361">
        <f>'raw data Crude oil'!S362</f>
        <v>68.790000000000006</v>
      </c>
      <c r="T361">
        <f>'raw data Crude oil'!T362</f>
        <v>68.36</v>
      </c>
      <c r="U361">
        <f>'raw data Crude oil'!U362</f>
        <v>67.849999999999994</v>
      </c>
      <c r="V361">
        <f>'raw data Crude oil'!V362</f>
        <v>67.34</v>
      </c>
      <c r="W361">
        <f>'raw data Crude oil'!W362</f>
        <v>66.849999999999994</v>
      </c>
      <c r="X361">
        <f>'raw data Crude oil'!X362</f>
        <v>66.38</v>
      </c>
      <c r="Y361">
        <f>'raw data Crude oil'!Y362</f>
        <v>65.930000000000007</v>
      </c>
      <c r="Z361">
        <f>'raw data Crude oil'!Z362</f>
        <v>0</v>
      </c>
      <c r="AA361">
        <f>'raw data Crude oil'!AA362</f>
        <v>0</v>
      </c>
      <c r="AB361">
        <f>'raw data Crude oil'!AB362</f>
        <v>0</v>
      </c>
      <c r="AC361">
        <f>'raw data Crude oil'!AC362</f>
        <v>0</v>
      </c>
      <c r="AD361">
        <f>'raw data Crude oil'!AD362</f>
        <v>0</v>
      </c>
      <c r="AE361">
        <f>'raw data Crude oil'!AE362</f>
        <v>0</v>
      </c>
      <c r="AF361">
        <f>'raw data Crude oil'!AF362</f>
        <v>0</v>
      </c>
      <c r="AG361">
        <f>'raw data Crude oil'!AG362</f>
        <v>0</v>
      </c>
      <c r="AH361">
        <f>'raw data Crude oil'!AH362</f>
        <v>0</v>
      </c>
      <c r="AI361">
        <f>'raw data Crude oil'!AI362</f>
        <v>0</v>
      </c>
      <c r="AJ361">
        <f>'raw data Crude oil'!AJ362</f>
        <v>0</v>
      </c>
      <c r="AK361">
        <f>'raw data Crude oil'!AK362</f>
        <v>0</v>
      </c>
    </row>
    <row r="362" spans="1:37" x14ac:dyDescent="0.3">
      <c r="A362" s="18">
        <f>'raw data Crude oil'!A363</f>
        <v>43245</v>
      </c>
      <c r="B362">
        <f>'raw data Crude oil'!B363</f>
        <v>76.44</v>
      </c>
      <c r="C362">
        <f>'raw data Crude oil'!C363</f>
        <v>76.47</v>
      </c>
      <c r="D362">
        <f>'raw data Crude oil'!D363</f>
        <v>76.14</v>
      </c>
      <c r="E362">
        <f>'raw data Crude oil'!E363</f>
        <v>75.760000000000005</v>
      </c>
      <c r="F362">
        <f>'raw data Crude oil'!F363</f>
        <v>75.400000000000006</v>
      </c>
      <c r="G362">
        <f>'raw data Crude oil'!G363</f>
        <v>75.06</v>
      </c>
      <c r="H362">
        <f>'raw data Crude oil'!H363</f>
        <v>74.7</v>
      </c>
      <c r="I362">
        <f>'raw data Crude oil'!I363</f>
        <v>74.31</v>
      </c>
      <c r="J362">
        <f>'raw data Crude oil'!J363</f>
        <v>73.94</v>
      </c>
      <c r="K362">
        <f>'raw data Crude oil'!K363</f>
        <v>73.59</v>
      </c>
      <c r="L362">
        <f>'raw data Crude oil'!L363</f>
        <v>73.209999999999994</v>
      </c>
      <c r="M362">
        <f>'raw data Crude oil'!M363</f>
        <v>72.81</v>
      </c>
      <c r="N362">
        <f>'raw data Crude oil'!N363</f>
        <v>67.88</v>
      </c>
      <c r="O362">
        <f>'raw data Crude oil'!O363</f>
        <v>67.78</v>
      </c>
      <c r="P362">
        <f>'raw data Crude oil'!P363</f>
        <v>67.45</v>
      </c>
      <c r="Q362">
        <f>'raw data Crude oil'!Q363</f>
        <v>67.06</v>
      </c>
      <c r="R362">
        <f>'raw data Crude oil'!R363</f>
        <v>66.72</v>
      </c>
      <c r="S362">
        <f>'raw data Crude oil'!S363</f>
        <v>66.36</v>
      </c>
      <c r="T362">
        <f>'raw data Crude oil'!T363</f>
        <v>66.010000000000005</v>
      </c>
      <c r="U362">
        <f>'raw data Crude oil'!U363</f>
        <v>65.58</v>
      </c>
      <c r="V362">
        <f>'raw data Crude oil'!V363</f>
        <v>65.11</v>
      </c>
      <c r="W362">
        <f>'raw data Crude oil'!W363</f>
        <v>64.66</v>
      </c>
      <c r="X362">
        <f>'raw data Crude oil'!X363</f>
        <v>64.23</v>
      </c>
      <c r="Y362">
        <f>'raw data Crude oil'!Y363</f>
        <v>63.82</v>
      </c>
      <c r="Z362">
        <f>'raw data Crude oil'!Z363</f>
        <v>0</v>
      </c>
      <c r="AA362">
        <f>'raw data Crude oil'!AA363</f>
        <v>0</v>
      </c>
      <c r="AB362">
        <f>'raw data Crude oil'!AB363</f>
        <v>0</v>
      </c>
      <c r="AC362">
        <f>'raw data Crude oil'!AC363</f>
        <v>0</v>
      </c>
      <c r="AD362">
        <f>'raw data Crude oil'!AD363</f>
        <v>0</v>
      </c>
      <c r="AE362">
        <f>'raw data Crude oil'!AE363</f>
        <v>0</v>
      </c>
      <c r="AF362">
        <f>'raw data Crude oil'!AF363</f>
        <v>0</v>
      </c>
      <c r="AG362">
        <f>'raw data Crude oil'!AG363</f>
        <v>0</v>
      </c>
      <c r="AH362">
        <f>'raw data Crude oil'!AH363</f>
        <v>0</v>
      </c>
      <c r="AI362">
        <f>'raw data Crude oil'!AI363</f>
        <v>0</v>
      </c>
      <c r="AJ362">
        <f>'raw data Crude oil'!AJ363</f>
        <v>0</v>
      </c>
      <c r="AK362">
        <f>'raw data Crude oil'!AK363</f>
        <v>0</v>
      </c>
    </row>
    <row r="363" spans="1:37" x14ac:dyDescent="0.3">
      <c r="A363" s="18">
        <f>'raw data Crude oil'!A364</f>
        <v>43248</v>
      </c>
      <c r="B363">
        <f>'raw data Crude oil'!B364</f>
        <v>75.3</v>
      </c>
      <c r="C363">
        <f>'raw data Crude oil'!C364</f>
        <v>75.319999999999993</v>
      </c>
      <c r="D363">
        <f>'raw data Crude oil'!D364</f>
        <v>75</v>
      </c>
      <c r="E363">
        <f>'raw data Crude oil'!E364</f>
        <v>74.64</v>
      </c>
      <c r="F363">
        <f>'raw data Crude oil'!F364</f>
        <v>74.31</v>
      </c>
      <c r="G363">
        <f>'raw data Crude oil'!G364</f>
        <v>73.98</v>
      </c>
      <c r="H363">
        <f>'raw data Crude oil'!H364</f>
        <v>73.62</v>
      </c>
      <c r="I363">
        <f>'raw data Crude oil'!I364</f>
        <v>73.25</v>
      </c>
      <c r="J363">
        <f>'raw data Crude oil'!J364</f>
        <v>72.91</v>
      </c>
      <c r="K363">
        <f>'raw data Crude oil'!K364</f>
        <v>72.58</v>
      </c>
      <c r="L363">
        <f>'raw data Crude oil'!L364</f>
        <v>72.23</v>
      </c>
      <c r="M363">
        <f>'raw data Crude oil'!M364</f>
        <v>71.86</v>
      </c>
      <c r="N363">
        <f>'raw data Crude oil'!N364</f>
        <v>67.88</v>
      </c>
      <c r="O363">
        <f>'raw data Crude oil'!O364</f>
        <v>67.78</v>
      </c>
      <c r="P363">
        <f>'raw data Crude oil'!P364</f>
        <v>67.45</v>
      </c>
      <c r="Q363">
        <f>'raw data Crude oil'!Q364</f>
        <v>67.06</v>
      </c>
      <c r="R363">
        <f>'raw data Crude oil'!R364</f>
        <v>66.72</v>
      </c>
      <c r="S363">
        <f>'raw data Crude oil'!S364</f>
        <v>66.36</v>
      </c>
      <c r="T363">
        <f>'raw data Crude oil'!T364</f>
        <v>66.010000000000005</v>
      </c>
      <c r="U363">
        <f>'raw data Crude oil'!U364</f>
        <v>65.58</v>
      </c>
      <c r="V363">
        <f>'raw data Crude oil'!V364</f>
        <v>65.11</v>
      </c>
      <c r="W363">
        <f>'raw data Crude oil'!W364</f>
        <v>64.66</v>
      </c>
      <c r="X363">
        <f>'raw data Crude oil'!X364</f>
        <v>64.23</v>
      </c>
      <c r="Y363">
        <f>'raw data Crude oil'!Y364</f>
        <v>63.82</v>
      </c>
      <c r="Z363">
        <f>'raw data Crude oil'!Z364</f>
        <v>0</v>
      </c>
      <c r="AA363">
        <f>'raw data Crude oil'!AA364</f>
        <v>0</v>
      </c>
      <c r="AB363">
        <f>'raw data Crude oil'!AB364</f>
        <v>0</v>
      </c>
      <c r="AC363">
        <f>'raw data Crude oil'!AC364</f>
        <v>0</v>
      </c>
      <c r="AD363">
        <f>'raw data Crude oil'!AD364</f>
        <v>0</v>
      </c>
      <c r="AE363">
        <f>'raw data Crude oil'!AE364</f>
        <v>0</v>
      </c>
      <c r="AF363">
        <f>'raw data Crude oil'!AF364</f>
        <v>0</v>
      </c>
      <c r="AG363">
        <f>'raw data Crude oil'!AG364</f>
        <v>0</v>
      </c>
      <c r="AH363">
        <f>'raw data Crude oil'!AH364</f>
        <v>0</v>
      </c>
      <c r="AI363">
        <f>'raw data Crude oil'!AI364</f>
        <v>0</v>
      </c>
      <c r="AJ363">
        <f>'raw data Crude oil'!AJ364</f>
        <v>0</v>
      </c>
      <c r="AK363">
        <f>'raw data Crude oil'!AK364</f>
        <v>0</v>
      </c>
    </row>
    <row r="364" spans="1:37" x14ac:dyDescent="0.3">
      <c r="A364" s="18">
        <f>'raw data Crude oil'!A365</f>
        <v>43249</v>
      </c>
      <c r="B364">
        <f>'raw data Crude oil'!B365</f>
        <v>75.39</v>
      </c>
      <c r="C364">
        <f>'raw data Crude oil'!C365</f>
        <v>75.489999999999995</v>
      </c>
      <c r="D364">
        <f>'raw data Crude oil'!D365</f>
        <v>75.23</v>
      </c>
      <c r="E364">
        <f>'raw data Crude oil'!E365</f>
        <v>74.91</v>
      </c>
      <c r="F364">
        <f>'raw data Crude oil'!F365</f>
        <v>74.58</v>
      </c>
      <c r="G364">
        <f>'raw data Crude oil'!G365</f>
        <v>74.25</v>
      </c>
      <c r="H364">
        <f>'raw data Crude oil'!H365</f>
        <v>73.900000000000006</v>
      </c>
      <c r="I364">
        <f>'raw data Crude oil'!I365</f>
        <v>73.53</v>
      </c>
      <c r="J364">
        <f>'raw data Crude oil'!J365</f>
        <v>73.19</v>
      </c>
      <c r="K364">
        <f>'raw data Crude oil'!K365</f>
        <v>72.849999999999994</v>
      </c>
      <c r="L364">
        <f>'raw data Crude oil'!L365</f>
        <v>72.48</v>
      </c>
      <c r="M364">
        <f>'raw data Crude oil'!M365</f>
        <v>72.09</v>
      </c>
      <c r="N364">
        <f>'raw data Crude oil'!N365</f>
        <v>66.73</v>
      </c>
      <c r="O364">
        <f>'raw data Crude oil'!O365</f>
        <v>66.62</v>
      </c>
      <c r="P364">
        <f>'raw data Crude oil'!P365</f>
        <v>66.27</v>
      </c>
      <c r="Q364">
        <f>'raw data Crude oil'!Q365</f>
        <v>65.87</v>
      </c>
      <c r="R364">
        <f>'raw data Crude oil'!R365</f>
        <v>65.53</v>
      </c>
      <c r="S364">
        <f>'raw data Crude oil'!S365</f>
        <v>65.209999999999994</v>
      </c>
      <c r="T364">
        <f>'raw data Crude oil'!T365</f>
        <v>64.900000000000006</v>
      </c>
      <c r="U364">
        <f>'raw data Crude oil'!U365</f>
        <v>64.5</v>
      </c>
      <c r="V364">
        <f>'raw data Crude oil'!V365</f>
        <v>64.09</v>
      </c>
      <c r="W364">
        <f>'raw data Crude oil'!W365</f>
        <v>63.68</v>
      </c>
      <c r="X364">
        <f>'raw data Crude oil'!X365</f>
        <v>63.29</v>
      </c>
      <c r="Y364">
        <f>'raw data Crude oil'!Y365</f>
        <v>62.93</v>
      </c>
      <c r="Z364">
        <f>'raw data Crude oil'!Z365</f>
        <v>0</v>
      </c>
      <c r="AA364">
        <f>'raw data Crude oil'!AA365</f>
        <v>0</v>
      </c>
      <c r="AB364">
        <f>'raw data Crude oil'!AB365</f>
        <v>0</v>
      </c>
      <c r="AC364">
        <f>'raw data Crude oil'!AC365</f>
        <v>0</v>
      </c>
      <c r="AD364">
        <f>'raw data Crude oil'!AD365</f>
        <v>0</v>
      </c>
      <c r="AE364">
        <f>'raw data Crude oil'!AE365</f>
        <v>0</v>
      </c>
      <c r="AF364">
        <f>'raw data Crude oil'!AF365</f>
        <v>0</v>
      </c>
      <c r="AG364">
        <f>'raw data Crude oil'!AG365</f>
        <v>0</v>
      </c>
      <c r="AH364">
        <f>'raw data Crude oil'!AH365</f>
        <v>0</v>
      </c>
      <c r="AI364">
        <f>'raw data Crude oil'!AI365</f>
        <v>0</v>
      </c>
      <c r="AJ364">
        <f>'raw data Crude oil'!AJ365</f>
        <v>0</v>
      </c>
      <c r="AK364">
        <f>'raw data Crude oil'!AK365</f>
        <v>0</v>
      </c>
    </row>
    <row r="365" spans="1:37" x14ac:dyDescent="0.3">
      <c r="A365" s="18">
        <f>'raw data Crude oil'!A366</f>
        <v>43250</v>
      </c>
      <c r="B365">
        <f>'raw data Crude oil'!B366</f>
        <v>77.5</v>
      </c>
      <c r="C365">
        <f>'raw data Crude oil'!C366</f>
        <v>77.72</v>
      </c>
      <c r="D365">
        <f>'raw data Crude oil'!D366</f>
        <v>77.400000000000006</v>
      </c>
      <c r="E365">
        <f>'raw data Crude oil'!E366</f>
        <v>77.02</v>
      </c>
      <c r="F365">
        <f>'raw data Crude oil'!F366</f>
        <v>76.64</v>
      </c>
      <c r="G365">
        <f>'raw data Crude oil'!G366</f>
        <v>76.260000000000005</v>
      </c>
      <c r="H365">
        <f>'raw data Crude oil'!H366</f>
        <v>75.86</v>
      </c>
      <c r="I365">
        <f>'raw data Crude oil'!I366</f>
        <v>75.459999999999994</v>
      </c>
      <c r="J365">
        <f>'raw data Crude oil'!J366</f>
        <v>75.08</v>
      </c>
      <c r="K365">
        <f>'raw data Crude oil'!K366</f>
        <v>74.709999999999994</v>
      </c>
      <c r="L365">
        <f>'raw data Crude oil'!L366</f>
        <v>74.3</v>
      </c>
      <c r="M365">
        <f>'raw data Crude oil'!M366</f>
        <v>73.88</v>
      </c>
      <c r="N365">
        <f>'raw data Crude oil'!N366</f>
        <v>68.209999999999994</v>
      </c>
      <c r="O365">
        <f>'raw data Crude oil'!O366</f>
        <v>68.08</v>
      </c>
      <c r="P365">
        <f>'raw data Crude oil'!P366</f>
        <v>67.66</v>
      </c>
      <c r="Q365">
        <f>'raw data Crude oil'!Q366</f>
        <v>67.180000000000007</v>
      </c>
      <c r="R365">
        <f>'raw data Crude oil'!R366</f>
        <v>66.8</v>
      </c>
      <c r="S365">
        <f>'raw data Crude oil'!S366</f>
        <v>66.44</v>
      </c>
      <c r="T365">
        <f>'raw data Crude oil'!T366</f>
        <v>66.099999999999994</v>
      </c>
      <c r="U365">
        <f>'raw data Crude oil'!U366</f>
        <v>65.680000000000007</v>
      </c>
      <c r="V365">
        <f>'raw data Crude oil'!V366</f>
        <v>65.23</v>
      </c>
      <c r="W365">
        <f>'raw data Crude oil'!W366</f>
        <v>64.77</v>
      </c>
      <c r="X365">
        <f>'raw data Crude oil'!X366</f>
        <v>64.34</v>
      </c>
      <c r="Y365">
        <f>'raw data Crude oil'!Y366</f>
        <v>63.94</v>
      </c>
      <c r="Z365">
        <f>'raw data Crude oil'!Z366</f>
        <v>0</v>
      </c>
      <c r="AA365">
        <f>'raw data Crude oil'!AA366</f>
        <v>0</v>
      </c>
      <c r="AB365">
        <f>'raw data Crude oil'!AB366</f>
        <v>0</v>
      </c>
      <c r="AC365">
        <f>'raw data Crude oil'!AC366</f>
        <v>0</v>
      </c>
      <c r="AD365">
        <f>'raw data Crude oil'!AD366</f>
        <v>0</v>
      </c>
      <c r="AE365">
        <f>'raw data Crude oil'!AE366</f>
        <v>0</v>
      </c>
      <c r="AF365">
        <f>'raw data Crude oil'!AF366</f>
        <v>0</v>
      </c>
      <c r="AG365">
        <f>'raw data Crude oil'!AG366</f>
        <v>0</v>
      </c>
      <c r="AH365">
        <f>'raw data Crude oil'!AH366</f>
        <v>0</v>
      </c>
      <c r="AI365">
        <f>'raw data Crude oil'!AI366</f>
        <v>0</v>
      </c>
      <c r="AJ365">
        <f>'raw data Crude oil'!AJ366</f>
        <v>0</v>
      </c>
      <c r="AK365">
        <f>'raw data Crude oil'!AK366</f>
        <v>0</v>
      </c>
    </row>
    <row r="366" spans="1:37" x14ac:dyDescent="0.3">
      <c r="A366" s="18">
        <f>'raw data Crude oil'!A367</f>
        <v>43251</v>
      </c>
      <c r="B366">
        <f>'raw data Crude oil'!B367</f>
        <v>77.59</v>
      </c>
      <c r="C366">
        <f>'raw data Crude oil'!C367</f>
        <v>77.56</v>
      </c>
      <c r="D366">
        <f>'raw data Crude oil'!D367</f>
        <v>77.25</v>
      </c>
      <c r="E366">
        <f>'raw data Crude oil'!E367</f>
        <v>76.900000000000006</v>
      </c>
      <c r="F366">
        <f>'raw data Crude oil'!F367</f>
        <v>76.53</v>
      </c>
      <c r="G366">
        <f>'raw data Crude oil'!G367</f>
        <v>76.150000000000006</v>
      </c>
      <c r="H366">
        <f>'raw data Crude oil'!H367</f>
        <v>75.78</v>
      </c>
      <c r="I366">
        <f>'raw data Crude oil'!I367</f>
        <v>75.41</v>
      </c>
      <c r="J366">
        <f>'raw data Crude oil'!J367</f>
        <v>75.05</v>
      </c>
      <c r="K366">
        <f>'raw data Crude oil'!K367</f>
        <v>74.69</v>
      </c>
      <c r="L366">
        <f>'raw data Crude oil'!L367</f>
        <v>74.3</v>
      </c>
      <c r="M366">
        <f>'raw data Crude oil'!M367</f>
        <v>73.89</v>
      </c>
      <c r="N366">
        <f>'raw data Crude oil'!N367</f>
        <v>67.040000000000006</v>
      </c>
      <c r="O366">
        <f>'raw data Crude oil'!O367</f>
        <v>66.91</v>
      </c>
      <c r="P366">
        <f>'raw data Crude oil'!P367</f>
        <v>66.540000000000006</v>
      </c>
      <c r="Q366">
        <f>'raw data Crude oil'!Q367</f>
        <v>66.11</v>
      </c>
      <c r="R366">
        <f>'raw data Crude oil'!R367</f>
        <v>65.8</v>
      </c>
      <c r="S366">
        <f>'raw data Crude oil'!S367</f>
        <v>65.52</v>
      </c>
      <c r="T366">
        <f>'raw data Crude oil'!T367</f>
        <v>65.25</v>
      </c>
      <c r="U366">
        <f>'raw data Crude oil'!U367</f>
        <v>64.89</v>
      </c>
      <c r="V366">
        <f>'raw data Crude oil'!V367</f>
        <v>64.489999999999995</v>
      </c>
      <c r="W366">
        <f>'raw data Crude oil'!W367</f>
        <v>64.069999999999993</v>
      </c>
      <c r="X366">
        <f>'raw data Crude oil'!X367</f>
        <v>63.7</v>
      </c>
      <c r="Y366">
        <f>'raw data Crude oil'!Y367</f>
        <v>63.31</v>
      </c>
      <c r="Z366">
        <f>'raw data Crude oil'!Z367</f>
        <v>0</v>
      </c>
      <c r="AA366">
        <f>'raw data Crude oil'!AA367</f>
        <v>0</v>
      </c>
      <c r="AB366">
        <f>'raw data Crude oil'!AB367</f>
        <v>0</v>
      </c>
      <c r="AC366">
        <f>'raw data Crude oil'!AC367</f>
        <v>0</v>
      </c>
      <c r="AD366">
        <f>'raw data Crude oil'!AD367</f>
        <v>0</v>
      </c>
      <c r="AE366">
        <f>'raw data Crude oil'!AE367</f>
        <v>0</v>
      </c>
      <c r="AF366">
        <f>'raw data Crude oil'!AF367</f>
        <v>0</v>
      </c>
      <c r="AG366">
        <f>'raw data Crude oil'!AG367</f>
        <v>0</v>
      </c>
      <c r="AH366">
        <f>'raw data Crude oil'!AH367</f>
        <v>0</v>
      </c>
      <c r="AI366">
        <f>'raw data Crude oil'!AI367</f>
        <v>0</v>
      </c>
      <c r="AJ366">
        <f>'raw data Crude oil'!AJ367</f>
        <v>0</v>
      </c>
      <c r="AK366">
        <f>'raw data Crude oil'!AK367</f>
        <v>0</v>
      </c>
    </row>
    <row r="367" spans="1:37" x14ac:dyDescent="0.3">
      <c r="A367" s="18">
        <f>'raw data Crude oil'!A368</f>
        <v>43252</v>
      </c>
      <c r="B367">
        <f>'raw data Crude oil'!B368</f>
        <v>76.790000000000006</v>
      </c>
      <c r="C367">
        <f>'raw data Crude oil'!C368</f>
        <v>76.510000000000005</v>
      </c>
      <c r="D367">
        <f>'raw data Crude oil'!D368</f>
        <v>76.22</v>
      </c>
      <c r="E367">
        <f>'raw data Crude oil'!E368</f>
        <v>75.92</v>
      </c>
      <c r="F367">
        <f>'raw data Crude oil'!F368</f>
        <v>75.59</v>
      </c>
      <c r="G367">
        <f>'raw data Crude oil'!G368</f>
        <v>75.239999999999995</v>
      </c>
      <c r="H367">
        <f>'raw data Crude oil'!H368</f>
        <v>74.89</v>
      </c>
      <c r="I367">
        <f>'raw data Crude oil'!I368</f>
        <v>74.55</v>
      </c>
      <c r="J367">
        <f>'raw data Crude oil'!J368</f>
        <v>74.209999999999994</v>
      </c>
      <c r="K367">
        <f>'raw data Crude oil'!K368</f>
        <v>73.84</v>
      </c>
      <c r="L367">
        <f>'raw data Crude oil'!L368</f>
        <v>73.45</v>
      </c>
      <c r="M367">
        <f>'raw data Crude oil'!M368</f>
        <v>73.13</v>
      </c>
      <c r="N367">
        <f>'raw data Crude oil'!N368</f>
        <v>65.81</v>
      </c>
      <c r="O367">
        <f>'raw data Crude oil'!O368</f>
        <v>65.77</v>
      </c>
      <c r="P367">
        <f>'raw data Crude oil'!P368</f>
        <v>65.53</v>
      </c>
      <c r="Q367">
        <f>'raw data Crude oil'!Q368</f>
        <v>65.23</v>
      </c>
      <c r="R367">
        <f>'raw data Crude oil'!R368</f>
        <v>65.010000000000005</v>
      </c>
      <c r="S367">
        <f>'raw data Crude oil'!S368</f>
        <v>64.78</v>
      </c>
      <c r="T367">
        <f>'raw data Crude oil'!T368</f>
        <v>64.56</v>
      </c>
      <c r="U367">
        <f>'raw data Crude oil'!U368</f>
        <v>64.239999999999995</v>
      </c>
      <c r="V367">
        <f>'raw data Crude oil'!V368</f>
        <v>63.92</v>
      </c>
      <c r="W367">
        <f>'raw data Crude oil'!W368</f>
        <v>63.6</v>
      </c>
      <c r="X367">
        <f>'raw data Crude oil'!X368</f>
        <v>63.27</v>
      </c>
      <c r="Y367">
        <f>'raw data Crude oil'!Y368</f>
        <v>62.97</v>
      </c>
      <c r="Z367">
        <f>'raw data Crude oil'!Z368</f>
        <v>0</v>
      </c>
      <c r="AA367">
        <f>'raw data Crude oil'!AA368</f>
        <v>0</v>
      </c>
      <c r="AB367">
        <f>'raw data Crude oil'!AB368</f>
        <v>0</v>
      </c>
      <c r="AC367">
        <f>'raw data Crude oil'!AC368</f>
        <v>0</v>
      </c>
      <c r="AD367">
        <f>'raw data Crude oil'!AD368</f>
        <v>0</v>
      </c>
      <c r="AE367">
        <f>'raw data Crude oil'!AE368</f>
        <v>0</v>
      </c>
      <c r="AF367">
        <f>'raw data Crude oil'!AF368</f>
        <v>0</v>
      </c>
      <c r="AG367">
        <f>'raw data Crude oil'!AG368</f>
        <v>0</v>
      </c>
      <c r="AH367">
        <f>'raw data Crude oil'!AH368</f>
        <v>0</v>
      </c>
      <c r="AI367">
        <f>'raw data Crude oil'!AI368</f>
        <v>0</v>
      </c>
      <c r="AJ367">
        <f>'raw data Crude oil'!AJ368</f>
        <v>0</v>
      </c>
      <c r="AK367">
        <f>'raw data Crude oil'!AK368</f>
        <v>0</v>
      </c>
    </row>
    <row r="368" spans="1:37" x14ac:dyDescent="0.3">
      <c r="A368" s="18">
        <f>'raw data Crude oil'!A369</f>
        <v>43255</v>
      </c>
      <c r="B368">
        <f>'raw data Crude oil'!B369</f>
        <v>75.290000000000006</v>
      </c>
      <c r="C368">
        <f>'raw data Crude oil'!C369</f>
        <v>75.099999999999994</v>
      </c>
      <c r="D368">
        <f>'raw data Crude oil'!D369</f>
        <v>74.88</v>
      </c>
      <c r="E368">
        <f>'raw data Crude oil'!E369</f>
        <v>74.66</v>
      </c>
      <c r="F368">
        <f>'raw data Crude oil'!F369</f>
        <v>74.41</v>
      </c>
      <c r="G368">
        <f>'raw data Crude oil'!G369</f>
        <v>74.12</v>
      </c>
      <c r="H368">
        <f>'raw data Crude oil'!H369</f>
        <v>73.8</v>
      </c>
      <c r="I368">
        <f>'raw data Crude oil'!I369</f>
        <v>73.489999999999995</v>
      </c>
      <c r="J368">
        <f>'raw data Crude oil'!J369</f>
        <v>73.180000000000007</v>
      </c>
      <c r="K368">
        <f>'raw data Crude oil'!K369</f>
        <v>72.849999999999994</v>
      </c>
      <c r="L368">
        <f>'raw data Crude oil'!L369</f>
        <v>72.5</v>
      </c>
      <c r="M368">
        <f>'raw data Crude oil'!M369</f>
        <v>72.209999999999994</v>
      </c>
      <c r="N368">
        <f>'raw data Crude oil'!N369</f>
        <v>64.75</v>
      </c>
      <c r="O368">
        <f>'raw data Crude oil'!O369</f>
        <v>64.680000000000007</v>
      </c>
      <c r="P368">
        <f>'raw data Crude oil'!P369</f>
        <v>64.48</v>
      </c>
      <c r="Q368">
        <f>'raw data Crude oil'!Q369</f>
        <v>64.260000000000005</v>
      </c>
      <c r="R368">
        <f>'raw data Crude oil'!R369</f>
        <v>64.099999999999994</v>
      </c>
      <c r="S368">
        <f>'raw data Crude oil'!S369</f>
        <v>63.91</v>
      </c>
      <c r="T368">
        <f>'raw data Crude oil'!T369</f>
        <v>63.72</v>
      </c>
      <c r="U368">
        <f>'raw data Crude oil'!U369</f>
        <v>63.42</v>
      </c>
      <c r="V368">
        <f>'raw data Crude oil'!V369</f>
        <v>63.14</v>
      </c>
      <c r="W368">
        <f>'raw data Crude oil'!W369</f>
        <v>62.84</v>
      </c>
      <c r="X368">
        <f>'raw data Crude oil'!X369</f>
        <v>62.56</v>
      </c>
      <c r="Y368">
        <f>'raw data Crude oil'!Y369</f>
        <v>62.28</v>
      </c>
      <c r="Z368">
        <f>'raw data Crude oil'!Z369</f>
        <v>0</v>
      </c>
      <c r="AA368">
        <f>'raw data Crude oil'!AA369</f>
        <v>0</v>
      </c>
      <c r="AB368">
        <f>'raw data Crude oil'!AB369</f>
        <v>0</v>
      </c>
      <c r="AC368">
        <f>'raw data Crude oil'!AC369</f>
        <v>0</v>
      </c>
      <c r="AD368">
        <f>'raw data Crude oil'!AD369</f>
        <v>0</v>
      </c>
      <c r="AE368">
        <f>'raw data Crude oil'!AE369</f>
        <v>0</v>
      </c>
      <c r="AF368">
        <f>'raw data Crude oil'!AF369</f>
        <v>0</v>
      </c>
      <c r="AG368">
        <f>'raw data Crude oil'!AG369</f>
        <v>0</v>
      </c>
      <c r="AH368">
        <f>'raw data Crude oil'!AH369</f>
        <v>0</v>
      </c>
      <c r="AI368">
        <f>'raw data Crude oil'!AI369</f>
        <v>0</v>
      </c>
      <c r="AJ368">
        <f>'raw data Crude oil'!AJ369</f>
        <v>0</v>
      </c>
      <c r="AK368">
        <f>'raw data Crude oil'!AK369</f>
        <v>0</v>
      </c>
    </row>
    <row r="369" spans="1:37" x14ac:dyDescent="0.3">
      <c r="A369" s="18">
        <f>'raw data Crude oil'!A370</f>
        <v>43256</v>
      </c>
      <c r="B369">
        <f>'raw data Crude oil'!B370</f>
        <v>75.38</v>
      </c>
      <c r="C369">
        <f>'raw data Crude oil'!C370</f>
        <v>75.13</v>
      </c>
      <c r="D369">
        <f>'raw data Crude oil'!D370</f>
        <v>74.849999999999994</v>
      </c>
      <c r="E369">
        <f>'raw data Crude oil'!E370</f>
        <v>74.599999999999994</v>
      </c>
      <c r="F369">
        <f>'raw data Crude oil'!F370</f>
        <v>74.33</v>
      </c>
      <c r="G369">
        <f>'raw data Crude oil'!G370</f>
        <v>74.010000000000005</v>
      </c>
      <c r="H369">
        <f>'raw data Crude oil'!H370</f>
        <v>73.67</v>
      </c>
      <c r="I369">
        <f>'raw data Crude oil'!I370</f>
        <v>73.34</v>
      </c>
      <c r="J369">
        <f>'raw data Crude oil'!J370</f>
        <v>73.010000000000005</v>
      </c>
      <c r="K369">
        <f>'raw data Crude oil'!K370</f>
        <v>72.66</v>
      </c>
      <c r="L369">
        <f>'raw data Crude oil'!L370</f>
        <v>72.3</v>
      </c>
      <c r="M369">
        <f>'raw data Crude oil'!M370</f>
        <v>72</v>
      </c>
      <c r="N369">
        <f>'raw data Crude oil'!N370</f>
        <v>65.52</v>
      </c>
      <c r="O369">
        <f>'raw data Crude oil'!O370</f>
        <v>65.459999999999994</v>
      </c>
      <c r="P369">
        <f>'raw data Crude oil'!P370</f>
        <v>65.23</v>
      </c>
      <c r="Q369">
        <f>'raw data Crude oil'!Q370</f>
        <v>64.95</v>
      </c>
      <c r="R369">
        <f>'raw data Crude oil'!R370</f>
        <v>64.73</v>
      </c>
      <c r="S369">
        <f>'raw data Crude oil'!S370</f>
        <v>64.47</v>
      </c>
      <c r="T369">
        <f>'raw data Crude oil'!T370</f>
        <v>64.239999999999995</v>
      </c>
      <c r="U369">
        <f>'raw data Crude oil'!U370</f>
        <v>63.91</v>
      </c>
      <c r="V369">
        <f>'raw data Crude oil'!V370</f>
        <v>63.58</v>
      </c>
      <c r="W369">
        <f>'raw data Crude oil'!W370</f>
        <v>63.25</v>
      </c>
      <c r="X369">
        <f>'raw data Crude oil'!X370</f>
        <v>62.92</v>
      </c>
      <c r="Y369">
        <f>'raw data Crude oil'!Y370</f>
        <v>62.6</v>
      </c>
      <c r="Z369">
        <f>'raw data Crude oil'!Z370</f>
        <v>0</v>
      </c>
      <c r="AA369">
        <f>'raw data Crude oil'!AA370</f>
        <v>0</v>
      </c>
      <c r="AB369">
        <f>'raw data Crude oil'!AB370</f>
        <v>0</v>
      </c>
      <c r="AC369">
        <f>'raw data Crude oil'!AC370</f>
        <v>0</v>
      </c>
      <c r="AD369">
        <f>'raw data Crude oil'!AD370</f>
        <v>0</v>
      </c>
      <c r="AE369">
        <f>'raw data Crude oil'!AE370</f>
        <v>0</v>
      </c>
      <c r="AF369">
        <f>'raw data Crude oil'!AF370</f>
        <v>0</v>
      </c>
      <c r="AG369">
        <f>'raw data Crude oil'!AG370</f>
        <v>0</v>
      </c>
      <c r="AH369">
        <f>'raw data Crude oil'!AH370</f>
        <v>0</v>
      </c>
      <c r="AI369">
        <f>'raw data Crude oil'!AI370</f>
        <v>0</v>
      </c>
      <c r="AJ369">
        <f>'raw data Crude oil'!AJ370</f>
        <v>0</v>
      </c>
      <c r="AK369">
        <f>'raw data Crude oil'!AK370</f>
        <v>0</v>
      </c>
    </row>
    <row r="370" spans="1:37" x14ac:dyDescent="0.3">
      <c r="A370" s="18">
        <f>'raw data Crude oil'!A371</f>
        <v>43257</v>
      </c>
      <c r="B370">
        <f>'raw data Crude oil'!B371</f>
        <v>75.36</v>
      </c>
      <c r="C370">
        <f>'raw data Crude oil'!C371</f>
        <v>74.959999999999994</v>
      </c>
      <c r="D370">
        <f>'raw data Crude oil'!D371</f>
        <v>74.58</v>
      </c>
      <c r="E370">
        <f>'raw data Crude oil'!E371</f>
        <v>74.28</v>
      </c>
      <c r="F370">
        <f>'raw data Crude oil'!F371</f>
        <v>73.989999999999995</v>
      </c>
      <c r="G370">
        <f>'raw data Crude oil'!G371</f>
        <v>73.66</v>
      </c>
      <c r="H370">
        <f>'raw data Crude oil'!H371</f>
        <v>73.319999999999993</v>
      </c>
      <c r="I370">
        <f>'raw data Crude oil'!I371</f>
        <v>72.98</v>
      </c>
      <c r="J370">
        <f>'raw data Crude oil'!J371</f>
        <v>72.64</v>
      </c>
      <c r="K370">
        <f>'raw data Crude oil'!K371</f>
        <v>72.290000000000006</v>
      </c>
      <c r="L370">
        <f>'raw data Crude oil'!L371</f>
        <v>71.92</v>
      </c>
      <c r="M370">
        <f>'raw data Crude oil'!M371</f>
        <v>71.599999999999994</v>
      </c>
      <c r="N370">
        <f>'raw data Crude oil'!N371</f>
        <v>64.73</v>
      </c>
      <c r="O370">
        <f>'raw data Crude oil'!O371</f>
        <v>64.7</v>
      </c>
      <c r="P370">
        <f>'raw data Crude oil'!P371</f>
        <v>64.52</v>
      </c>
      <c r="Q370">
        <f>'raw data Crude oil'!Q371</f>
        <v>64.27</v>
      </c>
      <c r="R370">
        <f>'raw data Crude oil'!R371</f>
        <v>64.13</v>
      </c>
      <c r="S370">
        <f>'raw data Crude oil'!S371</f>
        <v>63.95</v>
      </c>
      <c r="T370">
        <f>'raw data Crude oil'!T371</f>
        <v>63.76</v>
      </c>
      <c r="U370">
        <f>'raw data Crude oil'!U371</f>
        <v>63.47</v>
      </c>
      <c r="V370">
        <f>'raw data Crude oil'!V371</f>
        <v>63.18</v>
      </c>
      <c r="W370">
        <f>'raw data Crude oil'!W371</f>
        <v>62.89</v>
      </c>
      <c r="X370">
        <f>'raw data Crude oil'!X371</f>
        <v>62.59</v>
      </c>
      <c r="Y370">
        <f>'raw data Crude oil'!Y371</f>
        <v>62.3</v>
      </c>
      <c r="Z370">
        <f>'raw data Crude oil'!Z371</f>
        <v>0</v>
      </c>
      <c r="AA370">
        <f>'raw data Crude oil'!AA371</f>
        <v>0</v>
      </c>
      <c r="AB370">
        <f>'raw data Crude oil'!AB371</f>
        <v>0</v>
      </c>
      <c r="AC370">
        <f>'raw data Crude oil'!AC371</f>
        <v>0</v>
      </c>
      <c r="AD370">
        <f>'raw data Crude oil'!AD371</f>
        <v>0</v>
      </c>
      <c r="AE370">
        <f>'raw data Crude oil'!AE371</f>
        <v>0</v>
      </c>
      <c r="AF370">
        <f>'raw data Crude oil'!AF371</f>
        <v>0</v>
      </c>
      <c r="AG370">
        <f>'raw data Crude oil'!AG371</f>
        <v>0</v>
      </c>
      <c r="AH370">
        <f>'raw data Crude oil'!AH371</f>
        <v>0</v>
      </c>
      <c r="AI370">
        <f>'raw data Crude oil'!AI371</f>
        <v>0</v>
      </c>
      <c r="AJ370">
        <f>'raw data Crude oil'!AJ371</f>
        <v>0</v>
      </c>
      <c r="AK370">
        <f>'raw data Crude oil'!AK371</f>
        <v>0</v>
      </c>
    </row>
    <row r="371" spans="1:37" x14ac:dyDescent="0.3">
      <c r="A371" s="18">
        <f>'raw data Crude oil'!A372</f>
        <v>43258</v>
      </c>
      <c r="B371">
        <f>'raw data Crude oil'!B372</f>
        <v>77.319999999999993</v>
      </c>
      <c r="C371">
        <f>'raw data Crude oil'!C372</f>
        <v>76.98</v>
      </c>
      <c r="D371">
        <f>'raw data Crude oil'!D372</f>
        <v>76.599999999999994</v>
      </c>
      <c r="E371">
        <f>'raw data Crude oil'!E372</f>
        <v>76.28</v>
      </c>
      <c r="F371">
        <f>'raw data Crude oil'!F372</f>
        <v>75.959999999999994</v>
      </c>
      <c r="G371">
        <f>'raw data Crude oil'!G372</f>
        <v>75.61</v>
      </c>
      <c r="H371">
        <f>'raw data Crude oil'!H372</f>
        <v>75.23</v>
      </c>
      <c r="I371">
        <f>'raw data Crude oil'!I372</f>
        <v>74.84</v>
      </c>
      <c r="J371">
        <f>'raw data Crude oil'!J372</f>
        <v>74.45</v>
      </c>
      <c r="K371">
        <f>'raw data Crude oil'!K372</f>
        <v>74.040000000000006</v>
      </c>
      <c r="L371">
        <f>'raw data Crude oil'!L372</f>
        <v>73.61</v>
      </c>
      <c r="M371">
        <f>'raw data Crude oil'!M372</f>
        <v>73.239999999999995</v>
      </c>
      <c r="N371">
        <f>'raw data Crude oil'!N372</f>
        <v>65.95</v>
      </c>
      <c r="O371">
        <f>'raw data Crude oil'!O372</f>
        <v>65.89</v>
      </c>
      <c r="P371">
        <f>'raw data Crude oil'!P372</f>
        <v>65.63</v>
      </c>
      <c r="Q371">
        <f>'raw data Crude oil'!Q372</f>
        <v>65.3</v>
      </c>
      <c r="R371">
        <f>'raw data Crude oil'!R372</f>
        <v>65.14</v>
      </c>
      <c r="S371">
        <f>'raw data Crude oil'!S372</f>
        <v>64.95</v>
      </c>
      <c r="T371">
        <f>'raw data Crude oil'!T372</f>
        <v>64.73</v>
      </c>
      <c r="U371">
        <f>'raw data Crude oil'!U372</f>
        <v>64.44</v>
      </c>
      <c r="V371">
        <f>'raw data Crude oil'!V372</f>
        <v>64.14</v>
      </c>
      <c r="W371">
        <f>'raw data Crude oil'!W372</f>
        <v>63.82</v>
      </c>
      <c r="X371">
        <f>'raw data Crude oil'!X372</f>
        <v>63.5</v>
      </c>
      <c r="Y371">
        <f>'raw data Crude oil'!Y372</f>
        <v>63.18</v>
      </c>
      <c r="Z371">
        <f>'raw data Crude oil'!Z372</f>
        <v>0</v>
      </c>
      <c r="AA371">
        <f>'raw data Crude oil'!AA372</f>
        <v>0</v>
      </c>
      <c r="AB371">
        <f>'raw data Crude oil'!AB372</f>
        <v>0</v>
      </c>
      <c r="AC371">
        <f>'raw data Crude oil'!AC372</f>
        <v>0</v>
      </c>
      <c r="AD371">
        <f>'raw data Crude oil'!AD372</f>
        <v>0</v>
      </c>
      <c r="AE371">
        <f>'raw data Crude oil'!AE372</f>
        <v>0</v>
      </c>
      <c r="AF371">
        <f>'raw data Crude oil'!AF372</f>
        <v>0</v>
      </c>
      <c r="AG371">
        <f>'raw data Crude oil'!AG372</f>
        <v>0</v>
      </c>
      <c r="AH371">
        <f>'raw data Crude oil'!AH372</f>
        <v>0</v>
      </c>
      <c r="AI371">
        <f>'raw data Crude oil'!AI372</f>
        <v>0</v>
      </c>
      <c r="AJ371">
        <f>'raw data Crude oil'!AJ372</f>
        <v>0</v>
      </c>
      <c r="AK371">
        <f>'raw data Crude oil'!AK372</f>
        <v>0</v>
      </c>
    </row>
    <row r="372" spans="1:37" x14ac:dyDescent="0.3">
      <c r="A372" s="18">
        <f>'raw data Crude oil'!A373</f>
        <v>43259</v>
      </c>
      <c r="B372">
        <f>'raw data Crude oil'!B373</f>
        <v>76.459999999999994</v>
      </c>
      <c r="C372">
        <f>'raw data Crude oil'!C373</f>
        <v>76.19</v>
      </c>
      <c r="D372">
        <f>'raw data Crude oil'!D373</f>
        <v>75.86</v>
      </c>
      <c r="E372">
        <f>'raw data Crude oil'!E373</f>
        <v>75.58</v>
      </c>
      <c r="F372">
        <f>'raw data Crude oil'!F373</f>
        <v>75.3</v>
      </c>
      <c r="G372">
        <f>'raw data Crude oil'!G373</f>
        <v>74.98</v>
      </c>
      <c r="H372">
        <f>'raw data Crude oil'!H373</f>
        <v>74.64</v>
      </c>
      <c r="I372">
        <f>'raw data Crude oil'!I373</f>
        <v>74.3</v>
      </c>
      <c r="J372">
        <f>'raw data Crude oil'!J373</f>
        <v>73.95</v>
      </c>
      <c r="K372">
        <f>'raw data Crude oil'!K373</f>
        <v>73.58</v>
      </c>
      <c r="L372">
        <f>'raw data Crude oil'!L373</f>
        <v>73.2</v>
      </c>
      <c r="M372">
        <f>'raw data Crude oil'!M373</f>
        <v>72.86</v>
      </c>
      <c r="N372">
        <f>'raw data Crude oil'!N373</f>
        <v>65.739999999999995</v>
      </c>
      <c r="O372">
        <f>'raw data Crude oil'!O373</f>
        <v>65.67</v>
      </c>
      <c r="P372">
        <f>'raw data Crude oil'!P373</f>
        <v>65.400000000000006</v>
      </c>
      <c r="Q372">
        <f>'raw data Crude oil'!Q373</f>
        <v>65.06</v>
      </c>
      <c r="R372">
        <f>'raw data Crude oil'!R373</f>
        <v>64.91</v>
      </c>
      <c r="S372">
        <f>'raw data Crude oil'!S373</f>
        <v>64.73</v>
      </c>
      <c r="T372">
        <f>'raw data Crude oil'!T373</f>
        <v>64.52</v>
      </c>
      <c r="U372">
        <f>'raw data Crude oil'!U373</f>
        <v>64.25</v>
      </c>
      <c r="V372">
        <f>'raw data Crude oil'!V373</f>
        <v>63.97</v>
      </c>
      <c r="W372">
        <f>'raw data Crude oil'!W373</f>
        <v>63.68</v>
      </c>
      <c r="X372">
        <f>'raw data Crude oil'!X373</f>
        <v>63.39</v>
      </c>
      <c r="Y372">
        <f>'raw data Crude oil'!Y373</f>
        <v>63.09</v>
      </c>
      <c r="Z372">
        <f>'raw data Crude oil'!Z373</f>
        <v>0</v>
      </c>
      <c r="AA372">
        <f>'raw data Crude oil'!AA373</f>
        <v>0</v>
      </c>
      <c r="AB372">
        <f>'raw data Crude oil'!AB373</f>
        <v>0</v>
      </c>
      <c r="AC372">
        <f>'raw data Crude oil'!AC373</f>
        <v>0</v>
      </c>
      <c r="AD372">
        <f>'raw data Crude oil'!AD373</f>
        <v>0</v>
      </c>
      <c r="AE372">
        <f>'raw data Crude oil'!AE373</f>
        <v>0</v>
      </c>
      <c r="AF372">
        <f>'raw data Crude oil'!AF373</f>
        <v>0</v>
      </c>
      <c r="AG372">
        <f>'raw data Crude oil'!AG373</f>
        <v>0</v>
      </c>
      <c r="AH372">
        <f>'raw data Crude oil'!AH373</f>
        <v>0</v>
      </c>
      <c r="AI372">
        <f>'raw data Crude oil'!AI373</f>
        <v>0</v>
      </c>
      <c r="AJ372">
        <f>'raw data Crude oil'!AJ373</f>
        <v>0</v>
      </c>
      <c r="AK372">
        <f>'raw data Crude oil'!AK373</f>
        <v>0</v>
      </c>
    </row>
    <row r="373" spans="1:37" x14ac:dyDescent="0.3">
      <c r="A373" s="18">
        <f>'raw data Crude oil'!A374</f>
        <v>43262</v>
      </c>
      <c r="B373">
        <f>'raw data Crude oil'!B374</f>
        <v>76.459999999999994</v>
      </c>
      <c r="C373">
        <f>'raw data Crude oil'!C374</f>
        <v>76.19</v>
      </c>
      <c r="D373">
        <f>'raw data Crude oil'!D374</f>
        <v>75.819999999999993</v>
      </c>
      <c r="E373">
        <f>'raw data Crude oil'!E374</f>
        <v>75.53</v>
      </c>
      <c r="F373">
        <f>'raw data Crude oil'!F374</f>
        <v>75.239999999999995</v>
      </c>
      <c r="G373">
        <f>'raw data Crude oil'!G374</f>
        <v>74.94</v>
      </c>
      <c r="H373">
        <f>'raw data Crude oil'!H374</f>
        <v>74.61</v>
      </c>
      <c r="I373">
        <f>'raw data Crude oil'!I374</f>
        <v>74.28</v>
      </c>
      <c r="J373">
        <f>'raw data Crude oil'!J374</f>
        <v>73.959999999999994</v>
      </c>
      <c r="K373">
        <f>'raw data Crude oil'!K374</f>
        <v>73.61</v>
      </c>
      <c r="L373">
        <f>'raw data Crude oil'!L374</f>
        <v>73.25</v>
      </c>
      <c r="M373">
        <f>'raw data Crude oil'!M374</f>
        <v>72.92</v>
      </c>
      <c r="N373">
        <f>'raw data Crude oil'!N374</f>
        <v>66.099999999999994</v>
      </c>
      <c r="O373">
        <f>'raw data Crude oil'!O374</f>
        <v>66.03</v>
      </c>
      <c r="P373">
        <f>'raw data Crude oil'!P374</f>
        <v>65.739999999999995</v>
      </c>
      <c r="Q373">
        <f>'raw data Crude oil'!Q374</f>
        <v>65.36</v>
      </c>
      <c r="R373">
        <f>'raw data Crude oil'!R374</f>
        <v>65.17</v>
      </c>
      <c r="S373">
        <f>'raw data Crude oil'!S374</f>
        <v>64.97</v>
      </c>
      <c r="T373">
        <f>'raw data Crude oil'!T374</f>
        <v>64.75</v>
      </c>
      <c r="U373">
        <f>'raw data Crude oil'!U374</f>
        <v>64.489999999999995</v>
      </c>
      <c r="V373">
        <f>'raw data Crude oil'!V374</f>
        <v>64.22</v>
      </c>
      <c r="W373">
        <f>'raw data Crude oil'!W374</f>
        <v>63.94</v>
      </c>
      <c r="X373">
        <f>'raw data Crude oil'!X374</f>
        <v>63.67</v>
      </c>
      <c r="Y373">
        <f>'raw data Crude oil'!Y374</f>
        <v>63.4</v>
      </c>
      <c r="Z373">
        <f>'raw data Crude oil'!Z374</f>
        <v>0</v>
      </c>
      <c r="AA373">
        <f>'raw data Crude oil'!AA374</f>
        <v>0</v>
      </c>
      <c r="AB373">
        <f>'raw data Crude oil'!AB374</f>
        <v>0</v>
      </c>
      <c r="AC373">
        <f>'raw data Crude oil'!AC374</f>
        <v>0</v>
      </c>
      <c r="AD373">
        <f>'raw data Crude oil'!AD374</f>
        <v>0</v>
      </c>
      <c r="AE373">
        <f>'raw data Crude oil'!AE374</f>
        <v>0</v>
      </c>
      <c r="AF373">
        <f>'raw data Crude oil'!AF374</f>
        <v>0</v>
      </c>
      <c r="AG373">
        <f>'raw data Crude oil'!AG374</f>
        <v>0</v>
      </c>
      <c r="AH373">
        <f>'raw data Crude oil'!AH374</f>
        <v>0</v>
      </c>
      <c r="AI373">
        <f>'raw data Crude oil'!AI374</f>
        <v>0</v>
      </c>
      <c r="AJ373">
        <f>'raw data Crude oil'!AJ374</f>
        <v>0</v>
      </c>
      <c r="AK373">
        <f>'raw data Crude oil'!AK374</f>
        <v>0</v>
      </c>
    </row>
    <row r="374" spans="1:37" x14ac:dyDescent="0.3">
      <c r="A374" s="18">
        <f>'raw data Crude oil'!A375</f>
        <v>43263</v>
      </c>
      <c r="B374">
        <f>'raw data Crude oil'!B375</f>
        <v>75.88</v>
      </c>
      <c r="C374">
        <f>'raw data Crude oil'!C375</f>
        <v>75.650000000000006</v>
      </c>
      <c r="D374">
        <f>'raw data Crude oil'!D375</f>
        <v>75.3</v>
      </c>
      <c r="E374">
        <f>'raw data Crude oil'!E375</f>
        <v>75.03</v>
      </c>
      <c r="F374">
        <f>'raw data Crude oil'!F375</f>
        <v>74.760000000000005</v>
      </c>
      <c r="G374">
        <f>'raw data Crude oil'!G375</f>
        <v>74.47</v>
      </c>
      <c r="H374">
        <f>'raw data Crude oil'!H375</f>
        <v>74.16</v>
      </c>
      <c r="I374">
        <f>'raw data Crude oil'!I375</f>
        <v>73.849999999999994</v>
      </c>
      <c r="J374">
        <f>'raw data Crude oil'!J375</f>
        <v>73.53</v>
      </c>
      <c r="K374">
        <f>'raw data Crude oil'!K375</f>
        <v>73.209999999999994</v>
      </c>
      <c r="L374">
        <f>'raw data Crude oil'!L375</f>
        <v>72.87</v>
      </c>
      <c r="M374">
        <f>'raw data Crude oil'!M375</f>
        <v>72.55</v>
      </c>
      <c r="N374">
        <f>'raw data Crude oil'!N375</f>
        <v>66.36</v>
      </c>
      <c r="O374">
        <f>'raw data Crude oil'!O375</f>
        <v>66.28</v>
      </c>
      <c r="P374">
        <f>'raw data Crude oil'!P375</f>
        <v>65.98</v>
      </c>
      <c r="Q374">
        <f>'raw data Crude oil'!Q375</f>
        <v>65.58</v>
      </c>
      <c r="R374">
        <f>'raw data Crude oil'!R375</f>
        <v>65.37</v>
      </c>
      <c r="S374">
        <f>'raw data Crude oil'!S375</f>
        <v>65.16</v>
      </c>
      <c r="T374">
        <f>'raw data Crude oil'!T375</f>
        <v>64.94</v>
      </c>
      <c r="U374">
        <f>'raw data Crude oil'!U375</f>
        <v>64.680000000000007</v>
      </c>
      <c r="V374">
        <f>'raw data Crude oil'!V375</f>
        <v>64.39</v>
      </c>
      <c r="W374">
        <f>'raw data Crude oil'!W375</f>
        <v>64.09</v>
      </c>
      <c r="X374">
        <f>'raw data Crude oil'!X375</f>
        <v>63.79</v>
      </c>
      <c r="Y374">
        <f>'raw data Crude oil'!Y375</f>
        <v>63.5</v>
      </c>
      <c r="Z374">
        <f>'raw data Crude oil'!Z375</f>
        <v>0</v>
      </c>
      <c r="AA374">
        <f>'raw data Crude oil'!AA375</f>
        <v>0</v>
      </c>
      <c r="AB374">
        <f>'raw data Crude oil'!AB375</f>
        <v>0</v>
      </c>
      <c r="AC374">
        <f>'raw data Crude oil'!AC375</f>
        <v>0</v>
      </c>
      <c r="AD374">
        <f>'raw data Crude oil'!AD375</f>
        <v>0</v>
      </c>
      <c r="AE374">
        <f>'raw data Crude oil'!AE375</f>
        <v>0</v>
      </c>
      <c r="AF374">
        <f>'raw data Crude oil'!AF375</f>
        <v>0</v>
      </c>
      <c r="AG374">
        <f>'raw data Crude oil'!AG375</f>
        <v>0</v>
      </c>
      <c r="AH374">
        <f>'raw data Crude oil'!AH375</f>
        <v>0</v>
      </c>
      <c r="AI374">
        <f>'raw data Crude oil'!AI375</f>
        <v>0</v>
      </c>
      <c r="AJ374">
        <f>'raw data Crude oil'!AJ375</f>
        <v>0</v>
      </c>
      <c r="AK374">
        <f>'raw data Crude oil'!AK375</f>
        <v>0</v>
      </c>
    </row>
    <row r="375" spans="1:37" x14ac:dyDescent="0.3">
      <c r="A375" s="18">
        <f>'raw data Crude oil'!A376</f>
        <v>43264</v>
      </c>
      <c r="B375">
        <f>'raw data Crude oil'!B376</f>
        <v>76.739999999999995</v>
      </c>
      <c r="C375">
        <f>'raw data Crude oil'!C376</f>
        <v>76.48</v>
      </c>
      <c r="D375">
        <f>'raw data Crude oil'!D376</f>
        <v>76.099999999999994</v>
      </c>
      <c r="E375">
        <f>'raw data Crude oil'!E376</f>
        <v>75.83</v>
      </c>
      <c r="F375">
        <f>'raw data Crude oil'!F376</f>
        <v>75.58</v>
      </c>
      <c r="G375">
        <f>'raw data Crude oil'!G376</f>
        <v>75.319999999999993</v>
      </c>
      <c r="H375">
        <f>'raw data Crude oil'!H376</f>
        <v>75.03</v>
      </c>
      <c r="I375">
        <f>'raw data Crude oil'!I376</f>
        <v>74.739999999999995</v>
      </c>
      <c r="J375">
        <f>'raw data Crude oil'!J376</f>
        <v>74.45</v>
      </c>
      <c r="K375">
        <f>'raw data Crude oil'!K376</f>
        <v>74.14</v>
      </c>
      <c r="L375">
        <f>'raw data Crude oil'!L376</f>
        <v>73.81</v>
      </c>
      <c r="M375">
        <f>'raw data Crude oil'!M376</f>
        <v>73.510000000000005</v>
      </c>
      <c r="N375">
        <f>'raw data Crude oil'!N376</f>
        <v>66.64</v>
      </c>
      <c r="O375">
        <f>'raw data Crude oil'!O376</f>
        <v>66.52</v>
      </c>
      <c r="P375">
        <f>'raw data Crude oil'!P376</f>
        <v>66.22</v>
      </c>
      <c r="Q375">
        <f>'raw data Crude oil'!Q376</f>
        <v>65.84</v>
      </c>
      <c r="R375">
        <f>'raw data Crude oil'!R376</f>
        <v>65.67</v>
      </c>
      <c r="S375">
        <f>'raw data Crude oil'!S376</f>
        <v>65.5</v>
      </c>
      <c r="T375">
        <f>'raw data Crude oil'!T376</f>
        <v>65.319999999999993</v>
      </c>
      <c r="U375">
        <f>'raw data Crude oil'!U376</f>
        <v>65.09</v>
      </c>
      <c r="V375">
        <f>'raw data Crude oil'!V376</f>
        <v>64.849999999999994</v>
      </c>
      <c r="W375">
        <f>'raw data Crude oil'!W376</f>
        <v>64.59</v>
      </c>
      <c r="X375">
        <f>'raw data Crude oil'!X376</f>
        <v>64.319999999999993</v>
      </c>
      <c r="Y375">
        <f>'raw data Crude oil'!Y376</f>
        <v>64.05</v>
      </c>
      <c r="Z375">
        <f>'raw data Crude oil'!Z376</f>
        <v>0</v>
      </c>
      <c r="AA375">
        <f>'raw data Crude oil'!AA376</f>
        <v>0</v>
      </c>
      <c r="AB375">
        <f>'raw data Crude oil'!AB376</f>
        <v>0</v>
      </c>
      <c r="AC375">
        <f>'raw data Crude oil'!AC376</f>
        <v>0</v>
      </c>
      <c r="AD375">
        <f>'raw data Crude oil'!AD376</f>
        <v>0</v>
      </c>
      <c r="AE375">
        <f>'raw data Crude oil'!AE376</f>
        <v>0</v>
      </c>
      <c r="AF375">
        <f>'raw data Crude oil'!AF376</f>
        <v>0</v>
      </c>
      <c r="AG375">
        <f>'raw data Crude oil'!AG376</f>
        <v>0</v>
      </c>
      <c r="AH375">
        <f>'raw data Crude oil'!AH376</f>
        <v>0</v>
      </c>
      <c r="AI375">
        <f>'raw data Crude oil'!AI376</f>
        <v>0</v>
      </c>
      <c r="AJ375">
        <f>'raw data Crude oil'!AJ376</f>
        <v>0</v>
      </c>
      <c r="AK375">
        <f>'raw data Crude oil'!AK376</f>
        <v>0</v>
      </c>
    </row>
    <row r="376" spans="1:37" x14ac:dyDescent="0.3">
      <c r="A376" s="18">
        <f>'raw data Crude oil'!A377</f>
        <v>43265</v>
      </c>
      <c r="B376">
        <f>'raw data Crude oil'!B377</f>
        <v>75.94</v>
      </c>
      <c r="C376">
        <f>'raw data Crude oil'!C377</f>
        <v>75.62</v>
      </c>
      <c r="D376">
        <f>'raw data Crude oil'!D377</f>
        <v>75.2</v>
      </c>
      <c r="E376">
        <f>'raw data Crude oil'!E377</f>
        <v>74.900000000000006</v>
      </c>
      <c r="F376">
        <f>'raw data Crude oil'!F377</f>
        <v>74.62</v>
      </c>
      <c r="G376">
        <f>'raw data Crude oil'!G377</f>
        <v>74.33</v>
      </c>
      <c r="H376">
        <f>'raw data Crude oil'!H377</f>
        <v>74.03</v>
      </c>
      <c r="I376">
        <f>'raw data Crude oil'!I377</f>
        <v>73.73</v>
      </c>
      <c r="J376">
        <f>'raw data Crude oil'!J377</f>
        <v>73.459999999999994</v>
      </c>
      <c r="K376">
        <f>'raw data Crude oil'!K377</f>
        <v>73.16</v>
      </c>
      <c r="L376">
        <f>'raw data Crude oil'!L377</f>
        <v>72.849999999999994</v>
      </c>
      <c r="M376">
        <f>'raw data Crude oil'!M377</f>
        <v>72.55</v>
      </c>
      <c r="N376">
        <f>'raw data Crude oil'!N377</f>
        <v>66.89</v>
      </c>
      <c r="O376">
        <f>'raw data Crude oil'!O377</f>
        <v>66.69</v>
      </c>
      <c r="P376">
        <f>'raw data Crude oil'!P377</f>
        <v>66.27</v>
      </c>
      <c r="Q376">
        <f>'raw data Crude oil'!Q377</f>
        <v>65.790000000000006</v>
      </c>
      <c r="R376">
        <f>'raw data Crude oil'!R377</f>
        <v>65.540000000000006</v>
      </c>
      <c r="S376">
        <f>'raw data Crude oil'!S377</f>
        <v>65.290000000000006</v>
      </c>
      <c r="T376">
        <f>'raw data Crude oil'!T377</f>
        <v>65.06</v>
      </c>
      <c r="U376">
        <f>'raw data Crude oil'!U377</f>
        <v>64.790000000000006</v>
      </c>
      <c r="V376">
        <f>'raw data Crude oil'!V377</f>
        <v>64.52</v>
      </c>
      <c r="W376">
        <f>'raw data Crude oil'!W377</f>
        <v>64.23</v>
      </c>
      <c r="X376">
        <f>'raw data Crude oil'!X377</f>
        <v>63.95</v>
      </c>
      <c r="Y376">
        <f>'raw data Crude oil'!Y377</f>
        <v>63.67</v>
      </c>
      <c r="Z376">
        <f>'raw data Crude oil'!Z377</f>
        <v>0</v>
      </c>
      <c r="AA376">
        <f>'raw data Crude oil'!AA377</f>
        <v>0</v>
      </c>
      <c r="AB376">
        <f>'raw data Crude oil'!AB377</f>
        <v>0</v>
      </c>
      <c r="AC376">
        <f>'raw data Crude oil'!AC377</f>
        <v>0</v>
      </c>
      <c r="AD376">
        <f>'raw data Crude oil'!AD377</f>
        <v>0</v>
      </c>
      <c r="AE376">
        <f>'raw data Crude oil'!AE377</f>
        <v>0</v>
      </c>
      <c r="AF376">
        <f>'raw data Crude oil'!AF377</f>
        <v>0</v>
      </c>
      <c r="AG376">
        <f>'raw data Crude oil'!AG377</f>
        <v>0</v>
      </c>
      <c r="AH376">
        <f>'raw data Crude oil'!AH377</f>
        <v>0</v>
      </c>
      <c r="AI376">
        <f>'raw data Crude oil'!AI377</f>
        <v>0</v>
      </c>
      <c r="AJ376">
        <f>'raw data Crude oil'!AJ377</f>
        <v>0</v>
      </c>
      <c r="AK376">
        <f>'raw data Crude oil'!AK377</f>
        <v>0</v>
      </c>
    </row>
    <row r="377" spans="1:37" x14ac:dyDescent="0.3">
      <c r="A377" s="18">
        <f>'raw data Crude oil'!A378</f>
        <v>43266</v>
      </c>
      <c r="B377">
        <f>'raw data Crude oil'!B378</f>
        <v>73.44</v>
      </c>
      <c r="C377">
        <f>'raw data Crude oil'!C378</f>
        <v>73.08</v>
      </c>
      <c r="D377">
        <f>'raw data Crude oil'!D378</f>
        <v>72.66</v>
      </c>
      <c r="E377">
        <f>'raw data Crude oil'!E378</f>
        <v>72.38</v>
      </c>
      <c r="F377">
        <f>'raw data Crude oil'!F378</f>
        <v>72.11</v>
      </c>
      <c r="G377">
        <f>'raw data Crude oil'!G378</f>
        <v>71.84</v>
      </c>
      <c r="H377">
        <f>'raw data Crude oil'!H378</f>
        <v>71.55</v>
      </c>
      <c r="I377">
        <f>'raw data Crude oil'!I378</f>
        <v>71.25</v>
      </c>
      <c r="J377">
        <f>'raw data Crude oil'!J378</f>
        <v>70.98</v>
      </c>
      <c r="K377">
        <f>'raw data Crude oil'!K378</f>
        <v>70.69</v>
      </c>
      <c r="L377">
        <f>'raw data Crude oil'!L378</f>
        <v>70.39</v>
      </c>
      <c r="M377">
        <f>'raw data Crude oil'!M378</f>
        <v>70.12</v>
      </c>
      <c r="N377">
        <f>'raw data Crude oil'!N378</f>
        <v>65.06</v>
      </c>
      <c r="O377">
        <f>'raw data Crude oil'!O378</f>
        <v>64.849999999999994</v>
      </c>
      <c r="P377">
        <f>'raw data Crude oil'!P378</f>
        <v>64.400000000000006</v>
      </c>
      <c r="Q377">
        <f>'raw data Crude oil'!Q378</f>
        <v>63.94</v>
      </c>
      <c r="R377">
        <f>'raw data Crude oil'!R378</f>
        <v>63.74</v>
      </c>
      <c r="S377">
        <f>'raw data Crude oil'!S378</f>
        <v>63.52</v>
      </c>
      <c r="T377">
        <f>'raw data Crude oil'!T378</f>
        <v>63.29</v>
      </c>
      <c r="U377">
        <f>'raw data Crude oil'!U378</f>
        <v>63</v>
      </c>
      <c r="V377">
        <f>'raw data Crude oil'!V378</f>
        <v>62.7</v>
      </c>
      <c r="W377">
        <f>'raw data Crude oil'!W378</f>
        <v>62.4</v>
      </c>
      <c r="X377">
        <f>'raw data Crude oil'!X378</f>
        <v>62.11</v>
      </c>
      <c r="Y377">
        <f>'raw data Crude oil'!Y378</f>
        <v>61.84</v>
      </c>
      <c r="Z377">
        <f>'raw data Crude oil'!Z378</f>
        <v>0</v>
      </c>
      <c r="AA377">
        <f>'raw data Crude oil'!AA378</f>
        <v>0</v>
      </c>
      <c r="AB377">
        <f>'raw data Crude oil'!AB378</f>
        <v>0</v>
      </c>
      <c r="AC377">
        <f>'raw data Crude oil'!AC378</f>
        <v>0</v>
      </c>
      <c r="AD377">
        <f>'raw data Crude oil'!AD378</f>
        <v>0</v>
      </c>
      <c r="AE377">
        <f>'raw data Crude oil'!AE378</f>
        <v>0</v>
      </c>
      <c r="AF377">
        <f>'raw data Crude oil'!AF378</f>
        <v>0</v>
      </c>
      <c r="AG377">
        <f>'raw data Crude oil'!AG378</f>
        <v>0</v>
      </c>
      <c r="AH377">
        <f>'raw data Crude oil'!AH378</f>
        <v>0</v>
      </c>
      <c r="AI377">
        <f>'raw data Crude oil'!AI378</f>
        <v>0</v>
      </c>
      <c r="AJ377">
        <f>'raw data Crude oil'!AJ378</f>
        <v>0</v>
      </c>
      <c r="AK377">
        <f>'raw data Crude oil'!AK378</f>
        <v>0</v>
      </c>
    </row>
    <row r="378" spans="1:37" x14ac:dyDescent="0.3">
      <c r="A378" s="18">
        <f>'raw data Crude oil'!A379</f>
        <v>43269</v>
      </c>
      <c r="B378">
        <f>'raw data Crude oil'!B379</f>
        <v>75.34</v>
      </c>
      <c r="C378">
        <f>'raw data Crude oil'!C379</f>
        <v>74.94</v>
      </c>
      <c r="D378">
        <f>'raw data Crude oil'!D379</f>
        <v>74.52</v>
      </c>
      <c r="E378">
        <f>'raw data Crude oil'!E379</f>
        <v>74.209999999999994</v>
      </c>
      <c r="F378">
        <f>'raw data Crude oil'!F379</f>
        <v>73.91</v>
      </c>
      <c r="G378">
        <f>'raw data Crude oil'!G379</f>
        <v>73.599999999999994</v>
      </c>
      <c r="H378">
        <f>'raw data Crude oil'!H379</f>
        <v>73.27</v>
      </c>
      <c r="I378">
        <f>'raw data Crude oil'!I379</f>
        <v>72.930000000000007</v>
      </c>
      <c r="J378">
        <f>'raw data Crude oil'!J379</f>
        <v>72.61</v>
      </c>
      <c r="K378">
        <f>'raw data Crude oil'!K379</f>
        <v>72.290000000000006</v>
      </c>
      <c r="L378">
        <f>'raw data Crude oil'!L379</f>
        <v>71.959999999999994</v>
      </c>
      <c r="M378">
        <f>'raw data Crude oil'!M379</f>
        <v>71.66</v>
      </c>
      <c r="N378">
        <f>'raw data Crude oil'!N379</f>
        <v>65.849999999999994</v>
      </c>
      <c r="O378">
        <f>'raw data Crude oil'!O379</f>
        <v>65.69</v>
      </c>
      <c r="P378">
        <f>'raw data Crude oil'!P379</f>
        <v>65.28</v>
      </c>
      <c r="Q378">
        <f>'raw data Crude oil'!Q379</f>
        <v>64.81</v>
      </c>
      <c r="R378">
        <f>'raw data Crude oil'!R379</f>
        <v>64.56</v>
      </c>
      <c r="S378">
        <f>'raw data Crude oil'!S379</f>
        <v>64.3</v>
      </c>
      <c r="T378">
        <f>'raw data Crude oil'!T379</f>
        <v>64.03</v>
      </c>
      <c r="U378">
        <f>'raw data Crude oil'!U379</f>
        <v>63.71</v>
      </c>
      <c r="V378">
        <f>'raw data Crude oil'!V379</f>
        <v>63.39</v>
      </c>
      <c r="W378">
        <f>'raw data Crude oil'!W379</f>
        <v>63.08</v>
      </c>
      <c r="X378">
        <f>'raw data Crude oil'!X379</f>
        <v>62.78</v>
      </c>
      <c r="Y378">
        <f>'raw data Crude oil'!Y379</f>
        <v>62.51</v>
      </c>
      <c r="Z378">
        <f>'raw data Crude oil'!Z379</f>
        <v>0</v>
      </c>
      <c r="AA378">
        <f>'raw data Crude oil'!AA379</f>
        <v>0</v>
      </c>
      <c r="AB378">
        <f>'raw data Crude oil'!AB379</f>
        <v>0</v>
      </c>
      <c r="AC378">
        <f>'raw data Crude oil'!AC379</f>
        <v>0</v>
      </c>
      <c r="AD378">
        <f>'raw data Crude oil'!AD379</f>
        <v>0</v>
      </c>
      <c r="AE378">
        <f>'raw data Crude oil'!AE379</f>
        <v>0</v>
      </c>
      <c r="AF378">
        <f>'raw data Crude oil'!AF379</f>
        <v>0</v>
      </c>
      <c r="AG378">
        <f>'raw data Crude oil'!AG379</f>
        <v>0</v>
      </c>
      <c r="AH378">
        <f>'raw data Crude oil'!AH379</f>
        <v>0</v>
      </c>
      <c r="AI378">
        <f>'raw data Crude oil'!AI379</f>
        <v>0</v>
      </c>
      <c r="AJ378">
        <f>'raw data Crude oil'!AJ379</f>
        <v>0</v>
      </c>
      <c r="AK378">
        <f>'raw data Crude oil'!AK379</f>
        <v>0</v>
      </c>
    </row>
    <row r="379" spans="1:37" x14ac:dyDescent="0.3">
      <c r="A379" s="18">
        <f>'raw data Crude oil'!A380</f>
        <v>43270</v>
      </c>
      <c r="B379">
        <f>'raw data Crude oil'!B380</f>
        <v>75.08</v>
      </c>
      <c r="C379">
        <f>'raw data Crude oil'!C380</f>
        <v>74.64</v>
      </c>
      <c r="D379">
        <f>'raw data Crude oil'!D380</f>
        <v>74.16</v>
      </c>
      <c r="E379">
        <f>'raw data Crude oil'!E380</f>
        <v>73.83</v>
      </c>
      <c r="F379">
        <f>'raw data Crude oil'!F380</f>
        <v>73.5</v>
      </c>
      <c r="G379">
        <f>'raw data Crude oil'!G380</f>
        <v>73.180000000000007</v>
      </c>
      <c r="H379">
        <f>'raw data Crude oil'!H380</f>
        <v>72.849999999999994</v>
      </c>
      <c r="I379">
        <f>'raw data Crude oil'!I380</f>
        <v>72.510000000000005</v>
      </c>
      <c r="J379">
        <f>'raw data Crude oil'!J380</f>
        <v>72.19</v>
      </c>
      <c r="K379">
        <f>'raw data Crude oil'!K380</f>
        <v>71.87</v>
      </c>
      <c r="L379">
        <f>'raw data Crude oil'!L380</f>
        <v>71.55</v>
      </c>
      <c r="M379">
        <f>'raw data Crude oil'!M380</f>
        <v>71.25</v>
      </c>
      <c r="N379">
        <f>'raw data Crude oil'!N380</f>
        <v>65.069999999999993</v>
      </c>
      <c r="O379">
        <f>'raw data Crude oil'!O380</f>
        <v>64.900000000000006</v>
      </c>
      <c r="P379">
        <f>'raw data Crude oil'!P380</f>
        <v>64.56</v>
      </c>
      <c r="Q379">
        <f>'raw data Crude oil'!Q380</f>
        <v>64.13</v>
      </c>
      <c r="R379">
        <f>'raw data Crude oil'!R380</f>
        <v>63.94</v>
      </c>
      <c r="S379">
        <f>'raw data Crude oil'!S380</f>
        <v>63.72</v>
      </c>
      <c r="T379">
        <f>'raw data Crude oil'!T380</f>
        <v>63.5</v>
      </c>
      <c r="U379">
        <f>'raw data Crude oil'!U380</f>
        <v>63.21</v>
      </c>
      <c r="V379">
        <f>'raw data Crude oil'!V380</f>
        <v>62.9</v>
      </c>
      <c r="W379">
        <f>'raw data Crude oil'!W380</f>
        <v>62.61</v>
      </c>
      <c r="X379">
        <f>'raw data Crude oil'!X380</f>
        <v>62.32</v>
      </c>
      <c r="Y379">
        <f>'raw data Crude oil'!Y380</f>
        <v>62.05</v>
      </c>
      <c r="Z379">
        <f>'raw data Crude oil'!Z380</f>
        <v>0</v>
      </c>
      <c r="AA379">
        <f>'raw data Crude oil'!AA380</f>
        <v>0</v>
      </c>
      <c r="AB379">
        <f>'raw data Crude oil'!AB380</f>
        <v>0</v>
      </c>
      <c r="AC379">
        <f>'raw data Crude oil'!AC380</f>
        <v>0</v>
      </c>
      <c r="AD379">
        <f>'raw data Crude oil'!AD380</f>
        <v>0</v>
      </c>
      <c r="AE379">
        <f>'raw data Crude oil'!AE380</f>
        <v>0</v>
      </c>
      <c r="AF379">
        <f>'raw data Crude oil'!AF380</f>
        <v>0</v>
      </c>
      <c r="AG379">
        <f>'raw data Crude oil'!AG380</f>
        <v>0</v>
      </c>
      <c r="AH379">
        <f>'raw data Crude oil'!AH380</f>
        <v>0</v>
      </c>
      <c r="AI379">
        <f>'raw data Crude oil'!AI380</f>
        <v>0</v>
      </c>
      <c r="AJ379">
        <f>'raw data Crude oil'!AJ380</f>
        <v>0</v>
      </c>
      <c r="AK379">
        <f>'raw data Crude oil'!AK380</f>
        <v>0</v>
      </c>
    </row>
    <row r="380" spans="1:37" x14ac:dyDescent="0.3">
      <c r="A380" s="18">
        <f>'raw data Crude oil'!A381</f>
        <v>43271</v>
      </c>
      <c r="B380">
        <f>'raw data Crude oil'!B381</f>
        <v>74.739999999999995</v>
      </c>
      <c r="C380">
        <f>'raw data Crude oil'!C381</f>
        <v>74.33</v>
      </c>
      <c r="D380">
        <f>'raw data Crude oil'!D381</f>
        <v>73.89</v>
      </c>
      <c r="E380">
        <f>'raw data Crude oil'!E381</f>
        <v>73.56</v>
      </c>
      <c r="F380">
        <f>'raw data Crude oil'!F381</f>
        <v>73.23</v>
      </c>
      <c r="G380">
        <f>'raw data Crude oil'!G381</f>
        <v>72.900000000000006</v>
      </c>
      <c r="H380">
        <f>'raw data Crude oil'!H381</f>
        <v>72.55</v>
      </c>
      <c r="I380">
        <f>'raw data Crude oil'!I381</f>
        <v>72.209999999999994</v>
      </c>
      <c r="J380">
        <f>'raw data Crude oil'!J381</f>
        <v>71.88</v>
      </c>
      <c r="K380">
        <f>'raw data Crude oil'!K381</f>
        <v>71.540000000000006</v>
      </c>
      <c r="L380">
        <f>'raw data Crude oil'!L381</f>
        <v>71.209999999999994</v>
      </c>
      <c r="M380">
        <f>'raw data Crude oil'!M381</f>
        <v>70.900000000000006</v>
      </c>
      <c r="N380">
        <f>'raw data Crude oil'!N381</f>
        <v>66.22</v>
      </c>
      <c r="O380">
        <f>'raw data Crude oil'!O381</f>
        <v>65.709999999999994</v>
      </c>
      <c r="P380">
        <f>'raw data Crude oil'!P381</f>
        <v>65.239999999999995</v>
      </c>
      <c r="Q380">
        <f>'raw data Crude oil'!Q381</f>
        <v>64.72</v>
      </c>
      <c r="R380">
        <f>'raw data Crude oil'!R381</f>
        <v>64.45</v>
      </c>
      <c r="S380">
        <f>'raw data Crude oil'!S381</f>
        <v>64.19</v>
      </c>
      <c r="T380">
        <f>'raw data Crude oil'!T381</f>
        <v>63.92</v>
      </c>
      <c r="U380">
        <f>'raw data Crude oil'!U381</f>
        <v>63.57</v>
      </c>
      <c r="V380">
        <f>'raw data Crude oil'!V381</f>
        <v>63.22</v>
      </c>
      <c r="W380">
        <f>'raw data Crude oil'!W381</f>
        <v>62.87</v>
      </c>
      <c r="X380">
        <f>'raw data Crude oil'!X381</f>
        <v>62.55</v>
      </c>
      <c r="Y380">
        <f>'raw data Crude oil'!Y381</f>
        <v>62.23</v>
      </c>
      <c r="Z380">
        <f>'raw data Crude oil'!Z381</f>
        <v>0</v>
      </c>
      <c r="AA380">
        <f>'raw data Crude oil'!AA381</f>
        <v>0</v>
      </c>
      <c r="AB380">
        <f>'raw data Crude oil'!AB381</f>
        <v>0</v>
      </c>
      <c r="AC380">
        <f>'raw data Crude oil'!AC381</f>
        <v>0</v>
      </c>
      <c r="AD380">
        <f>'raw data Crude oil'!AD381</f>
        <v>0</v>
      </c>
      <c r="AE380">
        <f>'raw data Crude oil'!AE381</f>
        <v>0</v>
      </c>
      <c r="AF380">
        <f>'raw data Crude oil'!AF381</f>
        <v>0</v>
      </c>
      <c r="AG380">
        <f>'raw data Crude oil'!AG381</f>
        <v>0</v>
      </c>
      <c r="AH380">
        <f>'raw data Crude oil'!AH381</f>
        <v>0</v>
      </c>
      <c r="AI380">
        <f>'raw data Crude oil'!AI381</f>
        <v>0</v>
      </c>
      <c r="AJ380">
        <f>'raw data Crude oil'!AJ381</f>
        <v>0</v>
      </c>
      <c r="AK380">
        <f>'raw data Crude oil'!AK381</f>
        <v>0</v>
      </c>
    </row>
    <row r="381" spans="1:37" x14ac:dyDescent="0.3">
      <c r="A381" s="18">
        <f>'raw data Crude oil'!A382</f>
        <v>43272</v>
      </c>
      <c r="B381">
        <f>'raw data Crude oil'!B382</f>
        <v>73.05</v>
      </c>
      <c r="C381">
        <f>'raw data Crude oil'!C382</f>
        <v>72.8</v>
      </c>
      <c r="D381">
        <f>'raw data Crude oil'!D382</f>
        <v>72.42</v>
      </c>
      <c r="E381">
        <f>'raw data Crude oil'!E382</f>
        <v>72.150000000000006</v>
      </c>
      <c r="F381">
        <f>'raw data Crude oil'!F382</f>
        <v>71.86</v>
      </c>
      <c r="G381">
        <f>'raw data Crude oil'!G382</f>
        <v>71.56</v>
      </c>
      <c r="H381">
        <f>'raw data Crude oil'!H382</f>
        <v>71.23</v>
      </c>
      <c r="I381">
        <f>'raw data Crude oil'!I382</f>
        <v>70.91</v>
      </c>
      <c r="J381">
        <f>'raw data Crude oil'!J382</f>
        <v>70.599999999999994</v>
      </c>
      <c r="K381">
        <f>'raw data Crude oil'!K382</f>
        <v>70.28</v>
      </c>
      <c r="L381">
        <f>'raw data Crude oil'!L382</f>
        <v>69.959999999999994</v>
      </c>
      <c r="M381">
        <f>'raw data Crude oil'!M382</f>
        <v>69.69</v>
      </c>
      <c r="N381">
        <f>'raw data Crude oil'!N382</f>
        <v>65.540000000000006</v>
      </c>
      <c r="O381">
        <f>'raw data Crude oil'!O382</f>
        <v>64.86</v>
      </c>
      <c r="P381">
        <f>'raw data Crude oil'!P382</f>
        <v>64.19</v>
      </c>
      <c r="Q381">
        <f>'raw data Crude oil'!Q382</f>
        <v>63.84</v>
      </c>
      <c r="R381">
        <f>'raw data Crude oil'!R382</f>
        <v>63.55</v>
      </c>
      <c r="S381">
        <f>'raw data Crude oil'!S382</f>
        <v>63.22</v>
      </c>
      <c r="T381">
        <f>'raw data Crude oil'!T382</f>
        <v>62.82</v>
      </c>
      <c r="U381">
        <f>'raw data Crude oil'!U382</f>
        <v>62.42</v>
      </c>
      <c r="V381">
        <f>'raw data Crude oil'!V382</f>
        <v>62.05</v>
      </c>
      <c r="W381">
        <f>'raw data Crude oil'!W382</f>
        <v>61.71</v>
      </c>
      <c r="X381">
        <f>'raw data Crude oil'!X382</f>
        <v>61.4</v>
      </c>
      <c r="Y381">
        <f>'raw data Crude oil'!Y382</f>
        <v>61.08</v>
      </c>
      <c r="Z381">
        <f>'raw data Crude oil'!Z382</f>
        <v>0</v>
      </c>
      <c r="AA381">
        <f>'raw data Crude oil'!AA382</f>
        <v>0</v>
      </c>
      <c r="AB381">
        <f>'raw data Crude oil'!AB382</f>
        <v>0</v>
      </c>
      <c r="AC381">
        <f>'raw data Crude oil'!AC382</f>
        <v>0</v>
      </c>
      <c r="AD381">
        <f>'raw data Crude oil'!AD382</f>
        <v>0</v>
      </c>
      <c r="AE381">
        <f>'raw data Crude oil'!AE382</f>
        <v>0</v>
      </c>
      <c r="AF381">
        <f>'raw data Crude oil'!AF382</f>
        <v>0</v>
      </c>
      <c r="AG381">
        <f>'raw data Crude oil'!AG382</f>
        <v>0</v>
      </c>
      <c r="AH381">
        <f>'raw data Crude oil'!AH382</f>
        <v>0</v>
      </c>
      <c r="AI381">
        <f>'raw data Crude oil'!AI382</f>
        <v>0</v>
      </c>
      <c r="AJ381">
        <f>'raw data Crude oil'!AJ382</f>
        <v>0</v>
      </c>
      <c r="AK381">
        <f>'raw data Crude oil'!AK382</f>
        <v>0</v>
      </c>
    </row>
    <row r="382" spans="1:37" x14ac:dyDescent="0.3">
      <c r="A382" s="18">
        <f>'raw data Crude oil'!A383</f>
        <v>43273</v>
      </c>
      <c r="B382">
        <f>'raw data Crude oil'!B383</f>
        <v>75.55</v>
      </c>
      <c r="C382">
        <f>'raw data Crude oil'!C383</f>
        <v>75.319999999999993</v>
      </c>
      <c r="D382">
        <f>'raw data Crude oil'!D383</f>
        <v>74.94</v>
      </c>
      <c r="E382">
        <f>'raw data Crude oil'!E383</f>
        <v>74.63</v>
      </c>
      <c r="F382">
        <f>'raw data Crude oil'!F383</f>
        <v>74.27</v>
      </c>
      <c r="G382">
        <f>'raw data Crude oil'!G383</f>
        <v>73.91</v>
      </c>
      <c r="H382">
        <f>'raw data Crude oil'!H383</f>
        <v>73.540000000000006</v>
      </c>
      <c r="I382">
        <f>'raw data Crude oil'!I383</f>
        <v>73.16</v>
      </c>
      <c r="J382">
        <f>'raw data Crude oil'!J383</f>
        <v>72.8</v>
      </c>
      <c r="K382">
        <f>'raw data Crude oil'!K383</f>
        <v>72.44</v>
      </c>
      <c r="L382">
        <f>'raw data Crude oil'!L383</f>
        <v>72.08</v>
      </c>
      <c r="M382">
        <f>'raw data Crude oil'!M383</f>
        <v>71.77</v>
      </c>
      <c r="N382">
        <f>'raw data Crude oil'!N383</f>
        <v>68.58</v>
      </c>
      <c r="O382">
        <f>'raw data Crude oil'!O383</f>
        <v>67.63</v>
      </c>
      <c r="P382">
        <f>'raw data Crude oil'!P383</f>
        <v>66.790000000000006</v>
      </c>
      <c r="Q382">
        <f>'raw data Crude oil'!Q383</f>
        <v>66.34</v>
      </c>
      <c r="R382">
        <f>'raw data Crude oil'!R383</f>
        <v>65.959999999999994</v>
      </c>
      <c r="S382">
        <f>'raw data Crude oil'!S383</f>
        <v>65.56</v>
      </c>
      <c r="T382">
        <f>'raw data Crude oil'!T383</f>
        <v>65.099999999999994</v>
      </c>
      <c r="U382">
        <f>'raw data Crude oil'!U383</f>
        <v>64.66</v>
      </c>
      <c r="V382">
        <f>'raw data Crude oil'!V383</f>
        <v>64.27</v>
      </c>
      <c r="W382">
        <f>'raw data Crude oil'!W383</f>
        <v>63.89</v>
      </c>
      <c r="X382">
        <f>'raw data Crude oil'!X383</f>
        <v>63.53</v>
      </c>
      <c r="Y382">
        <f>'raw data Crude oil'!Y383</f>
        <v>63.16</v>
      </c>
      <c r="Z382">
        <f>'raw data Crude oil'!Z383</f>
        <v>0</v>
      </c>
      <c r="AA382">
        <f>'raw data Crude oil'!AA383</f>
        <v>0</v>
      </c>
      <c r="AB382">
        <f>'raw data Crude oil'!AB383</f>
        <v>0</v>
      </c>
      <c r="AC382">
        <f>'raw data Crude oil'!AC383</f>
        <v>0</v>
      </c>
      <c r="AD382">
        <f>'raw data Crude oil'!AD383</f>
        <v>0</v>
      </c>
      <c r="AE382">
        <f>'raw data Crude oil'!AE383</f>
        <v>0</v>
      </c>
      <c r="AF382">
        <f>'raw data Crude oil'!AF383</f>
        <v>0</v>
      </c>
      <c r="AG382">
        <f>'raw data Crude oil'!AG383</f>
        <v>0</v>
      </c>
      <c r="AH382">
        <f>'raw data Crude oil'!AH383</f>
        <v>0</v>
      </c>
      <c r="AI382">
        <f>'raw data Crude oil'!AI383</f>
        <v>0</v>
      </c>
      <c r="AJ382">
        <f>'raw data Crude oil'!AJ383</f>
        <v>0</v>
      </c>
      <c r="AK382">
        <f>'raw data Crude oil'!AK383</f>
        <v>0</v>
      </c>
    </row>
    <row r="383" spans="1:37" x14ac:dyDescent="0.3">
      <c r="A383" s="18">
        <f>'raw data Crude oil'!A384</f>
        <v>43276</v>
      </c>
      <c r="B383">
        <f>'raw data Crude oil'!B384</f>
        <v>74.73</v>
      </c>
      <c r="C383">
        <f>'raw data Crude oil'!C384</f>
        <v>74.55</v>
      </c>
      <c r="D383">
        <f>'raw data Crude oil'!D384</f>
        <v>74.22</v>
      </c>
      <c r="E383">
        <f>'raw data Crude oil'!E384</f>
        <v>73.94</v>
      </c>
      <c r="F383">
        <f>'raw data Crude oil'!F384</f>
        <v>73.599999999999994</v>
      </c>
      <c r="G383">
        <f>'raw data Crude oil'!G384</f>
        <v>73.290000000000006</v>
      </c>
      <c r="H383">
        <f>'raw data Crude oil'!H384</f>
        <v>72.97</v>
      </c>
      <c r="I383">
        <f>'raw data Crude oil'!I384</f>
        <v>72.650000000000006</v>
      </c>
      <c r="J383">
        <f>'raw data Crude oil'!J384</f>
        <v>72.34</v>
      </c>
      <c r="K383">
        <f>'raw data Crude oil'!K384</f>
        <v>72.02</v>
      </c>
      <c r="L383">
        <f>'raw data Crude oil'!L384</f>
        <v>71.709999999999994</v>
      </c>
      <c r="M383">
        <f>'raw data Crude oil'!M384</f>
        <v>71.42</v>
      </c>
      <c r="N383">
        <f>'raw data Crude oil'!N384</f>
        <v>68.08</v>
      </c>
      <c r="O383">
        <f>'raw data Crude oil'!O384</f>
        <v>67.040000000000006</v>
      </c>
      <c r="P383">
        <f>'raw data Crude oil'!P384</f>
        <v>66.180000000000007</v>
      </c>
      <c r="Q383">
        <f>'raw data Crude oil'!Q384</f>
        <v>65.790000000000006</v>
      </c>
      <c r="R383">
        <f>'raw data Crude oil'!R384</f>
        <v>65.47</v>
      </c>
      <c r="S383">
        <f>'raw data Crude oil'!S384</f>
        <v>65.11</v>
      </c>
      <c r="T383">
        <f>'raw data Crude oil'!T384</f>
        <v>64.72</v>
      </c>
      <c r="U383">
        <f>'raw data Crude oil'!U384</f>
        <v>64.33</v>
      </c>
      <c r="V383">
        <f>'raw data Crude oil'!V384</f>
        <v>63.99</v>
      </c>
      <c r="W383">
        <f>'raw data Crude oil'!W384</f>
        <v>63.67</v>
      </c>
      <c r="X383">
        <f>'raw data Crude oil'!X384</f>
        <v>63.36</v>
      </c>
      <c r="Y383">
        <f>'raw data Crude oil'!Y384</f>
        <v>63.01</v>
      </c>
      <c r="Z383">
        <f>'raw data Crude oil'!Z384</f>
        <v>0</v>
      </c>
      <c r="AA383">
        <f>'raw data Crude oil'!AA384</f>
        <v>0</v>
      </c>
      <c r="AB383">
        <f>'raw data Crude oil'!AB384</f>
        <v>0</v>
      </c>
      <c r="AC383">
        <f>'raw data Crude oil'!AC384</f>
        <v>0</v>
      </c>
      <c r="AD383">
        <f>'raw data Crude oil'!AD384</f>
        <v>0</v>
      </c>
      <c r="AE383">
        <f>'raw data Crude oil'!AE384</f>
        <v>0</v>
      </c>
      <c r="AF383">
        <f>'raw data Crude oil'!AF384</f>
        <v>0</v>
      </c>
      <c r="AG383">
        <f>'raw data Crude oil'!AG384</f>
        <v>0</v>
      </c>
      <c r="AH383">
        <f>'raw data Crude oil'!AH384</f>
        <v>0</v>
      </c>
      <c r="AI383">
        <f>'raw data Crude oil'!AI384</f>
        <v>0</v>
      </c>
      <c r="AJ383">
        <f>'raw data Crude oil'!AJ384</f>
        <v>0</v>
      </c>
      <c r="AK383">
        <f>'raw data Crude oil'!AK384</f>
        <v>0</v>
      </c>
    </row>
    <row r="384" spans="1:37" x14ac:dyDescent="0.3">
      <c r="A384" s="18">
        <f>'raw data Crude oil'!A385</f>
        <v>43277</v>
      </c>
      <c r="B384">
        <f>'raw data Crude oil'!B385</f>
        <v>76.31</v>
      </c>
      <c r="C384">
        <f>'raw data Crude oil'!C385</f>
        <v>76.14</v>
      </c>
      <c r="D384">
        <f>'raw data Crude oil'!D385</f>
        <v>75.83</v>
      </c>
      <c r="E384">
        <f>'raw data Crude oil'!E385</f>
        <v>75.56</v>
      </c>
      <c r="F384">
        <f>'raw data Crude oil'!F385</f>
        <v>75.22</v>
      </c>
      <c r="G384">
        <f>'raw data Crude oil'!G385</f>
        <v>74.88</v>
      </c>
      <c r="H384">
        <f>'raw data Crude oil'!H385</f>
        <v>74.540000000000006</v>
      </c>
      <c r="I384">
        <f>'raw data Crude oil'!I385</f>
        <v>74.2</v>
      </c>
      <c r="J384">
        <f>'raw data Crude oil'!J385</f>
        <v>73.87</v>
      </c>
      <c r="K384">
        <f>'raw data Crude oil'!K385</f>
        <v>73.540000000000006</v>
      </c>
      <c r="L384">
        <f>'raw data Crude oil'!L385</f>
        <v>73.22</v>
      </c>
      <c r="M384">
        <f>'raw data Crude oil'!M385</f>
        <v>72.930000000000007</v>
      </c>
      <c r="N384">
        <f>'raw data Crude oil'!N385</f>
        <v>70.53</v>
      </c>
      <c r="O384">
        <f>'raw data Crude oil'!O385</f>
        <v>69.28</v>
      </c>
      <c r="P384">
        <f>'raw data Crude oil'!P385</f>
        <v>68.16</v>
      </c>
      <c r="Q384">
        <f>'raw data Crude oil'!Q385</f>
        <v>67.59</v>
      </c>
      <c r="R384">
        <f>'raw data Crude oil'!R385</f>
        <v>67.17</v>
      </c>
      <c r="S384">
        <f>'raw data Crude oil'!S385</f>
        <v>66.739999999999995</v>
      </c>
      <c r="T384">
        <f>'raw data Crude oil'!T385</f>
        <v>66.290000000000006</v>
      </c>
      <c r="U384">
        <f>'raw data Crude oil'!U385</f>
        <v>65.87</v>
      </c>
      <c r="V384">
        <f>'raw data Crude oil'!V385</f>
        <v>65.48</v>
      </c>
      <c r="W384">
        <f>'raw data Crude oil'!W385</f>
        <v>65.099999999999994</v>
      </c>
      <c r="X384">
        <f>'raw data Crude oil'!X385</f>
        <v>64.760000000000005</v>
      </c>
      <c r="Y384">
        <f>'raw data Crude oil'!Y385</f>
        <v>64.37</v>
      </c>
      <c r="Z384">
        <f>'raw data Crude oil'!Z385</f>
        <v>0</v>
      </c>
      <c r="AA384">
        <f>'raw data Crude oil'!AA385</f>
        <v>0</v>
      </c>
      <c r="AB384">
        <f>'raw data Crude oil'!AB385</f>
        <v>0</v>
      </c>
      <c r="AC384">
        <f>'raw data Crude oil'!AC385</f>
        <v>0</v>
      </c>
      <c r="AD384">
        <f>'raw data Crude oil'!AD385</f>
        <v>0</v>
      </c>
      <c r="AE384">
        <f>'raw data Crude oil'!AE385</f>
        <v>0</v>
      </c>
      <c r="AF384">
        <f>'raw data Crude oil'!AF385</f>
        <v>0</v>
      </c>
      <c r="AG384">
        <f>'raw data Crude oil'!AG385</f>
        <v>0</v>
      </c>
      <c r="AH384">
        <f>'raw data Crude oil'!AH385</f>
        <v>0</v>
      </c>
      <c r="AI384">
        <f>'raw data Crude oil'!AI385</f>
        <v>0</v>
      </c>
      <c r="AJ384">
        <f>'raw data Crude oil'!AJ385</f>
        <v>0</v>
      </c>
      <c r="AK384">
        <f>'raw data Crude oil'!AK385</f>
        <v>0</v>
      </c>
    </row>
    <row r="385" spans="1:37" x14ac:dyDescent="0.3">
      <c r="A385" s="18">
        <f>'raw data Crude oil'!A386</f>
        <v>43278</v>
      </c>
      <c r="B385">
        <f>'raw data Crude oil'!B386</f>
        <v>77.62</v>
      </c>
      <c r="C385">
        <f>'raw data Crude oil'!C386</f>
        <v>77.459999999999994</v>
      </c>
      <c r="D385">
        <f>'raw data Crude oil'!D386</f>
        <v>77.17</v>
      </c>
      <c r="E385">
        <f>'raw data Crude oil'!E386</f>
        <v>76.900000000000006</v>
      </c>
      <c r="F385">
        <f>'raw data Crude oil'!F386</f>
        <v>76.569999999999993</v>
      </c>
      <c r="G385">
        <f>'raw data Crude oil'!G386</f>
        <v>76.209999999999994</v>
      </c>
      <c r="H385">
        <f>'raw data Crude oil'!H386</f>
        <v>75.819999999999993</v>
      </c>
      <c r="I385">
        <f>'raw data Crude oil'!I386</f>
        <v>75.42</v>
      </c>
      <c r="J385">
        <f>'raw data Crude oil'!J386</f>
        <v>75.040000000000006</v>
      </c>
      <c r="K385">
        <f>'raw data Crude oil'!K386</f>
        <v>74.650000000000006</v>
      </c>
      <c r="L385">
        <f>'raw data Crude oil'!L386</f>
        <v>74.27</v>
      </c>
      <c r="M385">
        <f>'raw data Crude oil'!M386</f>
        <v>73.92</v>
      </c>
      <c r="N385">
        <f>'raw data Crude oil'!N386</f>
        <v>72.760000000000005</v>
      </c>
      <c r="O385">
        <f>'raw data Crude oil'!O386</f>
        <v>71.260000000000005</v>
      </c>
      <c r="P385">
        <f>'raw data Crude oil'!P386</f>
        <v>69.959999999999994</v>
      </c>
      <c r="Q385">
        <f>'raw data Crude oil'!Q386</f>
        <v>69.22</v>
      </c>
      <c r="R385">
        <f>'raw data Crude oil'!R386</f>
        <v>68.61</v>
      </c>
      <c r="S385">
        <f>'raw data Crude oil'!S386</f>
        <v>68.040000000000006</v>
      </c>
      <c r="T385">
        <f>'raw data Crude oil'!T386</f>
        <v>67.459999999999994</v>
      </c>
      <c r="U385">
        <f>'raw data Crude oil'!U386</f>
        <v>66.95</v>
      </c>
      <c r="V385">
        <f>'raw data Crude oil'!V386</f>
        <v>66.48</v>
      </c>
      <c r="W385">
        <f>'raw data Crude oil'!W386</f>
        <v>66.06</v>
      </c>
      <c r="X385">
        <f>'raw data Crude oil'!X386</f>
        <v>65.680000000000007</v>
      </c>
      <c r="Y385">
        <f>'raw data Crude oil'!Y386</f>
        <v>65.239999999999995</v>
      </c>
      <c r="Z385">
        <f>'raw data Crude oil'!Z386</f>
        <v>0</v>
      </c>
      <c r="AA385">
        <f>'raw data Crude oil'!AA386</f>
        <v>0</v>
      </c>
      <c r="AB385">
        <f>'raw data Crude oil'!AB386</f>
        <v>0</v>
      </c>
      <c r="AC385">
        <f>'raw data Crude oil'!AC386</f>
        <v>0</v>
      </c>
      <c r="AD385">
        <f>'raw data Crude oil'!AD386</f>
        <v>0</v>
      </c>
      <c r="AE385">
        <f>'raw data Crude oil'!AE386</f>
        <v>0</v>
      </c>
      <c r="AF385">
        <f>'raw data Crude oil'!AF386</f>
        <v>0</v>
      </c>
      <c r="AG385">
        <f>'raw data Crude oil'!AG386</f>
        <v>0</v>
      </c>
      <c r="AH385">
        <f>'raw data Crude oil'!AH386</f>
        <v>0</v>
      </c>
      <c r="AI385">
        <f>'raw data Crude oil'!AI386</f>
        <v>0</v>
      </c>
      <c r="AJ385">
        <f>'raw data Crude oil'!AJ386</f>
        <v>0</v>
      </c>
      <c r="AK385">
        <f>'raw data Crude oil'!AK386</f>
        <v>0</v>
      </c>
    </row>
    <row r="386" spans="1:37" x14ac:dyDescent="0.3">
      <c r="A386" s="18">
        <f>'raw data Crude oil'!A387</f>
        <v>43279</v>
      </c>
      <c r="B386">
        <f>'raw data Crude oil'!B387</f>
        <v>77.849999999999994</v>
      </c>
      <c r="C386">
        <f>'raw data Crude oil'!C387</f>
        <v>77.61</v>
      </c>
      <c r="D386">
        <f>'raw data Crude oil'!D387</f>
        <v>77.33</v>
      </c>
      <c r="E386">
        <f>'raw data Crude oil'!E387</f>
        <v>77.05</v>
      </c>
      <c r="F386">
        <f>'raw data Crude oil'!F387</f>
        <v>76.7</v>
      </c>
      <c r="G386">
        <f>'raw data Crude oil'!G387</f>
        <v>76.319999999999993</v>
      </c>
      <c r="H386">
        <f>'raw data Crude oil'!H387</f>
        <v>75.89</v>
      </c>
      <c r="I386">
        <f>'raw data Crude oil'!I387</f>
        <v>75.459999999999994</v>
      </c>
      <c r="J386">
        <f>'raw data Crude oil'!J387</f>
        <v>75.05</v>
      </c>
      <c r="K386">
        <f>'raw data Crude oil'!K387</f>
        <v>74.63</v>
      </c>
      <c r="L386">
        <f>'raw data Crude oil'!L387</f>
        <v>74.22</v>
      </c>
      <c r="M386">
        <f>'raw data Crude oil'!M387</f>
        <v>73.84</v>
      </c>
      <c r="N386">
        <f>'raw data Crude oil'!N387</f>
        <v>73.45</v>
      </c>
      <c r="O386">
        <f>'raw data Crude oil'!O387</f>
        <v>71.81</v>
      </c>
      <c r="P386">
        <f>'raw data Crude oil'!P387</f>
        <v>70.34</v>
      </c>
      <c r="Q386">
        <f>'raw data Crude oil'!Q387</f>
        <v>69.510000000000005</v>
      </c>
      <c r="R386">
        <f>'raw data Crude oil'!R387</f>
        <v>68.790000000000006</v>
      </c>
      <c r="S386">
        <f>'raw data Crude oil'!S387</f>
        <v>68.150000000000006</v>
      </c>
      <c r="T386">
        <f>'raw data Crude oil'!T387</f>
        <v>67.5</v>
      </c>
      <c r="U386">
        <f>'raw data Crude oil'!U387</f>
        <v>66.94</v>
      </c>
      <c r="V386">
        <f>'raw data Crude oil'!V387</f>
        <v>66.44</v>
      </c>
      <c r="W386">
        <f>'raw data Crude oil'!W387</f>
        <v>65.989999999999995</v>
      </c>
      <c r="X386">
        <f>'raw data Crude oil'!X387</f>
        <v>65.59</v>
      </c>
      <c r="Y386">
        <f>'raw data Crude oil'!Y387</f>
        <v>65.12</v>
      </c>
      <c r="Z386">
        <f>'raw data Crude oil'!Z387</f>
        <v>0</v>
      </c>
      <c r="AA386">
        <f>'raw data Crude oil'!AA387</f>
        <v>0</v>
      </c>
      <c r="AB386">
        <f>'raw data Crude oil'!AB387</f>
        <v>0</v>
      </c>
      <c r="AC386">
        <f>'raw data Crude oil'!AC387</f>
        <v>0</v>
      </c>
      <c r="AD386">
        <f>'raw data Crude oil'!AD387</f>
        <v>0</v>
      </c>
      <c r="AE386">
        <f>'raw data Crude oil'!AE387</f>
        <v>0</v>
      </c>
      <c r="AF386">
        <f>'raw data Crude oil'!AF387</f>
        <v>0</v>
      </c>
      <c r="AG386">
        <f>'raw data Crude oil'!AG387</f>
        <v>0</v>
      </c>
      <c r="AH386">
        <f>'raw data Crude oil'!AH387</f>
        <v>0</v>
      </c>
      <c r="AI386">
        <f>'raw data Crude oil'!AI387</f>
        <v>0</v>
      </c>
      <c r="AJ386">
        <f>'raw data Crude oil'!AJ387</f>
        <v>0</v>
      </c>
      <c r="AK386">
        <f>'raw data Crude oil'!AK387</f>
        <v>0</v>
      </c>
    </row>
    <row r="387" spans="1:37" x14ac:dyDescent="0.3">
      <c r="A387" s="18">
        <f>'raw data Crude oil'!A388</f>
        <v>43280</v>
      </c>
      <c r="B387">
        <f>'raw data Crude oil'!B388</f>
        <v>79.44</v>
      </c>
      <c r="C387">
        <f>'raw data Crude oil'!C388</f>
        <v>79.23</v>
      </c>
      <c r="D387">
        <f>'raw data Crude oil'!D388</f>
        <v>78.86</v>
      </c>
      <c r="E387">
        <f>'raw data Crude oil'!E388</f>
        <v>78.53</v>
      </c>
      <c r="F387">
        <f>'raw data Crude oil'!F388</f>
        <v>78.13</v>
      </c>
      <c r="G387">
        <f>'raw data Crude oil'!G388</f>
        <v>77.7</v>
      </c>
      <c r="H387">
        <f>'raw data Crude oil'!H388</f>
        <v>77.2</v>
      </c>
      <c r="I387">
        <f>'raw data Crude oil'!I388</f>
        <v>76.69</v>
      </c>
      <c r="J387">
        <f>'raw data Crude oil'!J388</f>
        <v>76.2</v>
      </c>
      <c r="K387">
        <f>'raw data Crude oil'!K388</f>
        <v>75.7</v>
      </c>
      <c r="L387">
        <f>'raw data Crude oil'!L388</f>
        <v>75.22</v>
      </c>
      <c r="M387">
        <f>'raw data Crude oil'!M388</f>
        <v>74.78</v>
      </c>
      <c r="N387">
        <f>'raw data Crude oil'!N388</f>
        <v>74.150000000000006</v>
      </c>
      <c r="O387">
        <f>'raw data Crude oil'!O388</f>
        <v>72.459999999999994</v>
      </c>
      <c r="P387">
        <f>'raw data Crude oil'!P388</f>
        <v>70.92</v>
      </c>
      <c r="Q387">
        <f>'raw data Crude oil'!Q388</f>
        <v>70.16</v>
      </c>
      <c r="R387">
        <f>'raw data Crude oil'!R388</f>
        <v>69.489999999999995</v>
      </c>
      <c r="S387">
        <f>'raw data Crude oil'!S388</f>
        <v>68.849999999999994</v>
      </c>
      <c r="T387">
        <f>'raw data Crude oil'!T388</f>
        <v>68.17</v>
      </c>
      <c r="U387">
        <f>'raw data Crude oil'!U388</f>
        <v>67.56</v>
      </c>
      <c r="V387">
        <f>'raw data Crude oil'!V388</f>
        <v>67.02</v>
      </c>
      <c r="W387">
        <f>'raw data Crude oil'!W388</f>
        <v>66.53</v>
      </c>
      <c r="X387">
        <f>'raw data Crude oil'!X388</f>
        <v>66.09</v>
      </c>
      <c r="Y387">
        <f>'raw data Crude oil'!Y388</f>
        <v>65.59</v>
      </c>
      <c r="Z387">
        <f>'raw data Crude oil'!Z388</f>
        <v>0</v>
      </c>
      <c r="AA387">
        <f>'raw data Crude oil'!AA388</f>
        <v>0</v>
      </c>
      <c r="AB387">
        <f>'raw data Crude oil'!AB388</f>
        <v>0</v>
      </c>
      <c r="AC387">
        <f>'raw data Crude oil'!AC388</f>
        <v>0</v>
      </c>
      <c r="AD387">
        <f>'raw data Crude oil'!AD388</f>
        <v>0</v>
      </c>
      <c r="AE387">
        <f>'raw data Crude oil'!AE388</f>
        <v>0</v>
      </c>
      <c r="AF387">
        <f>'raw data Crude oil'!AF388</f>
        <v>0</v>
      </c>
      <c r="AG387">
        <f>'raw data Crude oil'!AG388</f>
        <v>0</v>
      </c>
      <c r="AH387">
        <f>'raw data Crude oil'!AH388</f>
        <v>0</v>
      </c>
      <c r="AI387">
        <f>'raw data Crude oil'!AI388</f>
        <v>0</v>
      </c>
      <c r="AJ387">
        <f>'raw data Crude oil'!AJ388</f>
        <v>0</v>
      </c>
      <c r="AK387">
        <f>'raw data Crude oil'!AK388</f>
        <v>0</v>
      </c>
    </row>
    <row r="388" spans="1:37" x14ac:dyDescent="0.3">
      <c r="A388" s="18">
        <f>'raw data Crude oil'!A389</f>
        <v>43283</v>
      </c>
      <c r="B388">
        <f>'raw data Crude oil'!B389</f>
        <v>77.3</v>
      </c>
      <c r="C388">
        <f>'raw data Crude oil'!C389</f>
        <v>76.98</v>
      </c>
      <c r="D388">
        <f>'raw data Crude oil'!D389</f>
        <v>76.69</v>
      </c>
      <c r="E388">
        <f>'raw data Crude oil'!E389</f>
        <v>76.349999999999994</v>
      </c>
      <c r="F388">
        <f>'raw data Crude oil'!F389</f>
        <v>75.97</v>
      </c>
      <c r="G388">
        <f>'raw data Crude oil'!G389</f>
        <v>75.53</v>
      </c>
      <c r="H388">
        <f>'raw data Crude oil'!H389</f>
        <v>75.069999999999993</v>
      </c>
      <c r="I388">
        <f>'raw data Crude oil'!I389</f>
        <v>74.63</v>
      </c>
      <c r="J388">
        <f>'raw data Crude oil'!J389</f>
        <v>74.180000000000007</v>
      </c>
      <c r="K388">
        <f>'raw data Crude oil'!K389</f>
        <v>73.739999999999995</v>
      </c>
      <c r="L388">
        <f>'raw data Crude oil'!L389</f>
        <v>73.349999999999994</v>
      </c>
      <c r="M388">
        <f>'raw data Crude oil'!M389</f>
        <v>72.97</v>
      </c>
      <c r="N388">
        <f>'raw data Crude oil'!N389</f>
        <v>73.94</v>
      </c>
      <c r="O388">
        <f>'raw data Crude oil'!O389</f>
        <v>71.62</v>
      </c>
      <c r="P388">
        <f>'raw data Crude oil'!P389</f>
        <v>69.3</v>
      </c>
      <c r="Q388">
        <f>'raw data Crude oil'!Q389</f>
        <v>68.510000000000005</v>
      </c>
      <c r="R388">
        <f>'raw data Crude oil'!R389</f>
        <v>67.83</v>
      </c>
      <c r="S388">
        <f>'raw data Crude oil'!S389</f>
        <v>67.23</v>
      </c>
      <c r="T388">
        <f>'raw data Crude oil'!T389</f>
        <v>66.61</v>
      </c>
      <c r="U388">
        <f>'raw data Crude oil'!U389</f>
        <v>66.06</v>
      </c>
      <c r="V388">
        <f>'raw data Crude oil'!V389</f>
        <v>65.56</v>
      </c>
      <c r="W388">
        <f>'raw data Crude oil'!W389</f>
        <v>65.13</v>
      </c>
      <c r="X388">
        <f>'raw data Crude oil'!X389</f>
        <v>64.75</v>
      </c>
      <c r="Y388">
        <f>'raw data Crude oil'!Y389</f>
        <v>64.319999999999993</v>
      </c>
      <c r="Z388">
        <f>'raw data Crude oil'!Z389</f>
        <v>0</v>
      </c>
      <c r="AA388">
        <f>'raw data Crude oil'!AA389</f>
        <v>0</v>
      </c>
      <c r="AB388">
        <f>'raw data Crude oil'!AB389</f>
        <v>0</v>
      </c>
      <c r="AC388">
        <f>'raw data Crude oil'!AC389</f>
        <v>0</v>
      </c>
      <c r="AD388">
        <f>'raw data Crude oil'!AD389</f>
        <v>0</v>
      </c>
      <c r="AE388">
        <f>'raw data Crude oil'!AE389</f>
        <v>0</v>
      </c>
      <c r="AF388">
        <f>'raw data Crude oil'!AF389</f>
        <v>0</v>
      </c>
      <c r="AG388">
        <f>'raw data Crude oil'!AG389</f>
        <v>0</v>
      </c>
      <c r="AH388">
        <f>'raw data Crude oil'!AH389</f>
        <v>0</v>
      </c>
      <c r="AI388">
        <f>'raw data Crude oil'!AI389</f>
        <v>0</v>
      </c>
      <c r="AJ388">
        <f>'raw data Crude oil'!AJ389</f>
        <v>0</v>
      </c>
      <c r="AK388">
        <f>'raw data Crude oil'!AK389</f>
        <v>0</v>
      </c>
    </row>
    <row r="389" spans="1:37" x14ac:dyDescent="0.3">
      <c r="A389" s="18">
        <f>'raw data Crude oil'!A390</f>
        <v>43284</v>
      </c>
      <c r="B389">
        <f>'raw data Crude oil'!B390</f>
        <v>77.760000000000005</v>
      </c>
      <c r="C389">
        <f>'raw data Crude oil'!C390</f>
        <v>77.41</v>
      </c>
      <c r="D389">
        <f>'raw data Crude oil'!D390</f>
        <v>77.09</v>
      </c>
      <c r="E389">
        <f>'raw data Crude oil'!E390</f>
        <v>76.73</v>
      </c>
      <c r="F389">
        <f>'raw data Crude oil'!F390</f>
        <v>76.34</v>
      </c>
      <c r="G389">
        <f>'raw data Crude oil'!G390</f>
        <v>75.900000000000006</v>
      </c>
      <c r="H389">
        <f>'raw data Crude oil'!H390</f>
        <v>75.45</v>
      </c>
      <c r="I389">
        <f>'raw data Crude oil'!I390</f>
        <v>75</v>
      </c>
      <c r="J389">
        <f>'raw data Crude oil'!J390</f>
        <v>74.56</v>
      </c>
      <c r="K389">
        <f>'raw data Crude oil'!K390</f>
        <v>74.11</v>
      </c>
      <c r="L389">
        <f>'raw data Crude oil'!L390</f>
        <v>73.7</v>
      </c>
      <c r="M389">
        <f>'raw data Crude oil'!M390</f>
        <v>73.3</v>
      </c>
      <c r="N389">
        <f>'raw data Crude oil'!N390</f>
        <v>74.14</v>
      </c>
      <c r="O389">
        <f>'raw data Crude oil'!O390</f>
        <v>71.59</v>
      </c>
      <c r="P389">
        <f>'raw data Crude oil'!P390</f>
        <v>68.84</v>
      </c>
      <c r="Q389">
        <f>'raw data Crude oil'!Q390</f>
        <v>68.06</v>
      </c>
      <c r="R389">
        <f>'raw data Crude oil'!R390</f>
        <v>67.44</v>
      </c>
      <c r="S389">
        <f>'raw data Crude oil'!S390</f>
        <v>66.92</v>
      </c>
      <c r="T389">
        <f>'raw data Crude oil'!T390</f>
        <v>66.37</v>
      </c>
      <c r="U389">
        <f>'raw data Crude oil'!U390</f>
        <v>65.88</v>
      </c>
      <c r="V389">
        <f>'raw data Crude oil'!V390</f>
        <v>65.44</v>
      </c>
      <c r="W389">
        <f>'raw data Crude oil'!W390</f>
        <v>65.05</v>
      </c>
      <c r="X389">
        <f>'raw data Crude oil'!X390</f>
        <v>64.7</v>
      </c>
      <c r="Y389">
        <f>'raw data Crude oil'!Y390</f>
        <v>64.290000000000006</v>
      </c>
      <c r="Z389">
        <f>'raw data Crude oil'!Z390</f>
        <v>0</v>
      </c>
      <c r="AA389">
        <f>'raw data Crude oil'!AA390</f>
        <v>0</v>
      </c>
      <c r="AB389">
        <f>'raw data Crude oil'!AB390</f>
        <v>0</v>
      </c>
      <c r="AC389">
        <f>'raw data Crude oil'!AC390</f>
        <v>0</v>
      </c>
      <c r="AD389">
        <f>'raw data Crude oil'!AD390</f>
        <v>0</v>
      </c>
      <c r="AE389">
        <f>'raw data Crude oil'!AE390</f>
        <v>0</v>
      </c>
      <c r="AF389">
        <f>'raw data Crude oil'!AF390</f>
        <v>0</v>
      </c>
      <c r="AG389">
        <f>'raw data Crude oil'!AG390</f>
        <v>0</v>
      </c>
      <c r="AH389">
        <f>'raw data Crude oil'!AH390</f>
        <v>0</v>
      </c>
      <c r="AI389">
        <f>'raw data Crude oil'!AI390</f>
        <v>0</v>
      </c>
      <c r="AJ389">
        <f>'raw data Crude oil'!AJ390</f>
        <v>0</v>
      </c>
      <c r="AK389">
        <f>'raw data Crude oil'!AK390</f>
        <v>0</v>
      </c>
    </row>
    <row r="390" spans="1:37" x14ac:dyDescent="0.3">
      <c r="A390" s="18">
        <f>'raw data Crude oil'!A391</f>
        <v>43285</v>
      </c>
      <c r="B390">
        <f>'raw data Crude oil'!B391</f>
        <v>78.239999999999995</v>
      </c>
      <c r="C390">
        <f>'raw data Crude oil'!C391</f>
        <v>77.89</v>
      </c>
      <c r="D390">
        <f>'raw data Crude oil'!D391</f>
        <v>77.569999999999993</v>
      </c>
      <c r="E390">
        <f>'raw data Crude oil'!E391</f>
        <v>77.2</v>
      </c>
      <c r="F390">
        <f>'raw data Crude oil'!F391</f>
        <v>76.81</v>
      </c>
      <c r="G390">
        <f>'raw data Crude oil'!G391</f>
        <v>76.37</v>
      </c>
      <c r="H390">
        <f>'raw data Crude oil'!H391</f>
        <v>75.92</v>
      </c>
      <c r="I390">
        <f>'raw data Crude oil'!I391</f>
        <v>75.489999999999995</v>
      </c>
      <c r="J390">
        <f>'raw data Crude oil'!J391</f>
        <v>75.03</v>
      </c>
      <c r="K390">
        <f>'raw data Crude oil'!K391</f>
        <v>74.58</v>
      </c>
      <c r="L390">
        <f>'raw data Crude oil'!L391</f>
        <v>74.180000000000007</v>
      </c>
      <c r="M390">
        <f>'raw data Crude oil'!M391</f>
        <v>73.77</v>
      </c>
      <c r="N390">
        <f>'raw data Crude oil'!N391</f>
        <v>74.14</v>
      </c>
      <c r="O390">
        <f>'raw data Crude oil'!O391</f>
        <v>71.59</v>
      </c>
      <c r="P390">
        <f>'raw data Crude oil'!P391</f>
        <v>68.84</v>
      </c>
      <c r="Q390">
        <f>'raw data Crude oil'!Q391</f>
        <v>68.06</v>
      </c>
      <c r="R390">
        <f>'raw data Crude oil'!R391</f>
        <v>67.44</v>
      </c>
      <c r="S390">
        <f>'raw data Crude oil'!S391</f>
        <v>66.92</v>
      </c>
      <c r="T390">
        <f>'raw data Crude oil'!T391</f>
        <v>66.37</v>
      </c>
      <c r="U390">
        <f>'raw data Crude oil'!U391</f>
        <v>65.88</v>
      </c>
      <c r="V390">
        <f>'raw data Crude oil'!V391</f>
        <v>65.44</v>
      </c>
      <c r="W390">
        <f>'raw data Crude oil'!W391</f>
        <v>65.05</v>
      </c>
      <c r="X390">
        <f>'raw data Crude oil'!X391</f>
        <v>64.7</v>
      </c>
      <c r="Y390">
        <f>'raw data Crude oil'!Y391</f>
        <v>64.290000000000006</v>
      </c>
      <c r="Z390">
        <f>'raw data Crude oil'!Z391</f>
        <v>0</v>
      </c>
      <c r="AA390">
        <f>'raw data Crude oil'!AA391</f>
        <v>0</v>
      </c>
      <c r="AB390">
        <f>'raw data Crude oil'!AB391</f>
        <v>0</v>
      </c>
      <c r="AC390">
        <f>'raw data Crude oil'!AC391</f>
        <v>0</v>
      </c>
      <c r="AD390">
        <f>'raw data Crude oil'!AD391</f>
        <v>0</v>
      </c>
      <c r="AE390">
        <f>'raw data Crude oil'!AE391</f>
        <v>0</v>
      </c>
      <c r="AF390">
        <f>'raw data Crude oil'!AF391</f>
        <v>0</v>
      </c>
      <c r="AG390">
        <f>'raw data Crude oil'!AG391</f>
        <v>0</v>
      </c>
      <c r="AH390">
        <f>'raw data Crude oil'!AH391</f>
        <v>0</v>
      </c>
      <c r="AI390">
        <f>'raw data Crude oil'!AI391</f>
        <v>0</v>
      </c>
      <c r="AJ390">
        <f>'raw data Crude oil'!AJ391</f>
        <v>0</v>
      </c>
      <c r="AK390">
        <f>'raw data Crude oil'!AK391</f>
        <v>0</v>
      </c>
    </row>
    <row r="391" spans="1:37" x14ac:dyDescent="0.3">
      <c r="A391" s="18">
        <f>'raw data Crude oil'!A392</f>
        <v>43286</v>
      </c>
      <c r="B391">
        <f>'raw data Crude oil'!B392</f>
        <v>77.39</v>
      </c>
      <c r="C391">
        <f>'raw data Crude oil'!C392</f>
        <v>77.099999999999994</v>
      </c>
      <c r="D391">
        <f>'raw data Crude oil'!D392</f>
        <v>76.83</v>
      </c>
      <c r="E391">
        <f>'raw data Crude oil'!E392</f>
        <v>76.540000000000006</v>
      </c>
      <c r="F391">
        <f>'raw data Crude oil'!F392</f>
        <v>76.209999999999994</v>
      </c>
      <c r="G391">
        <f>'raw data Crude oil'!G392</f>
        <v>75.84</v>
      </c>
      <c r="H391">
        <f>'raw data Crude oil'!H392</f>
        <v>75.459999999999994</v>
      </c>
      <c r="I391">
        <f>'raw data Crude oil'!I392</f>
        <v>75.08</v>
      </c>
      <c r="J391">
        <f>'raw data Crude oil'!J392</f>
        <v>74.69</v>
      </c>
      <c r="K391">
        <f>'raw data Crude oil'!K392</f>
        <v>74.290000000000006</v>
      </c>
      <c r="L391">
        <f>'raw data Crude oil'!L392</f>
        <v>73.92</v>
      </c>
      <c r="M391">
        <f>'raw data Crude oil'!M392</f>
        <v>73.55</v>
      </c>
      <c r="N391">
        <f>'raw data Crude oil'!N392</f>
        <v>72.94</v>
      </c>
      <c r="O391">
        <f>'raw data Crude oil'!O392</f>
        <v>70.63</v>
      </c>
      <c r="P391">
        <f>'raw data Crude oil'!P392</f>
        <v>68.459999999999994</v>
      </c>
      <c r="Q391">
        <f>'raw data Crude oil'!Q392</f>
        <v>67.959999999999994</v>
      </c>
      <c r="R391">
        <f>'raw data Crude oil'!R392</f>
        <v>67.62</v>
      </c>
      <c r="S391">
        <f>'raw data Crude oil'!S392</f>
        <v>67.239999999999995</v>
      </c>
      <c r="T391">
        <f>'raw data Crude oil'!T392</f>
        <v>66.78</v>
      </c>
      <c r="U391">
        <f>'raw data Crude oil'!U392</f>
        <v>66.34</v>
      </c>
      <c r="V391">
        <f>'raw data Crude oil'!V392</f>
        <v>65.930000000000007</v>
      </c>
      <c r="W391">
        <f>'raw data Crude oil'!W392</f>
        <v>65.56</v>
      </c>
      <c r="X391">
        <f>'raw data Crude oil'!X392</f>
        <v>65.209999999999994</v>
      </c>
      <c r="Y391">
        <f>'raw data Crude oil'!Y392</f>
        <v>64.790000000000006</v>
      </c>
      <c r="Z391">
        <f>'raw data Crude oil'!Z392</f>
        <v>0</v>
      </c>
      <c r="AA391">
        <f>'raw data Crude oil'!AA392</f>
        <v>0</v>
      </c>
      <c r="AB391">
        <f>'raw data Crude oil'!AB392</f>
        <v>0</v>
      </c>
      <c r="AC391">
        <f>'raw data Crude oil'!AC392</f>
        <v>0</v>
      </c>
      <c r="AD391">
        <f>'raw data Crude oil'!AD392</f>
        <v>0</v>
      </c>
      <c r="AE391">
        <f>'raw data Crude oil'!AE392</f>
        <v>0</v>
      </c>
      <c r="AF391">
        <f>'raw data Crude oil'!AF392</f>
        <v>0</v>
      </c>
      <c r="AG391">
        <f>'raw data Crude oil'!AG392</f>
        <v>0</v>
      </c>
      <c r="AH391">
        <f>'raw data Crude oil'!AH392</f>
        <v>0</v>
      </c>
      <c r="AI391">
        <f>'raw data Crude oil'!AI392</f>
        <v>0</v>
      </c>
      <c r="AJ391">
        <f>'raw data Crude oil'!AJ392</f>
        <v>0</v>
      </c>
      <c r="AK391">
        <f>'raw data Crude oil'!AK392</f>
        <v>0</v>
      </c>
    </row>
    <row r="392" spans="1:37" x14ac:dyDescent="0.3">
      <c r="A392" s="18">
        <f>'raw data Crude oil'!A393</f>
        <v>43287</v>
      </c>
      <c r="B392">
        <f>'raw data Crude oil'!B393</f>
        <v>77.11</v>
      </c>
      <c r="C392">
        <f>'raw data Crude oil'!C393</f>
        <v>76.91</v>
      </c>
      <c r="D392">
        <f>'raw data Crude oil'!D393</f>
        <v>76.72</v>
      </c>
      <c r="E392">
        <f>'raw data Crude oil'!E393</f>
        <v>76.510000000000005</v>
      </c>
      <c r="F392">
        <f>'raw data Crude oil'!F393</f>
        <v>76.260000000000005</v>
      </c>
      <c r="G392">
        <f>'raw data Crude oil'!G393</f>
        <v>75.94</v>
      </c>
      <c r="H392">
        <f>'raw data Crude oil'!H393</f>
        <v>75.61</v>
      </c>
      <c r="I392">
        <f>'raw data Crude oil'!I393</f>
        <v>75.27</v>
      </c>
      <c r="J392">
        <f>'raw data Crude oil'!J393</f>
        <v>74.900000000000006</v>
      </c>
      <c r="K392">
        <f>'raw data Crude oil'!K393</f>
        <v>74.52</v>
      </c>
      <c r="L392">
        <f>'raw data Crude oil'!L393</f>
        <v>74.17</v>
      </c>
      <c r="M392">
        <f>'raw data Crude oil'!M393</f>
        <v>73.81</v>
      </c>
      <c r="N392">
        <f>'raw data Crude oil'!N393</f>
        <v>73.8</v>
      </c>
      <c r="O392">
        <f>'raw data Crude oil'!O393</f>
        <v>71.569999999999993</v>
      </c>
      <c r="P392">
        <f>'raw data Crude oil'!P393</f>
        <v>69.14</v>
      </c>
      <c r="Q392">
        <f>'raw data Crude oil'!Q393</f>
        <v>68.5</v>
      </c>
      <c r="R392">
        <f>'raw data Crude oil'!R393</f>
        <v>68.040000000000006</v>
      </c>
      <c r="S392">
        <f>'raw data Crude oil'!S393</f>
        <v>67.62</v>
      </c>
      <c r="T392">
        <f>'raw data Crude oil'!T393</f>
        <v>67.14</v>
      </c>
      <c r="U392">
        <f>'raw data Crude oil'!U393</f>
        <v>66.709999999999994</v>
      </c>
      <c r="V392">
        <f>'raw data Crude oil'!V393</f>
        <v>66.3</v>
      </c>
      <c r="W392">
        <f>'raw data Crude oil'!W393</f>
        <v>65.94</v>
      </c>
      <c r="X392">
        <f>'raw data Crude oil'!X393</f>
        <v>65.59</v>
      </c>
      <c r="Y392">
        <f>'raw data Crude oil'!Y393</f>
        <v>65.19</v>
      </c>
      <c r="Z392">
        <f>'raw data Crude oil'!Z393</f>
        <v>0</v>
      </c>
      <c r="AA392">
        <f>'raw data Crude oil'!AA393</f>
        <v>0</v>
      </c>
      <c r="AB392">
        <f>'raw data Crude oil'!AB393</f>
        <v>0</v>
      </c>
      <c r="AC392">
        <f>'raw data Crude oil'!AC393</f>
        <v>0</v>
      </c>
      <c r="AD392">
        <f>'raw data Crude oil'!AD393</f>
        <v>0</v>
      </c>
      <c r="AE392">
        <f>'raw data Crude oil'!AE393</f>
        <v>0</v>
      </c>
      <c r="AF392">
        <f>'raw data Crude oil'!AF393</f>
        <v>0</v>
      </c>
      <c r="AG392">
        <f>'raw data Crude oil'!AG393</f>
        <v>0</v>
      </c>
      <c r="AH392">
        <f>'raw data Crude oil'!AH393</f>
        <v>0</v>
      </c>
      <c r="AI392">
        <f>'raw data Crude oil'!AI393</f>
        <v>0</v>
      </c>
      <c r="AJ392">
        <f>'raw data Crude oil'!AJ393</f>
        <v>0</v>
      </c>
      <c r="AK392">
        <f>'raw data Crude oil'!AK393</f>
        <v>0</v>
      </c>
    </row>
    <row r="393" spans="1:37" x14ac:dyDescent="0.3">
      <c r="A393" s="18">
        <f>'raw data Crude oil'!A394</f>
        <v>43290</v>
      </c>
      <c r="B393">
        <f>'raw data Crude oil'!B394</f>
        <v>78.069999999999993</v>
      </c>
      <c r="C393">
        <f>'raw data Crude oil'!C394</f>
        <v>77.849999999999994</v>
      </c>
      <c r="D393">
        <f>'raw data Crude oil'!D394</f>
        <v>77.66</v>
      </c>
      <c r="E393">
        <f>'raw data Crude oil'!E394</f>
        <v>77.44</v>
      </c>
      <c r="F393">
        <f>'raw data Crude oil'!F394</f>
        <v>77.180000000000007</v>
      </c>
      <c r="G393">
        <f>'raw data Crude oil'!G394</f>
        <v>76.849999999999994</v>
      </c>
      <c r="H393">
        <f>'raw data Crude oil'!H394</f>
        <v>76.5</v>
      </c>
      <c r="I393">
        <f>'raw data Crude oil'!I394</f>
        <v>76.150000000000006</v>
      </c>
      <c r="J393">
        <f>'raw data Crude oil'!J394</f>
        <v>75.77</v>
      </c>
      <c r="K393">
        <f>'raw data Crude oil'!K394</f>
        <v>75.37</v>
      </c>
      <c r="L393">
        <f>'raw data Crude oil'!L394</f>
        <v>75.010000000000005</v>
      </c>
      <c r="M393">
        <f>'raw data Crude oil'!M394</f>
        <v>74.64</v>
      </c>
      <c r="N393">
        <f>'raw data Crude oil'!N394</f>
        <v>73.849999999999994</v>
      </c>
      <c r="O393">
        <f>'raw data Crude oil'!O394</f>
        <v>71.98</v>
      </c>
      <c r="P393">
        <f>'raw data Crude oil'!P394</f>
        <v>69.849999999999994</v>
      </c>
      <c r="Q393">
        <f>'raw data Crude oil'!Q394</f>
        <v>69.22</v>
      </c>
      <c r="R393">
        <f>'raw data Crude oil'!R394</f>
        <v>68.75</v>
      </c>
      <c r="S393">
        <f>'raw data Crude oil'!S394</f>
        <v>68.319999999999993</v>
      </c>
      <c r="T393">
        <f>'raw data Crude oil'!T394</f>
        <v>67.8</v>
      </c>
      <c r="U393">
        <f>'raw data Crude oil'!U394</f>
        <v>67.34</v>
      </c>
      <c r="V393">
        <f>'raw data Crude oil'!V394</f>
        <v>66.92</v>
      </c>
      <c r="W393">
        <f>'raw data Crude oil'!W394</f>
        <v>66.540000000000006</v>
      </c>
      <c r="X393">
        <f>'raw data Crude oil'!X394</f>
        <v>66.17</v>
      </c>
      <c r="Y393">
        <f>'raw data Crude oil'!Y394</f>
        <v>65.75</v>
      </c>
      <c r="Z393">
        <f>'raw data Crude oil'!Z394</f>
        <v>0</v>
      </c>
      <c r="AA393">
        <f>'raw data Crude oil'!AA394</f>
        <v>0</v>
      </c>
      <c r="AB393">
        <f>'raw data Crude oil'!AB394</f>
        <v>0</v>
      </c>
      <c r="AC393">
        <f>'raw data Crude oil'!AC394</f>
        <v>0</v>
      </c>
      <c r="AD393">
        <f>'raw data Crude oil'!AD394</f>
        <v>0</v>
      </c>
      <c r="AE393">
        <f>'raw data Crude oil'!AE394</f>
        <v>0</v>
      </c>
      <c r="AF393">
        <f>'raw data Crude oil'!AF394</f>
        <v>0</v>
      </c>
      <c r="AG393">
        <f>'raw data Crude oil'!AG394</f>
        <v>0</v>
      </c>
      <c r="AH393">
        <f>'raw data Crude oil'!AH394</f>
        <v>0</v>
      </c>
      <c r="AI393">
        <f>'raw data Crude oil'!AI394</f>
        <v>0</v>
      </c>
      <c r="AJ393">
        <f>'raw data Crude oil'!AJ394</f>
        <v>0</v>
      </c>
      <c r="AK393">
        <f>'raw data Crude oil'!AK394</f>
        <v>0</v>
      </c>
    </row>
    <row r="394" spans="1:37" x14ac:dyDescent="0.3">
      <c r="A394" s="18">
        <f>'raw data Crude oil'!A395</f>
        <v>43291</v>
      </c>
      <c r="B394">
        <f>'raw data Crude oil'!B395</f>
        <v>78.86</v>
      </c>
      <c r="C394">
        <f>'raw data Crude oil'!C395</f>
        <v>78.62</v>
      </c>
      <c r="D394">
        <f>'raw data Crude oil'!D395</f>
        <v>78.400000000000006</v>
      </c>
      <c r="E394">
        <f>'raw data Crude oil'!E395</f>
        <v>78.14</v>
      </c>
      <c r="F394">
        <f>'raw data Crude oil'!F395</f>
        <v>77.83</v>
      </c>
      <c r="G394">
        <f>'raw data Crude oil'!G395</f>
        <v>77.47</v>
      </c>
      <c r="H394">
        <f>'raw data Crude oil'!H395</f>
        <v>77.099999999999994</v>
      </c>
      <c r="I394">
        <f>'raw data Crude oil'!I395</f>
        <v>76.739999999999995</v>
      </c>
      <c r="J394">
        <f>'raw data Crude oil'!J395</f>
        <v>76.349999999999994</v>
      </c>
      <c r="K394">
        <f>'raw data Crude oil'!K395</f>
        <v>75.94</v>
      </c>
      <c r="L394">
        <f>'raw data Crude oil'!L395</f>
        <v>75.569999999999993</v>
      </c>
      <c r="M394">
        <f>'raw data Crude oil'!M395</f>
        <v>75.19</v>
      </c>
      <c r="N394">
        <f>'raw data Crude oil'!N395</f>
        <v>74.11</v>
      </c>
      <c r="O394">
        <f>'raw data Crude oil'!O395</f>
        <v>72.56</v>
      </c>
      <c r="P394">
        <f>'raw data Crude oil'!P395</f>
        <v>70.62</v>
      </c>
      <c r="Q394">
        <f>'raw data Crude oil'!Q395</f>
        <v>69.88</v>
      </c>
      <c r="R394">
        <f>'raw data Crude oil'!R395</f>
        <v>69.319999999999993</v>
      </c>
      <c r="S394">
        <f>'raw data Crude oil'!S395</f>
        <v>68.81</v>
      </c>
      <c r="T394">
        <f>'raw data Crude oil'!T395</f>
        <v>68.23</v>
      </c>
      <c r="U394">
        <f>'raw data Crude oil'!U395</f>
        <v>67.73</v>
      </c>
      <c r="V394">
        <f>'raw data Crude oil'!V395</f>
        <v>67.3</v>
      </c>
      <c r="W394">
        <f>'raw data Crude oil'!W395</f>
        <v>66.900000000000006</v>
      </c>
      <c r="X394">
        <f>'raw data Crude oil'!X395</f>
        <v>66.52</v>
      </c>
      <c r="Y394">
        <f>'raw data Crude oil'!Y395</f>
        <v>66.09</v>
      </c>
      <c r="Z394">
        <f>'raw data Crude oil'!Z395</f>
        <v>0</v>
      </c>
      <c r="AA394">
        <f>'raw data Crude oil'!AA395</f>
        <v>0</v>
      </c>
      <c r="AB394">
        <f>'raw data Crude oil'!AB395</f>
        <v>0</v>
      </c>
      <c r="AC394">
        <f>'raw data Crude oil'!AC395</f>
        <v>0</v>
      </c>
      <c r="AD394">
        <f>'raw data Crude oil'!AD395</f>
        <v>0</v>
      </c>
      <c r="AE394">
        <f>'raw data Crude oil'!AE395</f>
        <v>0</v>
      </c>
      <c r="AF394">
        <f>'raw data Crude oil'!AF395</f>
        <v>0</v>
      </c>
      <c r="AG394">
        <f>'raw data Crude oil'!AG395</f>
        <v>0</v>
      </c>
      <c r="AH394">
        <f>'raw data Crude oil'!AH395</f>
        <v>0</v>
      </c>
      <c r="AI394">
        <f>'raw data Crude oil'!AI395</f>
        <v>0</v>
      </c>
      <c r="AJ394">
        <f>'raw data Crude oil'!AJ395</f>
        <v>0</v>
      </c>
      <c r="AK394">
        <f>'raw data Crude oil'!AK395</f>
        <v>0</v>
      </c>
    </row>
    <row r="395" spans="1:37" x14ac:dyDescent="0.3">
      <c r="A395" s="18">
        <f>'raw data Crude oil'!A396</f>
        <v>43292</v>
      </c>
      <c r="B395">
        <f>'raw data Crude oil'!B396</f>
        <v>73.400000000000006</v>
      </c>
      <c r="C395">
        <f>'raw data Crude oil'!C396</f>
        <v>73.33</v>
      </c>
      <c r="D395">
        <f>'raw data Crude oil'!D396</f>
        <v>73.31</v>
      </c>
      <c r="E395">
        <f>'raw data Crude oil'!E396</f>
        <v>73.260000000000005</v>
      </c>
      <c r="F395">
        <f>'raw data Crude oil'!F396</f>
        <v>73.150000000000006</v>
      </c>
      <c r="G395">
        <f>'raw data Crude oil'!G396</f>
        <v>72.97</v>
      </c>
      <c r="H395">
        <f>'raw data Crude oil'!H396</f>
        <v>72.77</v>
      </c>
      <c r="I395">
        <f>'raw data Crude oil'!I396</f>
        <v>72.58</v>
      </c>
      <c r="J395">
        <f>'raw data Crude oil'!J396</f>
        <v>72.34</v>
      </c>
      <c r="K395">
        <f>'raw data Crude oil'!K396</f>
        <v>72.069999999999993</v>
      </c>
      <c r="L395">
        <f>'raw data Crude oil'!L396</f>
        <v>71.790000000000006</v>
      </c>
      <c r="M395">
        <f>'raw data Crude oil'!M396</f>
        <v>71.5</v>
      </c>
      <c r="N395">
        <f>'raw data Crude oil'!N396</f>
        <v>70.38</v>
      </c>
      <c r="O395">
        <f>'raw data Crude oil'!O396</f>
        <v>68.86</v>
      </c>
      <c r="P395">
        <f>'raw data Crude oil'!P396</f>
        <v>67.099999999999994</v>
      </c>
      <c r="Q395">
        <f>'raw data Crude oil'!Q396</f>
        <v>66.33</v>
      </c>
      <c r="R395">
        <f>'raw data Crude oil'!R396</f>
        <v>65.75</v>
      </c>
      <c r="S395">
        <f>'raw data Crude oil'!S396</f>
        <v>65.239999999999995</v>
      </c>
      <c r="T395">
        <f>'raw data Crude oil'!T396</f>
        <v>64.67</v>
      </c>
      <c r="U395">
        <f>'raw data Crude oil'!U396</f>
        <v>64.209999999999994</v>
      </c>
      <c r="V395">
        <f>'raw data Crude oil'!V396</f>
        <v>63.84</v>
      </c>
      <c r="W395">
        <f>'raw data Crude oil'!W396</f>
        <v>63.52</v>
      </c>
      <c r="X395">
        <f>'raw data Crude oil'!X396</f>
        <v>63.23</v>
      </c>
      <c r="Y395">
        <f>'raw data Crude oil'!Y396</f>
        <v>62.88</v>
      </c>
      <c r="Z395">
        <f>'raw data Crude oil'!Z396</f>
        <v>0</v>
      </c>
      <c r="AA395">
        <f>'raw data Crude oil'!AA396</f>
        <v>0</v>
      </c>
      <c r="AB395">
        <f>'raw data Crude oil'!AB396</f>
        <v>0</v>
      </c>
      <c r="AC395">
        <f>'raw data Crude oil'!AC396</f>
        <v>0</v>
      </c>
      <c r="AD395">
        <f>'raw data Crude oil'!AD396</f>
        <v>0</v>
      </c>
      <c r="AE395">
        <f>'raw data Crude oil'!AE396</f>
        <v>0</v>
      </c>
      <c r="AF395">
        <f>'raw data Crude oil'!AF396</f>
        <v>0</v>
      </c>
      <c r="AG395">
        <f>'raw data Crude oil'!AG396</f>
        <v>0</v>
      </c>
      <c r="AH395">
        <f>'raw data Crude oil'!AH396</f>
        <v>0</v>
      </c>
      <c r="AI395">
        <f>'raw data Crude oil'!AI396</f>
        <v>0</v>
      </c>
      <c r="AJ395">
        <f>'raw data Crude oil'!AJ396</f>
        <v>0</v>
      </c>
      <c r="AK395">
        <f>'raw data Crude oil'!AK396</f>
        <v>0</v>
      </c>
    </row>
    <row r="396" spans="1:37" x14ac:dyDescent="0.3">
      <c r="A396" s="18">
        <f>'raw data Crude oil'!A397</f>
        <v>43293</v>
      </c>
      <c r="B396">
        <f>'raw data Crude oil'!B397</f>
        <v>74.45</v>
      </c>
      <c r="C396">
        <f>'raw data Crude oil'!C397</f>
        <v>74.44</v>
      </c>
      <c r="D396">
        <f>'raw data Crude oil'!D397</f>
        <v>74.459999999999994</v>
      </c>
      <c r="E396">
        <f>'raw data Crude oil'!E397</f>
        <v>74.44</v>
      </c>
      <c r="F396">
        <f>'raw data Crude oil'!F397</f>
        <v>74.33</v>
      </c>
      <c r="G396">
        <f>'raw data Crude oil'!G397</f>
        <v>74.150000000000006</v>
      </c>
      <c r="H396">
        <f>'raw data Crude oil'!H397</f>
        <v>73.95</v>
      </c>
      <c r="I396">
        <f>'raw data Crude oil'!I397</f>
        <v>73.75</v>
      </c>
      <c r="J396">
        <f>'raw data Crude oil'!J397</f>
        <v>73.5</v>
      </c>
      <c r="K396">
        <f>'raw data Crude oil'!K397</f>
        <v>73.2</v>
      </c>
      <c r="L396">
        <f>'raw data Crude oil'!L397</f>
        <v>72.91</v>
      </c>
      <c r="M396">
        <f>'raw data Crude oil'!M397</f>
        <v>72.599999999999994</v>
      </c>
      <c r="N396">
        <f>'raw data Crude oil'!N397</f>
        <v>70.33</v>
      </c>
      <c r="O396">
        <f>'raw data Crude oil'!O397</f>
        <v>69.349999999999994</v>
      </c>
      <c r="P396">
        <f>'raw data Crude oil'!P397</f>
        <v>68.069999999999993</v>
      </c>
      <c r="Q396">
        <f>'raw data Crude oil'!Q397</f>
        <v>67.44</v>
      </c>
      <c r="R396">
        <f>'raw data Crude oil'!R397</f>
        <v>66.959999999999994</v>
      </c>
      <c r="S396">
        <f>'raw data Crude oil'!S397</f>
        <v>66.5</v>
      </c>
      <c r="T396">
        <f>'raw data Crude oil'!T397</f>
        <v>65.95</v>
      </c>
      <c r="U396">
        <f>'raw data Crude oil'!U397</f>
        <v>65.48</v>
      </c>
      <c r="V396">
        <f>'raw data Crude oil'!V397</f>
        <v>65.08</v>
      </c>
      <c r="W396">
        <f>'raw data Crude oil'!W397</f>
        <v>64.739999999999995</v>
      </c>
      <c r="X396">
        <f>'raw data Crude oil'!X397</f>
        <v>64.44</v>
      </c>
      <c r="Y396">
        <f>'raw data Crude oil'!Y397</f>
        <v>64.08</v>
      </c>
      <c r="Z396">
        <f>'raw data Crude oil'!Z397</f>
        <v>0</v>
      </c>
      <c r="AA396">
        <f>'raw data Crude oil'!AA397</f>
        <v>0</v>
      </c>
      <c r="AB396">
        <f>'raw data Crude oil'!AB397</f>
        <v>0</v>
      </c>
      <c r="AC396">
        <f>'raw data Crude oil'!AC397</f>
        <v>0</v>
      </c>
      <c r="AD396">
        <f>'raw data Crude oil'!AD397</f>
        <v>0</v>
      </c>
      <c r="AE396">
        <f>'raw data Crude oil'!AE397</f>
        <v>0</v>
      </c>
      <c r="AF396">
        <f>'raw data Crude oil'!AF397</f>
        <v>0</v>
      </c>
      <c r="AG396">
        <f>'raw data Crude oil'!AG397</f>
        <v>0</v>
      </c>
      <c r="AH396">
        <f>'raw data Crude oil'!AH397</f>
        <v>0</v>
      </c>
      <c r="AI396">
        <f>'raw data Crude oil'!AI397</f>
        <v>0</v>
      </c>
      <c r="AJ396">
        <f>'raw data Crude oil'!AJ397</f>
        <v>0</v>
      </c>
      <c r="AK396">
        <f>'raw data Crude oil'!AK397</f>
        <v>0</v>
      </c>
    </row>
    <row r="397" spans="1:37" x14ac:dyDescent="0.3">
      <c r="A397" s="18">
        <f>'raw data Crude oil'!A398</f>
        <v>43294</v>
      </c>
      <c r="B397">
        <f>'raw data Crude oil'!B398</f>
        <v>75.33</v>
      </c>
      <c r="C397">
        <f>'raw data Crude oil'!C398</f>
        <v>75.260000000000005</v>
      </c>
      <c r="D397">
        <f>'raw data Crude oil'!D398</f>
        <v>75.23</v>
      </c>
      <c r="E397">
        <f>'raw data Crude oil'!E398</f>
        <v>75.150000000000006</v>
      </c>
      <c r="F397">
        <f>'raw data Crude oil'!F398</f>
        <v>74.989999999999995</v>
      </c>
      <c r="G397">
        <f>'raw data Crude oil'!G398</f>
        <v>74.78</v>
      </c>
      <c r="H397">
        <f>'raw data Crude oil'!H398</f>
        <v>74.55</v>
      </c>
      <c r="I397">
        <f>'raw data Crude oil'!I398</f>
        <v>74.33</v>
      </c>
      <c r="J397">
        <f>'raw data Crude oil'!J398</f>
        <v>74.069999999999993</v>
      </c>
      <c r="K397">
        <f>'raw data Crude oil'!K398</f>
        <v>73.75</v>
      </c>
      <c r="L397">
        <f>'raw data Crude oil'!L398</f>
        <v>73.430000000000007</v>
      </c>
      <c r="M397">
        <f>'raw data Crude oil'!M398</f>
        <v>73.09</v>
      </c>
      <c r="N397">
        <f>'raw data Crude oil'!N398</f>
        <v>71.010000000000005</v>
      </c>
      <c r="O397">
        <f>'raw data Crude oil'!O398</f>
        <v>69.95</v>
      </c>
      <c r="P397">
        <f>'raw data Crude oil'!P398</f>
        <v>68.55</v>
      </c>
      <c r="Q397">
        <f>'raw data Crude oil'!Q398</f>
        <v>68.010000000000005</v>
      </c>
      <c r="R397">
        <f>'raw data Crude oil'!R398</f>
        <v>67.58</v>
      </c>
      <c r="S397">
        <f>'raw data Crude oil'!S398</f>
        <v>67.150000000000006</v>
      </c>
      <c r="T397">
        <f>'raw data Crude oil'!T398</f>
        <v>66.62</v>
      </c>
      <c r="U397">
        <f>'raw data Crude oil'!U398</f>
        <v>66.150000000000006</v>
      </c>
      <c r="V397">
        <f>'raw data Crude oil'!V398</f>
        <v>65.760000000000005</v>
      </c>
      <c r="W397">
        <f>'raw data Crude oil'!W398</f>
        <v>65.400000000000006</v>
      </c>
      <c r="X397">
        <f>'raw data Crude oil'!X398</f>
        <v>65.069999999999993</v>
      </c>
      <c r="Y397">
        <f>'raw data Crude oil'!Y398</f>
        <v>64.69</v>
      </c>
      <c r="Z397">
        <f>'raw data Crude oil'!Z398</f>
        <v>0</v>
      </c>
      <c r="AA397">
        <f>'raw data Crude oil'!AA398</f>
        <v>0</v>
      </c>
      <c r="AB397">
        <f>'raw data Crude oil'!AB398</f>
        <v>0</v>
      </c>
      <c r="AC397">
        <f>'raw data Crude oil'!AC398</f>
        <v>0</v>
      </c>
      <c r="AD397">
        <f>'raw data Crude oil'!AD398</f>
        <v>0</v>
      </c>
      <c r="AE397">
        <f>'raw data Crude oil'!AE398</f>
        <v>0</v>
      </c>
      <c r="AF397">
        <f>'raw data Crude oil'!AF398</f>
        <v>0</v>
      </c>
      <c r="AG397">
        <f>'raw data Crude oil'!AG398</f>
        <v>0</v>
      </c>
      <c r="AH397">
        <f>'raw data Crude oil'!AH398</f>
        <v>0</v>
      </c>
      <c r="AI397">
        <f>'raw data Crude oil'!AI398</f>
        <v>0</v>
      </c>
      <c r="AJ397">
        <f>'raw data Crude oil'!AJ398</f>
        <v>0</v>
      </c>
      <c r="AK397">
        <f>'raw data Crude oil'!AK398</f>
        <v>0</v>
      </c>
    </row>
    <row r="398" spans="1:37" x14ac:dyDescent="0.3">
      <c r="A398" s="18">
        <f>'raw data Crude oil'!A399</f>
        <v>43297</v>
      </c>
      <c r="B398">
        <f>'raw data Crude oil'!B399</f>
        <v>71.84</v>
      </c>
      <c r="C398">
        <f>'raw data Crude oil'!C399</f>
        <v>71.819999999999993</v>
      </c>
      <c r="D398">
        <f>'raw data Crude oil'!D399</f>
        <v>71.849999999999994</v>
      </c>
      <c r="E398">
        <f>'raw data Crude oil'!E399</f>
        <v>71.83</v>
      </c>
      <c r="F398">
        <f>'raw data Crude oil'!F399</f>
        <v>71.739999999999995</v>
      </c>
      <c r="G398">
        <f>'raw data Crude oil'!G399</f>
        <v>71.599999999999994</v>
      </c>
      <c r="H398">
        <f>'raw data Crude oil'!H399</f>
        <v>71.45</v>
      </c>
      <c r="I398">
        <f>'raw data Crude oil'!I399</f>
        <v>71.3</v>
      </c>
      <c r="J398">
        <f>'raw data Crude oil'!J399</f>
        <v>71.099999999999994</v>
      </c>
      <c r="K398">
        <f>'raw data Crude oil'!K399</f>
        <v>70.86</v>
      </c>
      <c r="L398">
        <f>'raw data Crude oil'!L399</f>
        <v>70.599999999999994</v>
      </c>
      <c r="M398">
        <f>'raw data Crude oil'!M399</f>
        <v>70.33</v>
      </c>
      <c r="N398">
        <f>'raw data Crude oil'!N399</f>
        <v>68.06</v>
      </c>
      <c r="O398">
        <f>'raw data Crude oil'!O399</f>
        <v>67.069999999999993</v>
      </c>
      <c r="P398">
        <f>'raw data Crude oil'!P399</f>
        <v>65.66</v>
      </c>
      <c r="Q398">
        <f>'raw data Crude oil'!Q399</f>
        <v>65.11</v>
      </c>
      <c r="R398">
        <f>'raw data Crude oil'!R399</f>
        <v>64.709999999999994</v>
      </c>
      <c r="S398">
        <f>'raw data Crude oil'!S399</f>
        <v>64.34</v>
      </c>
      <c r="T398">
        <f>'raw data Crude oil'!T399</f>
        <v>63.9</v>
      </c>
      <c r="U398">
        <f>'raw data Crude oil'!U399</f>
        <v>63.51</v>
      </c>
      <c r="V398">
        <f>'raw data Crude oil'!V399</f>
        <v>63.19</v>
      </c>
      <c r="W398">
        <f>'raw data Crude oil'!W399</f>
        <v>62.88</v>
      </c>
      <c r="X398">
        <f>'raw data Crude oil'!X399</f>
        <v>62.61</v>
      </c>
      <c r="Y398">
        <f>'raw data Crude oil'!Y399</f>
        <v>62.27</v>
      </c>
      <c r="Z398">
        <f>'raw data Crude oil'!Z399</f>
        <v>0</v>
      </c>
      <c r="AA398">
        <f>'raw data Crude oil'!AA399</f>
        <v>0</v>
      </c>
      <c r="AB398">
        <f>'raw data Crude oil'!AB399</f>
        <v>0</v>
      </c>
      <c r="AC398">
        <f>'raw data Crude oil'!AC399</f>
        <v>0</v>
      </c>
      <c r="AD398">
        <f>'raw data Crude oil'!AD399</f>
        <v>0</v>
      </c>
      <c r="AE398">
        <f>'raw data Crude oil'!AE399</f>
        <v>0</v>
      </c>
      <c r="AF398">
        <f>'raw data Crude oil'!AF399</f>
        <v>0</v>
      </c>
      <c r="AG398">
        <f>'raw data Crude oil'!AG399</f>
        <v>0</v>
      </c>
      <c r="AH398">
        <f>'raw data Crude oil'!AH399</f>
        <v>0</v>
      </c>
      <c r="AI398">
        <f>'raw data Crude oil'!AI399</f>
        <v>0</v>
      </c>
      <c r="AJ398">
        <f>'raw data Crude oil'!AJ399</f>
        <v>0</v>
      </c>
      <c r="AK398">
        <f>'raw data Crude oil'!AK399</f>
        <v>0</v>
      </c>
    </row>
    <row r="399" spans="1:37" x14ac:dyDescent="0.3">
      <c r="A399" s="18">
        <f>'raw data Crude oil'!A400</f>
        <v>43298</v>
      </c>
      <c r="B399">
        <f>'raw data Crude oil'!B400</f>
        <v>72.16</v>
      </c>
      <c r="C399">
        <f>'raw data Crude oil'!C400</f>
        <v>72.239999999999995</v>
      </c>
      <c r="D399">
        <f>'raw data Crude oil'!D400</f>
        <v>72.3</v>
      </c>
      <c r="E399">
        <f>'raw data Crude oil'!E400</f>
        <v>72.28</v>
      </c>
      <c r="F399">
        <f>'raw data Crude oil'!F400</f>
        <v>72.180000000000007</v>
      </c>
      <c r="G399">
        <f>'raw data Crude oil'!G400</f>
        <v>72.02</v>
      </c>
      <c r="H399">
        <f>'raw data Crude oil'!H400</f>
        <v>71.84</v>
      </c>
      <c r="I399">
        <f>'raw data Crude oil'!I400</f>
        <v>71.650000000000006</v>
      </c>
      <c r="J399">
        <f>'raw data Crude oil'!J400</f>
        <v>71.42</v>
      </c>
      <c r="K399">
        <f>'raw data Crude oil'!K400</f>
        <v>71.16</v>
      </c>
      <c r="L399">
        <f>'raw data Crude oil'!L400</f>
        <v>70.91</v>
      </c>
      <c r="M399">
        <f>'raw data Crude oil'!M400</f>
        <v>70.650000000000006</v>
      </c>
      <c r="N399">
        <f>'raw data Crude oil'!N400</f>
        <v>68.08</v>
      </c>
      <c r="O399">
        <f>'raw data Crude oil'!O400</f>
        <v>67.16</v>
      </c>
      <c r="P399">
        <f>'raw data Crude oil'!P400</f>
        <v>65.84</v>
      </c>
      <c r="Q399">
        <f>'raw data Crude oil'!Q400</f>
        <v>65.27</v>
      </c>
      <c r="R399">
        <f>'raw data Crude oil'!R400</f>
        <v>64.89</v>
      </c>
      <c r="S399">
        <f>'raw data Crude oil'!S400</f>
        <v>64.540000000000006</v>
      </c>
      <c r="T399">
        <f>'raw data Crude oil'!T400</f>
        <v>64.12</v>
      </c>
      <c r="U399">
        <f>'raw data Crude oil'!U400</f>
        <v>63.73</v>
      </c>
      <c r="V399">
        <f>'raw data Crude oil'!V400</f>
        <v>63.4</v>
      </c>
      <c r="W399">
        <f>'raw data Crude oil'!W400</f>
        <v>63.09</v>
      </c>
      <c r="X399">
        <f>'raw data Crude oil'!X400</f>
        <v>62.8</v>
      </c>
      <c r="Y399">
        <f>'raw data Crude oil'!Y400</f>
        <v>62.47</v>
      </c>
      <c r="Z399">
        <f>'raw data Crude oil'!Z400</f>
        <v>0</v>
      </c>
      <c r="AA399">
        <f>'raw data Crude oil'!AA400</f>
        <v>0</v>
      </c>
      <c r="AB399">
        <f>'raw data Crude oil'!AB400</f>
        <v>0</v>
      </c>
      <c r="AC399">
        <f>'raw data Crude oil'!AC400</f>
        <v>0</v>
      </c>
      <c r="AD399">
        <f>'raw data Crude oil'!AD400</f>
        <v>0</v>
      </c>
      <c r="AE399">
        <f>'raw data Crude oil'!AE400</f>
        <v>0</v>
      </c>
      <c r="AF399">
        <f>'raw data Crude oil'!AF400</f>
        <v>0</v>
      </c>
      <c r="AG399">
        <f>'raw data Crude oil'!AG400</f>
        <v>0</v>
      </c>
      <c r="AH399">
        <f>'raw data Crude oil'!AH400</f>
        <v>0</v>
      </c>
      <c r="AI399">
        <f>'raw data Crude oil'!AI400</f>
        <v>0</v>
      </c>
      <c r="AJ399">
        <f>'raw data Crude oil'!AJ400</f>
        <v>0</v>
      </c>
      <c r="AK399">
        <f>'raw data Crude oil'!AK400</f>
        <v>0</v>
      </c>
    </row>
    <row r="400" spans="1:37" x14ac:dyDescent="0.3">
      <c r="A400" s="18">
        <f>'raw data Crude oil'!A401</f>
        <v>43299</v>
      </c>
      <c r="B400">
        <f>'raw data Crude oil'!B401</f>
        <v>72.900000000000006</v>
      </c>
      <c r="C400">
        <f>'raw data Crude oil'!C401</f>
        <v>72.989999999999995</v>
      </c>
      <c r="D400">
        <f>'raw data Crude oil'!D401</f>
        <v>73.010000000000005</v>
      </c>
      <c r="E400">
        <f>'raw data Crude oil'!E401</f>
        <v>72.97</v>
      </c>
      <c r="F400">
        <f>'raw data Crude oil'!F401</f>
        <v>72.86</v>
      </c>
      <c r="G400">
        <f>'raw data Crude oil'!G401</f>
        <v>72.680000000000007</v>
      </c>
      <c r="H400">
        <f>'raw data Crude oil'!H401</f>
        <v>72.48</v>
      </c>
      <c r="I400">
        <f>'raw data Crude oil'!I401</f>
        <v>72.28</v>
      </c>
      <c r="J400">
        <f>'raw data Crude oil'!J401</f>
        <v>72.040000000000006</v>
      </c>
      <c r="K400">
        <f>'raw data Crude oil'!K401</f>
        <v>71.77</v>
      </c>
      <c r="L400">
        <f>'raw data Crude oil'!L401</f>
        <v>71.53</v>
      </c>
      <c r="M400">
        <f>'raw data Crude oil'!M401</f>
        <v>71.27</v>
      </c>
      <c r="N400">
        <f>'raw data Crude oil'!N401</f>
        <v>68.760000000000005</v>
      </c>
      <c r="O400">
        <f>'raw data Crude oil'!O401</f>
        <v>67.75</v>
      </c>
      <c r="P400">
        <f>'raw data Crude oil'!P401</f>
        <v>66.38</v>
      </c>
      <c r="Q400">
        <f>'raw data Crude oil'!Q401</f>
        <v>65.89</v>
      </c>
      <c r="R400">
        <f>'raw data Crude oil'!R401</f>
        <v>65.53</v>
      </c>
      <c r="S400">
        <f>'raw data Crude oil'!S401</f>
        <v>65.19</v>
      </c>
      <c r="T400">
        <f>'raw data Crude oil'!T401</f>
        <v>64.760000000000005</v>
      </c>
      <c r="U400">
        <f>'raw data Crude oil'!U401</f>
        <v>64.36</v>
      </c>
      <c r="V400">
        <f>'raw data Crude oil'!V401</f>
        <v>64.03</v>
      </c>
      <c r="W400">
        <f>'raw data Crude oil'!W401</f>
        <v>63.71</v>
      </c>
      <c r="X400">
        <f>'raw data Crude oil'!X401</f>
        <v>63.42</v>
      </c>
      <c r="Y400">
        <f>'raw data Crude oil'!Y401</f>
        <v>63.08</v>
      </c>
      <c r="Z400">
        <f>'raw data Crude oil'!Z401</f>
        <v>0</v>
      </c>
      <c r="AA400">
        <f>'raw data Crude oil'!AA401</f>
        <v>0</v>
      </c>
      <c r="AB400">
        <f>'raw data Crude oil'!AB401</f>
        <v>0</v>
      </c>
      <c r="AC400">
        <f>'raw data Crude oil'!AC401</f>
        <v>0</v>
      </c>
      <c r="AD400">
        <f>'raw data Crude oil'!AD401</f>
        <v>0</v>
      </c>
      <c r="AE400">
        <f>'raw data Crude oil'!AE401</f>
        <v>0</v>
      </c>
      <c r="AF400">
        <f>'raw data Crude oil'!AF401</f>
        <v>0</v>
      </c>
      <c r="AG400">
        <f>'raw data Crude oil'!AG401</f>
        <v>0</v>
      </c>
      <c r="AH400">
        <f>'raw data Crude oil'!AH401</f>
        <v>0</v>
      </c>
      <c r="AI400">
        <f>'raw data Crude oil'!AI401</f>
        <v>0</v>
      </c>
      <c r="AJ400">
        <f>'raw data Crude oil'!AJ401</f>
        <v>0</v>
      </c>
      <c r="AK400">
        <f>'raw data Crude oil'!AK401</f>
        <v>0</v>
      </c>
    </row>
    <row r="401" spans="1:37" x14ac:dyDescent="0.3">
      <c r="A401" s="18">
        <f>'raw data Crude oil'!A402</f>
        <v>43300</v>
      </c>
      <c r="B401">
        <f>'raw data Crude oil'!B402</f>
        <v>72.58</v>
      </c>
      <c r="C401">
        <f>'raw data Crude oil'!C402</f>
        <v>72.67</v>
      </c>
      <c r="D401">
        <f>'raw data Crude oil'!D402</f>
        <v>72.739999999999995</v>
      </c>
      <c r="E401">
        <f>'raw data Crude oil'!E402</f>
        <v>72.73</v>
      </c>
      <c r="F401">
        <f>'raw data Crude oil'!F402</f>
        <v>72.650000000000006</v>
      </c>
      <c r="G401">
        <f>'raw data Crude oil'!G402</f>
        <v>72.5</v>
      </c>
      <c r="H401">
        <f>'raw data Crude oil'!H402</f>
        <v>72.319999999999993</v>
      </c>
      <c r="I401">
        <f>'raw data Crude oil'!I402</f>
        <v>72.13</v>
      </c>
      <c r="J401">
        <f>'raw data Crude oil'!J402</f>
        <v>71.900000000000006</v>
      </c>
      <c r="K401">
        <f>'raw data Crude oil'!K402</f>
        <v>71.64</v>
      </c>
      <c r="L401">
        <f>'raw data Crude oil'!L402</f>
        <v>71.400000000000006</v>
      </c>
      <c r="M401">
        <f>'raw data Crude oil'!M402</f>
        <v>71.150000000000006</v>
      </c>
      <c r="N401">
        <f>'raw data Crude oil'!N402</f>
        <v>69.459999999999994</v>
      </c>
      <c r="O401">
        <f>'raw data Crude oil'!O402</f>
        <v>68.239999999999995</v>
      </c>
      <c r="P401">
        <f>'raw data Crude oil'!P402</f>
        <v>66.53</v>
      </c>
      <c r="Q401">
        <f>'raw data Crude oil'!Q402</f>
        <v>65.989999999999995</v>
      </c>
      <c r="R401">
        <f>'raw data Crude oil'!R402</f>
        <v>65.599999999999994</v>
      </c>
      <c r="S401">
        <f>'raw data Crude oil'!S402</f>
        <v>65.260000000000005</v>
      </c>
      <c r="T401">
        <f>'raw data Crude oil'!T402</f>
        <v>64.84</v>
      </c>
      <c r="U401">
        <f>'raw data Crude oil'!U402</f>
        <v>64.44</v>
      </c>
      <c r="V401">
        <f>'raw data Crude oil'!V402</f>
        <v>64.11</v>
      </c>
      <c r="W401">
        <f>'raw data Crude oil'!W402</f>
        <v>63.8</v>
      </c>
      <c r="X401">
        <f>'raw data Crude oil'!X402</f>
        <v>63.5</v>
      </c>
      <c r="Y401">
        <f>'raw data Crude oil'!Y402</f>
        <v>63.17</v>
      </c>
      <c r="Z401">
        <f>'raw data Crude oil'!Z402</f>
        <v>0</v>
      </c>
      <c r="AA401">
        <f>'raw data Crude oil'!AA402</f>
        <v>0</v>
      </c>
      <c r="AB401">
        <f>'raw data Crude oil'!AB402</f>
        <v>0</v>
      </c>
      <c r="AC401">
        <f>'raw data Crude oil'!AC402</f>
        <v>0</v>
      </c>
      <c r="AD401">
        <f>'raw data Crude oil'!AD402</f>
        <v>0</v>
      </c>
      <c r="AE401">
        <f>'raw data Crude oil'!AE402</f>
        <v>0</v>
      </c>
      <c r="AF401">
        <f>'raw data Crude oil'!AF402</f>
        <v>0</v>
      </c>
      <c r="AG401">
        <f>'raw data Crude oil'!AG402</f>
        <v>0</v>
      </c>
      <c r="AH401">
        <f>'raw data Crude oil'!AH402</f>
        <v>0</v>
      </c>
      <c r="AI401">
        <f>'raw data Crude oil'!AI402</f>
        <v>0</v>
      </c>
      <c r="AJ401">
        <f>'raw data Crude oil'!AJ402</f>
        <v>0</v>
      </c>
      <c r="AK401">
        <f>'raw data Crude oil'!AK402</f>
        <v>0</v>
      </c>
    </row>
    <row r="402" spans="1:37" x14ac:dyDescent="0.3">
      <c r="A402" s="18">
        <f>'raw data Crude oil'!A403</f>
        <v>43301</v>
      </c>
      <c r="B402">
        <f>'raw data Crude oil'!B403</f>
        <v>73.069999999999993</v>
      </c>
      <c r="C402">
        <f>'raw data Crude oil'!C403</f>
        <v>73.14</v>
      </c>
      <c r="D402">
        <f>'raw data Crude oil'!D403</f>
        <v>73.22</v>
      </c>
      <c r="E402">
        <f>'raw data Crude oil'!E403</f>
        <v>73.22</v>
      </c>
      <c r="F402">
        <f>'raw data Crude oil'!F403</f>
        <v>73.150000000000006</v>
      </c>
      <c r="G402">
        <f>'raw data Crude oil'!G403</f>
        <v>73</v>
      </c>
      <c r="H402">
        <f>'raw data Crude oil'!H403</f>
        <v>72.819999999999993</v>
      </c>
      <c r="I402">
        <f>'raw data Crude oil'!I403</f>
        <v>72.63</v>
      </c>
      <c r="J402">
        <f>'raw data Crude oil'!J403</f>
        <v>72.39</v>
      </c>
      <c r="K402">
        <f>'raw data Crude oil'!K403</f>
        <v>72.12</v>
      </c>
      <c r="L402">
        <f>'raw data Crude oil'!L403</f>
        <v>71.89</v>
      </c>
      <c r="M402">
        <f>'raw data Crude oil'!M403</f>
        <v>71.64</v>
      </c>
      <c r="N402">
        <f>'raw data Crude oil'!N403</f>
        <v>70.459999999999994</v>
      </c>
      <c r="O402">
        <f>'raw data Crude oil'!O403</f>
        <v>68.260000000000005</v>
      </c>
      <c r="P402">
        <f>'raw data Crude oil'!P403</f>
        <v>66.64</v>
      </c>
      <c r="Q402">
        <f>'raw data Crude oil'!Q403</f>
        <v>66.180000000000007</v>
      </c>
      <c r="R402">
        <f>'raw data Crude oil'!R403</f>
        <v>65.87</v>
      </c>
      <c r="S402">
        <f>'raw data Crude oil'!S403</f>
        <v>65.569999999999993</v>
      </c>
      <c r="T402">
        <f>'raw data Crude oil'!T403</f>
        <v>65.17</v>
      </c>
      <c r="U402">
        <f>'raw data Crude oil'!U403</f>
        <v>64.790000000000006</v>
      </c>
      <c r="V402">
        <f>'raw data Crude oil'!V403</f>
        <v>64.44</v>
      </c>
      <c r="W402">
        <f>'raw data Crude oil'!W403</f>
        <v>64.12</v>
      </c>
      <c r="X402">
        <f>'raw data Crude oil'!X403</f>
        <v>63.81</v>
      </c>
      <c r="Y402">
        <f>'raw data Crude oil'!Y403</f>
        <v>63.48</v>
      </c>
      <c r="Z402">
        <f>'raw data Crude oil'!Z403</f>
        <v>0</v>
      </c>
      <c r="AA402">
        <f>'raw data Crude oil'!AA403</f>
        <v>0</v>
      </c>
      <c r="AB402">
        <f>'raw data Crude oil'!AB403</f>
        <v>0</v>
      </c>
      <c r="AC402">
        <f>'raw data Crude oil'!AC403</f>
        <v>0</v>
      </c>
      <c r="AD402">
        <f>'raw data Crude oil'!AD403</f>
        <v>0</v>
      </c>
      <c r="AE402">
        <f>'raw data Crude oil'!AE403</f>
        <v>0</v>
      </c>
      <c r="AF402">
        <f>'raw data Crude oil'!AF403</f>
        <v>0</v>
      </c>
      <c r="AG402">
        <f>'raw data Crude oil'!AG403</f>
        <v>0</v>
      </c>
      <c r="AH402">
        <f>'raw data Crude oil'!AH403</f>
        <v>0</v>
      </c>
      <c r="AI402">
        <f>'raw data Crude oil'!AI403</f>
        <v>0</v>
      </c>
      <c r="AJ402">
        <f>'raw data Crude oil'!AJ403</f>
        <v>0</v>
      </c>
      <c r="AK402">
        <f>'raw data Crude oil'!AK403</f>
        <v>0</v>
      </c>
    </row>
    <row r="403" spans="1:37" x14ac:dyDescent="0.3">
      <c r="A403" s="18">
        <f>'raw data Crude oil'!A404</f>
        <v>43304</v>
      </c>
      <c r="B403">
        <f>'raw data Crude oil'!B404</f>
        <v>73.06</v>
      </c>
      <c r="C403">
        <f>'raw data Crude oil'!C404</f>
        <v>73.38</v>
      </c>
      <c r="D403">
        <f>'raw data Crude oil'!D404</f>
        <v>73.58</v>
      </c>
      <c r="E403">
        <f>'raw data Crude oil'!E404</f>
        <v>73.67</v>
      </c>
      <c r="F403">
        <f>'raw data Crude oil'!F404</f>
        <v>73.7</v>
      </c>
      <c r="G403">
        <f>'raw data Crude oil'!G404</f>
        <v>73.63</v>
      </c>
      <c r="H403">
        <f>'raw data Crude oil'!H404</f>
        <v>73.489999999999995</v>
      </c>
      <c r="I403">
        <f>'raw data Crude oil'!I404</f>
        <v>73.33</v>
      </c>
      <c r="J403">
        <f>'raw data Crude oil'!J404</f>
        <v>73.099999999999994</v>
      </c>
      <c r="K403">
        <f>'raw data Crude oil'!K404</f>
        <v>72.849999999999994</v>
      </c>
      <c r="L403">
        <f>'raw data Crude oil'!L404</f>
        <v>72.63</v>
      </c>
      <c r="M403">
        <f>'raw data Crude oil'!M404</f>
        <v>72.39</v>
      </c>
      <c r="N403">
        <f>'raw data Crude oil'!N404</f>
        <v>67.89</v>
      </c>
      <c r="O403">
        <f>'raw data Crude oil'!O404</f>
        <v>66.75</v>
      </c>
      <c r="P403">
        <f>'raw data Crude oil'!P404</f>
        <v>66.430000000000007</v>
      </c>
      <c r="Q403">
        <f>'raw data Crude oil'!Q404</f>
        <v>66.14</v>
      </c>
      <c r="R403">
        <f>'raw data Crude oil'!R404</f>
        <v>65.900000000000006</v>
      </c>
      <c r="S403">
        <f>'raw data Crude oil'!S404</f>
        <v>65.55</v>
      </c>
      <c r="T403">
        <f>'raw data Crude oil'!T404</f>
        <v>65.22</v>
      </c>
      <c r="U403">
        <f>'raw data Crude oil'!U404</f>
        <v>64.91</v>
      </c>
      <c r="V403">
        <f>'raw data Crude oil'!V404</f>
        <v>64.62</v>
      </c>
      <c r="W403">
        <f>'raw data Crude oil'!W404</f>
        <v>64.349999999999994</v>
      </c>
      <c r="X403">
        <f>'raw data Crude oil'!X404</f>
        <v>64.05</v>
      </c>
      <c r="Y403">
        <f>'raw data Crude oil'!Y404</f>
        <v>63.76</v>
      </c>
      <c r="Z403">
        <f>'raw data Crude oil'!Z404</f>
        <v>0</v>
      </c>
      <c r="AA403">
        <f>'raw data Crude oil'!AA404</f>
        <v>0</v>
      </c>
      <c r="AB403">
        <f>'raw data Crude oil'!AB404</f>
        <v>0</v>
      </c>
      <c r="AC403">
        <f>'raw data Crude oil'!AC404</f>
        <v>0</v>
      </c>
      <c r="AD403">
        <f>'raw data Crude oil'!AD404</f>
        <v>0</v>
      </c>
      <c r="AE403">
        <f>'raw data Crude oil'!AE404</f>
        <v>0</v>
      </c>
      <c r="AF403">
        <f>'raw data Crude oil'!AF404</f>
        <v>0</v>
      </c>
      <c r="AG403">
        <f>'raw data Crude oil'!AG404</f>
        <v>0</v>
      </c>
      <c r="AH403">
        <f>'raw data Crude oil'!AH404</f>
        <v>0</v>
      </c>
      <c r="AI403">
        <f>'raw data Crude oil'!AI404</f>
        <v>0</v>
      </c>
      <c r="AJ403">
        <f>'raw data Crude oil'!AJ404</f>
        <v>0</v>
      </c>
      <c r="AK403">
        <f>'raw data Crude oil'!AK404</f>
        <v>0</v>
      </c>
    </row>
    <row r="404" spans="1:37" x14ac:dyDescent="0.3">
      <c r="A404" s="18">
        <f>'raw data Crude oil'!A405</f>
        <v>43305</v>
      </c>
      <c r="B404">
        <f>'raw data Crude oil'!B405</f>
        <v>73.44</v>
      </c>
      <c r="C404">
        <f>'raw data Crude oil'!C405</f>
        <v>73.8</v>
      </c>
      <c r="D404">
        <f>'raw data Crude oil'!D405</f>
        <v>74.05</v>
      </c>
      <c r="E404">
        <f>'raw data Crude oil'!E405</f>
        <v>74.180000000000007</v>
      </c>
      <c r="F404">
        <f>'raw data Crude oil'!F405</f>
        <v>74.23</v>
      </c>
      <c r="G404">
        <f>'raw data Crude oil'!G405</f>
        <v>74.180000000000007</v>
      </c>
      <c r="H404">
        <f>'raw data Crude oil'!H405</f>
        <v>74.05</v>
      </c>
      <c r="I404">
        <f>'raw data Crude oil'!I405</f>
        <v>73.88</v>
      </c>
      <c r="J404">
        <f>'raw data Crude oil'!J405</f>
        <v>73.650000000000006</v>
      </c>
      <c r="K404">
        <f>'raw data Crude oil'!K405</f>
        <v>73.400000000000006</v>
      </c>
      <c r="L404">
        <f>'raw data Crude oil'!L405</f>
        <v>73.180000000000007</v>
      </c>
      <c r="M404">
        <f>'raw data Crude oil'!M405</f>
        <v>72.94</v>
      </c>
      <c r="N404">
        <f>'raw data Crude oil'!N405</f>
        <v>68.52</v>
      </c>
      <c r="O404">
        <f>'raw data Crude oil'!O405</f>
        <v>67.19</v>
      </c>
      <c r="P404">
        <f>'raw data Crude oil'!P405</f>
        <v>66.77</v>
      </c>
      <c r="Q404">
        <f>'raw data Crude oil'!Q405</f>
        <v>66.47</v>
      </c>
      <c r="R404">
        <f>'raw data Crude oil'!R405</f>
        <v>66.22</v>
      </c>
      <c r="S404">
        <f>'raw data Crude oil'!S405</f>
        <v>65.849999999999994</v>
      </c>
      <c r="T404">
        <f>'raw data Crude oil'!T405</f>
        <v>65.52</v>
      </c>
      <c r="U404">
        <f>'raw data Crude oil'!U405</f>
        <v>65.22</v>
      </c>
      <c r="V404">
        <f>'raw data Crude oil'!V405</f>
        <v>64.95</v>
      </c>
      <c r="W404">
        <f>'raw data Crude oil'!W405</f>
        <v>64.680000000000007</v>
      </c>
      <c r="X404">
        <f>'raw data Crude oil'!X405</f>
        <v>64.38</v>
      </c>
      <c r="Y404">
        <f>'raw data Crude oil'!Y405</f>
        <v>64.099999999999994</v>
      </c>
      <c r="Z404">
        <f>'raw data Crude oil'!Z405</f>
        <v>0</v>
      </c>
      <c r="AA404">
        <f>'raw data Crude oil'!AA405</f>
        <v>0</v>
      </c>
      <c r="AB404">
        <f>'raw data Crude oil'!AB405</f>
        <v>0</v>
      </c>
      <c r="AC404">
        <f>'raw data Crude oil'!AC405</f>
        <v>0</v>
      </c>
      <c r="AD404">
        <f>'raw data Crude oil'!AD405</f>
        <v>0</v>
      </c>
      <c r="AE404">
        <f>'raw data Crude oil'!AE405</f>
        <v>0</v>
      </c>
      <c r="AF404">
        <f>'raw data Crude oil'!AF405</f>
        <v>0</v>
      </c>
      <c r="AG404">
        <f>'raw data Crude oil'!AG405</f>
        <v>0</v>
      </c>
      <c r="AH404">
        <f>'raw data Crude oil'!AH405</f>
        <v>0</v>
      </c>
      <c r="AI404">
        <f>'raw data Crude oil'!AI405</f>
        <v>0</v>
      </c>
      <c r="AJ404">
        <f>'raw data Crude oil'!AJ405</f>
        <v>0</v>
      </c>
      <c r="AK404">
        <f>'raw data Crude oil'!AK405</f>
        <v>0</v>
      </c>
    </row>
    <row r="405" spans="1:37" x14ac:dyDescent="0.3">
      <c r="A405" s="18">
        <f>'raw data Crude oil'!A406</f>
        <v>43306</v>
      </c>
      <c r="B405">
        <f>'raw data Crude oil'!B406</f>
        <v>73.930000000000007</v>
      </c>
      <c r="C405">
        <f>'raw data Crude oil'!C406</f>
        <v>74.41</v>
      </c>
      <c r="D405">
        <f>'raw data Crude oil'!D406</f>
        <v>74.7</v>
      </c>
      <c r="E405">
        <f>'raw data Crude oil'!E406</f>
        <v>74.86</v>
      </c>
      <c r="F405">
        <f>'raw data Crude oil'!F406</f>
        <v>74.930000000000007</v>
      </c>
      <c r="G405">
        <f>'raw data Crude oil'!G406</f>
        <v>74.88</v>
      </c>
      <c r="H405">
        <f>'raw data Crude oil'!H406</f>
        <v>74.739999999999995</v>
      </c>
      <c r="I405">
        <f>'raw data Crude oil'!I406</f>
        <v>74.56</v>
      </c>
      <c r="J405">
        <f>'raw data Crude oil'!J406</f>
        <v>74.33</v>
      </c>
      <c r="K405">
        <f>'raw data Crude oil'!K406</f>
        <v>74.069999999999993</v>
      </c>
      <c r="L405">
        <f>'raw data Crude oil'!L406</f>
        <v>73.84</v>
      </c>
      <c r="M405">
        <f>'raw data Crude oil'!M406</f>
        <v>73.59</v>
      </c>
      <c r="N405">
        <f>'raw data Crude oil'!N406</f>
        <v>69.3</v>
      </c>
      <c r="O405">
        <f>'raw data Crude oil'!O406</f>
        <v>68.010000000000005</v>
      </c>
      <c r="P405">
        <f>'raw data Crude oil'!P406</f>
        <v>67.59</v>
      </c>
      <c r="Q405">
        <f>'raw data Crude oil'!Q406</f>
        <v>67.260000000000005</v>
      </c>
      <c r="R405">
        <f>'raw data Crude oil'!R406</f>
        <v>67</v>
      </c>
      <c r="S405">
        <f>'raw data Crude oil'!S406</f>
        <v>66.61</v>
      </c>
      <c r="T405">
        <f>'raw data Crude oil'!T406</f>
        <v>66.25</v>
      </c>
      <c r="U405">
        <f>'raw data Crude oil'!U406</f>
        <v>65.930000000000007</v>
      </c>
      <c r="V405">
        <f>'raw data Crude oil'!V406</f>
        <v>65.64</v>
      </c>
      <c r="W405">
        <f>'raw data Crude oil'!W406</f>
        <v>65.36</v>
      </c>
      <c r="X405">
        <f>'raw data Crude oil'!X406</f>
        <v>65.05</v>
      </c>
      <c r="Y405">
        <f>'raw data Crude oil'!Y406</f>
        <v>64.75</v>
      </c>
      <c r="Z405">
        <f>'raw data Crude oil'!Z406</f>
        <v>0</v>
      </c>
      <c r="AA405">
        <f>'raw data Crude oil'!AA406</f>
        <v>0</v>
      </c>
      <c r="AB405">
        <f>'raw data Crude oil'!AB406</f>
        <v>0</v>
      </c>
      <c r="AC405">
        <f>'raw data Crude oil'!AC406</f>
        <v>0</v>
      </c>
      <c r="AD405">
        <f>'raw data Crude oil'!AD406</f>
        <v>0</v>
      </c>
      <c r="AE405">
        <f>'raw data Crude oil'!AE406</f>
        <v>0</v>
      </c>
      <c r="AF405">
        <f>'raw data Crude oil'!AF406</f>
        <v>0</v>
      </c>
      <c r="AG405">
        <f>'raw data Crude oil'!AG406</f>
        <v>0</v>
      </c>
      <c r="AH405">
        <f>'raw data Crude oil'!AH406</f>
        <v>0</v>
      </c>
      <c r="AI405">
        <f>'raw data Crude oil'!AI406</f>
        <v>0</v>
      </c>
      <c r="AJ405">
        <f>'raw data Crude oil'!AJ406</f>
        <v>0</v>
      </c>
      <c r="AK405">
        <f>'raw data Crude oil'!AK406</f>
        <v>0</v>
      </c>
    </row>
    <row r="406" spans="1:37" x14ac:dyDescent="0.3">
      <c r="A406" s="18">
        <f>'raw data Crude oil'!A407</f>
        <v>43307</v>
      </c>
      <c r="B406">
        <f>'raw data Crude oil'!B407</f>
        <v>74.540000000000006</v>
      </c>
      <c r="C406">
        <f>'raw data Crude oil'!C407</f>
        <v>75.12</v>
      </c>
      <c r="D406">
        <f>'raw data Crude oil'!D407</f>
        <v>75.38</v>
      </c>
      <c r="E406">
        <f>'raw data Crude oil'!E407</f>
        <v>75.510000000000005</v>
      </c>
      <c r="F406">
        <f>'raw data Crude oil'!F407</f>
        <v>75.540000000000006</v>
      </c>
      <c r="G406">
        <f>'raw data Crude oil'!G407</f>
        <v>75.47</v>
      </c>
      <c r="H406">
        <f>'raw data Crude oil'!H407</f>
        <v>75.319999999999993</v>
      </c>
      <c r="I406">
        <f>'raw data Crude oil'!I407</f>
        <v>75.13</v>
      </c>
      <c r="J406">
        <f>'raw data Crude oil'!J407</f>
        <v>74.89</v>
      </c>
      <c r="K406">
        <f>'raw data Crude oil'!K407</f>
        <v>74.62</v>
      </c>
      <c r="L406">
        <f>'raw data Crude oil'!L407</f>
        <v>74.38</v>
      </c>
      <c r="M406">
        <f>'raw data Crude oil'!M407</f>
        <v>74.13</v>
      </c>
      <c r="N406">
        <f>'raw data Crude oil'!N407</f>
        <v>69.61</v>
      </c>
      <c r="O406">
        <f>'raw data Crude oil'!O407</f>
        <v>68.430000000000007</v>
      </c>
      <c r="P406">
        <f>'raw data Crude oil'!P407</f>
        <v>68</v>
      </c>
      <c r="Q406">
        <f>'raw data Crude oil'!Q407</f>
        <v>67.67</v>
      </c>
      <c r="R406">
        <f>'raw data Crude oil'!R407</f>
        <v>67.41</v>
      </c>
      <c r="S406">
        <f>'raw data Crude oil'!S407</f>
        <v>67.02</v>
      </c>
      <c r="T406">
        <f>'raw data Crude oil'!T407</f>
        <v>66.67</v>
      </c>
      <c r="U406">
        <f>'raw data Crude oil'!U407</f>
        <v>66.36</v>
      </c>
      <c r="V406">
        <f>'raw data Crude oil'!V407</f>
        <v>66.08</v>
      </c>
      <c r="W406">
        <f>'raw data Crude oil'!W407</f>
        <v>65.790000000000006</v>
      </c>
      <c r="X406">
        <f>'raw data Crude oil'!X407</f>
        <v>65.489999999999995</v>
      </c>
      <c r="Y406">
        <f>'raw data Crude oil'!Y407</f>
        <v>65.19</v>
      </c>
      <c r="Z406">
        <f>'raw data Crude oil'!Z407</f>
        <v>0</v>
      </c>
      <c r="AA406">
        <f>'raw data Crude oil'!AA407</f>
        <v>0</v>
      </c>
      <c r="AB406">
        <f>'raw data Crude oil'!AB407</f>
        <v>0</v>
      </c>
      <c r="AC406">
        <f>'raw data Crude oil'!AC407</f>
        <v>0</v>
      </c>
      <c r="AD406">
        <f>'raw data Crude oil'!AD407</f>
        <v>0</v>
      </c>
      <c r="AE406">
        <f>'raw data Crude oil'!AE407</f>
        <v>0</v>
      </c>
      <c r="AF406">
        <f>'raw data Crude oil'!AF407</f>
        <v>0</v>
      </c>
      <c r="AG406">
        <f>'raw data Crude oil'!AG407</f>
        <v>0</v>
      </c>
      <c r="AH406">
        <f>'raw data Crude oil'!AH407</f>
        <v>0</v>
      </c>
      <c r="AI406">
        <f>'raw data Crude oil'!AI407</f>
        <v>0</v>
      </c>
      <c r="AJ406">
        <f>'raw data Crude oil'!AJ407</f>
        <v>0</v>
      </c>
      <c r="AK406">
        <f>'raw data Crude oil'!AK407</f>
        <v>0</v>
      </c>
    </row>
    <row r="407" spans="1:37" x14ac:dyDescent="0.3">
      <c r="A407" s="18">
        <f>'raw data Crude oil'!A408</f>
        <v>43308</v>
      </c>
      <c r="B407">
        <f>'raw data Crude oil'!B408</f>
        <v>74.290000000000006</v>
      </c>
      <c r="C407">
        <f>'raw data Crude oil'!C408</f>
        <v>74.760000000000005</v>
      </c>
      <c r="D407">
        <f>'raw data Crude oil'!D408</f>
        <v>74.98</v>
      </c>
      <c r="E407">
        <f>'raw data Crude oil'!E408</f>
        <v>75.05</v>
      </c>
      <c r="F407">
        <f>'raw data Crude oil'!F408</f>
        <v>75.03</v>
      </c>
      <c r="G407">
        <f>'raw data Crude oil'!G408</f>
        <v>74.92</v>
      </c>
      <c r="H407">
        <f>'raw data Crude oil'!H408</f>
        <v>74.739999999999995</v>
      </c>
      <c r="I407">
        <f>'raw data Crude oil'!I408</f>
        <v>74.53</v>
      </c>
      <c r="J407">
        <f>'raw data Crude oil'!J408</f>
        <v>74.290000000000006</v>
      </c>
      <c r="K407">
        <f>'raw data Crude oil'!K408</f>
        <v>74.02</v>
      </c>
      <c r="L407">
        <f>'raw data Crude oil'!L408</f>
        <v>73.78</v>
      </c>
      <c r="M407">
        <f>'raw data Crude oil'!M408</f>
        <v>73.53</v>
      </c>
      <c r="N407">
        <f>'raw data Crude oil'!N408</f>
        <v>68.69</v>
      </c>
      <c r="O407">
        <f>'raw data Crude oil'!O408</f>
        <v>67.73</v>
      </c>
      <c r="P407">
        <f>'raw data Crude oil'!P408</f>
        <v>67.36</v>
      </c>
      <c r="Q407">
        <f>'raw data Crude oil'!Q408</f>
        <v>67.040000000000006</v>
      </c>
      <c r="R407">
        <f>'raw data Crude oil'!R408</f>
        <v>66.78</v>
      </c>
      <c r="S407">
        <f>'raw data Crude oil'!S408</f>
        <v>66.37</v>
      </c>
      <c r="T407">
        <f>'raw data Crude oil'!T408</f>
        <v>66.02</v>
      </c>
      <c r="U407">
        <f>'raw data Crude oil'!U408</f>
        <v>65.72</v>
      </c>
      <c r="V407">
        <f>'raw data Crude oil'!V408</f>
        <v>65.45</v>
      </c>
      <c r="W407">
        <f>'raw data Crude oil'!W408</f>
        <v>65.19</v>
      </c>
      <c r="X407">
        <f>'raw data Crude oil'!X408</f>
        <v>64.88</v>
      </c>
      <c r="Y407">
        <f>'raw data Crude oil'!Y408</f>
        <v>64.59</v>
      </c>
      <c r="Z407">
        <f>'raw data Crude oil'!Z408</f>
        <v>0</v>
      </c>
      <c r="AA407">
        <f>'raw data Crude oil'!AA408</f>
        <v>0</v>
      </c>
      <c r="AB407">
        <f>'raw data Crude oil'!AB408</f>
        <v>0</v>
      </c>
      <c r="AC407">
        <f>'raw data Crude oil'!AC408</f>
        <v>0</v>
      </c>
      <c r="AD407">
        <f>'raw data Crude oil'!AD408</f>
        <v>0</v>
      </c>
      <c r="AE407">
        <f>'raw data Crude oil'!AE408</f>
        <v>0</v>
      </c>
      <c r="AF407">
        <f>'raw data Crude oil'!AF408</f>
        <v>0</v>
      </c>
      <c r="AG407">
        <f>'raw data Crude oil'!AG408</f>
        <v>0</v>
      </c>
      <c r="AH407">
        <f>'raw data Crude oil'!AH408</f>
        <v>0</v>
      </c>
      <c r="AI407">
        <f>'raw data Crude oil'!AI408</f>
        <v>0</v>
      </c>
      <c r="AJ407">
        <f>'raw data Crude oil'!AJ408</f>
        <v>0</v>
      </c>
      <c r="AK407">
        <f>'raw data Crude oil'!AK408</f>
        <v>0</v>
      </c>
    </row>
    <row r="408" spans="1:37" x14ac:dyDescent="0.3">
      <c r="A408" s="18">
        <f>'raw data Crude oil'!A409</f>
        <v>43311</v>
      </c>
      <c r="B408">
        <f>'raw data Crude oil'!B409</f>
        <v>74.97</v>
      </c>
      <c r="C408">
        <f>'raw data Crude oil'!C409</f>
        <v>75.55</v>
      </c>
      <c r="D408">
        <f>'raw data Crude oil'!D409</f>
        <v>75.75</v>
      </c>
      <c r="E408">
        <f>'raw data Crude oil'!E409</f>
        <v>75.81</v>
      </c>
      <c r="F408">
        <f>'raw data Crude oil'!F409</f>
        <v>75.760000000000005</v>
      </c>
      <c r="G408">
        <f>'raw data Crude oil'!G409</f>
        <v>75.62</v>
      </c>
      <c r="H408">
        <f>'raw data Crude oil'!H409</f>
        <v>75.430000000000007</v>
      </c>
      <c r="I408">
        <f>'raw data Crude oil'!I409</f>
        <v>75.209999999999994</v>
      </c>
      <c r="J408">
        <f>'raw data Crude oil'!J409</f>
        <v>74.95</v>
      </c>
      <c r="K408">
        <f>'raw data Crude oil'!K409</f>
        <v>74.67</v>
      </c>
      <c r="L408">
        <f>'raw data Crude oil'!L409</f>
        <v>74.41</v>
      </c>
      <c r="M408">
        <f>'raw data Crude oil'!M409</f>
        <v>74.14</v>
      </c>
      <c r="N408">
        <f>'raw data Crude oil'!N409</f>
        <v>70.13</v>
      </c>
      <c r="O408">
        <f>'raw data Crude oil'!O409</f>
        <v>68.95</v>
      </c>
      <c r="P408">
        <f>'raw data Crude oil'!P409</f>
        <v>68.510000000000005</v>
      </c>
      <c r="Q408">
        <f>'raw data Crude oil'!Q409</f>
        <v>68.14</v>
      </c>
      <c r="R408">
        <f>'raw data Crude oil'!R409</f>
        <v>67.819999999999993</v>
      </c>
      <c r="S408">
        <f>'raw data Crude oil'!S409</f>
        <v>67.38</v>
      </c>
      <c r="T408">
        <f>'raw data Crude oil'!T409</f>
        <v>66.989999999999995</v>
      </c>
      <c r="U408">
        <f>'raw data Crude oil'!U409</f>
        <v>66.650000000000006</v>
      </c>
      <c r="V408">
        <f>'raw data Crude oil'!V409</f>
        <v>66.349999999999994</v>
      </c>
      <c r="W408">
        <f>'raw data Crude oil'!W409</f>
        <v>66.02</v>
      </c>
      <c r="X408">
        <f>'raw data Crude oil'!X409</f>
        <v>65.69</v>
      </c>
      <c r="Y408">
        <f>'raw data Crude oil'!Y409</f>
        <v>65.349999999999994</v>
      </c>
      <c r="Z408">
        <f>'raw data Crude oil'!Z409</f>
        <v>0</v>
      </c>
      <c r="AA408">
        <f>'raw data Crude oil'!AA409</f>
        <v>0</v>
      </c>
      <c r="AB408">
        <f>'raw data Crude oil'!AB409</f>
        <v>0</v>
      </c>
      <c r="AC408">
        <f>'raw data Crude oil'!AC409</f>
        <v>0</v>
      </c>
      <c r="AD408">
        <f>'raw data Crude oil'!AD409</f>
        <v>0</v>
      </c>
      <c r="AE408">
        <f>'raw data Crude oil'!AE409</f>
        <v>0</v>
      </c>
      <c r="AF408">
        <f>'raw data Crude oil'!AF409</f>
        <v>0</v>
      </c>
      <c r="AG408">
        <f>'raw data Crude oil'!AG409</f>
        <v>0</v>
      </c>
      <c r="AH408">
        <f>'raw data Crude oil'!AH409</f>
        <v>0</v>
      </c>
      <c r="AI408">
        <f>'raw data Crude oil'!AI409</f>
        <v>0</v>
      </c>
      <c r="AJ408">
        <f>'raw data Crude oil'!AJ409</f>
        <v>0</v>
      </c>
      <c r="AK408">
        <f>'raw data Crude oil'!AK409</f>
        <v>0</v>
      </c>
    </row>
    <row r="409" spans="1:37" x14ac:dyDescent="0.3">
      <c r="A409" s="18">
        <f>'raw data Crude oil'!A410</f>
        <v>43312</v>
      </c>
      <c r="B409">
        <f>'raw data Crude oil'!B410</f>
        <v>74.25</v>
      </c>
      <c r="C409">
        <f>'raw data Crude oil'!C410</f>
        <v>74.209999999999994</v>
      </c>
      <c r="D409">
        <f>'raw data Crude oil'!D410</f>
        <v>74.39</v>
      </c>
      <c r="E409">
        <f>'raw data Crude oil'!E410</f>
        <v>74.430000000000007</v>
      </c>
      <c r="F409">
        <f>'raw data Crude oil'!F410</f>
        <v>74.38</v>
      </c>
      <c r="G409">
        <f>'raw data Crude oil'!G410</f>
        <v>74.260000000000005</v>
      </c>
      <c r="H409">
        <f>'raw data Crude oil'!H410</f>
        <v>74.09</v>
      </c>
      <c r="I409">
        <f>'raw data Crude oil'!I410</f>
        <v>73.91</v>
      </c>
      <c r="J409">
        <f>'raw data Crude oil'!J410</f>
        <v>73.69</v>
      </c>
      <c r="K409">
        <f>'raw data Crude oil'!K410</f>
        <v>73.430000000000007</v>
      </c>
      <c r="L409">
        <f>'raw data Crude oil'!L410</f>
        <v>73.19</v>
      </c>
      <c r="M409">
        <f>'raw data Crude oil'!M410</f>
        <v>72.930000000000007</v>
      </c>
      <c r="N409">
        <f>'raw data Crude oil'!N410</f>
        <v>68.760000000000005</v>
      </c>
      <c r="O409">
        <f>'raw data Crude oil'!O410</f>
        <v>67.63</v>
      </c>
      <c r="P409">
        <f>'raw data Crude oil'!P410</f>
        <v>67.27</v>
      </c>
      <c r="Q409">
        <f>'raw data Crude oil'!Q410</f>
        <v>66.97</v>
      </c>
      <c r="R409">
        <f>'raw data Crude oil'!R410</f>
        <v>66.709999999999994</v>
      </c>
      <c r="S409">
        <f>'raw data Crude oil'!S410</f>
        <v>66.31</v>
      </c>
      <c r="T409">
        <f>'raw data Crude oil'!T410</f>
        <v>65.95</v>
      </c>
      <c r="U409">
        <f>'raw data Crude oil'!U410</f>
        <v>65.64</v>
      </c>
      <c r="V409">
        <f>'raw data Crude oil'!V410</f>
        <v>65.36</v>
      </c>
      <c r="W409">
        <f>'raw data Crude oil'!W410</f>
        <v>65.069999999999993</v>
      </c>
      <c r="X409">
        <f>'raw data Crude oil'!X410</f>
        <v>64.75</v>
      </c>
      <c r="Y409">
        <f>'raw data Crude oil'!Y410</f>
        <v>64.44</v>
      </c>
      <c r="Z409">
        <f>'raw data Crude oil'!Z410</f>
        <v>0</v>
      </c>
      <c r="AA409">
        <f>'raw data Crude oil'!AA410</f>
        <v>0</v>
      </c>
      <c r="AB409">
        <f>'raw data Crude oil'!AB410</f>
        <v>0</v>
      </c>
      <c r="AC409">
        <f>'raw data Crude oil'!AC410</f>
        <v>0</v>
      </c>
      <c r="AD409">
        <f>'raw data Crude oil'!AD410</f>
        <v>0</v>
      </c>
      <c r="AE409">
        <f>'raw data Crude oil'!AE410</f>
        <v>0</v>
      </c>
      <c r="AF409">
        <f>'raw data Crude oil'!AF410</f>
        <v>0</v>
      </c>
      <c r="AG409">
        <f>'raw data Crude oil'!AG410</f>
        <v>0</v>
      </c>
      <c r="AH409">
        <f>'raw data Crude oil'!AH410</f>
        <v>0</v>
      </c>
      <c r="AI409">
        <f>'raw data Crude oil'!AI410</f>
        <v>0</v>
      </c>
      <c r="AJ409">
        <f>'raw data Crude oil'!AJ410</f>
        <v>0</v>
      </c>
      <c r="AK409">
        <f>'raw data Crude oil'!AK410</f>
        <v>0</v>
      </c>
    </row>
    <row r="410" spans="1:37" x14ac:dyDescent="0.3">
      <c r="A410" s="18">
        <f>'raw data Crude oil'!A411</f>
        <v>43313</v>
      </c>
      <c r="B410">
        <f>'raw data Crude oil'!B411</f>
        <v>72.39</v>
      </c>
      <c r="C410">
        <f>'raw data Crude oil'!C411</f>
        <v>72.67</v>
      </c>
      <c r="D410">
        <f>'raw data Crude oil'!D411</f>
        <v>72.760000000000005</v>
      </c>
      <c r="E410">
        <f>'raw data Crude oil'!E411</f>
        <v>72.739999999999995</v>
      </c>
      <c r="F410">
        <f>'raw data Crude oil'!F411</f>
        <v>72.64</v>
      </c>
      <c r="G410">
        <f>'raw data Crude oil'!G411</f>
        <v>72.48</v>
      </c>
      <c r="H410">
        <f>'raw data Crude oil'!H411</f>
        <v>72.31</v>
      </c>
      <c r="I410">
        <f>'raw data Crude oil'!I411</f>
        <v>72.09</v>
      </c>
      <c r="J410">
        <f>'raw data Crude oil'!J411</f>
        <v>71.84</v>
      </c>
      <c r="K410">
        <f>'raw data Crude oil'!K411</f>
        <v>71.61</v>
      </c>
      <c r="L410">
        <f>'raw data Crude oil'!L411</f>
        <v>71.37</v>
      </c>
      <c r="M410">
        <f>'raw data Crude oil'!M411</f>
        <v>71.12</v>
      </c>
      <c r="N410">
        <f>'raw data Crude oil'!N411</f>
        <v>67.66</v>
      </c>
      <c r="O410">
        <f>'raw data Crude oil'!O411</f>
        <v>66.5</v>
      </c>
      <c r="P410">
        <f>'raw data Crude oil'!P411</f>
        <v>66.11</v>
      </c>
      <c r="Q410">
        <f>'raw data Crude oil'!Q411</f>
        <v>65.78</v>
      </c>
      <c r="R410">
        <f>'raw data Crude oil'!R411</f>
        <v>65.459999999999994</v>
      </c>
      <c r="S410">
        <f>'raw data Crude oil'!S411</f>
        <v>65.040000000000006</v>
      </c>
      <c r="T410">
        <f>'raw data Crude oil'!T411</f>
        <v>64.680000000000007</v>
      </c>
      <c r="U410">
        <f>'raw data Crude oil'!U411</f>
        <v>64.349999999999994</v>
      </c>
      <c r="V410">
        <f>'raw data Crude oil'!V411</f>
        <v>64.069999999999993</v>
      </c>
      <c r="W410">
        <f>'raw data Crude oil'!W411</f>
        <v>63.81</v>
      </c>
      <c r="X410">
        <f>'raw data Crude oil'!X411</f>
        <v>63.5</v>
      </c>
      <c r="Y410">
        <f>'raw data Crude oil'!Y411</f>
        <v>63.19</v>
      </c>
      <c r="Z410">
        <f>'raw data Crude oil'!Z411</f>
        <v>0</v>
      </c>
      <c r="AA410">
        <f>'raw data Crude oil'!AA411</f>
        <v>0</v>
      </c>
      <c r="AB410">
        <f>'raw data Crude oil'!AB411</f>
        <v>0</v>
      </c>
      <c r="AC410">
        <f>'raw data Crude oil'!AC411</f>
        <v>0</v>
      </c>
      <c r="AD410">
        <f>'raw data Crude oil'!AD411</f>
        <v>0</v>
      </c>
      <c r="AE410">
        <f>'raw data Crude oil'!AE411</f>
        <v>0</v>
      </c>
      <c r="AF410">
        <f>'raw data Crude oil'!AF411</f>
        <v>0</v>
      </c>
      <c r="AG410">
        <f>'raw data Crude oil'!AG411</f>
        <v>0</v>
      </c>
      <c r="AH410">
        <f>'raw data Crude oil'!AH411</f>
        <v>0</v>
      </c>
      <c r="AI410">
        <f>'raw data Crude oil'!AI411</f>
        <v>0</v>
      </c>
      <c r="AJ410">
        <f>'raw data Crude oil'!AJ411</f>
        <v>0</v>
      </c>
      <c r="AK410">
        <f>'raw data Crude oil'!AK411</f>
        <v>0</v>
      </c>
    </row>
    <row r="411" spans="1:37" x14ac:dyDescent="0.3">
      <c r="A411" s="18">
        <f>'raw data Crude oil'!A412</f>
        <v>43314</v>
      </c>
      <c r="B411">
        <f>'raw data Crude oil'!B412</f>
        <v>73.45</v>
      </c>
      <c r="C411">
        <f>'raw data Crude oil'!C412</f>
        <v>73.680000000000007</v>
      </c>
      <c r="D411">
        <f>'raw data Crude oil'!D412</f>
        <v>73.739999999999995</v>
      </c>
      <c r="E411">
        <f>'raw data Crude oil'!E412</f>
        <v>73.69</v>
      </c>
      <c r="F411">
        <f>'raw data Crude oil'!F412</f>
        <v>73.569999999999993</v>
      </c>
      <c r="G411">
        <f>'raw data Crude oil'!G412</f>
        <v>73.39</v>
      </c>
      <c r="H411">
        <f>'raw data Crude oil'!H412</f>
        <v>73.2</v>
      </c>
      <c r="I411">
        <f>'raw data Crude oil'!I412</f>
        <v>72.97</v>
      </c>
      <c r="J411">
        <f>'raw data Crude oil'!J412</f>
        <v>72.72</v>
      </c>
      <c r="K411">
        <f>'raw data Crude oil'!K412</f>
        <v>72.48</v>
      </c>
      <c r="L411">
        <f>'raw data Crude oil'!L412</f>
        <v>72.239999999999995</v>
      </c>
      <c r="M411">
        <f>'raw data Crude oil'!M412</f>
        <v>72</v>
      </c>
      <c r="N411">
        <f>'raw data Crude oil'!N412</f>
        <v>68.959999999999994</v>
      </c>
      <c r="O411">
        <f>'raw data Crude oil'!O412</f>
        <v>67.66</v>
      </c>
      <c r="P411">
        <f>'raw data Crude oil'!P412</f>
        <v>67.180000000000007</v>
      </c>
      <c r="Q411">
        <f>'raw data Crude oil'!Q412</f>
        <v>66.790000000000006</v>
      </c>
      <c r="R411">
        <f>'raw data Crude oil'!R412</f>
        <v>66.45</v>
      </c>
      <c r="S411">
        <f>'raw data Crude oil'!S412</f>
        <v>66.010000000000005</v>
      </c>
      <c r="T411">
        <f>'raw data Crude oil'!T412</f>
        <v>65.62</v>
      </c>
      <c r="U411">
        <f>'raw data Crude oil'!U412</f>
        <v>65.27</v>
      </c>
      <c r="V411">
        <f>'raw data Crude oil'!V412</f>
        <v>64.959999999999994</v>
      </c>
      <c r="W411">
        <f>'raw data Crude oil'!W412</f>
        <v>64.64</v>
      </c>
      <c r="X411">
        <f>'raw data Crude oil'!X412</f>
        <v>64.290000000000006</v>
      </c>
      <c r="Y411">
        <f>'raw data Crude oil'!Y412</f>
        <v>63.96</v>
      </c>
      <c r="Z411">
        <f>'raw data Crude oil'!Z412</f>
        <v>0</v>
      </c>
      <c r="AA411">
        <f>'raw data Crude oil'!AA412</f>
        <v>0</v>
      </c>
      <c r="AB411">
        <f>'raw data Crude oil'!AB412</f>
        <v>0</v>
      </c>
      <c r="AC411">
        <f>'raw data Crude oil'!AC412</f>
        <v>0</v>
      </c>
      <c r="AD411">
        <f>'raw data Crude oil'!AD412</f>
        <v>0</v>
      </c>
      <c r="AE411">
        <f>'raw data Crude oil'!AE412</f>
        <v>0</v>
      </c>
      <c r="AF411">
        <f>'raw data Crude oil'!AF412</f>
        <v>0</v>
      </c>
      <c r="AG411">
        <f>'raw data Crude oil'!AG412</f>
        <v>0</v>
      </c>
      <c r="AH411">
        <f>'raw data Crude oil'!AH412</f>
        <v>0</v>
      </c>
      <c r="AI411">
        <f>'raw data Crude oil'!AI412</f>
        <v>0</v>
      </c>
      <c r="AJ411">
        <f>'raw data Crude oil'!AJ412</f>
        <v>0</v>
      </c>
      <c r="AK411">
        <f>'raw data Crude oil'!AK412</f>
        <v>0</v>
      </c>
    </row>
    <row r="412" spans="1:37" x14ac:dyDescent="0.3">
      <c r="A412" s="18">
        <f>'raw data Crude oil'!A413</f>
        <v>43315</v>
      </c>
      <c r="B412">
        <f>'raw data Crude oil'!B413</f>
        <v>73.209999999999994</v>
      </c>
      <c r="C412">
        <f>'raw data Crude oil'!C413</f>
        <v>73.53</v>
      </c>
      <c r="D412">
        <f>'raw data Crude oil'!D413</f>
        <v>73.63</v>
      </c>
      <c r="E412">
        <f>'raw data Crude oil'!E413</f>
        <v>73.62</v>
      </c>
      <c r="F412">
        <f>'raw data Crude oil'!F413</f>
        <v>73.52</v>
      </c>
      <c r="G412">
        <f>'raw data Crude oil'!G413</f>
        <v>73.349999999999994</v>
      </c>
      <c r="H412">
        <f>'raw data Crude oil'!H413</f>
        <v>73.17</v>
      </c>
      <c r="I412">
        <f>'raw data Crude oil'!I413</f>
        <v>72.959999999999994</v>
      </c>
      <c r="J412">
        <f>'raw data Crude oil'!J413</f>
        <v>72.72</v>
      </c>
      <c r="K412">
        <f>'raw data Crude oil'!K413</f>
        <v>72.48</v>
      </c>
      <c r="L412">
        <f>'raw data Crude oil'!L413</f>
        <v>72.25</v>
      </c>
      <c r="M412">
        <f>'raw data Crude oil'!M413</f>
        <v>72</v>
      </c>
      <c r="N412">
        <f>'raw data Crude oil'!N413</f>
        <v>68.489999999999995</v>
      </c>
      <c r="O412">
        <f>'raw data Crude oil'!O413</f>
        <v>67.349999999999994</v>
      </c>
      <c r="P412">
        <f>'raw data Crude oil'!P413</f>
        <v>66.930000000000007</v>
      </c>
      <c r="Q412">
        <f>'raw data Crude oil'!Q413</f>
        <v>66.59</v>
      </c>
      <c r="R412">
        <f>'raw data Crude oil'!R413</f>
        <v>66.290000000000006</v>
      </c>
      <c r="S412">
        <f>'raw data Crude oil'!S413</f>
        <v>65.87</v>
      </c>
      <c r="T412">
        <f>'raw data Crude oil'!T413</f>
        <v>65.5</v>
      </c>
      <c r="U412">
        <f>'raw data Crude oil'!U413</f>
        <v>65.16</v>
      </c>
      <c r="V412">
        <f>'raw data Crude oil'!V413</f>
        <v>64.86</v>
      </c>
      <c r="W412">
        <f>'raw data Crude oil'!W413</f>
        <v>64.540000000000006</v>
      </c>
      <c r="X412">
        <f>'raw data Crude oil'!X413</f>
        <v>64.209999999999994</v>
      </c>
      <c r="Y412">
        <f>'raw data Crude oil'!Y413</f>
        <v>63.88</v>
      </c>
      <c r="Z412">
        <f>'raw data Crude oil'!Z413</f>
        <v>0</v>
      </c>
      <c r="AA412">
        <f>'raw data Crude oil'!AA413</f>
        <v>0</v>
      </c>
      <c r="AB412">
        <f>'raw data Crude oil'!AB413</f>
        <v>0</v>
      </c>
      <c r="AC412">
        <f>'raw data Crude oil'!AC413</f>
        <v>0</v>
      </c>
      <c r="AD412">
        <f>'raw data Crude oil'!AD413</f>
        <v>0</v>
      </c>
      <c r="AE412">
        <f>'raw data Crude oil'!AE413</f>
        <v>0</v>
      </c>
      <c r="AF412">
        <f>'raw data Crude oil'!AF413</f>
        <v>0</v>
      </c>
      <c r="AG412">
        <f>'raw data Crude oil'!AG413</f>
        <v>0</v>
      </c>
      <c r="AH412">
        <f>'raw data Crude oil'!AH413</f>
        <v>0</v>
      </c>
      <c r="AI412">
        <f>'raw data Crude oil'!AI413</f>
        <v>0</v>
      </c>
      <c r="AJ412">
        <f>'raw data Crude oil'!AJ413</f>
        <v>0</v>
      </c>
      <c r="AK412">
        <f>'raw data Crude oil'!AK413</f>
        <v>0</v>
      </c>
    </row>
    <row r="413" spans="1:37" x14ac:dyDescent="0.3">
      <c r="A413" s="18">
        <f>'raw data Crude oil'!A414</f>
        <v>43318</v>
      </c>
      <c r="B413">
        <f>'raw data Crude oil'!B414</f>
        <v>73.75</v>
      </c>
      <c r="C413">
        <f>'raw data Crude oil'!C414</f>
        <v>74.069999999999993</v>
      </c>
      <c r="D413">
        <f>'raw data Crude oil'!D414</f>
        <v>74.2</v>
      </c>
      <c r="E413">
        <f>'raw data Crude oil'!E414</f>
        <v>74.209999999999994</v>
      </c>
      <c r="F413">
        <f>'raw data Crude oil'!F414</f>
        <v>74.12</v>
      </c>
      <c r="G413">
        <f>'raw data Crude oil'!G414</f>
        <v>73.930000000000007</v>
      </c>
      <c r="H413">
        <f>'raw data Crude oil'!H414</f>
        <v>73.73</v>
      </c>
      <c r="I413">
        <f>'raw data Crude oil'!I414</f>
        <v>73.510000000000005</v>
      </c>
      <c r="J413">
        <f>'raw data Crude oil'!J414</f>
        <v>73.260000000000005</v>
      </c>
      <c r="K413">
        <f>'raw data Crude oil'!K414</f>
        <v>73.03</v>
      </c>
      <c r="L413">
        <f>'raw data Crude oil'!L414</f>
        <v>72.8</v>
      </c>
      <c r="M413">
        <f>'raw data Crude oil'!M414</f>
        <v>72.56</v>
      </c>
      <c r="N413">
        <f>'raw data Crude oil'!N414</f>
        <v>69.010000000000005</v>
      </c>
      <c r="O413">
        <f>'raw data Crude oil'!O414</f>
        <v>67.94</v>
      </c>
      <c r="P413">
        <f>'raw data Crude oil'!P414</f>
        <v>67.48</v>
      </c>
      <c r="Q413">
        <f>'raw data Crude oil'!Q414</f>
        <v>67.099999999999994</v>
      </c>
      <c r="R413">
        <f>'raw data Crude oil'!R414</f>
        <v>66.8</v>
      </c>
      <c r="S413">
        <f>'raw data Crude oil'!S414</f>
        <v>66.37</v>
      </c>
      <c r="T413">
        <f>'raw data Crude oil'!T414</f>
        <v>65.98</v>
      </c>
      <c r="U413">
        <f>'raw data Crude oil'!U414</f>
        <v>65.63</v>
      </c>
      <c r="V413">
        <f>'raw data Crude oil'!V414</f>
        <v>65.31</v>
      </c>
      <c r="W413">
        <f>'raw data Crude oil'!W414</f>
        <v>64.989999999999995</v>
      </c>
      <c r="X413">
        <f>'raw data Crude oil'!X414</f>
        <v>64.64</v>
      </c>
      <c r="Y413">
        <f>'raw data Crude oil'!Y414</f>
        <v>64.3</v>
      </c>
      <c r="Z413">
        <f>'raw data Crude oil'!Z414</f>
        <v>0</v>
      </c>
      <c r="AA413">
        <f>'raw data Crude oil'!AA414</f>
        <v>0</v>
      </c>
      <c r="AB413">
        <f>'raw data Crude oil'!AB414</f>
        <v>0</v>
      </c>
      <c r="AC413">
        <f>'raw data Crude oil'!AC414</f>
        <v>0</v>
      </c>
      <c r="AD413">
        <f>'raw data Crude oil'!AD414</f>
        <v>0</v>
      </c>
      <c r="AE413">
        <f>'raw data Crude oil'!AE414</f>
        <v>0</v>
      </c>
      <c r="AF413">
        <f>'raw data Crude oil'!AF414</f>
        <v>0</v>
      </c>
      <c r="AG413">
        <f>'raw data Crude oil'!AG414</f>
        <v>0</v>
      </c>
      <c r="AH413">
        <f>'raw data Crude oil'!AH414</f>
        <v>0</v>
      </c>
      <c r="AI413">
        <f>'raw data Crude oil'!AI414</f>
        <v>0</v>
      </c>
      <c r="AJ413">
        <f>'raw data Crude oil'!AJ414</f>
        <v>0</v>
      </c>
      <c r="AK413">
        <f>'raw data Crude oil'!AK414</f>
        <v>0</v>
      </c>
    </row>
    <row r="414" spans="1:37" x14ac:dyDescent="0.3">
      <c r="A414" s="18">
        <f>'raw data Crude oil'!A415</f>
        <v>43319</v>
      </c>
      <c r="B414">
        <f>'raw data Crude oil'!B415</f>
        <v>74.650000000000006</v>
      </c>
      <c r="C414">
        <f>'raw data Crude oil'!C415</f>
        <v>74.989999999999995</v>
      </c>
      <c r="D414">
        <f>'raw data Crude oil'!D415</f>
        <v>75.16</v>
      </c>
      <c r="E414">
        <f>'raw data Crude oil'!E415</f>
        <v>75.209999999999994</v>
      </c>
      <c r="F414">
        <f>'raw data Crude oil'!F415</f>
        <v>75.14</v>
      </c>
      <c r="G414">
        <f>'raw data Crude oil'!G415</f>
        <v>74.959999999999994</v>
      </c>
      <c r="H414">
        <f>'raw data Crude oil'!H415</f>
        <v>74.760000000000005</v>
      </c>
      <c r="I414">
        <f>'raw data Crude oil'!I415</f>
        <v>74.510000000000005</v>
      </c>
      <c r="J414">
        <f>'raw data Crude oil'!J415</f>
        <v>74.23</v>
      </c>
      <c r="K414">
        <f>'raw data Crude oil'!K415</f>
        <v>73.989999999999995</v>
      </c>
      <c r="L414">
        <f>'raw data Crude oil'!L415</f>
        <v>73.75</v>
      </c>
      <c r="M414">
        <f>'raw data Crude oil'!M415</f>
        <v>73.489999999999995</v>
      </c>
      <c r="N414">
        <f>'raw data Crude oil'!N415</f>
        <v>69.17</v>
      </c>
      <c r="O414">
        <f>'raw data Crude oil'!O415</f>
        <v>68.33</v>
      </c>
      <c r="P414">
        <f>'raw data Crude oil'!P415</f>
        <v>67.959999999999994</v>
      </c>
      <c r="Q414">
        <f>'raw data Crude oil'!Q415</f>
        <v>67.62</v>
      </c>
      <c r="R414">
        <f>'raw data Crude oil'!R415</f>
        <v>67.349999999999994</v>
      </c>
      <c r="S414">
        <f>'raw data Crude oil'!S415</f>
        <v>66.959999999999994</v>
      </c>
      <c r="T414">
        <f>'raw data Crude oil'!T415</f>
        <v>66.61</v>
      </c>
      <c r="U414">
        <f>'raw data Crude oil'!U415</f>
        <v>66.290000000000006</v>
      </c>
      <c r="V414">
        <f>'raw data Crude oil'!V415</f>
        <v>65.989999999999995</v>
      </c>
      <c r="W414">
        <f>'raw data Crude oil'!W415</f>
        <v>65.69</v>
      </c>
      <c r="X414">
        <f>'raw data Crude oil'!X415</f>
        <v>65.349999999999994</v>
      </c>
      <c r="Y414">
        <f>'raw data Crude oil'!Y415</f>
        <v>65.02</v>
      </c>
      <c r="Z414">
        <f>'raw data Crude oil'!Z415</f>
        <v>0</v>
      </c>
      <c r="AA414">
        <f>'raw data Crude oil'!AA415</f>
        <v>0</v>
      </c>
      <c r="AB414">
        <f>'raw data Crude oil'!AB415</f>
        <v>0</v>
      </c>
      <c r="AC414">
        <f>'raw data Crude oil'!AC415</f>
        <v>0</v>
      </c>
      <c r="AD414">
        <f>'raw data Crude oil'!AD415</f>
        <v>0</v>
      </c>
      <c r="AE414">
        <f>'raw data Crude oil'!AE415</f>
        <v>0</v>
      </c>
      <c r="AF414">
        <f>'raw data Crude oil'!AF415</f>
        <v>0</v>
      </c>
      <c r="AG414">
        <f>'raw data Crude oil'!AG415</f>
        <v>0</v>
      </c>
      <c r="AH414">
        <f>'raw data Crude oil'!AH415</f>
        <v>0</v>
      </c>
      <c r="AI414">
        <f>'raw data Crude oil'!AI415</f>
        <v>0</v>
      </c>
      <c r="AJ414">
        <f>'raw data Crude oil'!AJ415</f>
        <v>0</v>
      </c>
      <c r="AK414">
        <f>'raw data Crude oil'!AK415</f>
        <v>0</v>
      </c>
    </row>
    <row r="415" spans="1:37" x14ac:dyDescent="0.3">
      <c r="A415" s="18">
        <f>'raw data Crude oil'!A416</f>
        <v>43320</v>
      </c>
      <c r="B415">
        <f>'raw data Crude oil'!B416</f>
        <v>72.28</v>
      </c>
      <c r="C415">
        <f>'raw data Crude oil'!C416</f>
        <v>72.64</v>
      </c>
      <c r="D415">
        <f>'raw data Crude oil'!D416</f>
        <v>72.84</v>
      </c>
      <c r="E415">
        <f>'raw data Crude oil'!E416</f>
        <v>72.92</v>
      </c>
      <c r="F415">
        <f>'raw data Crude oil'!F416</f>
        <v>72.900000000000006</v>
      </c>
      <c r="G415">
        <f>'raw data Crude oil'!G416</f>
        <v>72.77</v>
      </c>
      <c r="H415">
        <f>'raw data Crude oil'!H416</f>
        <v>72.59</v>
      </c>
      <c r="I415">
        <f>'raw data Crude oil'!I416</f>
        <v>72.37</v>
      </c>
      <c r="J415">
        <f>'raw data Crude oil'!J416</f>
        <v>72.11</v>
      </c>
      <c r="K415">
        <f>'raw data Crude oil'!K416</f>
        <v>71.89</v>
      </c>
      <c r="L415">
        <f>'raw data Crude oil'!L416</f>
        <v>71.67</v>
      </c>
      <c r="M415">
        <f>'raw data Crude oil'!M416</f>
        <v>71.430000000000007</v>
      </c>
      <c r="N415">
        <f>'raw data Crude oil'!N416</f>
        <v>66.94</v>
      </c>
      <c r="O415">
        <f>'raw data Crude oil'!O416</f>
        <v>66.25</v>
      </c>
      <c r="P415">
        <f>'raw data Crude oil'!P416</f>
        <v>65.87</v>
      </c>
      <c r="Q415">
        <f>'raw data Crude oil'!Q416</f>
        <v>65.540000000000006</v>
      </c>
      <c r="R415">
        <f>'raw data Crude oil'!R416</f>
        <v>65.3</v>
      </c>
      <c r="S415">
        <f>'raw data Crude oil'!S416</f>
        <v>64.97</v>
      </c>
      <c r="T415">
        <f>'raw data Crude oil'!T416</f>
        <v>64.66</v>
      </c>
      <c r="U415">
        <f>'raw data Crude oil'!U416</f>
        <v>64.39</v>
      </c>
      <c r="V415">
        <f>'raw data Crude oil'!V416</f>
        <v>64.13</v>
      </c>
      <c r="W415">
        <f>'raw data Crude oil'!W416</f>
        <v>63.86</v>
      </c>
      <c r="X415">
        <f>'raw data Crude oil'!X416</f>
        <v>63.56</v>
      </c>
      <c r="Y415">
        <f>'raw data Crude oil'!Y416</f>
        <v>63.26</v>
      </c>
      <c r="Z415">
        <f>'raw data Crude oil'!Z416</f>
        <v>0</v>
      </c>
      <c r="AA415">
        <f>'raw data Crude oil'!AA416</f>
        <v>0</v>
      </c>
      <c r="AB415">
        <f>'raw data Crude oil'!AB416</f>
        <v>0</v>
      </c>
      <c r="AC415">
        <f>'raw data Crude oil'!AC416</f>
        <v>0</v>
      </c>
      <c r="AD415">
        <f>'raw data Crude oil'!AD416</f>
        <v>0</v>
      </c>
      <c r="AE415">
        <f>'raw data Crude oil'!AE416</f>
        <v>0</v>
      </c>
      <c r="AF415">
        <f>'raw data Crude oil'!AF416</f>
        <v>0</v>
      </c>
      <c r="AG415">
        <f>'raw data Crude oil'!AG416</f>
        <v>0</v>
      </c>
      <c r="AH415">
        <f>'raw data Crude oil'!AH416</f>
        <v>0</v>
      </c>
      <c r="AI415">
        <f>'raw data Crude oil'!AI416</f>
        <v>0</v>
      </c>
      <c r="AJ415">
        <f>'raw data Crude oil'!AJ416</f>
        <v>0</v>
      </c>
      <c r="AK415">
        <f>'raw data Crude oil'!AK416</f>
        <v>0</v>
      </c>
    </row>
    <row r="416" spans="1:37" x14ac:dyDescent="0.3">
      <c r="A416" s="18">
        <f>'raw data Crude oil'!A417</f>
        <v>43321</v>
      </c>
      <c r="B416">
        <f>'raw data Crude oil'!B417</f>
        <v>72.069999999999993</v>
      </c>
      <c r="C416">
        <f>'raw data Crude oil'!C417</f>
        <v>72.39</v>
      </c>
      <c r="D416">
        <f>'raw data Crude oil'!D417</f>
        <v>72.569999999999993</v>
      </c>
      <c r="E416">
        <f>'raw data Crude oil'!E417</f>
        <v>72.64</v>
      </c>
      <c r="F416">
        <f>'raw data Crude oil'!F417</f>
        <v>72.63</v>
      </c>
      <c r="G416">
        <f>'raw data Crude oil'!G417</f>
        <v>72.53</v>
      </c>
      <c r="H416">
        <f>'raw data Crude oil'!H417</f>
        <v>72.38</v>
      </c>
      <c r="I416">
        <f>'raw data Crude oil'!I417</f>
        <v>72.19</v>
      </c>
      <c r="J416">
        <f>'raw data Crude oil'!J417</f>
        <v>71.97</v>
      </c>
      <c r="K416">
        <f>'raw data Crude oil'!K417</f>
        <v>71.77</v>
      </c>
      <c r="L416">
        <f>'raw data Crude oil'!L417</f>
        <v>71.58</v>
      </c>
      <c r="M416">
        <f>'raw data Crude oil'!M417</f>
        <v>71.36</v>
      </c>
      <c r="N416">
        <f>'raw data Crude oil'!N417</f>
        <v>66.81</v>
      </c>
      <c r="O416">
        <f>'raw data Crude oil'!O417</f>
        <v>66.14</v>
      </c>
      <c r="P416">
        <f>'raw data Crude oil'!P417</f>
        <v>65.78</v>
      </c>
      <c r="Q416">
        <f>'raw data Crude oil'!Q417</f>
        <v>65.48</v>
      </c>
      <c r="R416">
        <f>'raw data Crude oil'!R417</f>
        <v>65.27</v>
      </c>
      <c r="S416">
        <f>'raw data Crude oil'!S417</f>
        <v>64.959999999999994</v>
      </c>
      <c r="T416">
        <f>'raw data Crude oil'!T417</f>
        <v>64.680000000000007</v>
      </c>
      <c r="U416">
        <f>'raw data Crude oil'!U417</f>
        <v>64.44</v>
      </c>
      <c r="V416">
        <f>'raw data Crude oil'!V417</f>
        <v>64.209999999999994</v>
      </c>
      <c r="W416">
        <f>'raw data Crude oil'!W417</f>
        <v>63.97</v>
      </c>
      <c r="X416">
        <f>'raw data Crude oil'!X417</f>
        <v>63.69</v>
      </c>
      <c r="Y416">
        <f>'raw data Crude oil'!Y417</f>
        <v>63.41</v>
      </c>
      <c r="Z416">
        <f>'raw data Crude oil'!Z417</f>
        <v>0</v>
      </c>
      <c r="AA416">
        <f>'raw data Crude oil'!AA417</f>
        <v>0</v>
      </c>
      <c r="AB416">
        <f>'raw data Crude oil'!AB417</f>
        <v>0</v>
      </c>
      <c r="AC416">
        <f>'raw data Crude oil'!AC417</f>
        <v>0</v>
      </c>
      <c r="AD416">
        <f>'raw data Crude oil'!AD417</f>
        <v>0</v>
      </c>
      <c r="AE416">
        <f>'raw data Crude oil'!AE417</f>
        <v>0</v>
      </c>
      <c r="AF416">
        <f>'raw data Crude oil'!AF417</f>
        <v>0</v>
      </c>
      <c r="AG416">
        <f>'raw data Crude oil'!AG417</f>
        <v>0</v>
      </c>
      <c r="AH416">
        <f>'raw data Crude oil'!AH417</f>
        <v>0</v>
      </c>
      <c r="AI416">
        <f>'raw data Crude oil'!AI417</f>
        <v>0</v>
      </c>
      <c r="AJ416">
        <f>'raw data Crude oil'!AJ417</f>
        <v>0</v>
      </c>
      <c r="AK416">
        <f>'raw data Crude oil'!AK417</f>
        <v>0</v>
      </c>
    </row>
    <row r="417" spans="1:37" x14ac:dyDescent="0.3">
      <c r="A417" s="18">
        <f>'raw data Crude oil'!A418</f>
        <v>43322</v>
      </c>
      <c r="B417">
        <f>'raw data Crude oil'!B418</f>
        <v>72.81</v>
      </c>
      <c r="C417">
        <f>'raw data Crude oil'!C418</f>
        <v>73.11</v>
      </c>
      <c r="D417">
        <f>'raw data Crude oil'!D418</f>
        <v>73.260000000000005</v>
      </c>
      <c r="E417">
        <f>'raw data Crude oil'!E418</f>
        <v>73.319999999999993</v>
      </c>
      <c r="F417">
        <f>'raw data Crude oil'!F418</f>
        <v>73.3</v>
      </c>
      <c r="G417">
        <f>'raw data Crude oil'!G418</f>
        <v>73.2</v>
      </c>
      <c r="H417">
        <f>'raw data Crude oil'!H418</f>
        <v>73.040000000000006</v>
      </c>
      <c r="I417">
        <f>'raw data Crude oil'!I418</f>
        <v>72.84</v>
      </c>
      <c r="J417">
        <f>'raw data Crude oil'!J418</f>
        <v>72.61</v>
      </c>
      <c r="K417">
        <f>'raw data Crude oil'!K418</f>
        <v>72.400000000000006</v>
      </c>
      <c r="L417">
        <f>'raw data Crude oil'!L418</f>
        <v>72.180000000000007</v>
      </c>
      <c r="M417">
        <f>'raw data Crude oil'!M418</f>
        <v>71.95</v>
      </c>
      <c r="N417">
        <f>'raw data Crude oil'!N418</f>
        <v>67.63</v>
      </c>
      <c r="O417">
        <f>'raw data Crude oil'!O418</f>
        <v>66.94</v>
      </c>
      <c r="P417">
        <f>'raw data Crude oil'!P418</f>
        <v>66.540000000000006</v>
      </c>
      <c r="Q417">
        <f>'raw data Crude oil'!Q418</f>
        <v>66.209999999999994</v>
      </c>
      <c r="R417">
        <f>'raw data Crude oil'!R418</f>
        <v>65.97</v>
      </c>
      <c r="S417">
        <f>'raw data Crude oil'!S418</f>
        <v>65.64</v>
      </c>
      <c r="T417">
        <f>'raw data Crude oil'!T418</f>
        <v>65.34</v>
      </c>
      <c r="U417">
        <f>'raw data Crude oil'!U418</f>
        <v>65.069999999999993</v>
      </c>
      <c r="V417">
        <f>'raw data Crude oil'!V418</f>
        <v>64.81</v>
      </c>
      <c r="W417">
        <f>'raw data Crude oil'!W418</f>
        <v>64.55</v>
      </c>
      <c r="X417">
        <f>'raw data Crude oil'!X418</f>
        <v>64.239999999999995</v>
      </c>
      <c r="Y417">
        <f>'raw data Crude oil'!Y418</f>
        <v>63.93</v>
      </c>
      <c r="Z417">
        <f>'raw data Crude oil'!Z418</f>
        <v>0</v>
      </c>
      <c r="AA417">
        <f>'raw data Crude oil'!AA418</f>
        <v>0</v>
      </c>
      <c r="AB417">
        <f>'raw data Crude oil'!AB418</f>
        <v>0</v>
      </c>
      <c r="AC417">
        <f>'raw data Crude oil'!AC418</f>
        <v>0</v>
      </c>
      <c r="AD417">
        <f>'raw data Crude oil'!AD418</f>
        <v>0</v>
      </c>
      <c r="AE417">
        <f>'raw data Crude oil'!AE418</f>
        <v>0</v>
      </c>
      <c r="AF417">
        <f>'raw data Crude oil'!AF418</f>
        <v>0</v>
      </c>
      <c r="AG417">
        <f>'raw data Crude oil'!AG418</f>
        <v>0</v>
      </c>
      <c r="AH417">
        <f>'raw data Crude oil'!AH418</f>
        <v>0</v>
      </c>
      <c r="AI417">
        <f>'raw data Crude oil'!AI418</f>
        <v>0</v>
      </c>
      <c r="AJ417">
        <f>'raw data Crude oil'!AJ418</f>
        <v>0</v>
      </c>
      <c r="AK417">
        <f>'raw data Crude oil'!AK418</f>
        <v>0</v>
      </c>
    </row>
    <row r="418" spans="1:37" x14ac:dyDescent="0.3">
      <c r="A418" s="18">
        <f>'raw data Crude oil'!A419</f>
        <v>43325</v>
      </c>
      <c r="B418">
        <f>'raw data Crude oil'!B419</f>
        <v>72.61</v>
      </c>
      <c r="C418">
        <f>'raw data Crude oil'!C419</f>
        <v>72.92</v>
      </c>
      <c r="D418">
        <f>'raw data Crude oil'!D419</f>
        <v>73.069999999999993</v>
      </c>
      <c r="E418">
        <f>'raw data Crude oil'!E419</f>
        <v>73.12</v>
      </c>
      <c r="F418">
        <f>'raw data Crude oil'!F419</f>
        <v>73.09</v>
      </c>
      <c r="G418">
        <f>'raw data Crude oil'!G419</f>
        <v>72.989999999999995</v>
      </c>
      <c r="H418">
        <f>'raw data Crude oil'!H419</f>
        <v>72.819999999999993</v>
      </c>
      <c r="I418">
        <f>'raw data Crude oil'!I419</f>
        <v>72.62</v>
      </c>
      <c r="J418">
        <f>'raw data Crude oil'!J419</f>
        <v>72.39</v>
      </c>
      <c r="K418">
        <f>'raw data Crude oil'!K419</f>
        <v>72.17</v>
      </c>
      <c r="L418">
        <f>'raw data Crude oil'!L419</f>
        <v>71.94</v>
      </c>
      <c r="M418">
        <f>'raw data Crude oil'!M419</f>
        <v>71.7</v>
      </c>
      <c r="N418">
        <f>'raw data Crude oil'!N419</f>
        <v>67.2</v>
      </c>
      <c r="O418">
        <f>'raw data Crude oil'!O419</f>
        <v>66.569999999999993</v>
      </c>
      <c r="P418">
        <f>'raw data Crude oil'!P419</f>
        <v>66.209999999999994</v>
      </c>
      <c r="Q418">
        <f>'raw data Crude oil'!Q419</f>
        <v>65.88</v>
      </c>
      <c r="R418">
        <f>'raw data Crude oil'!R419</f>
        <v>65.64</v>
      </c>
      <c r="S418">
        <f>'raw data Crude oil'!S419</f>
        <v>65.31</v>
      </c>
      <c r="T418">
        <f>'raw data Crude oil'!T419</f>
        <v>65.010000000000005</v>
      </c>
      <c r="U418">
        <f>'raw data Crude oil'!U419</f>
        <v>64.73</v>
      </c>
      <c r="V418">
        <f>'raw data Crude oil'!V419</f>
        <v>64.459999999999994</v>
      </c>
      <c r="W418">
        <f>'raw data Crude oil'!W419</f>
        <v>64.17</v>
      </c>
      <c r="X418">
        <f>'raw data Crude oil'!X419</f>
        <v>63.84</v>
      </c>
      <c r="Y418">
        <f>'raw data Crude oil'!Y419</f>
        <v>63.53</v>
      </c>
      <c r="Z418">
        <f>'raw data Crude oil'!Z419</f>
        <v>0</v>
      </c>
      <c r="AA418">
        <f>'raw data Crude oil'!AA419</f>
        <v>0</v>
      </c>
      <c r="AB418">
        <f>'raw data Crude oil'!AB419</f>
        <v>0</v>
      </c>
      <c r="AC418">
        <f>'raw data Crude oil'!AC419</f>
        <v>0</v>
      </c>
      <c r="AD418">
        <f>'raw data Crude oil'!AD419</f>
        <v>0</v>
      </c>
      <c r="AE418">
        <f>'raw data Crude oil'!AE419</f>
        <v>0</v>
      </c>
      <c r="AF418">
        <f>'raw data Crude oil'!AF419</f>
        <v>0</v>
      </c>
      <c r="AG418">
        <f>'raw data Crude oil'!AG419</f>
        <v>0</v>
      </c>
      <c r="AH418">
        <f>'raw data Crude oil'!AH419</f>
        <v>0</v>
      </c>
      <c r="AI418">
        <f>'raw data Crude oil'!AI419</f>
        <v>0</v>
      </c>
      <c r="AJ418">
        <f>'raw data Crude oil'!AJ419</f>
        <v>0</v>
      </c>
      <c r="AK418">
        <f>'raw data Crude oil'!AK419</f>
        <v>0</v>
      </c>
    </row>
    <row r="419" spans="1:37" x14ac:dyDescent="0.3">
      <c r="A419" s="18">
        <f>'raw data Crude oil'!A420</f>
        <v>43326</v>
      </c>
      <c r="B419">
        <f>'raw data Crude oil'!B420</f>
        <v>72.459999999999994</v>
      </c>
      <c r="C419">
        <f>'raw data Crude oil'!C420</f>
        <v>72.78</v>
      </c>
      <c r="D419">
        <f>'raw data Crude oil'!D420</f>
        <v>72.930000000000007</v>
      </c>
      <c r="E419">
        <f>'raw data Crude oil'!E420</f>
        <v>72.989999999999995</v>
      </c>
      <c r="F419">
        <f>'raw data Crude oil'!F420</f>
        <v>72.97</v>
      </c>
      <c r="G419">
        <f>'raw data Crude oil'!G420</f>
        <v>72.849999999999994</v>
      </c>
      <c r="H419">
        <f>'raw data Crude oil'!H420</f>
        <v>72.680000000000007</v>
      </c>
      <c r="I419">
        <f>'raw data Crude oil'!I420</f>
        <v>72.48</v>
      </c>
      <c r="J419">
        <f>'raw data Crude oil'!J420</f>
        <v>72.260000000000005</v>
      </c>
      <c r="K419">
        <f>'raw data Crude oil'!K420</f>
        <v>72.05</v>
      </c>
      <c r="L419">
        <f>'raw data Crude oil'!L420</f>
        <v>71.83</v>
      </c>
      <c r="M419">
        <f>'raw data Crude oil'!M420</f>
        <v>71.599999999999994</v>
      </c>
      <c r="N419">
        <f>'raw data Crude oil'!N420</f>
        <v>67.040000000000006</v>
      </c>
      <c r="O419">
        <f>'raw data Crude oil'!O420</f>
        <v>66.33</v>
      </c>
      <c r="P419">
        <f>'raw data Crude oil'!P420</f>
        <v>66</v>
      </c>
      <c r="Q419">
        <f>'raw data Crude oil'!Q420</f>
        <v>65.709999999999994</v>
      </c>
      <c r="R419">
        <f>'raw data Crude oil'!R420</f>
        <v>65.459999999999994</v>
      </c>
      <c r="S419">
        <f>'raw data Crude oil'!S420</f>
        <v>65.16</v>
      </c>
      <c r="T419">
        <f>'raw data Crude oil'!T420</f>
        <v>64.89</v>
      </c>
      <c r="U419">
        <f>'raw data Crude oil'!U420</f>
        <v>64.63</v>
      </c>
      <c r="V419">
        <f>'raw data Crude oil'!V420</f>
        <v>64.39</v>
      </c>
      <c r="W419">
        <f>'raw data Crude oil'!W420</f>
        <v>64.13</v>
      </c>
      <c r="X419">
        <f>'raw data Crude oil'!X420</f>
        <v>63.83</v>
      </c>
      <c r="Y419">
        <f>'raw data Crude oil'!Y420</f>
        <v>63.53</v>
      </c>
      <c r="Z419">
        <f>'raw data Crude oil'!Z420</f>
        <v>0</v>
      </c>
      <c r="AA419">
        <f>'raw data Crude oil'!AA420</f>
        <v>0</v>
      </c>
      <c r="AB419">
        <f>'raw data Crude oil'!AB420</f>
        <v>0</v>
      </c>
      <c r="AC419">
        <f>'raw data Crude oil'!AC420</f>
        <v>0</v>
      </c>
      <c r="AD419">
        <f>'raw data Crude oil'!AD420</f>
        <v>0</v>
      </c>
      <c r="AE419">
        <f>'raw data Crude oil'!AE420</f>
        <v>0</v>
      </c>
      <c r="AF419">
        <f>'raw data Crude oil'!AF420</f>
        <v>0</v>
      </c>
      <c r="AG419">
        <f>'raw data Crude oil'!AG420</f>
        <v>0</v>
      </c>
      <c r="AH419">
        <f>'raw data Crude oil'!AH420</f>
        <v>0</v>
      </c>
      <c r="AI419">
        <f>'raw data Crude oil'!AI420</f>
        <v>0</v>
      </c>
      <c r="AJ419">
        <f>'raw data Crude oil'!AJ420</f>
        <v>0</v>
      </c>
      <c r="AK419">
        <f>'raw data Crude oil'!AK420</f>
        <v>0</v>
      </c>
    </row>
    <row r="420" spans="1:37" x14ac:dyDescent="0.3">
      <c r="A420" s="18">
        <f>'raw data Crude oil'!A421</f>
        <v>43327</v>
      </c>
      <c r="B420">
        <f>'raw data Crude oil'!B421</f>
        <v>70.760000000000005</v>
      </c>
      <c r="C420">
        <f>'raw data Crude oil'!C421</f>
        <v>71.099999999999994</v>
      </c>
      <c r="D420">
        <f>'raw data Crude oil'!D421</f>
        <v>71.260000000000005</v>
      </c>
      <c r="E420">
        <f>'raw data Crude oil'!E421</f>
        <v>71.33</v>
      </c>
      <c r="F420">
        <f>'raw data Crude oil'!F421</f>
        <v>71.33</v>
      </c>
      <c r="G420">
        <f>'raw data Crude oil'!G421</f>
        <v>71.239999999999995</v>
      </c>
      <c r="H420">
        <f>'raw data Crude oil'!H421</f>
        <v>71.099999999999994</v>
      </c>
      <c r="I420">
        <f>'raw data Crude oil'!I421</f>
        <v>70.930000000000007</v>
      </c>
      <c r="J420">
        <f>'raw data Crude oil'!J421</f>
        <v>70.73</v>
      </c>
      <c r="K420">
        <f>'raw data Crude oil'!K421</f>
        <v>70.55</v>
      </c>
      <c r="L420">
        <f>'raw data Crude oil'!L421</f>
        <v>70.37</v>
      </c>
      <c r="M420">
        <f>'raw data Crude oil'!M421</f>
        <v>70.180000000000007</v>
      </c>
      <c r="N420">
        <f>'raw data Crude oil'!N421</f>
        <v>65.010000000000005</v>
      </c>
      <c r="O420">
        <f>'raw data Crude oil'!O421</f>
        <v>64.459999999999994</v>
      </c>
      <c r="P420">
        <f>'raw data Crude oil'!P421</f>
        <v>64.239999999999995</v>
      </c>
      <c r="Q420">
        <f>'raw data Crude oil'!Q421</f>
        <v>64</v>
      </c>
      <c r="R420">
        <f>'raw data Crude oil'!R421</f>
        <v>63.8</v>
      </c>
      <c r="S420">
        <f>'raw data Crude oil'!S421</f>
        <v>63.54</v>
      </c>
      <c r="T420">
        <f>'raw data Crude oil'!T421</f>
        <v>63.31</v>
      </c>
      <c r="U420">
        <f>'raw data Crude oil'!U421</f>
        <v>63.08</v>
      </c>
      <c r="V420">
        <f>'raw data Crude oil'!V421</f>
        <v>62.86</v>
      </c>
      <c r="W420">
        <f>'raw data Crude oil'!W421</f>
        <v>62.65</v>
      </c>
      <c r="X420">
        <f>'raw data Crude oil'!X421</f>
        <v>62.37</v>
      </c>
      <c r="Y420">
        <f>'raw data Crude oil'!Y421</f>
        <v>62.1</v>
      </c>
      <c r="Z420">
        <f>'raw data Crude oil'!Z421</f>
        <v>0</v>
      </c>
      <c r="AA420">
        <f>'raw data Crude oil'!AA421</f>
        <v>0</v>
      </c>
      <c r="AB420">
        <f>'raw data Crude oil'!AB421</f>
        <v>0</v>
      </c>
      <c r="AC420">
        <f>'raw data Crude oil'!AC421</f>
        <v>0</v>
      </c>
      <c r="AD420">
        <f>'raw data Crude oil'!AD421</f>
        <v>0</v>
      </c>
      <c r="AE420">
        <f>'raw data Crude oil'!AE421</f>
        <v>0</v>
      </c>
      <c r="AF420">
        <f>'raw data Crude oil'!AF421</f>
        <v>0</v>
      </c>
      <c r="AG420">
        <f>'raw data Crude oil'!AG421</f>
        <v>0</v>
      </c>
      <c r="AH420">
        <f>'raw data Crude oil'!AH421</f>
        <v>0</v>
      </c>
      <c r="AI420">
        <f>'raw data Crude oil'!AI421</f>
        <v>0</v>
      </c>
      <c r="AJ420">
        <f>'raw data Crude oil'!AJ421</f>
        <v>0</v>
      </c>
      <c r="AK420">
        <f>'raw data Crude oil'!AK421</f>
        <v>0</v>
      </c>
    </row>
    <row r="421" spans="1:37" x14ac:dyDescent="0.3">
      <c r="A421" s="18">
        <f>'raw data Crude oil'!A422</f>
        <v>43328</v>
      </c>
      <c r="B421">
        <f>'raw data Crude oil'!B422</f>
        <v>71.430000000000007</v>
      </c>
      <c r="C421">
        <f>'raw data Crude oil'!C422</f>
        <v>71.75</v>
      </c>
      <c r="D421">
        <f>'raw data Crude oil'!D422</f>
        <v>71.88</v>
      </c>
      <c r="E421">
        <f>'raw data Crude oil'!E422</f>
        <v>71.930000000000007</v>
      </c>
      <c r="F421">
        <f>'raw data Crude oil'!F422</f>
        <v>71.91</v>
      </c>
      <c r="G421">
        <f>'raw data Crude oil'!G422</f>
        <v>71.8</v>
      </c>
      <c r="H421">
        <f>'raw data Crude oil'!H422</f>
        <v>71.650000000000006</v>
      </c>
      <c r="I421">
        <f>'raw data Crude oil'!I422</f>
        <v>71.47</v>
      </c>
      <c r="J421">
        <f>'raw data Crude oil'!J422</f>
        <v>71.27</v>
      </c>
      <c r="K421">
        <f>'raw data Crude oil'!K422</f>
        <v>71.09</v>
      </c>
      <c r="L421">
        <f>'raw data Crude oil'!L422</f>
        <v>70.89</v>
      </c>
      <c r="M421">
        <f>'raw data Crude oil'!M422</f>
        <v>70.69</v>
      </c>
      <c r="N421">
        <f>'raw data Crude oil'!N422</f>
        <v>65.459999999999994</v>
      </c>
      <c r="O421">
        <f>'raw data Crude oil'!O422</f>
        <v>64.88</v>
      </c>
      <c r="P421">
        <f>'raw data Crude oil'!P422</f>
        <v>64.66</v>
      </c>
      <c r="Q421">
        <f>'raw data Crude oil'!Q422</f>
        <v>64.42</v>
      </c>
      <c r="R421">
        <f>'raw data Crude oil'!R422</f>
        <v>64.2</v>
      </c>
      <c r="S421">
        <f>'raw data Crude oil'!S422</f>
        <v>63.93</v>
      </c>
      <c r="T421">
        <f>'raw data Crude oil'!T422</f>
        <v>63.7</v>
      </c>
      <c r="U421">
        <f>'raw data Crude oil'!U422</f>
        <v>63.48</v>
      </c>
      <c r="V421">
        <f>'raw data Crude oil'!V422</f>
        <v>63.27</v>
      </c>
      <c r="W421">
        <f>'raw data Crude oil'!W422</f>
        <v>63.06</v>
      </c>
      <c r="X421">
        <f>'raw data Crude oil'!X422</f>
        <v>62.79</v>
      </c>
      <c r="Y421">
        <f>'raw data Crude oil'!Y422</f>
        <v>62.52</v>
      </c>
      <c r="Z421">
        <f>'raw data Crude oil'!Z422</f>
        <v>0</v>
      </c>
      <c r="AA421">
        <f>'raw data Crude oil'!AA422</f>
        <v>0</v>
      </c>
      <c r="AB421">
        <f>'raw data Crude oil'!AB422</f>
        <v>0</v>
      </c>
      <c r="AC421">
        <f>'raw data Crude oil'!AC422</f>
        <v>0</v>
      </c>
      <c r="AD421">
        <f>'raw data Crude oil'!AD422</f>
        <v>0</v>
      </c>
      <c r="AE421">
        <f>'raw data Crude oil'!AE422</f>
        <v>0</v>
      </c>
      <c r="AF421">
        <f>'raw data Crude oil'!AF422</f>
        <v>0</v>
      </c>
      <c r="AG421">
        <f>'raw data Crude oil'!AG422</f>
        <v>0</v>
      </c>
      <c r="AH421">
        <f>'raw data Crude oil'!AH422</f>
        <v>0</v>
      </c>
      <c r="AI421">
        <f>'raw data Crude oil'!AI422</f>
        <v>0</v>
      </c>
      <c r="AJ421">
        <f>'raw data Crude oil'!AJ422</f>
        <v>0</v>
      </c>
      <c r="AK421">
        <f>'raw data Crude oil'!AK422</f>
        <v>0</v>
      </c>
    </row>
    <row r="422" spans="1:37" x14ac:dyDescent="0.3">
      <c r="A422" s="18">
        <f>'raw data Crude oil'!A423</f>
        <v>43329</v>
      </c>
      <c r="B422">
        <f>'raw data Crude oil'!B423</f>
        <v>71.83</v>
      </c>
      <c r="C422">
        <f>'raw data Crude oil'!C423</f>
        <v>72.069999999999993</v>
      </c>
      <c r="D422">
        <f>'raw data Crude oil'!D423</f>
        <v>72.150000000000006</v>
      </c>
      <c r="E422">
        <f>'raw data Crude oil'!E423</f>
        <v>72.17</v>
      </c>
      <c r="F422">
        <f>'raw data Crude oil'!F423</f>
        <v>72.13</v>
      </c>
      <c r="G422">
        <f>'raw data Crude oil'!G423</f>
        <v>72.010000000000005</v>
      </c>
      <c r="H422">
        <f>'raw data Crude oil'!H423</f>
        <v>71.849999999999994</v>
      </c>
      <c r="I422">
        <f>'raw data Crude oil'!I423</f>
        <v>71.66</v>
      </c>
      <c r="J422">
        <f>'raw data Crude oil'!J423</f>
        <v>71.44</v>
      </c>
      <c r="K422">
        <f>'raw data Crude oil'!K423</f>
        <v>71.25</v>
      </c>
      <c r="L422">
        <f>'raw data Crude oil'!L423</f>
        <v>71.06</v>
      </c>
      <c r="M422">
        <f>'raw data Crude oil'!M423</f>
        <v>70.86</v>
      </c>
      <c r="N422">
        <f>'raw data Crude oil'!N423</f>
        <v>65.91</v>
      </c>
      <c r="O422">
        <f>'raw data Crude oil'!O423</f>
        <v>65.209999999999994</v>
      </c>
      <c r="P422">
        <f>'raw data Crude oil'!P423</f>
        <v>64.94</v>
      </c>
      <c r="Q422">
        <f>'raw data Crude oil'!Q423</f>
        <v>64.66</v>
      </c>
      <c r="R422">
        <f>'raw data Crude oil'!R423</f>
        <v>64.430000000000007</v>
      </c>
      <c r="S422">
        <f>'raw data Crude oil'!S423</f>
        <v>64.150000000000006</v>
      </c>
      <c r="T422">
        <f>'raw data Crude oil'!T423</f>
        <v>63.92</v>
      </c>
      <c r="U422">
        <f>'raw data Crude oil'!U423</f>
        <v>63.69</v>
      </c>
      <c r="V422">
        <f>'raw data Crude oil'!V423</f>
        <v>63.48</v>
      </c>
      <c r="W422">
        <f>'raw data Crude oil'!W423</f>
        <v>63.26</v>
      </c>
      <c r="X422">
        <f>'raw data Crude oil'!X423</f>
        <v>62.99</v>
      </c>
      <c r="Y422">
        <f>'raw data Crude oil'!Y423</f>
        <v>62.72</v>
      </c>
      <c r="Z422">
        <f>'raw data Crude oil'!Z423</f>
        <v>0</v>
      </c>
      <c r="AA422">
        <f>'raw data Crude oil'!AA423</f>
        <v>0</v>
      </c>
      <c r="AB422">
        <f>'raw data Crude oil'!AB423</f>
        <v>0</v>
      </c>
      <c r="AC422">
        <f>'raw data Crude oil'!AC423</f>
        <v>0</v>
      </c>
      <c r="AD422">
        <f>'raw data Crude oil'!AD423</f>
        <v>0</v>
      </c>
      <c r="AE422">
        <f>'raw data Crude oil'!AE423</f>
        <v>0</v>
      </c>
      <c r="AF422">
        <f>'raw data Crude oil'!AF423</f>
        <v>0</v>
      </c>
      <c r="AG422">
        <f>'raw data Crude oil'!AG423</f>
        <v>0</v>
      </c>
      <c r="AH422">
        <f>'raw data Crude oil'!AH423</f>
        <v>0</v>
      </c>
      <c r="AI422">
        <f>'raw data Crude oil'!AI423</f>
        <v>0</v>
      </c>
      <c r="AJ422">
        <f>'raw data Crude oil'!AJ423</f>
        <v>0</v>
      </c>
      <c r="AK422">
        <f>'raw data Crude oil'!AK423</f>
        <v>0</v>
      </c>
    </row>
    <row r="423" spans="1:37" x14ac:dyDescent="0.3">
      <c r="A423" s="18">
        <f>'raw data Crude oil'!A424</f>
        <v>43332</v>
      </c>
      <c r="B423">
        <f>'raw data Crude oil'!B424</f>
        <v>72.209999999999994</v>
      </c>
      <c r="C423">
        <f>'raw data Crude oil'!C424</f>
        <v>72.569999999999993</v>
      </c>
      <c r="D423">
        <f>'raw data Crude oil'!D424</f>
        <v>72.63</v>
      </c>
      <c r="E423">
        <f>'raw data Crude oil'!E424</f>
        <v>72.61</v>
      </c>
      <c r="F423">
        <f>'raw data Crude oil'!F424</f>
        <v>72.540000000000006</v>
      </c>
      <c r="G423">
        <f>'raw data Crude oil'!G424</f>
        <v>72.400000000000006</v>
      </c>
      <c r="H423">
        <f>'raw data Crude oil'!H424</f>
        <v>72.22</v>
      </c>
      <c r="I423">
        <f>'raw data Crude oil'!I424</f>
        <v>72.02</v>
      </c>
      <c r="J423">
        <f>'raw data Crude oil'!J424</f>
        <v>71.8</v>
      </c>
      <c r="K423">
        <f>'raw data Crude oil'!K424</f>
        <v>71.599999999999994</v>
      </c>
      <c r="L423">
        <f>'raw data Crude oil'!L424</f>
        <v>71.400000000000006</v>
      </c>
      <c r="M423">
        <f>'raw data Crude oil'!M424</f>
        <v>71.19</v>
      </c>
      <c r="N423">
        <f>'raw data Crude oil'!N424</f>
        <v>66.430000000000007</v>
      </c>
      <c r="O423">
        <f>'raw data Crude oil'!O424</f>
        <v>65.42</v>
      </c>
      <c r="P423">
        <f>'raw data Crude oil'!P424</f>
        <v>65.099999999999994</v>
      </c>
      <c r="Q423">
        <f>'raw data Crude oil'!Q424</f>
        <v>64.8</v>
      </c>
      <c r="R423">
        <f>'raw data Crude oil'!R424</f>
        <v>64.55</v>
      </c>
      <c r="S423">
        <f>'raw data Crude oil'!S424</f>
        <v>64.27</v>
      </c>
      <c r="T423">
        <f>'raw data Crude oil'!T424</f>
        <v>64.03</v>
      </c>
      <c r="U423">
        <f>'raw data Crude oil'!U424</f>
        <v>63.8</v>
      </c>
      <c r="V423">
        <f>'raw data Crude oil'!V424</f>
        <v>63.58</v>
      </c>
      <c r="W423">
        <f>'raw data Crude oil'!W424</f>
        <v>63.35</v>
      </c>
      <c r="X423">
        <f>'raw data Crude oil'!X424</f>
        <v>63.09</v>
      </c>
      <c r="Y423">
        <f>'raw data Crude oil'!Y424</f>
        <v>62.81</v>
      </c>
      <c r="Z423">
        <f>'raw data Crude oil'!Z424</f>
        <v>0</v>
      </c>
      <c r="AA423">
        <f>'raw data Crude oil'!AA424</f>
        <v>0</v>
      </c>
      <c r="AB423">
        <f>'raw data Crude oil'!AB424</f>
        <v>0</v>
      </c>
      <c r="AC423">
        <f>'raw data Crude oil'!AC424</f>
        <v>0</v>
      </c>
      <c r="AD423">
        <f>'raw data Crude oil'!AD424</f>
        <v>0</v>
      </c>
      <c r="AE423">
        <f>'raw data Crude oil'!AE424</f>
        <v>0</v>
      </c>
      <c r="AF423">
        <f>'raw data Crude oil'!AF424</f>
        <v>0</v>
      </c>
      <c r="AG423">
        <f>'raw data Crude oil'!AG424</f>
        <v>0</v>
      </c>
      <c r="AH423">
        <f>'raw data Crude oil'!AH424</f>
        <v>0</v>
      </c>
      <c r="AI423">
        <f>'raw data Crude oil'!AI424</f>
        <v>0</v>
      </c>
      <c r="AJ423">
        <f>'raw data Crude oil'!AJ424</f>
        <v>0</v>
      </c>
      <c r="AK423">
        <f>'raw data Crude oil'!AK424</f>
        <v>0</v>
      </c>
    </row>
    <row r="424" spans="1:37" x14ac:dyDescent="0.3">
      <c r="A424" s="18">
        <f>'raw data Crude oil'!A425</f>
        <v>43333</v>
      </c>
      <c r="B424">
        <f>'raw data Crude oil'!B425</f>
        <v>72.63</v>
      </c>
      <c r="C424">
        <f>'raw data Crude oil'!C425</f>
        <v>72.91</v>
      </c>
      <c r="D424">
        <f>'raw data Crude oil'!D425</f>
        <v>72.92</v>
      </c>
      <c r="E424">
        <f>'raw data Crude oil'!E425</f>
        <v>72.86</v>
      </c>
      <c r="F424">
        <f>'raw data Crude oil'!F425</f>
        <v>72.75</v>
      </c>
      <c r="G424">
        <f>'raw data Crude oil'!G425</f>
        <v>72.58</v>
      </c>
      <c r="H424">
        <f>'raw data Crude oil'!H425</f>
        <v>72.37</v>
      </c>
      <c r="I424">
        <f>'raw data Crude oil'!I425</f>
        <v>72.14</v>
      </c>
      <c r="J424">
        <f>'raw data Crude oil'!J425</f>
        <v>71.900000000000006</v>
      </c>
      <c r="K424">
        <f>'raw data Crude oil'!K425</f>
        <v>71.67</v>
      </c>
      <c r="L424">
        <f>'raw data Crude oil'!L425</f>
        <v>71.44</v>
      </c>
      <c r="M424">
        <f>'raw data Crude oil'!M425</f>
        <v>71.209999999999994</v>
      </c>
      <c r="N424">
        <f>'raw data Crude oil'!N425</f>
        <v>67.349999999999994</v>
      </c>
      <c r="O424">
        <f>'raw data Crude oil'!O425</f>
        <v>65.84</v>
      </c>
      <c r="P424">
        <f>'raw data Crude oil'!P425</f>
        <v>65.489999999999995</v>
      </c>
      <c r="Q424">
        <f>'raw data Crude oil'!Q425</f>
        <v>65.19</v>
      </c>
      <c r="R424">
        <f>'raw data Crude oil'!R425</f>
        <v>64.930000000000007</v>
      </c>
      <c r="S424">
        <f>'raw data Crude oil'!S425</f>
        <v>64.64</v>
      </c>
      <c r="T424">
        <f>'raw data Crude oil'!T425</f>
        <v>64.39</v>
      </c>
      <c r="U424">
        <f>'raw data Crude oil'!U425</f>
        <v>64.150000000000006</v>
      </c>
      <c r="V424">
        <f>'raw data Crude oil'!V425</f>
        <v>63.9</v>
      </c>
      <c r="W424">
        <f>'raw data Crude oil'!W425</f>
        <v>63.65</v>
      </c>
      <c r="X424">
        <f>'raw data Crude oil'!X425</f>
        <v>63.38</v>
      </c>
      <c r="Y424">
        <f>'raw data Crude oil'!Y425</f>
        <v>63.1</v>
      </c>
      <c r="Z424">
        <f>'raw data Crude oil'!Z425</f>
        <v>0</v>
      </c>
      <c r="AA424">
        <f>'raw data Crude oil'!AA425</f>
        <v>0</v>
      </c>
      <c r="AB424">
        <f>'raw data Crude oil'!AB425</f>
        <v>0</v>
      </c>
      <c r="AC424">
        <f>'raw data Crude oil'!AC425</f>
        <v>0</v>
      </c>
      <c r="AD424">
        <f>'raw data Crude oil'!AD425</f>
        <v>0</v>
      </c>
      <c r="AE424">
        <f>'raw data Crude oil'!AE425</f>
        <v>0</v>
      </c>
      <c r="AF424">
        <f>'raw data Crude oil'!AF425</f>
        <v>0</v>
      </c>
      <c r="AG424">
        <f>'raw data Crude oil'!AG425</f>
        <v>0</v>
      </c>
      <c r="AH424">
        <f>'raw data Crude oil'!AH425</f>
        <v>0</v>
      </c>
      <c r="AI424">
        <f>'raw data Crude oil'!AI425</f>
        <v>0</v>
      </c>
      <c r="AJ424">
        <f>'raw data Crude oil'!AJ425</f>
        <v>0</v>
      </c>
      <c r="AK424">
        <f>'raw data Crude oil'!AK425</f>
        <v>0</v>
      </c>
    </row>
    <row r="425" spans="1:37" x14ac:dyDescent="0.3">
      <c r="A425" s="18">
        <f>'raw data Crude oil'!A426</f>
        <v>43334</v>
      </c>
      <c r="B425">
        <f>'raw data Crude oil'!B426</f>
        <v>74.78</v>
      </c>
      <c r="C425">
        <f>'raw data Crude oil'!C426</f>
        <v>75.069999999999993</v>
      </c>
      <c r="D425">
        <f>'raw data Crude oil'!D426</f>
        <v>75.06</v>
      </c>
      <c r="E425">
        <f>'raw data Crude oil'!E426</f>
        <v>74.97</v>
      </c>
      <c r="F425">
        <f>'raw data Crude oil'!F426</f>
        <v>74.819999999999993</v>
      </c>
      <c r="G425">
        <f>'raw data Crude oil'!G426</f>
        <v>74.63</v>
      </c>
      <c r="H425">
        <f>'raw data Crude oil'!H426</f>
        <v>74.41</v>
      </c>
      <c r="I425">
        <f>'raw data Crude oil'!I426</f>
        <v>74.17</v>
      </c>
      <c r="J425">
        <f>'raw data Crude oil'!J426</f>
        <v>73.92</v>
      </c>
      <c r="K425">
        <f>'raw data Crude oil'!K426</f>
        <v>73.67</v>
      </c>
      <c r="L425">
        <f>'raw data Crude oil'!L426</f>
        <v>73.42</v>
      </c>
      <c r="M425">
        <f>'raw data Crude oil'!M426</f>
        <v>73.16</v>
      </c>
      <c r="N425">
        <f>'raw data Crude oil'!N426</f>
        <v>67.86</v>
      </c>
      <c r="O425">
        <f>'raw data Crude oil'!O426</f>
        <v>67.510000000000005</v>
      </c>
      <c r="P425">
        <f>'raw data Crude oil'!P426</f>
        <v>67.2</v>
      </c>
      <c r="Q425">
        <f>'raw data Crude oil'!Q426</f>
        <v>66.930000000000007</v>
      </c>
      <c r="R425">
        <f>'raw data Crude oil'!R426</f>
        <v>66.63</v>
      </c>
      <c r="S425">
        <f>'raw data Crude oil'!S426</f>
        <v>66.36</v>
      </c>
      <c r="T425">
        <f>'raw data Crude oil'!T426</f>
        <v>66.099999999999994</v>
      </c>
      <c r="U425">
        <f>'raw data Crude oil'!U426</f>
        <v>65.819999999999993</v>
      </c>
      <c r="V425">
        <f>'raw data Crude oil'!V426</f>
        <v>65.55</v>
      </c>
      <c r="W425">
        <f>'raw data Crude oil'!W426</f>
        <v>65.239999999999995</v>
      </c>
      <c r="X425">
        <f>'raw data Crude oil'!X426</f>
        <v>64.92</v>
      </c>
      <c r="Y425">
        <f>'raw data Crude oil'!Y426</f>
        <v>64.63</v>
      </c>
      <c r="Z425">
        <f>'raw data Crude oil'!Z426</f>
        <v>0</v>
      </c>
      <c r="AA425">
        <f>'raw data Crude oil'!AA426</f>
        <v>0</v>
      </c>
      <c r="AB425">
        <f>'raw data Crude oil'!AB426</f>
        <v>0</v>
      </c>
      <c r="AC425">
        <f>'raw data Crude oil'!AC426</f>
        <v>0</v>
      </c>
      <c r="AD425">
        <f>'raw data Crude oil'!AD426</f>
        <v>0</v>
      </c>
      <c r="AE425">
        <f>'raw data Crude oil'!AE426</f>
        <v>0</v>
      </c>
      <c r="AF425">
        <f>'raw data Crude oil'!AF426</f>
        <v>0</v>
      </c>
      <c r="AG425">
        <f>'raw data Crude oil'!AG426</f>
        <v>0</v>
      </c>
      <c r="AH425">
        <f>'raw data Crude oil'!AH426</f>
        <v>0</v>
      </c>
      <c r="AI425">
        <f>'raw data Crude oil'!AI426</f>
        <v>0</v>
      </c>
      <c r="AJ425">
        <f>'raw data Crude oil'!AJ426</f>
        <v>0</v>
      </c>
      <c r="AK425">
        <f>'raw data Crude oil'!AK426</f>
        <v>0</v>
      </c>
    </row>
    <row r="426" spans="1:37" x14ac:dyDescent="0.3">
      <c r="A426" s="18">
        <f>'raw data Crude oil'!A427</f>
        <v>43335</v>
      </c>
      <c r="B426">
        <f>'raw data Crude oil'!B427</f>
        <v>74.73</v>
      </c>
      <c r="C426">
        <f>'raw data Crude oil'!C427</f>
        <v>75.09</v>
      </c>
      <c r="D426">
        <f>'raw data Crude oil'!D427</f>
        <v>75.099999999999994</v>
      </c>
      <c r="E426">
        <f>'raw data Crude oil'!E427</f>
        <v>75.03</v>
      </c>
      <c r="F426">
        <f>'raw data Crude oil'!F427</f>
        <v>74.900000000000006</v>
      </c>
      <c r="G426">
        <f>'raw data Crude oil'!G427</f>
        <v>74.72</v>
      </c>
      <c r="H426">
        <f>'raw data Crude oil'!H427</f>
        <v>74.510000000000005</v>
      </c>
      <c r="I426">
        <f>'raw data Crude oil'!I427</f>
        <v>74.28</v>
      </c>
      <c r="J426">
        <f>'raw data Crude oil'!J427</f>
        <v>74.03</v>
      </c>
      <c r="K426">
        <f>'raw data Crude oil'!K427</f>
        <v>73.78</v>
      </c>
      <c r="L426">
        <f>'raw data Crude oil'!L427</f>
        <v>73.53</v>
      </c>
      <c r="M426">
        <f>'raw data Crude oil'!M427</f>
        <v>73.27</v>
      </c>
      <c r="N426">
        <f>'raw data Crude oil'!N427</f>
        <v>67.83</v>
      </c>
      <c r="O426">
        <f>'raw data Crude oil'!O427</f>
        <v>67.53</v>
      </c>
      <c r="P426">
        <f>'raw data Crude oil'!P427</f>
        <v>67.239999999999995</v>
      </c>
      <c r="Q426">
        <f>'raw data Crude oil'!Q427</f>
        <v>66.98</v>
      </c>
      <c r="R426">
        <f>'raw data Crude oil'!R427</f>
        <v>66.680000000000007</v>
      </c>
      <c r="S426">
        <f>'raw data Crude oil'!S427</f>
        <v>66.41</v>
      </c>
      <c r="T426">
        <f>'raw data Crude oil'!T427</f>
        <v>66.14</v>
      </c>
      <c r="U426">
        <f>'raw data Crude oil'!U427</f>
        <v>65.86</v>
      </c>
      <c r="V426">
        <f>'raw data Crude oil'!V427</f>
        <v>65.58</v>
      </c>
      <c r="W426">
        <f>'raw data Crude oil'!W427</f>
        <v>65.260000000000005</v>
      </c>
      <c r="X426">
        <f>'raw data Crude oil'!X427</f>
        <v>64.95</v>
      </c>
      <c r="Y426">
        <f>'raw data Crude oil'!Y427</f>
        <v>64.64</v>
      </c>
      <c r="Z426">
        <f>'raw data Crude oil'!Z427</f>
        <v>0</v>
      </c>
      <c r="AA426">
        <f>'raw data Crude oil'!AA427</f>
        <v>0</v>
      </c>
      <c r="AB426">
        <f>'raw data Crude oil'!AB427</f>
        <v>0</v>
      </c>
      <c r="AC426">
        <f>'raw data Crude oil'!AC427</f>
        <v>0</v>
      </c>
      <c r="AD426">
        <f>'raw data Crude oil'!AD427</f>
        <v>0</v>
      </c>
      <c r="AE426">
        <f>'raw data Crude oil'!AE427</f>
        <v>0</v>
      </c>
      <c r="AF426">
        <f>'raw data Crude oil'!AF427</f>
        <v>0</v>
      </c>
      <c r="AG426">
        <f>'raw data Crude oil'!AG427</f>
        <v>0</v>
      </c>
      <c r="AH426">
        <f>'raw data Crude oil'!AH427</f>
        <v>0</v>
      </c>
      <c r="AI426">
        <f>'raw data Crude oil'!AI427</f>
        <v>0</v>
      </c>
      <c r="AJ426">
        <f>'raw data Crude oil'!AJ427</f>
        <v>0</v>
      </c>
      <c r="AK426">
        <f>'raw data Crude oil'!AK427</f>
        <v>0</v>
      </c>
    </row>
    <row r="427" spans="1:37" x14ac:dyDescent="0.3">
      <c r="A427" s="18">
        <f>'raw data Crude oil'!A428</f>
        <v>43336</v>
      </c>
      <c r="B427">
        <f>'raw data Crude oil'!B428</f>
        <v>75.819999999999993</v>
      </c>
      <c r="C427">
        <f>'raw data Crude oil'!C428</f>
        <v>76.13</v>
      </c>
      <c r="D427">
        <f>'raw data Crude oil'!D428</f>
        <v>76.069999999999993</v>
      </c>
      <c r="E427">
        <f>'raw data Crude oil'!E428</f>
        <v>75.930000000000007</v>
      </c>
      <c r="F427">
        <f>'raw data Crude oil'!F428</f>
        <v>75.739999999999995</v>
      </c>
      <c r="G427">
        <f>'raw data Crude oil'!G428</f>
        <v>75.52</v>
      </c>
      <c r="H427">
        <f>'raw data Crude oil'!H428</f>
        <v>75.28</v>
      </c>
      <c r="I427">
        <f>'raw data Crude oil'!I428</f>
        <v>75.02</v>
      </c>
      <c r="J427">
        <f>'raw data Crude oil'!J428</f>
        <v>74.75</v>
      </c>
      <c r="K427">
        <f>'raw data Crude oil'!K428</f>
        <v>74.489999999999995</v>
      </c>
      <c r="L427">
        <f>'raw data Crude oil'!L428</f>
        <v>74.22</v>
      </c>
      <c r="M427">
        <f>'raw data Crude oil'!M428</f>
        <v>73.95</v>
      </c>
      <c r="N427">
        <f>'raw data Crude oil'!N428</f>
        <v>68.72</v>
      </c>
      <c r="O427">
        <f>'raw data Crude oil'!O428</f>
        <v>68.36</v>
      </c>
      <c r="P427">
        <f>'raw data Crude oil'!P428</f>
        <v>68.05</v>
      </c>
      <c r="Q427">
        <f>'raw data Crude oil'!Q428</f>
        <v>67.78</v>
      </c>
      <c r="R427">
        <f>'raw data Crude oil'!R428</f>
        <v>67.47</v>
      </c>
      <c r="S427">
        <f>'raw data Crude oil'!S428</f>
        <v>67.180000000000007</v>
      </c>
      <c r="T427">
        <f>'raw data Crude oil'!T428</f>
        <v>66.89</v>
      </c>
      <c r="U427">
        <f>'raw data Crude oil'!U428</f>
        <v>66.599999999999994</v>
      </c>
      <c r="V427">
        <f>'raw data Crude oil'!V428</f>
        <v>66.3</v>
      </c>
      <c r="W427">
        <f>'raw data Crude oil'!W428</f>
        <v>65.97</v>
      </c>
      <c r="X427">
        <f>'raw data Crude oil'!X428</f>
        <v>65.63</v>
      </c>
      <c r="Y427">
        <f>'raw data Crude oil'!Y428</f>
        <v>65.319999999999993</v>
      </c>
      <c r="Z427">
        <f>'raw data Crude oil'!Z428</f>
        <v>0</v>
      </c>
      <c r="AA427">
        <f>'raw data Crude oil'!AA428</f>
        <v>0</v>
      </c>
      <c r="AB427">
        <f>'raw data Crude oil'!AB428</f>
        <v>0</v>
      </c>
      <c r="AC427">
        <f>'raw data Crude oil'!AC428</f>
        <v>0</v>
      </c>
      <c r="AD427">
        <f>'raw data Crude oil'!AD428</f>
        <v>0</v>
      </c>
      <c r="AE427">
        <f>'raw data Crude oil'!AE428</f>
        <v>0</v>
      </c>
      <c r="AF427">
        <f>'raw data Crude oil'!AF428</f>
        <v>0</v>
      </c>
      <c r="AG427">
        <f>'raw data Crude oil'!AG428</f>
        <v>0</v>
      </c>
      <c r="AH427">
        <f>'raw data Crude oil'!AH428</f>
        <v>0</v>
      </c>
      <c r="AI427">
        <f>'raw data Crude oil'!AI428</f>
        <v>0</v>
      </c>
      <c r="AJ427">
        <f>'raw data Crude oil'!AJ428</f>
        <v>0</v>
      </c>
      <c r="AK427">
        <f>'raw data Crude oil'!AK428</f>
        <v>0</v>
      </c>
    </row>
    <row r="428" spans="1:37" x14ac:dyDescent="0.3">
      <c r="A428" s="18">
        <f>'raw data Crude oil'!A429</f>
        <v>43339</v>
      </c>
      <c r="B428">
        <f>'raw data Crude oil'!B429</f>
        <v>76.209999999999994</v>
      </c>
      <c r="C428">
        <f>'raw data Crude oil'!C429</f>
        <v>76.5</v>
      </c>
      <c r="D428">
        <f>'raw data Crude oil'!D429</f>
        <v>76.430000000000007</v>
      </c>
      <c r="E428">
        <f>'raw data Crude oil'!E429</f>
        <v>76.3</v>
      </c>
      <c r="F428">
        <f>'raw data Crude oil'!F429</f>
        <v>76.11</v>
      </c>
      <c r="G428">
        <f>'raw data Crude oil'!G429</f>
        <v>75.900000000000006</v>
      </c>
      <c r="H428">
        <f>'raw data Crude oil'!H429</f>
        <v>75.66</v>
      </c>
      <c r="I428">
        <f>'raw data Crude oil'!I429</f>
        <v>75.400000000000006</v>
      </c>
      <c r="J428">
        <f>'raw data Crude oil'!J429</f>
        <v>75.12</v>
      </c>
      <c r="K428">
        <f>'raw data Crude oil'!K429</f>
        <v>74.849999999999994</v>
      </c>
      <c r="L428">
        <f>'raw data Crude oil'!L429</f>
        <v>74.56</v>
      </c>
      <c r="M428">
        <f>'raw data Crude oil'!M429</f>
        <v>74.27</v>
      </c>
      <c r="N428">
        <f>'raw data Crude oil'!N429</f>
        <v>68.87</v>
      </c>
      <c r="O428">
        <f>'raw data Crude oil'!O429</f>
        <v>68.540000000000006</v>
      </c>
      <c r="P428">
        <f>'raw data Crude oil'!P429</f>
        <v>68.25</v>
      </c>
      <c r="Q428">
        <f>'raw data Crude oil'!Q429</f>
        <v>67.989999999999995</v>
      </c>
      <c r="R428">
        <f>'raw data Crude oil'!R429</f>
        <v>67.69</v>
      </c>
      <c r="S428">
        <f>'raw data Crude oil'!S429</f>
        <v>67.39</v>
      </c>
      <c r="T428">
        <f>'raw data Crude oil'!T429</f>
        <v>67.09</v>
      </c>
      <c r="U428">
        <f>'raw data Crude oil'!U429</f>
        <v>66.790000000000006</v>
      </c>
      <c r="V428">
        <f>'raw data Crude oil'!V429</f>
        <v>66.48</v>
      </c>
      <c r="W428">
        <f>'raw data Crude oil'!W429</f>
        <v>66.14</v>
      </c>
      <c r="X428">
        <f>'raw data Crude oil'!X429</f>
        <v>65.8</v>
      </c>
      <c r="Y428">
        <f>'raw data Crude oil'!Y429</f>
        <v>65.48</v>
      </c>
      <c r="Z428">
        <f>'raw data Crude oil'!Z429</f>
        <v>0</v>
      </c>
      <c r="AA428">
        <f>'raw data Crude oil'!AA429</f>
        <v>0</v>
      </c>
      <c r="AB428">
        <f>'raw data Crude oil'!AB429</f>
        <v>0</v>
      </c>
      <c r="AC428">
        <f>'raw data Crude oil'!AC429</f>
        <v>0</v>
      </c>
      <c r="AD428">
        <f>'raw data Crude oil'!AD429</f>
        <v>0</v>
      </c>
      <c r="AE428">
        <f>'raw data Crude oil'!AE429</f>
        <v>0</v>
      </c>
      <c r="AF428">
        <f>'raw data Crude oil'!AF429</f>
        <v>0</v>
      </c>
      <c r="AG428">
        <f>'raw data Crude oil'!AG429</f>
        <v>0</v>
      </c>
      <c r="AH428">
        <f>'raw data Crude oil'!AH429</f>
        <v>0</v>
      </c>
      <c r="AI428">
        <f>'raw data Crude oil'!AI429</f>
        <v>0</v>
      </c>
      <c r="AJ428">
        <f>'raw data Crude oil'!AJ429</f>
        <v>0</v>
      </c>
      <c r="AK428">
        <f>'raw data Crude oil'!AK429</f>
        <v>0</v>
      </c>
    </row>
    <row r="429" spans="1:37" x14ac:dyDescent="0.3">
      <c r="A429" s="18">
        <f>'raw data Crude oil'!A430</f>
        <v>43340</v>
      </c>
      <c r="B429">
        <f>'raw data Crude oil'!B430</f>
        <v>75.95</v>
      </c>
      <c r="C429">
        <f>'raw data Crude oil'!C430</f>
        <v>76.290000000000006</v>
      </c>
      <c r="D429">
        <f>'raw data Crude oil'!D430</f>
        <v>76.19</v>
      </c>
      <c r="E429">
        <f>'raw data Crude oil'!E430</f>
        <v>76.03</v>
      </c>
      <c r="F429">
        <f>'raw data Crude oil'!F430</f>
        <v>75.819999999999993</v>
      </c>
      <c r="G429">
        <f>'raw data Crude oil'!G430</f>
        <v>75.61</v>
      </c>
      <c r="H429">
        <f>'raw data Crude oil'!H430</f>
        <v>75.37</v>
      </c>
      <c r="I429">
        <f>'raw data Crude oil'!I430</f>
        <v>75.12</v>
      </c>
      <c r="J429">
        <f>'raw data Crude oil'!J430</f>
        <v>74.86</v>
      </c>
      <c r="K429">
        <f>'raw data Crude oil'!K430</f>
        <v>74.599999999999994</v>
      </c>
      <c r="L429">
        <f>'raw data Crude oil'!L430</f>
        <v>74.33</v>
      </c>
      <c r="M429">
        <f>'raw data Crude oil'!M430</f>
        <v>74.05</v>
      </c>
      <c r="N429">
        <f>'raw data Crude oil'!N430</f>
        <v>68.53</v>
      </c>
      <c r="O429">
        <f>'raw data Crude oil'!O430</f>
        <v>68.22</v>
      </c>
      <c r="P429">
        <f>'raw data Crude oil'!P430</f>
        <v>67.930000000000007</v>
      </c>
      <c r="Q429">
        <f>'raw data Crude oil'!Q430</f>
        <v>67.69</v>
      </c>
      <c r="R429">
        <f>'raw data Crude oil'!R430</f>
        <v>67.400000000000006</v>
      </c>
      <c r="S429">
        <f>'raw data Crude oil'!S430</f>
        <v>67.12</v>
      </c>
      <c r="T429">
        <f>'raw data Crude oil'!T430</f>
        <v>66.849999999999994</v>
      </c>
      <c r="U429">
        <f>'raw data Crude oil'!U430</f>
        <v>66.569999999999993</v>
      </c>
      <c r="V429">
        <f>'raw data Crude oil'!V430</f>
        <v>66.28</v>
      </c>
      <c r="W429">
        <f>'raw data Crude oil'!W430</f>
        <v>65.959999999999994</v>
      </c>
      <c r="X429">
        <f>'raw data Crude oil'!X430</f>
        <v>65.63</v>
      </c>
      <c r="Y429">
        <f>'raw data Crude oil'!Y430</f>
        <v>65.33</v>
      </c>
      <c r="Z429">
        <f>'raw data Crude oil'!Z430</f>
        <v>0</v>
      </c>
      <c r="AA429">
        <f>'raw data Crude oil'!AA430</f>
        <v>0</v>
      </c>
      <c r="AB429">
        <f>'raw data Crude oil'!AB430</f>
        <v>0</v>
      </c>
      <c r="AC429">
        <f>'raw data Crude oil'!AC430</f>
        <v>0</v>
      </c>
      <c r="AD429">
        <f>'raw data Crude oil'!AD430</f>
        <v>0</v>
      </c>
      <c r="AE429">
        <f>'raw data Crude oil'!AE430</f>
        <v>0</v>
      </c>
      <c r="AF429">
        <f>'raw data Crude oil'!AF430</f>
        <v>0</v>
      </c>
      <c r="AG429">
        <f>'raw data Crude oil'!AG430</f>
        <v>0</v>
      </c>
      <c r="AH429">
        <f>'raw data Crude oil'!AH430</f>
        <v>0</v>
      </c>
      <c r="AI429">
        <f>'raw data Crude oil'!AI430</f>
        <v>0</v>
      </c>
      <c r="AJ429">
        <f>'raw data Crude oil'!AJ430</f>
        <v>0</v>
      </c>
      <c r="AK429">
        <f>'raw data Crude oil'!AK430</f>
        <v>0</v>
      </c>
    </row>
    <row r="430" spans="1:37" x14ac:dyDescent="0.3">
      <c r="A430" s="18">
        <f>'raw data Crude oil'!A431</f>
        <v>43341</v>
      </c>
      <c r="B430">
        <f>'raw data Crude oil'!B431</f>
        <v>77.14</v>
      </c>
      <c r="C430">
        <f>'raw data Crude oil'!C431</f>
        <v>77.459999999999994</v>
      </c>
      <c r="D430">
        <f>'raw data Crude oil'!D431</f>
        <v>77.34</v>
      </c>
      <c r="E430">
        <f>'raw data Crude oil'!E431</f>
        <v>77.150000000000006</v>
      </c>
      <c r="F430">
        <f>'raw data Crude oil'!F431</f>
        <v>76.92</v>
      </c>
      <c r="G430">
        <f>'raw data Crude oil'!G431</f>
        <v>76.680000000000007</v>
      </c>
      <c r="H430">
        <f>'raw data Crude oil'!H431</f>
        <v>76.42</v>
      </c>
      <c r="I430">
        <f>'raw data Crude oil'!I431</f>
        <v>76.150000000000006</v>
      </c>
      <c r="J430">
        <f>'raw data Crude oil'!J431</f>
        <v>75.87</v>
      </c>
      <c r="K430">
        <f>'raw data Crude oil'!K431</f>
        <v>75.58</v>
      </c>
      <c r="L430">
        <f>'raw data Crude oil'!L431</f>
        <v>75.28</v>
      </c>
      <c r="M430">
        <f>'raw data Crude oil'!M431</f>
        <v>74.97</v>
      </c>
      <c r="N430">
        <f>'raw data Crude oil'!N431</f>
        <v>69.510000000000005</v>
      </c>
      <c r="O430">
        <f>'raw data Crude oil'!O431</f>
        <v>69.17</v>
      </c>
      <c r="P430">
        <f>'raw data Crude oil'!P431</f>
        <v>68.87</v>
      </c>
      <c r="Q430">
        <f>'raw data Crude oil'!Q431</f>
        <v>68.61</v>
      </c>
      <c r="R430">
        <f>'raw data Crude oil'!R431</f>
        <v>68.290000000000006</v>
      </c>
      <c r="S430">
        <f>'raw data Crude oil'!S431</f>
        <v>67.989999999999995</v>
      </c>
      <c r="T430">
        <f>'raw data Crude oil'!T431</f>
        <v>67.680000000000007</v>
      </c>
      <c r="U430">
        <f>'raw data Crude oil'!U431</f>
        <v>67.38</v>
      </c>
      <c r="V430">
        <f>'raw data Crude oil'!V431</f>
        <v>67.069999999999993</v>
      </c>
      <c r="W430">
        <f>'raw data Crude oil'!W431</f>
        <v>66.73</v>
      </c>
      <c r="X430">
        <f>'raw data Crude oil'!X431</f>
        <v>66.38</v>
      </c>
      <c r="Y430">
        <f>'raw data Crude oil'!Y431</f>
        <v>66.05</v>
      </c>
      <c r="Z430">
        <f>'raw data Crude oil'!Z431</f>
        <v>0</v>
      </c>
      <c r="AA430">
        <f>'raw data Crude oil'!AA431</f>
        <v>0</v>
      </c>
      <c r="AB430">
        <f>'raw data Crude oil'!AB431</f>
        <v>0</v>
      </c>
      <c r="AC430">
        <f>'raw data Crude oil'!AC431</f>
        <v>0</v>
      </c>
      <c r="AD430">
        <f>'raw data Crude oil'!AD431</f>
        <v>0</v>
      </c>
      <c r="AE430">
        <f>'raw data Crude oil'!AE431</f>
        <v>0</v>
      </c>
      <c r="AF430">
        <f>'raw data Crude oil'!AF431</f>
        <v>0</v>
      </c>
      <c r="AG430">
        <f>'raw data Crude oil'!AG431</f>
        <v>0</v>
      </c>
      <c r="AH430">
        <f>'raw data Crude oil'!AH431</f>
        <v>0</v>
      </c>
      <c r="AI430">
        <f>'raw data Crude oil'!AI431</f>
        <v>0</v>
      </c>
      <c r="AJ430">
        <f>'raw data Crude oil'!AJ431</f>
        <v>0</v>
      </c>
      <c r="AK430">
        <f>'raw data Crude oil'!AK431</f>
        <v>0</v>
      </c>
    </row>
    <row r="431" spans="1:37" x14ac:dyDescent="0.3">
      <c r="A431" s="18">
        <f>'raw data Crude oil'!A432</f>
        <v>43342</v>
      </c>
      <c r="B431">
        <f>'raw data Crude oil'!B432</f>
        <v>77.77</v>
      </c>
      <c r="C431">
        <f>'raw data Crude oil'!C432</f>
        <v>78.02</v>
      </c>
      <c r="D431">
        <f>'raw data Crude oil'!D432</f>
        <v>77.819999999999993</v>
      </c>
      <c r="E431">
        <f>'raw data Crude oil'!E432</f>
        <v>77.58</v>
      </c>
      <c r="F431">
        <f>'raw data Crude oil'!F432</f>
        <v>77.33</v>
      </c>
      <c r="G431">
        <f>'raw data Crude oil'!G432</f>
        <v>77.08</v>
      </c>
      <c r="H431">
        <f>'raw data Crude oil'!H432</f>
        <v>76.819999999999993</v>
      </c>
      <c r="I431">
        <f>'raw data Crude oil'!I432</f>
        <v>76.55</v>
      </c>
      <c r="J431">
        <f>'raw data Crude oil'!J432</f>
        <v>76.27</v>
      </c>
      <c r="K431">
        <f>'raw data Crude oil'!K432</f>
        <v>75.989999999999995</v>
      </c>
      <c r="L431">
        <f>'raw data Crude oil'!L432</f>
        <v>75.69</v>
      </c>
      <c r="M431">
        <f>'raw data Crude oil'!M432</f>
        <v>75.38</v>
      </c>
      <c r="N431">
        <f>'raw data Crude oil'!N432</f>
        <v>70.25</v>
      </c>
      <c r="O431">
        <f>'raw data Crude oil'!O432</f>
        <v>69.81</v>
      </c>
      <c r="P431">
        <f>'raw data Crude oil'!P432</f>
        <v>69.459999999999994</v>
      </c>
      <c r="Q431">
        <f>'raw data Crude oil'!Q432</f>
        <v>69.17</v>
      </c>
      <c r="R431">
        <f>'raw data Crude oil'!R432</f>
        <v>68.84</v>
      </c>
      <c r="S431">
        <f>'raw data Crude oil'!S432</f>
        <v>68.540000000000006</v>
      </c>
      <c r="T431">
        <f>'raw data Crude oil'!T432</f>
        <v>68.239999999999995</v>
      </c>
      <c r="U431">
        <f>'raw data Crude oil'!U432</f>
        <v>67.94</v>
      </c>
      <c r="V431">
        <f>'raw data Crude oil'!V432</f>
        <v>67.63</v>
      </c>
      <c r="W431">
        <f>'raw data Crude oil'!W432</f>
        <v>67.290000000000006</v>
      </c>
      <c r="X431">
        <f>'raw data Crude oil'!X432</f>
        <v>66.930000000000007</v>
      </c>
      <c r="Y431">
        <f>'raw data Crude oil'!Y432</f>
        <v>66.599999999999994</v>
      </c>
      <c r="Z431">
        <f>'raw data Crude oil'!Z432</f>
        <v>0</v>
      </c>
      <c r="AA431">
        <f>'raw data Crude oil'!AA432</f>
        <v>0</v>
      </c>
      <c r="AB431">
        <f>'raw data Crude oil'!AB432</f>
        <v>0</v>
      </c>
      <c r="AC431">
        <f>'raw data Crude oil'!AC432</f>
        <v>0</v>
      </c>
      <c r="AD431">
        <f>'raw data Crude oil'!AD432</f>
        <v>0</v>
      </c>
      <c r="AE431">
        <f>'raw data Crude oil'!AE432</f>
        <v>0</v>
      </c>
      <c r="AF431">
        <f>'raw data Crude oil'!AF432</f>
        <v>0</v>
      </c>
      <c r="AG431">
        <f>'raw data Crude oil'!AG432</f>
        <v>0</v>
      </c>
      <c r="AH431">
        <f>'raw data Crude oil'!AH432</f>
        <v>0</v>
      </c>
      <c r="AI431">
        <f>'raw data Crude oil'!AI432</f>
        <v>0</v>
      </c>
      <c r="AJ431">
        <f>'raw data Crude oil'!AJ432</f>
        <v>0</v>
      </c>
      <c r="AK431">
        <f>'raw data Crude oil'!AK432</f>
        <v>0</v>
      </c>
    </row>
    <row r="432" spans="1:37" x14ac:dyDescent="0.3">
      <c r="A432" s="18">
        <f>'raw data Crude oil'!A433</f>
        <v>43343</v>
      </c>
      <c r="B432">
        <f>'raw data Crude oil'!B433</f>
        <v>77.42</v>
      </c>
      <c r="C432">
        <f>'raw data Crude oil'!C433</f>
        <v>77.64</v>
      </c>
      <c r="D432">
        <f>'raw data Crude oil'!D433</f>
        <v>77.400000000000006</v>
      </c>
      <c r="E432">
        <f>'raw data Crude oil'!E433</f>
        <v>77.13</v>
      </c>
      <c r="F432">
        <f>'raw data Crude oil'!F433</f>
        <v>76.88</v>
      </c>
      <c r="G432">
        <f>'raw data Crude oil'!G433</f>
        <v>76.63</v>
      </c>
      <c r="H432">
        <f>'raw data Crude oil'!H433</f>
        <v>76.38</v>
      </c>
      <c r="I432">
        <f>'raw data Crude oil'!I433</f>
        <v>76.12</v>
      </c>
      <c r="J432">
        <f>'raw data Crude oil'!J433</f>
        <v>75.849999999999994</v>
      </c>
      <c r="K432">
        <f>'raw data Crude oil'!K433</f>
        <v>75.569999999999993</v>
      </c>
      <c r="L432">
        <f>'raw data Crude oil'!L433</f>
        <v>75.27</v>
      </c>
      <c r="M432">
        <f>'raw data Crude oil'!M433</f>
        <v>74.959999999999994</v>
      </c>
      <c r="N432">
        <f>'raw data Crude oil'!N433</f>
        <v>69.8</v>
      </c>
      <c r="O432">
        <f>'raw data Crude oil'!O433</f>
        <v>69.37</v>
      </c>
      <c r="P432">
        <f>'raw data Crude oil'!P433</f>
        <v>69.05</v>
      </c>
      <c r="Q432">
        <f>'raw data Crude oil'!Q433</f>
        <v>68.790000000000006</v>
      </c>
      <c r="R432">
        <f>'raw data Crude oil'!R433</f>
        <v>68.459999999999994</v>
      </c>
      <c r="S432">
        <f>'raw data Crude oil'!S433</f>
        <v>68.16</v>
      </c>
      <c r="T432">
        <f>'raw data Crude oil'!T433</f>
        <v>67.87</v>
      </c>
      <c r="U432">
        <f>'raw data Crude oil'!U433</f>
        <v>67.569999999999993</v>
      </c>
      <c r="V432">
        <f>'raw data Crude oil'!V433</f>
        <v>67.260000000000005</v>
      </c>
      <c r="W432">
        <f>'raw data Crude oil'!W433</f>
        <v>66.91</v>
      </c>
      <c r="X432">
        <f>'raw data Crude oil'!X433</f>
        <v>66.569999999999993</v>
      </c>
      <c r="Y432">
        <f>'raw data Crude oil'!Y433</f>
        <v>66.25</v>
      </c>
      <c r="Z432">
        <f>'raw data Crude oil'!Z433</f>
        <v>0</v>
      </c>
      <c r="AA432">
        <f>'raw data Crude oil'!AA433</f>
        <v>0</v>
      </c>
      <c r="AB432">
        <f>'raw data Crude oil'!AB433</f>
        <v>0</v>
      </c>
      <c r="AC432">
        <f>'raw data Crude oil'!AC433</f>
        <v>0</v>
      </c>
      <c r="AD432">
        <f>'raw data Crude oil'!AD433</f>
        <v>0</v>
      </c>
      <c r="AE432">
        <f>'raw data Crude oil'!AE433</f>
        <v>0</v>
      </c>
      <c r="AF432">
        <f>'raw data Crude oil'!AF433</f>
        <v>0</v>
      </c>
      <c r="AG432">
        <f>'raw data Crude oil'!AG433</f>
        <v>0</v>
      </c>
      <c r="AH432">
        <f>'raw data Crude oil'!AH433</f>
        <v>0</v>
      </c>
      <c r="AI432">
        <f>'raw data Crude oil'!AI433</f>
        <v>0</v>
      </c>
      <c r="AJ432">
        <f>'raw data Crude oil'!AJ433</f>
        <v>0</v>
      </c>
      <c r="AK432">
        <f>'raw data Crude oil'!AK433</f>
        <v>0</v>
      </c>
    </row>
    <row r="433" spans="1:37" x14ac:dyDescent="0.3">
      <c r="A433" s="18">
        <f>'raw data Crude oil'!A434</f>
        <v>43346</v>
      </c>
      <c r="B433">
        <f>'raw data Crude oil'!B434</f>
        <v>78.150000000000006</v>
      </c>
      <c r="C433">
        <f>'raw data Crude oil'!C434</f>
        <v>77.900000000000006</v>
      </c>
      <c r="D433">
        <f>'raw data Crude oil'!D434</f>
        <v>77.61</v>
      </c>
      <c r="E433">
        <f>'raw data Crude oil'!E434</f>
        <v>77.349999999999994</v>
      </c>
      <c r="F433">
        <f>'raw data Crude oil'!F434</f>
        <v>77.09</v>
      </c>
      <c r="G433">
        <f>'raw data Crude oil'!G434</f>
        <v>76.819999999999993</v>
      </c>
      <c r="H433">
        <f>'raw data Crude oil'!H434</f>
        <v>76.55</v>
      </c>
      <c r="I433">
        <f>'raw data Crude oil'!I434</f>
        <v>76.260000000000005</v>
      </c>
      <c r="J433">
        <f>'raw data Crude oil'!J434</f>
        <v>75.97</v>
      </c>
      <c r="K433">
        <f>'raw data Crude oil'!K434</f>
        <v>75.67</v>
      </c>
      <c r="L433">
        <f>'raw data Crude oil'!L434</f>
        <v>75.36</v>
      </c>
      <c r="M433">
        <f>'raw data Crude oil'!M434</f>
        <v>75.05</v>
      </c>
      <c r="N433">
        <f>'raw data Crude oil'!N434</f>
        <v>69.8</v>
      </c>
      <c r="O433">
        <f>'raw data Crude oil'!O434</f>
        <v>69.37</v>
      </c>
      <c r="P433">
        <f>'raw data Crude oil'!P434</f>
        <v>69.05</v>
      </c>
      <c r="Q433">
        <f>'raw data Crude oil'!Q434</f>
        <v>68.790000000000006</v>
      </c>
      <c r="R433">
        <f>'raw data Crude oil'!R434</f>
        <v>68.459999999999994</v>
      </c>
      <c r="S433">
        <f>'raw data Crude oil'!S434</f>
        <v>68.16</v>
      </c>
      <c r="T433">
        <f>'raw data Crude oil'!T434</f>
        <v>67.87</v>
      </c>
      <c r="U433">
        <f>'raw data Crude oil'!U434</f>
        <v>67.569999999999993</v>
      </c>
      <c r="V433">
        <f>'raw data Crude oil'!V434</f>
        <v>67.260000000000005</v>
      </c>
      <c r="W433">
        <f>'raw data Crude oil'!W434</f>
        <v>66.91</v>
      </c>
      <c r="X433">
        <f>'raw data Crude oil'!X434</f>
        <v>66.569999999999993</v>
      </c>
      <c r="Y433">
        <f>'raw data Crude oil'!Y434</f>
        <v>66.25</v>
      </c>
      <c r="Z433">
        <f>'raw data Crude oil'!Z434</f>
        <v>0</v>
      </c>
      <c r="AA433">
        <f>'raw data Crude oil'!AA434</f>
        <v>0</v>
      </c>
      <c r="AB433">
        <f>'raw data Crude oil'!AB434</f>
        <v>0</v>
      </c>
      <c r="AC433">
        <f>'raw data Crude oil'!AC434</f>
        <v>0</v>
      </c>
      <c r="AD433">
        <f>'raw data Crude oil'!AD434</f>
        <v>0</v>
      </c>
      <c r="AE433">
        <f>'raw data Crude oil'!AE434</f>
        <v>0</v>
      </c>
      <c r="AF433">
        <f>'raw data Crude oil'!AF434</f>
        <v>0</v>
      </c>
      <c r="AG433">
        <f>'raw data Crude oil'!AG434</f>
        <v>0</v>
      </c>
      <c r="AH433">
        <f>'raw data Crude oil'!AH434</f>
        <v>0</v>
      </c>
      <c r="AI433">
        <f>'raw data Crude oil'!AI434</f>
        <v>0</v>
      </c>
      <c r="AJ433">
        <f>'raw data Crude oil'!AJ434</f>
        <v>0</v>
      </c>
      <c r="AK433">
        <f>'raw data Crude oil'!AK434</f>
        <v>0</v>
      </c>
    </row>
    <row r="434" spans="1:37" x14ac:dyDescent="0.3">
      <c r="A434" s="18">
        <f>'raw data Crude oil'!A435</f>
        <v>43347</v>
      </c>
      <c r="B434">
        <f>'raw data Crude oil'!B435</f>
        <v>78.17</v>
      </c>
      <c r="C434">
        <f>'raw data Crude oil'!C435</f>
        <v>77.900000000000006</v>
      </c>
      <c r="D434">
        <f>'raw data Crude oil'!D435</f>
        <v>77.62</v>
      </c>
      <c r="E434">
        <f>'raw data Crude oil'!E435</f>
        <v>77.36</v>
      </c>
      <c r="F434">
        <f>'raw data Crude oil'!F435</f>
        <v>77.11</v>
      </c>
      <c r="G434">
        <f>'raw data Crude oil'!G435</f>
        <v>76.849999999999994</v>
      </c>
      <c r="H434">
        <f>'raw data Crude oil'!H435</f>
        <v>76.58</v>
      </c>
      <c r="I434">
        <f>'raw data Crude oil'!I435</f>
        <v>76.290000000000006</v>
      </c>
      <c r="J434">
        <f>'raw data Crude oil'!J435</f>
        <v>75.989999999999995</v>
      </c>
      <c r="K434">
        <f>'raw data Crude oil'!K435</f>
        <v>75.680000000000007</v>
      </c>
      <c r="L434">
        <f>'raw data Crude oil'!L435</f>
        <v>75.36</v>
      </c>
      <c r="M434">
        <f>'raw data Crude oil'!M435</f>
        <v>75.040000000000006</v>
      </c>
      <c r="N434">
        <f>'raw data Crude oil'!N435</f>
        <v>69.87</v>
      </c>
      <c r="O434">
        <f>'raw data Crude oil'!O435</f>
        <v>69.56</v>
      </c>
      <c r="P434">
        <f>'raw data Crude oil'!P435</f>
        <v>69.290000000000006</v>
      </c>
      <c r="Q434">
        <f>'raw data Crude oil'!Q435</f>
        <v>69.040000000000006</v>
      </c>
      <c r="R434">
        <f>'raw data Crude oil'!R435</f>
        <v>68.739999999999995</v>
      </c>
      <c r="S434">
        <f>'raw data Crude oil'!S435</f>
        <v>68.45</v>
      </c>
      <c r="T434">
        <f>'raw data Crude oil'!T435</f>
        <v>68.16</v>
      </c>
      <c r="U434">
        <f>'raw data Crude oil'!U435</f>
        <v>67.87</v>
      </c>
      <c r="V434">
        <f>'raw data Crude oil'!V435</f>
        <v>67.58</v>
      </c>
      <c r="W434">
        <f>'raw data Crude oil'!W435</f>
        <v>67.239999999999995</v>
      </c>
      <c r="X434">
        <f>'raw data Crude oil'!X435</f>
        <v>66.89</v>
      </c>
      <c r="Y434">
        <f>'raw data Crude oil'!Y435</f>
        <v>66.569999999999993</v>
      </c>
      <c r="Z434">
        <f>'raw data Crude oil'!Z435</f>
        <v>0</v>
      </c>
      <c r="AA434">
        <f>'raw data Crude oil'!AA435</f>
        <v>0</v>
      </c>
      <c r="AB434">
        <f>'raw data Crude oil'!AB435</f>
        <v>0</v>
      </c>
      <c r="AC434">
        <f>'raw data Crude oil'!AC435</f>
        <v>0</v>
      </c>
      <c r="AD434">
        <f>'raw data Crude oil'!AD435</f>
        <v>0</v>
      </c>
      <c r="AE434">
        <f>'raw data Crude oil'!AE435</f>
        <v>0</v>
      </c>
      <c r="AF434">
        <f>'raw data Crude oil'!AF435</f>
        <v>0</v>
      </c>
      <c r="AG434">
        <f>'raw data Crude oil'!AG435</f>
        <v>0</v>
      </c>
      <c r="AH434">
        <f>'raw data Crude oil'!AH435</f>
        <v>0</v>
      </c>
      <c r="AI434">
        <f>'raw data Crude oil'!AI435</f>
        <v>0</v>
      </c>
      <c r="AJ434">
        <f>'raw data Crude oil'!AJ435</f>
        <v>0</v>
      </c>
      <c r="AK434">
        <f>'raw data Crude oil'!AK435</f>
        <v>0</v>
      </c>
    </row>
    <row r="435" spans="1:37" x14ac:dyDescent="0.3">
      <c r="A435" s="18">
        <f>'raw data Crude oil'!A436</f>
        <v>43348</v>
      </c>
      <c r="B435">
        <f>'raw data Crude oil'!B436</f>
        <v>77.27</v>
      </c>
      <c r="C435">
        <f>'raw data Crude oil'!C436</f>
        <v>76.900000000000006</v>
      </c>
      <c r="D435">
        <f>'raw data Crude oil'!D436</f>
        <v>76.569999999999993</v>
      </c>
      <c r="E435">
        <f>'raw data Crude oil'!E436</f>
        <v>76.31</v>
      </c>
      <c r="F435">
        <f>'raw data Crude oil'!F436</f>
        <v>76.06</v>
      </c>
      <c r="G435">
        <f>'raw data Crude oil'!G436</f>
        <v>75.83</v>
      </c>
      <c r="H435">
        <f>'raw data Crude oil'!H436</f>
        <v>75.61</v>
      </c>
      <c r="I435">
        <f>'raw data Crude oil'!I436</f>
        <v>75.36</v>
      </c>
      <c r="J435">
        <f>'raw data Crude oil'!J436</f>
        <v>75.099999999999994</v>
      </c>
      <c r="K435">
        <f>'raw data Crude oil'!K436</f>
        <v>74.819999999999993</v>
      </c>
      <c r="L435">
        <f>'raw data Crude oil'!L436</f>
        <v>74.52</v>
      </c>
      <c r="M435">
        <f>'raw data Crude oil'!M436</f>
        <v>74.209999999999994</v>
      </c>
      <c r="N435">
        <f>'raw data Crude oil'!N436</f>
        <v>68.72</v>
      </c>
      <c r="O435">
        <f>'raw data Crude oil'!O436</f>
        <v>68.42</v>
      </c>
      <c r="P435">
        <f>'raw data Crude oil'!P436</f>
        <v>68.17</v>
      </c>
      <c r="Q435">
        <f>'raw data Crude oil'!Q436</f>
        <v>67.94</v>
      </c>
      <c r="R435">
        <f>'raw data Crude oil'!R436</f>
        <v>67.67</v>
      </c>
      <c r="S435">
        <f>'raw data Crude oil'!S436</f>
        <v>67.42</v>
      </c>
      <c r="T435">
        <f>'raw data Crude oil'!T436</f>
        <v>67.17</v>
      </c>
      <c r="U435">
        <f>'raw data Crude oil'!U436</f>
        <v>66.930000000000007</v>
      </c>
      <c r="V435">
        <f>'raw data Crude oil'!V436</f>
        <v>66.67</v>
      </c>
      <c r="W435">
        <f>'raw data Crude oil'!W436</f>
        <v>66.38</v>
      </c>
      <c r="X435">
        <f>'raw data Crude oil'!X436</f>
        <v>66.069999999999993</v>
      </c>
      <c r="Y435">
        <f>'raw data Crude oil'!Y436</f>
        <v>65.78</v>
      </c>
      <c r="Z435">
        <f>'raw data Crude oil'!Z436</f>
        <v>0</v>
      </c>
      <c r="AA435">
        <f>'raw data Crude oil'!AA436</f>
        <v>0</v>
      </c>
      <c r="AB435">
        <f>'raw data Crude oil'!AB436</f>
        <v>0</v>
      </c>
      <c r="AC435">
        <f>'raw data Crude oil'!AC436</f>
        <v>0</v>
      </c>
      <c r="AD435">
        <f>'raw data Crude oil'!AD436</f>
        <v>0</v>
      </c>
      <c r="AE435">
        <f>'raw data Crude oil'!AE436</f>
        <v>0</v>
      </c>
      <c r="AF435">
        <f>'raw data Crude oil'!AF436</f>
        <v>0</v>
      </c>
      <c r="AG435">
        <f>'raw data Crude oil'!AG436</f>
        <v>0</v>
      </c>
      <c r="AH435">
        <f>'raw data Crude oil'!AH436</f>
        <v>0</v>
      </c>
      <c r="AI435">
        <f>'raw data Crude oil'!AI436</f>
        <v>0</v>
      </c>
      <c r="AJ435">
        <f>'raw data Crude oil'!AJ436</f>
        <v>0</v>
      </c>
      <c r="AK435">
        <f>'raw data Crude oil'!AK436</f>
        <v>0</v>
      </c>
    </row>
    <row r="436" spans="1:37" x14ac:dyDescent="0.3">
      <c r="A436" s="18">
        <f>'raw data Crude oil'!A437</f>
        <v>43349</v>
      </c>
      <c r="B436">
        <f>'raw data Crude oil'!B437</f>
        <v>76.5</v>
      </c>
      <c r="C436">
        <f>'raw data Crude oil'!C437</f>
        <v>76.150000000000006</v>
      </c>
      <c r="D436">
        <f>'raw data Crude oil'!D437</f>
        <v>75.83</v>
      </c>
      <c r="E436">
        <f>'raw data Crude oil'!E437</f>
        <v>75.59</v>
      </c>
      <c r="F436">
        <f>'raw data Crude oil'!F437</f>
        <v>75.36</v>
      </c>
      <c r="G436">
        <f>'raw data Crude oil'!G437</f>
        <v>75.14</v>
      </c>
      <c r="H436">
        <f>'raw data Crude oil'!H437</f>
        <v>74.92</v>
      </c>
      <c r="I436">
        <f>'raw data Crude oil'!I437</f>
        <v>74.680000000000007</v>
      </c>
      <c r="J436">
        <f>'raw data Crude oil'!J437</f>
        <v>74.430000000000007</v>
      </c>
      <c r="K436">
        <f>'raw data Crude oil'!K437</f>
        <v>74.150000000000006</v>
      </c>
      <c r="L436">
        <f>'raw data Crude oil'!L437</f>
        <v>73.86</v>
      </c>
      <c r="M436">
        <f>'raw data Crude oil'!M437</f>
        <v>73.56</v>
      </c>
      <c r="N436">
        <f>'raw data Crude oil'!N437</f>
        <v>67.77</v>
      </c>
      <c r="O436">
        <f>'raw data Crude oil'!O437</f>
        <v>67.52</v>
      </c>
      <c r="P436">
        <f>'raw data Crude oil'!P437</f>
        <v>67.3</v>
      </c>
      <c r="Q436">
        <f>'raw data Crude oil'!Q437</f>
        <v>67.069999999999993</v>
      </c>
      <c r="R436">
        <f>'raw data Crude oil'!R437</f>
        <v>66.81</v>
      </c>
      <c r="S436">
        <f>'raw data Crude oil'!S437</f>
        <v>66.58</v>
      </c>
      <c r="T436">
        <f>'raw data Crude oil'!T437</f>
        <v>66.34</v>
      </c>
      <c r="U436">
        <f>'raw data Crude oil'!U437</f>
        <v>66.12</v>
      </c>
      <c r="V436">
        <f>'raw data Crude oil'!V437</f>
        <v>65.87</v>
      </c>
      <c r="W436">
        <f>'raw data Crude oil'!W437</f>
        <v>65.59</v>
      </c>
      <c r="X436">
        <f>'raw data Crude oil'!X437</f>
        <v>65.319999999999993</v>
      </c>
      <c r="Y436">
        <f>'raw data Crude oil'!Y437</f>
        <v>65.040000000000006</v>
      </c>
      <c r="Z436">
        <f>'raw data Crude oil'!Z437</f>
        <v>0</v>
      </c>
      <c r="AA436">
        <f>'raw data Crude oil'!AA437</f>
        <v>0</v>
      </c>
      <c r="AB436">
        <f>'raw data Crude oil'!AB437</f>
        <v>0</v>
      </c>
      <c r="AC436">
        <f>'raw data Crude oil'!AC437</f>
        <v>0</v>
      </c>
      <c r="AD436">
        <f>'raw data Crude oil'!AD437</f>
        <v>0</v>
      </c>
      <c r="AE436">
        <f>'raw data Crude oil'!AE437</f>
        <v>0</v>
      </c>
      <c r="AF436">
        <f>'raw data Crude oil'!AF437</f>
        <v>0</v>
      </c>
      <c r="AG436">
        <f>'raw data Crude oil'!AG437</f>
        <v>0</v>
      </c>
      <c r="AH436">
        <f>'raw data Crude oil'!AH437</f>
        <v>0</v>
      </c>
      <c r="AI436">
        <f>'raw data Crude oil'!AI437</f>
        <v>0</v>
      </c>
      <c r="AJ436">
        <f>'raw data Crude oil'!AJ437</f>
        <v>0</v>
      </c>
      <c r="AK436">
        <f>'raw data Crude oil'!AK437</f>
        <v>0</v>
      </c>
    </row>
    <row r="437" spans="1:37" x14ac:dyDescent="0.3">
      <c r="A437" s="18">
        <f>'raw data Crude oil'!A438</f>
        <v>43350</v>
      </c>
      <c r="B437">
        <f>'raw data Crude oil'!B438</f>
        <v>76.83</v>
      </c>
      <c r="C437">
        <f>'raw data Crude oil'!C438</f>
        <v>76.47</v>
      </c>
      <c r="D437">
        <f>'raw data Crude oil'!D438</f>
        <v>76.16</v>
      </c>
      <c r="E437">
        <f>'raw data Crude oil'!E438</f>
        <v>75.930000000000007</v>
      </c>
      <c r="F437">
        <f>'raw data Crude oil'!F438</f>
        <v>75.7</v>
      </c>
      <c r="G437">
        <f>'raw data Crude oil'!G438</f>
        <v>75.47</v>
      </c>
      <c r="H437">
        <f>'raw data Crude oil'!H438</f>
        <v>75.25</v>
      </c>
      <c r="I437">
        <f>'raw data Crude oil'!I438</f>
        <v>75.010000000000005</v>
      </c>
      <c r="J437">
        <f>'raw data Crude oil'!J438</f>
        <v>74.75</v>
      </c>
      <c r="K437">
        <f>'raw data Crude oil'!K438</f>
        <v>74.47</v>
      </c>
      <c r="L437">
        <f>'raw data Crude oil'!L438</f>
        <v>74.17</v>
      </c>
      <c r="M437">
        <f>'raw data Crude oil'!M438</f>
        <v>73.86</v>
      </c>
      <c r="N437">
        <f>'raw data Crude oil'!N438</f>
        <v>67.75</v>
      </c>
      <c r="O437">
        <f>'raw data Crude oil'!O438</f>
        <v>67.55</v>
      </c>
      <c r="P437">
        <f>'raw data Crude oil'!P438</f>
        <v>67.39</v>
      </c>
      <c r="Q437">
        <f>'raw data Crude oil'!Q438</f>
        <v>67.19</v>
      </c>
      <c r="R437">
        <f>'raw data Crude oil'!R438</f>
        <v>66.959999999999994</v>
      </c>
      <c r="S437">
        <f>'raw data Crude oil'!S438</f>
        <v>66.73</v>
      </c>
      <c r="T437">
        <f>'raw data Crude oil'!T438</f>
        <v>66.5</v>
      </c>
      <c r="U437">
        <f>'raw data Crude oil'!U438</f>
        <v>66.28</v>
      </c>
      <c r="V437">
        <f>'raw data Crude oil'!V438</f>
        <v>66.040000000000006</v>
      </c>
      <c r="W437">
        <f>'raw data Crude oil'!W438</f>
        <v>65.78</v>
      </c>
      <c r="X437">
        <f>'raw data Crude oil'!X438</f>
        <v>65.489999999999995</v>
      </c>
      <c r="Y437">
        <f>'raw data Crude oil'!Y438</f>
        <v>65.209999999999994</v>
      </c>
      <c r="Z437">
        <f>'raw data Crude oil'!Z438</f>
        <v>0</v>
      </c>
      <c r="AA437">
        <f>'raw data Crude oil'!AA438</f>
        <v>0</v>
      </c>
      <c r="AB437">
        <f>'raw data Crude oil'!AB438</f>
        <v>0</v>
      </c>
      <c r="AC437">
        <f>'raw data Crude oil'!AC438</f>
        <v>0</v>
      </c>
      <c r="AD437">
        <f>'raw data Crude oil'!AD438</f>
        <v>0</v>
      </c>
      <c r="AE437">
        <f>'raw data Crude oil'!AE438</f>
        <v>0</v>
      </c>
      <c r="AF437">
        <f>'raw data Crude oil'!AF438</f>
        <v>0</v>
      </c>
      <c r="AG437">
        <f>'raw data Crude oil'!AG438</f>
        <v>0</v>
      </c>
      <c r="AH437">
        <f>'raw data Crude oil'!AH438</f>
        <v>0</v>
      </c>
      <c r="AI437">
        <f>'raw data Crude oil'!AI438</f>
        <v>0</v>
      </c>
      <c r="AJ437">
        <f>'raw data Crude oil'!AJ438</f>
        <v>0</v>
      </c>
      <c r="AK437">
        <f>'raw data Crude oil'!AK438</f>
        <v>0</v>
      </c>
    </row>
    <row r="438" spans="1:37" x14ac:dyDescent="0.3">
      <c r="A438" s="18">
        <f>'raw data Crude oil'!A439</f>
        <v>43353</v>
      </c>
      <c r="B438">
        <f>'raw data Crude oil'!B439</f>
        <v>77.37</v>
      </c>
      <c r="C438">
        <f>'raw data Crude oil'!C439</f>
        <v>76.92</v>
      </c>
      <c r="D438">
        <f>'raw data Crude oil'!D439</f>
        <v>76.55</v>
      </c>
      <c r="E438">
        <f>'raw data Crude oil'!E439</f>
        <v>76.28</v>
      </c>
      <c r="F438">
        <f>'raw data Crude oil'!F439</f>
        <v>76.03</v>
      </c>
      <c r="G438">
        <f>'raw data Crude oil'!G439</f>
        <v>75.8</v>
      </c>
      <c r="H438">
        <f>'raw data Crude oil'!H439</f>
        <v>75.569999999999993</v>
      </c>
      <c r="I438">
        <f>'raw data Crude oil'!I439</f>
        <v>75.33</v>
      </c>
      <c r="J438">
        <f>'raw data Crude oil'!J439</f>
        <v>75.06</v>
      </c>
      <c r="K438">
        <f>'raw data Crude oil'!K439</f>
        <v>74.760000000000005</v>
      </c>
      <c r="L438">
        <f>'raw data Crude oil'!L439</f>
        <v>74.45</v>
      </c>
      <c r="M438">
        <f>'raw data Crude oil'!M439</f>
        <v>74.12</v>
      </c>
      <c r="N438">
        <f>'raw data Crude oil'!N439</f>
        <v>67.540000000000006</v>
      </c>
      <c r="O438">
        <f>'raw data Crude oil'!O439</f>
        <v>67.41</v>
      </c>
      <c r="P438">
        <f>'raw data Crude oil'!P439</f>
        <v>67.31</v>
      </c>
      <c r="Q438">
        <f>'raw data Crude oil'!Q439</f>
        <v>67.17</v>
      </c>
      <c r="R438">
        <f>'raw data Crude oil'!R439</f>
        <v>67</v>
      </c>
      <c r="S438">
        <f>'raw data Crude oil'!S439</f>
        <v>66.8</v>
      </c>
      <c r="T438">
        <f>'raw data Crude oil'!T439</f>
        <v>66.61</v>
      </c>
      <c r="U438">
        <f>'raw data Crude oil'!U439</f>
        <v>66.430000000000007</v>
      </c>
      <c r="V438">
        <f>'raw data Crude oil'!V439</f>
        <v>66.2</v>
      </c>
      <c r="W438">
        <f>'raw data Crude oil'!W439</f>
        <v>65.95</v>
      </c>
      <c r="X438">
        <f>'raw data Crude oil'!X439</f>
        <v>65.69</v>
      </c>
      <c r="Y438">
        <f>'raw data Crude oil'!Y439</f>
        <v>65.41</v>
      </c>
      <c r="Z438">
        <f>'raw data Crude oil'!Z439</f>
        <v>0</v>
      </c>
      <c r="AA438">
        <f>'raw data Crude oil'!AA439</f>
        <v>0</v>
      </c>
      <c r="AB438">
        <f>'raw data Crude oil'!AB439</f>
        <v>0</v>
      </c>
      <c r="AC438">
        <f>'raw data Crude oil'!AC439</f>
        <v>0</v>
      </c>
      <c r="AD438">
        <f>'raw data Crude oil'!AD439</f>
        <v>0</v>
      </c>
      <c r="AE438">
        <f>'raw data Crude oil'!AE439</f>
        <v>0</v>
      </c>
      <c r="AF438">
        <f>'raw data Crude oil'!AF439</f>
        <v>0</v>
      </c>
      <c r="AG438">
        <f>'raw data Crude oil'!AG439</f>
        <v>0</v>
      </c>
      <c r="AH438">
        <f>'raw data Crude oil'!AH439</f>
        <v>0</v>
      </c>
      <c r="AI438">
        <f>'raw data Crude oil'!AI439</f>
        <v>0</v>
      </c>
      <c r="AJ438">
        <f>'raw data Crude oil'!AJ439</f>
        <v>0</v>
      </c>
      <c r="AK438">
        <f>'raw data Crude oil'!AK439</f>
        <v>0</v>
      </c>
    </row>
    <row r="439" spans="1:37" x14ac:dyDescent="0.3">
      <c r="A439" s="18">
        <f>'raw data Crude oil'!A440</f>
        <v>43354</v>
      </c>
      <c r="B439">
        <f>'raw data Crude oil'!B440</f>
        <v>79.06</v>
      </c>
      <c r="C439">
        <f>'raw data Crude oil'!C440</f>
        <v>78.56</v>
      </c>
      <c r="D439">
        <f>'raw data Crude oil'!D440</f>
        <v>78.17</v>
      </c>
      <c r="E439">
        <f>'raw data Crude oil'!E440</f>
        <v>77.849999999999994</v>
      </c>
      <c r="F439">
        <f>'raw data Crude oil'!F440</f>
        <v>77.56</v>
      </c>
      <c r="G439">
        <f>'raw data Crude oil'!G440</f>
        <v>77.290000000000006</v>
      </c>
      <c r="H439">
        <f>'raw data Crude oil'!H440</f>
        <v>77.02</v>
      </c>
      <c r="I439">
        <f>'raw data Crude oil'!I440</f>
        <v>76.73</v>
      </c>
      <c r="J439">
        <f>'raw data Crude oil'!J440</f>
        <v>76.42</v>
      </c>
      <c r="K439">
        <f>'raw data Crude oil'!K440</f>
        <v>76.09</v>
      </c>
      <c r="L439">
        <f>'raw data Crude oil'!L440</f>
        <v>75.739999999999995</v>
      </c>
      <c r="M439">
        <f>'raw data Crude oil'!M440</f>
        <v>75.38</v>
      </c>
      <c r="N439">
        <f>'raw data Crude oil'!N440</f>
        <v>69.25</v>
      </c>
      <c r="O439">
        <f>'raw data Crude oil'!O440</f>
        <v>69.040000000000006</v>
      </c>
      <c r="P439">
        <f>'raw data Crude oil'!P440</f>
        <v>68.89</v>
      </c>
      <c r="Q439">
        <f>'raw data Crude oil'!Q440</f>
        <v>68.709999999999994</v>
      </c>
      <c r="R439">
        <f>'raw data Crude oil'!R440</f>
        <v>68.5</v>
      </c>
      <c r="S439">
        <f>'raw data Crude oil'!S440</f>
        <v>68.28</v>
      </c>
      <c r="T439">
        <f>'raw data Crude oil'!T440</f>
        <v>68.06</v>
      </c>
      <c r="U439">
        <f>'raw data Crude oil'!U440</f>
        <v>67.86</v>
      </c>
      <c r="V439">
        <f>'raw data Crude oil'!V440</f>
        <v>67.63</v>
      </c>
      <c r="W439">
        <f>'raw data Crude oil'!W440</f>
        <v>67.36</v>
      </c>
      <c r="X439">
        <f>'raw data Crude oil'!X440</f>
        <v>67.06</v>
      </c>
      <c r="Y439">
        <f>'raw data Crude oil'!Y440</f>
        <v>66.77</v>
      </c>
      <c r="Z439">
        <f>'raw data Crude oil'!Z440</f>
        <v>0</v>
      </c>
      <c r="AA439">
        <f>'raw data Crude oil'!AA440</f>
        <v>0</v>
      </c>
      <c r="AB439">
        <f>'raw data Crude oil'!AB440</f>
        <v>0</v>
      </c>
      <c r="AC439">
        <f>'raw data Crude oil'!AC440</f>
        <v>0</v>
      </c>
      <c r="AD439">
        <f>'raw data Crude oil'!AD440</f>
        <v>0</v>
      </c>
      <c r="AE439">
        <f>'raw data Crude oil'!AE440</f>
        <v>0</v>
      </c>
      <c r="AF439">
        <f>'raw data Crude oil'!AF440</f>
        <v>0</v>
      </c>
      <c r="AG439">
        <f>'raw data Crude oil'!AG440</f>
        <v>0</v>
      </c>
      <c r="AH439">
        <f>'raw data Crude oil'!AH440</f>
        <v>0</v>
      </c>
      <c r="AI439">
        <f>'raw data Crude oil'!AI440</f>
        <v>0</v>
      </c>
      <c r="AJ439">
        <f>'raw data Crude oil'!AJ440</f>
        <v>0</v>
      </c>
      <c r="AK439">
        <f>'raw data Crude oil'!AK440</f>
        <v>0</v>
      </c>
    </row>
    <row r="440" spans="1:37" x14ac:dyDescent="0.3">
      <c r="A440" s="18">
        <f>'raw data Crude oil'!A441</f>
        <v>43355</v>
      </c>
      <c r="B440">
        <f>'raw data Crude oil'!B441</f>
        <v>79.739999999999995</v>
      </c>
      <c r="C440">
        <f>'raw data Crude oil'!C441</f>
        <v>79.290000000000006</v>
      </c>
      <c r="D440">
        <f>'raw data Crude oil'!D441</f>
        <v>78.900000000000006</v>
      </c>
      <c r="E440">
        <f>'raw data Crude oil'!E441</f>
        <v>78.58</v>
      </c>
      <c r="F440">
        <f>'raw data Crude oil'!F441</f>
        <v>78.290000000000006</v>
      </c>
      <c r="G440">
        <f>'raw data Crude oil'!G441</f>
        <v>78.02</v>
      </c>
      <c r="H440">
        <f>'raw data Crude oil'!H441</f>
        <v>77.739999999999995</v>
      </c>
      <c r="I440">
        <f>'raw data Crude oil'!I441</f>
        <v>77.45</v>
      </c>
      <c r="J440">
        <f>'raw data Crude oil'!J441</f>
        <v>77.14</v>
      </c>
      <c r="K440">
        <f>'raw data Crude oil'!K441</f>
        <v>76.81</v>
      </c>
      <c r="L440">
        <f>'raw data Crude oil'!L441</f>
        <v>76.459999999999994</v>
      </c>
      <c r="M440">
        <f>'raw data Crude oil'!M441</f>
        <v>76.11</v>
      </c>
      <c r="N440">
        <f>'raw data Crude oil'!N441</f>
        <v>70.37</v>
      </c>
      <c r="O440">
        <f>'raw data Crude oil'!O441</f>
        <v>70.16</v>
      </c>
      <c r="P440">
        <f>'raw data Crude oil'!P441</f>
        <v>70.040000000000006</v>
      </c>
      <c r="Q440">
        <f>'raw data Crude oil'!Q441</f>
        <v>69.88</v>
      </c>
      <c r="R440">
        <f>'raw data Crude oil'!R441</f>
        <v>69.650000000000006</v>
      </c>
      <c r="S440">
        <f>'raw data Crude oil'!S441</f>
        <v>69.41</v>
      </c>
      <c r="T440">
        <f>'raw data Crude oil'!T441</f>
        <v>69.17</v>
      </c>
      <c r="U440">
        <f>'raw data Crude oil'!U441</f>
        <v>68.94</v>
      </c>
      <c r="V440">
        <f>'raw data Crude oil'!V441</f>
        <v>68.67</v>
      </c>
      <c r="W440">
        <f>'raw data Crude oil'!W441</f>
        <v>68.37</v>
      </c>
      <c r="X440">
        <f>'raw data Crude oil'!X441</f>
        <v>68.069999999999993</v>
      </c>
      <c r="Y440">
        <f>'raw data Crude oil'!Y441</f>
        <v>67.77</v>
      </c>
      <c r="Z440">
        <f>'raw data Crude oil'!Z441</f>
        <v>0</v>
      </c>
      <c r="AA440">
        <f>'raw data Crude oil'!AA441</f>
        <v>0</v>
      </c>
      <c r="AB440">
        <f>'raw data Crude oil'!AB441</f>
        <v>0</v>
      </c>
      <c r="AC440">
        <f>'raw data Crude oil'!AC441</f>
        <v>0</v>
      </c>
      <c r="AD440">
        <f>'raw data Crude oil'!AD441</f>
        <v>0</v>
      </c>
      <c r="AE440">
        <f>'raw data Crude oil'!AE441</f>
        <v>0</v>
      </c>
      <c r="AF440">
        <f>'raw data Crude oil'!AF441</f>
        <v>0</v>
      </c>
      <c r="AG440">
        <f>'raw data Crude oil'!AG441</f>
        <v>0</v>
      </c>
      <c r="AH440">
        <f>'raw data Crude oil'!AH441</f>
        <v>0</v>
      </c>
      <c r="AI440">
        <f>'raw data Crude oil'!AI441</f>
        <v>0</v>
      </c>
      <c r="AJ440">
        <f>'raw data Crude oil'!AJ441</f>
        <v>0</v>
      </c>
      <c r="AK440">
        <f>'raw data Crude oil'!AK441</f>
        <v>0</v>
      </c>
    </row>
    <row r="441" spans="1:37" x14ac:dyDescent="0.3">
      <c r="A441" s="18">
        <f>'raw data Crude oil'!A442</f>
        <v>43356</v>
      </c>
      <c r="B441">
        <f>'raw data Crude oil'!B442</f>
        <v>78.180000000000007</v>
      </c>
      <c r="C441">
        <f>'raw data Crude oil'!C442</f>
        <v>77.75</v>
      </c>
      <c r="D441">
        <f>'raw data Crude oil'!D442</f>
        <v>77.38</v>
      </c>
      <c r="E441">
        <f>'raw data Crude oil'!E442</f>
        <v>77.08</v>
      </c>
      <c r="F441">
        <f>'raw data Crude oil'!F442</f>
        <v>76.819999999999993</v>
      </c>
      <c r="G441">
        <f>'raw data Crude oil'!G442</f>
        <v>76.569999999999993</v>
      </c>
      <c r="H441">
        <f>'raw data Crude oil'!H442</f>
        <v>76.31</v>
      </c>
      <c r="I441">
        <f>'raw data Crude oil'!I442</f>
        <v>76.040000000000006</v>
      </c>
      <c r="J441">
        <f>'raw data Crude oil'!J442</f>
        <v>75.75</v>
      </c>
      <c r="K441">
        <f>'raw data Crude oil'!K442</f>
        <v>75.44</v>
      </c>
      <c r="L441">
        <f>'raw data Crude oil'!L442</f>
        <v>75.11</v>
      </c>
      <c r="M441">
        <f>'raw data Crude oil'!M442</f>
        <v>74.77</v>
      </c>
      <c r="N441">
        <f>'raw data Crude oil'!N442</f>
        <v>68.59</v>
      </c>
      <c r="O441">
        <f>'raw data Crude oil'!O442</f>
        <v>68.41</v>
      </c>
      <c r="P441">
        <f>'raw data Crude oil'!P442</f>
        <v>68.349999999999994</v>
      </c>
      <c r="Q441">
        <f>'raw data Crude oil'!Q442</f>
        <v>68.25</v>
      </c>
      <c r="R441">
        <f>'raw data Crude oil'!R442</f>
        <v>68.09</v>
      </c>
      <c r="S441">
        <f>'raw data Crude oil'!S442</f>
        <v>67.91</v>
      </c>
      <c r="T441">
        <f>'raw data Crude oil'!T442</f>
        <v>67.709999999999994</v>
      </c>
      <c r="U441">
        <f>'raw data Crude oil'!U442</f>
        <v>67.5</v>
      </c>
      <c r="V441">
        <f>'raw data Crude oil'!V442</f>
        <v>67.27</v>
      </c>
      <c r="W441">
        <f>'raw data Crude oil'!W442</f>
        <v>67.010000000000005</v>
      </c>
      <c r="X441">
        <f>'raw data Crude oil'!X442</f>
        <v>66.739999999999995</v>
      </c>
      <c r="Y441">
        <f>'raw data Crude oil'!Y442</f>
        <v>66.47</v>
      </c>
      <c r="Z441">
        <f>'raw data Crude oil'!Z442</f>
        <v>0</v>
      </c>
      <c r="AA441">
        <f>'raw data Crude oil'!AA442</f>
        <v>0</v>
      </c>
      <c r="AB441">
        <f>'raw data Crude oil'!AB442</f>
        <v>0</v>
      </c>
      <c r="AC441">
        <f>'raw data Crude oil'!AC442</f>
        <v>0</v>
      </c>
      <c r="AD441">
        <f>'raw data Crude oil'!AD442</f>
        <v>0</v>
      </c>
      <c r="AE441">
        <f>'raw data Crude oil'!AE442</f>
        <v>0</v>
      </c>
      <c r="AF441">
        <f>'raw data Crude oil'!AF442</f>
        <v>0</v>
      </c>
      <c r="AG441">
        <f>'raw data Crude oil'!AG442</f>
        <v>0</v>
      </c>
      <c r="AH441">
        <f>'raw data Crude oil'!AH442</f>
        <v>0</v>
      </c>
      <c r="AI441">
        <f>'raw data Crude oil'!AI442</f>
        <v>0</v>
      </c>
      <c r="AJ441">
        <f>'raw data Crude oil'!AJ442</f>
        <v>0</v>
      </c>
      <c r="AK441">
        <f>'raw data Crude oil'!AK442</f>
        <v>0</v>
      </c>
    </row>
    <row r="442" spans="1:37" x14ac:dyDescent="0.3">
      <c r="A442" s="18">
        <f>'raw data Crude oil'!A443</f>
        <v>43357</v>
      </c>
      <c r="B442">
        <f>'raw data Crude oil'!B443</f>
        <v>78.09</v>
      </c>
      <c r="C442">
        <f>'raw data Crude oil'!C443</f>
        <v>77.61</v>
      </c>
      <c r="D442">
        <f>'raw data Crude oil'!D443</f>
        <v>77.22</v>
      </c>
      <c r="E442">
        <f>'raw data Crude oil'!E443</f>
        <v>76.900000000000006</v>
      </c>
      <c r="F442">
        <f>'raw data Crude oil'!F443</f>
        <v>76.63</v>
      </c>
      <c r="G442">
        <f>'raw data Crude oil'!G443</f>
        <v>76.39</v>
      </c>
      <c r="H442">
        <f>'raw data Crude oil'!H443</f>
        <v>76.14</v>
      </c>
      <c r="I442">
        <f>'raw data Crude oil'!I443</f>
        <v>75.88</v>
      </c>
      <c r="J442">
        <f>'raw data Crude oil'!J443</f>
        <v>75.61</v>
      </c>
      <c r="K442">
        <f>'raw data Crude oil'!K443</f>
        <v>75.319999999999993</v>
      </c>
      <c r="L442">
        <f>'raw data Crude oil'!L443</f>
        <v>75</v>
      </c>
      <c r="M442">
        <f>'raw data Crude oil'!M443</f>
        <v>74.67</v>
      </c>
      <c r="N442">
        <f>'raw data Crude oil'!N443</f>
        <v>68.989999999999995</v>
      </c>
      <c r="O442">
        <f>'raw data Crude oil'!O443</f>
        <v>68.77</v>
      </c>
      <c r="P442">
        <f>'raw data Crude oil'!P443</f>
        <v>68.67</v>
      </c>
      <c r="Q442">
        <f>'raw data Crude oil'!Q443</f>
        <v>68.540000000000006</v>
      </c>
      <c r="R442">
        <f>'raw data Crude oil'!R443</f>
        <v>68.38</v>
      </c>
      <c r="S442">
        <f>'raw data Crude oil'!S443</f>
        <v>68.2</v>
      </c>
      <c r="T442">
        <f>'raw data Crude oil'!T443</f>
        <v>68</v>
      </c>
      <c r="U442">
        <f>'raw data Crude oil'!U443</f>
        <v>67.8</v>
      </c>
      <c r="V442">
        <f>'raw data Crude oil'!V443</f>
        <v>67.56</v>
      </c>
      <c r="W442">
        <f>'raw data Crude oil'!W443</f>
        <v>67.3</v>
      </c>
      <c r="X442">
        <f>'raw data Crude oil'!X443</f>
        <v>67.03</v>
      </c>
      <c r="Y442">
        <f>'raw data Crude oil'!Y443</f>
        <v>66.760000000000005</v>
      </c>
      <c r="Z442">
        <f>'raw data Crude oil'!Z443</f>
        <v>0</v>
      </c>
      <c r="AA442">
        <f>'raw data Crude oil'!AA443</f>
        <v>0</v>
      </c>
      <c r="AB442">
        <f>'raw data Crude oil'!AB443</f>
        <v>0</v>
      </c>
      <c r="AC442">
        <f>'raw data Crude oil'!AC443</f>
        <v>0</v>
      </c>
      <c r="AD442">
        <f>'raw data Crude oil'!AD443</f>
        <v>0</v>
      </c>
      <c r="AE442">
        <f>'raw data Crude oil'!AE443</f>
        <v>0</v>
      </c>
      <c r="AF442">
        <f>'raw data Crude oil'!AF443</f>
        <v>0</v>
      </c>
      <c r="AG442">
        <f>'raw data Crude oil'!AG443</f>
        <v>0</v>
      </c>
      <c r="AH442">
        <f>'raw data Crude oil'!AH443</f>
        <v>0</v>
      </c>
      <c r="AI442">
        <f>'raw data Crude oil'!AI443</f>
        <v>0</v>
      </c>
      <c r="AJ442">
        <f>'raw data Crude oil'!AJ443</f>
        <v>0</v>
      </c>
      <c r="AK442">
        <f>'raw data Crude oil'!AK443</f>
        <v>0</v>
      </c>
    </row>
    <row r="443" spans="1:37" x14ac:dyDescent="0.3">
      <c r="A443" s="18">
        <f>'raw data Crude oil'!A444</f>
        <v>43360</v>
      </c>
      <c r="B443">
        <f>'raw data Crude oil'!B444</f>
        <v>78.05</v>
      </c>
      <c r="C443">
        <f>'raw data Crude oil'!C444</f>
        <v>77.59</v>
      </c>
      <c r="D443">
        <f>'raw data Crude oil'!D444</f>
        <v>77.23</v>
      </c>
      <c r="E443">
        <f>'raw data Crude oil'!E444</f>
        <v>76.959999999999994</v>
      </c>
      <c r="F443">
        <f>'raw data Crude oil'!F444</f>
        <v>76.739999999999995</v>
      </c>
      <c r="G443">
        <f>'raw data Crude oil'!G444</f>
        <v>76.53</v>
      </c>
      <c r="H443">
        <f>'raw data Crude oil'!H444</f>
        <v>76.31</v>
      </c>
      <c r="I443">
        <f>'raw data Crude oil'!I444</f>
        <v>76.06</v>
      </c>
      <c r="J443">
        <f>'raw data Crude oil'!J444</f>
        <v>75.8</v>
      </c>
      <c r="K443">
        <f>'raw data Crude oil'!K444</f>
        <v>75.510000000000005</v>
      </c>
      <c r="L443">
        <f>'raw data Crude oil'!L444</f>
        <v>75.19</v>
      </c>
      <c r="M443">
        <f>'raw data Crude oil'!M444</f>
        <v>74.87</v>
      </c>
      <c r="N443">
        <f>'raw data Crude oil'!N444</f>
        <v>68.91</v>
      </c>
      <c r="O443">
        <f>'raw data Crude oil'!O444</f>
        <v>68.680000000000007</v>
      </c>
      <c r="P443">
        <f>'raw data Crude oil'!P444</f>
        <v>68.59</v>
      </c>
      <c r="Q443">
        <f>'raw data Crude oil'!Q444</f>
        <v>68.47</v>
      </c>
      <c r="R443">
        <f>'raw data Crude oil'!R444</f>
        <v>68.319999999999993</v>
      </c>
      <c r="S443">
        <f>'raw data Crude oil'!S444</f>
        <v>68.150000000000006</v>
      </c>
      <c r="T443">
        <f>'raw data Crude oil'!T444</f>
        <v>67.97</v>
      </c>
      <c r="U443">
        <f>'raw data Crude oil'!U444</f>
        <v>67.78</v>
      </c>
      <c r="V443">
        <f>'raw data Crude oil'!V444</f>
        <v>67.569999999999993</v>
      </c>
      <c r="W443">
        <f>'raw data Crude oil'!W444</f>
        <v>67.319999999999993</v>
      </c>
      <c r="X443">
        <f>'raw data Crude oil'!X444</f>
        <v>67.040000000000006</v>
      </c>
      <c r="Y443">
        <f>'raw data Crude oil'!Y444</f>
        <v>66.78</v>
      </c>
      <c r="Z443">
        <f>'raw data Crude oil'!Z444</f>
        <v>0</v>
      </c>
      <c r="AA443">
        <f>'raw data Crude oil'!AA444</f>
        <v>0</v>
      </c>
      <c r="AB443">
        <f>'raw data Crude oil'!AB444</f>
        <v>0</v>
      </c>
      <c r="AC443">
        <f>'raw data Crude oil'!AC444</f>
        <v>0</v>
      </c>
      <c r="AD443">
        <f>'raw data Crude oil'!AD444</f>
        <v>0</v>
      </c>
      <c r="AE443">
        <f>'raw data Crude oil'!AE444</f>
        <v>0</v>
      </c>
      <c r="AF443">
        <f>'raw data Crude oil'!AF444</f>
        <v>0</v>
      </c>
      <c r="AG443">
        <f>'raw data Crude oil'!AG444</f>
        <v>0</v>
      </c>
      <c r="AH443">
        <f>'raw data Crude oil'!AH444</f>
        <v>0</v>
      </c>
      <c r="AI443">
        <f>'raw data Crude oil'!AI444</f>
        <v>0</v>
      </c>
      <c r="AJ443">
        <f>'raw data Crude oil'!AJ444</f>
        <v>0</v>
      </c>
      <c r="AK443">
        <f>'raw data Crude oil'!AK444</f>
        <v>0</v>
      </c>
    </row>
    <row r="444" spans="1:37" x14ac:dyDescent="0.3">
      <c r="A444" s="18">
        <f>'raw data Crude oil'!A445</f>
        <v>43361</v>
      </c>
      <c r="B444">
        <f>'raw data Crude oil'!B445</f>
        <v>79.03</v>
      </c>
      <c r="C444">
        <f>'raw data Crude oil'!C445</f>
        <v>78.53</v>
      </c>
      <c r="D444">
        <f>'raw data Crude oil'!D445</f>
        <v>78.150000000000006</v>
      </c>
      <c r="E444">
        <f>'raw data Crude oil'!E445</f>
        <v>77.849999999999994</v>
      </c>
      <c r="F444">
        <f>'raw data Crude oil'!F445</f>
        <v>77.61</v>
      </c>
      <c r="G444">
        <f>'raw data Crude oil'!G445</f>
        <v>77.38</v>
      </c>
      <c r="H444">
        <f>'raw data Crude oil'!H445</f>
        <v>77.14</v>
      </c>
      <c r="I444">
        <f>'raw data Crude oil'!I445</f>
        <v>76.84</v>
      </c>
      <c r="J444">
        <f>'raw data Crude oil'!J445</f>
        <v>76.55</v>
      </c>
      <c r="K444">
        <f>'raw data Crude oil'!K445</f>
        <v>76.239999999999995</v>
      </c>
      <c r="L444">
        <f>'raw data Crude oil'!L445</f>
        <v>75.900000000000006</v>
      </c>
      <c r="M444">
        <f>'raw data Crude oil'!M445</f>
        <v>75.56</v>
      </c>
      <c r="N444">
        <f>'raw data Crude oil'!N445</f>
        <v>69.849999999999994</v>
      </c>
      <c r="O444">
        <f>'raw data Crude oil'!O445</f>
        <v>69.59</v>
      </c>
      <c r="P444">
        <f>'raw data Crude oil'!P445</f>
        <v>69.45</v>
      </c>
      <c r="Q444">
        <f>'raw data Crude oil'!Q445</f>
        <v>69.3</v>
      </c>
      <c r="R444">
        <f>'raw data Crude oil'!R445</f>
        <v>69.12</v>
      </c>
      <c r="S444">
        <f>'raw data Crude oil'!S445</f>
        <v>68.94</v>
      </c>
      <c r="T444">
        <f>'raw data Crude oil'!T445</f>
        <v>68.73</v>
      </c>
      <c r="U444">
        <f>'raw data Crude oil'!U445</f>
        <v>68.53</v>
      </c>
      <c r="V444">
        <f>'raw data Crude oil'!V445</f>
        <v>68.3</v>
      </c>
      <c r="W444">
        <f>'raw data Crude oil'!W445</f>
        <v>68.02</v>
      </c>
      <c r="X444">
        <f>'raw data Crude oil'!X445</f>
        <v>67.73</v>
      </c>
      <c r="Y444">
        <f>'raw data Crude oil'!Y445</f>
        <v>67.45</v>
      </c>
      <c r="Z444">
        <f>'raw data Crude oil'!Z445</f>
        <v>0</v>
      </c>
      <c r="AA444">
        <f>'raw data Crude oil'!AA445</f>
        <v>0</v>
      </c>
      <c r="AB444">
        <f>'raw data Crude oil'!AB445</f>
        <v>0</v>
      </c>
      <c r="AC444">
        <f>'raw data Crude oil'!AC445</f>
        <v>0</v>
      </c>
      <c r="AD444">
        <f>'raw data Crude oil'!AD445</f>
        <v>0</v>
      </c>
      <c r="AE444">
        <f>'raw data Crude oil'!AE445</f>
        <v>0</v>
      </c>
      <c r="AF444">
        <f>'raw data Crude oil'!AF445</f>
        <v>0</v>
      </c>
      <c r="AG444">
        <f>'raw data Crude oil'!AG445</f>
        <v>0</v>
      </c>
      <c r="AH444">
        <f>'raw data Crude oil'!AH445</f>
        <v>0</v>
      </c>
      <c r="AI444">
        <f>'raw data Crude oil'!AI445</f>
        <v>0</v>
      </c>
      <c r="AJ444">
        <f>'raw data Crude oil'!AJ445</f>
        <v>0</v>
      </c>
      <c r="AK444">
        <f>'raw data Crude oil'!AK445</f>
        <v>0</v>
      </c>
    </row>
    <row r="445" spans="1:37" x14ac:dyDescent="0.3">
      <c r="A445" s="18">
        <f>'raw data Crude oil'!A446</f>
        <v>43362</v>
      </c>
      <c r="B445">
        <f>'raw data Crude oil'!B446</f>
        <v>79.400000000000006</v>
      </c>
      <c r="C445">
        <f>'raw data Crude oil'!C446</f>
        <v>78.92</v>
      </c>
      <c r="D445">
        <f>'raw data Crude oil'!D446</f>
        <v>78.53</v>
      </c>
      <c r="E445">
        <f>'raw data Crude oil'!E446</f>
        <v>78.209999999999994</v>
      </c>
      <c r="F445">
        <f>'raw data Crude oil'!F446</f>
        <v>77.959999999999994</v>
      </c>
      <c r="G445">
        <f>'raw data Crude oil'!G446</f>
        <v>77.72</v>
      </c>
      <c r="H445">
        <f>'raw data Crude oil'!H446</f>
        <v>77.47</v>
      </c>
      <c r="I445">
        <f>'raw data Crude oil'!I446</f>
        <v>77.17</v>
      </c>
      <c r="J445">
        <f>'raw data Crude oil'!J446</f>
        <v>76.87</v>
      </c>
      <c r="K445">
        <f>'raw data Crude oil'!K446</f>
        <v>76.56</v>
      </c>
      <c r="L445">
        <f>'raw data Crude oil'!L446</f>
        <v>76.22</v>
      </c>
      <c r="M445">
        <f>'raw data Crude oil'!M446</f>
        <v>75.88</v>
      </c>
      <c r="N445">
        <f>'raw data Crude oil'!N446</f>
        <v>71.12</v>
      </c>
      <c r="O445">
        <f>'raw data Crude oil'!O446</f>
        <v>70.77</v>
      </c>
      <c r="P445">
        <f>'raw data Crude oil'!P446</f>
        <v>70.52</v>
      </c>
      <c r="Q445">
        <f>'raw data Crude oil'!Q446</f>
        <v>70.28</v>
      </c>
      <c r="R445">
        <f>'raw data Crude oil'!R446</f>
        <v>70.02</v>
      </c>
      <c r="S445">
        <f>'raw data Crude oil'!S446</f>
        <v>69.78</v>
      </c>
      <c r="T445">
        <f>'raw data Crude oil'!T446</f>
        <v>69.53</v>
      </c>
      <c r="U445">
        <f>'raw data Crude oil'!U446</f>
        <v>69.290000000000006</v>
      </c>
      <c r="V445">
        <f>'raw data Crude oil'!V446</f>
        <v>69.02</v>
      </c>
      <c r="W445">
        <f>'raw data Crude oil'!W446</f>
        <v>68.7</v>
      </c>
      <c r="X445">
        <f>'raw data Crude oil'!X446</f>
        <v>68.37</v>
      </c>
      <c r="Y445">
        <f>'raw data Crude oil'!Y446</f>
        <v>68.05</v>
      </c>
      <c r="Z445">
        <f>'raw data Crude oil'!Z446</f>
        <v>0</v>
      </c>
      <c r="AA445">
        <f>'raw data Crude oil'!AA446</f>
        <v>0</v>
      </c>
      <c r="AB445">
        <f>'raw data Crude oil'!AB446</f>
        <v>0</v>
      </c>
      <c r="AC445">
        <f>'raw data Crude oil'!AC446</f>
        <v>0</v>
      </c>
      <c r="AD445">
        <f>'raw data Crude oil'!AD446</f>
        <v>0</v>
      </c>
      <c r="AE445">
        <f>'raw data Crude oil'!AE446</f>
        <v>0</v>
      </c>
      <c r="AF445">
        <f>'raw data Crude oil'!AF446</f>
        <v>0</v>
      </c>
      <c r="AG445">
        <f>'raw data Crude oil'!AG446</f>
        <v>0</v>
      </c>
      <c r="AH445">
        <f>'raw data Crude oil'!AH446</f>
        <v>0</v>
      </c>
      <c r="AI445">
        <f>'raw data Crude oil'!AI446</f>
        <v>0</v>
      </c>
      <c r="AJ445">
        <f>'raw data Crude oil'!AJ446</f>
        <v>0</v>
      </c>
      <c r="AK445">
        <f>'raw data Crude oil'!AK446</f>
        <v>0</v>
      </c>
    </row>
    <row r="446" spans="1:37" x14ac:dyDescent="0.3">
      <c r="A446" s="18">
        <f>'raw data Crude oil'!A447</f>
        <v>43363</v>
      </c>
      <c r="B446">
        <f>'raw data Crude oil'!B447</f>
        <v>78.7</v>
      </c>
      <c r="C446">
        <f>'raw data Crude oil'!C447</f>
        <v>78.22</v>
      </c>
      <c r="D446">
        <f>'raw data Crude oil'!D447</f>
        <v>77.849999999999994</v>
      </c>
      <c r="E446">
        <f>'raw data Crude oil'!E447</f>
        <v>77.569999999999993</v>
      </c>
      <c r="F446">
        <f>'raw data Crude oil'!F447</f>
        <v>77.34</v>
      </c>
      <c r="G446">
        <f>'raw data Crude oil'!G447</f>
        <v>77.14</v>
      </c>
      <c r="H446">
        <f>'raw data Crude oil'!H447</f>
        <v>76.91</v>
      </c>
      <c r="I446">
        <f>'raw data Crude oil'!I447</f>
        <v>76.62</v>
      </c>
      <c r="J446">
        <f>'raw data Crude oil'!J447</f>
        <v>76.33</v>
      </c>
      <c r="K446">
        <f>'raw data Crude oil'!K447</f>
        <v>76.02</v>
      </c>
      <c r="L446">
        <f>'raw data Crude oil'!L447</f>
        <v>75.69</v>
      </c>
      <c r="M446">
        <f>'raw data Crude oil'!M447</f>
        <v>75.36</v>
      </c>
      <c r="N446">
        <f>'raw data Crude oil'!N447</f>
        <v>70.8</v>
      </c>
      <c r="O446">
        <f>'raw data Crude oil'!O447</f>
        <v>70.319999999999993</v>
      </c>
      <c r="P446">
        <f>'raw data Crude oil'!P447</f>
        <v>70.06</v>
      </c>
      <c r="Q446">
        <f>'raw data Crude oil'!Q447</f>
        <v>69.88</v>
      </c>
      <c r="R446">
        <f>'raw data Crude oil'!R447</f>
        <v>69.66</v>
      </c>
      <c r="S446">
        <f>'raw data Crude oil'!S447</f>
        <v>69.459999999999994</v>
      </c>
      <c r="T446">
        <f>'raw data Crude oil'!T447</f>
        <v>69.239999999999995</v>
      </c>
      <c r="U446">
        <f>'raw data Crude oil'!U447</f>
        <v>69.010000000000005</v>
      </c>
      <c r="V446">
        <f>'raw data Crude oil'!V447</f>
        <v>68.75</v>
      </c>
      <c r="W446">
        <f>'raw data Crude oil'!W447</f>
        <v>68.459999999999994</v>
      </c>
      <c r="X446">
        <f>'raw data Crude oil'!X447</f>
        <v>68.14</v>
      </c>
      <c r="Y446">
        <f>'raw data Crude oil'!Y447</f>
        <v>67.83</v>
      </c>
      <c r="Z446">
        <f>'raw data Crude oil'!Z447</f>
        <v>0</v>
      </c>
      <c r="AA446">
        <f>'raw data Crude oil'!AA447</f>
        <v>0</v>
      </c>
      <c r="AB446">
        <f>'raw data Crude oil'!AB447</f>
        <v>0</v>
      </c>
      <c r="AC446">
        <f>'raw data Crude oil'!AC447</f>
        <v>0</v>
      </c>
      <c r="AD446">
        <f>'raw data Crude oil'!AD447</f>
        <v>0</v>
      </c>
      <c r="AE446">
        <f>'raw data Crude oil'!AE447</f>
        <v>0</v>
      </c>
      <c r="AF446">
        <f>'raw data Crude oil'!AF447</f>
        <v>0</v>
      </c>
      <c r="AG446">
        <f>'raw data Crude oil'!AG447</f>
        <v>0</v>
      </c>
      <c r="AH446">
        <f>'raw data Crude oil'!AH447</f>
        <v>0</v>
      </c>
      <c r="AI446">
        <f>'raw data Crude oil'!AI447</f>
        <v>0</v>
      </c>
      <c r="AJ446">
        <f>'raw data Crude oil'!AJ447</f>
        <v>0</v>
      </c>
      <c r="AK446">
        <f>'raw data Crude oil'!AK447</f>
        <v>0</v>
      </c>
    </row>
    <row r="447" spans="1:37" x14ac:dyDescent="0.3">
      <c r="A447" s="18">
        <f>'raw data Crude oil'!A448</f>
        <v>43364</v>
      </c>
      <c r="B447">
        <f>'raw data Crude oil'!B448</f>
        <v>78.8</v>
      </c>
      <c r="C447">
        <f>'raw data Crude oil'!C448</f>
        <v>78.239999999999995</v>
      </c>
      <c r="D447">
        <f>'raw data Crude oil'!D448</f>
        <v>77.86</v>
      </c>
      <c r="E447">
        <f>'raw data Crude oil'!E448</f>
        <v>77.599999999999994</v>
      </c>
      <c r="F447">
        <f>'raw data Crude oil'!F448</f>
        <v>77.39</v>
      </c>
      <c r="G447">
        <f>'raw data Crude oil'!G448</f>
        <v>77.19</v>
      </c>
      <c r="H447">
        <f>'raw data Crude oil'!H448</f>
        <v>76.97</v>
      </c>
      <c r="I447">
        <f>'raw data Crude oil'!I448</f>
        <v>76.69</v>
      </c>
      <c r="J447">
        <f>'raw data Crude oil'!J448</f>
        <v>76.400000000000006</v>
      </c>
      <c r="K447">
        <f>'raw data Crude oil'!K448</f>
        <v>76.09</v>
      </c>
      <c r="L447">
        <f>'raw data Crude oil'!L448</f>
        <v>75.75</v>
      </c>
      <c r="M447">
        <f>'raw data Crude oil'!M448</f>
        <v>75.41</v>
      </c>
      <c r="N447">
        <f>'raw data Crude oil'!N448</f>
        <v>70.78</v>
      </c>
      <c r="O447">
        <f>'raw data Crude oil'!O448</f>
        <v>70.37</v>
      </c>
      <c r="P447">
        <f>'raw data Crude oil'!P448</f>
        <v>70.06</v>
      </c>
      <c r="Q447">
        <f>'raw data Crude oil'!Q448</f>
        <v>69.790000000000006</v>
      </c>
      <c r="R447">
        <f>'raw data Crude oil'!R448</f>
        <v>69.58</v>
      </c>
      <c r="S447">
        <f>'raw data Crude oil'!S448</f>
        <v>69.36</v>
      </c>
      <c r="T447">
        <f>'raw data Crude oil'!T448</f>
        <v>69.13</v>
      </c>
      <c r="U447">
        <f>'raw data Crude oil'!U448</f>
        <v>68.87</v>
      </c>
      <c r="V447">
        <f>'raw data Crude oil'!V448</f>
        <v>68.569999999999993</v>
      </c>
      <c r="W447">
        <f>'raw data Crude oil'!W448</f>
        <v>68.239999999999995</v>
      </c>
      <c r="X447">
        <f>'raw data Crude oil'!X448</f>
        <v>67.930000000000007</v>
      </c>
      <c r="Y447">
        <f>'raw data Crude oil'!Y448</f>
        <v>67.63</v>
      </c>
      <c r="Z447">
        <f>'raw data Crude oil'!Z448</f>
        <v>0</v>
      </c>
      <c r="AA447">
        <f>'raw data Crude oil'!AA448</f>
        <v>0</v>
      </c>
      <c r="AB447">
        <f>'raw data Crude oil'!AB448</f>
        <v>0</v>
      </c>
      <c r="AC447">
        <f>'raw data Crude oil'!AC448</f>
        <v>0</v>
      </c>
      <c r="AD447">
        <f>'raw data Crude oil'!AD448</f>
        <v>0</v>
      </c>
      <c r="AE447">
        <f>'raw data Crude oil'!AE448</f>
        <v>0</v>
      </c>
      <c r="AF447">
        <f>'raw data Crude oil'!AF448</f>
        <v>0</v>
      </c>
      <c r="AG447">
        <f>'raw data Crude oil'!AG448</f>
        <v>0</v>
      </c>
      <c r="AH447">
        <f>'raw data Crude oil'!AH448</f>
        <v>0</v>
      </c>
      <c r="AI447">
        <f>'raw data Crude oil'!AI448</f>
        <v>0</v>
      </c>
      <c r="AJ447">
        <f>'raw data Crude oil'!AJ448</f>
        <v>0</v>
      </c>
      <c r="AK447">
        <f>'raw data Crude oil'!AK448</f>
        <v>0</v>
      </c>
    </row>
    <row r="448" spans="1:37" x14ac:dyDescent="0.3">
      <c r="A448" s="18">
        <f>'raw data Crude oil'!A449</f>
        <v>43367</v>
      </c>
      <c r="B448">
        <f>'raw data Crude oil'!B449</f>
        <v>81.2</v>
      </c>
      <c r="C448">
        <f>'raw data Crude oil'!C449</f>
        <v>80.53</v>
      </c>
      <c r="D448">
        <f>'raw data Crude oil'!D449</f>
        <v>80.08</v>
      </c>
      <c r="E448">
        <f>'raw data Crude oil'!E449</f>
        <v>79.760000000000005</v>
      </c>
      <c r="F448">
        <f>'raw data Crude oil'!F449</f>
        <v>79.5</v>
      </c>
      <c r="G448">
        <f>'raw data Crude oil'!G449</f>
        <v>79.260000000000005</v>
      </c>
      <c r="H448">
        <f>'raw data Crude oil'!H449</f>
        <v>78.989999999999995</v>
      </c>
      <c r="I448">
        <f>'raw data Crude oil'!I449</f>
        <v>78.650000000000006</v>
      </c>
      <c r="J448">
        <f>'raw data Crude oil'!J449</f>
        <v>78.31</v>
      </c>
      <c r="K448">
        <f>'raw data Crude oil'!K449</f>
        <v>77.95</v>
      </c>
      <c r="L448">
        <f>'raw data Crude oil'!L449</f>
        <v>77.569999999999993</v>
      </c>
      <c r="M448">
        <f>'raw data Crude oil'!M449</f>
        <v>77.19</v>
      </c>
      <c r="N448">
        <f>'raw data Crude oil'!N449</f>
        <v>72.08</v>
      </c>
      <c r="O448">
        <f>'raw data Crude oil'!O449</f>
        <v>71.760000000000005</v>
      </c>
      <c r="P448">
        <f>'raw data Crude oil'!P449</f>
        <v>71.510000000000005</v>
      </c>
      <c r="Q448">
        <f>'raw data Crude oil'!Q449</f>
        <v>71.260000000000005</v>
      </c>
      <c r="R448">
        <f>'raw data Crude oil'!R449</f>
        <v>71.08</v>
      </c>
      <c r="S448">
        <f>'raw data Crude oil'!S449</f>
        <v>70.86</v>
      </c>
      <c r="T448">
        <f>'raw data Crude oil'!T449</f>
        <v>70.62</v>
      </c>
      <c r="U448">
        <f>'raw data Crude oil'!U449</f>
        <v>70.33</v>
      </c>
      <c r="V448">
        <f>'raw data Crude oil'!V449</f>
        <v>70.02</v>
      </c>
      <c r="W448">
        <f>'raw data Crude oil'!W449</f>
        <v>69.67</v>
      </c>
      <c r="X448">
        <f>'raw data Crude oil'!X449</f>
        <v>69.319999999999993</v>
      </c>
      <c r="Y448">
        <f>'raw data Crude oil'!Y449</f>
        <v>68.989999999999995</v>
      </c>
      <c r="Z448">
        <f>'raw data Crude oil'!Z449</f>
        <v>0</v>
      </c>
      <c r="AA448">
        <f>'raw data Crude oil'!AA449</f>
        <v>0</v>
      </c>
      <c r="AB448">
        <f>'raw data Crude oil'!AB449</f>
        <v>0</v>
      </c>
      <c r="AC448">
        <f>'raw data Crude oil'!AC449</f>
        <v>0</v>
      </c>
      <c r="AD448">
        <f>'raw data Crude oil'!AD449</f>
        <v>0</v>
      </c>
      <c r="AE448">
        <f>'raw data Crude oil'!AE449</f>
        <v>0</v>
      </c>
      <c r="AF448">
        <f>'raw data Crude oil'!AF449</f>
        <v>0</v>
      </c>
      <c r="AG448">
        <f>'raw data Crude oil'!AG449</f>
        <v>0</v>
      </c>
      <c r="AH448">
        <f>'raw data Crude oil'!AH449</f>
        <v>0</v>
      </c>
      <c r="AI448">
        <f>'raw data Crude oil'!AI449</f>
        <v>0</v>
      </c>
      <c r="AJ448">
        <f>'raw data Crude oil'!AJ449</f>
        <v>0</v>
      </c>
      <c r="AK448">
        <f>'raw data Crude oil'!AK449</f>
        <v>0</v>
      </c>
    </row>
    <row r="449" spans="1:37" x14ac:dyDescent="0.3">
      <c r="A449" s="18">
        <f>'raw data Crude oil'!A450</f>
        <v>43368</v>
      </c>
      <c r="B449">
        <f>'raw data Crude oil'!B450</f>
        <v>81.87</v>
      </c>
      <c r="C449">
        <f>'raw data Crude oil'!C450</f>
        <v>81.260000000000005</v>
      </c>
      <c r="D449">
        <f>'raw data Crude oil'!D450</f>
        <v>80.78</v>
      </c>
      <c r="E449">
        <f>'raw data Crude oil'!E450</f>
        <v>80.430000000000007</v>
      </c>
      <c r="F449">
        <f>'raw data Crude oil'!F450</f>
        <v>80.150000000000006</v>
      </c>
      <c r="G449">
        <f>'raw data Crude oil'!G450</f>
        <v>79.89</v>
      </c>
      <c r="H449">
        <f>'raw data Crude oil'!H450</f>
        <v>79.61</v>
      </c>
      <c r="I449">
        <f>'raw data Crude oil'!I450</f>
        <v>79.260000000000005</v>
      </c>
      <c r="J449">
        <f>'raw data Crude oil'!J450</f>
        <v>78.92</v>
      </c>
      <c r="K449">
        <f>'raw data Crude oil'!K450</f>
        <v>78.56</v>
      </c>
      <c r="L449">
        <f>'raw data Crude oil'!L450</f>
        <v>78.17</v>
      </c>
      <c r="M449">
        <f>'raw data Crude oil'!M450</f>
        <v>77.790000000000006</v>
      </c>
      <c r="N449">
        <f>'raw data Crude oil'!N450</f>
        <v>72.28</v>
      </c>
      <c r="O449">
        <f>'raw data Crude oil'!O450</f>
        <v>72.099999999999994</v>
      </c>
      <c r="P449">
        <f>'raw data Crude oil'!P450</f>
        <v>71.91</v>
      </c>
      <c r="Q449">
        <f>'raw data Crude oil'!Q450</f>
        <v>71.69</v>
      </c>
      <c r="R449">
        <f>'raw data Crude oil'!R450</f>
        <v>71.53</v>
      </c>
      <c r="S449">
        <f>'raw data Crude oil'!S450</f>
        <v>71.3</v>
      </c>
      <c r="T449">
        <f>'raw data Crude oil'!T450</f>
        <v>71.069999999999993</v>
      </c>
      <c r="U449">
        <f>'raw data Crude oil'!U450</f>
        <v>70.8</v>
      </c>
      <c r="V449">
        <f>'raw data Crude oil'!V450</f>
        <v>70.48</v>
      </c>
      <c r="W449">
        <f>'raw data Crude oil'!W450</f>
        <v>70.12</v>
      </c>
      <c r="X449">
        <f>'raw data Crude oil'!X450</f>
        <v>69.77</v>
      </c>
      <c r="Y449">
        <f>'raw data Crude oil'!Y450</f>
        <v>69.430000000000007</v>
      </c>
      <c r="Z449">
        <f>'raw data Crude oil'!Z450</f>
        <v>0</v>
      </c>
      <c r="AA449">
        <f>'raw data Crude oil'!AA450</f>
        <v>0</v>
      </c>
      <c r="AB449">
        <f>'raw data Crude oil'!AB450</f>
        <v>0</v>
      </c>
      <c r="AC449">
        <f>'raw data Crude oil'!AC450</f>
        <v>0</v>
      </c>
      <c r="AD449">
        <f>'raw data Crude oil'!AD450</f>
        <v>0</v>
      </c>
      <c r="AE449">
        <f>'raw data Crude oil'!AE450</f>
        <v>0</v>
      </c>
      <c r="AF449">
        <f>'raw data Crude oil'!AF450</f>
        <v>0</v>
      </c>
      <c r="AG449">
        <f>'raw data Crude oil'!AG450</f>
        <v>0</v>
      </c>
      <c r="AH449">
        <f>'raw data Crude oil'!AH450</f>
        <v>0</v>
      </c>
      <c r="AI449">
        <f>'raw data Crude oil'!AI450</f>
        <v>0</v>
      </c>
      <c r="AJ449">
        <f>'raw data Crude oil'!AJ450</f>
        <v>0</v>
      </c>
      <c r="AK449">
        <f>'raw data Crude oil'!AK450</f>
        <v>0</v>
      </c>
    </row>
    <row r="450" spans="1:37" x14ac:dyDescent="0.3">
      <c r="A450" s="18">
        <f>'raw data Crude oil'!A451</f>
        <v>43369</v>
      </c>
      <c r="B450">
        <f>'raw data Crude oil'!B451</f>
        <v>81.34</v>
      </c>
      <c r="C450">
        <f>'raw data Crude oil'!C451</f>
        <v>80.790000000000006</v>
      </c>
      <c r="D450">
        <f>'raw data Crude oil'!D451</f>
        <v>80.31</v>
      </c>
      <c r="E450">
        <f>'raw data Crude oil'!E451</f>
        <v>79.959999999999994</v>
      </c>
      <c r="F450">
        <f>'raw data Crude oil'!F451</f>
        <v>79.7</v>
      </c>
      <c r="G450">
        <f>'raw data Crude oil'!G451</f>
        <v>79.459999999999994</v>
      </c>
      <c r="H450">
        <f>'raw data Crude oil'!H451</f>
        <v>79.2</v>
      </c>
      <c r="I450">
        <f>'raw data Crude oil'!I451</f>
        <v>78.87</v>
      </c>
      <c r="J450">
        <f>'raw data Crude oil'!J451</f>
        <v>78.55</v>
      </c>
      <c r="K450">
        <f>'raw data Crude oil'!K451</f>
        <v>78.209999999999994</v>
      </c>
      <c r="L450">
        <f>'raw data Crude oil'!L451</f>
        <v>77.849999999999994</v>
      </c>
      <c r="M450">
        <f>'raw data Crude oil'!M451</f>
        <v>77.489999999999995</v>
      </c>
      <c r="N450">
        <f>'raw data Crude oil'!N451</f>
        <v>71.569999999999993</v>
      </c>
      <c r="O450">
        <f>'raw data Crude oil'!O451</f>
        <v>71.41</v>
      </c>
      <c r="P450">
        <f>'raw data Crude oil'!P451</f>
        <v>71.25</v>
      </c>
      <c r="Q450">
        <f>'raw data Crude oil'!Q451</f>
        <v>71.06</v>
      </c>
      <c r="R450">
        <f>'raw data Crude oil'!R451</f>
        <v>70.900000000000006</v>
      </c>
      <c r="S450">
        <f>'raw data Crude oil'!S451</f>
        <v>70.709999999999994</v>
      </c>
      <c r="T450">
        <f>'raw data Crude oil'!T451</f>
        <v>70.5</v>
      </c>
      <c r="U450">
        <f>'raw data Crude oil'!U451</f>
        <v>70.27</v>
      </c>
      <c r="V450">
        <f>'raw data Crude oil'!V451</f>
        <v>69.97</v>
      </c>
      <c r="W450">
        <f>'raw data Crude oil'!W451</f>
        <v>69.66</v>
      </c>
      <c r="X450">
        <f>'raw data Crude oil'!X451</f>
        <v>69.33</v>
      </c>
      <c r="Y450">
        <f>'raw data Crude oil'!Y451</f>
        <v>69.02</v>
      </c>
      <c r="Z450">
        <f>'raw data Crude oil'!Z451</f>
        <v>0</v>
      </c>
      <c r="AA450">
        <f>'raw data Crude oil'!AA451</f>
        <v>0</v>
      </c>
      <c r="AB450">
        <f>'raw data Crude oil'!AB451</f>
        <v>0</v>
      </c>
      <c r="AC450">
        <f>'raw data Crude oil'!AC451</f>
        <v>0</v>
      </c>
      <c r="AD450">
        <f>'raw data Crude oil'!AD451</f>
        <v>0</v>
      </c>
      <c r="AE450">
        <f>'raw data Crude oil'!AE451</f>
        <v>0</v>
      </c>
      <c r="AF450">
        <f>'raw data Crude oil'!AF451</f>
        <v>0</v>
      </c>
      <c r="AG450">
        <f>'raw data Crude oil'!AG451</f>
        <v>0</v>
      </c>
      <c r="AH450">
        <f>'raw data Crude oil'!AH451</f>
        <v>0</v>
      </c>
      <c r="AI450">
        <f>'raw data Crude oil'!AI451</f>
        <v>0</v>
      </c>
      <c r="AJ450">
        <f>'raw data Crude oil'!AJ451</f>
        <v>0</v>
      </c>
      <c r="AK450">
        <f>'raw data Crude oil'!AK451</f>
        <v>0</v>
      </c>
    </row>
    <row r="451" spans="1:37" x14ac:dyDescent="0.3">
      <c r="A451" s="18">
        <f>'raw data Crude oil'!A452</f>
        <v>43370</v>
      </c>
      <c r="B451">
        <f>'raw data Crude oil'!B452</f>
        <v>81.72</v>
      </c>
      <c r="C451">
        <f>'raw data Crude oil'!C452</f>
        <v>81.38</v>
      </c>
      <c r="D451">
        <f>'raw data Crude oil'!D452</f>
        <v>80.930000000000007</v>
      </c>
      <c r="E451">
        <f>'raw data Crude oil'!E452</f>
        <v>80.58</v>
      </c>
      <c r="F451">
        <f>'raw data Crude oil'!F452</f>
        <v>80.319999999999993</v>
      </c>
      <c r="G451">
        <f>'raw data Crude oil'!G452</f>
        <v>80.06</v>
      </c>
      <c r="H451">
        <f>'raw data Crude oil'!H452</f>
        <v>79.790000000000006</v>
      </c>
      <c r="I451">
        <f>'raw data Crude oil'!I452</f>
        <v>79.459999999999994</v>
      </c>
      <c r="J451">
        <f>'raw data Crude oil'!J452</f>
        <v>79.13</v>
      </c>
      <c r="K451">
        <f>'raw data Crude oil'!K452</f>
        <v>78.78</v>
      </c>
      <c r="L451">
        <f>'raw data Crude oil'!L452</f>
        <v>78.400000000000006</v>
      </c>
      <c r="M451">
        <f>'raw data Crude oil'!M452</f>
        <v>78.03</v>
      </c>
      <c r="N451">
        <f>'raw data Crude oil'!N452</f>
        <v>72.12</v>
      </c>
      <c r="O451">
        <f>'raw data Crude oil'!O452</f>
        <v>71.959999999999994</v>
      </c>
      <c r="P451">
        <f>'raw data Crude oil'!P452</f>
        <v>71.819999999999993</v>
      </c>
      <c r="Q451">
        <f>'raw data Crude oil'!Q452</f>
        <v>71.63</v>
      </c>
      <c r="R451">
        <f>'raw data Crude oil'!R452</f>
        <v>71.459999999999994</v>
      </c>
      <c r="S451">
        <f>'raw data Crude oil'!S452</f>
        <v>71.260000000000005</v>
      </c>
      <c r="T451">
        <f>'raw data Crude oil'!T452</f>
        <v>71.05</v>
      </c>
      <c r="U451">
        <f>'raw data Crude oil'!U452</f>
        <v>70.81</v>
      </c>
      <c r="V451">
        <f>'raw data Crude oil'!V452</f>
        <v>70.510000000000005</v>
      </c>
      <c r="W451">
        <f>'raw data Crude oil'!W452</f>
        <v>70.180000000000007</v>
      </c>
      <c r="X451">
        <f>'raw data Crude oil'!X452</f>
        <v>69.86</v>
      </c>
      <c r="Y451">
        <f>'raw data Crude oil'!Y452</f>
        <v>69.53</v>
      </c>
      <c r="Z451">
        <f>'raw data Crude oil'!Z452</f>
        <v>0</v>
      </c>
      <c r="AA451">
        <f>'raw data Crude oil'!AA452</f>
        <v>0</v>
      </c>
      <c r="AB451">
        <f>'raw data Crude oil'!AB452</f>
        <v>0</v>
      </c>
      <c r="AC451">
        <f>'raw data Crude oil'!AC452</f>
        <v>0</v>
      </c>
      <c r="AD451">
        <f>'raw data Crude oil'!AD452</f>
        <v>0</v>
      </c>
      <c r="AE451">
        <f>'raw data Crude oil'!AE452</f>
        <v>0</v>
      </c>
      <c r="AF451">
        <f>'raw data Crude oil'!AF452</f>
        <v>0</v>
      </c>
      <c r="AG451">
        <f>'raw data Crude oil'!AG452</f>
        <v>0</v>
      </c>
      <c r="AH451">
        <f>'raw data Crude oil'!AH452</f>
        <v>0</v>
      </c>
      <c r="AI451">
        <f>'raw data Crude oil'!AI452</f>
        <v>0</v>
      </c>
      <c r="AJ451">
        <f>'raw data Crude oil'!AJ452</f>
        <v>0</v>
      </c>
      <c r="AK451">
        <f>'raw data Crude oil'!AK452</f>
        <v>0</v>
      </c>
    </row>
    <row r="452" spans="1:37" x14ac:dyDescent="0.3">
      <c r="A452" s="18">
        <f>'raw data Crude oil'!A453</f>
        <v>43371</v>
      </c>
      <c r="B452">
        <f>'raw data Crude oil'!B453</f>
        <v>82.72</v>
      </c>
      <c r="C452">
        <f>'raw data Crude oil'!C453</f>
        <v>82.73</v>
      </c>
      <c r="D452">
        <f>'raw data Crude oil'!D453</f>
        <v>82.24</v>
      </c>
      <c r="E452">
        <f>'raw data Crude oil'!E453</f>
        <v>81.83</v>
      </c>
      <c r="F452">
        <f>'raw data Crude oil'!F453</f>
        <v>81.53</v>
      </c>
      <c r="G452">
        <f>'raw data Crude oil'!G453</f>
        <v>81.239999999999995</v>
      </c>
      <c r="H452">
        <f>'raw data Crude oil'!H453</f>
        <v>80.94</v>
      </c>
      <c r="I452">
        <f>'raw data Crude oil'!I453</f>
        <v>80.59</v>
      </c>
      <c r="J452">
        <f>'raw data Crude oil'!J453</f>
        <v>80.239999999999995</v>
      </c>
      <c r="K452">
        <f>'raw data Crude oil'!K453</f>
        <v>79.86</v>
      </c>
      <c r="L452">
        <f>'raw data Crude oil'!L453</f>
        <v>79.45</v>
      </c>
      <c r="M452">
        <f>'raw data Crude oil'!M453</f>
        <v>79.06</v>
      </c>
      <c r="N452">
        <f>'raw data Crude oil'!N453</f>
        <v>73.25</v>
      </c>
      <c r="O452">
        <f>'raw data Crude oil'!O453</f>
        <v>73.06</v>
      </c>
      <c r="P452">
        <f>'raw data Crude oil'!P453</f>
        <v>72.89</v>
      </c>
      <c r="Q452">
        <f>'raw data Crude oil'!Q453</f>
        <v>72.7</v>
      </c>
      <c r="R452">
        <f>'raw data Crude oil'!R453</f>
        <v>72.510000000000005</v>
      </c>
      <c r="S452">
        <f>'raw data Crude oil'!S453</f>
        <v>72.31</v>
      </c>
      <c r="T452">
        <f>'raw data Crude oil'!T453</f>
        <v>72.09</v>
      </c>
      <c r="U452">
        <f>'raw data Crude oil'!U453</f>
        <v>71.84</v>
      </c>
      <c r="V452">
        <f>'raw data Crude oil'!V453</f>
        <v>71.510000000000005</v>
      </c>
      <c r="W452">
        <f>'raw data Crude oil'!W453</f>
        <v>71.16</v>
      </c>
      <c r="X452">
        <f>'raw data Crude oil'!X453</f>
        <v>70.819999999999993</v>
      </c>
      <c r="Y452">
        <f>'raw data Crude oil'!Y453</f>
        <v>70.45</v>
      </c>
      <c r="Z452">
        <f>'raw data Crude oil'!Z453</f>
        <v>0</v>
      </c>
      <c r="AA452">
        <f>'raw data Crude oil'!AA453</f>
        <v>0</v>
      </c>
      <c r="AB452">
        <f>'raw data Crude oil'!AB453</f>
        <v>0</v>
      </c>
      <c r="AC452">
        <f>'raw data Crude oil'!AC453</f>
        <v>0</v>
      </c>
      <c r="AD452">
        <f>'raw data Crude oil'!AD453</f>
        <v>0</v>
      </c>
      <c r="AE452">
        <f>'raw data Crude oil'!AE453</f>
        <v>0</v>
      </c>
      <c r="AF452">
        <f>'raw data Crude oil'!AF453</f>
        <v>0</v>
      </c>
      <c r="AG452">
        <f>'raw data Crude oil'!AG453</f>
        <v>0</v>
      </c>
      <c r="AH452">
        <f>'raw data Crude oil'!AH453</f>
        <v>0</v>
      </c>
      <c r="AI452">
        <f>'raw data Crude oil'!AI453</f>
        <v>0</v>
      </c>
      <c r="AJ452">
        <f>'raw data Crude oil'!AJ453</f>
        <v>0</v>
      </c>
      <c r="AK452">
        <f>'raw data Crude oil'!AK453</f>
        <v>0</v>
      </c>
    </row>
    <row r="453" spans="1:37" x14ac:dyDescent="0.3">
      <c r="A453" s="18">
        <f>'raw data Crude oil'!A454</f>
        <v>43374</v>
      </c>
      <c r="B453">
        <f>'raw data Crude oil'!B454</f>
        <v>84.98</v>
      </c>
      <c r="C453">
        <f>'raw data Crude oil'!C454</f>
        <v>84.51</v>
      </c>
      <c r="D453">
        <f>'raw data Crude oil'!D454</f>
        <v>84.12</v>
      </c>
      <c r="E453">
        <f>'raw data Crude oil'!E454</f>
        <v>83.8</v>
      </c>
      <c r="F453">
        <f>'raw data Crude oil'!F454</f>
        <v>83.47</v>
      </c>
      <c r="G453">
        <f>'raw data Crude oil'!G454</f>
        <v>83.13</v>
      </c>
      <c r="H453">
        <f>'raw data Crude oil'!H454</f>
        <v>82.74</v>
      </c>
      <c r="I453">
        <f>'raw data Crude oil'!I454</f>
        <v>82.35</v>
      </c>
      <c r="J453">
        <f>'raw data Crude oil'!J454</f>
        <v>81.94</v>
      </c>
      <c r="K453">
        <f>'raw data Crude oil'!K454</f>
        <v>81.510000000000005</v>
      </c>
      <c r="L453">
        <f>'raw data Crude oil'!L454</f>
        <v>81.09</v>
      </c>
      <c r="M453">
        <f>'raw data Crude oil'!M454</f>
        <v>80.69</v>
      </c>
      <c r="N453">
        <f>'raw data Crude oil'!N454</f>
        <v>75.3</v>
      </c>
      <c r="O453">
        <f>'raw data Crude oil'!O454</f>
        <v>75.14</v>
      </c>
      <c r="P453">
        <f>'raw data Crude oil'!P454</f>
        <v>75</v>
      </c>
      <c r="Q453">
        <f>'raw data Crude oil'!Q454</f>
        <v>74.83</v>
      </c>
      <c r="R453">
        <f>'raw data Crude oil'!R454</f>
        <v>74.680000000000007</v>
      </c>
      <c r="S453">
        <f>'raw data Crude oil'!S454</f>
        <v>74.5</v>
      </c>
      <c r="T453">
        <f>'raw data Crude oil'!T454</f>
        <v>74.28</v>
      </c>
      <c r="U453">
        <f>'raw data Crude oil'!U454</f>
        <v>74.010000000000005</v>
      </c>
      <c r="V453">
        <f>'raw data Crude oil'!V454</f>
        <v>73.680000000000007</v>
      </c>
      <c r="W453">
        <f>'raw data Crude oil'!W454</f>
        <v>73.3</v>
      </c>
      <c r="X453">
        <f>'raw data Crude oil'!X454</f>
        <v>72.92</v>
      </c>
      <c r="Y453">
        <f>'raw data Crude oil'!Y454</f>
        <v>72.53</v>
      </c>
      <c r="Z453">
        <f>'raw data Crude oil'!Z454</f>
        <v>0</v>
      </c>
      <c r="AA453">
        <f>'raw data Crude oil'!AA454</f>
        <v>0</v>
      </c>
      <c r="AB453">
        <f>'raw data Crude oil'!AB454</f>
        <v>0</v>
      </c>
      <c r="AC453">
        <f>'raw data Crude oil'!AC454</f>
        <v>0</v>
      </c>
      <c r="AD453">
        <f>'raw data Crude oil'!AD454</f>
        <v>0</v>
      </c>
      <c r="AE453">
        <f>'raw data Crude oil'!AE454</f>
        <v>0</v>
      </c>
      <c r="AF453">
        <f>'raw data Crude oil'!AF454</f>
        <v>0</v>
      </c>
      <c r="AG453">
        <f>'raw data Crude oil'!AG454</f>
        <v>0</v>
      </c>
      <c r="AH453">
        <f>'raw data Crude oil'!AH454</f>
        <v>0</v>
      </c>
      <c r="AI453">
        <f>'raw data Crude oil'!AI454</f>
        <v>0</v>
      </c>
      <c r="AJ453">
        <f>'raw data Crude oil'!AJ454</f>
        <v>0</v>
      </c>
      <c r="AK453">
        <f>'raw data Crude oil'!AK454</f>
        <v>0</v>
      </c>
    </row>
    <row r="454" spans="1:37" x14ac:dyDescent="0.3">
      <c r="A454" s="18">
        <f>'raw data Crude oil'!A455</f>
        <v>43375</v>
      </c>
      <c r="B454">
        <f>'raw data Crude oil'!B455</f>
        <v>84.8</v>
      </c>
      <c r="C454">
        <f>'raw data Crude oil'!C455</f>
        <v>84.35</v>
      </c>
      <c r="D454">
        <f>'raw data Crude oil'!D455</f>
        <v>83.98</v>
      </c>
      <c r="E454">
        <f>'raw data Crude oil'!E455</f>
        <v>83.69</v>
      </c>
      <c r="F454">
        <f>'raw data Crude oil'!F455</f>
        <v>83.39</v>
      </c>
      <c r="G454">
        <f>'raw data Crude oil'!G455</f>
        <v>83.07</v>
      </c>
      <c r="H454">
        <f>'raw data Crude oil'!H455</f>
        <v>82.7</v>
      </c>
      <c r="I454">
        <f>'raw data Crude oil'!I455</f>
        <v>82.33</v>
      </c>
      <c r="J454">
        <f>'raw data Crude oil'!J455</f>
        <v>81.93</v>
      </c>
      <c r="K454">
        <f>'raw data Crude oil'!K455</f>
        <v>81.510000000000005</v>
      </c>
      <c r="L454">
        <f>'raw data Crude oil'!L455</f>
        <v>81.11</v>
      </c>
      <c r="M454">
        <f>'raw data Crude oil'!M455</f>
        <v>80.72</v>
      </c>
      <c r="N454">
        <f>'raw data Crude oil'!N455</f>
        <v>75.23</v>
      </c>
      <c r="O454">
        <f>'raw data Crude oil'!O455</f>
        <v>75.040000000000006</v>
      </c>
      <c r="P454">
        <f>'raw data Crude oil'!P455</f>
        <v>74.900000000000006</v>
      </c>
      <c r="Q454">
        <f>'raw data Crude oil'!Q455</f>
        <v>74.760000000000005</v>
      </c>
      <c r="R454">
        <f>'raw data Crude oil'!R455</f>
        <v>74.650000000000006</v>
      </c>
      <c r="S454">
        <f>'raw data Crude oil'!S455</f>
        <v>74.510000000000005</v>
      </c>
      <c r="T454">
        <f>'raw data Crude oil'!T455</f>
        <v>74.319999999999993</v>
      </c>
      <c r="U454">
        <f>'raw data Crude oil'!U455</f>
        <v>74.08</v>
      </c>
      <c r="V454">
        <f>'raw data Crude oil'!V455</f>
        <v>73.77</v>
      </c>
      <c r="W454">
        <f>'raw data Crude oil'!W455</f>
        <v>73.41</v>
      </c>
      <c r="X454">
        <f>'raw data Crude oil'!X455</f>
        <v>73.040000000000006</v>
      </c>
      <c r="Y454">
        <f>'raw data Crude oil'!Y455</f>
        <v>72.650000000000006</v>
      </c>
      <c r="Z454">
        <f>'raw data Crude oil'!Z455</f>
        <v>0</v>
      </c>
      <c r="AA454">
        <f>'raw data Crude oil'!AA455</f>
        <v>0</v>
      </c>
      <c r="AB454">
        <f>'raw data Crude oil'!AB455</f>
        <v>0</v>
      </c>
      <c r="AC454">
        <f>'raw data Crude oil'!AC455</f>
        <v>0</v>
      </c>
      <c r="AD454">
        <f>'raw data Crude oil'!AD455</f>
        <v>0</v>
      </c>
      <c r="AE454">
        <f>'raw data Crude oil'!AE455</f>
        <v>0</v>
      </c>
      <c r="AF454">
        <f>'raw data Crude oil'!AF455</f>
        <v>0</v>
      </c>
      <c r="AG454">
        <f>'raw data Crude oil'!AG455</f>
        <v>0</v>
      </c>
      <c r="AH454">
        <f>'raw data Crude oil'!AH455</f>
        <v>0</v>
      </c>
      <c r="AI454">
        <f>'raw data Crude oil'!AI455</f>
        <v>0</v>
      </c>
      <c r="AJ454">
        <f>'raw data Crude oil'!AJ455</f>
        <v>0</v>
      </c>
      <c r="AK454">
        <f>'raw data Crude oil'!AK455</f>
        <v>0</v>
      </c>
    </row>
    <row r="455" spans="1:37" x14ac:dyDescent="0.3">
      <c r="A455" s="18">
        <f>'raw data Crude oil'!A456</f>
        <v>43376</v>
      </c>
      <c r="B455">
        <f>'raw data Crude oil'!B456</f>
        <v>86.29</v>
      </c>
      <c r="C455">
        <f>'raw data Crude oil'!C456</f>
        <v>85.83</v>
      </c>
      <c r="D455">
        <f>'raw data Crude oil'!D456</f>
        <v>85.45</v>
      </c>
      <c r="E455">
        <f>'raw data Crude oil'!E456</f>
        <v>85.14</v>
      </c>
      <c r="F455">
        <f>'raw data Crude oil'!F456</f>
        <v>84.82</v>
      </c>
      <c r="G455">
        <f>'raw data Crude oil'!G456</f>
        <v>84.48</v>
      </c>
      <c r="H455">
        <f>'raw data Crude oil'!H456</f>
        <v>84.1</v>
      </c>
      <c r="I455">
        <f>'raw data Crude oil'!I456</f>
        <v>83.71</v>
      </c>
      <c r="J455">
        <f>'raw data Crude oil'!J456</f>
        <v>83.3</v>
      </c>
      <c r="K455">
        <f>'raw data Crude oil'!K456</f>
        <v>82.87</v>
      </c>
      <c r="L455">
        <f>'raw data Crude oil'!L456</f>
        <v>82.44</v>
      </c>
      <c r="M455">
        <f>'raw data Crude oil'!M456</f>
        <v>82.03</v>
      </c>
      <c r="N455">
        <f>'raw data Crude oil'!N456</f>
        <v>76.41</v>
      </c>
      <c r="O455">
        <f>'raw data Crude oil'!O456</f>
        <v>76.239999999999995</v>
      </c>
      <c r="P455">
        <f>'raw data Crude oil'!P456</f>
        <v>76.099999999999994</v>
      </c>
      <c r="Q455">
        <f>'raw data Crude oil'!Q456</f>
        <v>75.959999999999994</v>
      </c>
      <c r="R455">
        <f>'raw data Crude oil'!R456</f>
        <v>75.84</v>
      </c>
      <c r="S455">
        <f>'raw data Crude oil'!S456</f>
        <v>75.7</v>
      </c>
      <c r="T455">
        <f>'raw data Crude oil'!T456</f>
        <v>75.510000000000005</v>
      </c>
      <c r="U455">
        <f>'raw data Crude oil'!U456</f>
        <v>75.27</v>
      </c>
      <c r="V455">
        <f>'raw data Crude oil'!V456</f>
        <v>74.95</v>
      </c>
      <c r="W455">
        <f>'raw data Crude oil'!W456</f>
        <v>74.599999999999994</v>
      </c>
      <c r="X455">
        <f>'raw data Crude oil'!X456</f>
        <v>74.23</v>
      </c>
      <c r="Y455">
        <f>'raw data Crude oil'!Y456</f>
        <v>73.84</v>
      </c>
      <c r="Z455">
        <f>'raw data Crude oil'!Z456</f>
        <v>0</v>
      </c>
      <c r="AA455">
        <f>'raw data Crude oil'!AA456</f>
        <v>0</v>
      </c>
      <c r="AB455">
        <f>'raw data Crude oil'!AB456</f>
        <v>0</v>
      </c>
      <c r="AC455">
        <f>'raw data Crude oil'!AC456</f>
        <v>0</v>
      </c>
      <c r="AD455">
        <f>'raw data Crude oil'!AD456</f>
        <v>0</v>
      </c>
      <c r="AE455">
        <f>'raw data Crude oil'!AE456</f>
        <v>0</v>
      </c>
      <c r="AF455">
        <f>'raw data Crude oil'!AF456</f>
        <v>0</v>
      </c>
      <c r="AG455">
        <f>'raw data Crude oil'!AG456</f>
        <v>0</v>
      </c>
      <c r="AH455">
        <f>'raw data Crude oil'!AH456</f>
        <v>0</v>
      </c>
      <c r="AI455">
        <f>'raw data Crude oil'!AI456</f>
        <v>0</v>
      </c>
      <c r="AJ455">
        <f>'raw data Crude oil'!AJ456</f>
        <v>0</v>
      </c>
      <c r="AK455">
        <f>'raw data Crude oil'!AK456</f>
        <v>0</v>
      </c>
    </row>
    <row r="456" spans="1:37" x14ac:dyDescent="0.3">
      <c r="A456" s="18">
        <f>'raw data Crude oil'!A457</f>
        <v>43377</v>
      </c>
      <c r="B456">
        <f>'raw data Crude oil'!B457</f>
        <v>84.58</v>
      </c>
      <c r="C456">
        <f>'raw data Crude oil'!C457</f>
        <v>84.16</v>
      </c>
      <c r="D456">
        <f>'raw data Crude oil'!D457</f>
        <v>83.83</v>
      </c>
      <c r="E456">
        <f>'raw data Crude oil'!E457</f>
        <v>83.58</v>
      </c>
      <c r="F456">
        <f>'raw data Crude oil'!F457</f>
        <v>83.3</v>
      </c>
      <c r="G456">
        <f>'raw data Crude oil'!G457</f>
        <v>83</v>
      </c>
      <c r="H456">
        <f>'raw data Crude oil'!H457</f>
        <v>82.65</v>
      </c>
      <c r="I456">
        <f>'raw data Crude oil'!I457</f>
        <v>82.28</v>
      </c>
      <c r="J456">
        <f>'raw data Crude oil'!J457</f>
        <v>81.89</v>
      </c>
      <c r="K456">
        <f>'raw data Crude oil'!K457</f>
        <v>81.489999999999995</v>
      </c>
      <c r="L456">
        <f>'raw data Crude oil'!L457</f>
        <v>81.09</v>
      </c>
      <c r="M456">
        <f>'raw data Crude oil'!M457</f>
        <v>80.709999999999994</v>
      </c>
      <c r="N456">
        <f>'raw data Crude oil'!N457</f>
        <v>74.33</v>
      </c>
      <c r="O456">
        <f>'raw data Crude oil'!O457</f>
        <v>74.25</v>
      </c>
      <c r="P456">
        <f>'raw data Crude oil'!P457</f>
        <v>74.13</v>
      </c>
      <c r="Q456">
        <f>'raw data Crude oil'!Q457</f>
        <v>74.03</v>
      </c>
      <c r="R456">
        <f>'raw data Crude oil'!R457</f>
        <v>73.95</v>
      </c>
      <c r="S456">
        <f>'raw data Crude oil'!S457</f>
        <v>73.84</v>
      </c>
      <c r="T456">
        <f>'raw data Crude oil'!T457</f>
        <v>73.69</v>
      </c>
      <c r="U456">
        <f>'raw data Crude oil'!U457</f>
        <v>73.48</v>
      </c>
      <c r="V456">
        <f>'raw data Crude oil'!V457</f>
        <v>73.209999999999994</v>
      </c>
      <c r="W456">
        <f>'raw data Crude oil'!W457</f>
        <v>72.900000000000006</v>
      </c>
      <c r="X456">
        <f>'raw data Crude oil'!X457</f>
        <v>72.58</v>
      </c>
      <c r="Y456">
        <f>'raw data Crude oil'!Y457</f>
        <v>72.25</v>
      </c>
      <c r="Z456">
        <f>'raw data Crude oil'!Z457</f>
        <v>0</v>
      </c>
      <c r="AA456">
        <f>'raw data Crude oil'!AA457</f>
        <v>0</v>
      </c>
      <c r="AB456">
        <f>'raw data Crude oil'!AB457</f>
        <v>0</v>
      </c>
      <c r="AC456">
        <f>'raw data Crude oil'!AC457</f>
        <v>0</v>
      </c>
      <c r="AD456">
        <f>'raw data Crude oil'!AD457</f>
        <v>0</v>
      </c>
      <c r="AE456">
        <f>'raw data Crude oil'!AE457</f>
        <v>0</v>
      </c>
      <c r="AF456">
        <f>'raw data Crude oil'!AF457</f>
        <v>0</v>
      </c>
      <c r="AG456">
        <f>'raw data Crude oil'!AG457</f>
        <v>0</v>
      </c>
      <c r="AH456">
        <f>'raw data Crude oil'!AH457</f>
        <v>0</v>
      </c>
      <c r="AI456">
        <f>'raw data Crude oil'!AI457</f>
        <v>0</v>
      </c>
      <c r="AJ456">
        <f>'raw data Crude oil'!AJ457</f>
        <v>0</v>
      </c>
      <c r="AK456">
        <f>'raw data Crude oil'!AK457</f>
        <v>0</v>
      </c>
    </row>
    <row r="457" spans="1:37" x14ac:dyDescent="0.3">
      <c r="A457" s="18">
        <f>'raw data Crude oil'!A458</f>
        <v>43378</v>
      </c>
      <c r="B457">
        <f>'raw data Crude oil'!B458</f>
        <v>84.16</v>
      </c>
      <c r="C457">
        <f>'raw data Crude oil'!C458</f>
        <v>83.79</v>
      </c>
      <c r="D457">
        <f>'raw data Crude oil'!D458</f>
        <v>83.52</v>
      </c>
      <c r="E457">
        <f>'raw data Crude oil'!E458</f>
        <v>83.31</v>
      </c>
      <c r="F457">
        <f>'raw data Crude oil'!F458</f>
        <v>83.09</v>
      </c>
      <c r="G457">
        <f>'raw data Crude oil'!G458</f>
        <v>82.85</v>
      </c>
      <c r="H457">
        <f>'raw data Crude oil'!H458</f>
        <v>82.56</v>
      </c>
      <c r="I457">
        <f>'raw data Crude oil'!I458</f>
        <v>82.24</v>
      </c>
      <c r="J457">
        <f>'raw data Crude oil'!J458</f>
        <v>81.900000000000006</v>
      </c>
      <c r="K457">
        <f>'raw data Crude oil'!K458</f>
        <v>81.53</v>
      </c>
      <c r="L457">
        <f>'raw data Crude oil'!L458</f>
        <v>81.16</v>
      </c>
      <c r="M457">
        <f>'raw data Crude oil'!M458</f>
        <v>80.81</v>
      </c>
      <c r="N457">
        <f>'raw data Crude oil'!N458</f>
        <v>74.34</v>
      </c>
      <c r="O457">
        <f>'raw data Crude oil'!O458</f>
        <v>74.260000000000005</v>
      </c>
      <c r="P457">
        <f>'raw data Crude oil'!P458</f>
        <v>74.150000000000006</v>
      </c>
      <c r="Q457">
        <f>'raw data Crude oil'!Q458</f>
        <v>74.05</v>
      </c>
      <c r="R457">
        <f>'raw data Crude oil'!R458</f>
        <v>73.97</v>
      </c>
      <c r="S457">
        <f>'raw data Crude oil'!S458</f>
        <v>73.88</v>
      </c>
      <c r="T457">
        <f>'raw data Crude oil'!T458</f>
        <v>73.760000000000005</v>
      </c>
      <c r="U457">
        <f>'raw data Crude oil'!U458</f>
        <v>73.59</v>
      </c>
      <c r="V457">
        <f>'raw data Crude oil'!V458</f>
        <v>73.36</v>
      </c>
      <c r="W457">
        <f>'raw data Crude oil'!W458</f>
        <v>73.08</v>
      </c>
      <c r="X457">
        <f>'raw data Crude oil'!X458</f>
        <v>72.760000000000005</v>
      </c>
      <c r="Y457">
        <f>'raw data Crude oil'!Y458</f>
        <v>72.45</v>
      </c>
      <c r="Z457">
        <f>'raw data Crude oil'!Z458</f>
        <v>0</v>
      </c>
      <c r="AA457">
        <f>'raw data Crude oil'!AA458</f>
        <v>0</v>
      </c>
      <c r="AB457">
        <f>'raw data Crude oil'!AB458</f>
        <v>0</v>
      </c>
      <c r="AC457">
        <f>'raw data Crude oil'!AC458</f>
        <v>0</v>
      </c>
      <c r="AD457">
        <f>'raw data Crude oil'!AD458</f>
        <v>0</v>
      </c>
      <c r="AE457">
        <f>'raw data Crude oil'!AE458</f>
        <v>0</v>
      </c>
      <c r="AF457">
        <f>'raw data Crude oil'!AF458</f>
        <v>0</v>
      </c>
      <c r="AG457">
        <f>'raw data Crude oil'!AG458</f>
        <v>0</v>
      </c>
      <c r="AH457">
        <f>'raw data Crude oil'!AH458</f>
        <v>0</v>
      </c>
      <c r="AI457">
        <f>'raw data Crude oil'!AI458</f>
        <v>0</v>
      </c>
      <c r="AJ457">
        <f>'raw data Crude oil'!AJ458</f>
        <v>0</v>
      </c>
      <c r="AK457">
        <f>'raw data Crude oil'!AK458</f>
        <v>0</v>
      </c>
    </row>
    <row r="458" spans="1:37" x14ac:dyDescent="0.3">
      <c r="A458" s="18">
        <f>'raw data Crude oil'!A459</f>
        <v>43381</v>
      </c>
      <c r="B458">
        <f>'raw data Crude oil'!B459</f>
        <v>83.91</v>
      </c>
      <c r="C458">
        <f>'raw data Crude oil'!C459</f>
        <v>83.54</v>
      </c>
      <c r="D458">
        <f>'raw data Crude oil'!D459</f>
        <v>83.27</v>
      </c>
      <c r="E458">
        <f>'raw data Crude oil'!E459</f>
        <v>83.06</v>
      </c>
      <c r="F458">
        <f>'raw data Crude oil'!F459</f>
        <v>82.84</v>
      </c>
      <c r="G458">
        <f>'raw data Crude oil'!G459</f>
        <v>82.61</v>
      </c>
      <c r="H458">
        <f>'raw data Crude oil'!H459</f>
        <v>82.32</v>
      </c>
      <c r="I458">
        <f>'raw data Crude oil'!I459</f>
        <v>82.02</v>
      </c>
      <c r="J458">
        <f>'raw data Crude oil'!J459</f>
        <v>81.7</v>
      </c>
      <c r="K458">
        <f>'raw data Crude oil'!K459</f>
        <v>81.34</v>
      </c>
      <c r="L458">
        <f>'raw data Crude oil'!L459</f>
        <v>80.989999999999995</v>
      </c>
      <c r="M458">
        <f>'raw data Crude oil'!M459</f>
        <v>80.66</v>
      </c>
      <c r="N458">
        <f>'raw data Crude oil'!N459</f>
        <v>74.290000000000006</v>
      </c>
      <c r="O458">
        <f>'raw data Crude oil'!O459</f>
        <v>74.17</v>
      </c>
      <c r="P458">
        <f>'raw data Crude oil'!P459</f>
        <v>74.03</v>
      </c>
      <c r="Q458">
        <f>'raw data Crude oil'!Q459</f>
        <v>73.900000000000006</v>
      </c>
      <c r="R458">
        <f>'raw data Crude oil'!R459</f>
        <v>73.8</v>
      </c>
      <c r="S458">
        <f>'raw data Crude oil'!S459</f>
        <v>73.7</v>
      </c>
      <c r="T458">
        <f>'raw data Crude oil'!T459</f>
        <v>73.59</v>
      </c>
      <c r="U458">
        <f>'raw data Crude oil'!U459</f>
        <v>73.430000000000007</v>
      </c>
      <c r="V458">
        <f>'raw data Crude oil'!V459</f>
        <v>73.22</v>
      </c>
      <c r="W458">
        <f>'raw data Crude oil'!W459</f>
        <v>72.97</v>
      </c>
      <c r="X458">
        <f>'raw data Crude oil'!X459</f>
        <v>72.680000000000007</v>
      </c>
      <c r="Y458">
        <f>'raw data Crude oil'!Y459</f>
        <v>72.39</v>
      </c>
      <c r="Z458">
        <f>'raw data Crude oil'!Z459</f>
        <v>0</v>
      </c>
      <c r="AA458">
        <f>'raw data Crude oil'!AA459</f>
        <v>0</v>
      </c>
      <c r="AB458">
        <f>'raw data Crude oil'!AB459</f>
        <v>0</v>
      </c>
      <c r="AC458">
        <f>'raw data Crude oil'!AC459</f>
        <v>0</v>
      </c>
      <c r="AD458">
        <f>'raw data Crude oil'!AD459</f>
        <v>0</v>
      </c>
      <c r="AE458">
        <f>'raw data Crude oil'!AE459</f>
        <v>0</v>
      </c>
      <c r="AF458">
        <f>'raw data Crude oil'!AF459</f>
        <v>0</v>
      </c>
      <c r="AG458">
        <f>'raw data Crude oil'!AG459</f>
        <v>0</v>
      </c>
      <c r="AH458">
        <f>'raw data Crude oil'!AH459</f>
        <v>0</v>
      </c>
      <c r="AI458">
        <f>'raw data Crude oil'!AI459</f>
        <v>0</v>
      </c>
      <c r="AJ458">
        <f>'raw data Crude oil'!AJ459</f>
        <v>0</v>
      </c>
      <c r="AK458">
        <f>'raw data Crude oil'!AK459</f>
        <v>0</v>
      </c>
    </row>
    <row r="459" spans="1:37" x14ac:dyDescent="0.3">
      <c r="A459" s="18">
        <f>'raw data Crude oil'!A460</f>
        <v>43382</v>
      </c>
      <c r="B459">
        <f>'raw data Crude oil'!B460</f>
        <v>85</v>
      </c>
      <c r="C459">
        <f>'raw data Crude oil'!C460</f>
        <v>84.54</v>
      </c>
      <c r="D459">
        <f>'raw data Crude oil'!D460</f>
        <v>84.2</v>
      </c>
      <c r="E459">
        <f>'raw data Crude oil'!E460</f>
        <v>83.96</v>
      </c>
      <c r="F459">
        <f>'raw data Crude oil'!F460</f>
        <v>83.71</v>
      </c>
      <c r="G459">
        <f>'raw data Crude oil'!G460</f>
        <v>83.47</v>
      </c>
      <c r="H459">
        <f>'raw data Crude oil'!H460</f>
        <v>83.19</v>
      </c>
      <c r="I459">
        <f>'raw data Crude oil'!I460</f>
        <v>82.88</v>
      </c>
      <c r="J459">
        <f>'raw data Crude oil'!J460</f>
        <v>82.55</v>
      </c>
      <c r="K459">
        <f>'raw data Crude oil'!K460</f>
        <v>82.19</v>
      </c>
      <c r="L459">
        <f>'raw data Crude oil'!L460</f>
        <v>81.84</v>
      </c>
      <c r="M459">
        <f>'raw data Crude oil'!M460</f>
        <v>81.5</v>
      </c>
      <c r="N459">
        <f>'raw data Crude oil'!N460</f>
        <v>74.959999999999994</v>
      </c>
      <c r="O459">
        <f>'raw data Crude oil'!O460</f>
        <v>74.81</v>
      </c>
      <c r="P459">
        <f>'raw data Crude oil'!P460</f>
        <v>74.650000000000006</v>
      </c>
      <c r="Q459">
        <f>'raw data Crude oil'!Q460</f>
        <v>74.510000000000005</v>
      </c>
      <c r="R459">
        <f>'raw data Crude oil'!R460</f>
        <v>74.42</v>
      </c>
      <c r="S459">
        <f>'raw data Crude oil'!S460</f>
        <v>74.33</v>
      </c>
      <c r="T459">
        <f>'raw data Crude oil'!T460</f>
        <v>74.22</v>
      </c>
      <c r="U459">
        <f>'raw data Crude oil'!U460</f>
        <v>74.08</v>
      </c>
      <c r="V459">
        <f>'raw data Crude oil'!V460</f>
        <v>73.88</v>
      </c>
      <c r="W459">
        <f>'raw data Crude oil'!W460</f>
        <v>73.63</v>
      </c>
      <c r="X459">
        <f>'raw data Crude oil'!X460</f>
        <v>73.349999999999994</v>
      </c>
      <c r="Y459">
        <f>'raw data Crude oil'!Y460</f>
        <v>73.05</v>
      </c>
      <c r="Z459">
        <f>'raw data Crude oil'!Z460</f>
        <v>0</v>
      </c>
      <c r="AA459">
        <f>'raw data Crude oil'!AA460</f>
        <v>0</v>
      </c>
      <c r="AB459">
        <f>'raw data Crude oil'!AB460</f>
        <v>0</v>
      </c>
      <c r="AC459">
        <f>'raw data Crude oil'!AC460</f>
        <v>0</v>
      </c>
      <c r="AD459">
        <f>'raw data Crude oil'!AD460</f>
        <v>0</v>
      </c>
      <c r="AE459">
        <f>'raw data Crude oil'!AE460</f>
        <v>0</v>
      </c>
      <c r="AF459">
        <f>'raw data Crude oil'!AF460</f>
        <v>0</v>
      </c>
      <c r="AG459">
        <f>'raw data Crude oil'!AG460</f>
        <v>0</v>
      </c>
      <c r="AH459">
        <f>'raw data Crude oil'!AH460</f>
        <v>0</v>
      </c>
      <c r="AI459">
        <f>'raw data Crude oil'!AI460</f>
        <v>0</v>
      </c>
      <c r="AJ459">
        <f>'raw data Crude oil'!AJ460</f>
        <v>0</v>
      </c>
      <c r="AK459">
        <f>'raw data Crude oil'!AK460</f>
        <v>0</v>
      </c>
    </row>
    <row r="460" spans="1:37" x14ac:dyDescent="0.3">
      <c r="A460" s="18">
        <f>'raw data Crude oil'!A461</f>
        <v>43383</v>
      </c>
      <c r="B460">
        <f>'raw data Crude oil'!B461</f>
        <v>83.09</v>
      </c>
      <c r="C460">
        <f>'raw data Crude oil'!C461</f>
        <v>82.65</v>
      </c>
      <c r="D460">
        <f>'raw data Crude oil'!D461</f>
        <v>82.34</v>
      </c>
      <c r="E460">
        <f>'raw data Crude oil'!E461</f>
        <v>82.13</v>
      </c>
      <c r="F460">
        <f>'raw data Crude oil'!F461</f>
        <v>81.93</v>
      </c>
      <c r="G460">
        <f>'raw data Crude oil'!G461</f>
        <v>81.739999999999995</v>
      </c>
      <c r="H460">
        <f>'raw data Crude oil'!H461</f>
        <v>81.5</v>
      </c>
      <c r="I460">
        <f>'raw data Crude oil'!I461</f>
        <v>81.239999999999995</v>
      </c>
      <c r="J460">
        <f>'raw data Crude oil'!J461</f>
        <v>80.94</v>
      </c>
      <c r="K460">
        <f>'raw data Crude oil'!K461</f>
        <v>80.61</v>
      </c>
      <c r="L460">
        <f>'raw data Crude oil'!L461</f>
        <v>80.28</v>
      </c>
      <c r="M460">
        <f>'raw data Crude oil'!M461</f>
        <v>79.959999999999994</v>
      </c>
      <c r="N460">
        <f>'raw data Crude oil'!N461</f>
        <v>73.17</v>
      </c>
      <c r="O460">
        <f>'raw data Crude oil'!O461</f>
        <v>73.03</v>
      </c>
      <c r="P460">
        <f>'raw data Crude oil'!P461</f>
        <v>72.91</v>
      </c>
      <c r="Q460">
        <f>'raw data Crude oil'!Q461</f>
        <v>72.819999999999993</v>
      </c>
      <c r="R460">
        <f>'raw data Crude oil'!R461</f>
        <v>72.77</v>
      </c>
      <c r="S460">
        <f>'raw data Crude oil'!S461</f>
        <v>72.72</v>
      </c>
      <c r="T460">
        <f>'raw data Crude oil'!T461</f>
        <v>72.650000000000006</v>
      </c>
      <c r="U460">
        <f>'raw data Crude oil'!U461</f>
        <v>72.53</v>
      </c>
      <c r="V460">
        <f>'raw data Crude oil'!V461</f>
        <v>72.36</v>
      </c>
      <c r="W460">
        <f>'raw data Crude oil'!W461</f>
        <v>72.13</v>
      </c>
      <c r="X460">
        <f>'raw data Crude oil'!X461</f>
        <v>71.86</v>
      </c>
      <c r="Y460">
        <f>'raw data Crude oil'!Y461</f>
        <v>71.569999999999993</v>
      </c>
      <c r="Z460">
        <f>'raw data Crude oil'!Z461</f>
        <v>0</v>
      </c>
      <c r="AA460">
        <f>'raw data Crude oil'!AA461</f>
        <v>0</v>
      </c>
      <c r="AB460">
        <f>'raw data Crude oil'!AB461</f>
        <v>0</v>
      </c>
      <c r="AC460">
        <f>'raw data Crude oil'!AC461</f>
        <v>0</v>
      </c>
      <c r="AD460">
        <f>'raw data Crude oil'!AD461</f>
        <v>0</v>
      </c>
      <c r="AE460">
        <f>'raw data Crude oil'!AE461</f>
        <v>0</v>
      </c>
      <c r="AF460">
        <f>'raw data Crude oil'!AF461</f>
        <v>0</v>
      </c>
      <c r="AG460">
        <f>'raw data Crude oil'!AG461</f>
        <v>0</v>
      </c>
      <c r="AH460">
        <f>'raw data Crude oil'!AH461</f>
        <v>0</v>
      </c>
      <c r="AI460">
        <f>'raw data Crude oil'!AI461</f>
        <v>0</v>
      </c>
      <c r="AJ460">
        <f>'raw data Crude oil'!AJ461</f>
        <v>0</v>
      </c>
      <c r="AK460">
        <f>'raw data Crude oil'!AK461</f>
        <v>0</v>
      </c>
    </row>
    <row r="461" spans="1:37" x14ac:dyDescent="0.3">
      <c r="A461" s="18">
        <f>'raw data Crude oil'!A462</f>
        <v>43384</v>
      </c>
      <c r="B461">
        <f>'raw data Crude oil'!B462</f>
        <v>80.260000000000005</v>
      </c>
      <c r="C461">
        <f>'raw data Crude oil'!C462</f>
        <v>79.87</v>
      </c>
      <c r="D461">
        <f>'raw data Crude oil'!D462</f>
        <v>79.599999999999994</v>
      </c>
      <c r="E461">
        <f>'raw data Crude oil'!E462</f>
        <v>79.42</v>
      </c>
      <c r="F461">
        <f>'raw data Crude oil'!F462</f>
        <v>79.25</v>
      </c>
      <c r="G461">
        <f>'raw data Crude oil'!G462</f>
        <v>79.09</v>
      </c>
      <c r="H461">
        <f>'raw data Crude oil'!H462</f>
        <v>78.91</v>
      </c>
      <c r="I461">
        <f>'raw data Crude oil'!I462</f>
        <v>78.7</v>
      </c>
      <c r="J461">
        <f>'raw data Crude oil'!J462</f>
        <v>78.45</v>
      </c>
      <c r="K461">
        <f>'raw data Crude oil'!K462</f>
        <v>78.180000000000007</v>
      </c>
      <c r="L461">
        <f>'raw data Crude oil'!L462</f>
        <v>77.89</v>
      </c>
      <c r="M461">
        <f>'raw data Crude oil'!M462</f>
        <v>77.61</v>
      </c>
      <c r="N461">
        <f>'raw data Crude oil'!N462</f>
        <v>70.97</v>
      </c>
      <c r="O461">
        <f>'raw data Crude oil'!O462</f>
        <v>70.81</v>
      </c>
      <c r="P461">
        <f>'raw data Crude oil'!P462</f>
        <v>70.69</v>
      </c>
      <c r="Q461">
        <f>'raw data Crude oil'!Q462</f>
        <v>70.599999999999994</v>
      </c>
      <c r="R461">
        <f>'raw data Crude oil'!R462</f>
        <v>70.55</v>
      </c>
      <c r="S461">
        <f>'raw data Crude oil'!S462</f>
        <v>70.5</v>
      </c>
      <c r="T461">
        <f>'raw data Crude oil'!T462</f>
        <v>70.44</v>
      </c>
      <c r="U461">
        <f>'raw data Crude oil'!U462</f>
        <v>70.34</v>
      </c>
      <c r="V461">
        <f>'raw data Crude oil'!V462</f>
        <v>70.19</v>
      </c>
      <c r="W461">
        <f>'raw data Crude oil'!W462</f>
        <v>69.98</v>
      </c>
      <c r="X461">
        <f>'raw data Crude oil'!X462</f>
        <v>69.739999999999995</v>
      </c>
      <c r="Y461">
        <f>'raw data Crude oil'!Y462</f>
        <v>69.47</v>
      </c>
      <c r="Z461">
        <f>'raw data Crude oil'!Z462</f>
        <v>0</v>
      </c>
      <c r="AA461">
        <f>'raw data Crude oil'!AA462</f>
        <v>0</v>
      </c>
      <c r="AB461">
        <f>'raw data Crude oil'!AB462</f>
        <v>0</v>
      </c>
      <c r="AC461">
        <f>'raw data Crude oil'!AC462</f>
        <v>0</v>
      </c>
      <c r="AD461">
        <f>'raw data Crude oil'!AD462</f>
        <v>0</v>
      </c>
      <c r="AE461">
        <f>'raw data Crude oil'!AE462</f>
        <v>0</v>
      </c>
      <c r="AF461">
        <f>'raw data Crude oil'!AF462</f>
        <v>0</v>
      </c>
      <c r="AG461">
        <f>'raw data Crude oil'!AG462</f>
        <v>0</v>
      </c>
      <c r="AH461">
        <f>'raw data Crude oil'!AH462</f>
        <v>0</v>
      </c>
      <c r="AI461">
        <f>'raw data Crude oil'!AI462</f>
        <v>0</v>
      </c>
      <c r="AJ461">
        <f>'raw data Crude oil'!AJ462</f>
        <v>0</v>
      </c>
      <c r="AK461">
        <f>'raw data Crude oil'!AK462</f>
        <v>0</v>
      </c>
    </row>
    <row r="462" spans="1:37" x14ac:dyDescent="0.3">
      <c r="A462" s="18">
        <f>'raw data Crude oil'!A463</f>
        <v>43385</v>
      </c>
      <c r="B462">
        <f>'raw data Crude oil'!B463</f>
        <v>80.430000000000007</v>
      </c>
      <c r="C462">
        <f>'raw data Crude oil'!C463</f>
        <v>80.069999999999993</v>
      </c>
      <c r="D462">
        <f>'raw data Crude oil'!D463</f>
        <v>79.819999999999993</v>
      </c>
      <c r="E462">
        <f>'raw data Crude oil'!E463</f>
        <v>79.64</v>
      </c>
      <c r="F462">
        <f>'raw data Crude oil'!F463</f>
        <v>79.47</v>
      </c>
      <c r="G462">
        <f>'raw data Crude oil'!G463</f>
        <v>79.31</v>
      </c>
      <c r="H462">
        <f>'raw data Crude oil'!H463</f>
        <v>79.12</v>
      </c>
      <c r="I462">
        <f>'raw data Crude oil'!I463</f>
        <v>78.88</v>
      </c>
      <c r="J462">
        <f>'raw data Crude oil'!J463</f>
        <v>78.62</v>
      </c>
      <c r="K462">
        <f>'raw data Crude oil'!K463</f>
        <v>78.34</v>
      </c>
      <c r="L462">
        <f>'raw data Crude oil'!L463</f>
        <v>78.040000000000006</v>
      </c>
      <c r="M462">
        <f>'raw data Crude oil'!M463</f>
        <v>77.739999999999995</v>
      </c>
      <c r="N462">
        <f>'raw data Crude oil'!N463</f>
        <v>71.34</v>
      </c>
      <c r="O462">
        <f>'raw data Crude oil'!O463</f>
        <v>71.180000000000007</v>
      </c>
      <c r="P462">
        <f>'raw data Crude oil'!P463</f>
        <v>71.08</v>
      </c>
      <c r="Q462">
        <f>'raw data Crude oil'!Q463</f>
        <v>70.989999999999995</v>
      </c>
      <c r="R462">
        <f>'raw data Crude oil'!R463</f>
        <v>70.94</v>
      </c>
      <c r="S462">
        <f>'raw data Crude oil'!S463</f>
        <v>70.89</v>
      </c>
      <c r="T462">
        <f>'raw data Crude oil'!T463</f>
        <v>70.819999999999993</v>
      </c>
      <c r="U462">
        <f>'raw data Crude oil'!U463</f>
        <v>70.7</v>
      </c>
      <c r="V462">
        <f>'raw data Crude oil'!V463</f>
        <v>70.540000000000006</v>
      </c>
      <c r="W462">
        <f>'raw data Crude oil'!W463</f>
        <v>70.31</v>
      </c>
      <c r="X462">
        <f>'raw data Crude oil'!X463</f>
        <v>70.040000000000006</v>
      </c>
      <c r="Y462">
        <f>'raw data Crude oil'!Y463</f>
        <v>69.75</v>
      </c>
      <c r="Z462">
        <f>'raw data Crude oil'!Z463</f>
        <v>0</v>
      </c>
      <c r="AA462">
        <f>'raw data Crude oil'!AA463</f>
        <v>0</v>
      </c>
      <c r="AB462">
        <f>'raw data Crude oil'!AB463</f>
        <v>0</v>
      </c>
      <c r="AC462">
        <f>'raw data Crude oil'!AC463</f>
        <v>0</v>
      </c>
      <c r="AD462">
        <f>'raw data Crude oil'!AD463</f>
        <v>0</v>
      </c>
      <c r="AE462">
        <f>'raw data Crude oil'!AE463</f>
        <v>0</v>
      </c>
      <c r="AF462">
        <f>'raw data Crude oil'!AF463</f>
        <v>0</v>
      </c>
      <c r="AG462">
        <f>'raw data Crude oil'!AG463</f>
        <v>0</v>
      </c>
      <c r="AH462">
        <f>'raw data Crude oil'!AH463</f>
        <v>0</v>
      </c>
      <c r="AI462">
        <f>'raw data Crude oil'!AI463</f>
        <v>0</v>
      </c>
      <c r="AJ462">
        <f>'raw data Crude oil'!AJ463</f>
        <v>0</v>
      </c>
      <c r="AK462">
        <f>'raw data Crude oil'!AK463</f>
        <v>0</v>
      </c>
    </row>
    <row r="463" spans="1:37" x14ac:dyDescent="0.3">
      <c r="A463" s="18">
        <f>'raw data Crude oil'!A464</f>
        <v>43388</v>
      </c>
      <c r="B463">
        <f>'raw data Crude oil'!B464</f>
        <v>80.78</v>
      </c>
      <c r="C463">
        <f>'raw data Crude oil'!C464</f>
        <v>80.430000000000007</v>
      </c>
      <c r="D463">
        <f>'raw data Crude oil'!D464</f>
        <v>80.27</v>
      </c>
      <c r="E463">
        <f>'raw data Crude oil'!E464</f>
        <v>80.150000000000006</v>
      </c>
      <c r="F463">
        <f>'raw data Crude oil'!F464</f>
        <v>80.010000000000005</v>
      </c>
      <c r="G463">
        <f>'raw data Crude oil'!G464</f>
        <v>79.87</v>
      </c>
      <c r="H463">
        <f>'raw data Crude oil'!H464</f>
        <v>79.69</v>
      </c>
      <c r="I463">
        <f>'raw data Crude oil'!I464</f>
        <v>79.45</v>
      </c>
      <c r="J463">
        <f>'raw data Crude oil'!J464</f>
        <v>79.180000000000007</v>
      </c>
      <c r="K463">
        <f>'raw data Crude oil'!K464</f>
        <v>78.87</v>
      </c>
      <c r="L463">
        <f>'raw data Crude oil'!L464</f>
        <v>78.540000000000006</v>
      </c>
      <c r="M463">
        <f>'raw data Crude oil'!M464</f>
        <v>78.23</v>
      </c>
      <c r="N463">
        <f>'raw data Crude oil'!N464</f>
        <v>71.78</v>
      </c>
      <c r="O463">
        <f>'raw data Crude oil'!O464</f>
        <v>71.61</v>
      </c>
      <c r="P463">
        <f>'raw data Crude oil'!P464</f>
        <v>71.53</v>
      </c>
      <c r="Q463">
        <f>'raw data Crude oil'!Q464</f>
        <v>71.45</v>
      </c>
      <c r="R463">
        <f>'raw data Crude oil'!R464</f>
        <v>71.39</v>
      </c>
      <c r="S463">
        <f>'raw data Crude oil'!S464</f>
        <v>71.319999999999993</v>
      </c>
      <c r="T463">
        <f>'raw data Crude oil'!T464</f>
        <v>71.239999999999995</v>
      </c>
      <c r="U463">
        <f>'raw data Crude oil'!U464</f>
        <v>71.11</v>
      </c>
      <c r="V463">
        <f>'raw data Crude oil'!V464</f>
        <v>70.930000000000007</v>
      </c>
      <c r="W463">
        <f>'raw data Crude oil'!W464</f>
        <v>70.680000000000007</v>
      </c>
      <c r="X463">
        <f>'raw data Crude oil'!X464</f>
        <v>70.400000000000006</v>
      </c>
      <c r="Y463">
        <f>'raw data Crude oil'!Y464</f>
        <v>70.09</v>
      </c>
      <c r="Z463">
        <f>'raw data Crude oil'!Z464</f>
        <v>0</v>
      </c>
      <c r="AA463">
        <f>'raw data Crude oil'!AA464</f>
        <v>0</v>
      </c>
      <c r="AB463">
        <f>'raw data Crude oil'!AB464</f>
        <v>0</v>
      </c>
      <c r="AC463">
        <f>'raw data Crude oil'!AC464</f>
        <v>0</v>
      </c>
      <c r="AD463">
        <f>'raw data Crude oil'!AD464</f>
        <v>0</v>
      </c>
      <c r="AE463">
        <f>'raw data Crude oil'!AE464</f>
        <v>0</v>
      </c>
      <c r="AF463">
        <f>'raw data Crude oil'!AF464</f>
        <v>0</v>
      </c>
      <c r="AG463">
        <f>'raw data Crude oil'!AG464</f>
        <v>0</v>
      </c>
      <c r="AH463">
        <f>'raw data Crude oil'!AH464</f>
        <v>0</v>
      </c>
      <c r="AI463">
        <f>'raw data Crude oil'!AI464</f>
        <v>0</v>
      </c>
      <c r="AJ463">
        <f>'raw data Crude oil'!AJ464</f>
        <v>0</v>
      </c>
      <c r="AK463">
        <f>'raw data Crude oil'!AK464</f>
        <v>0</v>
      </c>
    </row>
    <row r="464" spans="1:37" x14ac:dyDescent="0.3">
      <c r="A464" s="18">
        <f>'raw data Crude oil'!A465</f>
        <v>43389</v>
      </c>
      <c r="B464">
        <f>'raw data Crude oil'!B465</f>
        <v>81.41</v>
      </c>
      <c r="C464">
        <f>'raw data Crude oil'!C465</f>
        <v>81.040000000000006</v>
      </c>
      <c r="D464">
        <f>'raw data Crude oil'!D465</f>
        <v>80.88</v>
      </c>
      <c r="E464">
        <f>'raw data Crude oil'!E465</f>
        <v>80.760000000000005</v>
      </c>
      <c r="F464">
        <f>'raw data Crude oil'!F465</f>
        <v>80.63</v>
      </c>
      <c r="G464">
        <f>'raw data Crude oil'!G465</f>
        <v>80.5</v>
      </c>
      <c r="H464">
        <f>'raw data Crude oil'!H465</f>
        <v>80.31</v>
      </c>
      <c r="I464">
        <f>'raw data Crude oil'!I465</f>
        <v>80.069999999999993</v>
      </c>
      <c r="J464">
        <f>'raw data Crude oil'!J465</f>
        <v>79.790000000000006</v>
      </c>
      <c r="K464">
        <f>'raw data Crude oil'!K465</f>
        <v>79.47</v>
      </c>
      <c r="L464">
        <f>'raw data Crude oil'!L465</f>
        <v>79.13</v>
      </c>
      <c r="M464">
        <f>'raw data Crude oil'!M465</f>
        <v>78.8</v>
      </c>
      <c r="N464">
        <f>'raw data Crude oil'!N465</f>
        <v>71.92</v>
      </c>
      <c r="O464">
        <f>'raw data Crude oil'!O465</f>
        <v>71.760000000000005</v>
      </c>
      <c r="P464">
        <f>'raw data Crude oil'!P465</f>
        <v>71.7</v>
      </c>
      <c r="Q464">
        <f>'raw data Crude oil'!Q465</f>
        <v>71.64</v>
      </c>
      <c r="R464">
        <f>'raw data Crude oil'!R465</f>
        <v>71.59</v>
      </c>
      <c r="S464">
        <f>'raw data Crude oil'!S465</f>
        <v>71.540000000000006</v>
      </c>
      <c r="T464">
        <f>'raw data Crude oil'!T465</f>
        <v>71.48</v>
      </c>
      <c r="U464">
        <f>'raw data Crude oil'!U465</f>
        <v>71.38</v>
      </c>
      <c r="V464">
        <f>'raw data Crude oil'!V465</f>
        <v>71.23</v>
      </c>
      <c r="W464">
        <f>'raw data Crude oil'!W465</f>
        <v>71.010000000000005</v>
      </c>
      <c r="X464">
        <f>'raw data Crude oil'!X465</f>
        <v>70.739999999999995</v>
      </c>
      <c r="Y464">
        <f>'raw data Crude oil'!Y465</f>
        <v>70.45</v>
      </c>
      <c r="Z464">
        <f>'raw data Crude oil'!Z465</f>
        <v>0</v>
      </c>
      <c r="AA464">
        <f>'raw data Crude oil'!AA465</f>
        <v>0</v>
      </c>
      <c r="AB464">
        <f>'raw data Crude oil'!AB465</f>
        <v>0</v>
      </c>
      <c r="AC464">
        <f>'raw data Crude oil'!AC465</f>
        <v>0</v>
      </c>
      <c r="AD464">
        <f>'raw data Crude oil'!AD465</f>
        <v>0</v>
      </c>
      <c r="AE464">
        <f>'raw data Crude oil'!AE465</f>
        <v>0</v>
      </c>
      <c r="AF464">
        <f>'raw data Crude oil'!AF465</f>
        <v>0</v>
      </c>
      <c r="AG464">
        <f>'raw data Crude oil'!AG465</f>
        <v>0</v>
      </c>
      <c r="AH464">
        <f>'raw data Crude oil'!AH465</f>
        <v>0</v>
      </c>
      <c r="AI464">
        <f>'raw data Crude oil'!AI465</f>
        <v>0</v>
      </c>
      <c r="AJ464">
        <f>'raw data Crude oil'!AJ465</f>
        <v>0</v>
      </c>
      <c r="AK464">
        <f>'raw data Crude oil'!AK465</f>
        <v>0</v>
      </c>
    </row>
    <row r="465" spans="1:37" x14ac:dyDescent="0.3">
      <c r="A465" s="18">
        <f>'raw data Crude oil'!A466</f>
        <v>43390</v>
      </c>
      <c r="B465">
        <f>'raw data Crude oil'!B466</f>
        <v>80.05</v>
      </c>
      <c r="C465">
        <f>'raw data Crude oil'!C466</f>
        <v>79.63</v>
      </c>
      <c r="D465">
        <f>'raw data Crude oil'!D466</f>
        <v>79.48</v>
      </c>
      <c r="E465">
        <f>'raw data Crude oil'!E466</f>
        <v>79.36</v>
      </c>
      <c r="F465">
        <f>'raw data Crude oil'!F466</f>
        <v>79.23</v>
      </c>
      <c r="G465">
        <f>'raw data Crude oil'!G466</f>
        <v>79.11</v>
      </c>
      <c r="H465">
        <f>'raw data Crude oil'!H466</f>
        <v>78.930000000000007</v>
      </c>
      <c r="I465">
        <f>'raw data Crude oil'!I466</f>
        <v>78.7</v>
      </c>
      <c r="J465">
        <f>'raw data Crude oil'!J466</f>
        <v>78.44</v>
      </c>
      <c r="K465">
        <f>'raw data Crude oil'!K466</f>
        <v>78.150000000000006</v>
      </c>
      <c r="L465">
        <f>'raw data Crude oil'!L466</f>
        <v>77.84</v>
      </c>
      <c r="M465">
        <f>'raw data Crude oil'!M466</f>
        <v>77.53</v>
      </c>
      <c r="N465">
        <f>'raw data Crude oil'!N466</f>
        <v>69.75</v>
      </c>
      <c r="O465">
        <f>'raw data Crude oil'!O466</f>
        <v>69.7</v>
      </c>
      <c r="P465">
        <f>'raw data Crude oil'!P466</f>
        <v>69.72</v>
      </c>
      <c r="Q465">
        <f>'raw data Crude oil'!Q466</f>
        <v>69.73</v>
      </c>
      <c r="R465">
        <f>'raw data Crude oil'!R466</f>
        <v>69.739999999999995</v>
      </c>
      <c r="S465">
        <f>'raw data Crude oil'!S466</f>
        <v>69.75</v>
      </c>
      <c r="T465">
        <f>'raw data Crude oil'!T466</f>
        <v>69.73</v>
      </c>
      <c r="U465">
        <f>'raw data Crude oil'!U466</f>
        <v>69.67</v>
      </c>
      <c r="V465">
        <f>'raw data Crude oil'!V466</f>
        <v>69.55</v>
      </c>
      <c r="W465">
        <f>'raw data Crude oil'!W466</f>
        <v>69.37</v>
      </c>
      <c r="X465">
        <f>'raw data Crude oil'!X466</f>
        <v>69.150000000000006</v>
      </c>
      <c r="Y465">
        <f>'raw data Crude oil'!Y466</f>
        <v>68.900000000000006</v>
      </c>
      <c r="Z465">
        <f>'raw data Crude oil'!Z466</f>
        <v>0</v>
      </c>
      <c r="AA465">
        <f>'raw data Crude oil'!AA466</f>
        <v>0</v>
      </c>
      <c r="AB465">
        <f>'raw data Crude oil'!AB466</f>
        <v>0</v>
      </c>
      <c r="AC465">
        <f>'raw data Crude oil'!AC466</f>
        <v>0</v>
      </c>
      <c r="AD465">
        <f>'raw data Crude oil'!AD466</f>
        <v>0</v>
      </c>
      <c r="AE465">
        <f>'raw data Crude oil'!AE466</f>
        <v>0</v>
      </c>
      <c r="AF465">
        <f>'raw data Crude oil'!AF466</f>
        <v>0</v>
      </c>
      <c r="AG465">
        <f>'raw data Crude oil'!AG466</f>
        <v>0</v>
      </c>
      <c r="AH465">
        <f>'raw data Crude oil'!AH466</f>
        <v>0</v>
      </c>
      <c r="AI465">
        <f>'raw data Crude oil'!AI466</f>
        <v>0</v>
      </c>
      <c r="AJ465">
        <f>'raw data Crude oil'!AJ466</f>
        <v>0</v>
      </c>
      <c r="AK465">
        <f>'raw data Crude oil'!AK466</f>
        <v>0</v>
      </c>
    </row>
    <row r="466" spans="1:37" x14ac:dyDescent="0.3">
      <c r="A466" s="18">
        <f>'raw data Crude oil'!A467</f>
        <v>43391</v>
      </c>
      <c r="B466">
        <f>'raw data Crude oil'!B467</f>
        <v>79.290000000000006</v>
      </c>
      <c r="C466">
        <f>'raw data Crude oil'!C467</f>
        <v>78.75</v>
      </c>
      <c r="D466">
        <f>'raw data Crude oil'!D467</f>
        <v>78.59</v>
      </c>
      <c r="E466">
        <f>'raw data Crude oil'!E467</f>
        <v>78.459999999999994</v>
      </c>
      <c r="F466">
        <f>'raw data Crude oil'!F467</f>
        <v>78.31</v>
      </c>
      <c r="G466">
        <f>'raw data Crude oil'!G467</f>
        <v>78.17</v>
      </c>
      <c r="H466">
        <f>'raw data Crude oil'!H467</f>
        <v>77.98</v>
      </c>
      <c r="I466">
        <f>'raw data Crude oil'!I467</f>
        <v>77.73</v>
      </c>
      <c r="J466">
        <f>'raw data Crude oil'!J467</f>
        <v>77.45</v>
      </c>
      <c r="K466">
        <f>'raw data Crude oil'!K467</f>
        <v>77.14</v>
      </c>
      <c r="L466">
        <f>'raw data Crude oil'!L467</f>
        <v>76.819999999999993</v>
      </c>
      <c r="M466">
        <f>'raw data Crude oil'!M467</f>
        <v>76.510000000000005</v>
      </c>
      <c r="N466">
        <f>'raw data Crude oil'!N467</f>
        <v>68.650000000000006</v>
      </c>
      <c r="O466">
        <f>'raw data Crude oil'!O467</f>
        <v>68.709999999999994</v>
      </c>
      <c r="P466">
        <f>'raw data Crude oil'!P467</f>
        <v>68.75</v>
      </c>
      <c r="Q466">
        <f>'raw data Crude oil'!Q467</f>
        <v>68.760000000000005</v>
      </c>
      <c r="R466">
        <f>'raw data Crude oil'!R467</f>
        <v>68.78</v>
      </c>
      <c r="S466">
        <f>'raw data Crude oil'!S467</f>
        <v>68.790000000000006</v>
      </c>
      <c r="T466">
        <f>'raw data Crude oil'!T467</f>
        <v>68.78</v>
      </c>
      <c r="U466">
        <f>'raw data Crude oil'!U467</f>
        <v>68.739999999999995</v>
      </c>
      <c r="V466">
        <f>'raw data Crude oil'!V467</f>
        <v>68.64</v>
      </c>
      <c r="W466">
        <f>'raw data Crude oil'!W467</f>
        <v>68.48</v>
      </c>
      <c r="X466">
        <f>'raw data Crude oil'!X467</f>
        <v>68.27</v>
      </c>
      <c r="Y466">
        <f>'raw data Crude oil'!Y467</f>
        <v>68.03</v>
      </c>
      <c r="Z466">
        <f>'raw data Crude oil'!Z467</f>
        <v>0</v>
      </c>
      <c r="AA466">
        <f>'raw data Crude oil'!AA467</f>
        <v>0</v>
      </c>
      <c r="AB466">
        <f>'raw data Crude oil'!AB467</f>
        <v>0</v>
      </c>
      <c r="AC466">
        <f>'raw data Crude oil'!AC467</f>
        <v>0</v>
      </c>
      <c r="AD466">
        <f>'raw data Crude oil'!AD467</f>
        <v>0</v>
      </c>
      <c r="AE466">
        <f>'raw data Crude oil'!AE467</f>
        <v>0</v>
      </c>
      <c r="AF466">
        <f>'raw data Crude oil'!AF467</f>
        <v>0</v>
      </c>
      <c r="AG466">
        <f>'raw data Crude oil'!AG467</f>
        <v>0</v>
      </c>
      <c r="AH466">
        <f>'raw data Crude oil'!AH467</f>
        <v>0</v>
      </c>
      <c r="AI466">
        <f>'raw data Crude oil'!AI467</f>
        <v>0</v>
      </c>
      <c r="AJ466">
        <f>'raw data Crude oil'!AJ467</f>
        <v>0</v>
      </c>
      <c r="AK466">
        <f>'raw data Crude oil'!AK467</f>
        <v>0</v>
      </c>
    </row>
    <row r="467" spans="1:37" x14ac:dyDescent="0.3">
      <c r="A467" s="18">
        <f>'raw data Crude oil'!A468</f>
        <v>43392</v>
      </c>
      <c r="B467">
        <f>'raw data Crude oil'!B468</f>
        <v>79.78</v>
      </c>
      <c r="C467">
        <f>'raw data Crude oil'!C468</f>
        <v>79.260000000000005</v>
      </c>
      <c r="D467">
        <f>'raw data Crude oil'!D468</f>
        <v>79.11</v>
      </c>
      <c r="E467">
        <f>'raw data Crude oil'!E468</f>
        <v>78.97</v>
      </c>
      <c r="F467">
        <f>'raw data Crude oil'!F468</f>
        <v>78.81</v>
      </c>
      <c r="G467">
        <f>'raw data Crude oil'!G468</f>
        <v>78.67</v>
      </c>
      <c r="H467">
        <f>'raw data Crude oil'!H468</f>
        <v>78.47</v>
      </c>
      <c r="I467">
        <f>'raw data Crude oil'!I468</f>
        <v>78.209999999999994</v>
      </c>
      <c r="J467">
        <f>'raw data Crude oil'!J468</f>
        <v>77.92</v>
      </c>
      <c r="K467">
        <f>'raw data Crude oil'!K468</f>
        <v>77.62</v>
      </c>
      <c r="L467">
        <f>'raw data Crude oil'!L468</f>
        <v>77.31</v>
      </c>
      <c r="M467">
        <f>'raw data Crude oil'!M468</f>
        <v>77.010000000000005</v>
      </c>
      <c r="N467">
        <f>'raw data Crude oil'!N468</f>
        <v>69.12</v>
      </c>
      <c r="O467">
        <f>'raw data Crude oil'!O468</f>
        <v>69.28</v>
      </c>
      <c r="P467">
        <f>'raw data Crude oil'!P468</f>
        <v>69.349999999999994</v>
      </c>
      <c r="Q467">
        <f>'raw data Crude oil'!Q468</f>
        <v>69.39</v>
      </c>
      <c r="R467">
        <f>'raw data Crude oil'!R468</f>
        <v>69.430000000000007</v>
      </c>
      <c r="S467">
        <f>'raw data Crude oil'!S468</f>
        <v>69.459999999999994</v>
      </c>
      <c r="T467">
        <f>'raw data Crude oil'!T468</f>
        <v>69.459999999999994</v>
      </c>
      <c r="U467">
        <f>'raw data Crude oil'!U468</f>
        <v>69.42</v>
      </c>
      <c r="V467">
        <f>'raw data Crude oil'!V468</f>
        <v>69.31</v>
      </c>
      <c r="W467">
        <f>'raw data Crude oil'!W468</f>
        <v>69.150000000000006</v>
      </c>
      <c r="X467">
        <f>'raw data Crude oil'!X468</f>
        <v>68.959999999999994</v>
      </c>
      <c r="Y467">
        <f>'raw data Crude oil'!Y468</f>
        <v>68.72</v>
      </c>
      <c r="Z467">
        <f>'raw data Crude oil'!Z468</f>
        <v>0</v>
      </c>
      <c r="AA467">
        <f>'raw data Crude oil'!AA468</f>
        <v>0</v>
      </c>
      <c r="AB467">
        <f>'raw data Crude oil'!AB468</f>
        <v>0</v>
      </c>
      <c r="AC467">
        <f>'raw data Crude oil'!AC468</f>
        <v>0</v>
      </c>
      <c r="AD467">
        <f>'raw data Crude oil'!AD468</f>
        <v>0</v>
      </c>
      <c r="AE467">
        <f>'raw data Crude oil'!AE468</f>
        <v>0</v>
      </c>
      <c r="AF467">
        <f>'raw data Crude oil'!AF468</f>
        <v>0</v>
      </c>
      <c r="AG467">
        <f>'raw data Crude oil'!AG468</f>
        <v>0</v>
      </c>
      <c r="AH467">
        <f>'raw data Crude oil'!AH468</f>
        <v>0</v>
      </c>
      <c r="AI467">
        <f>'raw data Crude oil'!AI468</f>
        <v>0</v>
      </c>
      <c r="AJ467">
        <f>'raw data Crude oil'!AJ468</f>
        <v>0</v>
      </c>
      <c r="AK467">
        <f>'raw data Crude oil'!AK468</f>
        <v>0</v>
      </c>
    </row>
    <row r="468" spans="1:37" x14ac:dyDescent="0.3">
      <c r="A468" s="18">
        <f>'raw data Crude oil'!A469</f>
        <v>43395</v>
      </c>
      <c r="B468">
        <f>'raw data Crude oil'!B469</f>
        <v>79.83</v>
      </c>
      <c r="C468">
        <f>'raw data Crude oil'!C469</f>
        <v>79.44</v>
      </c>
      <c r="D468">
        <f>'raw data Crude oil'!D469</f>
        <v>79.33</v>
      </c>
      <c r="E468">
        <f>'raw data Crude oil'!E469</f>
        <v>79.23</v>
      </c>
      <c r="F468">
        <f>'raw data Crude oil'!F469</f>
        <v>79.12</v>
      </c>
      <c r="G468">
        <f>'raw data Crude oil'!G469</f>
        <v>78.989999999999995</v>
      </c>
      <c r="H468">
        <f>'raw data Crude oil'!H469</f>
        <v>78.8</v>
      </c>
      <c r="I468">
        <f>'raw data Crude oil'!I469</f>
        <v>78.55</v>
      </c>
      <c r="J468">
        <f>'raw data Crude oil'!J469</f>
        <v>78.28</v>
      </c>
      <c r="K468">
        <f>'raw data Crude oil'!K469</f>
        <v>77.989999999999995</v>
      </c>
      <c r="L468">
        <f>'raw data Crude oil'!L469</f>
        <v>77.680000000000007</v>
      </c>
      <c r="M468">
        <f>'raw data Crude oil'!M469</f>
        <v>77.39</v>
      </c>
      <c r="N468">
        <f>'raw data Crude oil'!N469</f>
        <v>69.17</v>
      </c>
      <c r="O468">
        <f>'raw data Crude oil'!O469</f>
        <v>69.36</v>
      </c>
      <c r="P468">
        <f>'raw data Crude oil'!P469</f>
        <v>69.489999999999995</v>
      </c>
      <c r="Q468">
        <f>'raw data Crude oil'!Q469</f>
        <v>69.569999999999993</v>
      </c>
      <c r="R468">
        <f>'raw data Crude oil'!R469</f>
        <v>69.67</v>
      </c>
      <c r="S468">
        <f>'raw data Crude oil'!S469</f>
        <v>69.75</v>
      </c>
      <c r="T468">
        <f>'raw data Crude oil'!T469</f>
        <v>69.8</v>
      </c>
      <c r="U468">
        <f>'raw data Crude oil'!U469</f>
        <v>69.8</v>
      </c>
      <c r="V468">
        <f>'raw data Crude oil'!V469</f>
        <v>69.739999999999995</v>
      </c>
      <c r="W468">
        <f>'raw data Crude oil'!W469</f>
        <v>69.62</v>
      </c>
      <c r="X468">
        <f>'raw data Crude oil'!X469</f>
        <v>69.44</v>
      </c>
      <c r="Y468">
        <f>'raw data Crude oil'!Y469</f>
        <v>69.239999999999995</v>
      </c>
      <c r="Z468">
        <f>'raw data Crude oil'!Z469</f>
        <v>0</v>
      </c>
      <c r="AA468">
        <f>'raw data Crude oil'!AA469</f>
        <v>0</v>
      </c>
      <c r="AB468">
        <f>'raw data Crude oil'!AB469</f>
        <v>0</v>
      </c>
      <c r="AC468">
        <f>'raw data Crude oil'!AC469</f>
        <v>0</v>
      </c>
      <c r="AD468">
        <f>'raw data Crude oil'!AD469</f>
        <v>0</v>
      </c>
      <c r="AE468">
        <f>'raw data Crude oil'!AE469</f>
        <v>0</v>
      </c>
      <c r="AF468">
        <f>'raw data Crude oil'!AF469</f>
        <v>0</v>
      </c>
      <c r="AG468">
        <f>'raw data Crude oil'!AG469</f>
        <v>0</v>
      </c>
      <c r="AH468">
        <f>'raw data Crude oil'!AH469</f>
        <v>0</v>
      </c>
      <c r="AI468">
        <f>'raw data Crude oil'!AI469</f>
        <v>0</v>
      </c>
      <c r="AJ468">
        <f>'raw data Crude oil'!AJ469</f>
        <v>0</v>
      </c>
      <c r="AK468">
        <f>'raw data Crude oil'!AK469</f>
        <v>0</v>
      </c>
    </row>
    <row r="469" spans="1:37" x14ac:dyDescent="0.3">
      <c r="A469" s="18">
        <f>'raw data Crude oil'!A470</f>
        <v>43396</v>
      </c>
      <c r="B469">
        <f>'raw data Crude oil'!B470</f>
        <v>76.44</v>
      </c>
      <c r="C469">
        <f>'raw data Crude oil'!C470</f>
        <v>76.150000000000006</v>
      </c>
      <c r="D469">
        <f>'raw data Crude oil'!D470</f>
        <v>76.099999999999994</v>
      </c>
      <c r="E469">
        <f>'raw data Crude oil'!E470</f>
        <v>76.05</v>
      </c>
      <c r="F469">
        <f>'raw data Crude oil'!F470</f>
        <v>76</v>
      </c>
      <c r="G469">
        <f>'raw data Crude oil'!G470</f>
        <v>75.95</v>
      </c>
      <c r="H469">
        <f>'raw data Crude oil'!H470</f>
        <v>75.84</v>
      </c>
      <c r="I469">
        <f>'raw data Crude oil'!I470</f>
        <v>75.66</v>
      </c>
      <c r="J469">
        <f>'raw data Crude oil'!J470</f>
        <v>75.45</v>
      </c>
      <c r="K469">
        <f>'raw data Crude oil'!K470</f>
        <v>75.22</v>
      </c>
      <c r="L469">
        <f>'raw data Crude oil'!L470</f>
        <v>74.97</v>
      </c>
      <c r="M469">
        <f>'raw data Crude oil'!M470</f>
        <v>74.73</v>
      </c>
      <c r="N469">
        <f>'raw data Crude oil'!N470</f>
        <v>66.430000000000007</v>
      </c>
      <c r="O469">
        <f>'raw data Crude oil'!O470</f>
        <v>66.62</v>
      </c>
      <c r="P469">
        <f>'raw data Crude oil'!P470</f>
        <v>66.760000000000005</v>
      </c>
      <c r="Q469">
        <f>'raw data Crude oil'!Q470</f>
        <v>66.89</v>
      </c>
      <c r="R469">
        <f>'raw data Crude oil'!R470</f>
        <v>67</v>
      </c>
      <c r="S469">
        <f>'raw data Crude oil'!S470</f>
        <v>67.069999999999993</v>
      </c>
      <c r="T469">
        <f>'raw data Crude oil'!T470</f>
        <v>67.08</v>
      </c>
      <c r="U469">
        <f>'raw data Crude oil'!U470</f>
        <v>67.040000000000006</v>
      </c>
      <c r="V469">
        <f>'raw data Crude oil'!V470</f>
        <v>66.94</v>
      </c>
      <c r="W469">
        <f>'raw data Crude oil'!W470</f>
        <v>66.8</v>
      </c>
      <c r="X469">
        <f>'raw data Crude oil'!X470</f>
        <v>66.61</v>
      </c>
      <c r="Y469">
        <f>'raw data Crude oil'!Y470</f>
        <v>66.42</v>
      </c>
      <c r="Z469">
        <f>'raw data Crude oil'!Z470</f>
        <v>0</v>
      </c>
      <c r="AA469">
        <f>'raw data Crude oil'!AA470</f>
        <v>0</v>
      </c>
      <c r="AB469">
        <f>'raw data Crude oil'!AB470</f>
        <v>0</v>
      </c>
      <c r="AC469">
        <f>'raw data Crude oil'!AC470</f>
        <v>0</v>
      </c>
      <c r="AD469">
        <f>'raw data Crude oil'!AD470</f>
        <v>0</v>
      </c>
      <c r="AE469">
        <f>'raw data Crude oil'!AE470</f>
        <v>0</v>
      </c>
      <c r="AF469">
        <f>'raw data Crude oil'!AF470</f>
        <v>0</v>
      </c>
      <c r="AG469">
        <f>'raw data Crude oil'!AG470</f>
        <v>0</v>
      </c>
      <c r="AH469">
        <f>'raw data Crude oil'!AH470</f>
        <v>0</v>
      </c>
      <c r="AI469">
        <f>'raw data Crude oil'!AI470</f>
        <v>0</v>
      </c>
      <c r="AJ469">
        <f>'raw data Crude oil'!AJ470</f>
        <v>0</v>
      </c>
      <c r="AK469">
        <f>'raw data Crude oil'!AK470</f>
        <v>0</v>
      </c>
    </row>
    <row r="470" spans="1:37" x14ac:dyDescent="0.3">
      <c r="A470" s="18">
        <f>'raw data Crude oil'!A471</f>
        <v>43397</v>
      </c>
      <c r="B470">
        <f>'raw data Crude oil'!B471</f>
        <v>76.17</v>
      </c>
      <c r="C470">
        <f>'raw data Crude oil'!C471</f>
        <v>76.17</v>
      </c>
      <c r="D470">
        <f>'raw data Crude oil'!D471</f>
        <v>76.2</v>
      </c>
      <c r="E470">
        <f>'raw data Crude oil'!E471</f>
        <v>76.2</v>
      </c>
      <c r="F470">
        <f>'raw data Crude oil'!F471</f>
        <v>76.17</v>
      </c>
      <c r="G470">
        <f>'raw data Crude oil'!G471</f>
        <v>76.14</v>
      </c>
      <c r="H470">
        <f>'raw data Crude oil'!H471</f>
        <v>76.03</v>
      </c>
      <c r="I470">
        <f>'raw data Crude oil'!I471</f>
        <v>75.86</v>
      </c>
      <c r="J470">
        <f>'raw data Crude oil'!J471</f>
        <v>75.66</v>
      </c>
      <c r="K470">
        <f>'raw data Crude oil'!K471</f>
        <v>75.430000000000007</v>
      </c>
      <c r="L470">
        <f>'raw data Crude oil'!L471</f>
        <v>75.180000000000007</v>
      </c>
      <c r="M470">
        <f>'raw data Crude oil'!M471</f>
        <v>74.94</v>
      </c>
      <c r="N470">
        <f>'raw data Crude oil'!N471</f>
        <v>66.819999999999993</v>
      </c>
      <c r="O470">
        <f>'raw data Crude oil'!O471</f>
        <v>66.959999999999994</v>
      </c>
      <c r="P470">
        <f>'raw data Crude oil'!P471</f>
        <v>67.06</v>
      </c>
      <c r="Q470">
        <f>'raw data Crude oil'!Q471</f>
        <v>67.16</v>
      </c>
      <c r="R470">
        <f>'raw data Crude oil'!R471</f>
        <v>67.25</v>
      </c>
      <c r="S470">
        <f>'raw data Crude oil'!S471</f>
        <v>67.3</v>
      </c>
      <c r="T470">
        <f>'raw data Crude oil'!T471</f>
        <v>67.290000000000006</v>
      </c>
      <c r="U470">
        <f>'raw data Crude oil'!U471</f>
        <v>67.239999999999995</v>
      </c>
      <c r="V470">
        <f>'raw data Crude oil'!V471</f>
        <v>67.13</v>
      </c>
      <c r="W470">
        <f>'raw data Crude oil'!W471</f>
        <v>66.98</v>
      </c>
      <c r="X470">
        <f>'raw data Crude oil'!X471</f>
        <v>66.8</v>
      </c>
      <c r="Y470">
        <f>'raw data Crude oil'!Y471</f>
        <v>66.599999999999994</v>
      </c>
      <c r="Z470">
        <f>'raw data Crude oil'!Z471</f>
        <v>0</v>
      </c>
      <c r="AA470">
        <f>'raw data Crude oil'!AA471</f>
        <v>0</v>
      </c>
      <c r="AB470">
        <f>'raw data Crude oil'!AB471</f>
        <v>0</v>
      </c>
      <c r="AC470">
        <f>'raw data Crude oil'!AC471</f>
        <v>0</v>
      </c>
      <c r="AD470">
        <f>'raw data Crude oil'!AD471</f>
        <v>0</v>
      </c>
      <c r="AE470">
        <f>'raw data Crude oil'!AE471</f>
        <v>0</v>
      </c>
      <c r="AF470">
        <f>'raw data Crude oil'!AF471</f>
        <v>0</v>
      </c>
      <c r="AG470">
        <f>'raw data Crude oil'!AG471</f>
        <v>0</v>
      </c>
      <c r="AH470">
        <f>'raw data Crude oil'!AH471</f>
        <v>0</v>
      </c>
      <c r="AI470">
        <f>'raw data Crude oil'!AI471</f>
        <v>0</v>
      </c>
      <c r="AJ470">
        <f>'raw data Crude oil'!AJ471</f>
        <v>0</v>
      </c>
      <c r="AK470">
        <f>'raw data Crude oil'!AK471</f>
        <v>0</v>
      </c>
    </row>
    <row r="471" spans="1:37" x14ac:dyDescent="0.3">
      <c r="A471" s="18">
        <f>'raw data Crude oil'!A472</f>
        <v>43398</v>
      </c>
      <c r="B471">
        <f>'raw data Crude oil'!B472</f>
        <v>76.89</v>
      </c>
      <c r="C471">
        <f>'raw data Crude oil'!C472</f>
        <v>76.88</v>
      </c>
      <c r="D471">
        <f>'raw data Crude oil'!D472</f>
        <v>76.86</v>
      </c>
      <c r="E471">
        <f>'raw data Crude oil'!E472</f>
        <v>76.8</v>
      </c>
      <c r="F471">
        <f>'raw data Crude oil'!F472</f>
        <v>76.709999999999994</v>
      </c>
      <c r="G471">
        <f>'raw data Crude oil'!G472</f>
        <v>76.64</v>
      </c>
      <c r="H471">
        <f>'raw data Crude oil'!H472</f>
        <v>76.5</v>
      </c>
      <c r="I471">
        <f>'raw data Crude oil'!I472</f>
        <v>76.33</v>
      </c>
      <c r="J471">
        <f>'raw data Crude oil'!J472</f>
        <v>76.12</v>
      </c>
      <c r="K471">
        <f>'raw data Crude oil'!K472</f>
        <v>75.89</v>
      </c>
      <c r="L471">
        <f>'raw data Crude oil'!L472</f>
        <v>75.64</v>
      </c>
      <c r="M471">
        <f>'raw data Crude oil'!M472</f>
        <v>75.41</v>
      </c>
      <c r="N471">
        <f>'raw data Crude oil'!N472</f>
        <v>67.33</v>
      </c>
      <c r="O471">
        <f>'raw data Crude oil'!O472</f>
        <v>67.44</v>
      </c>
      <c r="P471">
        <f>'raw data Crude oil'!P472</f>
        <v>67.510000000000005</v>
      </c>
      <c r="Q471">
        <f>'raw data Crude oil'!Q472</f>
        <v>67.58</v>
      </c>
      <c r="R471">
        <f>'raw data Crude oil'!R472</f>
        <v>67.67</v>
      </c>
      <c r="S471">
        <f>'raw data Crude oil'!S472</f>
        <v>67.72</v>
      </c>
      <c r="T471">
        <f>'raw data Crude oil'!T472</f>
        <v>67.72</v>
      </c>
      <c r="U471">
        <f>'raw data Crude oil'!U472</f>
        <v>67.66</v>
      </c>
      <c r="V471">
        <f>'raw data Crude oil'!V472</f>
        <v>67.53</v>
      </c>
      <c r="W471">
        <f>'raw data Crude oil'!W472</f>
        <v>67.37</v>
      </c>
      <c r="X471">
        <f>'raw data Crude oil'!X472</f>
        <v>67.19</v>
      </c>
      <c r="Y471">
        <f>'raw data Crude oil'!Y472</f>
        <v>67.010000000000005</v>
      </c>
      <c r="Z471">
        <f>'raw data Crude oil'!Z472</f>
        <v>0</v>
      </c>
      <c r="AA471">
        <f>'raw data Crude oil'!AA472</f>
        <v>0</v>
      </c>
      <c r="AB471">
        <f>'raw data Crude oil'!AB472</f>
        <v>0</v>
      </c>
      <c r="AC471">
        <f>'raw data Crude oil'!AC472</f>
        <v>0</v>
      </c>
      <c r="AD471">
        <f>'raw data Crude oil'!AD472</f>
        <v>0</v>
      </c>
      <c r="AE471">
        <f>'raw data Crude oil'!AE472</f>
        <v>0</v>
      </c>
      <c r="AF471">
        <f>'raw data Crude oil'!AF472</f>
        <v>0</v>
      </c>
      <c r="AG471">
        <f>'raw data Crude oil'!AG472</f>
        <v>0</v>
      </c>
      <c r="AH471">
        <f>'raw data Crude oil'!AH472</f>
        <v>0</v>
      </c>
      <c r="AI471">
        <f>'raw data Crude oil'!AI472</f>
        <v>0</v>
      </c>
      <c r="AJ471">
        <f>'raw data Crude oil'!AJ472</f>
        <v>0</v>
      </c>
      <c r="AK471">
        <f>'raw data Crude oil'!AK472</f>
        <v>0</v>
      </c>
    </row>
    <row r="472" spans="1:37" x14ac:dyDescent="0.3">
      <c r="A472" s="18">
        <f>'raw data Crude oil'!A473</f>
        <v>43399</v>
      </c>
      <c r="B472">
        <f>'raw data Crude oil'!B473</f>
        <v>77.62</v>
      </c>
      <c r="C472">
        <f>'raw data Crude oil'!C473</f>
        <v>77.66</v>
      </c>
      <c r="D472">
        <f>'raw data Crude oil'!D473</f>
        <v>77.61</v>
      </c>
      <c r="E472">
        <f>'raw data Crude oil'!E473</f>
        <v>77.53</v>
      </c>
      <c r="F472">
        <f>'raw data Crude oil'!F473</f>
        <v>77.41</v>
      </c>
      <c r="G472">
        <f>'raw data Crude oil'!G473</f>
        <v>77.28</v>
      </c>
      <c r="H472">
        <f>'raw data Crude oil'!H473</f>
        <v>77.099999999999994</v>
      </c>
      <c r="I472">
        <f>'raw data Crude oil'!I473</f>
        <v>76.900000000000006</v>
      </c>
      <c r="J472">
        <f>'raw data Crude oil'!J473</f>
        <v>76.67</v>
      </c>
      <c r="K472">
        <f>'raw data Crude oil'!K473</f>
        <v>76.42</v>
      </c>
      <c r="L472">
        <f>'raw data Crude oil'!L473</f>
        <v>76.16</v>
      </c>
      <c r="M472">
        <f>'raw data Crude oil'!M473</f>
        <v>75.92</v>
      </c>
      <c r="N472">
        <f>'raw data Crude oil'!N473</f>
        <v>67.59</v>
      </c>
      <c r="O472">
        <f>'raw data Crude oil'!O473</f>
        <v>67.75</v>
      </c>
      <c r="P472">
        <f>'raw data Crude oil'!P473</f>
        <v>67.84</v>
      </c>
      <c r="Q472">
        <f>'raw data Crude oil'!Q473</f>
        <v>67.930000000000007</v>
      </c>
      <c r="R472">
        <f>'raw data Crude oil'!R473</f>
        <v>68.010000000000005</v>
      </c>
      <c r="S472">
        <f>'raw data Crude oil'!S473</f>
        <v>68.05</v>
      </c>
      <c r="T472">
        <f>'raw data Crude oil'!T473</f>
        <v>68.040000000000006</v>
      </c>
      <c r="U472">
        <f>'raw data Crude oil'!U473</f>
        <v>67.98</v>
      </c>
      <c r="V472">
        <f>'raw data Crude oil'!V473</f>
        <v>67.86</v>
      </c>
      <c r="W472">
        <f>'raw data Crude oil'!W473</f>
        <v>67.709999999999994</v>
      </c>
      <c r="X472">
        <f>'raw data Crude oil'!X473</f>
        <v>67.540000000000006</v>
      </c>
      <c r="Y472">
        <f>'raw data Crude oil'!Y473</f>
        <v>67.37</v>
      </c>
      <c r="Z472">
        <f>'raw data Crude oil'!Z473</f>
        <v>0</v>
      </c>
      <c r="AA472">
        <f>'raw data Crude oil'!AA473</f>
        <v>0</v>
      </c>
      <c r="AB472">
        <f>'raw data Crude oil'!AB473</f>
        <v>0</v>
      </c>
      <c r="AC472">
        <f>'raw data Crude oil'!AC473</f>
        <v>0</v>
      </c>
      <c r="AD472">
        <f>'raw data Crude oil'!AD473</f>
        <v>0</v>
      </c>
      <c r="AE472">
        <f>'raw data Crude oil'!AE473</f>
        <v>0</v>
      </c>
      <c r="AF472">
        <f>'raw data Crude oil'!AF473</f>
        <v>0</v>
      </c>
      <c r="AG472">
        <f>'raw data Crude oil'!AG473</f>
        <v>0</v>
      </c>
      <c r="AH472">
        <f>'raw data Crude oil'!AH473</f>
        <v>0</v>
      </c>
      <c r="AI472">
        <f>'raw data Crude oil'!AI473</f>
        <v>0</v>
      </c>
      <c r="AJ472">
        <f>'raw data Crude oil'!AJ473</f>
        <v>0</v>
      </c>
      <c r="AK472">
        <f>'raw data Crude oil'!AK473</f>
        <v>0</v>
      </c>
    </row>
    <row r="473" spans="1:37" x14ac:dyDescent="0.3">
      <c r="A473" s="18">
        <f>'raw data Crude oil'!A474</f>
        <v>43402</v>
      </c>
      <c r="B473">
        <f>'raw data Crude oil'!B474</f>
        <v>77.34</v>
      </c>
      <c r="C473">
        <f>'raw data Crude oil'!C474</f>
        <v>77.37</v>
      </c>
      <c r="D473">
        <f>'raw data Crude oil'!D474</f>
        <v>77.33</v>
      </c>
      <c r="E473">
        <f>'raw data Crude oil'!E474</f>
        <v>77.3</v>
      </c>
      <c r="F473">
        <f>'raw data Crude oil'!F474</f>
        <v>77.22</v>
      </c>
      <c r="G473">
        <f>'raw data Crude oil'!G474</f>
        <v>77.12</v>
      </c>
      <c r="H473">
        <f>'raw data Crude oil'!H474</f>
        <v>76.959999999999994</v>
      </c>
      <c r="I473">
        <f>'raw data Crude oil'!I474</f>
        <v>76.77</v>
      </c>
      <c r="J473">
        <f>'raw data Crude oil'!J474</f>
        <v>76.540000000000006</v>
      </c>
      <c r="K473">
        <f>'raw data Crude oil'!K474</f>
        <v>76.31</v>
      </c>
      <c r="L473">
        <f>'raw data Crude oil'!L474</f>
        <v>76.06</v>
      </c>
      <c r="M473">
        <f>'raw data Crude oil'!M474</f>
        <v>75.84</v>
      </c>
      <c r="N473">
        <f>'raw data Crude oil'!N474</f>
        <v>67.040000000000006</v>
      </c>
      <c r="O473">
        <f>'raw data Crude oil'!O474</f>
        <v>67.209999999999994</v>
      </c>
      <c r="P473">
        <f>'raw data Crude oil'!P474</f>
        <v>67.34</v>
      </c>
      <c r="Q473">
        <f>'raw data Crude oil'!Q474</f>
        <v>67.48</v>
      </c>
      <c r="R473">
        <f>'raw data Crude oil'!R474</f>
        <v>67.61</v>
      </c>
      <c r="S473">
        <f>'raw data Crude oil'!S474</f>
        <v>67.7</v>
      </c>
      <c r="T473">
        <f>'raw data Crude oil'!T474</f>
        <v>67.739999999999995</v>
      </c>
      <c r="U473">
        <f>'raw data Crude oil'!U474</f>
        <v>67.72</v>
      </c>
      <c r="V473">
        <f>'raw data Crude oil'!V474</f>
        <v>67.64</v>
      </c>
      <c r="W473">
        <f>'raw data Crude oil'!W474</f>
        <v>67.52</v>
      </c>
      <c r="X473">
        <f>'raw data Crude oil'!X474</f>
        <v>67.37</v>
      </c>
      <c r="Y473">
        <f>'raw data Crude oil'!Y474</f>
        <v>67.22</v>
      </c>
      <c r="Z473">
        <f>'raw data Crude oil'!Z474</f>
        <v>0</v>
      </c>
      <c r="AA473">
        <f>'raw data Crude oil'!AA474</f>
        <v>0</v>
      </c>
      <c r="AB473">
        <f>'raw data Crude oil'!AB474</f>
        <v>0</v>
      </c>
      <c r="AC473">
        <f>'raw data Crude oil'!AC474</f>
        <v>0</v>
      </c>
      <c r="AD473">
        <f>'raw data Crude oil'!AD474</f>
        <v>0</v>
      </c>
      <c r="AE473">
        <f>'raw data Crude oil'!AE474</f>
        <v>0</v>
      </c>
      <c r="AF473">
        <f>'raw data Crude oil'!AF474</f>
        <v>0</v>
      </c>
      <c r="AG473">
        <f>'raw data Crude oil'!AG474</f>
        <v>0</v>
      </c>
      <c r="AH473">
        <f>'raw data Crude oil'!AH474</f>
        <v>0</v>
      </c>
      <c r="AI473">
        <f>'raw data Crude oil'!AI474</f>
        <v>0</v>
      </c>
      <c r="AJ473">
        <f>'raw data Crude oil'!AJ474</f>
        <v>0</v>
      </c>
      <c r="AK473">
        <f>'raw data Crude oil'!AK474</f>
        <v>0</v>
      </c>
    </row>
    <row r="474" spans="1:37" x14ac:dyDescent="0.3">
      <c r="A474" s="18">
        <f>'raw data Crude oil'!A475</f>
        <v>43403</v>
      </c>
      <c r="B474">
        <f>'raw data Crude oil'!B475</f>
        <v>75.91</v>
      </c>
      <c r="C474">
        <f>'raw data Crude oil'!C475</f>
        <v>75.95</v>
      </c>
      <c r="D474">
        <f>'raw data Crude oil'!D475</f>
        <v>75.930000000000007</v>
      </c>
      <c r="E474">
        <f>'raw data Crude oil'!E475</f>
        <v>75.930000000000007</v>
      </c>
      <c r="F474">
        <f>'raw data Crude oil'!F475</f>
        <v>75.87</v>
      </c>
      <c r="G474">
        <f>'raw data Crude oil'!G475</f>
        <v>75.790000000000006</v>
      </c>
      <c r="H474">
        <f>'raw data Crude oil'!H475</f>
        <v>75.64</v>
      </c>
      <c r="I474">
        <f>'raw data Crude oil'!I475</f>
        <v>75.459999999999994</v>
      </c>
      <c r="J474">
        <f>'raw data Crude oil'!J475</f>
        <v>75.239999999999995</v>
      </c>
      <c r="K474">
        <f>'raw data Crude oil'!K475</f>
        <v>75.03</v>
      </c>
      <c r="L474">
        <f>'raw data Crude oil'!L475</f>
        <v>74.790000000000006</v>
      </c>
      <c r="M474">
        <f>'raw data Crude oil'!M475</f>
        <v>74.569999999999993</v>
      </c>
      <c r="N474">
        <f>'raw data Crude oil'!N475</f>
        <v>66.180000000000007</v>
      </c>
      <c r="O474">
        <f>'raw data Crude oil'!O475</f>
        <v>66.31</v>
      </c>
      <c r="P474">
        <f>'raw data Crude oil'!P475</f>
        <v>66.42</v>
      </c>
      <c r="Q474">
        <f>'raw data Crude oil'!Q475</f>
        <v>66.55</v>
      </c>
      <c r="R474">
        <f>'raw data Crude oil'!R475</f>
        <v>66.67</v>
      </c>
      <c r="S474">
        <f>'raw data Crude oil'!S475</f>
        <v>66.760000000000005</v>
      </c>
      <c r="T474">
        <f>'raw data Crude oil'!T475</f>
        <v>66.790000000000006</v>
      </c>
      <c r="U474">
        <f>'raw data Crude oil'!U475</f>
        <v>66.760000000000005</v>
      </c>
      <c r="V474">
        <f>'raw data Crude oil'!V475</f>
        <v>66.67</v>
      </c>
      <c r="W474">
        <f>'raw data Crude oil'!W475</f>
        <v>66.53</v>
      </c>
      <c r="X474">
        <f>'raw data Crude oil'!X475</f>
        <v>66.37</v>
      </c>
      <c r="Y474">
        <f>'raw data Crude oil'!Y475</f>
        <v>66.209999999999994</v>
      </c>
      <c r="Z474">
        <f>'raw data Crude oil'!Z475</f>
        <v>0</v>
      </c>
      <c r="AA474">
        <f>'raw data Crude oil'!AA475</f>
        <v>0</v>
      </c>
      <c r="AB474">
        <f>'raw data Crude oil'!AB475</f>
        <v>0</v>
      </c>
      <c r="AC474">
        <f>'raw data Crude oil'!AC475</f>
        <v>0</v>
      </c>
      <c r="AD474">
        <f>'raw data Crude oil'!AD475</f>
        <v>0</v>
      </c>
      <c r="AE474">
        <f>'raw data Crude oil'!AE475</f>
        <v>0</v>
      </c>
      <c r="AF474">
        <f>'raw data Crude oil'!AF475</f>
        <v>0</v>
      </c>
      <c r="AG474">
        <f>'raw data Crude oil'!AG475</f>
        <v>0</v>
      </c>
      <c r="AH474">
        <f>'raw data Crude oil'!AH475</f>
        <v>0</v>
      </c>
      <c r="AI474">
        <f>'raw data Crude oil'!AI475</f>
        <v>0</v>
      </c>
      <c r="AJ474">
        <f>'raw data Crude oil'!AJ475</f>
        <v>0</v>
      </c>
      <c r="AK474">
        <f>'raw data Crude oil'!AK475</f>
        <v>0</v>
      </c>
    </row>
    <row r="475" spans="1:37" x14ac:dyDescent="0.3">
      <c r="A475" s="18">
        <f>'raw data Crude oil'!A476</f>
        <v>43404</v>
      </c>
      <c r="B475">
        <f>'raw data Crude oil'!B476</f>
        <v>75.47</v>
      </c>
      <c r="C475">
        <f>'raw data Crude oil'!C476</f>
        <v>75.040000000000006</v>
      </c>
      <c r="D475">
        <f>'raw data Crude oil'!D476</f>
        <v>75.06</v>
      </c>
      <c r="E475">
        <f>'raw data Crude oil'!E476</f>
        <v>75.09</v>
      </c>
      <c r="F475">
        <f>'raw data Crude oil'!F476</f>
        <v>75.08</v>
      </c>
      <c r="G475">
        <f>'raw data Crude oil'!G476</f>
        <v>75.05</v>
      </c>
      <c r="H475">
        <f>'raw data Crude oil'!H476</f>
        <v>74.95</v>
      </c>
      <c r="I475">
        <f>'raw data Crude oil'!I476</f>
        <v>74.81</v>
      </c>
      <c r="J475">
        <f>'raw data Crude oil'!J476</f>
        <v>74.63</v>
      </c>
      <c r="K475">
        <f>'raw data Crude oil'!K476</f>
        <v>74.44</v>
      </c>
      <c r="L475">
        <f>'raw data Crude oil'!L476</f>
        <v>74.22</v>
      </c>
      <c r="M475">
        <f>'raw data Crude oil'!M476</f>
        <v>74.03</v>
      </c>
      <c r="N475">
        <f>'raw data Crude oil'!N476</f>
        <v>65.31</v>
      </c>
      <c r="O475">
        <f>'raw data Crude oil'!O476</f>
        <v>65.44</v>
      </c>
      <c r="P475">
        <f>'raw data Crude oil'!P476</f>
        <v>65.58</v>
      </c>
      <c r="Q475">
        <f>'raw data Crude oil'!Q476</f>
        <v>65.73</v>
      </c>
      <c r="R475">
        <f>'raw data Crude oil'!R476</f>
        <v>65.88</v>
      </c>
      <c r="S475">
        <f>'raw data Crude oil'!S476</f>
        <v>65.989999999999995</v>
      </c>
      <c r="T475">
        <f>'raw data Crude oil'!T476</f>
        <v>66.05</v>
      </c>
      <c r="U475">
        <f>'raw data Crude oil'!U476</f>
        <v>66.06</v>
      </c>
      <c r="V475">
        <f>'raw data Crude oil'!V476</f>
        <v>66.010000000000005</v>
      </c>
      <c r="W475">
        <f>'raw data Crude oil'!W476</f>
        <v>65.91</v>
      </c>
      <c r="X475">
        <f>'raw data Crude oil'!X476</f>
        <v>65.78</v>
      </c>
      <c r="Y475">
        <f>'raw data Crude oil'!Y476</f>
        <v>65.64</v>
      </c>
      <c r="Z475">
        <f>'raw data Crude oil'!Z476</f>
        <v>0</v>
      </c>
      <c r="AA475">
        <f>'raw data Crude oil'!AA476</f>
        <v>0</v>
      </c>
      <c r="AB475">
        <f>'raw data Crude oil'!AB476</f>
        <v>0</v>
      </c>
      <c r="AC475">
        <f>'raw data Crude oil'!AC476</f>
        <v>0</v>
      </c>
      <c r="AD475">
        <f>'raw data Crude oil'!AD476</f>
        <v>0</v>
      </c>
      <c r="AE475">
        <f>'raw data Crude oil'!AE476</f>
        <v>0</v>
      </c>
      <c r="AF475">
        <f>'raw data Crude oil'!AF476</f>
        <v>0</v>
      </c>
      <c r="AG475">
        <f>'raw data Crude oil'!AG476</f>
        <v>0</v>
      </c>
      <c r="AH475">
        <f>'raw data Crude oil'!AH476</f>
        <v>0</v>
      </c>
      <c r="AI475">
        <f>'raw data Crude oil'!AI476</f>
        <v>0</v>
      </c>
      <c r="AJ475">
        <f>'raw data Crude oil'!AJ476</f>
        <v>0</v>
      </c>
      <c r="AK475">
        <f>'raw data Crude oil'!AK476</f>
        <v>0</v>
      </c>
    </row>
    <row r="476" spans="1:37" x14ac:dyDescent="0.3">
      <c r="A476" s="18">
        <f>'raw data Crude oil'!A477</f>
        <v>43405</v>
      </c>
      <c r="B476">
        <f>'raw data Crude oil'!B477</f>
        <v>72.89</v>
      </c>
      <c r="C476">
        <f>'raw data Crude oil'!C477</f>
        <v>72.959999999999994</v>
      </c>
      <c r="D476">
        <f>'raw data Crude oil'!D477</f>
        <v>73.040000000000006</v>
      </c>
      <c r="E476">
        <f>'raw data Crude oil'!E477</f>
        <v>73.06</v>
      </c>
      <c r="F476">
        <f>'raw data Crude oil'!F477</f>
        <v>73.040000000000006</v>
      </c>
      <c r="G476">
        <f>'raw data Crude oil'!G477</f>
        <v>72.959999999999994</v>
      </c>
      <c r="H476">
        <f>'raw data Crude oil'!H477</f>
        <v>72.84</v>
      </c>
      <c r="I476">
        <f>'raw data Crude oil'!I477</f>
        <v>72.680000000000007</v>
      </c>
      <c r="J476">
        <f>'raw data Crude oil'!J477</f>
        <v>72.52</v>
      </c>
      <c r="K476">
        <f>'raw data Crude oil'!K477</f>
        <v>72.34</v>
      </c>
      <c r="L476">
        <f>'raw data Crude oil'!L477</f>
        <v>72.17</v>
      </c>
      <c r="M476">
        <f>'raw data Crude oil'!M477</f>
        <v>71.959999999999994</v>
      </c>
      <c r="N476">
        <f>'raw data Crude oil'!N477</f>
        <v>63.69</v>
      </c>
      <c r="O476">
        <f>'raw data Crude oil'!O477</f>
        <v>63.81</v>
      </c>
      <c r="P476">
        <f>'raw data Crude oil'!P477</f>
        <v>63.92</v>
      </c>
      <c r="Q476">
        <f>'raw data Crude oil'!Q477</f>
        <v>64.06</v>
      </c>
      <c r="R476">
        <f>'raw data Crude oil'!R477</f>
        <v>64.2</v>
      </c>
      <c r="S476">
        <f>'raw data Crude oil'!S477</f>
        <v>64.319999999999993</v>
      </c>
      <c r="T476">
        <f>'raw data Crude oil'!T477</f>
        <v>64.39</v>
      </c>
      <c r="U476">
        <f>'raw data Crude oil'!U477</f>
        <v>64.41</v>
      </c>
      <c r="V476">
        <f>'raw data Crude oil'!V477</f>
        <v>64.37</v>
      </c>
      <c r="W476">
        <f>'raw data Crude oil'!W477</f>
        <v>64.28</v>
      </c>
      <c r="X476">
        <f>'raw data Crude oil'!X477</f>
        <v>64.16</v>
      </c>
      <c r="Y476">
        <f>'raw data Crude oil'!Y477</f>
        <v>64.03</v>
      </c>
      <c r="Z476">
        <f>'raw data Crude oil'!Z477</f>
        <v>0</v>
      </c>
      <c r="AA476">
        <f>'raw data Crude oil'!AA477</f>
        <v>0</v>
      </c>
      <c r="AB476">
        <f>'raw data Crude oil'!AB477</f>
        <v>0</v>
      </c>
      <c r="AC476">
        <f>'raw data Crude oil'!AC477</f>
        <v>0</v>
      </c>
      <c r="AD476">
        <f>'raw data Crude oil'!AD477</f>
        <v>0</v>
      </c>
      <c r="AE476">
        <f>'raw data Crude oil'!AE477</f>
        <v>0</v>
      </c>
      <c r="AF476">
        <f>'raw data Crude oil'!AF477</f>
        <v>0</v>
      </c>
      <c r="AG476">
        <f>'raw data Crude oil'!AG477</f>
        <v>0</v>
      </c>
      <c r="AH476">
        <f>'raw data Crude oil'!AH477</f>
        <v>0</v>
      </c>
      <c r="AI476">
        <f>'raw data Crude oil'!AI477</f>
        <v>0</v>
      </c>
      <c r="AJ476">
        <f>'raw data Crude oil'!AJ477</f>
        <v>0</v>
      </c>
      <c r="AK476">
        <f>'raw data Crude oil'!AK477</f>
        <v>0</v>
      </c>
    </row>
    <row r="477" spans="1:37" x14ac:dyDescent="0.3">
      <c r="A477" s="18">
        <f>'raw data Crude oil'!A478</f>
        <v>43406</v>
      </c>
      <c r="B477">
        <f>'raw data Crude oil'!B478</f>
        <v>72.83</v>
      </c>
      <c r="C477">
        <f>'raw data Crude oil'!C478</f>
        <v>72.83</v>
      </c>
      <c r="D477">
        <f>'raw data Crude oil'!D478</f>
        <v>72.89</v>
      </c>
      <c r="E477">
        <f>'raw data Crude oil'!E478</f>
        <v>72.900000000000006</v>
      </c>
      <c r="F477">
        <f>'raw data Crude oil'!F478</f>
        <v>72.89</v>
      </c>
      <c r="G477">
        <f>'raw data Crude oil'!G478</f>
        <v>72.81</v>
      </c>
      <c r="H477">
        <f>'raw data Crude oil'!H478</f>
        <v>72.7</v>
      </c>
      <c r="I477">
        <f>'raw data Crude oil'!I478</f>
        <v>72.56</v>
      </c>
      <c r="J477">
        <f>'raw data Crude oil'!J478</f>
        <v>72.41</v>
      </c>
      <c r="K477">
        <f>'raw data Crude oil'!K478</f>
        <v>72.239999999999995</v>
      </c>
      <c r="L477">
        <f>'raw data Crude oil'!L478</f>
        <v>72.08</v>
      </c>
      <c r="M477">
        <f>'raw data Crude oil'!M478</f>
        <v>71.87</v>
      </c>
      <c r="N477">
        <f>'raw data Crude oil'!N478</f>
        <v>63.14</v>
      </c>
      <c r="O477">
        <f>'raw data Crude oil'!O478</f>
        <v>63.28</v>
      </c>
      <c r="P477">
        <f>'raw data Crude oil'!P478</f>
        <v>63.41</v>
      </c>
      <c r="Q477">
        <f>'raw data Crude oil'!Q478</f>
        <v>63.56</v>
      </c>
      <c r="R477">
        <f>'raw data Crude oil'!R478</f>
        <v>63.71</v>
      </c>
      <c r="S477">
        <f>'raw data Crude oil'!S478</f>
        <v>63.84</v>
      </c>
      <c r="T477">
        <f>'raw data Crude oil'!T478</f>
        <v>63.94</v>
      </c>
      <c r="U477">
        <f>'raw data Crude oil'!U478</f>
        <v>63.98</v>
      </c>
      <c r="V477">
        <f>'raw data Crude oil'!V478</f>
        <v>63.98</v>
      </c>
      <c r="W477">
        <f>'raw data Crude oil'!W478</f>
        <v>63.92</v>
      </c>
      <c r="X477">
        <f>'raw data Crude oil'!X478</f>
        <v>63.83</v>
      </c>
      <c r="Y477">
        <f>'raw data Crude oil'!Y478</f>
        <v>63.72</v>
      </c>
      <c r="Z477">
        <f>'raw data Crude oil'!Z478</f>
        <v>0</v>
      </c>
      <c r="AA477">
        <f>'raw data Crude oil'!AA478</f>
        <v>0</v>
      </c>
      <c r="AB477">
        <f>'raw data Crude oil'!AB478</f>
        <v>0</v>
      </c>
      <c r="AC477">
        <f>'raw data Crude oil'!AC478</f>
        <v>0</v>
      </c>
      <c r="AD477">
        <f>'raw data Crude oil'!AD478</f>
        <v>0</v>
      </c>
      <c r="AE477">
        <f>'raw data Crude oil'!AE478</f>
        <v>0</v>
      </c>
      <c r="AF477">
        <f>'raw data Crude oil'!AF478</f>
        <v>0</v>
      </c>
      <c r="AG477">
        <f>'raw data Crude oil'!AG478</f>
        <v>0</v>
      </c>
      <c r="AH477">
        <f>'raw data Crude oil'!AH478</f>
        <v>0</v>
      </c>
      <c r="AI477">
        <f>'raw data Crude oil'!AI478</f>
        <v>0</v>
      </c>
      <c r="AJ477">
        <f>'raw data Crude oil'!AJ478</f>
        <v>0</v>
      </c>
      <c r="AK477">
        <f>'raw data Crude oil'!AK478</f>
        <v>0</v>
      </c>
    </row>
    <row r="478" spans="1:37" x14ac:dyDescent="0.3">
      <c r="A478" s="18">
        <f>'raw data Crude oil'!A479</f>
        <v>43409</v>
      </c>
      <c r="B478">
        <f>'raw data Crude oil'!B479</f>
        <v>73.17</v>
      </c>
      <c r="C478">
        <f>'raw data Crude oil'!C479</f>
        <v>73.099999999999994</v>
      </c>
      <c r="D478">
        <f>'raw data Crude oil'!D479</f>
        <v>73.13</v>
      </c>
      <c r="E478">
        <f>'raw data Crude oil'!E479</f>
        <v>73.13</v>
      </c>
      <c r="F478">
        <f>'raw data Crude oil'!F479</f>
        <v>73.12</v>
      </c>
      <c r="G478">
        <f>'raw data Crude oil'!G479</f>
        <v>73.05</v>
      </c>
      <c r="H478">
        <f>'raw data Crude oil'!H479</f>
        <v>72.95</v>
      </c>
      <c r="I478">
        <f>'raw data Crude oil'!I479</f>
        <v>72.819999999999993</v>
      </c>
      <c r="J478">
        <f>'raw data Crude oil'!J479</f>
        <v>72.680000000000007</v>
      </c>
      <c r="K478">
        <f>'raw data Crude oil'!K479</f>
        <v>72.52</v>
      </c>
      <c r="L478">
        <f>'raw data Crude oil'!L479</f>
        <v>72.37</v>
      </c>
      <c r="M478">
        <f>'raw data Crude oil'!M479</f>
        <v>72.180000000000007</v>
      </c>
      <c r="N478">
        <f>'raw data Crude oil'!N479</f>
        <v>63.1</v>
      </c>
      <c r="O478">
        <f>'raw data Crude oil'!O479</f>
        <v>63.21</v>
      </c>
      <c r="P478">
        <f>'raw data Crude oil'!P479</f>
        <v>63.31</v>
      </c>
      <c r="Q478">
        <f>'raw data Crude oil'!Q479</f>
        <v>63.45</v>
      </c>
      <c r="R478">
        <f>'raw data Crude oil'!R479</f>
        <v>63.6</v>
      </c>
      <c r="S478">
        <f>'raw data Crude oil'!S479</f>
        <v>63.75</v>
      </c>
      <c r="T478">
        <f>'raw data Crude oil'!T479</f>
        <v>63.87</v>
      </c>
      <c r="U478">
        <f>'raw data Crude oil'!U479</f>
        <v>63.93</v>
      </c>
      <c r="V478">
        <f>'raw data Crude oil'!V479</f>
        <v>63.94</v>
      </c>
      <c r="W478">
        <f>'raw data Crude oil'!W479</f>
        <v>63.91</v>
      </c>
      <c r="X478">
        <f>'raw data Crude oil'!X479</f>
        <v>63.85</v>
      </c>
      <c r="Y478">
        <f>'raw data Crude oil'!Y479</f>
        <v>63.77</v>
      </c>
      <c r="Z478">
        <f>'raw data Crude oil'!Z479</f>
        <v>0</v>
      </c>
      <c r="AA478">
        <f>'raw data Crude oil'!AA479</f>
        <v>0</v>
      </c>
      <c r="AB478">
        <f>'raw data Crude oil'!AB479</f>
        <v>0</v>
      </c>
      <c r="AC478">
        <f>'raw data Crude oil'!AC479</f>
        <v>0</v>
      </c>
      <c r="AD478">
        <f>'raw data Crude oil'!AD479</f>
        <v>0</v>
      </c>
      <c r="AE478">
        <f>'raw data Crude oil'!AE479</f>
        <v>0</v>
      </c>
      <c r="AF478">
        <f>'raw data Crude oil'!AF479</f>
        <v>0</v>
      </c>
      <c r="AG478">
        <f>'raw data Crude oil'!AG479</f>
        <v>0</v>
      </c>
      <c r="AH478">
        <f>'raw data Crude oil'!AH479</f>
        <v>0</v>
      </c>
      <c r="AI478">
        <f>'raw data Crude oil'!AI479</f>
        <v>0</v>
      </c>
      <c r="AJ478">
        <f>'raw data Crude oil'!AJ479</f>
        <v>0</v>
      </c>
      <c r="AK478">
        <f>'raw data Crude oil'!AK479</f>
        <v>0</v>
      </c>
    </row>
    <row r="479" spans="1:37" x14ac:dyDescent="0.3">
      <c r="A479" s="18">
        <f>'raw data Crude oil'!A480</f>
        <v>43410</v>
      </c>
      <c r="B479">
        <f>'raw data Crude oil'!B480</f>
        <v>72.13</v>
      </c>
      <c r="C479">
        <f>'raw data Crude oil'!C480</f>
        <v>72.16</v>
      </c>
      <c r="D479">
        <f>'raw data Crude oil'!D480</f>
        <v>72.25</v>
      </c>
      <c r="E479">
        <f>'raw data Crude oil'!E480</f>
        <v>72.31</v>
      </c>
      <c r="F479">
        <f>'raw data Crude oil'!F480</f>
        <v>72.36</v>
      </c>
      <c r="G479">
        <f>'raw data Crude oil'!G480</f>
        <v>72.349999999999994</v>
      </c>
      <c r="H479">
        <f>'raw data Crude oil'!H480</f>
        <v>72.290000000000006</v>
      </c>
      <c r="I479">
        <f>'raw data Crude oil'!I480</f>
        <v>72.19</v>
      </c>
      <c r="J479">
        <f>'raw data Crude oil'!J480</f>
        <v>72.08</v>
      </c>
      <c r="K479">
        <f>'raw data Crude oil'!K480</f>
        <v>71.95</v>
      </c>
      <c r="L479">
        <f>'raw data Crude oil'!L480</f>
        <v>71.83</v>
      </c>
      <c r="M479">
        <f>'raw data Crude oil'!M480</f>
        <v>71.67</v>
      </c>
      <c r="N479">
        <f>'raw data Crude oil'!N480</f>
        <v>62.21</v>
      </c>
      <c r="O479">
        <f>'raw data Crude oil'!O480</f>
        <v>62.34</v>
      </c>
      <c r="P479">
        <f>'raw data Crude oil'!P480</f>
        <v>62.46</v>
      </c>
      <c r="Q479">
        <f>'raw data Crude oil'!Q480</f>
        <v>62.6</v>
      </c>
      <c r="R479">
        <f>'raw data Crude oil'!R480</f>
        <v>62.77</v>
      </c>
      <c r="S479">
        <f>'raw data Crude oil'!S480</f>
        <v>62.94</v>
      </c>
      <c r="T479">
        <f>'raw data Crude oil'!T480</f>
        <v>63.08</v>
      </c>
      <c r="U479">
        <f>'raw data Crude oil'!U480</f>
        <v>63.17</v>
      </c>
      <c r="V479">
        <f>'raw data Crude oil'!V480</f>
        <v>63.21</v>
      </c>
      <c r="W479">
        <f>'raw data Crude oil'!W480</f>
        <v>63.22</v>
      </c>
      <c r="X479">
        <f>'raw data Crude oil'!X480</f>
        <v>63.2</v>
      </c>
      <c r="Y479">
        <f>'raw data Crude oil'!Y480</f>
        <v>63.16</v>
      </c>
      <c r="Z479">
        <f>'raw data Crude oil'!Z480</f>
        <v>0</v>
      </c>
      <c r="AA479">
        <f>'raw data Crude oil'!AA480</f>
        <v>0</v>
      </c>
      <c r="AB479">
        <f>'raw data Crude oil'!AB480</f>
        <v>0</v>
      </c>
      <c r="AC479">
        <f>'raw data Crude oil'!AC480</f>
        <v>0</v>
      </c>
      <c r="AD479">
        <f>'raw data Crude oil'!AD480</f>
        <v>0</v>
      </c>
      <c r="AE479">
        <f>'raw data Crude oil'!AE480</f>
        <v>0</v>
      </c>
      <c r="AF479">
        <f>'raw data Crude oil'!AF480</f>
        <v>0</v>
      </c>
      <c r="AG479">
        <f>'raw data Crude oil'!AG480</f>
        <v>0</v>
      </c>
      <c r="AH479">
        <f>'raw data Crude oil'!AH480</f>
        <v>0</v>
      </c>
      <c r="AI479">
        <f>'raw data Crude oil'!AI480</f>
        <v>0</v>
      </c>
      <c r="AJ479">
        <f>'raw data Crude oil'!AJ480</f>
        <v>0</v>
      </c>
      <c r="AK479">
        <f>'raw data Crude oil'!AK480</f>
        <v>0</v>
      </c>
    </row>
    <row r="480" spans="1:37" x14ac:dyDescent="0.3">
      <c r="A480" s="18">
        <f>'raw data Crude oil'!A481</f>
        <v>43411</v>
      </c>
      <c r="B480">
        <f>'raw data Crude oil'!B481</f>
        <v>72.069999999999993</v>
      </c>
      <c r="C480">
        <f>'raw data Crude oil'!C481</f>
        <v>72.13</v>
      </c>
      <c r="D480">
        <f>'raw data Crude oil'!D481</f>
        <v>72.239999999999995</v>
      </c>
      <c r="E480">
        <f>'raw data Crude oil'!E481</f>
        <v>72.36</v>
      </c>
      <c r="F480">
        <f>'raw data Crude oil'!F481</f>
        <v>72.48</v>
      </c>
      <c r="G480">
        <f>'raw data Crude oil'!G481</f>
        <v>72.540000000000006</v>
      </c>
      <c r="H480">
        <f>'raw data Crude oil'!H481</f>
        <v>72.540000000000006</v>
      </c>
      <c r="I480">
        <f>'raw data Crude oil'!I481</f>
        <v>72.489999999999995</v>
      </c>
      <c r="J480">
        <f>'raw data Crude oil'!J481</f>
        <v>72.42</v>
      </c>
      <c r="K480">
        <f>'raw data Crude oil'!K481</f>
        <v>72.33</v>
      </c>
      <c r="L480">
        <f>'raw data Crude oil'!L481</f>
        <v>72.260000000000005</v>
      </c>
      <c r="M480">
        <f>'raw data Crude oil'!M481</f>
        <v>72.150000000000006</v>
      </c>
      <c r="N480">
        <f>'raw data Crude oil'!N481</f>
        <v>61.67</v>
      </c>
      <c r="O480">
        <f>'raw data Crude oil'!O481</f>
        <v>61.82</v>
      </c>
      <c r="P480">
        <f>'raw data Crude oil'!P481</f>
        <v>62</v>
      </c>
      <c r="Q480">
        <f>'raw data Crude oil'!Q481</f>
        <v>62.2</v>
      </c>
      <c r="R480">
        <f>'raw data Crude oil'!R481</f>
        <v>62.42</v>
      </c>
      <c r="S480">
        <f>'raw data Crude oil'!S481</f>
        <v>62.66</v>
      </c>
      <c r="T480">
        <f>'raw data Crude oil'!T481</f>
        <v>62.89</v>
      </c>
      <c r="U480">
        <f>'raw data Crude oil'!U481</f>
        <v>63.08</v>
      </c>
      <c r="V480">
        <f>'raw data Crude oil'!V481</f>
        <v>63.23</v>
      </c>
      <c r="W480">
        <f>'raw data Crude oil'!W481</f>
        <v>63.33</v>
      </c>
      <c r="X480">
        <f>'raw data Crude oil'!X481</f>
        <v>63.4</v>
      </c>
      <c r="Y480">
        <f>'raw data Crude oil'!Y481</f>
        <v>63.44</v>
      </c>
      <c r="Z480">
        <f>'raw data Crude oil'!Z481</f>
        <v>0</v>
      </c>
      <c r="AA480">
        <f>'raw data Crude oil'!AA481</f>
        <v>0</v>
      </c>
      <c r="AB480">
        <f>'raw data Crude oil'!AB481</f>
        <v>0</v>
      </c>
      <c r="AC480">
        <f>'raw data Crude oil'!AC481</f>
        <v>0</v>
      </c>
      <c r="AD480">
        <f>'raw data Crude oil'!AD481</f>
        <v>0</v>
      </c>
      <c r="AE480">
        <f>'raw data Crude oil'!AE481</f>
        <v>0</v>
      </c>
      <c r="AF480">
        <f>'raw data Crude oil'!AF481</f>
        <v>0</v>
      </c>
      <c r="AG480">
        <f>'raw data Crude oil'!AG481</f>
        <v>0</v>
      </c>
      <c r="AH480">
        <f>'raw data Crude oil'!AH481</f>
        <v>0</v>
      </c>
      <c r="AI480">
        <f>'raw data Crude oil'!AI481</f>
        <v>0</v>
      </c>
      <c r="AJ480">
        <f>'raw data Crude oil'!AJ481</f>
        <v>0</v>
      </c>
      <c r="AK480">
        <f>'raw data Crude oil'!AK481</f>
        <v>0</v>
      </c>
    </row>
    <row r="481" spans="1:37" x14ac:dyDescent="0.3">
      <c r="A481" s="18">
        <f>'raw data Crude oil'!A482</f>
        <v>43412</v>
      </c>
      <c r="B481">
        <f>'raw data Crude oil'!B482</f>
        <v>70.650000000000006</v>
      </c>
      <c r="C481">
        <f>'raw data Crude oil'!C482</f>
        <v>70.900000000000006</v>
      </c>
      <c r="D481">
        <f>'raw data Crude oil'!D482</f>
        <v>71.11</v>
      </c>
      <c r="E481">
        <f>'raw data Crude oil'!E482</f>
        <v>71.31</v>
      </c>
      <c r="F481">
        <f>'raw data Crude oil'!F482</f>
        <v>71.489999999999995</v>
      </c>
      <c r="G481">
        <f>'raw data Crude oil'!G482</f>
        <v>71.61</v>
      </c>
      <c r="H481">
        <f>'raw data Crude oil'!H482</f>
        <v>71.650000000000006</v>
      </c>
      <c r="I481">
        <f>'raw data Crude oil'!I482</f>
        <v>71.63</v>
      </c>
      <c r="J481">
        <f>'raw data Crude oil'!J482</f>
        <v>71.569999999999993</v>
      </c>
      <c r="K481">
        <f>'raw data Crude oil'!K482</f>
        <v>71.489999999999995</v>
      </c>
      <c r="L481">
        <f>'raw data Crude oil'!L482</f>
        <v>71.41</v>
      </c>
      <c r="M481">
        <f>'raw data Crude oil'!M482</f>
        <v>71.3</v>
      </c>
      <c r="N481">
        <f>'raw data Crude oil'!N482</f>
        <v>60.67</v>
      </c>
      <c r="O481">
        <f>'raw data Crude oil'!O482</f>
        <v>60.86</v>
      </c>
      <c r="P481">
        <f>'raw data Crude oil'!P482</f>
        <v>61.07</v>
      </c>
      <c r="Q481">
        <f>'raw data Crude oil'!Q482</f>
        <v>61.29</v>
      </c>
      <c r="R481">
        <f>'raw data Crude oil'!R482</f>
        <v>61.53</v>
      </c>
      <c r="S481">
        <f>'raw data Crude oil'!S482</f>
        <v>61.77</v>
      </c>
      <c r="T481">
        <f>'raw data Crude oil'!T482</f>
        <v>61.99</v>
      </c>
      <c r="U481">
        <f>'raw data Crude oil'!U482</f>
        <v>62.18</v>
      </c>
      <c r="V481">
        <f>'raw data Crude oil'!V482</f>
        <v>62.33</v>
      </c>
      <c r="W481">
        <f>'raw data Crude oil'!W482</f>
        <v>62.44</v>
      </c>
      <c r="X481">
        <f>'raw data Crude oil'!X482</f>
        <v>62.51</v>
      </c>
      <c r="Y481">
        <f>'raw data Crude oil'!Y482</f>
        <v>62.56</v>
      </c>
      <c r="Z481">
        <f>'raw data Crude oil'!Z482</f>
        <v>0</v>
      </c>
      <c r="AA481">
        <f>'raw data Crude oil'!AA482</f>
        <v>0</v>
      </c>
      <c r="AB481">
        <f>'raw data Crude oil'!AB482</f>
        <v>0</v>
      </c>
      <c r="AC481">
        <f>'raw data Crude oil'!AC482</f>
        <v>0</v>
      </c>
      <c r="AD481">
        <f>'raw data Crude oil'!AD482</f>
        <v>0</v>
      </c>
      <c r="AE481">
        <f>'raw data Crude oil'!AE482</f>
        <v>0</v>
      </c>
      <c r="AF481">
        <f>'raw data Crude oil'!AF482</f>
        <v>0</v>
      </c>
      <c r="AG481">
        <f>'raw data Crude oil'!AG482</f>
        <v>0</v>
      </c>
      <c r="AH481">
        <f>'raw data Crude oil'!AH482</f>
        <v>0</v>
      </c>
      <c r="AI481">
        <f>'raw data Crude oil'!AI482</f>
        <v>0</v>
      </c>
      <c r="AJ481">
        <f>'raw data Crude oil'!AJ482</f>
        <v>0</v>
      </c>
      <c r="AK481">
        <f>'raw data Crude oil'!AK482</f>
        <v>0</v>
      </c>
    </row>
    <row r="482" spans="1:37" x14ac:dyDescent="0.3">
      <c r="A482" s="18">
        <f>'raw data Crude oil'!A483</f>
        <v>43413</v>
      </c>
      <c r="B482">
        <f>'raw data Crude oil'!B483</f>
        <v>70.180000000000007</v>
      </c>
      <c r="C482">
        <f>'raw data Crude oil'!C483</f>
        <v>70.39</v>
      </c>
      <c r="D482">
        <f>'raw data Crude oil'!D483</f>
        <v>70.61</v>
      </c>
      <c r="E482">
        <f>'raw data Crude oil'!E483</f>
        <v>70.81</v>
      </c>
      <c r="F482">
        <f>'raw data Crude oil'!F483</f>
        <v>70.989999999999995</v>
      </c>
      <c r="G482">
        <f>'raw data Crude oil'!G483</f>
        <v>71.11</v>
      </c>
      <c r="H482">
        <f>'raw data Crude oil'!H483</f>
        <v>71.13</v>
      </c>
      <c r="I482">
        <f>'raw data Crude oil'!I483</f>
        <v>71.09</v>
      </c>
      <c r="J482">
        <f>'raw data Crude oil'!J483</f>
        <v>71</v>
      </c>
      <c r="K482">
        <f>'raw data Crude oil'!K483</f>
        <v>70.88</v>
      </c>
      <c r="L482">
        <f>'raw data Crude oil'!L483</f>
        <v>70.77</v>
      </c>
      <c r="M482">
        <f>'raw data Crude oil'!M483</f>
        <v>70.63</v>
      </c>
      <c r="N482">
        <f>'raw data Crude oil'!N483</f>
        <v>60.19</v>
      </c>
      <c r="O482">
        <f>'raw data Crude oil'!O483</f>
        <v>60.36</v>
      </c>
      <c r="P482">
        <f>'raw data Crude oil'!P483</f>
        <v>60.56</v>
      </c>
      <c r="Q482">
        <f>'raw data Crude oil'!Q483</f>
        <v>60.75</v>
      </c>
      <c r="R482">
        <f>'raw data Crude oil'!R483</f>
        <v>60.95</v>
      </c>
      <c r="S482">
        <f>'raw data Crude oil'!S483</f>
        <v>61.16</v>
      </c>
      <c r="T482">
        <f>'raw data Crude oil'!T483</f>
        <v>61.34</v>
      </c>
      <c r="U482">
        <f>'raw data Crude oil'!U483</f>
        <v>61.48</v>
      </c>
      <c r="V482">
        <f>'raw data Crude oil'!V483</f>
        <v>61.59</v>
      </c>
      <c r="W482">
        <f>'raw data Crude oil'!W483</f>
        <v>61.67</v>
      </c>
      <c r="X482">
        <f>'raw data Crude oil'!X483</f>
        <v>61.73</v>
      </c>
      <c r="Y482">
        <f>'raw data Crude oil'!Y483</f>
        <v>61.77</v>
      </c>
      <c r="Z482">
        <f>'raw data Crude oil'!Z483</f>
        <v>0</v>
      </c>
      <c r="AA482">
        <f>'raw data Crude oil'!AA483</f>
        <v>0</v>
      </c>
      <c r="AB482">
        <f>'raw data Crude oil'!AB483</f>
        <v>0</v>
      </c>
      <c r="AC482">
        <f>'raw data Crude oil'!AC483</f>
        <v>0</v>
      </c>
      <c r="AD482">
        <f>'raw data Crude oil'!AD483</f>
        <v>0</v>
      </c>
      <c r="AE482">
        <f>'raw data Crude oil'!AE483</f>
        <v>0</v>
      </c>
      <c r="AF482">
        <f>'raw data Crude oil'!AF483</f>
        <v>0</v>
      </c>
      <c r="AG482">
        <f>'raw data Crude oil'!AG483</f>
        <v>0</v>
      </c>
      <c r="AH482">
        <f>'raw data Crude oil'!AH483</f>
        <v>0</v>
      </c>
      <c r="AI482">
        <f>'raw data Crude oil'!AI483</f>
        <v>0</v>
      </c>
      <c r="AJ482">
        <f>'raw data Crude oil'!AJ483</f>
        <v>0</v>
      </c>
      <c r="AK482">
        <f>'raw data Crude oil'!AK483</f>
        <v>0</v>
      </c>
    </row>
    <row r="483" spans="1:37" x14ac:dyDescent="0.3">
      <c r="A483" s="18">
        <f>'raw data Crude oil'!A484</f>
        <v>43416</v>
      </c>
      <c r="B483">
        <f>'raw data Crude oil'!B484</f>
        <v>70.12</v>
      </c>
      <c r="C483">
        <f>'raw data Crude oil'!C484</f>
        <v>70.39</v>
      </c>
      <c r="D483">
        <f>'raw data Crude oil'!D484</f>
        <v>70.599999999999994</v>
      </c>
      <c r="E483">
        <f>'raw data Crude oil'!E484</f>
        <v>70.78</v>
      </c>
      <c r="F483">
        <f>'raw data Crude oil'!F484</f>
        <v>70.94</v>
      </c>
      <c r="G483">
        <f>'raw data Crude oil'!G484</f>
        <v>71.040000000000006</v>
      </c>
      <c r="H483">
        <f>'raw data Crude oil'!H484</f>
        <v>71.040000000000006</v>
      </c>
      <c r="I483">
        <f>'raw data Crude oil'!I484</f>
        <v>70.98</v>
      </c>
      <c r="J483">
        <f>'raw data Crude oil'!J484</f>
        <v>70.87</v>
      </c>
      <c r="K483">
        <f>'raw data Crude oil'!K484</f>
        <v>70.73</v>
      </c>
      <c r="L483">
        <f>'raw data Crude oil'!L484</f>
        <v>70.59</v>
      </c>
      <c r="M483">
        <f>'raw data Crude oil'!M484</f>
        <v>70.42</v>
      </c>
      <c r="N483">
        <f>'raw data Crude oil'!N484</f>
        <v>59.93</v>
      </c>
      <c r="O483">
        <f>'raw data Crude oil'!O484</f>
        <v>60.08</v>
      </c>
      <c r="P483">
        <f>'raw data Crude oil'!P484</f>
        <v>60.28</v>
      </c>
      <c r="Q483">
        <f>'raw data Crude oil'!Q484</f>
        <v>60.49</v>
      </c>
      <c r="R483">
        <f>'raw data Crude oil'!R484</f>
        <v>60.68</v>
      </c>
      <c r="S483">
        <f>'raw data Crude oil'!S484</f>
        <v>60.89</v>
      </c>
      <c r="T483">
        <f>'raw data Crude oil'!T484</f>
        <v>61.06</v>
      </c>
      <c r="U483">
        <f>'raw data Crude oil'!U484</f>
        <v>61.2</v>
      </c>
      <c r="V483">
        <f>'raw data Crude oil'!V484</f>
        <v>61.31</v>
      </c>
      <c r="W483">
        <f>'raw data Crude oil'!W484</f>
        <v>61.38</v>
      </c>
      <c r="X483">
        <f>'raw data Crude oil'!X484</f>
        <v>61.43</v>
      </c>
      <c r="Y483">
        <f>'raw data Crude oil'!Y484</f>
        <v>61.47</v>
      </c>
      <c r="Z483">
        <f>'raw data Crude oil'!Z484</f>
        <v>0</v>
      </c>
      <c r="AA483">
        <f>'raw data Crude oil'!AA484</f>
        <v>0</v>
      </c>
      <c r="AB483">
        <f>'raw data Crude oil'!AB484</f>
        <v>0</v>
      </c>
      <c r="AC483">
        <f>'raw data Crude oil'!AC484</f>
        <v>0</v>
      </c>
      <c r="AD483">
        <f>'raw data Crude oil'!AD484</f>
        <v>0</v>
      </c>
      <c r="AE483">
        <f>'raw data Crude oil'!AE484</f>
        <v>0</v>
      </c>
      <c r="AF483">
        <f>'raw data Crude oil'!AF484</f>
        <v>0</v>
      </c>
      <c r="AG483">
        <f>'raw data Crude oil'!AG484</f>
        <v>0</v>
      </c>
      <c r="AH483">
        <f>'raw data Crude oil'!AH484</f>
        <v>0</v>
      </c>
      <c r="AI483">
        <f>'raw data Crude oil'!AI484</f>
        <v>0</v>
      </c>
      <c r="AJ483">
        <f>'raw data Crude oil'!AJ484</f>
        <v>0</v>
      </c>
      <c r="AK483">
        <f>'raw data Crude oil'!AK484</f>
        <v>0</v>
      </c>
    </row>
    <row r="484" spans="1:37" x14ac:dyDescent="0.3">
      <c r="A484" s="18">
        <f>'raw data Crude oil'!A485</f>
        <v>43417</v>
      </c>
      <c r="B484">
        <f>'raw data Crude oil'!B485</f>
        <v>65.47</v>
      </c>
      <c r="C484">
        <f>'raw data Crude oil'!C485</f>
        <v>65.81</v>
      </c>
      <c r="D484">
        <f>'raw data Crude oil'!D485</f>
        <v>66.08</v>
      </c>
      <c r="E484">
        <f>'raw data Crude oil'!E485</f>
        <v>66.31</v>
      </c>
      <c r="F484">
        <f>'raw data Crude oil'!F485</f>
        <v>66.52</v>
      </c>
      <c r="G484">
        <f>'raw data Crude oil'!G485</f>
        <v>66.67</v>
      </c>
      <c r="H484">
        <f>'raw data Crude oil'!H485</f>
        <v>66.73</v>
      </c>
      <c r="I484">
        <f>'raw data Crude oil'!I485</f>
        <v>66.72</v>
      </c>
      <c r="J484">
        <f>'raw data Crude oil'!J485</f>
        <v>66.66</v>
      </c>
      <c r="K484">
        <f>'raw data Crude oil'!K485</f>
        <v>66.58</v>
      </c>
      <c r="L484">
        <f>'raw data Crude oil'!L485</f>
        <v>66.489999999999995</v>
      </c>
      <c r="M484">
        <f>'raw data Crude oil'!M485</f>
        <v>66.38</v>
      </c>
      <c r="N484">
        <f>'raw data Crude oil'!N485</f>
        <v>55.69</v>
      </c>
      <c r="O484">
        <f>'raw data Crude oil'!O485</f>
        <v>55.84</v>
      </c>
      <c r="P484">
        <f>'raw data Crude oil'!P485</f>
        <v>56.05</v>
      </c>
      <c r="Q484">
        <f>'raw data Crude oil'!Q485</f>
        <v>56.28</v>
      </c>
      <c r="R484">
        <f>'raw data Crude oil'!R485</f>
        <v>56.48</v>
      </c>
      <c r="S484">
        <f>'raw data Crude oil'!S485</f>
        <v>56.68</v>
      </c>
      <c r="T484">
        <f>'raw data Crude oil'!T485</f>
        <v>56.87</v>
      </c>
      <c r="U484">
        <f>'raw data Crude oil'!U485</f>
        <v>57.03</v>
      </c>
      <c r="V484">
        <f>'raw data Crude oil'!V485</f>
        <v>57.17</v>
      </c>
      <c r="W484">
        <f>'raw data Crude oil'!W485</f>
        <v>57.28</v>
      </c>
      <c r="X484">
        <f>'raw data Crude oil'!X485</f>
        <v>57.37</v>
      </c>
      <c r="Y484">
        <f>'raw data Crude oil'!Y485</f>
        <v>57.45</v>
      </c>
      <c r="Z484">
        <f>'raw data Crude oil'!Z485</f>
        <v>0</v>
      </c>
      <c r="AA484">
        <f>'raw data Crude oil'!AA485</f>
        <v>0</v>
      </c>
      <c r="AB484">
        <f>'raw data Crude oil'!AB485</f>
        <v>0</v>
      </c>
      <c r="AC484">
        <f>'raw data Crude oil'!AC485</f>
        <v>0</v>
      </c>
      <c r="AD484">
        <f>'raw data Crude oil'!AD485</f>
        <v>0</v>
      </c>
      <c r="AE484">
        <f>'raw data Crude oil'!AE485</f>
        <v>0</v>
      </c>
      <c r="AF484">
        <f>'raw data Crude oil'!AF485</f>
        <v>0</v>
      </c>
      <c r="AG484">
        <f>'raw data Crude oil'!AG485</f>
        <v>0</v>
      </c>
      <c r="AH484">
        <f>'raw data Crude oil'!AH485</f>
        <v>0</v>
      </c>
      <c r="AI484">
        <f>'raw data Crude oil'!AI485</f>
        <v>0</v>
      </c>
      <c r="AJ484">
        <f>'raw data Crude oil'!AJ485</f>
        <v>0</v>
      </c>
      <c r="AK484">
        <f>'raw data Crude oil'!AK485</f>
        <v>0</v>
      </c>
    </row>
    <row r="485" spans="1:37" x14ac:dyDescent="0.3">
      <c r="A485" s="18">
        <f>'raw data Crude oil'!A486</f>
        <v>43418</v>
      </c>
      <c r="B485">
        <f>'raw data Crude oil'!B486</f>
        <v>66.12</v>
      </c>
      <c r="C485">
        <f>'raw data Crude oil'!C486</f>
        <v>66.47</v>
      </c>
      <c r="D485">
        <f>'raw data Crude oil'!D486</f>
        <v>66.739999999999995</v>
      </c>
      <c r="E485">
        <f>'raw data Crude oil'!E486</f>
        <v>66.959999999999994</v>
      </c>
      <c r="F485">
        <f>'raw data Crude oil'!F486</f>
        <v>67.16</v>
      </c>
      <c r="G485">
        <f>'raw data Crude oil'!G486</f>
        <v>67.3</v>
      </c>
      <c r="H485">
        <f>'raw data Crude oil'!H486</f>
        <v>67.34</v>
      </c>
      <c r="I485">
        <f>'raw data Crude oil'!I486</f>
        <v>67.319999999999993</v>
      </c>
      <c r="J485">
        <f>'raw data Crude oil'!J486</f>
        <v>67.239999999999995</v>
      </c>
      <c r="K485">
        <f>'raw data Crude oil'!K486</f>
        <v>67.16</v>
      </c>
      <c r="L485">
        <f>'raw data Crude oil'!L486</f>
        <v>67.08</v>
      </c>
      <c r="M485">
        <f>'raw data Crude oil'!M486</f>
        <v>66.97</v>
      </c>
      <c r="N485">
        <f>'raw data Crude oil'!N486</f>
        <v>56.25</v>
      </c>
      <c r="O485">
        <f>'raw data Crude oil'!O486</f>
        <v>56.44</v>
      </c>
      <c r="P485">
        <f>'raw data Crude oil'!P486</f>
        <v>56.67</v>
      </c>
      <c r="Q485">
        <f>'raw data Crude oil'!Q486</f>
        <v>56.89</v>
      </c>
      <c r="R485">
        <f>'raw data Crude oil'!R486</f>
        <v>57.09</v>
      </c>
      <c r="S485">
        <f>'raw data Crude oil'!S486</f>
        <v>57.29</v>
      </c>
      <c r="T485">
        <f>'raw data Crude oil'!T486</f>
        <v>57.48</v>
      </c>
      <c r="U485">
        <f>'raw data Crude oil'!U486</f>
        <v>57.63</v>
      </c>
      <c r="V485">
        <f>'raw data Crude oil'!V486</f>
        <v>57.76</v>
      </c>
      <c r="W485">
        <f>'raw data Crude oil'!W486</f>
        <v>57.88</v>
      </c>
      <c r="X485">
        <f>'raw data Crude oil'!X486</f>
        <v>57.98</v>
      </c>
      <c r="Y485">
        <f>'raw data Crude oil'!Y486</f>
        <v>58.06</v>
      </c>
      <c r="Z485">
        <f>'raw data Crude oil'!Z486</f>
        <v>0</v>
      </c>
      <c r="AA485">
        <f>'raw data Crude oil'!AA486</f>
        <v>0</v>
      </c>
      <c r="AB485">
        <f>'raw data Crude oil'!AB486</f>
        <v>0</v>
      </c>
      <c r="AC485">
        <f>'raw data Crude oil'!AC486</f>
        <v>0</v>
      </c>
      <c r="AD485">
        <f>'raw data Crude oil'!AD486</f>
        <v>0</v>
      </c>
      <c r="AE485">
        <f>'raw data Crude oil'!AE486</f>
        <v>0</v>
      </c>
      <c r="AF485">
        <f>'raw data Crude oil'!AF486</f>
        <v>0</v>
      </c>
      <c r="AG485">
        <f>'raw data Crude oil'!AG486</f>
        <v>0</v>
      </c>
      <c r="AH485">
        <f>'raw data Crude oil'!AH486</f>
        <v>0</v>
      </c>
      <c r="AI485">
        <f>'raw data Crude oil'!AI486</f>
        <v>0</v>
      </c>
      <c r="AJ485">
        <f>'raw data Crude oil'!AJ486</f>
        <v>0</v>
      </c>
      <c r="AK485">
        <f>'raw data Crude oil'!AK486</f>
        <v>0</v>
      </c>
    </row>
    <row r="486" spans="1:37" x14ac:dyDescent="0.3">
      <c r="A486" s="18">
        <f>'raw data Crude oil'!A487</f>
        <v>43419</v>
      </c>
      <c r="B486">
        <f>'raw data Crude oil'!B487</f>
        <v>66.62</v>
      </c>
      <c r="C486">
        <f>'raw data Crude oil'!C487</f>
        <v>66.89</v>
      </c>
      <c r="D486">
        <f>'raw data Crude oil'!D487</f>
        <v>67.06</v>
      </c>
      <c r="E486">
        <f>'raw data Crude oil'!E487</f>
        <v>67.2</v>
      </c>
      <c r="F486">
        <f>'raw data Crude oil'!F487</f>
        <v>67.33</v>
      </c>
      <c r="G486">
        <f>'raw data Crude oil'!G487</f>
        <v>67.41</v>
      </c>
      <c r="H486">
        <f>'raw data Crude oil'!H487</f>
        <v>67.39</v>
      </c>
      <c r="I486">
        <f>'raw data Crude oil'!I487</f>
        <v>67.31</v>
      </c>
      <c r="J486">
        <f>'raw data Crude oil'!J487</f>
        <v>67.19</v>
      </c>
      <c r="K486">
        <f>'raw data Crude oil'!K487</f>
        <v>67.06</v>
      </c>
      <c r="L486">
        <f>'raw data Crude oil'!L487</f>
        <v>66.94</v>
      </c>
      <c r="M486">
        <f>'raw data Crude oil'!M487</f>
        <v>66.790000000000006</v>
      </c>
      <c r="N486">
        <f>'raw data Crude oil'!N487</f>
        <v>56.46</v>
      </c>
      <c r="O486">
        <f>'raw data Crude oil'!O487</f>
        <v>56.68</v>
      </c>
      <c r="P486">
        <f>'raw data Crude oil'!P487</f>
        <v>56.9</v>
      </c>
      <c r="Q486">
        <f>'raw data Crude oil'!Q487</f>
        <v>57.1</v>
      </c>
      <c r="R486">
        <f>'raw data Crude oil'!R487</f>
        <v>57.28</v>
      </c>
      <c r="S486">
        <f>'raw data Crude oil'!S487</f>
        <v>57.46</v>
      </c>
      <c r="T486">
        <f>'raw data Crude oil'!T487</f>
        <v>57.61</v>
      </c>
      <c r="U486">
        <f>'raw data Crude oil'!U487</f>
        <v>57.72</v>
      </c>
      <c r="V486">
        <f>'raw data Crude oil'!V487</f>
        <v>57.81</v>
      </c>
      <c r="W486">
        <f>'raw data Crude oil'!W487</f>
        <v>57.9</v>
      </c>
      <c r="X486">
        <f>'raw data Crude oil'!X487</f>
        <v>57.96</v>
      </c>
      <c r="Y486">
        <f>'raw data Crude oil'!Y487</f>
        <v>58.01</v>
      </c>
      <c r="Z486">
        <f>'raw data Crude oil'!Z487</f>
        <v>0</v>
      </c>
      <c r="AA486">
        <f>'raw data Crude oil'!AA487</f>
        <v>0</v>
      </c>
      <c r="AB486">
        <f>'raw data Crude oil'!AB487</f>
        <v>0</v>
      </c>
      <c r="AC486">
        <f>'raw data Crude oil'!AC487</f>
        <v>0</v>
      </c>
      <c r="AD486">
        <f>'raw data Crude oil'!AD487</f>
        <v>0</v>
      </c>
      <c r="AE486">
        <f>'raw data Crude oil'!AE487</f>
        <v>0</v>
      </c>
      <c r="AF486">
        <f>'raw data Crude oil'!AF487</f>
        <v>0</v>
      </c>
      <c r="AG486">
        <f>'raw data Crude oil'!AG487</f>
        <v>0</v>
      </c>
      <c r="AH486">
        <f>'raw data Crude oil'!AH487</f>
        <v>0</v>
      </c>
      <c r="AI486">
        <f>'raw data Crude oil'!AI487</f>
        <v>0</v>
      </c>
      <c r="AJ486">
        <f>'raw data Crude oil'!AJ487</f>
        <v>0</v>
      </c>
      <c r="AK486">
        <f>'raw data Crude oil'!AK487</f>
        <v>0</v>
      </c>
    </row>
    <row r="487" spans="1:37" x14ac:dyDescent="0.3">
      <c r="A487" s="18">
        <f>'raw data Crude oil'!A488</f>
        <v>43420</v>
      </c>
      <c r="B487">
        <f>'raw data Crude oil'!B488</f>
        <v>66.760000000000005</v>
      </c>
      <c r="C487">
        <f>'raw data Crude oil'!C488</f>
        <v>67.03</v>
      </c>
      <c r="D487">
        <f>'raw data Crude oil'!D488</f>
        <v>67.209999999999994</v>
      </c>
      <c r="E487">
        <f>'raw data Crude oil'!E488</f>
        <v>67.34</v>
      </c>
      <c r="F487">
        <f>'raw data Crude oil'!F488</f>
        <v>67.459999999999994</v>
      </c>
      <c r="G487">
        <f>'raw data Crude oil'!G488</f>
        <v>67.52</v>
      </c>
      <c r="H487">
        <f>'raw data Crude oil'!H488</f>
        <v>67.489999999999995</v>
      </c>
      <c r="I487">
        <f>'raw data Crude oil'!I488</f>
        <v>67.38</v>
      </c>
      <c r="J487">
        <f>'raw data Crude oil'!J488</f>
        <v>67.23</v>
      </c>
      <c r="K487">
        <f>'raw data Crude oil'!K488</f>
        <v>67.09</v>
      </c>
      <c r="L487">
        <f>'raw data Crude oil'!L488</f>
        <v>66.95</v>
      </c>
      <c r="M487">
        <f>'raw data Crude oil'!M488</f>
        <v>66.790000000000006</v>
      </c>
      <c r="N487">
        <f>'raw data Crude oil'!N488</f>
        <v>56.46</v>
      </c>
      <c r="O487">
        <f>'raw data Crude oil'!O488</f>
        <v>56.68</v>
      </c>
      <c r="P487">
        <f>'raw data Crude oil'!P488</f>
        <v>56.88</v>
      </c>
      <c r="Q487">
        <f>'raw data Crude oil'!Q488</f>
        <v>57.07</v>
      </c>
      <c r="R487">
        <f>'raw data Crude oil'!R488</f>
        <v>57.25</v>
      </c>
      <c r="S487">
        <f>'raw data Crude oil'!S488</f>
        <v>57.43</v>
      </c>
      <c r="T487">
        <f>'raw data Crude oil'!T488</f>
        <v>57.58</v>
      </c>
      <c r="U487">
        <f>'raw data Crude oil'!U488</f>
        <v>57.67</v>
      </c>
      <c r="V487">
        <f>'raw data Crude oil'!V488</f>
        <v>57.76</v>
      </c>
      <c r="W487">
        <f>'raw data Crude oil'!W488</f>
        <v>57.84</v>
      </c>
      <c r="X487">
        <f>'raw data Crude oil'!X488</f>
        <v>57.9</v>
      </c>
      <c r="Y487">
        <f>'raw data Crude oil'!Y488</f>
        <v>57.94</v>
      </c>
      <c r="Z487">
        <f>'raw data Crude oil'!Z488</f>
        <v>0</v>
      </c>
      <c r="AA487">
        <f>'raw data Crude oil'!AA488</f>
        <v>0</v>
      </c>
      <c r="AB487">
        <f>'raw data Crude oil'!AB488</f>
        <v>0</v>
      </c>
      <c r="AC487">
        <f>'raw data Crude oil'!AC488</f>
        <v>0</v>
      </c>
      <c r="AD487">
        <f>'raw data Crude oil'!AD488</f>
        <v>0</v>
      </c>
      <c r="AE487">
        <f>'raw data Crude oil'!AE488</f>
        <v>0</v>
      </c>
      <c r="AF487">
        <f>'raw data Crude oil'!AF488</f>
        <v>0</v>
      </c>
      <c r="AG487">
        <f>'raw data Crude oil'!AG488</f>
        <v>0</v>
      </c>
      <c r="AH487">
        <f>'raw data Crude oil'!AH488</f>
        <v>0</v>
      </c>
      <c r="AI487">
        <f>'raw data Crude oil'!AI488</f>
        <v>0</v>
      </c>
      <c r="AJ487">
        <f>'raw data Crude oil'!AJ488</f>
        <v>0</v>
      </c>
      <c r="AK487">
        <f>'raw data Crude oil'!AK488</f>
        <v>0</v>
      </c>
    </row>
    <row r="488" spans="1:37" x14ac:dyDescent="0.3">
      <c r="A488" s="18">
        <f>'raw data Crude oil'!A489</f>
        <v>43423</v>
      </c>
      <c r="B488">
        <f>'raw data Crude oil'!B489</f>
        <v>66.790000000000006</v>
      </c>
      <c r="C488">
        <f>'raw data Crude oil'!C489</f>
        <v>67.08</v>
      </c>
      <c r="D488">
        <f>'raw data Crude oil'!D489</f>
        <v>67.27</v>
      </c>
      <c r="E488">
        <f>'raw data Crude oil'!E489</f>
        <v>67.400000000000006</v>
      </c>
      <c r="F488">
        <f>'raw data Crude oil'!F489</f>
        <v>67.52</v>
      </c>
      <c r="G488">
        <f>'raw data Crude oil'!G489</f>
        <v>67.569999999999993</v>
      </c>
      <c r="H488">
        <f>'raw data Crude oil'!H489</f>
        <v>67.540000000000006</v>
      </c>
      <c r="I488">
        <f>'raw data Crude oil'!I489</f>
        <v>67.430000000000007</v>
      </c>
      <c r="J488">
        <f>'raw data Crude oil'!J489</f>
        <v>67.27</v>
      </c>
      <c r="K488">
        <f>'raw data Crude oil'!K489</f>
        <v>67.11</v>
      </c>
      <c r="L488">
        <f>'raw data Crude oil'!L489</f>
        <v>66.97</v>
      </c>
      <c r="M488">
        <f>'raw data Crude oil'!M489</f>
        <v>66.81</v>
      </c>
      <c r="N488">
        <f>'raw data Crude oil'!N489</f>
        <v>56.76</v>
      </c>
      <c r="O488">
        <f>'raw data Crude oil'!O489</f>
        <v>57.2</v>
      </c>
      <c r="P488">
        <f>'raw data Crude oil'!P489</f>
        <v>57.32</v>
      </c>
      <c r="Q488">
        <f>'raw data Crude oil'!Q489</f>
        <v>57.43</v>
      </c>
      <c r="R488">
        <f>'raw data Crude oil'!R489</f>
        <v>57.54</v>
      </c>
      <c r="S488">
        <f>'raw data Crude oil'!S489</f>
        <v>57.66</v>
      </c>
      <c r="T488">
        <f>'raw data Crude oil'!T489</f>
        <v>57.76</v>
      </c>
      <c r="U488">
        <f>'raw data Crude oil'!U489</f>
        <v>57.82</v>
      </c>
      <c r="V488">
        <f>'raw data Crude oil'!V489</f>
        <v>57.86</v>
      </c>
      <c r="W488">
        <f>'raw data Crude oil'!W489</f>
        <v>57.9</v>
      </c>
      <c r="X488">
        <f>'raw data Crude oil'!X489</f>
        <v>57.94</v>
      </c>
      <c r="Y488">
        <f>'raw data Crude oil'!Y489</f>
        <v>57.96</v>
      </c>
      <c r="Z488">
        <f>'raw data Crude oil'!Z489</f>
        <v>0</v>
      </c>
      <c r="AA488">
        <f>'raw data Crude oil'!AA489</f>
        <v>0</v>
      </c>
      <c r="AB488">
        <f>'raw data Crude oil'!AB489</f>
        <v>0</v>
      </c>
      <c r="AC488">
        <f>'raw data Crude oil'!AC489</f>
        <v>0</v>
      </c>
      <c r="AD488">
        <f>'raw data Crude oil'!AD489</f>
        <v>0</v>
      </c>
      <c r="AE488">
        <f>'raw data Crude oil'!AE489</f>
        <v>0</v>
      </c>
      <c r="AF488">
        <f>'raw data Crude oil'!AF489</f>
        <v>0</v>
      </c>
      <c r="AG488">
        <f>'raw data Crude oil'!AG489</f>
        <v>0</v>
      </c>
      <c r="AH488">
        <f>'raw data Crude oil'!AH489</f>
        <v>0</v>
      </c>
      <c r="AI488">
        <f>'raw data Crude oil'!AI489</f>
        <v>0</v>
      </c>
      <c r="AJ488">
        <f>'raw data Crude oil'!AJ489</f>
        <v>0</v>
      </c>
      <c r="AK488">
        <f>'raw data Crude oil'!AK489</f>
        <v>0</v>
      </c>
    </row>
    <row r="489" spans="1:37" x14ac:dyDescent="0.3">
      <c r="A489" s="18">
        <f>'raw data Crude oil'!A490</f>
        <v>43424</v>
      </c>
      <c r="B489">
        <f>'raw data Crude oil'!B490</f>
        <v>62.53</v>
      </c>
      <c r="C489">
        <f>'raw data Crude oil'!C490</f>
        <v>62.84</v>
      </c>
      <c r="D489">
        <f>'raw data Crude oil'!D490</f>
        <v>63.05</v>
      </c>
      <c r="E489">
        <f>'raw data Crude oil'!E490</f>
        <v>63.21</v>
      </c>
      <c r="F489">
        <f>'raw data Crude oil'!F490</f>
        <v>63.36</v>
      </c>
      <c r="G489">
        <f>'raw data Crude oil'!G490</f>
        <v>63.44</v>
      </c>
      <c r="H489">
        <f>'raw data Crude oil'!H490</f>
        <v>63.46</v>
      </c>
      <c r="I489">
        <f>'raw data Crude oil'!I490</f>
        <v>63.4</v>
      </c>
      <c r="J489">
        <f>'raw data Crude oil'!J490</f>
        <v>63.28</v>
      </c>
      <c r="K489">
        <f>'raw data Crude oil'!K490</f>
        <v>63.17</v>
      </c>
      <c r="L489">
        <f>'raw data Crude oil'!L490</f>
        <v>63.06</v>
      </c>
      <c r="M489">
        <f>'raw data Crude oil'!M490</f>
        <v>62.94</v>
      </c>
      <c r="N489">
        <f>'raw data Crude oil'!N490</f>
        <v>53.43</v>
      </c>
      <c r="O489">
        <f>'raw data Crude oil'!O490</f>
        <v>53.57</v>
      </c>
      <c r="P489">
        <f>'raw data Crude oil'!P490</f>
        <v>53.71</v>
      </c>
      <c r="Q489">
        <f>'raw data Crude oil'!Q490</f>
        <v>53.82</v>
      </c>
      <c r="R489">
        <f>'raw data Crude oil'!R490</f>
        <v>53.93</v>
      </c>
      <c r="S489">
        <f>'raw data Crude oil'!S490</f>
        <v>54</v>
      </c>
      <c r="T489">
        <f>'raw data Crude oil'!T490</f>
        <v>54.04</v>
      </c>
      <c r="U489">
        <f>'raw data Crude oil'!U490</f>
        <v>54.06</v>
      </c>
      <c r="V489">
        <f>'raw data Crude oil'!V490</f>
        <v>54.09</v>
      </c>
      <c r="W489">
        <f>'raw data Crude oil'!W490</f>
        <v>54.11</v>
      </c>
      <c r="X489">
        <f>'raw data Crude oil'!X490</f>
        <v>54.12</v>
      </c>
      <c r="Y489">
        <f>'raw data Crude oil'!Y490</f>
        <v>54.12</v>
      </c>
      <c r="Z489">
        <f>'raw data Crude oil'!Z490</f>
        <v>0</v>
      </c>
      <c r="AA489">
        <f>'raw data Crude oil'!AA490</f>
        <v>0</v>
      </c>
      <c r="AB489">
        <f>'raw data Crude oil'!AB490</f>
        <v>0</v>
      </c>
      <c r="AC489">
        <f>'raw data Crude oil'!AC490</f>
        <v>0</v>
      </c>
      <c r="AD489">
        <f>'raw data Crude oil'!AD490</f>
        <v>0</v>
      </c>
      <c r="AE489">
        <f>'raw data Crude oil'!AE490</f>
        <v>0</v>
      </c>
      <c r="AF489">
        <f>'raw data Crude oil'!AF490</f>
        <v>0</v>
      </c>
      <c r="AG489">
        <f>'raw data Crude oil'!AG490</f>
        <v>0</v>
      </c>
      <c r="AH489">
        <f>'raw data Crude oil'!AH490</f>
        <v>0</v>
      </c>
      <c r="AI489">
        <f>'raw data Crude oil'!AI490</f>
        <v>0</v>
      </c>
      <c r="AJ489">
        <f>'raw data Crude oil'!AJ490</f>
        <v>0</v>
      </c>
      <c r="AK489">
        <f>'raw data Crude oil'!AK490</f>
        <v>0</v>
      </c>
    </row>
    <row r="490" spans="1:37" x14ac:dyDescent="0.3">
      <c r="A490" s="18">
        <f>'raw data Crude oil'!A491</f>
        <v>43425</v>
      </c>
      <c r="B490">
        <f>'raw data Crude oil'!B491</f>
        <v>63.48</v>
      </c>
      <c r="C490">
        <f>'raw data Crude oil'!C491</f>
        <v>63.83</v>
      </c>
      <c r="D490">
        <f>'raw data Crude oil'!D491</f>
        <v>64.06</v>
      </c>
      <c r="E490">
        <f>'raw data Crude oil'!E491</f>
        <v>64.239999999999995</v>
      </c>
      <c r="F490">
        <f>'raw data Crude oil'!F491</f>
        <v>64.41</v>
      </c>
      <c r="G490">
        <f>'raw data Crude oil'!G491</f>
        <v>64.53</v>
      </c>
      <c r="H490">
        <f>'raw data Crude oil'!H491</f>
        <v>64.58</v>
      </c>
      <c r="I490">
        <f>'raw data Crude oil'!I491</f>
        <v>64.55</v>
      </c>
      <c r="J490">
        <f>'raw data Crude oil'!J491</f>
        <v>64.459999999999994</v>
      </c>
      <c r="K490">
        <f>'raw data Crude oil'!K491</f>
        <v>64.37</v>
      </c>
      <c r="L490">
        <f>'raw data Crude oil'!L491</f>
        <v>64.28</v>
      </c>
      <c r="M490">
        <f>'raw data Crude oil'!M491</f>
        <v>64.180000000000007</v>
      </c>
      <c r="N490">
        <f>'raw data Crude oil'!N491</f>
        <v>54.63</v>
      </c>
      <c r="O490">
        <f>'raw data Crude oil'!O491</f>
        <v>54.8</v>
      </c>
      <c r="P490">
        <f>'raw data Crude oil'!P491</f>
        <v>54.97</v>
      </c>
      <c r="Q490">
        <f>'raw data Crude oil'!Q491</f>
        <v>55.11</v>
      </c>
      <c r="R490">
        <f>'raw data Crude oil'!R491</f>
        <v>55.24</v>
      </c>
      <c r="S490">
        <f>'raw data Crude oil'!S491</f>
        <v>55.32</v>
      </c>
      <c r="T490">
        <f>'raw data Crude oil'!T491</f>
        <v>55.37</v>
      </c>
      <c r="U490">
        <f>'raw data Crude oil'!U491</f>
        <v>55.4</v>
      </c>
      <c r="V490">
        <f>'raw data Crude oil'!V491</f>
        <v>55.44</v>
      </c>
      <c r="W490">
        <f>'raw data Crude oil'!W491</f>
        <v>55.47</v>
      </c>
      <c r="X490">
        <f>'raw data Crude oil'!X491</f>
        <v>55.49</v>
      </c>
      <c r="Y490">
        <f>'raw data Crude oil'!Y491</f>
        <v>55.5</v>
      </c>
      <c r="Z490">
        <f>'raw data Crude oil'!Z491</f>
        <v>0</v>
      </c>
      <c r="AA490">
        <f>'raw data Crude oil'!AA491</f>
        <v>0</v>
      </c>
      <c r="AB490">
        <f>'raw data Crude oil'!AB491</f>
        <v>0</v>
      </c>
      <c r="AC490">
        <f>'raw data Crude oil'!AC491</f>
        <v>0</v>
      </c>
      <c r="AD490">
        <f>'raw data Crude oil'!AD491</f>
        <v>0</v>
      </c>
      <c r="AE490">
        <f>'raw data Crude oil'!AE491</f>
        <v>0</v>
      </c>
      <c r="AF490">
        <f>'raw data Crude oil'!AF491</f>
        <v>0</v>
      </c>
      <c r="AG490">
        <f>'raw data Crude oil'!AG491</f>
        <v>0</v>
      </c>
      <c r="AH490">
        <f>'raw data Crude oil'!AH491</f>
        <v>0</v>
      </c>
      <c r="AI490">
        <f>'raw data Crude oil'!AI491</f>
        <v>0</v>
      </c>
      <c r="AJ490">
        <f>'raw data Crude oil'!AJ491</f>
        <v>0</v>
      </c>
      <c r="AK490">
        <f>'raw data Crude oil'!AK491</f>
        <v>0</v>
      </c>
    </row>
    <row r="491" spans="1:37" x14ac:dyDescent="0.3">
      <c r="A491" s="18">
        <f>'raw data Crude oil'!A492</f>
        <v>43426</v>
      </c>
      <c r="B491">
        <f>'raw data Crude oil'!B492</f>
        <v>62.6</v>
      </c>
      <c r="C491">
        <f>'raw data Crude oil'!C492</f>
        <v>62.88</v>
      </c>
      <c r="D491">
        <f>'raw data Crude oil'!D492</f>
        <v>63.11</v>
      </c>
      <c r="E491">
        <f>'raw data Crude oil'!E492</f>
        <v>63.3</v>
      </c>
      <c r="F491">
        <f>'raw data Crude oil'!F492</f>
        <v>63.49</v>
      </c>
      <c r="G491">
        <f>'raw data Crude oil'!G492</f>
        <v>63.63</v>
      </c>
      <c r="H491">
        <f>'raw data Crude oil'!H492</f>
        <v>63.7</v>
      </c>
      <c r="I491">
        <f>'raw data Crude oil'!I492</f>
        <v>63.69</v>
      </c>
      <c r="J491">
        <f>'raw data Crude oil'!J492</f>
        <v>63.63</v>
      </c>
      <c r="K491">
        <f>'raw data Crude oil'!K492</f>
        <v>63.57</v>
      </c>
      <c r="L491">
        <f>'raw data Crude oil'!L492</f>
        <v>63.51</v>
      </c>
      <c r="M491">
        <f>'raw data Crude oil'!M492</f>
        <v>63.44</v>
      </c>
      <c r="N491">
        <f>'raw data Crude oil'!N492</f>
        <v>54.63</v>
      </c>
      <c r="O491">
        <f>'raw data Crude oil'!O492</f>
        <v>54.8</v>
      </c>
      <c r="P491">
        <f>'raw data Crude oil'!P492</f>
        <v>54.97</v>
      </c>
      <c r="Q491">
        <f>'raw data Crude oil'!Q492</f>
        <v>55.11</v>
      </c>
      <c r="R491">
        <f>'raw data Crude oil'!R492</f>
        <v>55.24</v>
      </c>
      <c r="S491">
        <f>'raw data Crude oil'!S492</f>
        <v>55.32</v>
      </c>
      <c r="T491">
        <f>'raw data Crude oil'!T492</f>
        <v>55.37</v>
      </c>
      <c r="U491">
        <f>'raw data Crude oil'!U492</f>
        <v>55.4</v>
      </c>
      <c r="V491">
        <f>'raw data Crude oil'!V492</f>
        <v>55.44</v>
      </c>
      <c r="W491">
        <f>'raw data Crude oil'!W492</f>
        <v>55.47</v>
      </c>
      <c r="X491">
        <f>'raw data Crude oil'!X492</f>
        <v>55.49</v>
      </c>
      <c r="Y491">
        <f>'raw data Crude oil'!Y492</f>
        <v>55.5</v>
      </c>
      <c r="Z491">
        <f>'raw data Crude oil'!Z492</f>
        <v>0</v>
      </c>
      <c r="AA491">
        <f>'raw data Crude oil'!AA492</f>
        <v>0</v>
      </c>
      <c r="AB491">
        <f>'raw data Crude oil'!AB492</f>
        <v>0</v>
      </c>
      <c r="AC491">
        <f>'raw data Crude oil'!AC492</f>
        <v>0</v>
      </c>
      <c r="AD491">
        <f>'raw data Crude oil'!AD492</f>
        <v>0</v>
      </c>
      <c r="AE491">
        <f>'raw data Crude oil'!AE492</f>
        <v>0</v>
      </c>
      <c r="AF491">
        <f>'raw data Crude oil'!AF492</f>
        <v>0</v>
      </c>
      <c r="AG491">
        <f>'raw data Crude oil'!AG492</f>
        <v>0</v>
      </c>
      <c r="AH491">
        <f>'raw data Crude oil'!AH492</f>
        <v>0</v>
      </c>
      <c r="AI491">
        <f>'raw data Crude oil'!AI492</f>
        <v>0</v>
      </c>
      <c r="AJ491">
        <f>'raw data Crude oil'!AJ492</f>
        <v>0</v>
      </c>
      <c r="AK491">
        <f>'raw data Crude oil'!AK492</f>
        <v>0</v>
      </c>
    </row>
    <row r="492" spans="1:37" x14ac:dyDescent="0.3">
      <c r="A492" s="18">
        <f>'raw data Crude oil'!A493</f>
        <v>43427</v>
      </c>
      <c r="B492">
        <f>'raw data Crude oil'!B493</f>
        <v>58.8</v>
      </c>
      <c r="C492">
        <f>'raw data Crude oil'!C493</f>
        <v>59.04</v>
      </c>
      <c r="D492">
        <f>'raw data Crude oil'!D493</f>
        <v>59.23</v>
      </c>
      <c r="E492">
        <f>'raw data Crude oil'!E493</f>
        <v>59.42</v>
      </c>
      <c r="F492">
        <f>'raw data Crude oil'!F493</f>
        <v>59.61</v>
      </c>
      <c r="G492">
        <f>'raw data Crude oil'!G493</f>
        <v>59.78</v>
      </c>
      <c r="H492">
        <f>'raw data Crude oil'!H493</f>
        <v>59.89</v>
      </c>
      <c r="I492">
        <f>'raw data Crude oil'!I493</f>
        <v>59.93</v>
      </c>
      <c r="J492">
        <f>'raw data Crude oil'!J493</f>
        <v>59.91</v>
      </c>
      <c r="K492">
        <f>'raw data Crude oil'!K493</f>
        <v>59.89</v>
      </c>
      <c r="L492">
        <f>'raw data Crude oil'!L493</f>
        <v>59.89</v>
      </c>
      <c r="M492">
        <f>'raw data Crude oil'!M493</f>
        <v>59.86</v>
      </c>
      <c r="N492">
        <f>'raw data Crude oil'!N493</f>
        <v>50.42</v>
      </c>
      <c r="O492">
        <f>'raw data Crude oil'!O493</f>
        <v>50.59</v>
      </c>
      <c r="P492">
        <f>'raw data Crude oil'!P493</f>
        <v>50.76</v>
      </c>
      <c r="Q492">
        <f>'raw data Crude oil'!Q493</f>
        <v>50.91</v>
      </c>
      <c r="R492">
        <f>'raw data Crude oil'!R493</f>
        <v>51.06</v>
      </c>
      <c r="S492">
        <f>'raw data Crude oil'!S493</f>
        <v>51.17</v>
      </c>
      <c r="T492">
        <f>'raw data Crude oil'!T493</f>
        <v>51.26</v>
      </c>
      <c r="U492">
        <f>'raw data Crude oil'!U493</f>
        <v>51.34</v>
      </c>
      <c r="V492">
        <f>'raw data Crude oil'!V493</f>
        <v>51.43</v>
      </c>
      <c r="W492">
        <f>'raw data Crude oil'!W493</f>
        <v>51.51</v>
      </c>
      <c r="X492">
        <f>'raw data Crude oil'!X493</f>
        <v>51.59</v>
      </c>
      <c r="Y492">
        <f>'raw data Crude oil'!Y493</f>
        <v>51.66</v>
      </c>
      <c r="Z492">
        <f>'raw data Crude oil'!Z493</f>
        <v>0</v>
      </c>
      <c r="AA492">
        <f>'raw data Crude oil'!AA493</f>
        <v>0</v>
      </c>
      <c r="AB492">
        <f>'raw data Crude oil'!AB493</f>
        <v>0</v>
      </c>
      <c r="AC492">
        <f>'raw data Crude oil'!AC493</f>
        <v>0</v>
      </c>
      <c r="AD492">
        <f>'raw data Crude oil'!AD493</f>
        <v>0</v>
      </c>
      <c r="AE492">
        <f>'raw data Crude oil'!AE493</f>
        <v>0</v>
      </c>
      <c r="AF492">
        <f>'raw data Crude oil'!AF493</f>
        <v>0</v>
      </c>
      <c r="AG492">
        <f>'raw data Crude oil'!AG493</f>
        <v>0</v>
      </c>
      <c r="AH492">
        <f>'raw data Crude oil'!AH493</f>
        <v>0</v>
      </c>
      <c r="AI492">
        <f>'raw data Crude oil'!AI493</f>
        <v>0</v>
      </c>
      <c r="AJ492">
        <f>'raw data Crude oil'!AJ493</f>
        <v>0</v>
      </c>
      <c r="AK492">
        <f>'raw data Crude oil'!AK493</f>
        <v>0</v>
      </c>
    </row>
    <row r="493" spans="1:37" x14ac:dyDescent="0.3">
      <c r="A493" s="18">
        <f>'raw data Crude oil'!A494</f>
        <v>43430</v>
      </c>
      <c r="B493">
        <f>'raw data Crude oil'!B494</f>
        <v>60.48</v>
      </c>
      <c r="C493">
        <f>'raw data Crude oil'!C494</f>
        <v>60.56</v>
      </c>
      <c r="D493">
        <f>'raw data Crude oil'!D494</f>
        <v>60.69</v>
      </c>
      <c r="E493">
        <f>'raw data Crude oil'!E494</f>
        <v>60.83</v>
      </c>
      <c r="F493">
        <f>'raw data Crude oil'!F494</f>
        <v>60.99</v>
      </c>
      <c r="G493">
        <f>'raw data Crude oil'!G494</f>
        <v>61.14</v>
      </c>
      <c r="H493">
        <f>'raw data Crude oil'!H494</f>
        <v>61.23</v>
      </c>
      <c r="I493">
        <f>'raw data Crude oil'!I494</f>
        <v>61.24</v>
      </c>
      <c r="J493">
        <f>'raw data Crude oil'!J494</f>
        <v>61.2</v>
      </c>
      <c r="K493">
        <f>'raw data Crude oil'!K494</f>
        <v>61.16</v>
      </c>
      <c r="L493">
        <f>'raw data Crude oil'!L494</f>
        <v>61.12</v>
      </c>
      <c r="M493">
        <f>'raw data Crude oil'!M494</f>
        <v>61.06</v>
      </c>
      <c r="N493">
        <f>'raw data Crude oil'!N494</f>
        <v>51.63</v>
      </c>
      <c r="O493">
        <f>'raw data Crude oil'!O494</f>
        <v>51.8</v>
      </c>
      <c r="P493">
        <f>'raw data Crude oil'!P494</f>
        <v>51.95</v>
      </c>
      <c r="Q493">
        <f>'raw data Crude oil'!Q494</f>
        <v>52.08</v>
      </c>
      <c r="R493">
        <f>'raw data Crude oil'!R494</f>
        <v>52.23</v>
      </c>
      <c r="S493">
        <f>'raw data Crude oil'!S494</f>
        <v>52.33</v>
      </c>
      <c r="T493">
        <f>'raw data Crude oil'!T494</f>
        <v>52.41</v>
      </c>
      <c r="U493">
        <f>'raw data Crude oil'!U494</f>
        <v>52.48</v>
      </c>
      <c r="V493">
        <f>'raw data Crude oil'!V494</f>
        <v>52.56</v>
      </c>
      <c r="W493">
        <f>'raw data Crude oil'!W494</f>
        <v>52.61</v>
      </c>
      <c r="X493">
        <f>'raw data Crude oil'!X494</f>
        <v>52.66</v>
      </c>
      <c r="Y493">
        <f>'raw data Crude oil'!Y494</f>
        <v>52.71</v>
      </c>
      <c r="Z493">
        <f>'raw data Crude oil'!Z494</f>
        <v>0</v>
      </c>
      <c r="AA493">
        <f>'raw data Crude oil'!AA494</f>
        <v>0</v>
      </c>
      <c r="AB493">
        <f>'raw data Crude oil'!AB494</f>
        <v>0</v>
      </c>
      <c r="AC493">
        <f>'raw data Crude oil'!AC494</f>
        <v>0</v>
      </c>
      <c r="AD493">
        <f>'raw data Crude oil'!AD494</f>
        <v>0</v>
      </c>
      <c r="AE493">
        <f>'raw data Crude oil'!AE494</f>
        <v>0</v>
      </c>
      <c r="AF493">
        <f>'raw data Crude oil'!AF494</f>
        <v>0</v>
      </c>
      <c r="AG493">
        <f>'raw data Crude oil'!AG494</f>
        <v>0</v>
      </c>
      <c r="AH493">
        <f>'raw data Crude oil'!AH494</f>
        <v>0</v>
      </c>
      <c r="AI493">
        <f>'raw data Crude oil'!AI494</f>
        <v>0</v>
      </c>
      <c r="AJ493">
        <f>'raw data Crude oil'!AJ494</f>
        <v>0</v>
      </c>
      <c r="AK493">
        <f>'raw data Crude oil'!AK494</f>
        <v>0</v>
      </c>
    </row>
    <row r="494" spans="1:37" x14ac:dyDescent="0.3">
      <c r="A494" s="18">
        <f>'raw data Crude oil'!A495</f>
        <v>43431</v>
      </c>
      <c r="B494">
        <f>'raw data Crude oil'!B495</f>
        <v>60.21</v>
      </c>
      <c r="C494">
        <f>'raw data Crude oil'!C495</f>
        <v>60.4</v>
      </c>
      <c r="D494">
        <f>'raw data Crude oil'!D495</f>
        <v>60.58</v>
      </c>
      <c r="E494">
        <f>'raw data Crude oil'!E495</f>
        <v>60.73</v>
      </c>
      <c r="F494">
        <f>'raw data Crude oil'!F495</f>
        <v>60.9</v>
      </c>
      <c r="G494">
        <f>'raw data Crude oil'!G495</f>
        <v>61.05</v>
      </c>
      <c r="H494">
        <f>'raw data Crude oil'!H495</f>
        <v>61.15</v>
      </c>
      <c r="I494">
        <f>'raw data Crude oil'!I495</f>
        <v>61.19</v>
      </c>
      <c r="J494">
        <f>'raw data Crude oil'!J495</f>
        <v>61.16</v>
      </c>
      <c r="K494">
        <f>'raw data Crude oil'!K495</f>
        <v>61.13</v>
      </c>
      <c r="L494">
        <f>'raw data Crude oil'!L495</f>
        <v>61.12</v>
      </c>
      <c r="M494">
        <f>'raw data Crude oil'!M495</f>
        <v>61.08</v>
      </c>
      <c r="N494">
        <f>'raw data Crude oil'!N495</f>
        <v>51.56</v>
      </c>
      <c r="O494">
        <f>'raw data Crude oil'!O495</f>
        <v>51.73</v>
      </c>
      <c r="P494">
        <f>'raw data Crude oil'!P495</f>
        <v>51.89</v>
      </c>
      <c r="Q494">
        <f>'raw data Crude oil'!Q495</f>
        <v>52.02</v>
      </c>
      <c r="R494">
        <f>'raw data Crude oil'!R495</f>
        <v>52.17</v>
      </c>
      <c r="S494">
        <f>'raw data Crude oil'!S495</f>
        <v>52.28</v>
      </c>
      <c r="T494">
        <f>'raw data Crude oil'!T495</f>
        <v>52.38</v>
      </c>
      <c r="U494">
        <f>'raw data Crude oil'!U495</f>
        <v>52.47</v>
      </c>
      <c r="V494">
        <f>'raw data Crude oil'!V495</f>
        <v>52.57</v>
      </c>
      <c r="W494">
        <f>'raw data Crude oil'!W495</f>
        <v>52.64</v>
      </c>
      <c r="X494">
        <f>'raw data Crude oil'!X495</f>
        <v>52.72</v>
      </c>
      <c r="Y494">
        <f>'raw data Crude oil'!Y495</f>
        <v>52.79</v>
      </c>
      <c r="Z494">
        <f>'raw data Crude oil'!Z495</f>
        <v>0</v>
      </c>
      <c r="AA494">
        <f>'raw data Crude oil'!AA495</f>
        <v>0</v>
      </c>
      <c r="AB494">
        <f>'raw data Crude oil'!AB495</f>
        <v>0</v>
      </c>
      <c r="AC494">
        <f>'raw data Crude oil'!AC495</f>
        <v>0</v>
      </c>
      <c r="AD494">
        <f>'raw data Crude oil'!AD495</f>
        <v>0</v>
      </c>
      <c r="AE494">
        <f>'raw data Crude oil'!AE495</f>
        <v>0</v>
      </c>
      <c r="AF494">
        <f>'raw data Crude oil'!AF495</f>
        <v>0</v>
      </c>
      <c r="AG494">
        <f>'raw data Crude oil'!AG495</f>
        <v>0</v>
      </c>
      <c r="AH494">
        <f>'raw data Crude oil'!AH495</f>
        <v>0</v>
      </c>
      <c r="AI494">
        <f>'raw data Crude oil'!AI495</f>
        <v>0</v>
      </c>
      <c r="AJ494">
        <f>'raw data Crude oil'!AJ495</f>
        <v>0</v>
      </c>
      <c r="AK494">
        <f>'raw data Crude oil'!AK495</f>
        <v>0</v>
      </c>
    </row>
    <row r="495" spans="1:37" x14ac:dyDescent="0.3">
      <c r="A495" s="18">
        <f>'raw data Crude oil'!A496</f>
        <v>43432</v>
      </c>
      <c r="B495">
        <f>'raw data Crude oil'!B496</f>
        <v>58.76</v>
      </c>
      <c r="C495">
        <f>'raw data Crude oil'!C496</f>
        <v>59.09</v>
      </c>
      <c r="D495">
        <f>'raw data Crude oil'!D496</f>
        <v>59.29</v>
      </c>
      <c r="E495">
        <f>'raw data Crude oil'!E496</f>
        <v>59.48</v>
      </c>
      <c r="F495">
        <f>'raw data Crude oil'!F496</f>
        <v>59.68</v>
      </c>
      <c r="G495">
        <f>'raw data Crude oil'!G496</f>
        <v>59.85</v>
      </c>
      <c r="H495">
        <f>'raw data Crude oil'!H496</f>
        <v>59.98</v>
      </c>
      <c r="I495">
        <f>'raw data Crude oil'!I496</f>
        <v>60.04</v>
      </c>
      <c r="J495">
        <f>'raw data Crude oil'!J496</f>
        <v>60.05</v>
      </c>
      <c r="K495">
        <f>'raw data Crude oil'!K496</f>
        <v>60.05</v>
      </c>
      <c r="L495">
        <f>'raw data Crude oil'!L496</f>
        <v>60.07</v>
      </c>
      <c r="M495">
        <f>'raw data Crude oil'!M496</f>
        <v>60.06</v>
      </c>
      <c r="N495">
        <f>'raw data Crude oil'!N496</f>
        <v>50.29</v>
      </c>
      <c r="O495">
        <f>'raw data Crude oil'!O496</f>
        <v>50.49</v>
      </c>
      <c r="P495">
        <f>'raw data Crude oil'!P496</f>
        <v>50.67</v>
      </c>
      <c r="Q495">
        <f>'raw data Crude oil'!Q496</f>
        <v>50.83</v>
      </c>
      <c r="R495">
        <f>'raw data Crude oil'!R496</f>
        <v>51</v>
      </c>
      <c r="S495">
        <f>'raw data Crude oil'!S496</f>
        <v>51.15</v>
      </c>
      <c r="T495">
        <f>'raw data Crude oil'!T496</f>
        <v>51.28</v>
      </c>
      <c r="U495">
        <f>'raw data Crude oil'!U496</f>
        <v>51.4</v>
      </c>
      <c r="V495">
        <f>'raw data Crude oil'!V496</f>
        <v>51.52</v>
      </c>
      <c r="W495">
        <f>'raw data Crude oil'!W496</f>
        <v>51.63</v>
      </c>
      <c r="X495">
        <f>'raw data Crude oil'!X496</f>
        <v>51.74</v>
      </c>
      <c r="Y495">
        <f>'raw data Crude oil'!Y496</f>
        <v>51.84</v>
      </c>
      <c r="Z495">
        <f>'raw data Crude oil'!Z496</f>
        <v>0</v>
      </c>
      <c r="AA495">
        <f>'raw data Crude oil'!AA496</f>
        <v>0</v>
      </c>
      <c r="AB495">
        <f>'raw data Crude oil'!AB496</f>
        <v>0</v>
      </c>
      <c r="AC495">
        <f>'raw data Crude oil'!AC496</f>
        <v>0</v>
      </c>
      <c r="AD495">
        <f>'raw data Crude oil'!AD496</f>
        <v>0</v>
      </c>
      <c r="AE495">
        <f>'raw data Crude oil'!AE496</f>
        <v>0</v>
      </c>
      <c r="AF495">
        <f>'raw data Crude oil'!AF496</f>
        <v>0</v>
      </c>
      <c r="AG495">
        <f>'raw data Crude oil'!AG496</f>
        <v>0</v>
      </c>
      <c r="AH495">
        <f>'raw data Crude oil'!AH496</f>
        <v>0</v>
      </c>
      <c r="AI495">
        <f>'raw data Crude oil'!AI496</f>
        <v>0</v>
      </c>
      <c r="AJ495">
        <f>'raw data Crude oil'!AJ496</f>
        <v>0</v>
      </c>
      <c r="AK495">
        <f>'raw data Crude oil'!AK496</f>
        <v>0</v>
      </c>
    </row>
    <row r="496" spans="1:37" x14ac:dyDescent="0.3">
      <c r="A496" s="18">
        <f>'raw data Crude oil'!A497</f>
        <v>43433</v>
      </c>
      <c r="B496">
        <f>'raw data Crude oil'!B497</f>
        <v>59.51</v>
      </c>
      <c r="C496">
        <f>'raw data Crude oil'!C497</f>
        <v>59.91</v>
      </c>
      <c r="D496">
        <f>'raw data Crude oil'!D497</f>
        <v>60.07</v>
      </c>
      <c r="E496">
        <f>'raw data Crude oil'!E497</f>
        <v>60.23</v>
      </c>
      <c r="F496">
        <f>'raw data Crude oil'!F497</f>
        <v>60.42</v>
      </c>
      <c r="G496">
        <f>'raw data Crude oil'!G497</f>
        <v>60.58</v>
      </c>
      <c r="H496">
        <f>'raw data Crude oil'!H497</f>
        <v>60.69</v>
      </c>
      <c r="I496">
        <f>'raw data Crude oil'!I497</f>
        <v>60.74</v>
      </c>
      <c r="J496">
        <f>'raw data Crude oil'!J497</f>
        <v>60.74</v>
      </c>
      <c r="K496">
        <f>'raw data Crude oil'!K497</f>
        <v>60.75</v>
      </c>
      <c r="L496">
        <f>'raw data Crude oil'!L497</f>
        <v>60.77</v>
      </c>
      <c r="M496">
        <f>'raw data Crude oil'!M497</f>
        <v>60.77</v>
      </c>
      <c r="N496">
        <f>'raw data Crude oil'!N497</f>
        <v>51.45</v>
      </c>
      <c r="O496">
        <f>'raw data Crude oil'!O497</f>
        <v>51.62</v>
      </c>
      <c r="P496">
        <f>'raw data Crude oil'!P497</f>
        <v>51.78</v>
      </c>
      <c r="Q496">
        <f>'raw data Crude oil'!Q497</f>
        <v>51.92</v>
      </c>
      <c r="R496">
        <f>'raw data Crude oil'!R497</f>
        <v>52.07</v>
      </c>
      <c r="S496">
        <f>'raw data Crude oil'!S497</f>
        <v>52.2</v>
      </c>
      <c r="T496">
        <f>'raw data Crude oil'!T497</f>
        <v>52.31</v>
      </c>
      <c r="U496">
        <f>'raw data Crude oil'!U497</f>
        <v>52.41</v>
      </c>
      <c r="V496">
        <f>'raw data Crude oil'!V497</f>
        <v>52.52</v>
      </c>
      <c r="W496">
        <f>'raw data Crude oil'!W497</f>
        <v>52.61</v>
      </c>
      <c r="X496">
        <f>'raw data Crude oil'!X497</f>
        <v>52.7</v>
      </c>
      <c r="Y496">
        <f>'raw data Crude oil'!Y497</f>
        <v>52.8</v>
      </c>
      <c r="Z496">
        <f>'raw data Crude oil'!Z497</f>
        <v>0</v>
      </c>
      <c r="AA496">
        <f>'raw data Crude oil'!AA497</f>
        <v>0</v>
      </c>
      <c r="AB496">
        <f>'raw data Crude oil'!AB497</f>
        <v>0</v>
      </c>
      <c r="AC496">
        <f>'raw data Crude oil'!AC497</f>
        <v>0</v>
      </c>
      <c r="AD496">
        <f>'raw data Crude oil'!AD497</f>
        <v>0</v>
      </c>
      <c r="AE496">
        <f>'raw data Crude oil'!AE497</f>
        <v>0</v>
      </c>
      <c r="AF496">
        <f>'raw data Crude oil'!AF497</f>
        <v>0</v>
      </c>
      <c r="AG496">
        <f>'raw data Crude oil'!AG497</f>
        <v>0</v>
      </c>
      <c r="AH496">
        <f>'raw data Crude oil'!AH497</f>
        <v>0</v>
      </c>
      <c r="AI496">
        <f>'raw data Crude oil'!AI497</f>
        <v>0</v>
      </c>
      <c r="AJ496">
        <f>'raw data Crude oil'!AJ497</f>
        <v>0</v>
      </c>
      <c r="AK496">
        <f>'raw data Crude oil'!AK497</f>
        <v>0</v>
      </c>
    </row>
    <row r="497" spans="1:37" x14ac:dyDescent="0.3">
      <c r="A497" s="18">
        <f>'raw data Crude oil'!A498</f>
        <v>43434</v>
      </c>
      <c r="B497">
        <f>'raw data Crude oil'!B498</f>
        <v>58.71</v>
      </c>
      <c r="C497">
        <f>'raw data Crude oil'!C498</f>
        <v>59.46</v>
      </c>
      <c r="D497">
        <f>'raw data Crude oil'!D498</f>
        <v>59.58</v>
      </c>
      <c r="E497">
        <f>'raw data Crude oil'!E498</f>
        <v>59.69</v>
      </c>
      <c r="F497">
        <f>'raw data Crude oil'!F498</f>
        <v>59.83</v>
      </c>
      <c r="G497">
        <f>'raw data Crude oil'!G498</f>
        <v>59.94</v>
      </c>
      <c r="H497">
        <f>'raw data Crude oil'!H498</f>
        <v>59.99</v>
      </c>
      <c r="I497">
        <f>'raw data Crude oil'!I498</f>
        <v>59.99</v>
      </c>
      <c r="J497">
        <f>'raw data Crude oil'!J498</f>
        <v>59.94</v>
      </c>
      <c r="K497">
        <f>'raw data Crude oil'!K498</f>
        <v>59.91</v>
      </c>
      <c r="L497">
        <f>'raw data Crude oil'!L498</f>
        <v>59.89</v>
      </c>
      <c r="M497">
        <f>'raw data Crude oil'!M498</f>
        <v>59.85</v>
      </c>
      <c r="N497">
        <f>'raw data Crude oil'!N498</f>
        <v>50.93</v>
      </c>
      <c r="O497">
        <f>'raw data Crude oil'!O498</f>
        <v>51.09</v>
      </c>
      <c r="P497">
        <f>'raw data Crude oil'!P498</f>
        <v>51.23</v>
      </c>
      <c r="Q497">
        <f>'raw data Crude oil'!Q498</f>
        <v>51.36</v>
      </c>
      <c r="R497">
        <f>'raw data Crude oil'!R498</f>
        <v>51.5</v>
      </c>
      <c r="S497">
        <f>'raw data Crude oil'!S498</f>
        <v>51.6</v>
      </c>
      <c r="T497">
        <f>'raw data Crude oil'!T498</f>
        <v>51.66</v>
      </c>
      <c r="U497">
        <f>'raw data Crude oil'!U498</f>
        <v>51.71</v>
      </c>
      <c r="V497">
        <f>'raw data Crude oil'!V498</f>
        <v>51.76</v>
      </c>
      <c r="W497">
        <f>'raw data Crude oil'!W498</f>
        <v>51.8</v>
      </c>
      <c r="X497">
        <f>'raw data Crude oil'!X498</f>
        <v>51.84</v>
      </c>
      <c r="Y497">
        <f>'raw data Crude oil'!Y498</f>
        <v>51.89</v>
      </c>
      <c r="Z497">
        <f>'raw data Crude oil'!Z498</f>
        <v>0</v>
      </c>
      <c r="AA497">
        <f>'raw data Crude oil'!AA498</f>
        <v>0</v>
      </c>
      <c r="AB497">
        <f>'raw data Crude oil'!AB498</f>
        <v>0</v>
      </c>
      <c r="AC497">
        <f>'raw data Crude oil'!AC498</f>
        <v>0</v>
      </c>
      <c r="AD497">
        <f>'raw data Crude oil'!AD498</f>
        <v>0</v>
      </c>
      <c r="AE497">
        <f>'raw data Crude oil'!AE498</f>
        <v>0</v>
      </c>
      <c r="AF497">
        <f>'raw data Crude oil'!AF498</f>
        <v>0</v>
      </c>
      <c r="AG497">
        <f>'raw data Crude oil'!AG498</f>
        <v>0</v>
      </c>
      <c r="AH497">
        <f>'raw data Crude oil'!AH498</f>
        <v>0</v>
      </c>
      <c r="AI497">
        <f>'raw data Crude oil'!AI498</f>
        <v>0</v>
      </c>
      <c r="AJ497">
        <f>'raw data Crude oil'!AJ498</f>
        <v>0</v>
      </c>
      <c r="AK497">
        <f>'raw data Crude oil'!AK498</f>
        <v>0</v>
      </c>
    </row>
    <row r="498" spans="1:37" x14ac:dyDescent="0.3">
      <c r="A498" s="18">
        <f>'raw data Crude oil'!A499</f>
        <v>43437</v>
      </c>
      <c r="B498">
        <f>'raw data Crude oil'!B499</f>
        <v>61.69</v>
      </c>
      <c r="C498">
        <f>'raw data Crude oil'!C499</f>
        <v>61.82</v>
      </c>
      <c r="D498">
        <f>'raw data Crude oil'!D499</f>
        <v>61.93</v>
      </c>
      <c r="E498">
        <f>'raw data Crude oil'!E499</f>
        <v>62.07</v>
      </c>
      <c r="F498">
        <f>'raw data Crude oil'!F499</f>
        <v>62.17</v>
      </c>
      <c r="G498">
        <f>'raw data Crude oil'!G499</f>
        <v>62.21</v>
      </c>
      <c r="H498">
        <f>'raw data Crude oil'!H499</f>
        <v>62.19</v>
      </c>
      <c r="I498">
        <f>'raw data Crude oil'!I499</f>
        <v>62.13</v>
      </c>
      <c r="J498">
        <f>'raw data Crude oil'!J499</f>
        <v>62.08</v>
      </c>
      <c r="K498">
        <f>'raw data Crude oil'!K499</f>
        <v>62.05</v>
      </c>
      <c r="L498">
        <f>'raw data Crude oil'!L499</f>
        <v>62.01</v>
      </c>
      <c r="M498">
        <f>'raw data Crude oil'!M499</f>
        <v>62.01</v>
      </c>
      <c r="N498">
        <f>'raw data Crude oil'!N499</f>
        <v>52.95</v>
      </c>
      <c r="O498">
        <f>'raw data Crude oil'!O499</f>
        <v>53.14</v>
      </c>
      <c r="P498">
        <f>'raw data Crude oil'!P499</f>
        <v>53.33</v>
      </c>
      <c r="Q498">
        <f>'raw data Crude oil'!Q499</f>
        <v>53.52</v>
      </c>
      <c r="R498">
        <f>'raw data Crude oil'!R499</f>
        <v>53.7</v>
      </c>
      <c r="S498">
        <f>'raw data Crude oil'!S499</f>
        <v>53.83</v>
      </c>
      <c r="T498">
        <f>'raw data Crude oil'!T499</f>
        <v>53.92</v>
      </c>
      <c r="U498">
        <f>'raw data Crude oil'!U499</f>
        <v>53.98</v>
      </c>
      <c r="V498">
        <f>'raw data Crude oil'!V499</f>
        <v>54.03</v>
      </c>
      <c r="W498">
        <f>'raw data Crude oil'!W499</f>
        <v>54.05</v>
      </c>
      <c r="X498">
        <f>'raw data Crude oil'!X499</f>
        <v>54.07</v>
      </c>
      <c r="Y498">
        <f>'raw data Crude oil'!Y499</f>
        <v>54.09</v>
      </c>
      <c r="Z498">
        <f>'raw data Crude oil'!Z499</f>
        <v>0</v>
      </c>
      <c r="AA498">
        <f>'raw data Crude oil'!AA499</f>
        <v>0</v>
      </c>
      <c r="AB498">
        <f>'raw data Crude oil'!AB499</f>
        <v>0</v>
      </c>
      <c r="AC498">
        <f>'raw data Crude oil'!AC499</f>
        <v>0</v>
      </c>
      <c r="AD498">
        <f>'raw data Crude oil'!AD499</f>
        <v>0</v>
      </c>
      <c r="AE498">
        <f>'raw data Crude oil'!AE499</f>
        <v>0</v>
      </c>
      <c r="AF498">
        <f>'raw data Crude oil'!AF499</f>
        <v>0</v>
      </c>
      <c r="AG498">
        <f>'raw data Crude oil'!AG499</f>
        <v>0</v>
      </c>
      <c r="AH498">
        <f>'raw data Crude oil'!AH499</f>
        <v>0</v>
      </c>
      <c r="AI498">
        <f>'raw data Crude oil'!AI499</f>
        <v>0</v>
      </c>
      <c r="AJ498">
        <f>'raw data Crude oil'!AJ499</f>
        <v>0</v>
      </c>
      <c r="AK498">
        <f>'raw data Crude oil'!AK499</f>
        <v>0</v>
      </c>
    </row>
    <row r="499" spans="1:37" x14ac:dyDescent="0.3">
      <c r="A499" s="18">
        <f>'raw data Crude oil'!A500</f>
        <v>43438</v>
      </c>
      <c r="B499">
        <f>'raw data Crude oil'!B500</f>
        <v>62.08</v>
      </c>
      <c r="C499">
        <f>'raw data Crude oil'!C500</f>
        <v>62.22</v>
      </c>
      <c r="D499">
        <f>'raw data Crude oil'!D500</f>
        <v>62.36</v>
      </c>
      <c r="E499">
        <f>'raw data Crude oil'!E500</f>
        <v>62.54</v>
      </c>
      <c r="F499">
        <f>'raw data Crude oil'!F500</f>
        <v>62.69</v>
      </c>
      <c r="G499">
        <f>'raw data Crude oil'!G500</f>
        <v>62.76</v>
      </c>
      <c r="H499">
        <f>'raw data Crude oil'!H500</f>
        <v>62.78</v>
      </c>
      <c r="I499">
        <f>'raw data Crude oil'!I500</f>
        <v>62.74</v>
      </c>
      <c r="J499">
        <f>'raw data Crude oil'!J500</f>
        <v>62.7</v>
      </c>
      <c r="K499">
        <f>'raw data Crude oil'!K500</f>
        <v>62.68</v>
      </c>
      <c r="L499">
        <f>'raw data Crude oil'!L500</f>
        <v>62.64</v>
      </c>
      <c r="M499">
        <f>'raw data Crude oil'!M500</f>
        <v>62.64</v>
      </c>
      <c r="N499">
        <f>'raw data Crude oil'!N500</f>
        <v>53.25</v>
      </c>
      <c r="O499">
        <f>'raw data Crude oil'!O500</f>
        <v>53.46</v>
      </c>
      <c r="P499">
        <f>'raw data Crude oil'!P500</f>
        <v>53.67</v>
      </c>
      <c r="Q499">
        <f>'raw data Crude oil'!Q500</f>
        <v>53.9</v>
      </c>
      <c r="R499">
        <f>'raw data Crude oil'!R500</f>
        <v>54.13</v>
      </c>
      <c r="S499">
        <f>'raw data Crude oil'!S500</f>
        <v>54.32</v>
      </c>
      <c r="T499">
        <f>'raw data Crude oil'!T500</f>
        <v>54.46</v>
      </c>
      <c r="U499">
        <f>'raw data Crude oil'!U500</f>
        <v>54.55</v>
      </c>
      <c r="V499">
        <f>'raw data Crude oil'!V500</f>
        <v>54.61</v>
      </c>
      <c r="W499">
        <f>'raw data Crude oil'!W500</f>
        <v>54.64</v>
      </c>
      <c r="X499">
        <f>'raw data Crude oil'!X500</f>
        <v>54.67</v>
      </c>
      <c r="Y499">
        <f>'raw data Crude oil'!Y500</f>
        <v>54.7</v>
      </c>
      <c r="Z499">
        <f>'raw data Crude oil'!Z500</f>
        <v>0</v>
      </c>
      <c r="AA499">
        <f>'raw data Crude oil'!AA500</f>
        <v>0</v>
      </c>
      <c r="AB499">
        <f>'raw data Crude oil'!AB500</f>
        <v>0</v>
      </c>
      <c r="AC499">
        <f>'raw data Crude oil'!AC500</f>
        <v>0</v>
      </c>
      <c r="AD499">
        <f>'raw data Crude oil'!AD500</f>
        <v>0</v>
      </c>
      <c r="AE499">
        <f>'raw data Crude oil'!AE500</f>
        <v>0</v>
      </c>
      <c r="AF499">
        <f>'raw data Crude oil'!AF500</f>
        <v>0</v>
      </c>
      <c r="AG499">
        <f>'raw data Crude oil'!AG500</f>
        <v>0</v>
      </c>
      <c r="AH499">
        <f>'raw data Crude oil'!AH500</f>
        <v>0</v>
      </c>
      <c r="AI499">
        <f>'raw data Crude oil'!AI500</f>
        <v>0</v>
      </c>
      <c r="AJ499">
        <f>'raw data Crude oil'!AJ500</f>
        <v>0</v>
      </c>
      <c r="AK499">
        <f>'raw data Crude oil'!AK500</f>
        <v>0</v>
      </c>
    </row>
    <row r="500" spans="1:37" x14ac:dyDescent="0.3">
      <c r="A500" s="18">
        <f>'raw data Crude oil'!A501</f>
        <v>43439</v>
      </c>
      <c r="B500">
        <f>'raw data Crude oil'!B501</f>
        <v>61.56</v>
      </c>
      <c r="C500">
        <f>'raw data Crude oil'!C501</f>
        <v>61.76</v>
      </c>
      <c r="D500">
        <f>'raw data Crude oil'!D501</f>
        <v>61.94</v>
      </c>
      <c r="E500">
        <f>'raw data Crude oil'!E501</f>
        <v>62.15</v>
      </c>
      <c r="F500">
        <f>'raw data Crude oil'!F501</f>
        <v>62.32</v>
      </c>
      <c r="G500">
        <f>'raw data Crude oil'!G501</f>
        <v>62.4</v>
      </c>
      <c r="H500">
        <f>'raw data Crude oil'!H501</f>
        <v>62.43</v>
      </c>
      <c r="I500">
        <f>'raw data Crude oil'!I501</f>
        <v>62.39</v>
      </c>
      <c r="J500">
        <f>'raw data Crude oil'!J501</f>
        <v>62.36</v>
      </c>
      <c r="K500">
        <f>'raw data Crude oil'!K501</f>
        <v>62.34</v>
      </c>
      <c r="L500">
        <f>'raw data Crude oil'!L501</f>
        <v>62.29</v>
      </c>
      <c r="M500">
        <f>'raw data Crude oil'!M501</f>
        <v>62.29</v>
      </c>
      <c r="N500">
        <f>'raw data Crude oil'!N501</f>
        <v>52.89</v>
      </c>
      <c r="O500">
        <f>'raw data Crude oil'!O501</f>
        <v>53.12</v>
      </c>
      <c r="P500">
        <f>'raw data Crude oil'!P501</f>
        <v>53.36</v>
      </c>
      <c r="Q500">
        <f>'raw data Crude oil'!Q501</f>
        <v>53.61</v>
      </c>
      <c r="R500">
        <f>'raw data Crude oil'!R501</f>
        <v>53.86</v>
      </c>
      <c r="S500">
        <f>'raw data Crude oil'!S501</f>
        <v>54.06</v>
      </c>
      <c r="T500">
        <f>'raw data Crude oil'!T501</f>
        <v>54.22</v>
      </c>
      <c r="U500">
        <f>'raw data Crude oil'!U501</f>
        <v>54.32</v>
      </c>
      <c r="V500">
        <f>'raw data Crude oil'!V501</f>
        <v>54.4</v>
      </c>
      <c r="W500">
        <f>'raw data Crude oil'!W501</f>
        <v>54.44</v>
      </c>
      <c r="X500">
        <f>'raw data Crude oil'!X501</f>
        <v>54.47</v>
      </c>
      <c r="Y500">
        <f>'raw data Crude oil'!Y501</f>
        <v>54.49</v>
      </c>
      <c r="Z500">
        <f>'raw data Crude oil'!Z501</f>
        <v>0</v>
      </c>
      <c r="AA500">
        <f>'raw data Crude oil'!AA501</f>
        <v>0</v>
      </c>
      <c r="AB500">
        <f>'raw data Crude oil'!AB501</f>
        <v>0</v>
      </c>
      <c r="AC500">
        <f>'raw data Crude oil'!AC501</f>
        <v>0</v>
      </c>
      <c r="AD500">
        <f>'raw data Crude oil'!AD501</f>
        <v>0</v>
      </c>
      <c r="AE500">
        <f>'raw data Crude oil'!AE501</f>
        <v>0</v>
      </c>
      <c r="AF500">
        <f>'raw data Crude oil'!AF501</f>
        <v>0</v>
      </c>
      <c r="AG500">
        <f>'raw data Crude oil'!AG501</f>
        <v>0</v>
      </c>
      <c r="AH500">
        <f>'raw data Crude oil'!AH501</f>
        <v>0</v>
      </c>
      <c r="AI500">
        <f>'raw data Crude oil'!AI501</f>
        <v>0</v>
      </c>
      <c r="AJ500">
        <f>'raw data Crude oil'!AJ501</f>
        <v>0</v>
      </c>
      <c r="AK500">
        <f>'raw data Crude oil'!AK501</f>
        <v>0</v>
      </c>
    </row>
    <row r="501" spans="1:37" x14ac:dyDescent="0.3">
      <c r="A501" s="18">
        <f>'raw data Crude oil'!A502</f>
        <v>43440</v>
      </c>
      <c r="B501">
        <f>'raw data Crude oil'!B502</f>
        <v>60.06</v>
      </c>
      <c r="C501">
        <f>'raw data Crude oil'!C502</f>
        <v>60.33</v>
      </c>
      <c r="D501">
        <f>'raw data Crude oil'!D502</f>
        <v>60.55</v>
      </c>
      <c r="E501">
        <f>'raw data Crude oil'!E502</f>
        <v>60.79</v>
      </c>
      <c r="F501">
        <f>'raw data Crude oil'!F502</f>
        <v>60.99</v>
      </c>
      <c r="G501">
        <f>'raw data Crude oil'!G502</f>
        <v>61.1</v>
      </c>
      <c r="H501">
        <f>'raw data Crude oil'!H502</f>
        <v>61.15</v>
      </c>
      <c r="I501">
        <f>'raw data Crude oil'!I502</f>
        <v>61.13</v>
      </c>
      <c r="J501">
        <f>'raw data Crude oil'!J502</f>
        <v>61.11</v>
      </c>
      <c r="K501">
        <f>'raw data Crude oil'!K502</f>
        <v>61.1</v>
      </c>
      <c r="L501">
        <f>'raw data Crude oil'!L502</f>
        <v>61.06</v>
      </c>
      <c r="M501">
        <f>'raw data Crude oil'!M502</f>
        <v>61.07</v>
      </c>
      <c r="N501">
        <f>'raw data Crude oil'!N502</f>
        <v>51.49</v>
      </c>
      <c r="O501">
        <f>'raw data Crude oil'!O502</f>
        <v>51.7</v>
      </c>
      <c r="P501">
        <f>'raw data Crude oil'!P502</f>
        <v>51.95</v>
      </c>
      <c r="Q501">
        <f>'raw data Crude oil'!Q502</f>
        <v>52.24</v>
      </c>
      <c r="R501">
        <f>'raw data Crude oil'!R502</f>
        <v>52.54</v>
      </c>
      <c r="S501">
        <f>'raw data Crude oil'!S502</f>
        <v>52.78</v>
      </c>
      <c r="T501">
        <f>'raw data Crude oil'!T502</f>
        <v>52.97</v>
      </c>
      <c r="U501">
        <f>'raw data Crude oil'!U502</f>
        <v>53.11</v>
      </c>
      <c r="V501">
        <f>'raw data Crude oil'!V502</f>
        <v>53.23</v>
      </c>
      <c r="W501">
        <f>'raw data Crude oil'!W502</f>
        <v>53.31</v>
      </c>
      <c r="X501">
        <f>'raw data Crude oil'!X502</f>
        <v>53.37</v>
      </c>
      <c r="Y501">
        <f>'raw data Crude oil'!Y502</f>
        <v>53.43</v>
      </c>
      <c r="Z501">
        <f>'raw data Crude oil'!Z502</f>
        <v>0</v>
      </c>
      <c r="AA501">
        <f>'raw data Crude oil'!AA502</f>
        <v>0</v>
      </c>
      <c r="AB501">
        <f>'raw data Crude oil'!AB502</f>
        <v>0</v>
      </c>
      <c r="AC501">
        <f>'raw data Crude oil'!AC502</f>
        <v>0</v>
      </c>
      <c r="AD501">
        <f>'raw data Crude oil'!AD502</f>
        <v>0</v>
      </c>
      <c r="AE501">
        <f>'raw data Crude oil'!AE502</f>
        <v>0</v>
      </c>
      <c r="AF501">
        <f>'raw data Crude oil'!AF502</f>
        <v>0</v>
      </c>
      <c r="AG501">
        <f>'raw data Crude oil'!AG502</f>
        <v>0</v>
      </c>
      <c r="AH501">
        <f>'raw data Crude oil'!AH502</f>
        <v>0</v>
      </c>
      <c r="AI501">
        <f>'raw data Crude oil'!AI502</f>
        <v>0</v>
      </c>
      <c r="AJ501">
        <f>'raw data Crude oil'!AJ502</f>
        <v>0</v>
      </c>
      <c r="AK501">
        <f>'raw data Crude oil'!AK502</f>
        <v>0</v>
      </c>
    </row>
    <row r="502" spans="1:37" x14ac:dyDescent="0.3">
      <c r="A502" s="18">
        <f>'raw data Crude oil'!A503</f>
        <v>43441</v>
      </c>
      <c r="B502">
        <f>'raw data Crude oil'!B503</f>
        <v>61.67</v>
      </c>
      <c r="C502">
        <f>'raw data Crude oil'!C503</f>
        <v>61.85</v>
      </c>
      <c r="D502">
        <f>'raw data Crude oil'!D503</f>
        <v>62</v>
      </c>
      <c r="E502">
        <f>'raw data Crude oil'!E503</f>
        <v>62.18</v>
      </c>
      <c r="F502">
        <f>'raw data Crude oil'!F503</f>
        <v>62.32</v>
      </c>
      <c r="G502">
        <f>'raw data Crude oil'!G503</f>
        <v>62.39</v>
      </c>
      <c r="H502">
        <f>'raw data Crude oil'!H503</f>
        <v>62.39</v>
      </c>
      <c r="I502">
        <f>'raw data Crude oil'!I503</f>
        <v>62.32</v>
      </c>
      <c r="J502">
        <f>'raw data Crude oil'!J503</f>
        <v>62.26</v>
      </c>
      <c r="K502">
        <f>'raw data Crude oil'!K503</f>
        <v>62.22</v>
      </c>
      <c r="L502">
        <f>'raw data Crude oil'!L503</f>
        <v>62.14</v>
      </c>
      <c r="M502">
        <f>'raw data Crude oil'!M503</f>
        <v>62.11</v>
      </c>
      <c r="N502">
        <f>'raw data Crude oil'!N503</f>
        <v>52.61</v>
      </c>
      <c r="O502">
        <f>'raw data Crude oil'!O503</f>
        <v>52.81</v>
      </c>
      <c r="P502">
        <f>'raw data Crude oil'!P503</f>
        <v>53.05</v>
      </c>
      <c r="Q502">
        <f>'raw data Crude oil'!Q503</f>
        <v>53.31</v>
      </c>
      <c r="R502">
        <f>'raw data Crude oil'!R503</f>
        <v>53.58</v>
      </c>
      <c r="S502">
        <f>'raw data Crude oil'!S503</f>
        <v>53.82</v>
      </c>
      <c r="T502">
        <f>'raw data Crude oil'!T503</f>
        <v>54</v>
      </c>
      <c r="U502">
        <f>'raw data Crude oil'!U503</f>
        <v>54.13</v>
      </c>
      <c r="V502">
        <f>'raw data Crude oil'!V503</f>
        <v>54.23</v>
      </c>
      <c r="W502">
        <f>'raw data Crude oil'!W503</f>
        <v>54.28</v>
      </c>
      <c r="X502">
        <f>'raw data Crude oil'!X503</f>
        <v>54.31</v>
      </c>
      <c r="Y502">
        <f>'raw data Crude oil'!Y503</f>
        <v>54.33</v>
      </c>
      <c r="Z502">
        <f>'raw data Crude oil'!Z503</f>
        <v>0</v>
      </c>
      <c r="AA502">
        <f>'raw data Crude oil'!AA503</f>
        <v>0</v>
      </c>
      <c r="AB502">
        <f>'raw data Crude oil'!AB503</f>
        <v>0</v>
      </c>
      <c r="AC502">
        <f>'raw data Crude oil'!AC503</f>
        <v>0</v>
      </c>
      <c r="AD502">
        <f>'raw data Crude oil'!AD503</f>
        <v>0</v>
      </c>
      <c r="AE502">
        <f>'raw data Crude oil'!AE503</f>
        <v>0</v>
      </c>
      <c r="AF502">
        <f>'raw data Crude oil'!AF503</f>
        <v>0</v>
      </c>
      <c r="AG502">
        <f>'raw data Crude oil'!AG503</f>
        <v>0</v>
      </c>
      <c r="AH502">
        <f>'raw data Crude oil'!AH503</f>
        <v>0</v>
      </c>
      <c r="AI502">
        <f>'raw data Crude oil'!AI503</f>
        <v>0</v>
      </c>
      <c r="AJ502">
        <f>'raw data Crude oil'!AJ503</f>
        <v>0</v>
      </c>
      <c r="AK502">
        <f>'raw data Crude oil'!AK503</f>
        <v>0</v>
      </c>
    </row>
    <row r="503" spans="1:37" x14ac:dyDescent="0.3">
      <c r="A503" s="18">
        <f>'raw data Crude oil'!A504</f>
        <v>43444</v>
      </c>
      <c r="B503">
        <f>'raw data Crude oil'!B504</f>
        <v>59.97</v>
      </c>
      <c r="C503">
        <f>'raw data Crude oil'!C504</f>
        <v>60.1</v>
      </c>
      <c r="D503">
        <f>'raw data Crude oil'!D504</f>
        <v>60.24</v>
      </c>
      <c r="E503">
        <f>'raw data Crude oil'!E504</f>
        <v>60.42</v>
      </c>
      <c r="F503">
        <f>'raw data Crude oil'!F504</f>
        <v>60.55</v>
      </c>
      <c r="G503">
        <f>'raw data Crude oil'!G504</f>
        <v>60.62</v>
      </c>
      <c r="H503">
        <f>'raw data Crude oil'!H504</f>
        <v>60.62</v>
      </c>
      <c r="I503">
        <f>'raw data Crude oil'!I504</f>
        <v>60.55</v>
      </c>
      <c r="J503">
        <f>'raw data Crude oil'!J504</f>
        <v>60.49</v>
      </c>
      <c r="K503">
        <f>'raw data Crude oil'!K504</f>
        <v>60.44</v>
      </c>
      <c r="L503">
        <f>'raw data Crude oil'!L504</f>
        <v>60.37</v>
      </c>
      <c r="M503">
        <f>'raw data Crude oil'!M504</f>
        <v>60.35</v>
      </c>
      <c r="N503">
        <f>'raw data Crude oil'!N504</f>
        <v>51</v>
      </c>
      <c r="O503">
        <f>'raw data Crude oil'!O504</f>
        <v>51.2</v>
      </c>
      <c r="P503">
        <f>'raw data Crude oil'!P504</f>
        <v>51.4</v>
      </c>
      <c r="Q503">
        <f>'raw data Crude oil'!Q504</f>
        <v>51.65</v>
      </c>
      <c r="R503">
        <f>'raw data Crude oil'!R504</f>
        <v>51.91</v>
      </c>
      <c r="S503">
        <f>'raw data Crude oil'!S504</f>
        <v>52.16</v>
      </c>
      <c r="T503">
        <f>'raw data Crude oil'!T504</f>
        <v>52.35</v>
      </c>
      <c r="U503">
        <f>'raw data Crude oil'!U504</f>
        <v>52.49</v>
      </c>
      <c r="V503">
        <f>'raw data Crude oil'!V504</f>
        <v>52.59</v>
      </c>
      <c r="W503">
        <f>'raw data Crude oil'!W504</f>
        <v>52.63</v>
      </c>
      <c r="X503">
        <f>'raw data Crude oil'!X504</f>
        <v>52.67</v>
      </c>
      <c r="Y503">
        <f>'raw data Crude oil'!Y504</f>
        <v>52.67</v>
      </c>
      <c r="Z503">
        <f>'raw data Crude oil'!Z504</f>
        <v>0</v>
      </c>
      <c r="AA503">
        <f>'raw data Crude oil'!AA504</f>
        <v>0</v>
      </c>
      <c r="AB503">
        <f>'raw data Crude oil'!AB504</f>
        <v>0</v>
      </c>
      <c r="AC503">
        <f>'raw data Crude oil'!AC504</f>
        <v>0</v>
      </c>
      <c r="AD503">
        <f>'raw data Crude oil'!AD504</f>
        <v>0</v>
      </c>
      <c r="AE503">
        <f>'raw data Crude oil'!AE504</f>
        <v>0</v>
      </c>
      <c r="AF503">
        <f>'raw data Crude oil'!AF504</f>
        <v>0</v>
      </c>
      <c r="AG503">
        <f>'raw data Crude oil'!AG504</f>
        <v>0</v>
      </c>
      <c r="AH503">
        <f>'raw data Crude oil'!AH504</f>
        <v>0</v>
      </c>
      <c r="AI503">
        <f>'raw data Crude oil'!AI504</f>
        <v>0</v>
      </c>
      <c r="AJ503">
        <f>'raw data Crude oil'!AJ504</f>
        <v>0</v>
      </c>
      <c r="AK503">
        <f>'raw data Crude oil'!AK504</f>
        <v>0</v>
      </c>
    </row>
    <row r="504" spans="1:37" x14ac:dyDescent="0.3">
      <c r="A504" s="18">
        <f>'raw data Crude oil'!A505</f>
        <v>43445</v>
      </c>
      <c r="B504">
        <f>'raw data Crude oil'!B505</f>
        <v>60.2</v>
      </c>
      <c r="C504">
        <f>'raw data Crude oil'!C505</f>
        <v>60.35</v>
      </c>
      <c r="D504">
        <f>'raw data Crude oil'!D505</f>
        <v>60.5</v>
      </c>
      <c r="E504">
        <f>'raw data Crude oil'!E505</f>
        <v>60.7</v>
      </c>
      <c r="F504">
        <f>'raw data Crude oil'!F505</f>
        <v>60.84</v>
      </c>
      <c r="G504">
        <f>'raw data Crude oil'!G505</f>
        <v>60.92</v>
      </c>
      <c r="H504">
        <f>'raw data Crude oil'!H505</f>
        <v>60.93</v>
      </c>
      <c r="I504">
        <f>'raw data Crude oil'!I505</f>
        <v>60.86</v>
      </c>
      <c r="J504">
        <f>'raw data Crude oil'!J505</f>
        <v>60.81</v>
      </c>
      <c r="K504">
        <f>'raw data Crude oil'!K505</f>
        <v>60.76</v>
      </c>
      <c r="L504">
        <f>'raw data Crude oil'!L505</f>
        <v>60.69</v>
      </c>
      <c r="M504">
        <f>'raw data Crude oil'!M505</f>
        <v>60.67</v>
      </c>
      <c r="N504">
        <f>'raw data Crude oil'!N505</f>
        <v>51.65</v>
      </c>
      <c r="O504">
        <f>'raw data Crude oil'!O505</f>
        <v>51.84</v>
      </c>
      <c r="P504">
        <f>'raw data Crude oil'!P505</f>
        <v>52.01</v>
      </c>
      <c r="Q504">
        <f>'raw data Crude oil'!Q505</f>
        <v>52.21</v>
      </c>
      <c r="R504">
        <f>'raw data Crude oil'!R505</f>
        <v>52.42</v>
      </c>
      <c r="S504">
        <f>'raw data Crude oil'!S505</f>
        <v>52.63</v>
      </c>
      <c r="T504">
        <f>'raw data Crude oil'!T505</f>
        <v>52.78</v>
      </c>
      <c r="U504">
        <f>'raw data Crude oil'!U505</f>
        <v>52.89</v>
      </c>
      <c r="V504">
        <f>'raw data Crude oil'!V505</f>
        <v>52.96</v>
      </c>
      <c r="W504">
        <f>'raw data Crude oil'!W505</f>
        <v>52.98</v>
      </c>
      <c r="X504">
        <f>'raw data Crude oil'!X505</f>
        <v>52.99</v>
      </c>
      <c r="Y504">
        <f>'raw data Crude oil'!Y505</f>
        <v>52.99</v>
      </c>
      <c r="Z504">
        <f>'raw data Crude oil'!Z505</f>
        <v>0</v>
      </c>
      <c r="AA504">
        <f>'raw data Crude oil'!AA505</f>
        <v>0</v>
      </c>
      <c r="AB504">
        <f>'raw data Crude oil'!AB505</f>
        <v>0</v>
      </c>
      <c r="AC504">
        <f>'raw data Crude oil'!AC505</f>
        <v>0</v>
      </c>
      <c r="AD504">
        <f>'raw data Crude oil'!AD505</f>
        <v>0</v>
      </c>
      <c r="AE504">
        <f>'raw data Crude oil'!AE505</f>
        <v>0</v>
      </c>
      <c r="AF504">
        <f>'raw data Crude oil'!AF505</f>
        <v>0</v>
      </c>
      <c r="AG504">
        <f>'raw data Crude oil'!AG505</f>
        <v>0</v>
      </c>
      <c r="AH504">
        <f>'raw data Crude oil'!AH505</f>
        <v>0</v>
      </c>
      <c r="AI504">
        <f>'raw data Crude oil'!AI505</f>
        <v>0</v>
      </c>
      <c r="AJ504">
        <f>'raw data Crude oil'!AJ505</f>
        <v>0</v>
      </c>
      <c r="AK504">
        <f>'raw data Crude oil'!AK505</f>
        <v>0</v>
      </c>
    </row>
    <row r="505" spans="1:37" x14ac:dyDescent="0.3">
      <c r="A505" s="18">
        <f>'raw data Crude oil'!A506</f>
        <v>43446</v>
      </c>
      <c r="B505">
        <f>'raw data Crude oil'!B506</f>
        <v>60.15</v>
      </c>
      <c r="C505">
        <f>'raw data Crude oil'!C506</f>
        <v>60.27</v>
      </c>
      <c r="D505">
        <f>'raw data Crude oil'!D506</f>
        <v>60.42</v>
      </c>
      <c r="E505">
        <f>'raw data Crude oil'!E506</f>
        <v>60.61</v>
      </c>
      <c r="F505">
        <f>'raw data Crude oil'!F506</f>
        <v>60.76</v>
      </c>
      <c r="G505">
        <f>'raw data Crude oil'!G506</f>
        <v>60.85</v>
      </c>
      <c r="H505">
        <f>'raw data Crude oil'!H506</f>
        <v>60.86</v>
      </c>
      <c r="I505">
        <f>'raw data Crude oil'!I506</f>
        <v>60.8</v>
      </c>
      <c r="J505">
        <f>'raw data Crude oil'!J506</f>
        <v>60.75</v>
      </c>
      <c r="K505">
        <f>'raw data Crude oil'!K506</f>
        <v>60.7</v>
      </c>
      <c r="L505">
        <f>'raw data Crude oil'!L506</f>
        <v>60.63</v>
      </c>
      <c r="M505">
        <f>'raw data Crude oil'!M506</f>
        <v>60.61</v>
      </c>
      <c r="N505">
        <f>'raw data Crude oil'!N506</f>
        <v>51.15</v>
      </c>
      <c r="O505">
        <f>'raw data Crude oil'!O506</f>
        <v>51.36</v>
      </c>
      <c r="P505">
        <f>'raw data Crude oil'!P506</f>
        <v>51.59</v>
      </c>
      <c r="Q505">
        <f>'raw data Crude oil'!Q506</f>
        <v>51.86</v>
      </c>
      <c r="R505">
        <f>'raw data Crude oil'!R506</f>
        <v>52.14</v>
      </c>
      <c r="S505">
        <f>'raw data Crude oil'!S506</f>
        <v>52.4</v>
      </c>
      <c r="T505">
        <f>'raw data Crude oil'!T506</f>
        <v>52.61</v>
      </c>
      <c r="U505">
        <f>'raw data Crude oil'!U506</f>
        <v>52.76</v>
      </c>
      <c r="V505">
        <f>'raw data Crude oil'!V506</f>
        <v>52.87</v>
      </c>
      <c r="W505">
        <f>'raw data Crude oil'!W506</f>
        <v>52.93</v>
      </c>
      <c r="X505">
        <f>'raw data Crude oil'!X506</f>
        <v>52.98</v>
      </c>
      <c r="Y505">
        <f>'raw data Crude oil'!Y506</f>
        <v>53</v>
      </c>
      <c r="Z505">
        <f>'raw data Crude oil'!Z506</f>
        <v>0</v>
      </c>
      <c r="AA505">
        <f>'raw data Crude oil'!AA506</f>
        <v>0</v>
      </c>
      <c r="AB505">
        <f>'raw data Crude oil'!AB506</f>
        <v>0</v>
      </c>
      <c r="AC505">
        <f>'raw data Crude oil'!AC506</f>
        <v>0</v>
      </c>
      <c r="AD505">
        <f>'raw data Crude oil'!AD506</f>
        <v>0</v>
      </c>
      <c r="AE505">
        <f>'raw data Crude oil'!AE506</f>
        <v>0</v>
      </c>
      <c r="AF505">
        <f>'raw data Crude oil'!AF506</f>
        <v>0</v>
      </c>
      <c r="AG505">
        <f>'raw data Crude oil'!AG506</f>
        <v>0</v>
      </c>
      <c r="AH505">
        <f>'raw data Crude oil'!AH506</f>
        <v>0</v>
      </c>
      <c r="AI505">
        <f>'raw data Crude oil'!AI506</f>
        <v>0</v>
      </c>
      <c r="AJ505">
        <f>'raw data Crude oil'!AJ506</f>
        <v>0</v>
      </c>
      <c r="AK505">
        <f>'raw data Crude oil'!AK506</f>
        <v>0</v>
      </c>
    </row>
    <row r="506" spans="1:37" x14ac:dyDescent="0.3">
      <c r="A506" s="18">
        <f>'raw data Crude oil'!A507</f>
        <v>43447</v>
      </c>
      <c r="B506">
        <f>'raw data Crude oil'!B507</f>
        <v>61.45</v>
      </c>
      <c r="C506">
        <f>'raw data Crude oil'!C507</f>
        <v>61.58</v>
      </c>
      <c r="D506">
        <f>'raw data Crude oil'!D507</f>
        <v>61.74</v>
      </c>
      <c r="E506">
        <f>'raw data Crude oil'!E507</f>
        <v>61.94</v>
      </c>
      <c r="F506">
        <f>'raw data Crude oil'!F507</f>
        <v>62.1</v>
      </c>
      <c r="G506">
        <f>'raw data Crude oil'!G507</f>
        <v>62.2</v>
      </c>
      <c r="H506">
        <f>'raw data Crude oil'!H507</f>
        <v>62.21</v>
      </c>
      <c r="I506">
        <f>'raw data Crude oil'!I507</f>
        <v>62.14</v>
      </c>
      <c r="J506">
        <f>'raw data Crude oil'!J507</f>
        <v>62.07</v>
      </c>
      <c r="K506">
        <f>'raw data Crude oil'!K507</f>
        <v>62.02</v>
      </c>
      <c r="L506">
        <f>'raw data Crude oil'!L507</f>
        <v>61.94</v>
      </c>
      <c r="M506">
        <f>'raw data Crude oil'!M507</f>
        <v>61.9</v>
      </c>
      <c r="N506">
        <f>'raw data Crude oil'!N507</f>
        <v>52.58</v>
      </c>
      <c r="O506">
        <f>'raw data Crude oil'!O507</f>
        <v>52.83</v>
      </c>
      <c r="P506">
        <f>'raw data Crude oil'!P507</f>
        <v>53.07</v>
      </c>
      <c r="Q506">
        <f>'raw data Crude oil'!Q507</f>
        <v>53.33</v>
      </c>
      <c r="R506">
        <f>'raw data Crude oil'!R507</f>
        <v>53.62</v>
      </c>
      <c r="S506">
        <f>'raw data Crude oil'!S507</f>
        <v>53.88</v>
      </c>
      <c r="T506">
        <f>'raw data Crude oil'!T507</f>
        <v>54.08</v>
      </c>
      <c r="U506">
        <f>'raw data Crude oil'!U507</f>
        <v>54.22</v>
      </c>
      <c r="V506">
        <f>'raw data Crude oil'!V507</f>
        <v>54.31</v>
      </c>
      <c r="W506">
        <f>'raw data Crude oil'!W507</f>
        <v>54.34</v>
      </c>
      <c r="X506">
        <f>'raw data Crude oil'!X507</f>
        <v>54.36</v>
      </c>
      <c r="Y506">
        <f>'raw data Crude oil'!Y507</f>
        <v>54.36</v>
      </c>
      <c r="Z506">
        <f>'raw data Crude oil'!Z507</f>
        <v>0</v>
      </c>
      <c r="AA506">
        <f>'raw data Crude oil'!AA507</f>
        <v>0</v>
      </c>
      <c r="AB506">
        <f>'raw data Crude oil'!AB507</f>
        <v>0</v>
      </c>
      <c r="AC506">
        <f>'raw data Crude oil'!AC507</f>
        <v>0</v>
      </c>
      <c r="AD506">
        <f>'raw data Crude oil'!AD507</f>
        <v>0</v>
      </c>
      <c r="AE506">
        <f>'raw data Crude oil'!AE507</f>
        <v>0</v>
      </c>
      <c r="AF506">
        <f>'raw data Crude oil'!AF507</f>
        <v>0</v>
      </c>
      <c r="AG506">
        <f>'raw data Crude oil'!AG507</f>
        <v>0</v>
      </c>
      <c r="AH506">
        <f>'raw data Crude oil'!AH507</f>
        <v>0</v>
      </c>
      <c r="AI506">
        <f>'raw data Crude oil'!AI507</f>
        <v>0</v>
      </c>
      <c r="AJ506">
        <f>'raw data Crude oil'!AJ507</f>
        <v>0</v>
      </c>
      <c r="AK506">
        <f>'raw data Crude oil'!AK507</f>
        <v>0</v>
      </c>
    </row>
    <row r="507" spans="1:37" x14ac:dyDescent="0.3">
      <c r="A507" s="18">
        <f>'raw data Crude oil'!A508</f>
        <v>43448</v>
      </c>
      <c r="B507">
        <f>'raw data Crude oil'!B508</f>
        <v>60.28</v>
      </c>
      <c r="C507">
        <f>'raw data Crude oil'!C508</f>
        <v>60.4</v>
      </c>
      <c r="D507">
        <f>'raw data Crude oil'!D508</f>
        <v>60.56</v>
      </c>
      <c r="E507">
        <f>'raw data Crude oil'!E508</f>
        <v>60.79</v>
      </c>
      <c r="F507">
        <f>'raw data Crude oil'!F508</f>
        <v>60.98</v>
      </c>
      <c r="G507">
        <f>'raw data Crude oil'!G508</f>
        <v>61.11</v>
      </c>
      <c r="H507">
        <f>'raw data Crude oil'!H508</f>
        <v>61.14</v>
      </c>
      <c r="I507">
        <f>'raw data Crude oil'!I508</f>
        <v>61.09</v>
      </c>
      <c r="J507">
        <f>'raw data Crude oil'!J508</f>
        <v>61.04</v>
      </c>
      <c r="K507">
        <f>'raw data Crude oil'!K508</f>
        <v>61</v>
      </c>
      <c r="L507">
        <f>'raw data Crude oil'!L508</f>
        <v>60.95</v>
      </c>
      <c r="M507">
        <f>'raw data Crude oil'!M508</f>
        <v>60.93</v>
      </c>
      <c r="N507">
        <f>'raw data Crude oil'!N508</f>
        <v>51.2</v>
      </c>
      <c r="O507">
        <f>'raw data Crude oil'!O508</f>
        <v>51.47</v>
      </c>
      <c r="P507">
        <f>'raw data Crude oil'!P508</f>
        <v>51.76</v>
      </c>
      <c r="Q507">
        <f>'raw data Crude oil'!Q508</f>
        <v>52.06</v>
      </c>
      <c r="R507">
        <f>'raw data Crude oil'!R508</f>
        <v>52.39</v>
      </c>
      <c r="S507">
        <f>'raw data Crude oil'!S508</f>
        <v>52.68</v>
      </c>
      <c r="T507">
        <f>'raw data Crude oil'!T508</f>
        <v>52.92</v>
      </c>
      <c r="U507">
        <f>'raw data Crude oil'!U508</f>
        <v>53.1</v>
      </c>
      <c r="V507">
        <f>'raw data Crude oil'!V508</f>
        <v>53.22</v>
      </c>
      <c r="W507">
        <f>'raw data Crude oil'!W508</f>
        <v>53.29</v>
      </c>
      <c r="X507">
        <f>'raw data Crude oil'!X508</f>
        <v>53.33</v>
      </c>
      <c r="Y507">
        <f>'raw data Crude oil'!Y508</f>
        <v>53.35</v>
      </c>
      <c r="Z507">
        <f>'raw data Crude oil'!Z508</f>
        <v>0</v>
      </c>
      <c r="AA507">
        <f>'raw data Crude oil'!AA508</f>
        <v>0</v>
      </c>
      <c r="AB507">
        <f>'raw data Crude oil'!AB508</f>
        <v>0</v>
      </c>
      <c r="AC507">
        <f>'raw data Crude oil'!AC508</f>
        <v>0</v>
      </c>
      <c r="AD507">
        <f>'raw data Crude oil'!AD508</f>
        <v>0</v>
      </c>
      <c r="AE507">
        <f>'raw data Crude oil'!AE508</f>
        <v>0</v>
      </c>
      <c r="AF507">
        <f>'raw data Crude oil'!AF508</f>
        <v>0</v>
      </c>
      <c r="AG507">
        <f>'raw data Crude oil'!AG508</f>
        <v>0</v>
      </c>
      <c r="AH507">
        <f>'raw data Crude oil'!AH508</f>
        <v>0</v>
      </c>
      <c r="AI507">
        <f>'raw data Crude oil'!AI508</f>
        <v>0</v>
      </c>
      <c r="AJ507">
        <f>'raw data Crude oil'!AJ508</f>
        <v>0</v>
      </c>
      <c r="AK507">
        <f>'raw data Crude oil'!AK508</f>
        <v>0</v>
      </c>
    </row>
    <row r="508" spans="1:37" x14ac:dyDescent="0.3">
      <c r="A508" s="18">
        <f>'raw data Crude oil'!A509</f>
        <v>43451</v>
      </c>
      <c r="B508">
        <f>'raw data Crude oil'!B509</f>
        <v>59.61</v>
      </c>
      <c r="C508">
        <f>'raw data Crude oil'!C509</f>
        <v>59.66</v>
      </c>
      <c r="D508">
        <f>'raw data Crude oil'!D509</f>
        <v>59.8</v>
      </c>
      <c r="E508">
        <f>'raw data Crude oil'!E509</f>
        <v>60.05</v>
      </c>
      <c r="F508">
        <f>'raw data Crude oil'!F509</f>
        <v>60.27</v>
      </c>
      <c r="G508">
        <f>'raw data Crude oil'!G509</f>
        <v>60.42</v>
      </c>
      <c r="H508">
        <f>'raw data Crude oil'!H509</f>
        <v>60.48</v>
      </c>
      <c r="I508">
        <f>'raw data Crude oil'!I509</f>
        <v>60.46</v>
      </c>
      <c r="J508">
        <f>'raw data Crude oil'!J509</f>
        <v>60.43</v>
      </c>
      <c r="K508">
        <f>'raw data Crude oil'!K509</f>
        <v>60.42</v>
      </c>
      <c r="L508">
        <f>'raw data Crude oil'!L509</f>
        <v>60.4</v>
      </c>
      <c r="M508">
        <f>'raw data Crude oil'!M509</f>
        <v>60.41</v>
      </c>
      <c r="N508">
        <f>'raw data Crude oil'!N509</f>
        <v>49.88</v>
      </c>
      <c r="O508">
        <f>'raw data Crude oil'!O509</f>
        <v>50.2</v>
      </c>
      <c r="P508">
        <f>'raw data Crude oil'!P509</f>
        <v>50.55</v>
      </c>
      <c r="Q508">
        <f>'raw data Crude oil'!Q509</f>
        <v>50.91</v>
      </c>
      <c r="R508">
        <f>'raw data Crude oil'!R509</f>
        <v>51.29</v>
      </c>
      <c r="S508">
        <f>'raw data Crude oil'!S509</f>
        <v>51.65</v>
      </c>
      <c r="T508">
        <f>'raw data Crude oil'!T509</f>
        <v>51.96</v>
      </c>
      <c r="U508">
        <f>'raw data Crude oil'!U509</f>
        <v>52.21</v>
      </c>
      <c r="V508">
        <f>'raw data Crude oil'!V509</f>
        <v>52.39</v>
      </c>
      <c r="W508">
        <f>'raw data Crude oil'!W509</f>
        <v>52.49</v>
      </c>
      <c r="X508">
        <f>'raw data Crude oil'!X509</f>
        <v>52.59</v>
      </c>
      <c r="Y508">
        <f>'raw data Crude oil'!Y509</f>
        <v>52.64</v>
      </c>
      <c r="Z508">
        <f>'raw data Crude oil'!Z509</f>
        <v>0</v>
      </c>
      <c r="AA508">
        <f>'raw data Crude oil'!AA509</f>
        <v>0</v>
      </c>
      <c r="AB508">
        <f>'raw data Crude oil'!AB509</f>
        <v>0</v>
      </c>
      <c r="AC508">
        <f>'raw data Crude oil'!AC509</f>
        <v>0</v>
      </c>
      <c r="AD508">
        <f>'raw data Crude oil'!AD509</f>
        <v>0</v>
      </c>
      <c r="AE508">
        <f>'raw data Crude oil'!AE509</f>
        <v>0</v>
      </c>
      <c r="AF508">
        <f>'raw data Crude oil'!AF509</f>
        <v>0</v>
      </c>
      <c r="AG508">
        <f>'raw data Crude oil'!AG509</f>
        <v>0</v>
      </c>
      <c r="AH508">
        <f>'raw data Crude oil'!AH509</f>
        <v>0</v>
      </c>
      <c r="AI508">
        <f>'raw data Crude oil'!AI509</f>
        <v>0</v>
      </c>
      <c r="AJ508">
        <f>'raw data Crude oil'!AJ509</f>
        <v>0</v>
      </c>
      <c r="AK508">
        <f>'raw data Crude oil'!AK509</f>
        <v>0</v>
      </c>
    </row>
    <row r="509" spans="1:37" x14ac:dyDescent="0.3">
      <c r="A509" s="18">
        <f>'raw data Crude oil'!A510</f>
        <v>43452</v>
      </c>
      <c r="B509">
        <f>'raw data Crude oil'!B510</f>
        <v>56.26</v>
      </c>
      <c r="C509">
        <f>'raw data Crude oil'!C510</f>
        <v>56.23</v>
      </c>
      <c r="D509">
        <f>'raw data Crude oil'!D510</f>
        <v>56.38</v>
      </c>
      <c r="E509">
        <f>'raw data Crude oil'!E510</f>
        <v>56.63</v>
      </c>
      <c r="F509">
        <f>'raw data Crude oil'!F510</f>
        <v>56.85</v>
      </c>
      <c r="G509">
        <f>'raw data Crude oil'!G510</f>
        <v>57.01</v>
      </c>
      <c r="H509">
        <f>'raw data Crude oil'!H510</f>
        <v>57.08</v>
      </c>
      <c r="I509">
        <f>'raw data Crude oil'!I510</f>
        <v>57.08</v>
      </c>
      <c r="J509">
        <f>'raw data Crude oil'!J510</f>
        <v>57.09</v>
      </c>
      <c r="K509">
        <f>'raw data Crude oil'!K510</f>
        <v>57.11</v>
      </c>
      <c r="L509">
        <f>'raw data Crude oil'!L510</f>
        <v>57.13</v>
      </c>
      <c r="M509">
        <f>'raw data Crude oil'!M510</f>
        <v>57.18</v>
      </c>
      <c r="N509">
        <f>'raw data Crude oil'!N510</f>
        <v>46.24</v>
      </c>
      <c r="O509">
        <f>'raw data Crude oil'!O510</f>
        <v>46.6</v>
      </c>
      <c r="P509">
        <f>'raw data Crude oil'!P510</f>
        <v>46.94</v>
      </c>
      <c r="Q509">
        <f>'raw data Crude oil'!Q510</f>
        <v>47.3</v>
      </c>
      <c r="R509">
        <f>'raw data Crude oil'!R510</f>
        <v>47.69</v>
      </c>
      <c r="S509">
        <f>'raw data Crude oil'!S510</f>
        <v>48.06</v>
      </c>
      <c r="T509">
        <f>'raw data Crude oil'!T510</f>
        <v>48.38</v>
      </c>
      <c r="U509">
        <f>'raw data Crude oil'!U510</f>
        <v>48.65</v>
      </c>
      <c r="V509">
        <f>'raw data Crude oil'!V510</f>
        <v>48.87</v>
      </c>
      <c r="W509">
        <f>'raw data Crude oil'!W510</f>
        <v>49.04</v>
      </c>
      <c r="X509">
        <f>'raw data Crude oil'!X510</f>
        <v>49.16</v>
      </c>
      <c r="Y509">
        <f>'raw data Crude oil'!Y510</f>
        <v>49.28</v>
      </c>
      <c r="Z509">
        <f>'raw data Crude oil'!Z510</f>
        <v>0</v>
      </c>
      <c r="AA509">
        <f>'raw data Crude oil'!AA510</f>
        <v>0</v>
      </c>
      <c r="AB509">
        <f>'raw data Crude oil'!AB510</f>
        <v>0</v>
      </c>
      <c r="AC509">
        <f>'raw data Crude oil'!AC510</f>
        <v>0</v>
      </c>
      <c r="AD509">
        <f>'raw data Crude oil'!AD510</f>
        <v>0</v>
      </c>
      <c r="AE509">
        <f>'raw data Crude oil'!AE510</f>
        <v>0</v>
      </c>
      <c r="AF509">
        <f>'raw data Crude oil'!AF510</f>
        <v>0</v>
      </c>
      <c r="AG509">
        <f>'raw data Crude oil'!AG510</f>
        <v>0</v>
      </c>
      <c r="AH509">
        <f>'raw data Crude oil'!AH510</f>
        <v>0</v>
      </c>
      <c r="AI509">
        <f>'raw data Crude oil'!AI510</f>
        <v>0</v>
      </c>
      <c r="AJ509">
        <f>'raw data Crude oil'!AJ510</f>
        <v>0</v>
      </c>
      <c r="AK509">
        <f>'raw data Crude oil'!AK510</f>
        <v>0</v>
      </c>
    </row>
    <row r="510" spans="1:37" x14ac:dyDescent="0.3">
      <c r="A510" s="18">
        <f>'raw data Crude oil'!A511</f>
        <v>43453</v>
      </c>
      <c r="B510">
        <f>'raw data Crude oil'!B511</f>
        <v>57.24</v>
      </c>
      <c r="C510">
        <f>'raw data Crude oil'!C511</f>
        <v>57.45</v>
      </c>
      <c r="D510">
        <f>'raw data Crude oil'!D511</f>
        <v>57.63</v>
      </c>
      <c r="E510">
        <f>'raw data Crude oil'!E511</f>
        <v>57.87</v>
      </c>
      <c r="F510">
        <f>'raw data Crude oil'!F511</f>
        <v>58.09</v>
      </c>
      <c r="G510">
        <f>'raw data Crude oil'!G511</f>
        <v>58.25</v>
      </c>
      <c r="H510">
        <f>'raw data Crude oil'!H511</f>
        <v>58.32</v>
      </c>
      <c r="I510">
        <f>'raw data Crude oil'!I511</f>
        <v>58.31</v>
      </c>
      <c r="J510">
        <f>'raw data Crude oil'!J511</f>
        <v>58.31</v>
      </c>
      <c r="K510">
        <f>'raw data Crude oil'!K511</f>
        <v>58.34</v>
      </c>
      <c r="L510">
        <f>'raw data Crude oil'!L511</f>
        <v>58.34</v>
      </c>
      <c r="M510">
        <f>'raw data Crude oil'!M511</f>
        <v>58.38</v>
      </c>
      <c r="N510">
        <f>'raw data Crude oil'!N511</f>
        <v>47.2</v>
      </c>
      <c r="O510">
        <f>'raw data Crude oil'!O511</f>
        <v>48.17</v>
      </c>
      <c r="P510">
        <f>'raw data Crude oil'!P511</f>
        <v>48.49</v>
      </c>
      <c r="Q510">
        <f>'raw data Crude oil'!Q511</f>
        <v>48.83</v>
      </c>
      <c r="R510">
        <f>'raw data Crude oil'!R511</f>
        <v>49.2</v>
      </c>
      <c r="S510">
        <f>'raw data Crude oil'!S511</f>
        <v>49.55</v>
      </c>
      <c r="T510">
        <f>'raw data Crude oil'!T511</f>
        <v>49.85</v>
      </c>
      <c r="U510">
        <f>'raw data Crude oil'!U511</f>
        <v>50.09</v>
      </c>
      <c r="V510">
        <f>'raw data Crude oil'!V511</f>
        <v>50.27</v>
      </c>
      <c r="W510">
        <f>'raw data Crude oil'!W511</f>
        <v>50.42</v>
      </c>
      <c r="X510">
        <f>'raw data Crude oil'!X511</f>
        <v>50.56</v>
      </c>
      <c r="Y510">
        <f>'raw data Crude oil'!Y511</f>
        <v>50.65</v>
      </c>
      <c r="Z510">
        <f>'raw data Crude oil'!Z511</f>
        <v>0</v>
      </c>
      <c r="AA510">
        <f>'raw data Crude oil'!AA511</f>
        <v>0</v>
      </c>
      <c r="AB510">
        <f>'raw data Crude oil'!AB511</f>
        <v>0</v>
      </c>
      <c r="AC510">
        <f>'raw data Crude oil'!AC511</f>
        <v>0</v>
      </c>
      <c r="AD510">
        <f>'raw data Crude oil'!AD511</f>
        <v>0</v>
      </c>
      <c r="AE510">
        <f>'raw data Crude oil'!AE511</f>
        <v>0</v>
      </c>
      <c r="AF510">
        <f>'raw data Crude oil'!AF511</f>
        <v>0</v>
      </c>
      <c r="AG510">
        <f>'raw data Crude oil'!AG511</f>
        <v>0</v>
      </c>
      <c r="AH510">
        <f>'raw data Crude oil'!AH511</f>
        <v>0</v>
      </c>
      <c r="AI510">
        <f>'raw data Crude oil'!AI511</f>
        <v>0</v>
      </c>
      <c r="AJ510">
        <f>'raw data Crude oil'!AJ511</f>
        <v>0</v>
      </c>
      <c r="AK510">
        <f>'raw data Crude oil'!AK511</f>
        <v>0</v>
      </c>
    </row>
    <row r="511" spans="1:37" x14ac:dyDescent="0.3">
      <c r="A511" s="18">
        <f>'raw data Crude oil'!A512</f>
        <v>43454</v>
      </c>
      <c r="B511">
        <f>'raw data Crude oil'!B512</f>
        <v>54.35</v>
      </c>
      <c r="C511">
        <f>'raw data Crude oil'!C512</f>
        <v>54.65</v>
      </c>
      <c r="D511">
        <f>'raw data Crude oil'!D512</f>
        <v>54.89</v>
      </c>
      <c r="E511">
        <f>'raw data Crude oil'!E512</f>
        <v>55.17</v>
      </c>
      <c r="F511">
        <f>'raw data Crude oil'!F512</f>
        <v>55.42</v>
      </c>
      <c r="G511">
        <f>'raw data Crude oil'!G512</f>
        <v>55.63</v>
      </c>
      <c r="H511">
        <f>'raw data Crude oil'!H512</f>
        <v>55.75</v>
      </c>
      <c r="I511">
        <f>'raw data Crude oil'!I512</f>
        <v>55.79</v>
      </c>
      <c r="J511">
        <f>'raw data Crude oil'!J512</f>
        <v>55.84</v>
      </c>
      <c r="K511">
        <f>'raw data Crude oil'!K512</f>
        <v>55.91</v>
      </c>
      <c r="L511">
        <f>'raw data Crude oil'!L512</f>
        <v>55.97</v>
      </c>
      <c r="M511">
        <f>'raw data Crude oil'!M512</f>
        <v>56.06</v>
      </c>
      <c r="N511">
        <f>'raw data Crude oil'!N512</f>
        <v>45.88</v>
      </c>
      <c r="O511">
        <f>'raw data Crude oil'!O512</f>
        <v>46.19</v>
      </c>
      <c r="P511">
        <f>'raw data Crude oil'!P512</f>
        <v>46.52</v>
      </c>
      <c r="Q511">
        <f>'raw data Crude oil'!Q512</f>
        <v>46.88</v>
      </c>
      <c r="R511">
        <f>'raw data Crude oil'!R512</f>
        <v>47.24</v>
      </c>
      <c r="S511">
        <f>'raw data Crude oil'!S512</f>
        <v>47.55</v>
      </c>
      <c r="T511">
        <f>'raw data Crude oil'!T512</f>
        <v>47.81</v>
      </c>
      <c r="U511">
        <f>'raw data Crude oil'!U512</f>
        <v>48.03</v>
      </c>
      <c r="V511">
        <f>'raw data Crude oil'!V512</f>
        <v>48.22</v>
      </c>
      <c r="W511">
        <f>'raw data Crude oil'!W512</f>
        <v>48.39</v>
      </c>
      <c r="X511">
        <f>'raw data Crude oil'!X512</f>
        <v>48.54</v>
      </c>
      <c r="Y511">
        <f>'raw data Crude oil'!Y512</f>
        <v>48.66</v>
      </c>
      <c r="Z511">
        <f>'raw data Crude oil'!Z512</f>
        <v>0</v>
      </c>
      <c r="AA511">
        <f>'raw data Crude oil'!AA512</f>
        <v>0</v>
      </c>
      <c r="AB511">
        <f>'raw data Crude oil'!AB512</f>
        <v>0</v>
      </c>
      <c r="AC511">
        <f>'raw data Crude oil'!AC512</f>
        <v>0</v>
      </c>
      <c r="AD511">
        <f>'raw data Crude oil'!AD512</f>
        <v>0</v>
      </c>
      <c r="AE511">
        <f>'raw data Crude oil'!AE512</f>
        <v>0</v>
      </c>
      <c r="AF511">
        <f>'raw data Crude oil'!AF512</f>
        <v>0</v>
      </c>
      <c r="AG511">
        <f>'raw data Crude oil'!AG512</f>
        <v>0</v>
      </c>
      <c r="AH511">
        <f>'raw data Crude oil'!AH512</f>
        <v>0</v>
      </c>
      <c r="AI511">
        <f>'raw data Crude oil'!AI512</f>
        <v>0</v>
      </c>
      <c r="AJ511">
        <f>'raw data Crude oil'!AJ512</f>
        <v>0</v>
      </c>
      <c r="AK511">
        <f>'raw data Crude oil'!AK512</f>
        <v>0</v>
      </c>
    </row>
    <row r="512" spans="1:37" x14ac:dyDescent="0.3">
      <c r="A512" s="18">
        <f>'raw data Crude oil'!A513</f>
        <v>43455</v>
      </c>
      <c r="B512">
        <f>'raw data Crude oil'!B513</f>
        <v>53.82</v>
      </c>
      <c r="C512">
        <f>'raw data Crude oil'!C513</f>
        <v>54.1</v>
      </c>
      <c r="D512">
        <f>'raw data Crude oil'!D513</f>
        <v>54.3</v>
      </c>
      <c r="E512">
        <f>'raw data Crude oil'!E513</f>
        <v>54.57</v>
      </c>
      <c r="F512">
        <f>'raw data Crude oil'!F513</f>
        <v>54.81</v>
      </c>
      <c r="G512">
        <f>'raw data Crude oil'!G513</f>
        <v>55.01</v>
      </c>
      <c r="H512">
        <f>'raw data Crude oil'!H513</f>
        <v>55.13</v>
      </c>
      <c r="I512">
        <f>'raw data Crude oil'!I513</f>
        <v>55.16</v>
      </c>
      <c r="J512">
        <f>'raw data Crude oil'!J513</f>
        <v>55.22</v>
      </c>
      <c r="K512">
        <f>'raw data Crude oil'!K513</f>
        <v>55.29</v>
      </c>
      <c r="L512">
        <f>'raw data Crude oil'!L513</f>
        <v>55.35</v>
      </c>
      <c r="M512">
        <f>'raw data Crude oil'!M513</f>
        <v>55.44</v>
      </c>
      <c r="N512">
        <f>'raw data Crude oil'!N513</f>
        <v>45.59</v>
      </c>
      <c r="O512">
        <f>'raw data Crude oil'!O513</f>
        <v>45.89</v>
      </c>
      <c r="P512">
        <f>'raw data Crude oil'!P513</f>
        <v>46.23</v>
      </c>
      <c r="Q512">
        <f>'raw data Crude oil'!Q513</f>
        <v>46.61</v>
      </c>
      <c r="R512">
        <f>'raw data Crude oil'!R513</f>
        <v>46.98</v>
      </c>
      <c r="S512">
        <f>'raw data Crude oil'!S513</f>
        <v>47.28</v>
      </c>
      <c r="T512">
        <f>'raw data Crude oil'!T513</f>
        <v>47.52</v>
      </c>
      <c r="U512">
        <f>'raw data Crude oil'!U513</f>
        <v>47.71</v>
      </c>
      <c r="V512">
        <f>'raw data Crude oil'!V513</f>
        <v>47.87</v>
      </c>
      <c r="W512">
        <f>'raw data Crude oil'!W513</f>
        <v>48.01</v>
      </c>
      <c r="X512">
        <f>'raw data Crude oil'!X513</f>
        <v>48.15</v>
      </c>
      <c r="Y512">
        <f>'raw data Crude oil'!Y513</f>
        <v>48.24</v>
      </c>
      <c r="Z512">
        <f>'raw data Crude oil'!Z513</f>
        <v>0</v>
      </c>
      <c r="AA512">
        <f>'raw data Crude oil'!AA513</f>
        <v>0</v>
      </c>
      <c r="AB512">
        <f>'raw data Crude oil'!AB513</f>
        <v>0</v>
      </c>
      <c r="AC512">
        <f>'raw data Crude oil'!AC513</f>
        <v>0</v>
      </c>
      <c r="AD512">
        <f>'raw data Crude oil'!AD513</f>
        <v>0</v>
      </c>
      <c r="AE512">
        <f>'raw data Crude oil'!AE513</f>
        <v>0</v>
      </c>
      <c r="AF512">
        <f>'raw data Crude oil'!AF513</f>
        <v>0</v>
      </c>
      <c r="AG512">
        <f>'raw data Crude oil'!AG513</f>
        <v>0</v>
      </c>
      <c r="AH512">
        <f>'raw data Crude oil'!AH513</f>
        <v>0</v>
      </c>
      <c r="AI512">
        <f>'raw data Crude oil'!AI513</f>
        <v>0</v>
      </c>
      <c r="AJ512">
        <f>'raw data Crude oil'!AJ513</f>
        <v>0</v>
      </c>
      <c r="AK512">
        <f>'raw data Crude oil'!AK513</f>
        <v>0</v>
      </c>
    </row>
    <row r="513" spans="1:37" x14ac:dyDescent="0.3">
      <c r="A513" s="18">
        <f>'raw data Crude oil'!A514</f>
        <v>43458</v>
      </c>
      <c r="B513">
        <f>'raw data Crude oil'!B514</f>
        <v>50.47</v>
      </c>
      <c r="C513">
        <f>'raw data Crude oil'!C514</f>
        <v>50.77</v>
      </c>
      <c r="D513">
        <f>'raw data Crude oil'!D514</f>
        <v>51.02</v>
      </c>
      <c r="E513">
        <f>'raw data Crude oil'!E514</f>
        <v>51.31</v>
      </c>
      <c r="F513">
        <f>'raw data Crude oil'!F514</f>
        <v>51.57</v>
      </c>
      <c r="G513">
        <f>'raw data Crude oil'!G514</f>
        <v>51.78</v>
      </c>
      <c r="H513">
        <f>'raw data Crude oil'!H514</f>
        <v>51.9</v>
      </c>
      <c r="I513">
        <f>'raw data Crude oil'!I514</f>
        <v>51.95</v>
      </c>
      <c r="J513">
        <f>'raw data Crude oil'!J514</f>
        <v>52.04</v>
      </c>
      <c r="K513">
        <f>'raw data Crude oil'!K514</f>
        <v>52.14</v>
      </c>
      <c r="L513">
        <f>'raw data Crude oil'!L514</f>
        <v>52.24</v>
      </c>
      <c r="M513">
        <f>'raw data Crude oil'!M514</f>
        <v>52.38</v>
      </c>
      <c r="N513">
        <f>'raw data Crude oil'!N514</f>
        <v>42.53</v>
      </c>
      <c r="O513">
        <f>'raw data Crude oil'!O514</f>
        <v>42.82</v>
      </c>
      <c r="P513">
        <f>'raw data Crude oil'!P514</f>
        <v>43.16</v>
      </c>
      <c r="Q513">
        <f>'raw data Crude oil'!Q514</f>
        <v>43.55</v>
      </c>
      <c r="R513">
        <f>'raw data Crude oil'!R514</f>
        <v>43.94</v>
      </c>
      <c r="S513">
        <f>'raw data Crude oil'!S514</f>
        <v>44.27</v>
      </c>
      <c r="T513">
        <f>'raw data Crude oil'!T514</f>
        <v>44.54</v>
      </c>
      <c r="U513">
        <f>'raw data Crude oil'!U514</f>
        <v>44.75</v>
      </c>
      <c r="V513">
        <f>'raw data Crude oil'!V514</f>
        <v>44.93</v>
      </c>
      <c r="W513">
        <f>'raw data Crude oil'!W514</f>
        <v>45.12</v>
      </c>
      <c r="X513">
        <f>'raw data Crude oil'!X514</f>
        <v>45.3</v>
      </c>
      <c r="Y513">
        <f>'raw data Crude oil'!Y514</f>
        <v>45.44</v>
      </c>
      <c r="Z513">
        <f>'raw data Crude oil'!Z514</f>
        <v>0</v>
      </c>
      <c r="AA513">
        <f>'raw data Crude oil'!AA514</f>
        <v>0</v>
      </c>
      <c r="AB513">
        <f>'raw data Crude oil'!AB514</f>
        <v>0</v>
      </c>
      <c r="AC513">
        <f>'raw data Crude oil'!AC514</f>
        <v>0</v>
      </c>
      <c r="AD513">
        <f>'raw data Crude oil'!AD514</f>
        <v>0</v>
      </c>
      <c r="AE513">
        <f>'raw data Crude oil'!AE514</f>
        <v>0</v>
      </c>
      <c r="AF513">
        <f>'raw data Crude oil'!AF514</f>
        <v>0</v>
      </c>
      <c r="AG513">
        <f>'raw data Crude oil'!AG514</f>
        <v>0</v>
      </c>
      <c r="AH513">
        <f>'raw data Crude oil'!AH514</f>
        <v>0</v>
      </c>
      <c r="AI513">
        <f>'raw data Crude oil'!AI514</f>
        <v>0</v>
      </c>
      <c r="AJ513">
        <f>'raw data Crude oil'!AJ514</f>
        <v>0</v>
      </c>
      <c r="AK513">
        <f>'raw data Crude oil'!AK514</f>
        <v>0</v>
      </c>
    </row>
    <row r="514" spans="1:37" x14ac:dyDescent="0.3">
      <c r="A514" s="18">
        <f>'raw data Crude oil'!A515</f>
        <v>43460</v>
      </c>
      <c r="B514">
        <f>'raw data Crude oil'!B515</f>
        <v>54.47</v>
      </c>
      <c r="C514">
        <f>'raw data Crude oil'!C515</f>
        <v>54.76</v>
      </c>
      <c r="D514">
        <f>'raw data Crude oil'!D515</f>
        <v>54.98</v>
      </c>
      <c r="E514">
        <f>'raw data Crude oil'!E515</f>
        <v>55.24</v>
      </c>
      <c r="F514">
        <f>'raw data Crude oil'!F515</f>
        <v>55.46</v>
      </c>
      <c r="G514">
        <f>'raw data Crude oil'!G515</f>
        <v>55.64</v>
      </c>
      <c r="H514">
        <f>'raw data Crude oil'!H515</f>
        <v>55.73</v>
      </c>
      <c r="I514">
        <f>'raw data Crude oil'!I515</f>
        <v>55.75</v>
      </c>
      <c r="J514">
        <f>'raw data Crude oil'!J515</f>
        <v>55.79</v>
      </c>
      <c r="K514">
        <f>'raw data Crude oil'!K515</f>
        <v>55.87</v>
      </c>
      <c r="L514">
        <f>'raw data Crude oil'!L515</f>
        <v>55.93</v>
      </c>
      <c r="M514">
        <f>'raw data Crude oil'!M515</f>
        <v>56.03</v>
      </c>
      <c r="N514">
        <f>'raw data Crude oil'!N515</f>
        <v>46.22</v>
      </c>
      <c r="O514">
        <f>'raw data Crude oil'!O515</f>
        <v>46.54</v>
      </c>
      <c r="P514">
        <f>'raw data Crude oil'!P515</f>
        <v>46.88</v>
      </c>
      <c r="Q514">
        <f>'raw data Crude oil'!Q515</f>
        <v>47.26</v>
      </c>
      <c r="R514">
        <f>'raw data Crude oil'!R515</f>
        <v>47.64</v>
      </c>
      <c r="S514">
        <f>'raw data Crude oil'!S515</f>
        <v>47.96</v>
      </c>
      <c r="T514">
        <f>'raw data Crude oil'!T515</f>
        <v>48.2</v>
      </c>
      <c r="U514">
        <f>'raw data Crude oil'!U515</f>
        <v>48.39</v>
      </c>
      <c r="V514">
        <f>'raw data Crude oil'!V515</f>
        <v>48.56</v>
      </c>
      <c r="W514">
        <f>'raw data Crude oil'!W515</f>
        <v>48.72</v>
      </c>
      <c r="X514">
        <f>'raw data Crude oil'!X515</f>
        <v>48.85</v>
      </c>
      <c r="Y514">
        <f>'raw data Crude oil'!Y515</f>
        <v>48.95</v>
      </c>
      <c r="Z514">
        <f>'raw data Crude oil'!Z515</f>
        <v>0</v>
      </c>
      <c r="AA514">
        <f>'raw data Crude oil'!AA515</f>
        <v>0</v>
      </c>
      <c r="AB514">
        <f>'raw data Crude oil'!AB515</f>
        <v>0</v>
      </c>
      <c r="AC514">
        <f>'raw data Crude oil'!AC515</f>
        <v>0</v>
      </c>
      <c r="AD514">
        <f>'raw data Crude oil'!AD515</f>
        <v>0</v>
      </c>
      <c r="AE514">
        <f>'raw data Crude oil'!AE515</f>
        <v>0</v>
      </c>
      <c r="AF514">
        <f>'raw data Crude oil'!AF515</f>
        <v>0</v>
      </c>
      <c r="AG514">
        <f>'raw data Crude oil'!AG515</f>
        <v>0</v>
      </c>
      <c r="AH514">
        <f>'raw data Crude oil'!AH515</f>
        <v>0</v>
      </c>
      <c r="AI514">
        <f>'raw data Crude oil'!AI515</f>
        <v>0</v>
      </c>
      <c r="AJ514">
        <f>'raw data Crude oil'!AJ515</f>
        <v>0</v>
      </c>
      <c r="AK514">
        <f>'raw data Crude oil'!AK515</f>
        <v>0</v>
      </c>
    </row>
    <row r="515" spans="1:37" x14ac:dyDescent="0.3">
      <c r="A515" s="18">
        <f>'raw data Crude oil'!A516</f>
        <v>43461</v>
      </c>
      <c r="B515">
        <f>'raw data Crude oil'!B516</f>
        <v>52.16</v>
      </c>
      <c r="C515">
        <f>'raw data Crude oil'!C516</f>
        <v>52.73</v>
      </c>
      <c r="D515">
        <f>'raw data Crude oil'!D516</f>
        <v>52.99</v>
      </c>
      <c r="E515">
        <f>'raw data Crude oil'!E516</f>
        <v>53.3</v>
      </c>
      <c r="F515">
        <f>'raw data Crude oil'!F516</f>
        <v>53.58</v>
      </c>
      <c r="G515">
        <f>'raw data Crude oil'!G516</f>
        <v>53.79</v>
      </c>
      <c r="H515">
        <f>'raw data Crude oil'!H516</f>
        <v>53.93</v>
      </c>
      <c r="I515">
        <f>'raw data Crude oil'!I516</f>
        <v>54</v>
      </c>
      <c r="J515">
        <f>'raw data Crude oil'!J516</f>
        <v>54.08</v>
      </c>
      <c r="K515">
        <f>'raw data Crude oil'!K516</f>
        <v>54.2</v>
      </c>
      <c r="L515">
        <f>'raw data Crude oil'!L516</f>
        <v>54.3</v>
      </c>
      <c r="M515">
        <f>'raw data Crude oil'!M516</f>
        <v>54.43</v>
      </c>
      <c r="N515">
        <f>'raw data Crude oil'!N516</f>
        <v>44.61</v>
      </c>
      <c r="O515">
        <f>'raw data Crude oil'!O516</f>
        <v>44.9</v>
      </c>
      <c r="P515">
        <f>'raw data Crude oil'!P516</f>
        <v>45.23</v>
      </c>
      <c r="Q515">
        <f>'raw data Crude oil'!Q516</f>
        <v>45.63</v>
      </c>
      <c r="R515">
        <f>'raw data Crude oil'!R516</f>
        <v>46.04</v>
      </c>
      <c r="S515">
        <f>'raw data Crude oil'!S516</f>
        <v>46.39</v>
      </c>
      <c r="T515">
        <f>'raw data Crude oil'!T516</f>
        <v>46.67</v>
      </c>
      <c r="U515">
        <f>'raw data Crude oil'!U516</f>
        <v>46.89</v>
      </c>
      <c r="V515">
        <f>'raw data Crude oil'!V516</f>
        <v>47.07</v>
      </c>
      <c r="W515">
        <f>'raw data Crude oil'!W516</f>
        <v>47.25</v>
      </c>
      <c r="X515">
        <f>'raw data Crude oil'!X516</f>
        <v>47.42</v>
      </c>
      <c r="Y515">
        <f>'raw data Crude oil'!Y516</f>
        <v>47.52</v>
      </c>
      <c r="Z515">
        <f>'raw data Crude oil'!Z516</f>
        <v>0</v>
      </c>
      <c r="AA515">
        <f>'raw data Crude oil'!AA516</f>
        <v>0</v>
      </c>
      <c r="AB515">
        <f>'raw data Crude oil'!AB516</f>
        <v>0</v>
      </c>
      <c r="AC515">
        <f>'raw data Crude oil'!AC516</f>
        <v>0</v>
      </c>
      <c r="AD515">
        <f>'raw data Crude oil'!AD516</f>
        <v>0</v>
      </c>
      <c r="AE515">
        <f>'raw data Crude oil'!AE516</f>
        <v>0</v>
      </c>
      <c r="AF515">
        <f>'raw data Crude oil'!AF516</f>
        <v>0</v>
      </c>
      <c r="AG515">
        <f>'raw data Crude oil'!AG516</f>
        <v>0</v>
      </c>
      <c r="AH515">
        <f>'raw data Crude oil'!AH516</f>
        <v>0</v>
      </c>
      <c r="AI515">
        <f>'raw data Crude oil'!AI516</f>
        <v>0</v>
      </c>
      <c r="AJ515">
        <f>'raw data Crude oil'!AJ516</f>
        <v>0</v>
      </c>
      <c r="AK515">
        <f>'raw data Crude oil'!AK516</f>
        <v>0</v>
      </c>
    </row>
    <row r="516" spans="1:37" x14ac:dyDescent="0.3">
      <c r="A516" s="18">
        <f>'raw data Crude oil'!A517</f>
        <v>43462</v>
      </c>
      <c r="B516">
        <f>'raw data Crude oil'!B517</f>
        <v>52.2</v>
      </c>
      <c r="C516">
        <f>'raw data Crude oil'!C517</f>
        <v>53.21</v>
      </c>
      <c r="D516">
        <f>'raw data Crude oil'!D517</f>
        <v>53.46</v>
      </c>
      <c r="E516">
        <f>'raw data Crude oil'!E517</f>
        <v>53.76</v>
      </c>
      <c r="F516">
        <f>'raw data Crude oil'!F517</f>
        <v>54.01</v>
      </c>
      <c r="G516">
        <f>'raw data Crude oil'!G517</f>
        <v>54.18</v>
      </c>
      <c r="H516">
        <f>'raw data Crude oil'!H517</f>
        <v>54.29</v>
      </c>
      <c r="I516">
        <f>'raw data Crude oil'!I517</f>
        <v>54.32</v>
      </c>
      <c r="J516">
        <f>'raw data Crude oil'!J517</f>
        <v>54.37</v>
      </c>
      <c r="K516">
        <f>'raw data Crude oil'!K517</f>
        <v>54.45</v>
      </c>
      <c r="L516">
        <f>'raw data Crude oil'!L517</f>
        <v>54.51</v>
      </c>
      <c r="M516">
        <f>'raw data Crude oil'!M517</f>
        <v>54.61</v>
      </c>
      <c r="N516">
        <f>'raw data Crude oil'!N517</f>
        <v>45.33</v>
      </c>
      <c r="O516">
        <f>'raw data Crude oil'!O517</f>
        <v>45.6</v>
      </c>
      <c r="P516">
        <f>'raw data Crude oil'!P517</f>
        <v>45.9</v>
      </c>
      <c r="Q516">
        <f>'raw data Crude oil'!Q517</f>
        <v>46.27</v>
      </c>
      <c r="R516">
        <f>'raw data Crude oil'!R517</f>
        <v>46.64</v>
      </c>
      <c r="S516">
        <f>'raw data Crude oil'!S517</f>
        <v>46.95</v>
      </c>
      <c r="T516">
        <f>'raw data Crude oil'!T517</f>
        <v>47.19</v>
      </c>
      <c r="U516">
        <f>'raw data Crude oil'!U517</f>
        <v>47.36</v>
      </c>
      <c r="V516">
        <f>'raw data Crude oil'!V517</f>
        <v>47.5</v>
      </c>
      <c r="W516">
        <f>'raw data Crude oil'!W517</f>
        <v>47.63</v>
      </c>
      <c r="X516">
        <f>'raw data Crude oil'!X517</f>
        <v>47.75</v>
      </c>
      <c r="Y516">
        <f>'raw data Crude oil'!Y517</f>
        <v>47.82</v>
      </c>
      <c r="Z516">
        <f>'raw data Crude oil'!Z517</f>
        <v>0</v>
      </c>
      <c r="AA516">
        <f>'raw data Crude oil'!AA517</f>
        <v>0</v>
      </c>
      <c r="AB516">
        <f>'raw data Crude oil'!AB517</f>
        <v>0</v>
      </c>
      <c r="AC516">
        <f>'raw data Crude oil'!AC517</f>
        <v>0</v>
      </c>
      <c r="AD516">
        <f>'raw data Crude oil'!AD517</f>
        <v>0</v>
      </c>
      <c r="AE516">
        <f>'raw data Crude oil'!AE517</f>
        <v>0</v>
      </c>
      <c r="AF516">
        <f>'raw data Crude oil'!AF517</f>
        <v>0</v>
      </c>
      <c r="AG516">
        <f>'raw data Crude oil'!AG517</f>
        <v>0</v>
      </c>
      <c r="AH516">
        <f>'raw data Crude oil'!AH517</f>
        <v>0</v>
      </c>
      <c r="AI516">
        <f>'raw data Crude oil'!AI517</f>
        <v>0</v>
      </c>
      <c r="AJ516">
        <f>'raw data Crude oil'!AJ517</f>
        <v>0</v>
      </c>
      <c r="AK516">
        <f>'raw data Crude oil'!AK517</f>
        <v>0</v>
      </c>
    </row>
    <row r="517" spans="1:37" x14ac:dyDescent="0.3">
      <c r="A517" s="18">
        <f>'raw data Crude oil'!A518</f>
        <v>43465</v>
      </c>
      <c r="B517">
        <f>'raw data Crude oil'!B518</f>
        <v>53.8</v>
      </c>
      <c r="C517">
        <f>'raw data Crude oil'!C518</f>
        <v>54.02</v>
      </c>
      <c r="D517">
        <f>'raw data Crude oil'!D518</f>
        <v>54.31</v>
      </c>
      <c r="E517">
        <f>'raw data Crude oil'!E518</f>
        <v>54.57</v>
      </c>
      <c r="F517">
        <f>'raw data Crude oil'!F518</f>
        <v>54.76</v>
      </c>
      <c r="G517">
        <f>'raw data Crude oil'!G518</f>
        <v>54.88</v>
      </c>
      <c r="H517">
        <f>'raw data Crude oil'!H518</f>
        <v>54.92</v>
      </c>
      <c r="I517">
        <f>'raw data Crude oil'!I518</f>
        <v>54.98</v>
      </c>
      <c r="J517">
        <f>'raw data Crude oil'!J518</f>
        <v>55.07</v>
      </c>
      <c r="K517">
        <f>'raw data Crude oil'!K518</f>
        <v>55.14</v>
      </c>
      <c r="L517">
        <f>'raw data Crude oil'!L518</f>
        <v>55.25</v>
      </c>
      <c r="M517">
        <f>'raw data Crude oil'!M518</f>
        <v>55.35</v>
      </c>
      <c r="N517">
        <f>'raw data Crude oil'!N518</f>
        <v>45.41</v>
      </c>
      <c r="O517">
        <f>'raw data Crude oil'!O518</f>
        <v>45.72</v>
      </c>
      <c r="P517">
        <f>'raw data Crude oil'!P518</f>
        <v>46.08</v>
      </c>
      <c r="Q517">
        <f>'raw data Crude oil'!Q518</f>
        <v>46.51</v>
      </c>
      <c r="R517">
        <f>'raw data Crude oil'!R518</f>
        <v>46.93</v>
      </c>
      <c r="S517">
        <f>'raw data Crude oil'!S518</f>
        <v>47.3</v>
      </c>
      <c r="T517">
        <f>'raw data Crude oil'!T518</f>
        <v>47.6</v>
      </c>
      <c r="U517">
        <f>'raw data Crude oil'!U518</f>
        <v>47.84</v>
      </c>
      <c r="V517">
        <f>'raw data Crude oil'!V518</f>
        <v>48.04</v>
      </c>
      <c r="W517">
        <f>'raw data Crude oil'!W518</f>
        <v>48.22</v>
      </c>
      <c r="X517">
        <f>'raw data Crude oil'!X518</f>
        <v>48.38</v>
      </c>
      <c r="Y517">
        <f>'raw data Crude oil'!Y518</f>
        <v>48.5</v>
      </c>
      <c r="Z517">
        <f>'raw data Crude oil'!Z518</f>
        <v>0</v>
      </c>
      <c r="AA517">
        <f>'raw data Crude oil'!AA518</f>
        <v>0</v>
      </c>
      <c r="AB517">
        <f>'raw data Crude oil'!AB518</f>
        <v>0</v>
      </c>
      <c r="AC517">
        <f>'raw data Crude oil'!AC518</f>
        <v>0</v>
      </c>
      <c r="AD517">
        <f>'raw data Crude oil'!AD518</f>
        <v>0</v>
      </c>
      <c r="AE517">
        <f>'raw data Crude oil'!AE518</f>
        <v>0</v>
      </c>
      <c r="AF517">
        <f>'raw data Crude oil'!AF518</f>
        <v>0</v>
      </c>
      <c r="AG517">
        <f>'raw data Crude oil'!AG518</f>
        <v>0</v>
      </c>
      <c r="AH517">
        <f>'raw data Crude oil'!AH518</f>
        <v>0</v>
      </c>
      <c r="AI517">
        <f>'raw data Crude oil'!AI518</f>
        <v>0</v>
      </c>
      <c r="AJ517">
        <f>'raw data Crude oil'!AJ518</f>
        <v>0</v>
      </c>
      <c r="AK517">
        <f>'raw data Crude oil'!AK518</f>
        <v>0</v>
      </c>
    </row>
    <row r="518" spans="1:37" x14ac:dyDescent="0.3">
      <c r="A518" s="18">
        <f>'raw data Crude oil'!A519</f>
        <v>43467</v>
      </c>
      <c r="B518">
        <f>'raw data Crude oil'!B519</f>
        <v>54.91</v>
      </c>
      <c r="C518">
        <f>'raw data Crude oil'!C519</f>
        <v>55.15</v>
      </c>
      <c r="D518">
        <f>'raw data Crude oil'!D519</f>
        <v>55.46</v>
      </c>
      <c r="E518">
        <f>'raw data Crude oil'!E519</f>
        <v>55.74</v>
      </c>
      <c r="F518">
        <f>'raw data Crude oil'!F519</f>
        <v>55.95</v>
      </c>
      <c r="G518">
        <f>'raw data Crude oil'!G519</f>
        <v>56.09</v>
      </c>
      <c r="H518">
        <f>'raw data Crude oil'!H519</f>
        <v>56.15</v>
      </c>
      <c r="I518">
        <f>'raw data Crude oil'!I519</f>
        <v>56.21</v>
      </c>
      <c r="J518">
        <f>'raw data Crude oil'!J519</f>
        <v>56.29</v>
      </c>
      <c r="K518">
        <f>'raw data Crude oil'!K519</f>
        <v>56.36</v>
      </c>
      <c r="L518">
        <f>'raw data Crude oil'!L519</f>
        <v>56.45</v>
      </c>
      <c r="M518">
        <f>'raw data Crude oil'!M519</f>
        <v>56.54</v>
      </c>
      <c r="N518">
        <f>'raw data Crude oil'!N519</f>
        <v>46.54</v>
      </c>
      <c r="O518">
        <f>'raw data Crude oil'!O519</f>
        <v>46.86</v>
      </c>
      <c r="P518">
        <f>'raw data Crude oil'!P519</f>
        <v>47.24</v>
      </c>
      <c r="Q518">
        <f>'raw data Crude oil'!Q519</f>
        <v>47.7</v>
      </c>
      <c r="R518">
        <f>'raw data Crude oil'!R519</f>
        <v>48.15</v>
      </c>
      <c r="S518">
        <f>'raw data Crude oil'!S519</f>
        <v>48.54</v>
      </c>
      <c r="T518">
        <f>'raw data Crude oil'!T519</f>
        <v>48.85</v>
      </c>
      <c r="U518">
        <f>'raw data Crude oil'!U519</f>
        <v>49.11</v>
      </c>
      <c r="V518">
        <f>'raw data Crude oil'!V519</f>
        <v>49.31</v>
      </c>
      <c r="W518">
        <f>'raw data Crude oil'!W519</f>
        <v>49.5</v>
      </c>
      <c r="X518">
        <f>'raw data Crude oil'!X519</f>
        <v>49.66</v>
      </c>
      <c r="Y518">
        <f>'raw data Crude oil'!Y519</f>
        <v>49.77</v>
      </c>
      <c r="Z518">
        <f>'raw data Crude oil'!Z519</f>
        <v>0</v>
      </c>
      <c r="AA518">
        <f>'raw data Crude oil'!AA519</f>
        <v>0</v>
      </c>
      <c r="AB518">
        <f>'raw data Crude oil'!AB519</f>
        <v>0</v>
      </c>
      <c r="AC518">
        <f>'raw data Crude oil'!AC519</f>
        <v>0</v>
      </c>
      <c r="AD518">
        <f>'raw data Crude oil'!AD519</f>
        <v>0</v>
      </c>
      <c r="AE518">
        <f>'raw data Crude oil'!AE519</f>
        <v>0</v>
      </c>
      <c r="AF518">
        <f>'raw data Crude oil'!AF519</f>
        <v>0</v>
      </c>
      <c r="AG518">
        <f>'raw data Crude oil'!AG519</f>
        <v>0</v>
      </c>
      <c r="AH518">
        <f>'raw data Crude oil'!AH519</f>
        <v>0</v>
      </c>
      <c r="AI518">
        <f>'raw data Crude oil'!AI519</f>
        <v>0</v>
      </c>
      <c r="AJ518">
        <f>'raw data Crude oil'!AJ519</f>
        <v>0</v>
      </c>
      <c r="AK518">
        <f>'raw data Crude oil'!AK519</f>
        <v>0</v>
      </c>
    </row>
    <row r="519" spans="1:37" x14ac:dyDescent="0.3">
      <c r="A519" s="18">
        <f>'raw data Crude oil'!A520</f>
        <v>43468</v>
      </c>
      <c r="B519">
        <f>'raw data Crude oil'!B520</f>
        <v>55.95</v>
      </c>
      <c r="C519">
        <f>'raw data Crude oil'!C520</f>
        <v>56.14</v>
      </c>
      <c r="D519">
        <f>'raw data Crude oil'!D520</f>
        <v>56.42</v>
      </c>
      <c r="E519">
        <f>'raw data Crude oil'!E520</f>
        <v>56.67</v>
      </c>
      <c r="F519">
        <f>'raw data Crude oil'!F520</f>
        <v>56.86</v>
      </c>
      <c r="G519">
        <f>'raw data Crude oil'!G520</f>
        <v>56.99</v>
      </c>
      <c r="H519">
        <f>'raw data Crude oil'!H520</f>
        <v>57.03</v>
      </c>
      <c r="I519">
        <f>'raw data Crude oil'!I520</f>
        <v>57.07</v>
      </c>
      <c r="J519">
        <f>'raw data Crude oil'!J520</f>
        <v>57.14</v>
      </c>
      <c r="K519">
        <f>'raw data Crude oil'!K520</f>
        <v>57.19</v>
      </c>
      <c r="L519">
        <f>'raw data Crude oil'!L520</f>
        <v>57.27</v>
      </c>
      <c r="M519">
        <f>'raw data Crude oil'!M520</f>
        <v>57.35</v>
      </c>
      <c r="N519">
        <f>'raw data Crude oil'!N520</f>
        <v>47.09</v>
      </c>
      <c r="O519">
        <f>'raw data Crude oil'!O520</f>
        <v>47.4</v>
      </c>
      <c r="P519">
        <f>'raw data Crude oil'!P520</f>
        <v>47.77</v>
      </c>
      <c r="Q519">
        <f>'raw data Crude oil'!Q520</f>
        <v>48.22</v>
      </c>
      <c r="R519">
        <f>'raw data Crude oil'!R520</f>
        <v>48.69</v>
      </c>
      <c r="S519">
        <f>'raw data Crude oil'!S520</f>
        <v>49.09</v>
      </c>
      <c r="T519">
        <f>'raw data Crude oil'!T520</f>
        <v>49.42</v>
      </c>
      <c r="U519">
        <f>'raw data Crude oil'!U520</f>
        <v>49.7</v>
      </c>
      <c r="V519">
        <f>'raw data Crude oil'!V520</f>
        <v>49.93</v>
      </c>
      <c r="W519">
        <f>'raw data Crude oil'!W520</f>
        <v>50.11</v>
      </c>
      <c r="X519">
        <f>'raw data Crude oil'!X520</f>
        <v>50.27</v>
      </c>
      <c r="Y519">
        <f>'raw data Crude oil'!Y520</f>
        <v>50.37</v>
      </c>
      <c r="Z519">
        <f>'raw data Crude oil'!Z520</f>
        <v>0</v>
      </c>
      <c r="AA519">
        <f>'raw data Crude oil'!AA520</f>
        <v>0</v>
      </c>
      <c r="AB519">
        <f>'raw data Crude oil'!AB520</f>
        <v>0</v>
      </c>
      <c r="AC519">
        <f>'raw data Crude oil'!AC520</f>
        <v>0</v>
      </c>
      <c r="AD519">
        <f>'raw data Crude oil'!AD520</f>
        <v>0</v>
      </c>
      <c r="AE519">
        <f>'raw data Crude oil'!AE520</f>
        <v>0</v>
      </c>
      <c r="AF519">
        <f>'raw data Crude oil'!AF520</f>
        <v>0</v>
      </c>
      <c r="AG519">
        <f>'raw data Crude oil'!AG520</f>
        <v>0</v>
      </c>
      <c r="AH519">
        <f>'raw data Crude oil'!AH520</f>
        <v>0</v>
      </c>
      <c r="AI519">
        <f>'raw data Crude oil'!AI520</f>
        <v>0</v>
      </c>
      <c r="AJ519">
        <f>'raw data Crude oil'!AJ520</f>
        <v>0</v>
      </c>
      <c r="AK519">
        <f>'raw data Crude oil'!AK520</f>
        <v>0</v>
      </c>
    </row>
    <row r="520" spans="1:37" x14ac:dyDescent="0.3">
      <c r="A520" s="18">
        <f>'raw data Crude oil'!A521</f>
        <v>43469</v>
      </c>
      <c r="B520">
        <f>'raw data Crude oil'!B521</f>
        <v>57.06</v>
      </c>
      <c r="C520">
        <f>'raw data Crude oil'!C521</f>
        <v>57.21</v>
      </c>
      <c r="D520">
        <f>'raw data Crude oil'!D521</f>
        <v>57.46</v>
      </c>
      <c r="E520">
        <f>'raw data Crude oil'!E521</f>
        <v>57.68</v>
      </c>
      <c r="F520">
        <f>'raw data Crude oil'!F521</f>
        <v>57.85</v>
      </c>
      <c r="G520">
        <f>'raw data Crude oil'!G521</f>
        <v>57.95</v>
      </c>
      <c r="H520">
        <f>'raw data Crude oil'!H521</f>
        <v>57.97</v>
      </c>
      <c r="I520">
        <f>'raw data Crude oil'!I521</f>
        <v>57.99</v>
      </c>
      <c r="J520">
        <f>'raw data Crude oil'!J521</f>
        <v>58.02</v>
      </c>
      <c r="K520">
        <f>'raw data Crude oil'!K521</f>
        <v>58.04</v>
      </c>
      <c r="L520">
        <f>'raw data Crude oil'!L521</f>
        <v>58.09</v>
      </c>
      <c r="M520">
        <f>'raw data Crude oil'!M521</f>
        <v>58.15</v>
      </c>
      <c r="N520">
        <f>'raw data Crude oil'!N521</f>
        <v>47.96</v>
      </c>
      <c r="O520">
        <f>'raw data Crude oil'!O521</f>
        <v>48.28</v>
      </c>
      <c r="P520">
        <f>'raw data Crude oil'!P521</f>
        <v>48.65</v>
      </c>
      <c r="Q520">
        <f>'raw data Crude oil'!Q521</f>
        <v>49.1</v>
      </c>
      <c r="R520">
        <f>'raw data Crude oil'!R521</f>
        <v>49.56</v>
      </c>
      <c r="S520">
        <f>'raw data Crude oil'!S521</f>
        <v>49.96</v>
      </c>
      <c r="T520">
        <f>'raw data Crude oil'!T521</f>
        <v>50.29</v>
      </c>
      <c r="U520">
        <f>'raw data Crude oil'!U521</f>
        <v>50.55</v>
      </c>
      <c r="V520">
        <f>'raw data Crude oil'!V521</f>
        <v>50.77</v>
      </c>
      <c r="W520">
        <f>'raw data Crude oil'!W521</f>
        <v>50.94</v>
      </c>
      <c r="X520">
        <f>'raw data Crude oil'!X521</f>
        <v>51.08</v>
      </c>
      <c r="Y520">
        <f>'raw data Crude oil'!Y521</f>
        <v>51.18</v>
      </c>
      <c r="Z520">
        <f>'raw data Crude oil'!Z521</f>
        <v>0</v>
      </c>
      <c r="AA520">
        <f>'raw data Crude oil'!AA521</f>
        <v>0</v>
      </c>
      <c r="AB520">
        <f>'raw data Crude oil'!AB521</f>
        <v>0</v>
      </c>
      <c r="AC520">
        <f>'raw data Crude oil'!AC521</f>
        <v>0</v>
      </c>
      <c r="AD520">
        <f>'raw data Crude oil'!AD521</f>
        <v>0</v>
      </c>
      <c r="AE520">
        <f>'raw data Crude oil'!AE521</f>
        <v>0</v>
      </c>
      <c r="AF520">
        <f>'raw data Crude oil'!AF521</f>
        <v>0</v>
      </c>
      <c r="AG520">
        <f>'raw data Crude oil'!AG521</f>
        <v>0</v>
      </c>
      <c r="AH520">
        <f>'raw data Crude oil'!AH521</f>
        <v>0</v>
      </c>
      <c r="AI520">
        <f>'raw data Crude oil'!AI521</f>
        <v>0</v>
      </c>
      <c r="AJ520">
        <f>'raw data Crude oil'!AJ521</f>
        <v>0</v>
      </c>
      <c r="AK520">
        <f>'raw data Crude oil'!AK521</f>
        <v>0</v>
      </c>
    </row>
    <row r="521" spans="1:37" x14ac:dyDescent="0.3">
      <c r="A521" s="18">
        <f>'raw data Crude oil'!A522</f>
        <v>43472</v>
      </c>
      <c r="B521">
        <f>'raw data Crude oil'!B522</f>
        <v>57.33</v>
      </c>
      <c r="C521">
        <f>'raw data Crude oil'!C522</f>
        <v>57.55</v>
      </c>
      <c r="D521">
        <f>'raw data Crude oil'!D522</f>
        <v>57.83</v>
      </c>
      <c r="E521">
        <f>'raw data Crude oil'!E522</f>
        <v>58.09</v>
      </c>
      <c r="F521">
        <f>'raw data Crude oil'!F522</f>
        <v>58.27</v>
      </c>
      <c r="G521">
        <f>'raw data Crude oil'!G522</f>
        <v>58.37</v>
      </c>
      <c r="H521">
        <f>'raw data Crude oil'!H522</f>
        <v>58.4</v>
      </c>
      <c r="I521">
        <f>'raw data Crude oil'!I522</f>
        <v>58.42</v>
      </c>
      <c r="J521">
        <f>'raw data Crude oil'!J522</f>
        <v>58.44</v>
      </c>
      <c r="K521">
        <f>'raw data Crude oil'!K522</f>
        <v>58.45</v>
      </c>
      <c r="L521">
        <f>'raw data Crude oil'!L522</f>
        <v>58.5</v>
      </c>
      <c r="M521">
        <f>'raw data Crude oil'!M522</f>
        <v>58.55</v>
      </c>
      <c r="N521">
        <f>'raw data Crude oil'!N522</f>
        <v>48.52</v>
      </c>
      <c r="O521">
        <f>'raw data Crude oil'!O522</f>
        <v>48.82</v>
      </c>
      <c r="P521">
        <f>'raw data Crude oil'!P522</f>
        <v>49.17</v>
      </c>
      <c r="Q521">
        <f>'raw data Crude oil'!Q522</f>
        <v>49.6</v>
      </c>
      <c r="R521">
        <f>'raw data Crude oil'!R522</f>
        <v>50.04</v>
      </c>
      <c r="S521">
        <f>'raw data Crude oil'!S522</f>
        <v>50.42</v>
      </c>
      <c r="T521">
        <f>'raw data Crude oil'!T522</f>
        <v>50.74</v>
      </c>
      <c r="U521">
        <f>'raw data Crude oil'!U522</f>
        <v>51</v>
      </c>
      <c r="V521">
        <f>'raw data Crude oil'!V522</f>
        <v>51.19</v>
      </c>
      <c r="W521">
        <f>'raw data Crude oil'!W522</f>
        <v>51.35</v>
      </c>
      <c r="X521">
        <f>'raw data Crude oil'!X522</f>
        <v>51.48</v>
      </c>
      <c r="Y521">
        <f>'raw data Crude oil'!Y522</f>
        <v>51.53</v>
      </c>
      <c r="Z521">
        <f>'raw data Crude oil'!Z522</f>
        <v>0</v>
      </c>
      <c r="AA521">
        <f>'raw data Crude oil'!AA522</f>
        <v>0</v>
      </c>
      <c r="AB521">
        <f>'raw data Crude oil'!AB522</f>
        <v>0</v>
      </c>
      <c r="AC521">
        <f>'raw data Crude oil'!AC522</f>
        <v>0</v>
      </c>
      <c r="AD521">
        <f>'raw data Crude oil'!AD522</f>
        <v>0</v>
      </c>
      <c r="AE521">
        <f>'raw data Crude oil'!AE522</f>
        <v>0</v>
      </c>
      <c r="AF521">
        <f>'raw data Crude oil'!AF522</f>
        <v>0</v>
      </c>
      <c r="AG521">
        <f>'raw data Crude oil'!AG522</f>
        <v>0</v>
      </c>
      <c r="AH521">
        <f>'raw data Crude oil'!AH522</f>
        <v>0</v>
      </c>
      <c r="AI521">
        <f>'raw data Crude oil'!AI522</f>
        <v>0</v>
      </c>
      <c r="AJ521">
        <f>'raw data Crude oil'!AJ522</f>
        <v>0</v>
      </c>
      <c r="AK521">
        <f>'raw data Crude oil'!AK522</f>
        <v>0</v>
      </c>
    </row>
    <row r="522" spans="1:37" x14ac:dyDescent="0.3">
      <c r="A522" s="18">
        <f>'raw data Crude oil'!A523</f>
        <v>43473</v>
      </c>
      <c r="B522">
        <f>'raw data Crude oil'!B523</f>
        <v>58.72</v>
      </c>
      <c r="C522">
        <f>'raw data Crude oil'!C523</f>
        <v>58.89</v>
      </c>
      <c r="D522">
        <f>'raw data Crude oil'!D523</f>
        <v>59.14</v>
      </c>
      <c r="E522">
        <f>'raw data Crude oil'!E523</f>
        <v>59.37</v>
      </c>
      <c r="F522">
        <f>'raw data Crude oil'!F523</f>
        <v>59.51</v>
      </c>
      <c r="G522">
        <f>'raw data Crude oil'!G523</f>
        <v>59.6</v>
      </c>
      <c r="H522">
        <f>'raw data Crude oil'!H523</f>
        <v>59.62</v>
      </c>
      <c r="I522">
        <f>'raw data Crude oil'!I523</f>
        <v>59.63</v>
      </c>
      <c r="J522">
        <f>'raw data Crude oil'!J523</f>
        <v>59.67</v>
      </c>
      <c r="K522">
        <f>'raw data Crude oil'!K523</f>
        <v>59.68</v>
      </c>
      <c r="L522">
        <f>'raw data Crude oil'!L523</f>
        <v>59.72</v>
      </c>
      <c r="M522">
        <f>'raw data Crude oil'!M523</f>
        <v>59.76</v>
      </c>
      <c r="N522">
        <f>'raw data Crude oil'!N523</f>
        <v>49.78</v>
      </c>
      <c r="O522">
        <f>'raw data Crude oil'!O523</f>
        <v>50.11</v>
      </c>
      <c r="P522">
        <f>'raw data Crude oil'!P523</f>
        <v>50.49</v>
      </c>
      <c r="Q522">
        <f>'raw data Crude oil'!Q523</f>
        <v>50.93</v>
      </c>
      <c r="R522">
        <f>'raw data Crude oil'!R523</f>
        <v>51.36</v>
      </c>
      <c r="S522">
        <f>'raw data Crude oil'!S523</f>
        <v>51.74</v>
      </c>
      <c r="T522">
        <f>'raw data Crude oil'!T523</f>
        <v>52.04</v>
      </c>
      <c r="U522">
        <f>'raw data Crude oil'!U523</f>
        <v>52.29</v>
      </c>
      <c r="V522">
        <f>'raw data Crude oil'!V523</f>
        <v>52.49</v>
      </c>
      <c r="W522">
        <f>'raw data Crude oil'!W523</f>
        <v>52.64</v>
      </c>
      <c r="X522">
        <f>'raw data Crude oil'!X523</f>
        <v>52.75</v>
      </c>
      <c r="Y522">
        <f>'raw data Crude oil'!Y523</f>
        <v>52.83</v>
      </c>
      <c r="Z522">
        <f>'raw data Crude oil'!Z523</f>
        <v>0</v>
      </c>
      <c r="AA522">
        <f>'raw data Crude oil'!AA523</f>
        <v>0</v>
      </c>
      <c r="AB522">
        <f>'raw data Crude oil'!AB523</f>
        <v>0</v>
      </c>
      <c r="AC522">
        <f>'raw data Crude oil'!AC523</f>
        <v>0</v>
      </c>
      <c r="AD522">
        <f>'raw data Crude oil'!AD523</f>
        <v>0</v>
      </c>
      <c r="AE522">
        <f>'raw data Crude oil'!AE523</f>
        <v>0</v>
      </c>
      <c r="AF522">
        <f>'raw data Crude oil'!AF523</f>
        <v>0</v>
      </c>
      <c r="AG522">
        <f>'raw data Crude oil'!AG523</f>
        <v>0</v>
      </c>
      <c r="AH522">
        <f>'raw data Crude oil'!AH523</f>
        <v>0</v>
      </c>
      <c r="AI522">
        <f>'raw data Crude oil'!AI523</f>
        <v>0</v>
      </c>
      <c r="AJ522">
        <f>'raw data Crude oil'!AJ523</f>
        <v>0</v>
      </c>
      <c r="AK522">
        <f>'raw data Crude oil'!AK523</f>
        <v>0</v>
      </c>
    </row>
    <row r="523" spans="1:37" x14ac:dyDescent="0.3">
      <c r="A523" s="18">
        <f>'raw data Crude oil'!A524</f>
        <v>43474</v>
      </c>
      <c r="B523">
        <f>'raw data Crude oil'!B524</f>
        <v>61.44</v>
      </c>
      <c r="C523">
        <f>'raw data Crude oil'!C524</f>
        <v>61.6</v>
      </c>
      <c r="D523">
        <f>'raw data Crude oil'!D524</f>
        <v>61.83</v>
      </c>
      <c r="E523">
        <f>'raw data Crude oil'!E524</f>
        <v>62.03</v>
      </c>
      <c r="F523">
        <f>'raw data Crude oil'!F524</f>
        <v>62.14</v>
      </c>
      <c r="G523">
        <f>'raw data Crude oil'!G524</f>
        <v>62.2</v>
      </c>
      <c r="H523">
        <f>'raw data Crude oil'!H524</f>
        <v>62.18</v>
      </c>
      <c r="I523">
        <f>'raw data Crude oil'!I524</f>
        <v>62.17</v>
      </c>
      <c r="J523">
        <f>'raw data Crude oil'!J524</f>
        <v>62.18</v>
      </c>
      <c r="K523">
        <f>'raw data Crude oil'!K524</f>
        <v>62.15</v>
      </c>
      <c r="L523">
        <f>'raw data Crude oil'!L524</f>
        <v>62.15</v>
      </c>
      <c r="M523">
        <f>'raw data Crude oil'!M524</f>
        <v>62.15</v>
      </c>
      <c r="N523">
        <f>'raw data Crude oil'!N524</f>
        <v>52.36</v>
      </c>
      <c r="O523">
        <f>'raw data Crude oil'!O524</f>
        <v>52.69</v>
      </c>
      <c r="P523">
        <f>'raw data Crude oil'!P524</f>
        <v>53.07</v>
      </c>
      <c r="Q523">
        <f>'raw data Crude oil'!Q524</f>
        <v>53.51</v>
      </c>
      <c r="R523">
        <f>'raw data Crude oil'!R524</f>
        <v>53.94</v>
      </c>
      <c r="S523">
        <f>'raw data Crude oil'!S524</f>
        <v>54.3</v>
      </c>
      <c r="T523">
        <f>'raw data Crude oil'!T524</f>
        <v>54.58</v>
      </c>
      <c r="U523">
        <f>'raw data Crude oil'!U524</f>
        <v>54.8</v>
      </c>
      <c r="V523">
        <f>'raw data Crude oil'!V524</f>
        <v>54.97</v>
      </c>
      <c r="W523">
        <f>'raw data Crude oil'!W524</f>
        <v>55.07</v>
      </c>
      <c r="X523">
        <f>'raw data Crude oil'!X524</f>
        <v>55.15</v>
      </c>
      <c r="Y523">
        <f>'raw data Crude oil'!Y524</f>
        <v>55.19</v>
      </c>
      <c r="Z523">
        <f>'raw data Crude oil'!Z524</f>
        <v>0</v>
      </c>
      <c r="AA523">
        <f>'raw data Crude oil'!AA524</f>
        <v>0</v>
      </c>
      <c r="AB523">
        <f>'raw data Crude oil'!AB524</f>
        <v>0</v>
      </c>
      <c r="AC523">
        <f>'raw data Crude oil'!AC524</f>
        <v>0</v>
      </c>
      <c r="AD523">
        <f>'raw data Crude oil'!AD524</f>
        <v>0</v>
      </c>
      <c r="AE523">
        <f>'raw data Crude oil'!AE524</f>
        <v>0</v>
      </c>
      <c r="AF523">
        <f>'raw data Crude oil'!AF524</f>
        <v>0</v>
      </c>
      <c r="AG523">
        <f>'raw data Crude oil'!AG524</f>
        <v>0</v>
      </c>
      <c r="AH523">
        <f>'raw data Crude oil'!AH524</f>
        <v>0</v>
      </c>
      <c r="AI523">
        <f>'raw data Crude oil'!AI524</f>
        <v>0</v>
      </c>
      <c r="AJ523">
        <f>'raw data Crude oil'!AJ524</f>
        <v>0</v>
      </c>
      <c r="AK523">
        <f>'raw data Crude oil'!AK524</f>
        <v>0</v>
      </c>
    </row>
    <row r="524" spans="1:37" x14ac:dyDescent="0.3">
      <c r="A524" s="18">
        <f>'raw data Crude oil'!A525</f>
        <v>43475</v>
      </c>
      <c r="B524">
        <f>'raw data Crude oil'!B525</f>
        <v>61.68</v>
      </c>
      <c r="C524">
        <f>'raw data Crude oil'!C525</f>
        <v>61.81</v>
      </c>
      <c r="D524">
        <f>'raw data Crude oil'!D525</f>
        <v>62.02</v>
      </c>
      <c r="E524">
        <f>'raw data Crude oil'!E525</f>
        <v>62.2</v>
      </c>
      <c r="F524">
        <f>'raw data Crude oil'!F525</f>
        <v>62.29</v>
      </c>
      <c r="G524">
        <f>'raw data Crude oil'!G525</f>
        <v>62.35</v>
      </c>
      <c r="H524">
        <f>'raw data Crude oil'!H525</f>
        <v>62.33</v>
      </c>
      <c r="I524">
        <f>'raw data Crude oil'!I525</f>
        <v>62.32</v>
      </c>
      <c r="J524">
        <f>'raw data Crude oil'!J525</f>
        <v>62.32</v>
      </c>
      <c r="K524">
        <f>'raw data Crude oil'!K525</f>
        <v>62.29</v>
      </c>
      <c r="L524">
        <f>'raw data Crude oil'!L525</f>
        <v>62.29</v>
      </c>
      <c r="M524">
        <f>'raw data Crude oil'!M525</f>
        <v>62.29</v>
      </c>
      <c r="N524">
        <f>'raw data Crude oil'!N525</f>
        <v>52.59</v>
      </c>
      <c r="O524">
        <f>'raw data Crude oil'!O525</f>
        <v>52.91</v>
      </c>
      <c r="P524">
        <f>'raw data Crude oil'!P525</f>
        <v>53.28</v>
      </c>
      <c r="Q524">
        <f>'raw data Crude oil'!Q525</f>
        <v>53.73</v>
      </c>
      <c r="R524">
        <f>'raw data Crude oil'!R525</f>
        <v>54.16</v>
      </c>
      <c r="S524">
        <f>'raw data Crude oil'!S525</f>
        <v>54.53</v>
      </c>
      <c r="T524">
        <f>'raw data Crude oil'!T525</f>
        <v>54.81</v>
      </c>
      <c r="U524">
        <f>'raw data Crude oil'!U525</f>
        <v>55.02</v>
      </c>
      <c r="V524">
        <f>'raw data Crude oil'!V525</f>
        <v>55.18</v>
      </c>
      <c r="W524">
        <f>'raw data Crude oil'!W525</f>
        <v>55.29</v>
      </c>
      <c r="X524">
        <f>'raw data Crude oil'!X525</f>
        <v>55.35</v>
      </c>
      <c r="Y524">
        <f>'raw data Crude oil'!Y525</f>
        <v>55.37</v>
      </c>
      <c r="Z524">
        <f>'raw data Crude oil'!Z525</f>
        <v>0</v>
      </c>
      <c r="AA524">
        <f>'raw data Crude oil'!AA525</f>
        <v>0</v>
      </c>
      <c r="AB524">
        <f>'raw data Crude oil'!AB525</f>
        <v>0</v>
      </c>
      <c r="AC524">
        <f>'raw data Crude oil'!AC525</f>
        <v>0</v>
      </c>
      <c r="AD524">
        <f>'raw data Crude oil'!AD525</f>
        <v>0</v>
      </c>
      <c r="AE524">
        <f>'raw data Crude oil'!AE525</f>
        <v>0</v>
      </c>
      <c r="AF524">
        <f>'raw data Crude oil'!AF525</f>
        <v>0</v>
      </c>
      <c r="AG524">
        <f>'raw data Crude oil'!AG525</f>
        <v>0</v>
      </c>
      <c r="AH524">
        <f>'raw data Crude oil'!AH525</f>
        <v>0</v>
      </c>
      <c r="AI524">
        <f>'raw data Crude oil'!AI525</f>
        <v>0</v>
      </c>
      <c r="AJ524">
        <f>'raw data Crude oil'!AJ525</f>
        <v>0</v>
      </c>
      <c r="AK524">
        <f>'raw data Crude oil'!AK525</f>
        <v>0</v>
      </c>
    </row>
    <row r="525" spans="1:37" x14ac:dyDescent="0.3">
      <c r="A525" s="18">
        <f>'raw data Crude oil'!A526</f>
        <v>43476</v>
      </c>
      <c r="B525">
        <f>'raw data Crude oil'!B526</f>
        <v>60.48</v>
      </c>
      <c r="C525">
        <f>'raw data Crude oil'!C526</f>
        <v>60.63</v>
      </c>
      <c r="D525">
        <f>'raw data Crude oil'!D526</f>
        <v>60.85</v>
      </c>
      <c r="E525">
        <f>'raw data Crude oil'!E526</f>
        <v>61.02</v>
      </c>
      <c r="F525">
        <f>'raw data Crude oil'!F526</f>
        <v>61.09</v>
      </c>
      <c r="G525">
        <f>'raw data Crude oil'!G526</f>
        <v>61.14</v>
      </c>
      <c r="H525">
        <f>'raw data Crude oil'!H526</f>
        <v>61.11</v>
      </c>
      <c r="I525">
        <f>'raw data Crude oil'!I526</f>
        <v>61.09</v>
      </c>
      <c r="J525">
        <f>'raw data Crude oil'!J526</f>
        <v>61.09</v>
      </c>
      <c r="K525">
        <f>'raw data Crude oil'!K526</f>
        <v>61.05</v>
      </c>
      <c r="L525">
        <f>'raw data Crude oil'!L526</f>
        <v>61.05</v>
      </c>
      <c r="M525">
        <f>'raw data Crude oil'!M526</f>
        <v>61.04</v>
      </c>
      <c r="N525">
        <f>'raw data Crude oil'!N526</f>
        <v>51.59</v>
      </c>
      <c r="O525">
        <f>'raw data Crude oil'!O526</f>
        <v>51.91</v>
      </c>
      <c r="P525">
        <f>'raw data Crude oil'!P526</f>
        <v>52.27</v>
      </c>
      <c r="Q525">
        <f>'raw data Crude oil'!Q526</f>
        <v>52.7</v>
      </c>
      <c r="R525">
        <f>'raw data Crude oil'!R526</f>
        <v>53.11</v>
      </c>
      <c r="S525">
        <f>'raw data Crude oil'!S526</f>
        <v>53.46</v>
      </c>
      <c r="T525">
        <f>'raw data Crude oil'!T526</f>
        <v>53.72</v>
      </c>
      <c r="U525">
        <f>'raw data Crude oil'!U526</f>
        <v>53.92</v>
      </c>
      <c r="V525">
        <f>'raw data Crude oil'!V526</f>
        <v>54.07</v>
      </c>
      <c r="W525">
        <f>'raw data Crude oil'!W526</f>
        <v>54.16</v>
      </c>
      <c r="X525">
        <f>'raw data Crude oil'!X526</f>
        <v>54.22</v>
      </c>
      <c r="Y525">
        <f>'raw data Crude oil'!Y526</f>
        <v>54.24</v>
      </c>
      <c r="Z525">
        <f>'raw data Crude oil'!Z526</f>
        <v>0</v>
      </c>
      <c r="AA525">
        <f>'raw data Crude oil'!AA526</f>
        <v>0</v>
      </c>
      <c r="AB525">
        <f>'raw data Crude oil'!AB526</f>
        <v>0</v>
      </c>
      <c r="AC525">
        <f>'raw data Crude oil'!AC526</f>
        <v>0</v>
      </c>
      <c r="AD525">
        <f>'raw data Crude oil'!AD526</f>
        <v>0</v>
      </c>
      <c r="AE525">
        <f>'raw data Crude oil'!AE526</f>
        <v>0</v>
      </c>
      <c r="AF525">
        <f>'raw data Crude oil'!AF526</f>
        <v>0</v>
      </c>
      <c r="AG525">
        <f>'raw data Crude oil'!AG526</f>
        <v>0</v>
      </c>
      <c r="AH525">
        <f>'raw data Crude oil'!AH526</f>
        <v>0</v>
      </c>
      <c r="AI525">
        <f>'raw data Crude oil'!AI526</f>
        <v>0</v>
      </c>
      <c r="AJ525">
        <f>'raw data Crude oil'!AJ526</f>
        <v>0</v>
      </c>
      <c r="AK525">
        <f>'raw data Crude oil'!AK526</f>
        <v>0</v>
      </c>
    </row>
    <row r="526" spans="1:37" x14ac:dyDescent="0.3">
      <c r="A526" s="18">
        <f>'raw data Crude oil'!A527</f>
        <v>43479</v>
      </c>
      <c r="B526">
        <f>'raw data Crude oil'!B527</f>
        <v>58.99</v>
      </c>
      <c r="C526">
        <f>'raw data Crude oil'!C527</f>
        <v>59.18</v>
      </c>
      <c r="D526">
        <f>'raw data Crude oil'!D527</f>
        <v>59.44</v>
      </c>
      <c r="E526">
        <f>'raw data Crude oil'!E527</f>
        <v>59.63</v>
      </c>
      <c r="F526">
        <f>'raw data Crude oil'!F527</f>
        <v>59.72</v>
      </c>
      <c r="G526">
        <f>'raw data Crude oil'!G527</f>
        <v>59.78</v>
      </c>
      <c r="H526">
        <f>'raw data Crude oil'!H527</f>
        <v>59.77</v>
      </c>
      <c r="I526">
        <f>'raw data Crude oil'!I527</f>
        <v>59.77</v>
      </c>
      <c r="J526">
        <f>'raw data Crude oil'!J527</f>
        <v>59.79</v>
      </c>
      <c r="K526">
        <f>'raw data Crude oil'!K527</f>
        <v>59.76</v>
      </c>
      <c r="L526">
        <f>'raw data Crude oil'!L527</f>
        <v>59.77</v>
      </c>
      <c r="M526">
        <f>'raw data Crude oil'!M527</f>
        <v>59.78</v>
      </c>
      <c r="N526">
        <f>'raw data Crude oil'!N527</f>
        <v>50.51</v>
      </c>
      <c r="O526">
        <f>'raw data Crude oil'!O527</f>
        <v>50.8</v>
      </c>
      <c r="P526">
        <f>'raw data Crude oil'!P527</f>
        <v>51.14</v>
      </c>
      <c r="Q526">
        <f>'raw data Crude oil'!Q527</f>
        <v>51.55</v>
      </c>
      <c r="R526">
        <f>'raw data Crude oil'!R527</f>
        <v>51.96</v>
      </c>
      <c r="S526">
        <f>'raw data Crude oil'!S527</f>
        <v>52.3</v>
      </c>
      <c r="T526">
        <f>'raw data Crude oil'!T527</f>
        <v>52.56</v>
      </c>
      <c r="U526">
        <f>'raw data Crude oil'!U527</f>
        <v>52.75</v>
      </c>
      <c r="V526">
        <f>'raw data Crude oil'!V527</f>
        <v>52.89</v>
      </c>
      <c r="W526">
        <f>'raw data Crude oil'!W527</f>
        <v>52.98</v>
      </c>
      <c r="X526">
        <f>'raw data Crude oil'!X527</f>
        <v>53.04</v>
      </c>
      <c r="Y526">
        <f>'raw data Crude oil'!Y527</f>
        <v>53.07</v>
      </c>
      <c r="Z526">
        <f>'raw data Crude oil'!Z527</f>
        <v>0</v>
      </c>
      <c r="AA526">
        <f>'raw data Crude oil'!AA527</f>
        <v>0</v>
      </c>
      <c r="AB526">
        <f>'raw data Crude oil'!AB527</f>
        <v>0</v>
      </c>
      <c r="AC526">
        <f>'raw data Crude oil'!AC527</f>
        <v>0</v>
      </c>
      <c r="AD526">
        <f>'raw data Crude oil'!AD527</f>
        <v>0</v>
      </c>
      <c r="AE526">
        <f>'raw data Crude oil'!AE527</f>
        <v>0</v>
      </c>
      <c r="AF526">
        <f>'raw data Crude oil'!AF527</f>
        <v>0</v>
      </c>
      <c r="AG526">
        <f>'raw data Crude oil'!AG527</f>
        <v>0</v>
      </c>
      <c r="AH526">
        <f>'raw data Crude oil'!AH527</f>
        <v>0</v>
      </c>
      <c r="AI526">
        <f>'raw data Crude oil'!AI527</f>
        <v>0</v>
      </c>
      <c r="AJ526">
        <f>'raw data Crude oil'!AJ527</f>
        <v>0</v>
      </c>
      <c r="AK526">
        <f>'raw data Crude oil'!AK527</f>
        <v>0</v>
      </c>
    </row>
    <row r="527" spans="1:37" x14ac:dyDescent="0.3">
      <c r="A527" s="18">
        <f>'raw data Crude oil'!A528</f>
        <v>43480</v>
      </c>
      <c r="B527">
        <f>'raw data Crude oil'!B528</f>
        <v>60.64</v>
      </c>
      <c r="C527">
        <f>'raw data Crude oil'!C528</f>
        <v>60.78</v>
      </c>
      <c r="D527">
        <f>'raw data Crude oil'!D528</f>
        <v>61.01</v>
      </c>
      <c r="E527">
        <f>'raw data Crude oil'!E528</f>
        <v>61.17</v>
      </c>
      <c r="F527">
        <f>'raw data Crude oil'!F528</f>
        <v>61.24</v>
      </c>
      <c r="G527">
        <f>'raw data Crude oil'!G528</f>
        <v>61.28</v>
      </c>
      <c r="H527">
        <f>'raw data Crude oil'!H528</f>
        <v>61.24</v>
      </c>
      <c r="I527">
        <f>'raw data Crude oil'!I528</f>
        <v>61.21</v>
      </c>
      <c r="J527">
        <f>'raw data Crude oil'!J528</f>
        <v>61.2</v>
      </c>
      <c r="K527">
        <f>'raw data Crude oil'!K528</f>
        <v>61.16</v>
      </c>
      <c r="L527">
        <f>'raw data Crude oil'!L528</f>
        <v>61.15</v>
      </c>
      <c r="M527">
        <f>'raw data Crude oil'!M528</f>
        <v>61.14</v>
      </c>
      <c r="N527">
        <f>'raw data Crude oil'!N528</f>
        <v>52.11</v>
      </c>
      <c r="O527">
        <f>'raw data Crude oil'!O528</f>
        <v>52.39</v>
      </c>
      <c r="P527">
        <f>'raw data Crude oil'!P528</f>
        <v>52.7</v>
      </c>
      <c r="Q527">
        <f>'raw data Crude oil'!Q528</f>
        <v>53.08</v>
      </c>
      <c r="R527">
        <f>'raw data Crude oil'!R528</f>
        <v>53.47</v>
      </c>
      <c r="S527">
        <f>'raw data Crude oil'!S528</f>
        <v>53.78</v>
      </c>
      <c r="T527">
        <f>'raw data Crude oil'!T528</f>
        <v>54.01</v>
      </c>
      <c r="U527">
        <f>'raw data Crude oil'!U528</f>
        <v>54.17</v>
      </c>
      <c r="V527">
        <f>'raw data Crude oil'!V528</f>
        <v>54.27</v>
      </c>
      <c r="W527">
        <f>'raw data Crude oil'!W528</f>
        <v>54.32</v>
      </c>
      <c r="X527">
        <f>'raw data Crude oil'!X528</f>
        <v>54.35</v>
      </c>
      <c r="Y527">
        <f>'raw data Crude oil'!Y528</f>
        <v>54.34</v>
      </c>
      <c r="Z527">
        <f>'raw data Crude oil'!Z528</f>
        <v>0</v>
      </c>
      <c r="AA527">
        <f>'raw data Crude oil'!AA528</f>
        <v>0</v>
      </c>
      <c r="AB527">
        <f>'raw data Crude oil'!AB528</f>
        <v>0</v>
      </c>
      <c r="AC527">
        <f>'raw data Crude oil'!AC528</f>
        <v>0</v>
      </c>
      <c r="AD527">
        <f>'raw data Crude oil'!AD528</f>
        <v>0</v>
      </c>
      <c r="AE527">
        <f>'raw data Crude oil'!AE528</f>
        <v>0</v>
      </c>
      <c r="AF527">
        <f>'raw data Crude oil'!AF528</f>
        <v>0</v>
      </c>
      <c r="AG527">
        <f>'raw data Crude oil'!AG528</f>
        <v>0</v>
      </c>
      <c r="AH527">
        <f>'raw data Crude oil'!AH528</f>
        <v>0</v>
      </c>
      <c r="AI527">
        <f>'raw data Crude oil'!AI528</f>
        <v>0</v>
      </c>
      <c r="AJ527">
        <f>'raw data Crude oil'!AJ528</f>
        <v>0</v>
      </c>
      <c r="AK527">
        <f>'raw data Crude oil'!AK528</f>
        <v>0</v>
      </c>
    </row>
    <row r="528" spans="1:37" x14ac:dyDescent="0.3">
      <c r="A528" s="18">
        <f>'raw data Crude oil'!A529</f>
        <v>43481</v>
      </c>
      <c r="B528">
        <f>'raw data Crude oil'!B529</f>
        <v>61.32</v>
      </c>
      <c r="C528">
        <f>'raw data Crude oil'!C529</f>
        <v>61.34</v>
      </c>
      <c r="D528">
        <f>'raw data Crude oil'!D529</f>
        <v>61.51</v>
      </c>
      <c r="E528">
        <f>'raw data Crude oil'!E529</f>
        <v>61.65</v>
      </c>
      <c r="F528">
        <f>'raw data Crude oil'!F529</f>
        <v>61.7</v>
      </c>
      <c r="G528">
        <f>'raw data Crude oil'!G529</f>
        <v>61.72</v>
      </c>
      <c r="H528">
        <f>'raw data Crude oil'!H529</f>
        <v>61.67</v>
      </c>
      <c r="I528">
        <f>'raw data Crude oil'!I529</f>
        <v>61.63</v>
      </c>
      <c r="J528">
        <f>'raw data Crude oil'!J529</f>
        <v>61.59</v>
      </c>
      <c r="K528">
        <f>'raw data Crude oil'!K529</f>
        <v>61.53</v>
      </c>
      <c r="L528">
        <f>'raw data Crude oil'!L529</f>
        <v>61.51</v>
      </c>
      <c r="M528">
        <f>'raw data Crude oil'!M529</f>
        <v>61.49</v>
      </c>
      <c r="N528">
        <f>'raw data Crude oil'!N529</f>
        <v>52.31</v>
      </c>
      <c r="O528">
        <f>'raw data Crude oil'!O529</f>
        <v>52.61</v>
      </c>
      <c r="P528">
        <f>'raw data Crude oil'!P529</f>
        <v>52.93</v>
      </c>
      <c r="Q528">
        <f>'raw data Crude oil'!Q529</f>
        <v>53.33</v>
      </c>
      <c r="R528">
        <f>'raw data Crude oil'!R529</f>
        <v>53.75</v>
      </c>
      <c r="S528">
        <f>'raw data Crude oil'!S529</f>
        <v>54.09</v>
      </c>
      <c r="T528">
        <f>'raw data Crude oil'!T529</f>
        <v>54.33</v>
      </c>
      <c r="U528">
        <f>'raw data Crude oil'!U529</f>
        <v>54.5</v>
      </c>
      <c r="V528">
        <f>'raw data Crude oil'!V529</f>
        <v>54.6</v>
      </c>
      <c r="W528">
        <f>'raw data Crude oil'!W529</f>
        <v>54.66</v>
      </c>
      <c r="X528">
        <f>'raw data Crude oil'!X529</f>
        <v>54.69</v>
      </c>
      <c r="Y528">
        <f>'raw data Crude oil'!Y529</f>
        <v>54.7</v>
      </c>
      <c r="Z528">
        <f>'raw data Crude oil'!Z529</f>
        <v>0</v>
      </c>
      <c r="AA528">
        <f>'raw data Crude oil'!AA529</f>
        <v>0</v>
      </c>
      <c r="AB528">
        <f>'raw data Crude oil'!AB529</f>
        <v>0</v>
      </c>
      <c r="AC528">
        <f>'raw data Crude oil'!AC529</f>
        <v>0</v>
      </c>
      <c r="AD528">
        <f>'raw data Crude oil'!AD529</f>
        <v>0</v>
      </c>
      <c r="AE528">
        <f>'raw data Crude oil'!AE529</f>
        <v>0</v>
      </c>
      <c r="AF528">
        <f>'raw data Crude oil'!AF529</f>
        <v>0</v>
      </c>
      <c r="AG528">
        <f>'raw data Crude oil'!AG529</f>
        <v>0</v>
      </c>
      <c r="AH528">
        <f>'raw data Crude oil'!AH529</f>
        <v>0</v>
      </c>
      <c r="AI528">
        <f>'raw data Crude oil'!AI529</f>
        <v>0</v>
      </c>
      <c r="AJ528">
        <f>'raw data Crude oil'!AJ529</f>
        <v>0</v>
      </c>
      <c r="AK528">
        <f>'raw data Crude oil'!AK529</f>
        <v>0</v>
      </c>
    </row>
    <row r="529" spans="1:37" x14ac:dyDescent="0.3">
      <c r="A529" s="18">
        <f>'raw data Crude oil'!A530</f>
        <v>43482</v>
      </c>
      <c r="B529">
        <f>'raw data Crude oil'!B530</f>
        <v>61.18</v>
      </c>
      <c r="C529">
        <f>'raw data Crude oil'!C530</f>
        <v>61.16</v>
      </c>
      <c r="D529">
        <f>'raw data Crude oil'!D530</f>
        <v>61.32</v>
      </c>
      <c r="E529">
        <f>'raw data Crude oil'!E530</f>
        <v>61.44</v>
      </c>
      <c r="F529">
        <f>'raw data Crude oil'!F530</f>
        <v>61.47</v>
      </c>
      <c r="G529">
        <f>'raw data Crude oil'!G530</f>
        <v>61.48</v>
      </c>
      <c r="H529">
        <f>'raw data Crude oil'!H530</f>
        <v>61.41</v>
      </c>
      <c r="I529">
        <f>'raw data Crude oil'!I530</f>
        <v>61.34</v>
      </c>
      <c r="J529">
        <f>'raw data Crude oil'!J530</f>
        <v>61.28</v>
      </c>
      <c r="K529">
        <f>'raw data Crude oil'!K530</f>
        <v>61.2</v>
      </c>
      <c r="L529">
        <f>'raw data Crude oil'!L530</f>
        <v>61.17</v>
      </c>
      <c r="M529">
        <f>'raw data Crude oil'!M530</f>
        <v>61.14</v>
      </c>
      <c r="N529">
        <f>'raw data Crude oil'!N530</f>
        <v>52.07</v>
      </c>
      <c r="O529">
        <f>'raw data Crude oil'!O530</f>
        <v>52.36</v>
      </c>
      <c r="P529">
        <f>'raw data Crude oil'!P530</f>
        <v>52.69</v>
      </c>
      <c r="Q529">
        <f>'raw data Crude oil'!Q530</f>
        <v>53.11</v>
      </c>
      <c r="R529">
        <f>'raw data Crude oil'!R530</f>
        <v>53.55</v>
      </c>
      <c r="S529">
        <f>'raw data Crude oil'!S530</f>
        <v>53.91</v>
      </c>
      <c r="T529">
        <f>'raw data Crude oil'!T530</f>
        <v>54.15</v>
      </c>
      <c r="U529">
        <f>'raw data Crude oil'!U530</f>
        <v>54.3</v>
      </c>
      <c r="V529">
        <f>'raw data Crude oil'!V530</f>
        <v>54.39</v>
      </c>
      <c r="W529">
        <f>'raw data Crude oil'!W530</f>
        <v>54.44</v>
      </c>
      <c r="X529">
        <f>'raw data Crude oil'!X530</f>
        <v>54.45</v>
      </c>
      <c r="Y529">
        <f>'raw data Crude oil'!Y530</f>
        <v>54.43</v>
      </c>
      <c r="Z529">
        <f>'raw data Crude oil'!Z530</f>
        <v>0</v>
      </c>
      <c r="AA529">
        <f>'raw data Crude oil'!AA530</f>
        <v>0</v>
      </c>
      <c r="AB529">
        <f>'raw data Crude oil'!AB530</f>
        <v>0</v>
      </c>
      <c r="AC529">
        <f>'raw data Crude oil'!AC530</f>
        <v>0</v>
      </c>
      <c r="AD529">
        <f>'raw data Crude oil'!AD530</f>
        <v>0</v>
      </c>
      <c r="AE529">
        <f>'raw data Crude oil'!AE530</f>
        <v>0</v>
      </c>
      <c r="AF529">
        <f>'raw data Crude oil'!AF530</f>
        <v>0</v>
      </c>
      <c r="AG529">
        <f>'raw data Crude oil'!AG530</f>
        <v>0</v>
      </c>
      <c r="AH529">
        <f>'raw data Crude oil'!AH530</f>
        <v>0</v>
      </c>
      <c r="AI529">
        <f>'raw data Crude oil'!AI530</f>
        <v>0</v>
      </c>
      <c r="AJ529">
        <f>'raw data Crude oil'!AJ530</f>
        <v>0</v>
      </c>
      <c r="AK529">
        <f>'raw data Crude oil'!AK530</f>
        <v>0</v>
      </c>
    </row>
    <row r="530" spans="1:37" x14ac:dyDescent="0.3">
      <c r="A530" s="18">
        <f>'raw data Crude oil'!A531</f>
        <v>43483</v>
      </c>
      <c r="B530">
        <f>'raw data Crude oil'!B531</f>
        <v>62.7</v>
      </c>
      <c r="C530">
        <f>'raw data Crude oil'!C531</f>
        <v>62.59</v>
      </c>
      <c r="D530">
        <f>'raw data Crude oil'!D531</f>
        <v>62.68</v>
      </c>
      <c r="E530">
        <f>'raw data Crude oil'!E531</f>
        <v>62.77</v>
      </c>
      <c r="F530">
        <f>'raw data Crude oil'!F531</f>
        <v>62.76</v>
      </c>
      <c r="G530">
        <f>'raw data Crude oil'!G531</f>
        <v>62.74</v>
      </c>
      <c r="H530">
        <f>'raw data Crude oil'!H531</f>
        <v>62.65</v>
      </c>
      <c r="I530">
        <f>'raw data Crude oil'!I531</f>
        <v>62.56</v>
      </c>
      <c r="J530">
        <f>'raw data Crude oil'!J531</f>
        <v>62.47</v>
      </c>
      <c r="K530">
        <f>'raw data Crude oil'!K531</f>
        <v>62.36</v>
      </c>
      <c r="L530">
        <f>'raw data Crude oil'!L531</f>
        <v>62.29</v>
      </c>
      <c r="M530">
        <f>'raw data Crude oil'!M531</f>
        <v>62.22</v>
      </c>
      <c r="N530">
        <f>'raw data Crude oil'!N531</f>
        <v>53.8</v>
      </c>
      <c r="O530">
        <f>'raw data Crude oil'!O531</f>
        <v>54.04</v>
      </c>
      <c r="P530">
        <f>'raw data Crude oil'!P531</f>
        <v>54.3</v>
      </c>
      <c r="Q530">
        <f>'raw data Crude oil'!Q531</f>
        <v>54.64</v>
      </c>
      <c r="R530">
        <f>'raw data Crude oil'!R531</f>
        <v>54.99</v>
      </c>
      <c r="S530">
        <f>'raw data Crude oil'!S531</f>
        <v>55.27</v>
      </c>
      <c r="T530">
        <f>'raw data Crude oil'!T531</f>
        <v>55.43</v>
      </c>
      <c r="U530">
        <f>'raw data Crude oil'!U531</f>
        <v>55.51</v>
      </c>
      <c r="V530">
        <f>'raw data Crude oil'!V531</f>
        <v>55.53</v>
      </c>
      <c r="W530">
        <f>'raw data Crude oil'!W531</f>
        <v>55.51</v>
      </c>
      <c r="X530">
        <f>'raw data Crude oil'!X531</f>
        <v>55.45</v>
      </c>
      <c r="Y530">
        <f>'raw data Crude oil'!Y531</f>
        <v>55.37</v>
      </c>
      <c r="Z530">
        <f>'raw data Crude oil'!Z531</f>
        <v>0</v>
      </c>
      <c r="AA530">
        <f>'raw data Crude oil'!AA531</f>
        <v>0</v>
      </c>
      <c r="AB530">
        <f>'raw data Crude oil'!AB531</f>
        <v>0</v>
      </c>
      <c r="AC530">
        <f>'raw data Crude oil'!AC531</f>
        <v>0</v>
      </c>
      <c r="AD530">
        <f>'raw data Crude oil'!AD531</f>
        <v>0</v>
      </c>
      <c r="AE530">
        <f>'raw data Crude oil'!AE531</f>
        <v>0</v>
      </c>
      <c r="AF530">
        <f>'raw data Crude oil'!AF531</f>
        <v>0</v>
      </c>
      <c r="AG530">
        <f>'raw data Crude oil'!AG531</f>
        <v>0</v>
      </c>
      <c r="AH530">
        <f>'raw data Crude oil'!AH531</f>
        <v>0</v>
      </c>
      <c r="AI530">
        <f>'raw data Crude oil'!AI531</f>
        <v>0</v>
      </c>
      <c r="AJ530">
        <f>'raw data Crude oil'!AJ531</f>
        <v>0</v>
      </c>
      <c r="AK530">
        <f>'raw data Crude oil'!AK531</f>
        <v>0</v>
      </c>
    </row>
    <row r="531" spans="1:37" x14ac:dyDescent="0.3">
      <c r="A531" s="18">
        <f>'raw data Crude oil'!A532</f>
        <v>43486</v>
      </c>
      <c r="B531">
        <f>'raw data Crude oil'!B532</f>
        <v>62.74</v>
      </c>
      <c r="C531">
        <f>'raw data Crude oil'!C532</f>
        <v>62.57</v>
      </c>
      <c r="D531">
        <f>'raw data Crude oil'!D532</f>
        <v>62.66</v>
      </c>
      <c r="E531">
        <f>'raw data Crude oil'!E532</f>
        <v>62.74</v>
      </c>
      <c r="F531">
        <f>'raw data Crude oil'!F532</f>
        <v>62.74</v>
      </c>
      <c r="G531">
        <f>'raw data Crude oil'!G532</f>
        <v>62.73</v>
      </c>
      <c r="H531">
        <f>'raw data Crude oil'!H532</f>
        <v>62.64</v>
      </c>
      <c r="I531">
        <f>'raw data Crude oil'!I532</f>
        <v>62.56</v>
      </c>
      <c r="J531">
        <f>'raw data Crude oil'!J532</f>
        <v>62.47</v>
      </c>
      <c r="K531">
        <f>'raw data Crude oil'!K532</f>
        <v>62.36</v>
      </c>
      <c r="L531">
        <f>'raw data Crude oil'!L532</f>
        <v>62.3</v>
      </c>
      <c r="M531">
        <f>'raw data Crude oil'!M532</f>
        <v>62.24</v>
      </c>
      <c r="N531">
        <f>'raw data Crude oil'!N532</f>
        <v>53.8</v>
      </c>
      <c r="O531">
        <f>'raw data Crude oil'!O532</f>
        <v>54.04</v>
      </c>
      <c r="P531">
        <f>'raw data Crude oil'!P532</f>
        <v>54.3</v>
      </c>
      <c r="Q531">
        <f>'raw data Crude oil'!Q532</f>
        <v>54.64</v>
      </c>
      <c r="R531">
        <f>'raw data Crude oil'!R532</f>
        <v>54.99</v>
      </c>
      <c r="S531">
        <f>'raw data Crude oil'!S532</f>
        <v>55.27</v>
      </c>
      <c r="T531">
        <f>'raw data Crude oil'!T532</f>
        <v>55.43</v>
      </c>
      <c r="U531">
        <f>'raw data Crude oil'!U532</f>
        <v>55.51</v>
      </c>
      <c r="V531">
        <f>'raw data Crude oil'!V532</f>
        <v>55.53</v>
      </c>
      <c r="W531">
        <f>'raw data Crude oil'!W532</f>
        <v>55.51</v>
      </c>
      <c r="X531">
        <f>'raw data Crude oil'!X532</f>
        <v>55.45</v>
      </c>
      <c r="Y531">
        <f>'raw data Crude oil'!Y532</f>
        <v>55.37</v>
      </c>
      <c r="Z531">
        <f>'raw data Crude oil'!Z532</f>
        <v>0</v>
      </c>
      <c r="AA531">
        <f>'raw data Crude oil'!AA532</f>
        <v>0</v>
      </c>
      <c r="AB531">
        <f>'raw data Crude oil'!AB532</f>
        <v>0</v>
      </c>
      <c r="AC531">
        <f>'raw data Crude oil'!AC532</f>
        <v>0</v>
      </c>
      <c r="AD531">
        <f>'raw data Crude oil'!AD532</f>
        <v>0</v>
      </c>
      <c r="AE531">
        <f>'raw data Crude oil'!AE532</f>
        <v>0</v>
      </c>
      <c r="AF531">
        <f>'raw data Crude oil'!AF532</f>
        <v>0</v>
      </c>
      <c r="AG531">
        <f>'raw data Crude oil'!AG532</f>
        <v>0</v>
      </c>
      <c r="AH531">
        <f>'raw data Crude oil'!AH532</f>
        <v>0</v>
      </c>
      <c r="AI531">
        <f>'raw data Crude oil'!AI532</f>
        <v>0</v>
      </c>
      <c r="AJ531">
        <f>'raw data Crude oil'!AJ532</f>
        <v>0</v>
      </c>
      <c r="AK531">
        <f>'raw data Crude oil'!AK532</f>
        <v>0</v>
      </c>
    </row>
    <row r="532" spans="1:37" x14ac:dyDescent="0.3">
      <c r="A532" s="18">
        <f>'raw data Crude oil'!A533</f>
        <v>43487</v>
      </c>
      <c r="B532">
        <f>'raw data Crude oil'!B533</f>
        <v>61.5</v>
      </c>
      <c r="C532">
        <f>'raw data Crude oil'!C533</f>
        <v>61.38</v>
      </c>
      <c r="D532">
        <f>'raw data Crude oil'!D533</f>
        <v>61.52</v>
      </c>
      <c r="E532">
        <f>'raw data Crude oil'!E533</f>
        <v>61.64</v>
      </c>
      <c r="F532">
        <f>'raw data Crude oil'!F533</f>
        <v>61.67</v>
      </c>
      <c r="G532">
        <f>'raw data Crude oil'!G533</f>
        <v>61.69</v>
      </c>
      <c r="H532">
        <f>'raw data Crude oil'!H533</f>
        <v>61.64</v>
      </c>
      <c r="I532">
        <f>'raw data Crude oil'!I533</f>
        <v>61.6</v>
      </c>
      <c r="J532">
        <f>'raw data Crude oil'!J533</f>
        <v>61.56</v>
      </c>
      <c r="K532">
        <f>'raw data Crude oil'!K533</f>
        <v>61.48</v>
      </c>
      <c r="L532">
        <f>'raw data Crude oil'!L533</f>
        <v>61.44</v>
      </c>
      <c r="M532">
        <f>'raw data Crude oil'!M533</f>
        <v>61.41</v>
      </c>
      <c r="N532">
        <f>'raw data Crude oil'!N533</f>
        <v>52.57</v>
      </c>
      <c r="O532">
        <f>'raw data Crude oil'!O533</f>
        <v>53.01</v>
      </c>
      <c r="P532">
        <f>'raw data Crude oil'!P533</f>
        <v>53.3</v>
      </c>
      <c r="Q532">
        <f>'raw data Crude oil'!Q533</f>
        <v>53.7</v>
      </c>
      <c r="R532">
        <f>'raw data Crude oil'!R533</f>
        <v>54.1</v>
      </c>
      <c r="S532">
        <f>'raw data Crude oil'!S533</f>
        <v>54.44</v>
      </c>
      <c r="T532">
        <f>'raw data Crude oil'!T533</f>
        <v>54.67</v>
      </c>
      <c r="U532">
        <f>'raw data Crude oil'!U533</f>
        <v>54.82</v>
      </c>
      <c r="V532">
        <f>'raw data Crude oil'!V533</f>
        <v>54.9</v>
      </c>
      <c r="W532">
        <f>'raw data Crude oil'!W533</f>
        <v>54.94</v>
      </c>
      <c r="X532">
        <f>'raw data Crude oil'!X533</f>
        <v>54.96</v>
      </c>
      <c r="Y532">
        <f>'raw data Crude oil'!Y533</f>
        <v>54.94</v>
      </c>
      <c r="Z532">
        <f>'raw data Crude oil'!Z533</f>
        <v>0</v>
      </c>
      <c r="AA532">
        <f>'raw data Crude oil'!AA533</f>
        <v>0</v>
      </c>
      <c r="AB532">
        <f>'raw data Crude oil'!AB533</f>
        <v>0</v>
      </c>
      <c r="AC532">
        <f>'raw data Crude oil'!AC533</f>
        <v>0</v>
      </c>
      <c r="AD532">
        <f>'raw data Crude oil'!AD533</f>
        <v>0</v>
      </c>
      <c r="AE532">
        <f>'raw data Crude oil'!AE533</f>
        <v>0</v>
      </c>
      <c r="AF532">
        <f>'raw data Crude oil'!AF533</f>
        <v>0</v>
      </c>
      <c r="AG532">
        <f>'raw data Crude oil'!AG533</f>
        <v>0</v>
      </c>
      <c r="AH532">
        <f>'raw data Crude oil'!AH533</f>
        <v>0</v>
      </c>
      <c r="AI532">
        <f>'raw data Crude oil'!AI533</f>
        <v>0</v>
      </c>
      <c r="AJ532">
        <f>'raw data Crude oil'!AJ533</f>
        <v>0</v>
      </c>
      <c r="AK532">
        <f>'raw data Crude oil'!AK533</f>
        <v>0</v>
      </c>
    </row>
    <row r="533" spans="1:37" x14ac:dyDescent="0.3">
      <c r="A533" s="18">
        <f>'raw data Crude oil'!A534</f>
        <v>43488</v>
      </c>
      <c r="B533">
        <f>'raw data Crude oil'!B534</f>
        <v>61.14</v>
      </c>
      <c r="C533">
        <f>'raw data Crude oil'!C534</f>
        <v>61.03</v>
      </c>
      <c r="D533">
        <f>'raw data Crude oil'!D534</f>
        <v>61.17</v>
      </c>
      <c r="E533">
        <f>'raw data Crude oil'!E534</f>
        <v>61.3</v>
      </c>
      <c r="F533">
        <f>'raw data Crude oil'!F534</f>
        <v>61.33</v>
      </c>
      <c r="G533">
        <f>'raw data Crude oil'!G534</f>
        <v>61.36</v>
      </c>
      <c r="H533">
        <f>'raw data Crude oil'!H534</f>
        <v>61.32</v>
      </c>
      <c r="I533">
        <f>'raw data Crude oil'!I534</f>
        <v>61.29</v>
      </c>
      <c r="J533">
        <f>'raw data Crude oil'!J534</f>
        <v>61.27</v>
      </c>
      <c r="K533">
        <f>'raw data Crude oil'!K534</f>
        <v>61.21</v>
      </c>
      <c r="L533">
        <f>'raw data Crude oil'!L534</f>
        <v>61.19</v>
      </c>
      <c r="M533">
        <f>'raw data Crude oil'!M534</f>
        <v>61.18</v>
      </c>
      <c r="N533">
        <f>'raw data Crude oil'!N534</f>
        <v>52.62</v>
      </c>
      <c r="O533">
        <f>'raw data Crude oil'!O534</f>
        <v>52.92</v>
      </c>
      <c r="P533">
        <f>'raw data Crude oil'!P534</f>
        <v>53.32</v>
      </c>
      <c r="Q533">
        <f>'raw data Crude oil'!Q534</f>
        <v>53.73</v>
      </c>
      <c r="R533">
        <f>'raw data Crude oil'!R534</f>
        <v>54.09</v>
      </c>
      <c r="S533">
        <f>'raw data Crude oil'!S534</f>
        <v>54.34</v>
      </c>
      <c r="T533">
        <f>'raw data Crude oil'!T534</f>
        <v>54.5</v>
      </c>
      <c r="U533">
        <f>'raw data Crude oil'!U534</f>
        <v>54.6</v>
      </c>
      <c r="V533">
        <f>'raw data Crude oil'!V534</f>
        <v>54.67</v>
      </c>
      <c r="W533">
        <f>'raw data Crude oil'!W534</f>
        <v>54.7</v>
      </c>
      <c r="X533">
        <f>'raw data Crude oil'!X534</f>
        <v>54.7</v>
      </c>
      <c r="Y533">
        <f>'raw data Crude oil'!Y534</f>
        <v>54.69</v>
      </c>
      <c r="Z533">
        <f>'raw data Crude oil'!Z534</f>
        <v>0</v>
      </c>
      <c r="AA533">
        <f>'raw data Crude oil'!AA534</f>
        <v>0</v>
      </c>
      <c r="AB533">
        <f>'raw data Crude oil'!AB534</f>
        <v>0</v>
      </c>
      <c r="AC533">
        <f>'raw data Crude oil'!AC534</f>
        <v>0</v>
      </c>
      <c r="AD533">
        <f>'raw data Crude oil'!AD534</f>
        <v>0</v>
      </c>
      <c r="AE533">
        <f>'raw data Crude oil'!AE534</f>
        <v>0</v>
      </c>
      <c r="AF533">
        <f>'raw data Crude oil'!AF534</f>
        <v>0</v>
      </c>
      <c r="AG533">
        <f>'raw data Crude oil'!AG534</f>
        <v>0</v>
      </c>
      <c r="AH533">
        <f>'raw data Crude oil'!AH534</f>
        <v>0</v>
      </c>
      <c r="AI533">
        <f>'raw data Crude oil'!AI534</f>
        <v>0</v>
      </c>
      <c r="AJ533">
        <f>'raw data Crude oil'!AJ534</f>
        <v>0</v>
      </c>
      <c r="AK533">
        <f>'raw data Crude oil'!AK534</f>
        <v>0</v>
      </c>
    </row>
    <row r="534" spans="1:37" x14ac:dyDescent="0.3">
      <c r="A534" s="18">
        <f>'raw data Crude oil'!A535</f>
        <v>43489</v>
      </c>
      <c r="B534">
        <f>'raw data Crude oil'!B535</f>
        <v>61.09</v>
      </c>
      <c r="C534">
        <f>'raw data Crude oil'!C535</f>
        <v>61.16</v>
      </c>
      <c r="D534">
        <f>'raw data Crude oil'!D535</f>
        <v>61.31</v>
      </c>
      <c r="E534">
        <f>'raw data Crude oil'!E535</f>
        <v>61.43</v>
      </c>
      <c r="F534">
        <f>'raw data Crude oil'!F535</f>
        <v>61.45</v>
      </c>
      <c r="G534">
        <f>'raw data Crude oil'!G535</f>
        <v>61.48</v>
      </c>
      <c r="H534">
        <f>'raw data Crude oil'!H535</f>
        <v>61.44</v>
      </c>
      <c r="I534">
        <f>'raw data Crude oil'!I535</f>
        <v>61.41</v>
      </c>
      <c r="J534">
        <f>'raw data Crude oil'!J535</f>
        <v>61.38</v>
      </c>
      <c r="K534">
        <f>'raw data Crude oil'!K535</f>
        <v>61.32</v>
      </c>
      <c r="L534">
        <f>'raw data Crude oil'!L535</f>
        <v>61.29</v>
      </c>
      <c r="M534">
        <f>'raw data Crude oil'!M535</f>
        <v>61.27</v>
      </c>
      <c r="N534">
        <f>'raw data Crude oil'!N535</f>
        <v>53.13</v>
      </c>
      <c r="O534">
        <f>'raw data Crude oil'!O535</f>
        <v>53.42</v>
      </c>
      <c r="P534">
        <f>'raw data Crude oil'!P535</f>
        <v>53.78</v>
      </c>
      <c r="Q534">
        <f>'raw data Crude oil'!Q535</f>
        <v>54.14</v>
      </c>
      <c r="R534">
        <f>'raw data Crude oil'!R535</f>
        <v>54.45</v>
      </c>
      <c r="S534">
        <f>'raw data Crude oil'!S535</f>
        <v>54.66</v>
      </c>
      <c r="T534">
        <f>'raw data Crude oil'!T535</f>
        <v>54.78</v>
      </c>
      <c r="U534">
        <f>'raw data Crude oil'!U535</f>
        <v>54.85</v>
      </c>
      <c r="V534">
        <f>'raw data Crude oil'!V535</f>
        <v>54.88</v>
      </c>
      <c r="W534">
        <f>'raw data Crude oil'!W535</f>
        <v>54.88</v>
      </c>
      <c r="X534">
        <f>'raw data Crude oil'!X535</f>
        <v>54.85</v>
      </c>
      <c r="Y534">
        <f>'raw data Crude oil'!Y535</f>
        <v>54.82</v>
      </c>
      <c r="Z534">
        <f>'raw data Crude oil'!Z535</f>
        <v>0</v>
      </c>
      <c r="AA534">
        <f>'raw data Crude oil'!AA535</f>
        <v>0</v>
      </c>
      <c r="AB534">
        <f>'raw data Crude oil'!AB535</f>
        <v>0</v>
      </c>
      <c r="AC534">
        <f>'raw data Crude oil'!AC535</f>
        <v>0</v>
      </c>
      <c r="AD534">
        <f>'raw data Crude oil'!AD535</f>
        <v>0</v>
      </c>
      <c r="AE534">
        <f>'raw data Crude oil'!AE535</f>
        <v>0</v>
      </c>
      <c r="AF534">
        <f>'raw data Crude oil'!AF535</f>
        <v>0</v>
      </c>
      <c r="AG534">
        <f>'raw data Crude oil'!AG535</f>
        <v>0</v>
      </c>
      <c r="AH534">
        <f>'raw data Crude oil'!AH535</f>
        <v>0</v>
      </c>
      <c r="AI534">
        <f>'raw data Crude oil'!AI535</f>
        <v>0</v>
      </c>
      <c r="AJ534">
        <f>'raw data Crude oil'!AJ535</f>
        <v>0</v>
      </c>
      <c r="AK534">
        <f>'raw data Crude oil'!AK535</f>
        <v>0</v>
      </c>
    </row>
    <row r="535" spans="1:37" x14ac:dyDescent="0.3">
      <c r="A535" s="18">
        <f>'raw data Crude oil'!A536</f>
        <v>43490</v>
      </c>
      <c r="B535">
        <f>'raw data Crude oil'!B536</f>
        <v>61.64</v>
      </c>
      <c r="C535">
        <f>'raw data Crude oil'!C536</f>
        <v>61.59</v>
      </c>
      <c r="D535">
        <f>'raw data Crude oil'!D536</f>
        <v>61.72</v>
      </c>
      <c r="E535">
        <f>'raw data Crude oil'!E536</f>
        <v>61.82</v>
      </c>
      <c r="F535">
        <f>'raw data Crude oil'!F536</f>
        <v>61.81</v>
      </c>
      <c r="G535">
        <f>'raw data Crude oil'!G536</f>
        <v>61.81</v>
      </c>
      <c r="H535">
        <f>'raw data Crude oil'!H536</f>
        <v>61.76</v>
      </c>
      <c r="I535">
        <f>'raw data Crude oil'!I536</f>
        <v>61.7</v>
      </c>
      <c r="J535">
        <f>'raw data Crude oil'!J536</f>
        <v>61.65</v>
      </c>
      <c r="K535">
        <f>'raw data Crude oil'!K536</f>
        <v>61.58</v>
      </c>
      <c r="L535">
        <f>'raw data Crude oil'!L536</f>
        <v>61.54</v>
      </c>
      <c r="M535">
        <f>'raw data Crude oil'!M536</f>
        <v>61.51</v>
      </c>
      <c r="N535">
        <f>'raw data Crude oil'!N536</f>
        <v>53.69</v>
      </c>
      <c r="O535">
        <f>'raw data Crude oil'!O536</f>
        <v>53.98</v>
      </c>
      <c r="P535">
        <f>'raw data Crude oil'!P536</f>
        <v>54.31</v>
      </c>
      <c r="Q535">
        <f>'raw data Crude oil'!Q536</f>
        <v>54.66</v>
      </c>
      <c r="R535">
        <f>'raw data Crude oil'!R536</f>
        <v>54.96</v>
      </c>
      <c r="S535">
        <f>'raw data Crude oil'!S536</f>
        <v>55.16</v>
      </c>
      <c r="T535">
        <f>'raw data Crude oil'!T536</f>
        <v>55.27</v>
      </c>
      <c r="U535">
        <f>'raw data Crude oil'!U536</f>
        <v>55.32</v>
      </c>
      <c r="V535">
        <f>'raw data Crude oil'!V536</f>
        <v>55.32</v>
      </c>
      <c r="W535">
        <f>'raw data Crude oil'!W536</f>
        <v>55.29</v>
      </c>
      <c r="X535">
        <f>'raw data Crude oil'!X536</f>
        <v>55.24</v>
      </c>
      <c r="Y535">
        <f>'raw data Crude oil'!Y536</f>
        <v>55.19</v>
      </c>
      <c r="Z535">
        <f>'raw data Crude oil'!Z536</f>
        <v>0</v>
      </c>
      <c r="AA535">
        <f>'raw data Crude oil'!AA536</f>
        <v>0</v>
      </c>
      <c r="AB535">
        <f>'raw data Crude oil'!AB536</f>
        <v>0</v>
      </c>
      <c r="AC535">
        <f>'raw data Crude oil'!AC536</f>
        <v>0</v>
      </c>
      <c r="AD535">
        <f>'raw data Crude oil'!AD536</f>
        <v>0</v>
      </c>
      <c r="AE535">
        <f>'raw data Crude oil'!AE536</f>
        <v>0</v>
      </c>
      <c r="AF535">
        <f>'raw data Crude oil'!AF536</f>
        <v>0</v>
      </c>
      <c r="AG535">
        <f>'raw data Crude oil'!AG536</f>
        <v>0</v>
      </c>
      <c r="AH535">
        <f>'raw data Crude oil'!AH536</f>
        <v>0</v>
      </c>
      <c r="AI535">
        <f>'raw data Crude oil'!AI536</f>
        <v>0</v>
      </c>
      <c r="AJ535">
        <f>'raw data Crude oil'!AJ536</f>
        <v>0</v>
      </c>
      <c r="AK535">
        <f>'raw data Crude oil'!AK536</f>
        <v>0</v>
      </c>
    </row>
    <row r="536" spans="1:37" x14ac:dyDescent="0.3">
      <c r="A536" s="18">
        <f>'raw data Crude oil'!A537</f>
        <v>43493</v>
      </c>
      <c r="B536">
        <f>'raw data Crude oil'!B537</f>
        <v>59.93</v>
      </c>
      <c r="C536">
        <f>'raw data Crude oil'!C537</f>
        <v>59.81</v>
      </c>
      <c r="D536">
        <f>'raw data Crude oil'!D537</f>
        <v>59.91</v>
      </c>
      <c r="E536">
        <f>'raw data Crude oil'!E537</f>
        <v>60</v>
      </c>
      <c r="F536">
        <f>'raw data Crude oil'!F537</f>
        <v>59.99</v>
      </c>
      <c r="G536">
        <f>'raw data Crude oil'!G537</f>
        <v>59.99</v>
      </c>
      <c r="H536">
        <f>'raw data Crude oil'!H537</f>
        <v>59.96</v>
      </c>
      <c r="I536">
        <f>'raw data Crude oil'!I537</f>
        <v>59.93</v>
      </c>
      <c r="J536">
        <f>'raw data Crude oil'!J537</f>
        <v>59.91</v>
      </c>
      <c r="K536">
        <f>'raw data Crude oil'!K537</f>
        <v>59.87</v>
      </c>
      <c r="L536">
        <f>'raw data Crude oil'!L537</f>
        <v>59.86</v>
      </c>
      <c r="M536">
        <f>'raw data Crude oil'!M537</f>
        <v>59.86</v>
      </c>
      <c r="N536">
        <f>'raw data Crude oil'!N537</f>
        <v>51.99</v>
      </c>
      <c r="O536">
        <f>'raw data Crude oil'!O537</f>
        <v>52.29</v>
      </c>
      <c r="P536">
        <f>'raw data Crude oil'!P537</f>
        <v>52.64</v>
      </c>
      <c r="Q536">
        <f>'raw data Crude oil'!Q537</f>
        <v>53.01</v>
      </c>
      <c r="R536">
        <f>'raw data Crude oil'!R537</f>
        <v>53.35</v>
      </c>
      <c r="S536">
        <f>'raw data Crude oil'!S537</f>
        <v>53.59</v>
      </c>
      <c r="T536">
        <f>'raw data Crude oil'!T537</f>
        <v>53.75</v>
      </c>
      <c r="U536">
        <f>'raw data Crude oil'!U537</f>
        <v>53.82</v>
      </c>
      <c r="V536">
        <f>'raw data Crude oil'!V537</f>
        <v>53.85</v>
      </c>
      <c r="W536">
        <f>'raw data Crude oil'!W537</f>
        <v>53.84</v>
      </c>
      <c r="X536">
        <f>'raw data Crude oil'!X537</f>
        <v>53.82</v>
      </c>
      <c r="Y536">
        <f>'raw data Crude oil'!Y537</f>
        <v>53.8</v>
      </c>
      <c r="Z536">
        <f>'raw data Crude oil'!Z537</f>
        <v>0</v>
      </c>
      <c r="AA536">
        <f>'raw data Crude oil'!AA537</f>
        <v>0</v>
      </c>
      <c r="AB536">
        <f>'raw data Crude oil'!AB537</f>
        <v>0</v>
      </c>
      <c r="AC536">
        <f>'raw data Crude oil'!AC537</f>
        <v>0</v>
      </c>
      <c r="AD536">
        <f>'raw data Crude oil'!AD537</f>
        <v>0</v>
      </c>
      <c r="AE536">
        <f>'raw data Crude oil'!AE537</f>
        <v>0</v>
      </c>
      <c r="AF536">
        <f>'raw data Crude oil'!AF537</f>
        <v>0</v>
      </c>
      <c r="AG536">
        <f>'raw data Crude oil'!AG537</f>
        <v>0</v>
      </c>
      <c r="AH536">
        <f>'raw data Crude oil'!AH537</f>
        <v>0</v>
      </c>
      <c r="AI536">
        <f>'raw data Crude oil'!AI537</f>
        <v>0</v>
      </c>
      <c r="AJ536">
        <f>'raw data Crude oil'!AJ537</f>
        <v>0</v>
      </c>
      <c r="AK536">
        <f>'raw data Crude oil'!AK537</f>
        <v>0</v>
      </c>
    </row>
    <row r="537" spans="1:37" x14ac:dyDescent="0.3">
      <c r="A537" s="18">
        <f>'raw data Crude oil'!A538</f>
        <v>43494</v>
      </c>
      <c r="B537">
        <f>'raw data Crude oil'!B538</f>
        <v>61.32</v>
      </c>
      <c r="C537">
        <f>'raw data Crude oil'!C538</f>
        <v>61.2</v>
      </c>
      <c r="D537">
        <f>'raw data Crude oil'!D538</f>
        <v>61.29</v>
      </c>
      <c r="E537">
        <f>'raw data Crude oil'!E538</f>
        <v>61.36</v>
      </c>
      <c r="F537">
        <f>'raw data Crude oil'!F538</f>
        <v>61.33</v>
      </c>
      <c r="G537">
        <f>'raw data Crude oil'!G538</f>
        <v>61.31</v>
      </c>
      <c r="H537">
        <f>'raw data Crude oil'!H538</f>
        <v>61.26</v>
      </c>
      <c r="I537">
        <f>'raw data Crude oil'!I538</f>
        <v>61.21</v>
      </c>
      <c r="J537">
        <f>'raw data Crude oil'!J538</f>
        <v>61.18</v>
      </c>
      <c r="K537">
        <f>'raw data Crude oil'!K538</f>
        <v>61.12</v>
      </c>
      <c r="L537">
        <f>'raw data Crude oil'!L538</f>
        <v>61.1</v>
      </c>
      <c r="M537">
        <f>'raw data Crude oil'!M538</f>
        <v>61.08</v>
      </c>
      <c r="N537">
        <f>'raw data Crude oil'!N538</f>
        <v>53.31</v>
      </c>
      <c r="O537">
        <f>'raw data Crude oil'!O538</f>
        <v>53.6</v>
      </c>
      <c r="P537">
        <f>'raw data Crude oil'!P538</f>
        <v>53.93</v>
      </c>
      <c r="Q537">
        <f>'raw data Crude oil'!Q538</f>
        <v>54.27</v>
      </c>
      <c r="R537">
        <f>'raw data Crude oil'!R538</f>
        <v>54.58</v>
      </c>
      <c r="S537">
        <f>'raw data Crude oil'!S538</f>
        <v>54.81</v>
      </c>
      <c r="T537">
        <f>'raw data Crude oil'!T538</f>
        <v>54.95</v>
      </c>
      <c r="U537">
        <f>'raw data Crude oil'!U538</f>
        <v>55</v>
      </c>
      <c r="V537">
        <f>'raw data Crude oil'!V538</f>
        <v>55.01</v>
      </c>
      <c r="W537">
        <f>'raw data Crude oil'!W538</f>
        <v>54.99</v>
      </c>
      <c r="X537">
        <f>'raw data Crude oil'!X538</f>
        <v>54.95</v>
      </c>
      <c r="Y537">
        <f>'raw data Crude oil'!Y538</f>
        <v>54.9</v>
      </c>
      <c r="Z537">
        <f>'raw data Crude oil'!Z538</f>
        <v>0</v>
      </c>
      <c r="AA537">
        <f>'raw data Crude oil'!AA538</f>
        <v>0</v>
      </c>
      <c r="AB537">
        <f>'raw data Crude oil'!AB538</f>
        <v>0</v>
      </c>
      <c r="AC537">
        <f>'raw data Crude oil'!AC538</f>
        <v>0</v>
      </c>
      <c r="AD537">
        <f>'raw data Crude oil'!AD538</f>
        <v>0</v>
      </c>
      <c r="AE537">
        <f>'raw data Crude oil'!AE538</f>
        <v>0</v>
      </c>
      <c r="AF537">
        <f>'raw data Crude oil'!AF538</f>
        <v>0</v>
      </c>
      <c r="AG537">
        <f>'raw data Crude oil'!AG538</f>
        <v>0</v>
      </c>
      <c r="AH537">
        <f>'raw data Crude oil'!AH538</f>
        <v>0</v>
      </c>
      <c r="AI537">
        <f>'raw data Crude oil'!AI538</f>
        <v>0</v>
      </c>
      <c r="AJ537">
        <f>'raw data Crude oil'!AJ538</f>
        <v>0</v>
      </c>
      <c r="AK537">
        <f>'raw data Crude oil'!AK538</f>
        <v>0</v>
      </c>
    </row>
    <row r="538" spans="1:37" x14ac:dyDescent="0.3">
      <c r="A538" s="18">
        <f>'raw data Crude oil'!A539</f>
        <v>43495</v>
      </c>
      <c r="B538">
        <f>'raw data Crude oil'!B539</f>
        <v>61.65</v>
      </c>
      <c r="C538">
        <f>'raw data Crude oil'!C539</f>
        <v>61.54</v>
      </c>
      <c r="D538">
        <f>'raw data Crude oil'!D539</f>
        <v>61.63</v>
      </c>
      <c r="E538">
        <f>'raw data Crude oil'!E539</f>
        <v>61.7</v>
      </c>
      <c r="F538">
        <f>'raw data Crude oil'!F539</f>
        <v>61.66</v>
      </c>
      <c r="G538">
        <f>'raw data Crude oil'!G539</f>
        <v>61.63</v>
      </c>
      <c r="H538">
        <f>'raw data Crude oil'!H539</f>
        <v>61.56</v>
      </c>
      <c r="I538">
        <f>'raw data Crude oil'!I539</f>
        <v>61.49</v>
      </c>
      <c r="J538">
        <f>'raw data Crude oil'!J539</f>
        <v>61.43</v>
      </c>
      <c r="K538">
        <f>'raw data Crude oil'!K539</f>
        <v>61.34</v>
      </c>
      <c r="L538">
        <f>'raw data Crude oil'!L539</f>
        <v>61.29</v>
      </c>
      <c r="M538">
        <f>'raw data Crude oil'!M539</f>
        <v>61.25</v>
      </c>
      <c r="N538">
        <f>'raw data Crude oil'!N539</f>
        <v>54.23</v>
      </c>
      <c r="O538">
        <f>'raw data Crude oil'!O539</f>
        <v>54.47</v>
      </c>
      <c r="P538">
        <f>'raw data Crude oil'!P539</f>
        <v>54.72</v>
      </c>
      <c r="Q538">
        <f>'raw data Crude oil'!Q539</f>
        <v>55</v>
      </c>
      <c r="R538">
        <f>'raw data Crude oil'!R539</f>
        <v>55.25</v>
      </c>
      <c r="S538">
        <f>'raw data Crude oil'!S539</f>
        <v>55.41</v>
      </c>
      <c r="T538">
        <f>'raw data Crude oil'!T539</f>
        <v>55.48</v>
      </c>
      <c r="U538">
        <f>'raw data Crude oil'!U539</f>
        <v>55.47</v>
      </c>
      <c r="V538">
        <f>'raw data Crude oil'!V539</f>
        <v>55.42</v>
      </c>
      <c r="W538">
        <f>'raw data Crude oil'!W539</f>
        <v>55.33</v>
      </c>
      <c r="X538">
        <f>'raw data Crude oil'!X539</f>
        <v>55.23</v>
      </c>
      <c r="Y538">
        <f>'raw data Crude oil'!Y539</f>
        <v>55.13</v>
      </c>
      <c r="Z538">
        <f>'raw data Crude oil'!Z539</f>
        <v>0</v>
      </c>
      <c r="AA538">
        <f>'raw data Crude oil'!AA539</f>
        <v>0</v>
      </c>
      <c r="AB538">
        <f>'raw data Crude oil'!AB539</f>
        <v>0</v>
      </c>
      <c r="AC538">
        <f>'raw data Crude oil'!AC539</f>
        <v>0</v>
      </c>
      <c r="AD538">
        <f>'raw data Crude oil'!AD539</f>
        <v>0</v>
      </c>
      <c r="AE538">
        <f>'raw data Crude oil'!AE539</f>
        <v>0</v>
      </c>
      <c r="AF538">
        <f>'raw data Crude oil'!AF539</f>
        <v>0</v>
      </c>
      <c r="AG538">
        <f>'raw data Crude oil'!AG539</f>
        <v>0</v>
      </c>
      <c r="AH538">
        <f>'raw data Crude oil'!AH539</f>
        <v>0</v>
      </c>
      <c r="AI538">
        <f>'raw data Crude oil'!AI539</f>
        <v>0</v>
      </c>
      <c r="AJ538">
        <f>'raw data Crude oil'!AJ539</f>
        <v>0</v>
      </c>
      <c r="AK538">
        <f>'raw data Crude oil'!AK539</f>
        <v>0</v>
      </c>
    </row>
    <row r="539" spans="1:37" x14ac:dyDescent="0.3">
      <c r="A539" s="18">
        <f>'raw data Crude oil'!A540</f>
        <v>43496</v>
      </c>
      <c r="B539">
        <f>'raw data Crude oil'!B540</f>
        <v>61.89</v>
      </c>
      <c r="C539">
        <f>'raw data Crude oil'!C540</f>
        <v>60.84</v>
      </c>
      <c r="D539">
        <f>'raw data Crude oil'!D540</f>
        <v>60.93</v>
      </c>
      <c r="E539">
        <f>'raw data Crude oil'!E540</f>
        <v>61.02</v>
      </c>
      <c r="F539">
        <f>'raw data Crude oil'!F540</f>
        <v>60.99</v>
      </c>
      <c r="G539">
        <f>'raw data Crude oil'!G540</f>
        <v>60.96</v>
      </c>
      <c r="H539">
        <f>'raw data Crude oil'!H540</f>
        <v>60.89</v>
      </c>
      <c r="I539">
        <f>'raw data Crude oil'!I540</f>
        <v>60.82</v>
      </c>
      <c r="J539">
        <f>'raw data Crude oil'!J540</f>
        <v>60.76</v>
      </c>
      <c r="K539">
        <f>'raw data Crude oil'!K540</f>
        <v>60.68</v>
      </c>
      <c r="L539">
        <f>'raw data Crude oil'!L540</f>
        <v>60.62</v>
      </c>
      <c r="M539">
        <f>'raw data Crude oil'!M540</f>
        <v>60.57</v>
      </c>
      <c r="N539">
        <f>'raw data Crude oil'!N540</f>
        <v>53.79</v>
      </c>
      <c r="O539">
        <f>'raw data Crude oil'!O540</f>
        <v>54.04</v>
      </c>
      <c r="P539">
        <f>'raw data Crude oil'!P540</f>
        <v>54.31</v>
      </c>
      <c r="Q539">
        <f>'raw data Crude oil'!Q540</f>
        <v>54.6</v>
      </c>
      <c r="R539">
        <f>'raw data Crude oil'!R540</f>
        <v>54.86</v>
      </c>
      <c r="S539">
        <f>'raw data Crude oil'!S540</f>
        <v>55.04</v>
      </c>
      <c r="T539">
        <f>'raw data Crude oil'!T540</f>
        <v>55.12</v>
      </c>
      <c r="U539">
        <f>'raw data Crude oil'!U540</f>
        <v>55.11</v>
      </c>
      <c r="V539">
        <f>'raw data Crude oil'!V540</f>
        <v>55.05</v>
      </c>
      <c r="W539">
        <f>'raw data Crude oil'!W540</f>
        <v>54.96</v>
      </c>
      <c r="X539">
        <f>'raw data Crude oil'!X540</f>
        <v>54.84</v>
      </c>
      <c r="Y539">
        <f>'raw data Crude oil'!Y540</f>
        <v>54.71</v>
      </c>
      <c r="Z539">
        <f>'raw data Crude oil'!Z540</f>
        <v>0</v>
      </c>
      <c r="AA539">
        <f>'raw data Crude oil'!AA540</f>
        <v>0</v>
      </c>
      <c r="AB539">
        <f>'raw data Crude oil'!AB540</f>
        <v>0</v>
      </c>
      <c r="AC539">
        <f>'raw data Crude oil'!AC540</f>
        <v>0</v>
      </c>
      <c r="AD539">
        <f>'raw data Crude oil'!AD540</f>
        <v>0</v>
      </c>
      <c r="AE539">
        <f>'raw data Crude oil'!AE540</f>
        <v>0</v>
      </c>
      <c r="AF539">
        <f>'raw data Crude oil'!AF540</f>
        <v>0</v>
      </c>
      <c r="AG539">
        <f>'raw data Crude oil'!AG540</f>
        <v>0</v>
      </c>
      <c r="AH539">
        <f>'raw data Crude oil'!AH540</f>
        <v>0</v>
      </c>
      <c r="AI539">
        <f>'raw data Crude oil'!AI540</f>
        <v>0</v>
      </c>
      <c r="AJ539">
        <f>'raw data Crude oil'!AJ540</f>
        <v>0</v>
      </c>
      <c r="AK539">
        <f>'raw data Crude oil'!AK540</f>
        <v>0</v>
      </c>
    </row>
    <row r="540" spans="1:37" x14ac:dyDescent="0.3">
      <c r="A540" s="18">
        <f>'raw data Crude oil'!A541</f>
        <v>43497</v>
      </c>
      <c r="B540">
        <f>'raw data Crude oil'!B541</f>
        <v>62.75</v>
      </c>
      <c r="C540">
        <f>'raw data Crude oil'!C541</f>
        <v>62.79</v>
      </c>
      <c r="D540">
        <f>'raw data Crude oil'!D541</f>
        <v>62.85</v>
      </c>
      <c r="E540">
        <f>'raw data Crude oil'!E541</f>
        <v>62.8</v>
      </c>
      <c r="F540">
        <f>'raw data Crude oil'!F541</f>
        <v>62.76</v>
      </c>
      <c r="G540">
        <f>'raw data Crude oil'!G541</f>
        <v>62.67</v>
      </c>
      <c r="H540">
        <f>'raw data Crude oil'!H541</f>
        <v>62.59</v>
      </c>
      <c r="I540">
        <f>'raw data Crude oil'!I541</f>
        <v>62.51</v>
      </c>
      <c r="J540">
        <f>'raw data Crude oil'!J541</f>
        <v>62.41</v>
      </c>
      <c r="K540">
        <f>'raw data Crude oil'!K541</f>
        <v>62.33</v>
      </c>
      <c r="L540">
        <f>'raw data Crude oil'!L541</f>
        <v>62.26</v>
      </c>
      <c r="M540">
        <f>'raw data Crude oil'!M541</f>
        <v>62.19</v>
      </c>
      <c r="N540">
        <f>'raw data Crude oil'!N541</f>
        <v>55.26</v>
      </c>
      <c r="O540">
        <f>'raw data Crude oil'!O541</f>
        <v>55.55</v>
      </c>
      <c r="P540">
        <f>'raw data Crude oil'!P541</f>
        <v>55.88</v>
      </c>
      <c r="Q540">
        <f>'raw data Crude oil'!Q541</f>
        <v>56.21</v>
      </c>
      <c r="R540">
        <f>'raw data Crude oil'!R541</f>
        <v>56.5</v>
      </c>
      <c r="S540">
        <f>'raw data Crude oil'!S541</f>
        <v>56.71</v>
      </c>
      <c r="T540">
        <f>'raw data Crude oil'!T541</f>
        <v>56.81</v>
      </c>
      <c r="U540">
        <f>'raw data Crude oil'!U541</f>
        <v>56.82</v>
      </c>
      <c r="V540">
        <f>'raw data Crude oil'!V541</f>
        <v>56.76</v>
      </c>
      <c r="W540">
        <f>'raw data Crude oil'!W541</f>
        <v>56.65</v>
      </c>
      <c r="X540">
        <f>'raw data Crude oil'!X541</f>
        <v>56.5</v>
      </c>
      <c r="Y540">
        <f>'raw data Crude oil'!Y541</f>
        <v>56.34</v>
      </c>
      <c r="Z540">
        <f>'raw data Crude oil'!Z541</f>
        <v>0</v>
      </c>
      <c r="AA540">
        <f>'raw data Crude oil'!AA541</f>
        <v>0</v>
      </c>
      <c r="AB540">
        <f>'raw data Crude oil'!AB541</f>
        <v>0</v>
      </c>
      <c r="AC540">
        <f>'raw data Crude oil'!AC541</f>
        <v>0</v>
      </c>
      <c r="AD540">
        <f>'raw data Crude oil'!AD541</f>
        <v>0</v>
      </c>
      <c r="AE540">
        <f>'raw data Crude oil'!AE541</f>
        <v>0</v>
      </c>
      <c r="AF540">
        <f>'raw data Crude oil'!AF541</f>
        <v>0</v>
      </c>
      <c r="AG540">
        <f>'raw data Crude oil'!AG541</f>
        <v>0</v>
      </c>
      <c r="AH540">
        <f>'raw data Crude oil'!AH541</f>
        <v>0</v>
      </c>
      <c r="AI540">
        <f>'raw data Crude oil'!AI541</f>
        <v>0</v>
      </c>
      <c r="AJ540">
        <f>'raw data Crude oil'!AJ541</f>
        <v>0</v>
      </c>
      <c r="AK540">
        <f>'raw data Crude oil'!AK541</f>
        <v>0</v>
      </c>
    </row>
    <row r="541" spans="1:37" x14ac:dyDescent="0.3">
      <c r="A541" s="18">
        <f>'raw data Crude oil'!A542</f>
        <v>43500</v>
      </c>
      <c r="B541">
        <f>'raw data Crude oil'!B542</f>
        <v>62.51</v>
      </c>
      <c r="C541">
        <f>'raw data Crude oil'!C542</f>
        <v>62.58</v>
      </c>
      <c r="D541">
        <f>'raw data Crude oil'!D542</f>
        <v>62.66</v>
      </c>
      <c r="E541">
        <f>'raw data Crude oil'!E542</f>
        <v>62.62</v>
      </c>
      <c r="F541">
        <f>'raw data Crude oil'!F542</f>
        <v>62.58</v>
      </c>
      <c r="G541">
        <f>'raw data Crude oil'!G542</f>
        <v>62.49</v>
      </c>
      <c r="H541">
        <f>'raw data Crude oil'!H542</f>
        <v>62.42</v>
      </c>
      <c r="I541">
        <f>'raw data Crude oil'!I542</f>
        <v>62.35</v>
      </c>
      <c r="J541">
        <f>'raw data Crude oil'!J542</f>
        <v>62.25</v>
      </c>
      <c r="K541">
        <f>'raw data Crude oil'!K542</f>
        <v>62.18</v>
      </c>
      <c r="L541">
        <f>'raw data Crude oil'!L542</f>
        <v>62.11</v>
      </c>
      <c r="M541">
        <f>'raw data Crude oil'!M542</f>
        <v>62.05</v>
      </c>
      <c r="N541">
        <f>'raw data Crude oil'!N542</f>
        <v>54.56</v>
      </c>
      <c r="O541">
        <f>'raw data Crude oil'!O542</f>
        <v>54.89</v>
      </c>
      <c r="P541">
        <f>'raw data Crude oil'!P542</f>
        <v>55.29</v>
      </c>
      <c r="Q541">
        <f>'raw data Crude oil'!Q542</f>
        <v>55.7</v>
      </c>
      <c r="R541">
        <f>'raw data Crude oil'!R542</f>
        <v>56.05</v>
      </c>
      <c r="S541">
        <f>'raw data Crude oil'!S542</f>
        <v>56.33</v>
      </c>
      <c r="T541">
        <f>'raw data Crude oil'!T542</f>
        <v>56.51</v>
      </c>
      <c r="U541">
        <f>'raw data Crude oil'!U542</f>
        <v>56.58</v>
      </c>
      <c r="V541">
        <f>'raw data Crude oil'!V542</f>
        <v>56.58</v>
      </c>
      <c r="W541">
        <f>'raw data Crude oil'!W542</f>
        <v>56.52</v>
      </c>
      <c r="X541">
        <f>'raw data Crude oil'!X542</f>
        <v>56.43</v>
      </c>
      <c r="Y541">
        <f>'raw data Crude oil'!Y542</f>
        <v>56.32</v>
      </c>
      <c r="Z541">
        <f>'raw data Crude oil'!Z542</f>
        <v>0</v>
      </c>
      <c r="AA541">
        <f>'raw data Crude oil'!AA542</f>
        <v>0</v>
      </c>
      <c r="AB541">
        <f>'raw data Crude oil'!AB542</f>
        <v>0</v>
      </c>
      <c r="AC541">
        <f>'raw data Crude oil'!AC542</f>
        <v>0</v>
      </c>
      <c r="AD541">
        <f>'raw data Crude oil'!AD542</f>
        <v>0</v>
      </c>
      <c r="AE541">
        <f>'raw data Crude oil'!AE542</f>
        <v>0</v>
      </c>
      <c r="AF541">
        <f>'raw data Crude oil'!AF542</f>
        <v>0</v>
      </c>
      <c r="AG541">
        <f>'raw data Crude oil'!AG542</f>
        <v>0</v>
      </c>
      <c r="AH541">
        <f>'raw data Crude oil'!AH542</f>
        <v>0</v>
      </c>
      <c r="AI541">
        <f>'raw data Crude oil'!AI542</f>
        <v>0</v>
      </c>
      <c r="AJ541">
        <f>'raw data Crude oil'!AJ542</f>
        <v>0</v>
      </c>
      <c r="AK541">
        <f>'raw data Crude oil'!AK542</f>
        <v>0</v>
      </c>
    </row>
    <row r="542" spans="1:37" x14ac:dyDescent="0.3">
      <c r="A542" s="18">
        <f>'raw data Crude oil'!A543</f>
        <v>43501</v>
      </c>
      <c r="B542">
        <f>'raw data Crude oil'!B543</f>
        <v>61.98</v>
      </c>
      <c r="C542">
        <f>'raw data Crude oil'!C543</f>
        <v>62.07</v>
      </c>
      <c r="D542">
        <f>'raw data Crude oil'!D543</f>
        <v>62.16</v>
      </c>
      <c r="E542">
        <f>'raw data Crude oil'!E543</f>
        <v>62.13</v>
      </c>
      <c r="F542">
        <f>'raw data Crude oil'!F543</f>
        <v>62.12</v>
      </c>
      <c r="G542">
        <f>'raw data Crude oil'!G543</f>
        <v>62.05</v>
      </c>
      <c r="H542">
        <f>'raw data Crude oil'!H543</f>
        <v>62</v>
      </c>
      <c r="I542">
        <f>'raw data Crude oil'!I543</f>
        <v>61.95</v>
      </c>
      <c r="J542">
        <f>'raw data Crude oil'!J543</f>
        <v>61.88</v>
      </c>
      <c r="K542">
        <f>'raw data Crude oil'!K543</f>
        <v>61.83</v>
      </c>
      <c r="L542">
        <f>'raw data Crude oil'!L543</f>
        <v>61.78</v>
      </c>
      <c r="M542">
        <f>'raw data Crude oil'!M543</f>
        <v>61.74</v>
      </c>
      <c r="N542">
        <f>'raw data Crude oil'!N543</f>
        <v>53.66</v>
      </c>
      <c r="O542">
        <f>'raw data Crude oil'!O543</f>
        <v>54</v>
      </c>
      <c r="P542">
        <f>'raw data Crude oil'!P543</f>
        <v>54.44</v>
      </c>
      <c r="Q542">
        <f>'raw data Crude oil'!Q543</f>
        <v>54.91</v>
      </c>
      <c r="R542">
        <f>'raw data Crude oil'!R543</f>
        <v>55.33</v>
      </c>
      <c r="S542">
        <f>'raw data Crude oil'!S543</f>
        <v>55.67</v>
      </c>
      <c r="T542">
        <f>'raw data Crude oil'!T543</f>
        <v>55.93</v>
      </c>
      <c r="U542">
        <f>'raw data Crude oil'!U543</f>
        <v>56.07</v>
      </c>
      <c r="V542">
        <f>'raw data Crude oil'!V543</f>
        <v>56.17</v>
      </c>
      <c r="W542">
        <f>'raw data Crude oil'!W543</f>
        <v>56.18</v>
      </c>
      <c r="X542">
        <f>'raw data Crude oil'!X543</f>
        <v>56.16</v>
      </c>
      <c r="Y542">
        <f>'raw data Crude oil'!Y543</f>
        <v>56.1</v>
      </c>
      <c r="Z542">
        <f>'raw data Crude oil'!Z543</f>
        <v>0</v>
      </c>
      <c r="AA542">
        <f>'raw data Crude oil'!AA543</f>
        <v>0</v>
      </c>
      <c r="AB542">
        <f>'raw data Crude oil'!AB543</f>
        <v>0</v>
      </c>
      <c r="AC542">
        <f>'raw data Crude oil'!AC543</f>
        <v>0</v>
      </c>
      <c r="AD542">
        <f>'raw data Crude oil'!AD543</f>
        <v>0</v>
      </c>
      <c r="AE542">
        <f>'raw data Crude oil'!AE543</f>
        <v>0</v>
      </c>
      <c r="AF542">
        <f>'raw data Crude oil'!AF543</f>
        <v>0</v>
      </c>
      <c r="AG542">
        <f>'raw data Crude oil'!AG543</f>
        <v>0</v>
      </c>
      <c r="AH542">
        <f>'raw data Crude oil'!AH543</f>
        <v>0</v>
      </c>
      <c r="AI542">
        <f>'raw data Crude oil'!AI543</f>
        <v>0</v>
      </c>
      <c r="AJ542">
        <f>'raw data Crude oil'!AJ543</f>
        <v>0</v>
      </c>
      <c r="AK542">
        <f>'raw data Crude oil'!AK543</f>
        <v>0</v>
      </c>
    </row>
    <row r="543" spans="1:37" x14ac:dyDescent="0.3">
      <c r="A543" s="18">
        <f>'raw data Crude oil'!A544</f>
        <v>43502</v>
      </c>
      <c r="B543">
        <f>'raw data Crude oil'!B544</f>
        <v>62.69</v>
      </c>
      <c r="C543">
        <f>'raw data Crude oil'!C544</f>
        <v>62.74</v>
      </c>
      <c r="D543">
        <f>'raw data Crude oil'!D544</f>
        <v>62.79</v>
      </c>
      <c r="E543">
        <f>'raw data Crude oil'!E544</f>
        <v>62.74</v>
      </c>
      <c r="F543">
        <f>'raw data Crude oil'!F544</f>
        <v>62.71</v>
      </c>
      <c r="G543">
        <f>'raw data Crude oil'!G544</f>
        <v>62.63</v>
      </c>
      <c r="H543">
        <f>'raw data Crude oil'!H544</f>
        <v>62.56</v>
      </c>
      <c r="I543">
        <f>'raw data Crude oil'!I544</f>
        <v>62.51</v>
      </c>
      <c r="J543">
        <f>'raw data Crude oil'!J544</f>
        <v>62.44</v>
      </c>
      <c r="K543">
        <f>'raw data Crude oil'!K544</f>
        <v>62.38</v>
      </c>
      <c r="L543">
        <f>'raw data Crude oil'!L544</f>
        <v>62.33</v>
      </c>
      <c r="M543">
        <f>'raw data Crude oil'!M544</f>
        <v>62.29</v>
      </c>
      <c r="N543">
        <f>'raw data Crude oil'!N544</f>
        <v>54.01</v>
      </c>
      <c r="O543">
        <f>'raw data Crude oil'!O544</f>
        <v>54.34</v>
      </c>
      <c r="P543">
        <f>'raw data Crude oil'!P544</f>
        <v>54.8</v>
      </c>
      <c r="Q543">
        <f>'raw data Crude oil'!Q544</f>
        <v>55.28</v>
      </c>
      <c r="R543">
        <f>'raw data Crude oil'!R544</f>
        <v>55.71</v>
      </c>
      <c r="S543">
        <f>'raw data Crude oil'!S544</f>
        <v>56.07</v>
      </c>
      <c r="T543">
        <f>'raw data Crude oil'!T544</f>
        <v>56.32</v>
      </c>
      <c r="U543">
        <f>'raw data Crude oil'!U544</f>
        <v>56.47</v>
      </c>
      <c r="V543">
        <f>'raw data Crude oil'!V544</f>
        <v>56.55</v>
      </c>
      <c r="W543">
        <f>'raw data Crude oil'!W544</f>
        <v>56.55</v>
      </c>
      <c r="X543">
        <f>'raw data Crude oil'!X544</f>
        <v>56.52</v>
      </c>
      <c r="Y543">
        <f>'raw data Crude oil'!Y544</f>
        <v>56.47</v>
      </c>
      <c r="Z543">
        <f>'raw data Crude oil'!Z544</f>
        <v>0</v>
      </c>
      <c r="AA543">
        <f>'raw data Crude oil'!AA544</f>
        <v>0</v>
      </c>
      <c r="AB543">
        <f>'raw data Crude oil'!AB544</f>
        <v>0</v>
      </c>
      <c r="AC543">
        <f>'raw data Crude oil'!AC544</f>
        <v>0</v>
      </c>
      <c r="AD543">
        <f>'raw data Crude oil'!AD544</f>
        <v>0</v>
      </c>
      <c r="AE543">
        <f>'raw data Crude oil'!AE544</f>
        <v>0</v>
      </c>
      <c r="AF543">
        <f>'raw data Crude oil'!AF544</f>
        <v>0</v>
      </c>
      <c r="AG543">
        <f>'raw data Crude oil'!AG544</f>
        <v>0</v>
      </c>
      <c r="AH543">
        <f>'raw data Crude oil'!AH544</f>
        <v>0</v>
      </c>
      <c r="AI543">
        <f>'raw data Crude oil'!AI544</f>
        <v>0</v>
      </c>
      <c r="AJ543">
        <f>'raw data Crude oil'!AJ544</f>
        <v>0</v>
      </c>
      <c r="AK543">
        <f>'raw data Crude oil'!AK544</f>
        <v>0</v>
      </c>
    </row>
    <row r="544" spans="1:37" x14ac:dyDescent="0.3">
      <c r="A544" s="18">
        <f>'raw data Crude oil'!A545</f>
        <v>43503</v>
      </c>
      <c r="B544">
        <f>'raw data Crude oil'!B545</f>
        <v>61.63</v>
      </c>
      <c r="C544">
        <f>'raw data Crude oil'!C545</f>
        <v>61.63</v>
      </c>
      <c r="D544">
        <f>'raw data Crude oil'!D545</f>
        <v>61.66</v>
      </c>
      <c r="E544">
        <f>'raw data Crude oil'!E545</f>
        <v>61.6</v>
      </c>
      <c r="F544">
        <f>'raw data Crude oil'!F545</f>
        <v>61.56</v>
      </c>
      <c r="G544">
        <f>'raw data Crude oil'!G545</f>
        <v>61.48</v>
      </c>
      <c r="H544">
        <f>'raw data Crude oil'!H545</f>
        <v>61.41</v>
      </c>
      <c r="I544">
        <f>'raw data Crude oil'!I545</f>
        <v>61.36</v>
      </c>
      <c r="J544">
        <f>'raw data Crude oil'!J545</f>
        <v>61.29</v>
      </c>
      <c r="K544">
        <f>'raw data Crude oil'!K545</f>
        <v>61.24</v>
      </c>
      <c r="L544">
        <f>'raw data Crude oil'!L545</f>
        <v>61.2</v>
      </c>
      <c r="M544">
        <f>'raw data Crude oil'!M545</f>
        <v>61.18</v>
      </c>
      <c r="N544">
        <f>'raw data Crude oil'!N545</f>
        <v>52.64</v>
      </c>
      <c r="O544">
        <f>'raw data Crude oil'!O545</f>
        <v>53</v>
      </c>
      <c r="P544">
        <f>'raw data Crude oil'!P545</f>
        <v>53.45</v>
      </c>
      <c r="Q544">
        <f>'raw data Crude oil'!Q545</f>
        <v>53.93</v>
      </c>
      <c r="R544">
        <f>'raw data Crude oil'!R545</f>
        <v>54.37</v>
      </c>
      <c r="S544">
        <f>'raw data Crude oil'!S545</f>
        <v>54.75</v>
      </c>
      <c r="T544">
        <f>'raw data Crude oil'!T545</f>
        <v>55.02</v>
      </c>
      <c r="U544">
        <f>'raw data Crude oil'!U545</f>
        <v>55.2</v>
      </c>
      <c r="V544">
        <f>'raw data Crude oil'!V545</f>
        <v>55.31</v>
      </c>
      <c r="W544">
        <f>'raw data Crude oil'!W545</f>
        <v>55.35</v>
      </c>
      <c r="X544">
        <f>'raw data Crude oil'!X545</f>
        <v>55.36</v>
      </c>
      <c r="Y544">
        <f>'raw data Crude oil'!Y545</f>
        <v>55.34</v>
      </c>
      <c r="Z544">
        <f>'raw data Crude oil'!Z545</f>
        <v>0</v>
      </c>
      <c r="AA544">
        <f>'raw data Crude oil'!AA545</f>
        <v>0</v>
      </c>
      <c r="AB544">
        <f>'raw data Crude oil'!AB545</f>
        <v>0</v>
      </c>
      <c r="AC544">
        <f>'raw data Crude oil'!AC545</f>
        <v>0</v>
      </c>
      <c r="AD544">
        <f>'raw data Crude oil'!AD545</f>
        <v>0</v>
      </c>
      <c r="AE544">
        <f>'raw data Crude oil'!AE545</f>
        <v>0</v>
      </c>
      <c r="AF544">
        <f>'raw data Crude oil'!AF545</f>
        <v>0</v>
      </c>
      <c r="AG544">
        <f>'raw data Crude oil'!AG545</f>
        <v>0</v>
      </c>
      <c r="AH544">
        <f>'raw data Crude oil'!AH545</f>
        <v>0</v>
      </c>
      <c r="AI544">
        <f>'raw data Crude oil'!AI545</f>
        <v>0</v>
      </c>
      <c r="AJ544">
        <f>'raw data Crude oil'!AJ545</f>
        <v>0</v>
      </c>
      <c r="AK544">
        <f>'raw data Crude oil'!AK545</f>
        <v>0</v>
      </c>
    </row>
    <row r="545" spans="1:37" x14ac:dyDescent="0.3">
      <c r="A545" s="18">
        <f>'raw data Crude oil'!A546</f>
        <v>43504</v>
      </c>
      <c r="B545">
        <f>'raw data Crude oil'!B546</f>
        <v>62.1</v>
      </c>
      <c r="C545">
        <f>'raw data Crude oil'!C546</f>
        <v>62.03</v>
      </c>
      <c r="D545">
        <f>'raw data Crude oil'!D546</f>
        <v>62.02</v>
      </c>
      <c r="E545">
        <f>'raw data Crude oil'!E546</f>
        <v>61.93</v>
      </c>
      <c r="F545">
        <f>'raw data Crude oil'!F546</f>
        <v>61.86</v>
      </c>
      <c r="G545">
        <f>'raw data Crude oil'!G546</f>
        <v>61.76</v>
      </c>
      <c r="H545">
        <f>'raw data Crude oil'!H546</f>
        <v>61.66</v>
      </c>
      <c r="I545">
        <f>'raw data Crude oil'!I546</f>
        <v>61.59</v>
      </c>
      <c r="J545">
        <f>'raw data Crude oil'!J546</f>
        <v>61.5</v>
      </c>
      <c r="K545">
        <f>'raw data Crude oil'!K546</f>
        <v>61.44</v>
      </c>
      <c r="L545">
        <f>'raw data Crude oil'!L546</f>
        <v>61.38</v>
      </c>
      <c r="M545">
        <f>'raw data Crude oil'!M546</f>
        <v>61.34</v>
      </c>
      <c r="N545">
        <f>'raw data Crude oil'!N546</f>
        <v>52.72</v>
      </c>
      <c r="O545">
        <f>'raw data Crude oil'!O546</f>
        <v>53.09</v>
      </c>
      <c r="P545">
        <f>'raw data Crude oil'!P546</f>
        <v>53.55</v>
      </c>
      <c r="Q545">
        <f>'raw data Crude oil'!Q546</f>
        <v>54.02</v>
      </c>
      <c r="R545">
        <f>'raw data Crude oil'!R546</f>
        <v>54.45</v>
      </c>
      <c r="S545">
        <f>'raw data Crude oil'!S546</f>
        <v>54.81</v>
      </c>
      <c r="T545">
        <f>'raw data Crude oil'!T546</f>
        <v>55.07</v>
      </c>
      <c r="U545">
        <f>'raw data Crude oil'!U546</f>
        <v>55.24</v>
      </c>
      <c r="V545">
        <f>'raw data Crude oil'!V546</f>
        <v>55.34</v>
      </c>
      <c r="W545">
        <f>'raw data Crude oil'!W546</f>
        <v>55.37</v>
      </c>
      <c r="X545">
        <f>'raw data Crude oil'!X546</f>
        <v>55.37</v>
      </c>
      <c r="Y545">
        <f>'raw data Crude oil'!Y546</f>
        <v>55.35</v>
      </c>
      <c r="Z545">
        <f>'raw data Crude oil'!Z546</f>
        <v>0</v>
      </c>
      <c r="AA545">
        <f>'raw data Crude oil'!AA546</f>
        <v>0</v>
      </c>
      <c r="AB545">
        <f>'raw data Crude oil'!AB546</f>
        <v>0</v>
      </c>
      <c r="AC545">
        <f>'raw data Crude oil'!AC546</f>
        <v>0</v>
      </c>
      <c r="AD545">
        <f>'raw data Crude oil'!AD546</f>
        <v>0</v>
      </c>
      <c r="AE545">
        <f>'raw data Crude oil'!AE546</f>
        <v>0</v>
      </c>
      <c r="AF545">
        <f>'raw data Crude oil'!AF546</f>
        <v>0</v>
      </c>
      <c r="AG545">
        <f>'raw data Crude oil'!AG546</f>
        <v>0</v>
      </c>
      <c r="AH545">
        <f>'raw data Crude oil'!AH546</f>
        <v>0</v>
      </c>
      <c r="AI545">
        <f>'raw data Crude oil'!AI546</f>
        <v>0</v>
      </c>
      <c r="AJ545">
        <f>'raw data Crude oil'!AJ546</f>
        <v>0</v>
      </c>
      <c r="AK545">
        <f>'raw data Crude oil'!AK546</f>
        <v>0</v>
      </c>
    </row>
    <row r="546" spans="1:37" x14ac:dyDescent="0.3">
      <c r="A546" s="18">
        <f>'raw data Crude oil'!A547</f>
        <v>43507</v>
      </c>
      <c r="B546">
        <f>'raw data Crude oil'!B547</f>
        <v>61.51</v>
      </c>
      <c r="C546">
        <f>'raw data Crude oil'!C547</f>
        <v>61.52</v>
      </c>
      <c r="D546">
        <f>'raw data Crude oil'!D547</f>
        <v>61.55</v>
      </c>
      <c r="E546">
        <f>'raw data Crude oil'!E547</f>
        <v>61.47</v>
      </c>
      <c r="F546">
        <f>'raw data Crude oil'!F547</f>
        <v>61.42</v>
      </c>
      <c r="G546">
        <f>'raw data Crude oil'!G547</f>
        <v>61.34</v>
      </c>
      <c r="H546">
        <f>'raw data Crude oil'!H547</f>
        <v>61.26</v>
      </c>
      <c r="I546">
        <f>'raw data Crude oil'!I547</f>
        <v>61.2</v>
      </c>
      <c r="J546">
        <f>'raw data Crude oil'!J547</f>
        <v>61.14</v>
      </c>
      <c r="K546">
        <f>'raw data Crude oil'!K547</f>
        <v>61.09</v>
      </c>
      <c r="L546">
        <f>'raw data Crude oil'!L547</f>
        <v>61.05</v>
      </c>
      <c r="M546">
        <f>'raw data Crude oil'!M547</f>
        <v>61.02</v>
      </c>
      <c r="N546">
        <f>'raw data Crude oil'!N547</f>
        <v>52.41</v>
      </c>
      <c r="O546">
        <f>'raw data Crude oil'!O547</f>
        <v>52.78</v>
      </c>
      <c r="P546">
        <f>'raw data Crude oil'!P547</f>
        <v>53.28</v>
      </c>
      <c r="Q546">
        <f>'raw data Crude oil'!Q547</f>
        <v>53.79</v>
      </c>
      <c r="R546">
        <f>'raw data Crude oil'!R547</f>
        <v>54.24</v>
      </c>
      <c r="S546">
        <f>'raw data Crude oil'!S547</f>
        <v>54.6</v>
      </c>
      <c r="T546">
        <f>'raw data Crude oil'!T547</f>
        <v>54.87</v>
      </c>
      <c r="U546">
        <f>'raw data Crude oil'!U547</f>
        <v>55.05</v>
      </c>
      <c r="V546">
        <f>'raw data Crude oil'!V547</f>
        <v>55.16</v>
      </c>
      <c r="W546">
        <f>'raw data Crude oil'!W547</f>
        <v>55.21</v>
      </c>
      <c r="X546">
        <f>'raw data Crude oil'!X547</f>
        <v>55.22</v>
      </c>
      <c r="Y546">
        <f>'raw data Crude oil'!Y547</f>
        <v>55.21</v>
      </c>
      <c r="Z546">
        <f>'raw data Crude oil'!Z547</f>
        <v>0</v>
      </c>
      <c r="AA546">
        <f>'raw data Crude oil'!AA547</f>
        <v>0</v>
      </c>
      <c r="AB546">
        <f>'raw data Crude oil'!AB547</f>
        <v>0</v>
      </c>
      <c r="AC546">
        <f>'raw data Crude oil'!AC547</f>
        <v>0</v>
      </c>
      <c r="AD546">
        <f>'raw data Crude oil'!AD547</f>
        <v>0</v>
      </c>
      <c r="AE546">
        <f>'raw data Crude oil'!AE547</f>
        <v>0</v>
      </c>
      <c r="AF546">
        <f>'raw data Crude oil'!AF547</f>
        <v>0</v>
      </c>
      <c r="AG546">
        <f>'raw data Crude oil'!AG547</f>
        <v>0</v>
      </c>
      <c r="AH546">
        <f>'raw data Crude oil'!AH547</f>
        <v>0</v>
      </c>
      <c r="AI546">
        <f>'raw data Crude oil'!AI547</f>
        <v>0</v>
      </c>
      <c r="AJ546">
        <f>'raw data Crude oil'!AJ547</f>
        <v>0</v>
      </c>
      <c r="AK546">
        <f>'raw data Crude oil'!AK547</f>
        <v>0</v>
      </c>
    </row>
    <row r="547" spans="1:37" x14ac:dyDescent="0.3">
      <c r="A547" s="18">
        <f>'raw data Crude oil'!A548</f>
        <v>43508</v>
      </c>
      <c r="B547">
        <f>'raw data Crude oil'!B548</f>
        <v>62.42</v>
      </c>
      <c r="C547">
        <f>'raw data Crude oil'!C548</f>
        <v>62.4</v>
      </c>
      <c r="D547">
        <f>'raw data Crude oil'!D548</f>
        <v>62.39</v>
      </c>
      <c r="E547">
        <f>'raw data Crude oil'!E548</f>
        <v>62.29</v>
      </c>
      <c r="F547">
        <f>'raw data Crude oil'!F548</f>
        <v>62.21</v>
      </c>
      <c r="G547">
        <f>'raw data Crude oil'!G548</f>
        <v>62.11</v>
      </c>
      <c r="H547">
        <f>'raw data Crude oil'!H548</f>
        <v>62</v>
      </c>
      <c r="I547">
        <f>'raw data Crude oil'!I548</f>
        <v>61.92</v>
      </c>
      <c r="J547">
        <f>'raw data Crude oil'!J548</f>
        <v>61.83</v>
      </c>
      <c r="K547">
        <f>'raw data Crude oil'!K548</f>
        <v>61.76</v>
      </c>
      <c r="L547">
        <f>'raw data Crude oil'!L548</f>
        <v>61.69</v>
      </c>
      <c r="M547">
        <f>'raw data Crude oil'!M548</f>
        <v>61.64</v>
      </c>
      <c r="N547">
        <f>'raw data Crude oil'!N548</f>
        <v>53.1</v>
      </c>
      <c r="O547">
        <f>'raw data Crude oil'!O548</f>
        <v>53.47</v>
      </c>
      <c r="P547">
        <f>'raw data Crude oil'!P548</f>
        <v>54</v>
      </c>
      <c r="Q547">
        <f>'raw data Crude oil'!Q548</f>
        <v>54.53</v>
      </c>
      <c r="R547">
        <f>'raw data Crude oil'!R548</f>
        <v>54.98</v>
      </c>
      <c r="S547">
        <f>'raw data Crude oil'!S548</f>
        <v>55.34</v>
      </c>
      <c r="T547">
        <f>'raw data Crude oil'!T548</f>
        <v>55.6</v>
      </c>
      <c r="U547">
        <f>'raw data Crude oil'!U548</f>
        <v>55.77</v>
      </c>
      <c r="V547">
        <f>'raw data Crude oil'!V548</f>
        <v>55.87</v>
      </c>
      <c r="W547">
        <f>'raw data Crude oil'!W548</f>
        <v>55.9</v>
      </c>
      <c r="X547">
        <f>'raw data Crude oil'!X548</f>
        <v>55.89</v>
      </c>
      <c r="Y547">
        <f>'raw data Crude oil'!Y548</f>
        <v>55.86</v>
      </c>
      <c r="Z547">
        <f>'raw data Crude oil'!Z548</f>
        <v>0</v>
      </c>
      <c r="AA547">
        <f>'raw data Crude oil'!AA548</f>
        <v>0</v>
      </c>
      <c r="AB547">
        <f>'raw data Crude oil'!AB548</f>
        <v>0</v>
      </c>
      <c r="AC547">
        <f>'raw data Crude oil'!AC548</f>
        <v>0</v>
      </c>
      <c r="AD547">
        <f>'raw data Crude oil'!AD548</f>
        <v>0</v>
      </c>
      <c r="AE547">
        <f>'raw data Crude oil'!AE548</f>
        <v>0</v>
      </c>
      <c r="AF547">
        <f>'raw data Crude oil'!AF548</f>
        <v>0</v>
      </c>
      <c r="AG547">
        <f>'raw data Crude oil'!AG548</f>
        <v>0</v>
      </c>
      <c r="AH547">
        <f>'raw data Crude oil'!AH548</f>
        <v>0</v>
      </c>
      <c r="AI547">
        <f>'raw data Crude oil'!AI548</f>
        <v>0</v>
      </c>
      <c r="AJ547">
        <f>'raw data Crude oil'!AJ548</f>
        <v>0</v>
      </c>
      <c r="AK547">
        <f>'raw data Crude oil'!AK548</f>
        <v>0</v>
      </c>
    </row>
    <row r="548" spans="1:37" x14ac:dyDescent="0.3">
      <c r="A548" s="18">
        <f>'raw data Crude oil'!A549</f>
        <v>43509</v>
      </c>
      <c r="B548">
        <f>'raw data Crude oil'!B549</f>
        <v>63.61</v>
      </c>
      <c r="C548">
        <f>'raw data Crude oil'!C549</f>
        <v>63.58</v>
      </c>
      <c r="D548">
        <f>'raw data Crude oil'!D549</f>
        <v>63.53</v>
      </c>
      <c r="E548">
        <f>'raw data Crude oil'!E549</f>
        <v>63.39</v>
      </c>
      <c r="F548">
        <f>'raw data Crude oil'!F549</f>
        <v>63.3</v>
      </c>
      <c r="G548">
        <f>'raw data Crude oil'!G549</f>
        <v>63.18</v>
      </c>
      <c r="H548">
        <f>'raw data Crude oil'!H549</f>
        <v>63.05</v>
      </c>
      <c r="I548">
        <f>'raw data Crude oil'!I549</f>
        <v>62.95</v>
      </c>
      <c r="J548">
        <f>'raw data Crude oil'!J549</f>
        <v>62.84</v>
      </c>
      <c r="K548">
        <f>'raw data Crude oil'!K549</f>
        <v>62.74</v>
      </c>
      <c r="L548">
        <f>'raw data Crude oil'!L549</f>
        <v>62.65</v>
      </c>
      <c r="M548">
        <f>'raw data Crude oil'!M549</f>
        <v>62.57</v>
      </c>
      <c r="N548">
        <f>'raw data Crude oil'!N549</f>
        <v>53.9</v>
      </c>
      <c r="O548">
        <f>'raw data Crude oil'!O549</f>
        <v>54.31</v>
      </c>
      <c r="P548">
        <f>'raw data Crude oil'!P549</f>
        <v>54.88</v>
      </c>
      <c r="Q548">
        <f>'raw data Crude oil'!Q549</f>
        <v>55.42</v>
      </c>
      <c r="R548">
        <f>'raw data Crude oil'!R549</f>
        <v>55.89</v>
      </c>
      <c r="S548">
        <f>'raw data Crude oil'!S549</f>
        <v>56.24</v>
      </c>
      <c r="T548">
        <f>'raw data Crude oil'!T549</f>
        <v>56.49</v>
      </c>
      <c r="U548">
        <f>'raw data Crude oil'!U549</f>
        <v>56.64</v>
      </c>
      <c r="V548">
        <f>'raw data Crude oil'!V549</f>
        <v>56.71</v>
      </c>
      <c r="W548">
        <f>'raw data Crude oil'!W549</f>
        <v>56.72</v>
      </c>
      <c r="X548">
        <f>'raw data Crude oil'!X549</f>
        <v>56.7</v>
      </c>
      <c r="Y548">
        <f>'raw data Crude oil'!Y549</f>
        <v>56.65</v>
      </c>
      <c r="Z548">
        <f>'raw data Crude oil'!Z549</f>
        <v>0</v>
      </c>
      <c r="AA548">
        <f>'raw data Crude oil'!AA549</f>
        <v>0</v>
      </c>
      <c r="AB548">
        <f>'raw data Crude oil'!AB549</f>
        <v>0</v>
      </c>
      <c r="AC548">
        <f>'raw data Crude oil'!AC549</f>
        <v>0</v>
      </c>
      <c r="AD548">
        <f>'raw data Crude oil'!AD549</f>
        <v>0</v>
      </c>
      <c r="AE548">
        <f>'raw data Crude oil'!AE549</f>
        <v>0</v>
      </c>
      <c r="AF548">
        <f>'raw data Crude oil'!AF549</f>
        <v>0</v>
      </c>
      <c r="AG548">
        <f>'raw data Crude oil'!AG549</f>
        <v>0</v>
      </c>
      <c r="AH548">
        <f>'raw data Crude oil'!AH549</f>
        <v>0</v>
      </c>
      <c r="AI548">
        <f>'raw data Crude oil'!AI549</f>
        <v>0</v>
      </c>
      <c r="AJ548">
        <f>'raw data Crude oil'!AJ549</f>
        <v>0</v>
      </c>
      <c r="AK548">
        <f>'raw data Crude oil'!AK549</f>
        <v>0</v>
      </c>
    </row>
    <row r="549" spans="1:37" x14ac:dyDescent="0.3">
      <c r="A549" s="18">
        <f>'raw data Crude oil'!A550</f>
        <v>43510</v>
      </c>
      <c r="B549">
        <f>'raw data Crude oil'!B550</f>
        <v>64.569999999999993</v>
      </c>
      <c r="C549">
        <f>'raw data Crude oil'!C550</f>
        <v>64.52</v>
      </c>
      <c r="D549">
        <f>'raw data Crude oil'!D550</f>
        <v>64.41</v>
      </c>
      <c r="E549">
        <f>'raw data Crude oil'!E550</f>
        <v>64.239999999999995</v>
      </c>
      <c r="F549">
        <f>'raw data Crude oil'!F550</f>
        <v>64.12</v>
      </c>
      <c r="G549">
        <f>'raw data Crude oil'!G550</f>
        <v>64</v>
      </c>
      <c r="H549">
        <f>'raw data Crude oil'!H550</f>
        <v>63.88</v>
      </c>
      <c r="I549">
        <f>'raw data Crude oil'!I550</f>
        <v>63.78</v>
      </c>
      <c r="J549">
        <f>'raw data Crude oil'!J550</f>
        <v>63.66</v>
      </c>
      <c r="K549">
        <f>'raw data Crude oil'!K550</f>
        <v>63.55</v>
      </c>
      <c r="L549">
        <f>'raw data Crude oil'!L550</f>
        <v>63.45</v>
      </c>
      <c r="M549">
        <f>'raw data Crude oil'!M550</f>
        <v>63.37</v>
      </c>
      <c r="N549">
        <f>'raw data Crude oil'!N550</f>
        <v>54.41</v>
      </c>
      <c r="O549">
        <f>'raw data Crude oil'!O550</f>
        <v>54.79</v>
      </c>
      <c r="P549">
        <f>'raw data Crude oil'!P550</f>
        <v>55.35</v>
      </c>
      <c r="Q549">
        <f>'raw data Crude oil'!Q550</f>
        <v>55.9</v>
      </c>
      <c r="R549">
        <f>'raw data Crude oil'!R550</f>
        <v>56.37</v>
      </c>
      <c r="S549">
        <f>'raw data Crude oil'!S550</f>
        <v>56.72</v>
      </c>
      <c r="T549">
        <f>'raw data Crude oil'!T550</f>
        <v>56.96</v>
      </c>
      <c r="U549">
        <f>'raw data Crude oil'!U550</f>
        <v>57.09</v>
      </c>
      <c r="V549">
        <f>'raw data Crude oil'!V550</f>
        <v>57.16</v>
      </c>
      <c r="W549">
        <f>'raw data Crude oil'!W550</f>
        <v>57.14</v>
      </c>
      <c r="X549">
        <f>'raw data Crude oil'!X550</f>
        <v>57.09</v>
      </c>
      <c r="Y549">
        <f>'raw data Crude oil'!Y550</f>
        <v>57.02</v>
      </c>
      <c r="Z549">
        <f>'raw data Crude oil'!Z550</f>
        <v>0</v>
      </c>
      <c r="AA549">
        <f>'raw data Crude oil'!AA550</f>
        <v>0</v>
      </c>
      <c r="AB549">
        <f>'raw data Crude oil'!AB550</f>
        <v>0</v>
      </c>
      <c r="AC549">
        <f>'raw data Crude oil'!AC550</f>
        <v>0</v>
      </c>
      <c r="AD549">
        <f>'raw data Crude oil'!AD550</f>
        <v>0</v>
      </c>
      <c r="AE549">
        <f>'raw data Crude oil'!AE550</f>
        <v>0</v>
      </c>
      <c r="AF549">
        <f>'raw data Crude oil'!AF550</f>
        <v>0</v>
      </c>
      <c r="AG549">
        <f>'raw data Crude oil'!AG550</f>
        <v>0</v>
      </c>
      <c r="AH549">
        <f>'raw data Crude oil'!AH550</f>
        <v>0</v>
      </c>
      <c r="AI549">
        <f>'raw data Crude oil'!AI550</f>
        <v>0</v>
      </c>
      <c r="AJ549">
        <f>'raw data Crude oil'!AJ550</f>
        <v>0</v>
      </c>
      <c r="AK549">
        <f>'raw data Crude oil'!AK550</f>
        <v>0</v>
      </c>
    </row>
    <row r="550" spans="1:37" x14ac:dyDescent="0.3">
      <c r="A550" s="18">
        <f>'raw data Crude oil'!A551</f>
        <v>43511</v>
      </c>
      <c r="B550">
        <f>'raw data Crude oil'!B551</f>
        <v>66.25</v>
      </c>
      <c r="C550">
        <f>'raw data Crude oil'!C551</f>
        <v>66.22</v>
      </c>
      <c r="D550">
        <f>'raw data Crude oil'!D551</f>
        <v>66.12</v>
      </c>
      <c r="E550">
        <f>'raw data Crude oil'!E551</f>
        <v>65.959999999999994</v>
      </c>
      <c r="F550">
        <f>'raw data Crude oil'!F551</f>
        <v>65.849999999999994</v>
      </c>
      <c r="G550">
        <f>'raw data Crude oil'!G551</f>
        <v>65.72</v>
      </c>
      <c r="H550">
        <f>'raw data Crude oil'!H551</f>
        <v>65.59</v>
      </c>
      <c r="I550">
        <f>'raw data Crude oil'!I551</f>
        <v>65.48</v>
      </c>
      <c r="J550">
        <f>'raw data Crude oil'!J551</f>
        <v>65.34</v>
      </c>
      <c r="K550">
        <f>'raw data Crude oil'!K551</f>
        <v>65.22</v>
      </c>
      <c r="L550">
        <f>'raw data Crude oil'!L551</f>
        <v>65.099999999999994</v>
      </c>
      <c r="M550">
        <f>'raw data Crude oil'!M551</f>
        <v>64.989999999999995</v>
      </c>
      <c r="N550">
        <f>'raw data Crude oil'!N551</f>
        <v>55.59</v>
      </c>
      <c r="O550">
        <f>'raw data Crude oil'!O551</f>
        <v>55.98</v>
      </c>
      <c r="P550">
        <f>'raw data Crude oil'!P551</f>
        <v>56.54</v>
      </c>
      <c r="Q550">
        <f>'raw data Crude oil'!Q551</f>
        <v>57.1</v>
      </c>
      <c r="R550">
        <f>'raw data Crude oil'!R551</f>
        <v>57.59</v>
      </c>
      <c r="S550">
        <f>'raw data Crude oil'!S551</f>
        <v>57.97</v>
      </c>
      <c r="T550">
        <f>'raw data Crude oil'!T551</f>
        <v>58.24</v>
      </c>
      <c r="U550">
        <f>'raw data Crude oil'!U551</f>
        <v>58.4</v>
      </c>
      <c r="V550">
        <f>'raw data Crude oil'!V551</f>
        <v>58.48</v>
      </c>
      <c r="W550">
        <f>'raw data Crude oil'!W551</f>
        <v>58.48</v>
      </c>
      <c r="X550">
        <f>'raw data Crude oil'!X551</f>
        <v>58.43</v>
      </c>
      <c r="Y550">
        <f>'raw data Crude oil'!Y551</f>
        <v>58.35</v>
      </c>
      <c r="Z550">
        <f>'raw data Crude oil'!Z551</f>
        <v>0</v>
      </c>
      <c r="AA550">
        <f>'raw data Crude oil'!AA551</f>
        <v>0</v>
      </c>
      <c r="AB550">
        <f>'raw data Crude oil'!AB551</f>
        <v>0</v>
      </c>
      <c r="AC550">
        <f>'raw data Crude oil'!AC551</f>
        <v>0</v>
      </c>
      <c r="AD550">
        <f>'raw data Crude oil'!AD551</f>
        <v>0</v>
      </c>
      <c r="AE550">
        <f>'raw data Crude oil'!AE551</f>
        <v>0</v>
      </c>
      <c r="AF550">
        <f>'raw data Crude oil'!AF551</f>
        <v>0</v>
      </c>
      <c r="AG550">
        <f>'raw data Crude oil'!AG551</f>
        <v>0</v>
      </c>
      <c r="AH550">
        <f>'raw data Crude oil'!AH551</f>
        <v>0</v>
      </c>
      <c r="AI550">
        <f>'raw data Crude oil'!AI551</f>
        <v>0</v>
      </c>
      <c r="AJ550">
        <f>'raw data Crude oil'!AJ551</f>
        <v>0</v>
      </c>
      <c r="AK550">
        <f>'raw data Crude oil'!AK551</f>
        <v>0</v>
      </c>
    </row>
    <row r="551" spans="1:37" x14ac:dyDescent="0.3">
      <c r="A551" s="18">
        <f>'raw data Crude oil'!A552</f>
        <v>43514</v>
      </c>
      <c r="B551">
        <f>'raw data Crude oil'!B552</f>
        <v>66.5</v>
      </c>
      <c r="C551">
        <f>'raw data Crude oil'!C552</f>
        <v>66.5</v>
      </c>
      <c r="D551">
        <f>'raw data Crude oil'!D552</f>
        <v>66.42</v>
      </c>
      <c r="E551">
        <f>'raw data Crude oil'!E552</f>
        <v>66.28</v>
      </c>
      <c r="F551">
        <f>'raw data Crude oil'!F552</f>
        <v>66.180000000000007</v>
      </c>
      <c r="G551">
        <f>'raw data Crude oil'!G552</f>
        <v>66.06</v>
      </c>
      <c r="H551">
        <f>'raw data Crude oil'!H552</f>
        <v>65.92</v>
      </c>
      <c r="I551">
        <f>'raw data Crude oil'!I552</f>
        <v>65.8</v>
      </c>
      <c r="J551">
        <f>'raw data Crude oil'!J552</f>
        <v>65.66</v>
      </c>
      <c r="K551">
        <f>'raw data Crude oil'!K552</f>
        <v>65.540000000000006</v>
      </c>
      <c r="L551">
        <f>'raw data Crude oil'!L552</f>
        <v>65.42</v>
      </c>
      <c r="M551">
        <f>'raw data Crude oil'!M552</f>
        <v>65.3</v>
      </c>
      <c r="N551">
        <f>'raw data Crude oil'!N552</f>
        <v>55.59</v>
      </c>
      <c r="O551">
        <f>'raw data Crude oil'!O552</f>
        <v>55.98</v>
      </c>
      <c r="P551">
        <f>'raw data Crude oil'!P552</f>
        <v>56.54</v>
      </c>
      <c r="Q551">
        <f>'raw data Crude oil'!Q552</f>
        <v>57.1</v>
      </c>
      <c r="R551">
        <f>'raw data Crude oil'!R552</f>
        <v>57.59</v>
      </c>
      <c r="S551">
        <f>'raw data Crude oil'!S552</f>
        <v>57.97</v>
      </c>
      <c r="T551">
        <f>'raw data Crude oil'!T552</f>
        <v>58.24</v>
      </c>
      <c r="U551">
        <f>'raw data Crude oil'!U552</f>
        <v>58.4</v>
      </c>
      <c r="V551">
        <f>'raw data Crude oil'!V552</f>
        <v>58.48</v>
      </c>
      <c r="W551">
        <f>'raw data Crude oil'!W552</f>
        <v>58.48</v>
      </c>
      <c r="X551">
        <f>'raw data Crude oil'!X552</f>
        <v>58.43</v>
      </c>
      <c r="Y551">
        <f>'raw data Crude oil'!Y552</f>
        <v>58.35</v>
      </c>
      <c r="Z551">
        <f>'raw data Crude oil'!Z552</f>
        <v>0</v>
      </c>
      <c r="AA551">
        <f>'raw data Crude oil'!AA552</f>
        <v>0</v>
      </c>
      <c r="AB551">
        <f>'raw data Crude oil'!AB552</f>
        <v>0</v>
      </c>
      <c r="AC551">
        <f>'raw data Crude oil'!AC552</f>
        <v>0</v>
      </c>
      <c r="AD551">
        <f>'raw data Crude oil'!AD552</f>
        <v>0</v>
      </c>
      <c r="AE551">
        <f>'raw data Crude oil'!AE552</f>
        <v>0</v>
      </c>
      <c r="AF551">
        <f>'raw data Crude oil'!AF552</f>
        <v>0</v>
      </c>
      <c r="AG551">
        <f>'raw data Crude oil'!AG552</f>
        <v>0</v>
      </c>
      <c r="AH551">
        <f>'raw data Crude oil'!AH552</f>
        <v>0</v>
      </c>
      <c r="AI551">
        <f>'raw data Crude oil'!AI552</f>
        <v>0</v>
      </c>
      <c r="AJ551">
        <f>'raw data Crude oil'!AJ552</f>
        <v>0</v>
      </c>
      <c r="AK551">
        <f>'raw data Crude oil'!AK552</f>
        <v>0</v>
      </c>
    </row>
    <row r="552" spans="1:37" x14ac:dyDescent="0.3">
      <c r="A552" s="18">
        <f>'raw data Crude oil'!A553</f>
        <v>43515</v>
      </c>
      <c r="B552">
        <f>'raw data Crude oil'!B553</f>
        <v>66.45</v>
      </c>
      <c r="C552">
        <f>'raw data Crude oil'!C553</f>
        <v>66.47</v>
      </c>
      <c r="D552">
        <f>'raw data Crude oil'!D553</f>
        <v>66.400000000000006</v>
      </c>
      <c r="E552">
        <f>'raw data Crude oil'!E553</f>
        <v>66.25</v>
      </c>
      <c r="F552">
        <f>'raw data Crude oil'!F553</f>
        <v>66.150000000000006</v>
      </c>
      <c r="G552">
        <f>'raw data Crude oil'!G553</f>
        <v>66.040000000000006</v>
      </c>
      <c r="H552">
        <f>'raw data Crude oil'!H553</f>
        <v>65.92</v>
      </c>
      <c r="I552">
        <f>'raw data Crude oil'!I553</f>
        <v>65.81</v>
      </c>
      <c r="J552">
        <f>'raw data Crude oil'!J553</f>
        <v>65.67</v>
      </c>
      <c r="K552">
        <f>'raw data Crude oil'!K553</f>
        <v>65.56</v>
      </c>
      <c r="L552">
        <f>'raw data Crude oil'!L553</f>
        <v>65.44</v>
      </c>
      <c r="M552">
        <f>'raw data Crude oil'!M553</f>
        <v>65.319999999999993</v>
      </c>
      <c r="N552">
        <f>'raw data Crude oil'!N553</f>
        <v>56.09</v>
      </c>
      <c r="O552">
        <f>'raw data Crude oil'!O553</f>
        <v>56.45</v>
      </c>
      <c r="P552">
        <f>'raw data Crude oil'!P553</f>
        <v>56.95</v>
      </c>
      <c r="Q552">
        <f>'raw data Crude oil'!Q553</f>
        <v>57.48</v>
      </c>
      <c r="R552">
        <f>'raw data Crude oil'!R553</f>
        <v>57.96</v>
      </c>
      <c r="S552">
        <f>'raw data Crude oil'!S553</f>
        <v>58.32</v>
      </c>
      <c r="T552">
        <f>'raw data Crude oil'!T553</f>
        <v>58.57</v>
      </c>
      <c r="U552">
        <f>'raw data Crude oil'!U553</f>
        <v>58.72</v>
      </c>
      <c r="V552">
        <f>'raw data Crude oil'!V553</f>
        <v>58.78</v>
      </c>
      <c r="W552">
        <f>'raw data Crude oil'!W553</f>
        <v>58.77</v>
      </c>
      <c r="X552">
        <f>'raw data Crude oil'!X553</f>
        <v>58.71</v>
      </c>
      <c r="Y552">
        <f>'raw data Crude oil'!Y553</f>
        <v>58.62</v>
      </c>
      <c r="Z552">
        <f>'raw data Crude oil'!Z553</f>
        <v>0</v>
      </c>
      <c r="AA552">
        <f>'raw data Crude oil'!AA553</f>
        <v>0</v>
      </c>
      <c r="AB552">
        <f>'raw data Crude oil'!AB553</f>
        <v>0</v>
      </c>
      <c r="AC552">
        <f>'raw data Crude oil'!AC553</f>
        <v>0</v>
      </c>
      <c r="AD552">
        <f>'raw data Crude oil'!AD553</f>
        <v>0</v>
      </c>
      <c r="AE552">
        <f>'raw data Crude oil'!AE553</f>
        <v>0</v>
      </c>
      <c r="AF552">
        <f>'raw data Crude oil'!AF553</f>
        <v>0</v>
      </c>
      <c r="AG552">
        <f>'raw data Crude oil'!AG553</f>
        <v>0</v>
      </c>
      <c r="AH552">
        <f>'raw data Crude oil'!AH553</f>
        <v>0</v>
      </c>
      <c r="AI552">
        <f>'raw data Crude oil'!AI553</f>
        <v>0</v>
      </c>
      <c r="AJ552">
        <f>'raw data Crude oil'!AJ553</f>
        <v>0</v>
      </c>
      <c r="AK552">
        <f>'raw data Crude oil'!AK553</f>
        <v>0</v>
      </c>
    </row>
    <row r="553" spans="1:37" x14ac:dyDescent="0.3">
      <c r="A553" s="18">
        <f>'raw data Crude oil'!A554</f>
        <v>43516</v>
      </c>
      <c r="B553">
        <f>'raw data Crude oil'!B554</f>
        <v>67.08</v>
      </c>
      <c r="C553">
        <f>'raw data Crude oil'!C554</f>
        <v>67.13</v>
      </c>
      <c r="D553">
        <f>'raw data Crude oil'!D554</f>
        <v>67.05</v>
      </c>
      <c r="E553">
        <f>'raw data Crude oil'!E554</f>
        <v>66.88</v>
      </c>
      <c r="F553">
        <f>'raw data Crude oil'!F554</f>
        <v>66.77</v>
      </c>
      <c r="G553">
        <f>'raw data Crude oil'!G554</f>
        <v>66.650000000000006</v>
      </c>
      <c r="H553">
        <f>'raw data Crude oil'!H554</f>
        <v>66.510000000000005</v>
      </c>
      <c r="I553">
        <f>'raw data Crude oil'!I554</f>
        <v>66.37</v>
      </c>
      <c r="J553">
        <f>'raw data Crude oil'!J554</f>
        <v>66.209999999999994</v>
      </c>
      <c r="K553">
        <f>'raw data Crude oil'!K554</f>
        <v>66.069999999999993</v>
      </c>
      <c r="L553">
        <f>'raw data Crude oil'!L554</f>
        <v>65.930000000000007</v>
      </c>
      <c r="M553">
        <f>'raw data Crude oil'!M554</f>
        <v>65.8</v>
      </c>
      <c r="N553">
        <f>'raw data Crude oil'!N554</f>
        <v>56.92</v>
      </c>
      <c r="O553">
        <f>'raw data Crude oil'!O554</f>
        <v>57.16</v>
      </c>
      <c r="P553">
        <f>'raw data Crude oil'!P554</f>
        <v>57.64</v>
      </c>
      <c r="Q553">
        <f>'raw data Crude oil'!Q554</f>
        <v>58.13</v>
      </c>
      <c r="R553">
        <f>'raw data Crude oil'!R554</f>
        <v>58.57</v>
      </c>
      <c r="S553">
        <f>'raw data Crude oil'!S554</f>
        <v>58.9</v>
      </c>
      <c r="T553">
        <f>'raw data Crude oil'!T554</f>
        <v>59.1</v>
      </c>
      <c r="U553">
        <f>'raw data Crude oil'!U554</f>
        <v>59.2</v>
      </c>
      <c r="V553">
        <f>'raw data Crude oil'!V554</f>
        <v>59.23</v>
      </c>
      <c r="W553">
        <f>'raw data Crude oil'!W554</f>
        <v>59.17</v>
      </c>
      <c r="X553">
        <f>'raw data Crude oil'!X554</f>
        <v>59.09</v>
      </c>
      <c r="Y553">
        <f>'raw data Crude oil'!Y554</f>
        <v>58.98</v>
      </c>
      <c r="Z553">
        <f>'raw data Crude oil'!Z554</f>
        <v>0</v>
      </c>
      <c r="AA553">
        <f>'raw data Crude oil'!AA554</f>
        <v>0</v>
      </c>
      <c r="AB553">
        <f>'raw data Crude oil'!AB554</f>
        <v>0</v>
      </c>
      <c r="AC553">
        <f>'raw data Crude oil'!AC554</f>
        <v>0</v>
      </c>
      <c r="AD553">
        <f>'raw data Crude oil'!AD554</f>
        <v>0</v>
      </c>
      <c r="AE553">
        <f>'raw data Crude oil'!AE554</f>
        <v>0</v>
      </c>
      <c r="AF553">
        <f>'raw data Crude oil'!AF554</f>
        <v>0</v>
      </c>
      <c r="AG553">
        <f>'raw data Crude oil'!AG554</f>
        <v>0</v>
      </c>
      <c r="AH553">
        <f>'raw data Crude oil'!AH554</f>
        <v>0</v>
      </c>
      <c r="AI553">
        <f>'raw data Crude oil'!AI554</f>
        <v>0</v>
      </c>
      <c r="AJ553">
        <f>'raw data Crude oil'!AJ554</f>
        <v>0</v>
      </c>
      <c r="AK553">
        <f>'raw data Crude oil'!AK554</f>
        <v>0</v>
      </c>
    </row>
    <row r="554" spans="1:37" x14ac:dyDescent="0.3">
      <c r="A554" s="18">
        <f>'raw data Crude oil'!A555</f>
        <v>43517</v>
      </c>
      <c r="B554">
        <f>'raw data Crude oil'!B555</f>
        <v>67.069999999999993</v>
      </c>
      <c r="C554">
        <f>'raw data Crude oil'!C555</f>
        <v>67.19</v>
      </c>
      <c r="D554">
        <f>'raw data Crude oil'!D555</f>
        <v>67.12</v>
      </c>
      <c r="E554">
        <f>'raw data Crude oil'!E555</f>
        <v>66.95</v>
      </c>
      <c r="F554">
        <f>'raw data Crude oil'!F555</f>
        <v>66.83</v>
      </c>
      <c r="G554">
        <f>'raw data Crude oil'!G555</f>
        <v>66.709999999999994</v>
      </c>
      <c r="H554">
        <f>'raw data Crude oil'!H555</f>
        <v>66.569999999999993</v>
      </c>
      <c r="I554">
        <f>'raw data Crude oil'!I555</f>
        <v>66.430000000000007</v>
      </c>
      <c r="J554">
        <f>'raw data Crude oil'!J555</f>
        <v>66.27</v>
      </c>
      <c r="K554">
        <f>'raw data Crude oil'!K555</f>
        <v>66.13</v>
      </c>
      <c r="L554">
        <f>'raw data Crude oil'!L555</f>
        <v>65.989999999999995</v>
      </c>
      <c r="M554">
        <f>'raw data Crude oil'!M555</f>
        <v>65.849999999999994</v>
      </c>
      <c r="N554">
        <f>'raw data Crude oil'!N555</f>
        <v>56.96</v>
      </c>
      <c r="O554">
        <f>'raw data Crude oil'!O555</f>
        <v>57.46</v>
      </c>
      <c r="P554">
        <f>'raw data Crude oil'!P555</f>
        <v>57.98</v>
      </c>
      <c r="Q554">
        <f>'raw data Crude oil'!Q555</f>
        <v>58.45</v>
      </c>
      <c r="R554">
        <f>'raw data Crude oil'!R555</f>
        <v>58.81</v>
      </c>
      <c r="S554">
        <f>'raw data Crude oil'!S555</f>
        <v>59.05</v>
      </c>
      <c r="T554">
        <f>'raw data Crude oil'!T555</f>
        <v>59.18</v>
      </c>
      <c r="U554">
        <f>'raw data Crude oil'!U555</f>
        <v>59.22</v>
      </c>
      <c r="V554">
        <f>'raw data Crude oil'!V555</f>
        <v>59.17</v>
      </c>
      <c r="W554">
        <f>'raw data Crude oil'!W555</f>
        <v>59.09</v>
      </c>
      <c r="X554">
        <f>'raw data Crude oil'!X555</f>
        <v>58.98</v>
      </c>
      <c r="Y554">
        <f>'raw data Crude oil'!Y555</f>
        <v>58.84</v>
      </c>
      <c r="Z554">
        <f>'raw data Crude oil'!Z555</f>
        <v>0</v>
      </c>
      <c r="AA554">
        <f>'raw data Crude oil'!AA555</f>
        <v>0</v>
      </c>
      <c r="AB554">
        <f>'raw data Crude oil'!AB555</f>
        <v>0</v>
      </c>
      <c r="AC554">
        <f>'raw data Crude oil'!AC555</f>
        <v>0</v>
      </c>
      <c r="AD554">
        <f>'raw data Crude oil'!AD555</f>
        <v>0</v>
      </c>
      <c r="AE554">
        <f>'raw data Crude oil'!AE555</f>
        <v>0</v>
      </c>
      <c r="AF554">
        <f>'raw data Crude oil'!AF555</f>
        <v>0</v>
      </c>
      <c r="AG554">
        <f>'raw data Crude oil'!AG555</f>
        <v>0</v>
      </c>
      <c r="AH554">
        <f>'raw data Crude oil'!AH555</f>
        <v>0</v>
      </c>
      <c r="AI554">
        <f>'raw data Crude oil'!AI555</f>
        <v>0</v>
      </c>
      <c r="AJ554">
        <f>'raw data Crude oil'!AJ555</f>
        <v>0</v>
      </c>
      <c r="AK554">
        <f>'raw data Crude oil'!AK555</f>
        <v>0</v>
      </c>
    </row>
    <row r="555" spans="1:37" x14ac:dyDescent="0.3">
      <c r="A555" s="18">
        <f>'raw data Crude oil'!A556</f>
        <v>43518</v>
      </c>
      <c r="B555">
        <f>'raw data Crude oil'!B556</f>
        <v>67.12</v>
      </c>
      <c r="C555">
        <f>'raw data Crude oil'!C556</f>
        <v>67.25</v>
      </c>
      <c r="D555">
        <f>'raw data Crude oil'!D556</f>
        <v>67.180000000000007</v>
      </c>
      <c r="E555">
        <f>'raw data Crude oil'!E556</f>
        <v>67.010000000000005</v>
      </c>
      <c r="F555">
        <f>'raw data Crude oil'!F556</f>
        <v>66.89</v>
      </c>
      <c r="G555">
        <f>'raw data Crude oil'!G556</f>
        <v>66.77</v>
      </c>
      <c r="H555">
        <f>'raw data Crude oil'!H556</f>
        <v>66.64</v>
      </c>
      <c r="I555">
        <f>'raw data Crude oil'!I556</f>
        <v>66.510000000000005</v>
      </c>
      <c r="J555">
        <f>'raw data Crude oil'!J556</f>
        <v>66.349999999999994</v>
      </c>
      <c r="K555">
        <f>'raw data Crude oil'!K556</f>
        <v>66.209999999999994</v>
      </c>
      <c r="L555">
        <f>'raw data Crude oil'!L556</f>
        <v>66.069999999999993</v>
      </c>
      <c r="M555">
        <f>'raw data Crude oil'!M556</f>
        <v>65.930000000000007</v>
      </c>
      <c r="N555">
        <f>'raw data Crude oil'!N556</f>
        <v>57.26</v>
      </c>
      <c r="O555">
        <f>'raw data Crude oil'!O556</f>
        <v>57.75</v>
      </c>
      <c r="P555">
        <f>'raw data Crude oil'!P556</f>
        <v>58.25</v>
      </c>
      <c r="Q555">
        <f>'raw data Crude oil'!Q556</f>
        <v>58.71</v>
      </c>
      <c r="R555">
        <f>'raw data Crude oil'!R556</f>
        <v>59.08</v>
      </c>
      <c r="S555">
        <f>'raw data Crude oil'!S556</f>
        <v>59.32</v>
      </c>
      <c r="T555">
        <f>'raw data Crude oil'!T556</f>
        <v>59.44</v>
      </c>
      <c r="U555">
        <f>'raw data Crude oil'!U556</f>
        <v>59.47</v>
      </c>
      <c r="V555">
        <f>'raw data Crude oil'!V556</f>
        <v>59.4</v>
      </c>
      <c r="W555">
        <f>'raw data Crude oil'!W556</f>
        <v>59.3</v>
      </c>
      <c r="X555">
        <f>'raw data Crude oil'!X556</f>
        <v>59.17</v>
      </c>
      <c r="Y555">
        <f>'raw data Crude oil'!Y556</f>
        <v>59.02</v>
      </c>
      <c r="Z555">
        <f>'raw data Crude oil'!Z556</f>
        <v>0</v>
      </c>
      <c r="AA555">
        <f>'raw data Crude oil'!AA556</f>
        <v>0</v>
      </c>
      <c r="AB555">
        <f>'raw data Crude oil'!AB556</f>
        <v>0</v>
      </c>
      <c r="AC555">
        <f>'raw data Crude oil'!AC556</f>
        <v>0</v>
      </c>
      <c r="AD555">
        <f>'raw data Crude oil'!AD556</f>
        <v>0</v>
      </c>
      <c r="AE555">
        <f>'raw data Crude oil'!AE556</f>
        <v>0</v>
      </c>
      <c r="AF555">
        <f>'raw data Crude oil'!AF556</f>
        <v>0</v>
      </c>
      <c r="AG555">
        <f>'raw data Crude oil'!AG556</f>
        <v>0</v>
      </c>
      <c r="AH555">
        <f>'raw data Crude oil'!AH556</f>
        <v>0</v>
      </c>
      <c r="AI555">
        <f>'raw data Crude oil'!AI556</f>
        <v>0</v>
      </c>
      <c r="AJ555">
        <f>'raw data Crude oil'!AJ556</f>
        <v>0</v>
      </c>
      <c r="AK555">
        <f>'raw data Crude oil'!AK556</f>
        <v>0</v>
      </c>
    </row>
    <row r="556" spans="1:37" x14ac:dyDescent="0.3">
      <c r="A556" s="18">
        <f>'raw data Crude oil'!A557</f>
        <v>43521</v>
      </c>
      <c r="B556">
        <f>'raw data Crude oil'!B557</f>
        <v>64.760000000000005</v>
      </c>
      <c r="C556">
        <f>'raw data Crude oil'!C557</f>
        <v>64.91</v>
      </c>
      <c r="D556">
        <f>'raw data Crude oil'!D557</f>
        <v>64.88</v>
      </c>
      <c r="E556">
        <f>'raw data Crude oil'!E557</f>
        <v>64.75</v>
      </c>
      <c r="F556">
        <f>'raw data Crude oil'!F557</f>
        <v>64.67</v>
      </c>
      <c r="G556">
        <f>'raw data Crude oil'!G557</f>
        <v>64.599999999999994</v>
      </c>
      <c r="H556">
        <f>'raw data Crude oil'!H557</f>
        <v>64.5</v>
      </c>
      <c r="I556">
        <f>'raw data Crude oil'!I557</f>
        <v>64.41</v>
      </c>
      <c r="J556">
        <f>'raw data Crude oil'!J557</f>
        <v>64.31</v>
      </c>
      <c r="K556">
        <f>'raw data Crude oil'!K557</f>
        <v>64.209999999999994</v>
      </c>
      <c r="L556">
        <f>'raw data Crude oil'!L557</f>
        <v>64.099999999999994</v>
      </c>
      <c r="M556">
        <f>'raw data Crude oil'!M557</f>
        <v>64.010000000000005</v>
      </c>
      <c r="N556">
        <f>'raw data Crude oil'!N557</f>
        <v>55.48</v>
      </c>
      <c r="O556">
        <f>'raw data Crude oil'!O557</f>
        <v>55.92</v>
      </c>
      <c r="P556">
        <f>'raw data Crude oil'!P557</f>
        <v>56.42</v>
      </c>
      <c r="Q556">
        <f>'raw data Crude oil'!Q557</f>
        <v>56.88</v>
      </c>
      <c r="R556">
        <f>'raw data Crude oil'!R557</f>
        <v>57.26</v>
      </c>
      <c r="S556">
        <f>'raw data Crude oil'!S557</f>
        <v>57.52</v>
      </c>
      <c r="T556">
        <f>'raw data Crude oil'!T557</f>
        <v>57.67</v>
      </c>
      <c r="U556">
        <f>'raw data Crude oil'!U557</f>
        <v>57.71</v>
      </c>
      <c r="V556">
        <f>'raw data Crude oil'!V557</f>
        <v>57.68</v>
      </c>
      <c r="W556">
        <f>'raw data Crude oil'!W557</f>
        <v>57.61</v>
      </c>
      <c r="X556">
        <f>'raw data Crude oil'!X557</f>
        <v>57.51</v>
      </c>
      <c r="Y556">
        <f>'raw data Crude oil'!Y557</f>
        <v>57.39</v>
      </c>
      <c r="Z556">
        <f>'raw data Crude oil'!Z557</f>
        <v>0</v>
      </c>
      <c r="AA556">
        <f>'raw data Crude oil'!AA557</f>
        <v>0</v>
      </c>
      <c r="AB556">
        <f>'raw data Crude oil'!AB557</f>
        <v>0</v>
      </c>
      <c r="AC556">
        <f>'raw data Crude oil'!AC557</f>
        <v>0</v>
      </c>
      <c r="AD556">
        <f>'raw data Crude oil'!AD557</f>
        <v>0</v>
      </c>
      <c r="AE556">
        <f>'raw data Crude oil'!AE557</f>
        <v>0</v>
      </c>
      <c r="AF556">
        <f>'raw data Crude oil'!AF557</f>
        <v>0</v>
      </c>
      <c r="AG556">
        <f>'raw data Crude oil'!AG557</f>
        <v>0</v>
      </c>
      <c r="AH556">
        <f>'raw data Crude oil'!AH557</f>
        <v>0</v>
      </c>
      <c r="AI556">
        <f>'raw data Crude oil'!AI557</f>
        <v>0</v>
      </c>
      <c r="AJ556">
        <f>'raw data Crude oil'!AJ557</f>
        <v>0</v>
      </c>
      <c r="AK556">
        <f>'raw data Crude oil'!AK557</f>
        <v>0</v>
      </c>
    </row>
    <row r="557" spans="1:37" x14ac:dyDescent="0.3">
      <c r="A557" s="18">
        <f>'raw data Crude oil'!A558</f>
        <v>43522</v>
      </c>
      <c r="B557">
        <f>'raw data Crude oil'!B558</f>
        <v>65.209999999999994</v>
      </c>
      <c r="C557">
        <f>'raw data Crude oil'!C558</f>
        <v>65.36</v>
      </c>
      <c r="D557">
        <f>'raw data Crude oil'!D558</f>
        <v>65.349999999999994</v>
      </c>
      <c r="E557">
        <f>'raw data Crude oil'!E558</f>
        <v>65.239999999999995</v>
      </c>
      <c r="F557">
        <f>'raw data Crude oil'!F558</f>
        <v>65.19</v>
      </c>
      <c r="G557">
        <f>'raw data Crude oil'!G558</f>
        <v>65.13</v>
      </c>
      <c r="H557">
        <f>'raw data Crude oil'!H558</f>
        <v>65.040000000000006</v>
      </c>
      <c r="I557">
        <f>'raw data Crude oil'!I558</f>
        <v>64.95</v>
      </c>
      <c r="J557">
        <f>'raw data Crude oil'!J558</f>
        <v>64.84</v>
      </c>
      <c r="K557">
        <f>'raw data Crude oil'!K558</f>
        <v>64.739999999999995</v>
      </c>
      <c r="L557">
        <f>'raw data Crude oil'!L558</f>
        <v>64.64</v>
      </c>
      <c r="M557">
        <f>'raw data Crude oil'!M558</f>
        <v>64.540000000000006</v>
      </c>
      <c r="N557">
        <f>'raw data Crude oil'!N558</f>
        <v>55.5</v>
      </c>
      <c r="O557">
        <f>'raw data Crude oil'!O558</f>
        <v>55.97</v>
      </c>
      <c r="P557">
        <f>'raw data Crude oil'!P558</f>
        <v>56.51</v>
      </c>
      <c r="Q557">
        <f>'raw data Crude oil'!Q558</f>
        <v>57.01</v>
      </c>
      <c r="R557">
        <f>'raw data Crude oil'!R558</f>
        <v>57.42</v>
      </c>
      <c r="S557">
        <f>'raw data Crude oil'!S558</f>
        <v>57.72</v>
      </c>
      <c r="T557">
        <f>'raw data Crude oil'!T558</f>
        <v>57.89</v>
      </c>
      <c r="U557">
        <f>'raw data Crude oil'!U558</f>
        <v>57.96</v>
      </c>
      <c r="V557">
        <f>'raw data Crude oil'!V558</f>
        <v>57.98</v>
      </c>
      <c r="W557">
        <f>'raw data Crude oil'!W558</f>
        <v>57.93</v>
      </c>
      <c r="X557">
        <f>'raw data Crude oil'!X558</f>
        <v>57.84</v>
      </c>
      <c r="Y557">
        <f>'raw data Crude oil'!Y558</f>
        <v>57.74</v>
      </c>
      <c r="Z557">
        <f>'raw data Crude oil'!Z558</f>
        <v>0</v>
      </c>
      <c r="AA557">
        <f>'raw data Crude oil'!AA558</f>
        <v>0</v>
      </c>
      <c r="AB557">
        <f>'raw data Crude oil'!AB558</f>
        <v>0</v>
      </c>
      <c r="AC557">
        <f>'raw data Crude oil'!AC558</f>
        <v>0</v>
      </c>
      <c r="AD557">
        <f>'raw data Crude oil'!AD558</f>
        <v>0</v>
      </c>
      <c r="AE557">
        <f>'raw data Crude oil'!AE558</f>
        <v>0</v>
      </c>
      <c r="AF557">
        <f>'raw data Crude oil'!AF558</f>
        <v>0</v>
      </c>
      <c r="AG557">
        <f>'raw data Crude oil'!AG558</f>
        <v>0</v>
      </c>
      <c r="AH557">
        <f>'raw data Crude oil'!AH558</f>
        <v>0</v>
      </c>
      <c r="AI557">
        <f>'raw data Crude oil'!AI558</f>
        <v>0</v>
      </c>
      <c r="AJ557">
        <f>'raw data Crude oil'!AJ558</f>
        <v>0</v>
      </c>
      <c r="AK557">
        <f>'raw data Crude oil'!AK558</f>
        <v>0</v>
      </c>
    </row>
    <row r="558" spans="1:37" x14ac:dyDescent="0.3">
      <c r="A558" s="18">
        <f>'raw data Crude oil'!A559</f>
        <v>43523</v>
      </c>
      <c r="B558">
        <f>'raw data Crude oil'!B559</f>
        <v>66.39</v>
      </c>
      <c r="C558">
        <f>'raw data Crude oil'!C559</f>
        <v>66.58</v>
      </c>
      <c r="D558">
        <f>'raw data Crude oil'!D559</f>
        <v>66.569999999999993</v>
      </c>
      <c r="E558">
        <f>'raw data Crude oil'!E559</f>
        <v>66.45</v>
      </c>
      <c r="F558">
        <f>'raw data Crude oil'!F559</f>
        <v>66.38</v>
      </c>
      <c r="G558">
        <f>'raw data Crude oil'!G559</f>
        <v>66.290000000000006</v>
      </c>
      <c r="H558">
        <f>'raw data Crude oil'!H559</f>
        <v>66.16</v>
      </c>
      <c r="I558">
        <f>'raw data Crude oil'!I559</f>
        <v>66.02</v>
      </c>
      <c r="J558">
        <f>'raw data Crude oil'!J559</f>
        <v>65.87</v>
      </c>
      <c r="K558">
        <f>'raw data Crude oil'!K559</f>
        <v>65.739999999999995</v>
      </c>
      <c r="L558">
        <f>'raw data Crude oil'!L559</f>
        <v>65.61</v>
      </c>
      <c r="M558">
        <f>'raw data Crude oil'!M559</f>
        <v>65.48</v>
      </c>
      <c r="N558">
        <f>'raw data Crude oil'!N559</f>
        <v>56.94</v>
      </c>
      <c r="O558">
        <f>'raw data Crude oil'!O559</f>
        <v>57.37</v>
      </c>
      <c r="P558">
        <f>'raw data Crude oil'!P559</f>
        <v>57.87</v>
      </c>
      <c r="Q558">
        <f>'raw data Crude oil'!Q559</f>
        <v>58.33</v>
      </c>
      <c r="R558">
        <f>'raw data Crude oil'!R559</f>
        <v>58.7</v>
      </c>
      <c r="S558">
        <f>'raw data Crude oil'!S559</f>
        <v>58.96</v>
      </c>
      <c r="T558">
        <f>'raw data Crude oil'!T559</f>
        <v>59.1</v>
      </c>
      <c r="U558">
        <f>'raw data Crude oil'!U559</f>
        <v>59.13</v>
      </c>
      <c r="V558">
        <f>'raw data Crude oil'!V559</f>
        <v>59.08</v>
      </c>
      <c r="W558">
        <f>'raw data Crude oil'!W559</f>
        <v>58.99</v>
      </c>
      <c r="X558">
        <f>'raw data Crude oil'!X559</f>
        <v>58.88</v>
      </c>
      <c r="Y558">
        <f>'raw data Crude oil'!Y559</f>
        <v>58.74</v>
      </c>
      <c r="Z558">
        <f>'raw data Crude oil'!Z559</f>
        <v>0</v>
      </c>
      <c r="AA558">
        <f>'raw data Crude oil'!AA559</f>
        <v>0</v>
      </c>
      <c r="AB558">
        <f>'raw data Crude oil'!AB559</f>
        <v>0</v>
      </c>
      <c r="AC558">
        <f>'raw data Crude oil'!AC559</f>
        <v>0</v>
      </c>
      <c r="AD558">
        <f>'raw data Crude oil'!AD559</f>
        <v>0</v>
      </c>
      <c r="AE558">
        <f>'raw data Crude oil'!AE559</f>
        <v>0</v>
      </c>
      <c r="AF558">
        <f>'raw data Crude oil'!AF559</f>
        <v>0</v>
      </c>
      <c r="AG558">
        <f>'raw data Crude oil'!AG559</f>
        <v>0</v>
      </c>
      <c r="AH558">
        <f>'raw data Crude oil'!AH559</f>
        <v>0</v>
      </c>
      <c r="AI558">
        <f>'raw data Crude oil'!AI559</f>
        <v>0</v>
      </c>
      <c r="AJ558">
        <f>'raw data Crude oil'!AJ559</f>
        <v>0</v>
      </c>
      <c r="AK558">
        <f>'raw data Crude oil'!AK559</f>
        <v>0</v>
      </c>
    </row>
    <row r="559" spans="1:37" x14ac:dyDescent="0.3">
      <c r="A559" s="18">
        <f>'raw data Crude oil'!A560</f>
        <v>43524</v>
      </c>
      <c r="B559">
        <f>'raw data Crude oil'!B560</f>
        <v>66.03</v>
      </c>
      <c r="C559">
        <f>'raw data Crude oil'!C560</f>
        <v>66.31</v>
      </c>
      <c r="D559">
        <f>'raw data Crude oil'!D560</f>
        <v>66.33</v>
      </c>
      <c r="E559">
        <f>'raw data Crude oil'!E560</f>
        <v>66.23</v>
      </c>
      <c r="F559">
        <f>'raw data Crude oil'!F560</f>
        <v>66.180000000000007</v>
      </c>
      <c r="G559">
        <f>'raw data Crude oil'!G560</f>
        <v>66.09</v>
      </c>
      <c r="H559">
        <f>'raw data Crude oil'!H560</f>
        <v>65.97</v>
      </c>
      <c r="I559">
        <f>'raw data Crude oil'!I560</f>
        <v>65.86</v>
      </c>
      <c r="J559">
        <f>'raw data Crude oil'!J560</f>
        <v>65.72</v>
      </c>
      <c r="K559">
        <f>'raw data Crude oil'!K560</f>
        <v>65.599999999999994</v>
      </c>
      <c r="L559">
        <f>'raw data Crude oil'!L560</f>
        <v>65.48</v>
      </c>
      <c r="M559">
        <f>'raw data Crude oil'!M560</f>
        <v>65.349999999999994</v>
      </c>
      <c r="N559">
        <f>'raw data Crude oil'!N560</f>
        <v>57.22</v>
      </c>
      <c r="O559">
        <f>'raw data Crude oil'!O560</f>
        <v>57.61</v>
      </c>
      <c r="P559">
        <f>'raw data Crude oil'!P560</f>
        <v>58.06</v>
      </c>
      <c r="Q559">
        <f>'raw data Crude oil'!Q560</f>
        <v>58.49</v>
      </c>
      <c r="R559">
        <f>'raw data Crude oil'!R560</f>
        <v>58.83</v>
      </c>
      <c r="S559">
        <f>'raw data Crude oil'!S560</f>
        <v>59.06</v>
      </c>
      <c r="T559">
        <f>'raw data Crude oil'!T560</f>
        <v>59.17</v>
      </c>
      <c r="U559">
        <f>'raw data Crude oil'!U560</f>
        <v>59.18</v>
      </c>
      <c r="V559">
        <f>'raw data Crude oil'!V560</f>
        <v>59.13</v>
      </c>
      <c r="W559">
        <f>'raw data Crude oil'!W560</f>
        <v>59.02</v>
      </c>
      <c r="X559">
        <f>'raw data Crude oil'!X560</f>
        <v>58.88</v>
      </c>
      <c r="Y559">
        <f>'raw data Crude oil'!Y560</f>
        <v>58.72</v>
      </c>
      <c r="Z559">
        <f>'raw data Crude oil'!Z560</f>
        <v>0</v>
      </c>
      <c r="AA559">
        <f>'raw data Crude oil'!AA560</f>
        <v>0</v>
      </c>
      <c r="AB559">
        <f>'raw data Crude oil'!AB560</f>
        <v>0</v>
      </c>
      <c r="AC559">
        <f>'raw data Crude oil'!AC560</f>
        <v>0</v>
      </c>
      <c r="AD559">
        <f>'raw data Crude oil'!AD560</f>
        <v>0</v>
      </c>
      <c r="AE559">
        <f>'raw data Crude oil'!AE560</f>
        <v>0</v>
      </c>
      <c r="AF559">
        <f>'raw data Crude oil'!AF560</f>
        <v>0</v>
      </c>
      <c r="AG559">
        <f>'raw data Crude oil'!AG560</f>
        <v>0</v>
      </c>
      <c r="AH559">
        <f>'raw data Crude oil'!AH560</f>
        <v>0</v>
      </c>
      <c r="AI559">
        <f>'raw data Crude oil'!AI560</f>
        <v>0</v>
      </c>
      <c r="AJ559">
        <f>'raw data Crude oil'!AJ560</f>
        <v>0</v>
      </c>
      <c r="AK559">
        <f>'raw data Crude oil'!AK560</f>
        <v>0</v>
      </c>
    </row>
    <row r="560" spans="1:37" x14ac:dyDescent="0.3">
      <c r="A560" s="18">
        <f>'raw data Crude oil'!A561</f>
        <v>43525</v>
      </c>
      <c r="B560">
        <f>'raw data Crude oil'!B561</f>
        <v>65.069999999999993</v>
      </c>
      <c r="C560">
        <f>'raw data Crude oil'!C561</f>
        <v>65.11</v>
      </c>
      <c r="D560">
        <f>'raw data Crude oil'!D561</f>
        <v>65.03</v>
      </c>
      <c r="E560">
        <f>'raw data Crude oil'!E561</f>
        <v>65</v>
      </c>
      <c r="F560">
        <f>'raw data Crude oil'!F561</f>
        <v>64.94</v>
      </c>
      <c r="G560">
        <f>'raw data Crude oil'!G561</f>
        <v>64.86</v>
      </c>
      <c r="H560">
        <f>'raw data Crude oil'!H561</f>
        <v>64.78</v>
      </c>
      <c r="I560">
        <f>'raw data Crude oil'!I561</f>
        <v>64.67</v>
      </c>
      <c r="J560">
        <f>'raw data Crude oil'!J561</f>
        <v>64.58</v>
      </c>
      <c r="K560">
        <f>'raw data Crude oil'!K561</f>
        <v>64.48</v>
      </c>
      <c r="L560">
        <f>'raw data Crude oil'!L561</f>
        <v>64.38</v>
      </c>
      <c r="M560">
        <f>'raw data Crude oil'!M561</f>
        <v>64.27</v>
      </c>
      <c r="N560">
        <f>'raw data Crude oil'!N561</f>
        <v>55.8</v>
      </c>
      <c r="O560">
        <f>'raw data Crude oil'!O561</f>
        <v>56.19</v>
      </c>
      <c r="P560">
        <f>'raw data Crude oil'!P561</f>
        <v>56.65</v>
      </c>
      <c r="Q560">
        <f>'raw data Crude oil'!Q561</f>
        <v>57.11</v>
      </c>
      <c r="R560">
        <f>'raw data Crude oil'!R561</f>
        <v>57.49</v>
      </c>
      <c r="S560">
        <f>'raw data Crude oil'!S561</f>
        <v>57.75</v>
      </c>
      <c r="T560">
        <f>'raw data Crude oil'!T561</f>
        <v>57.9</v>
      </c>
      <c r="U560">
        <f>'raw data Crude oil'!U561</f>
        <v>57.95</v>
      </c>
      <c r="V560">
        <f>'raw data Crude oil'!V561</f>
        <v>57.95</v>
      </c>
      <c r="W560">
        <f>'raw data Crude oil'!W561</f>
        <v>57.89</v>
      </c>
      <c r="X560">
        <f>'raw data Crude oil'!X561</f>
        <v>57.79</v>
      </c>
      <c r="Y560">
        <f>'raw data Crude oil'!Y561</f>
        <v>57.66</v>
      </c>
      <c r="Z560">
        <f>'raw data Crude oil'!Z561</f>
        <v>0</v>
      </c>
      <c r="AA560">
        <f>'raw data Crude oil'!AA561</f>
        <v>0</v>
      </c>
      <c r="AB560">
        <f>'raw data Crude oil'!AB561</f>
        <v>0</v>
      </c>
      <c r="AC560">
        <f>'raw data Crude oil'!AC561</f>
        <v>0</v>
      </c>
      <c r="AD560">
        <f>'raw data Crude oil'!AD561</f>
        <v>0</v>
      </c>
      <c r="AE560">
        <f>'raw data Crude oil'!AE561</f>
        <v>0</v>
      </c>
      <c r="AF560">
        <f>'raw data Crude oil'!AF561</f>
        <v>0</v>
      </c>
      <c r="AG560">
        <f>'raw data Crude oil'!AG561</f>
        <v>0</v>
      </c>
      <c r="AH560">
        <f>'raw data Crude oil'!AH561</f>
        <v>0</v>
      </c>
      <c r="AI560">
        <f>'raw data Crude oil'!AI561</f>
        <v>0</v>
      </c>
      <c r="AJ560">
        <f>'raw data Crude oil'!AJ561</f>
        <v>0</v>
      </c>
      <c r="AK560">
        <f>'raw data Crude oil'!AK561</f>
        <v>0</v>
      </c>
    </row>
    <row r="561" spans="1:37" x14ac:dyDescent="0.3">
      <c r="A561" s="18">
        <f>'raw data Crude oil'!A562</f>
        <v>43528</v>
      </c>
      <c r="B561">
        <f>'raw data Crude oil'!B562</f>
        <v>65.67</v>
      </c>
      <c r="C561">
        <f>'raw data Crude oil'!C562</f>
        <v>65.739999999999995</v>
      </c>
      <c r="D561">
        <f>'raw data Crude oil'!D562</f>
        <v>65.69</v>
      </c>
      <c r="E561">
        <f>'raw data Crude oil'!E562</f>
        <v>65.67</v>
      </c>
      <c r="F561">
        <f>'raw data Crude oil'!F562</f>
        <v>65.62</v>
      </c>
      <c r="G561">
        <f>'raw data Crude oil'!G562</f>
        <v>65.569999999999993</v>
      </c>
      <c r="H561">
        <f>'raw data Crude oil'!H562</f>
        <v>65.510000000000005</v>
      </c>
      <c r="I561">
        <f>'raw data Crude oil'!I562</f>
        <v>65.41</v>
      </c>
      <c r="J561">
        <f>'raw data Crude oil'!J562</f>
        <v>65.34</v>
      </c>
      <c r="K561">
        <f>'raw data Crude oil'!K562</f>
        <v>65.25</v>
      </c>
      <c r="L561">
        <f>'raw data Crude oil'!L562</f>
        <v>65.150000000000006</v>
      </c>
      <c r="M561">
        <f>'raw data Crude oil'!M562</f>
        <v>65.040000000000006</v>
      </c>
      <c r="N561">
        <f>'raw data Crude oil'!N562</f>
        <v>56.59</v>
      </c>
      <c r="O561">
        <f>'raw data Crude oil'!O562</f>
        <v>56.97</v>
      </c>
      <c r="P561">
        <f>'raw data Crude oil'!P562</f>
        <v>57.42</v>
      </c>
      <c r="Q561">
        <f>'raw data Crude oil'!Q562</f>
        <v>57.89</v>
      </c>
      <c r="R561">
        <f>'raw data Crude oil'!R562</f>
        <v>58.28</v>
      </c>
      <c r="S561">
        <f>'raw data Crude oil'!S562</f>
        <v>58.55</v>
      </c>
      <c r="T561">
        <f>'raw data Crude oil'!T562</f>
        <v>58.71</v>
      </c>
      <c r="U561">
        <f>'raw data Crude oil'!U562</f>
        <v>58.78</v>
      </c>
      <c r="V561">
        <f>'raw data Crude oil'!V562</f>
        <v>58.78</v>
      </c>
      <c r="W561">
        <f>'raw data Crude oil'!W562</f>
        <v>58.72</v>
      </c>
      <c r="X561">
        <f>'raw data Crude oil'!X562</f>
        <v>58.63</v>
      </c>
      <c r="Y561">
        <f>'raw data Crude oil'!Y562</f>
        <v>58.51</v>
      </c>
      <c r="Z561">
        <f>'raw data Crude oil'!Z562</f>
        <v>0</v>
      </c>
      <c r="AA561">
        <f>'raw data Crude oil'!AA562</f>
        <v>0</v>
      </c>
      <c r="AB561">
        <f>'raw data Crude oil'!AB562</f>
        <v>0</v>
      </c>
      <c r="AC561">
        <f>'raw data Crude oil'!AC562</f>
        <v>0</v>
      </c>
      <c r="AD561">
        <f>'raw data Crude oil'!AD562</f>
        <v>0</v>
      </c>
      <c r="AE561">
        <f>'raw data Crude oil'!AE562</f>
        <v>0</v>
      </c>
      <c r="AF561">
        <f>'raw data Crude oil'!AF562</f>
        <v>0</v>
      </c>
      <c r="AG561">
        <f>'raw data Crude oil'!AG562</f>
        <v>0</v>
      </c>
      <c r="AH561">
        <f>'raw data Crude oil'!AH562</f>
        <v>0</v>
      </c>
      <c r="AI561">
        <f>'raw data Crude oil'!AI562</f>
        <v>0</v>
      </c>
      <c r="AJ561">
        <f>'raw data Crude oil'!AJ562</f>
        <v>0</v>
      </c>
      <c r="AK561">
        <f>'raw data Crude oil'!AK562</f>
        <v>0</v>
      </c>
    </row>
    <row r="562" spans="1:37" x14ac:dyDescent="0.3">
      <c r="A562" s="18">
        <f>'raw data Crude oil'!A563</f>
        <v>43529</v>
      </c>
      <c r="B562">
        <f>'raw data Crude oil'!B563</f>
        <v>65.86</v>
      </c>
      <c r="C562">
        <f>'raw data Crude oil'!C563</f>
        <v>65.92</v>
      </c>
      <c r="D562">
        <f>'raw data Crude oil'!D563</f>
        <v>65.86</v>
      </c>
      <c r="E562">
        <f>'raw data Crude oil'!E563</f>
        <v>65.819999999999993</v>
      </c>
      <c r="F562">
        <f>'raw data Crude oil'!F563</f>
        <v>65.77</v>
      </c>
      <c r="G562">
        <f>'raw data Crude oil'!G563</f>
        <v>65.7</v>
      </c>
      <c r="H562">
        <f>'raw data Crude oil'!H563</f>
        <v>65.63</v>
      </c>
      <c r="I562">
        <f>'raw data Crude oil'!I563</f>
        <v>65.540000000000006</v>
      </c>
      <c r="J562">
        <f>'raw data Crude oil'!J563</f>
        <v>65.45</v>
      </c>
      <c r="K562">
        <f>'raw data Crude oil'!K563</f>
        <v>65.36</v>
      </c>
      <c r="L562">
        <f>'raw data Crude oil'!L563</f>
        <v>65.25</v>
      </c>
      <c r="M562">
        <f>'raw data Crude oil'!M563</f>
        <v>65.150000000000006</v>
      </c>
      <c r="N562">
        <f>'raw data Crude oil'!N563</f>
        <v>56.56</v>
      </c>
      <c r="O562">
        <f>'raw data Crude oil'!O563</f>
        <v>56.94</v>
      </c>
      <c r="P562">
        <f>'raw data Crude oil'!P563</f>
        <v>57.4</v>
      </c>
      <c r="Q562">
        <f>'raw data Crude oil'!Q563</f>
        <v>57.87</v>
      </c>
      <c r="R562">
        <f>'raw data Crude oil'!R563</f>
        <v>58.26</v>
      </c>
      <c r="S562">
        <f>'raw data Crude oil'!S563</f>
        <v>58.54</v>
      </c>
      <c r="T562">
        <f>'raw data Crude oil'!T563</f>
        <v>58.7</v>
      </c>
      <c r="U562">
        <f>'raw data Crude oil'!U563</f>
        <v>58.77</v>
      </c>
      <c r="V562">
        <f>'raw data Crude oil'!V563</f>
        <v>58.78</v>
      </c>
      <c r="W562">
        <f>'raw data Crude oil'!W563</f>
        <v>58.72</v>
      </c>
      <c r="X562">
        <f>'raw data Crude oil'!X563</f>
        <v>58.63</v>
      </c>
      <c r="Y562">
        <f>'raw data Crude oil'!Y563</f>
        <v>58.51</v>
      </c>
      <c r="Z562">
        <f>'raw data Crude oil'!Z563</f>
        <v>0</v>
      </c>
      <c r="AA562">
        <f>'raw data Crude oil'!AA563</f>
        <v>0</v>
      </c>
      <c r="AB562">
        <f>'raw data Crude oil'!AB563</f>
        <v>0</v>
      </c>
      <c r="AC562">
        <f>'raw data Crude oil'!AC563</f>
        <v>0</v>
      </c>
      <c r="AD562">
        <f>'raw data Crude oil'!AD563</f>
        <v>0</v>
      </c>
      <c r="AE562">
        <f>'raw data Crude oil'!AE563</f>
        <v>0</v>
      </c>
      <c r="AF562">
        <f>'raw data Crude oil'!AF563</f>
        <v>0</v>
      </c>
      <c r="AG562">
        <f>'raw data Crude oil'!AG563</f>
        <v>0</v>
      </c>
      <c r="AH562">
        <f>'raw data Crude oil'!AH563</f>
        <v>0</v>
      </c>
      <c r="AI562">
        <f>'raw data Crude oil'!AI563</f>
        <v>0</v>
      </c>
      <c r="AJ562">
        <f>'raw data Crude oil'!AJ563</f>
        <v>0</v>
      </c>
      <c r="AK562">
        <f>'raw data Crude oil'!AK563</f>
        <v>0</v>
      </c>
    </row>
    <row r="563" spans="1:37" x14ac:dyDescent="0.3">
      <c r="A563" s="18">
        <f>'raw data Crude oil'!A564</f>
        <v>43530</v>
      </c>
      <c r="B563">
        <f>'raw data Crude oil'!B564</f>
        <v>65.989999999999995</v>
      </c>
      <c r="C563">
        <f>'raw data Crude oil'!C564</f>
        <v>65.97</v>
      </c>
      <c r="D563">
        <f>'raw data Crude oil'!D564</f>
        <v>65.87</v>
      </c>
      <c r="E563">
        <f>'raw data Crude oil'!E564</f>
        <v>65.8</v>
      </c>
      <c r="F563">
        <f>'raw data Crude oil'!F564</f>
        <v>65.72</v>
      </c>
      <c r="G563">
        <f>'raw data Crude oil'!G564</f>
        <v>65.64</v>
      </c>
      <c r="H563">
        <f>'raw data Crude oil'!H564</f>
        <v>65.56</v>
      </c>
      <c r="I563">
        <f>'raw data Crude oil'!I564</f>
        <v>65.459999999999994</v>
      </c>
      <c r="J563">
        <f>'raw data Crude oil'!J564</f>
        <v>65.36</v>
      </c>
      <c r="K563">
        <f>'raw data Crude oil'!K564</f>
        <v>65.260000000000005</v>
      </c>
      <c r="L563">
        <f>'raw data Crude oil'!L564</f>
        <v>65.150000000000006</v>
      </c>
      <c r="M563">
        <f>'raw data Crude oil'!M564</f>
        <v>65.03</v>
      </c>
      <c r="N563">
        <f>'raw data Crude oil'!N564</f>
        <v>56.22</v>
      </c>
      <c r="O563">
        <f>'raw data Crude oil'!O564</f>
        <v>56.62</v>
      </c>
      <c r="P563">
        <f>'raw data Crude oil'!P564</f>
        <v>57.1</v>
      </c>
      <c r="Q563">
        <f>'raw data Crude oil'!Q564</f>
        <v>57.6</v>
      </c>
      <c r="R563">
        <f>'raw data Crude oil'!R564</f>
        <v>58.02</v>
      </c>
      <c r="S563">
        <f>'raw data Crude oil'!S564</f>
        <v>58.31</v>
      </c>
      <c r="T563">
        <f>'raw data Crude oil'!T564</f>
        <v>58.49</v>
      </c>
      <c r="U563">
        <f>'raw data Crude oil'!U564</f>
        <v>58.58</v>
      </c>
      <c r="V563">
        <f>'raw data Crude oil'!V564</f>
        <v>58.61</v>
      </c>
      <c r="W563">
        <f>'raw data Crude oil'!W564</f>
        <v>58.57</v>
      </c>
      <c r="X563">
        <f>'raw data Crude oil'!X564</f>
        <v>58.5</v>
      </c>
      <c r="Y563">
        <f>'raw data Crude oil'!Y564</f>
        <v>58.4</v>
      </c>
      <c r="Z563">
        <f>'raw data Crude oil'!Z564</f>
        <v>0</v>
      </c>
      <c r="AA563">
        <f>'raw data Crude oil'!AA564</f>
        <v>0</v>
      </c>
      <c r="AB563">
        <f>'raw data Crude oil'!AB564</f>
        <v>0</v>
      </c>
      <c r="AC563">
        <f>'raw data Crude oil'!AC564</f>
        <v>0</v>
      </c>
      <c r="AD563">
        <f>'raw data Crude oil'!AD564</f>
        <v>0</v>
      </c>
      <c r="AE563">
        <f>'raw data Crude oil'!AE564</f>
        <v>0</v>
      </c>
      <c r="AF563">
        <f>'raw data Crude oil'!AF564</f>
        <v>0</v>
      </c>
      <c r="AG563">
        <f>'raw data Crude oil'!AG564</f>
        <v>0</v>
      </c>
      <c r="AH563">
        <f>'raw data Crude oil'!AH564</f>
        <v>0</v>
      </c>
      <c r="AI563">
        <f>'raw data Crude oil'!AI564</f>
        <v>0</v>
      </c>
      <c r="AJ563">
        <f>'raw data Crude oil'!AJ564</f>
        <v>0</v>
      </c>
      <c r="AK563">
        <f>'raw data Crude oil'!AK564</f>
        <v>0</v>
      </c>
    </row>
    <row r="564" spans="1:37" x14ac:dyDescent="0.3">
      <c r="A564" s="18">
        <f>'raw data Crude oil'!A565</f>
        <v>43531</v>
      </c>
      <c r="B564">
        <f>'raw data Crude oil'!B565</f>
        <v>66.3</v>
      </c>
      <c r="C564">
        <f>'raw data Crude oil'!C565</f>
        <v>66.260000000000005</v>
      </c>
      <c r="D564">
        <f>'raw data Crude oil'!D565</f>
        <v>66.16</v>
      </c>
      <c r="E564">
        <f>'raw data Crude oil'!E565</f>
        <v>66.069999999999993</v>
      </c>
      <c r="F564">
        <f>'raw data Crude oil'!F565</f>
        <v>65.97</v>
      </c>
      <c r="G564">
        <f>'raw data Crude oil'!G565</f>
        <v>65.88</v>
      </c>
      <c r="H564">
        <f>'raw data Crude oil'!H565</f>
        <v>65.790000000000006</v>
      </c>
      <c r="I564">
        <f>'raw data Crude oil'!I565</f>
        <v>65.680000000000007</v>
      </c>
      <c r="J564">
        <f>'raw data Crude oil'!J565</f>
        <v>65.58</v>
      </c>
      <c r="K564">
        <f>'raw data Crude oil'!K565</f>
        <v>65.48</v>
      </c>
      <c r="L564">
        <f>'raw data Crude oil'!L565</f>
        <v>65.37</v>
      </c>
      <c r="M564">
        <f>'raw data Crude oil'!M565</f>
        <v>65.239999999999995</v>
      </c>
      <c r="N564">
        <f>'raw data Crude oil'!N565</f>
        <v>56.66</v>
      </c>
      <c r="O564">
        <f>'raw data Crude oil'!O565</f>
        <v>57.03</v>
      </c>
      <c r="P564">
        <f>'raw data Crude oil'!P565</f>
        <v>57.48</v>
      </c>
      <c r="Q564">
        <f>'raw data Crude oil'!Q565</f>
        <v>57.95</v>
      </c>
      <c r="R564">
        <f>'raw data Crude oil'!R565</f>
        <v>58.34</v>
      </c>
      <c r="S564">
        <f>'raw data Crude oil'!S565</f>
        <v>58.61</v>
      </c>
      <c r="T564">
        <f>'raw data Crude oil'!T565</f>
        <v>58.78</v>
      </c>
      <c r="U564">
        <f>'raw data Crude oil'!U565</f>
        <v>58.86</v>
      </c>
      <c r="V564">
        <f>'raw data Crude oil'!V565</f>
        <v>58.87</v>
      </c>
      <c r="W564">
        <f>'raw data Crude oil'!W565</f>
        <v>58.82</v>
      </c>
      <c r="X564">
        <f>'raw data Crude oil'!X565</f>
        <v>58.74</v>
      </c>
      <c r="Y564">
        <f>'raw data Crude oil'!Y565</f>
        <v>58.63</v>
      </c>
      <c r="Z564">
        <f>'raw data Crude oil'!Z565</f>
        <v>0</v>
      </c>
      <c r="AA564">
        <f>'raw data Crude oil'!AA565</f>
        <v>0</v>
      </c>
      <c r="AB564">
        <f>'raw data Crude oil'!AB565</f>
        <v>0</v>
      </c>
      <c r="AC564">
        <f>'raw data Crude oil'!AC565</f>
        <v>0</v>
      </c>
      <c r="AD564">
        <f>'raw data Crude oil'!AD565</f>
        <v>0</v>
      </c>
      <c r="AE564">
        <f>'raw data Crude oil'!AE565</f>
        <v>0</v>
      </c>
      <c r="AF564">
        <f>'raw data Crude oil'!AF565</f>
        <v>0</v>
      </c>
      <c r="AG564">
        <f>'raw data Crude oil'!AG565</f>
        <v>0</v>
      </c>
      <c r="AH564">
        <f>'raw data Crude oil'!AH565</f>
        <v>0</v>
      </c>
      <c r="AI564">
        <f>'raw data Crude oil'!AI565</f>
        <v>0</v>
      </c>
      <c r="AJ564">
        <f>'raw data Crude oil'!AJ565</f>
        <v>0</v>
      </c>
      <c r="AK564">
        <f>'raw data Crude oil'!AK565</f>
        <v>0</v>
      </c>
    </row>
    <row r="565" spans="1:37" x14ac:dyDescent="0.3">
      <c r="A565" s="18">
        <f>'raw data Crude oil'!A566</f>
        <v>43532</v>
      </c>
      <c r="B565">
        <f>'raw data Crude oil'!B566</f>
        <v>65.739999999999995</v>
      </c>
      <c r="C565">
        <f>'raw data Crude oil'!C566</f>
        <v>65.66</v>
      </c>
      <c r="D565">
        <f>'raw data Crude oil'!D566</f>
        <v>65.56</v>
      </c>
      <c r="E565">
        <f>'raw data Crude oil'!E566</f>
        <v>65.48</v>
      </c>
      <c r="F565">
        <f>'raw data Crude oil'!F566</f>
        <v>65.39</v>
      </c>
      <c r="G565">
        <f>'raw data Crude oil'!G566</f>
        <v>65.31</v>
      </c>
      <c r="H565">
        <f>'raw data Crude oil'!H566</f>
        <v>65.25</v>
      </c>
      <c r="I565">
        <f>'raw data Crude oil'!I566</f>
        <v>65.16</v>
      </c>
      <c r="J565">
        <f>'raw data Crude oil'!J566</f>
        <v>65.09</v>
      </c>
      <c r="K565">
        <f>'raw data Crude oil'!K566</f>
        <v>65.010000000000005</v>
      </c>
      <c r="L565">
        <f>'raw data Crude oil'!L566</f>
        <v>64.91</v>
      </c>
      <c r="M565">
        <f>'raw data Crude oil'!M566</f>
        <v>64.790000000000006</v>
      </c>
      <c r="N565">
        <f>'raw data Crude oil'!N566</f>
        <v>56.07</v>
      </c>
      <c r="O565">
        <f>'raw data Crude oil'!O566</f>
        <v>56.43</v>
      </c>
      <c r="P565">
        <f>'raw data Crude oil'!P566</f>
        <v>56.87</v>
      </c>
      <c r="Q565">
        <f>'raw data Crude oil'!Q566</f>
        <v>57.32</v>
      </c>
      <c r="R565">
        <f>'raw data Crude oil'!R566</f>
        <v>57.68</v>
      </c>
      <c r="S565">
        <f>'raw data Crude oil'!S566</f>
        <v>57.94</v>
      </c>
      <c r="T565">
        <f>'raw data Crude oil'!T566</f>
        <v>58.1</v>
      </c>
      <c r="U565">
        <f>'raw data Crude oil'!U566</f>
        <v>58.19</v>
      </c>
      <c r="V565">
        <f>'raw data Crude oil'!V566</f>
        <v>58.22</v>
      </c>
      <c r="W565">
        <f>'raw data Crude oil'!W566</f>
        <v>58.2</v>
      </c>
      <c r="X565">
        <f>'raw data Crude oil'!X566</f>
        <v>58.15</v>
      </c>
      <c r="Y565">
        <f>'raw data Crude oil'!Y566</f>
        <v>58.07</v>
      </c>
      <c r="Z565">
        <f>'raw data Crude oil'!Z566</f>
        <v>0</v>
      </c>
      <c r="AA565">
        <f>'raw data Crude oil'!AA566</f>
        <v>0</v>
      </c>
      <c r="AB565">
        <f>'raw data Crude oil'!AB566</f>
        <v>0</v>
      </c>
      <c r="AC565">
        <f>'raw data Crude oil'!AC566</f>
        <v>0</v>
      </c>
      <c r="AD565">
        <f>'raw data Crude oil'!AD566</f>
        <v>0</v>
      </c>
      <c r="AE565">
        <f>'raw data Crude oil'!AE566</f>
        <v>0</v>
      </c>
      <c r="AF565">
        <f>'raw data Crude oil'!AF566</f>
        <v>0</v>
      </c>
      <c r="AG565">
        <f>'raw data Crude oil'!AG566</f>
        <v>0</v>
      </c>
      <c r="AH565">
        <f>'raw data Crude oil'!AH566</f>
        <v>0</v>
      </c>
      <c r="AI565">
        <f>'raw data Crude oil'!AI566</f>
        <v>0</v>
      </c>
      <c r="AJ565">
        <f>'raw data Crude oil'!AJ566</f>
        <v>0</v>
      </c>
      <c r="AK565">
        <f>'raw data Crude oil'!AK566</f>
        <v>0</v>
      </c>
    </row>
    <row r="566" spans="1:37" x14ac:dyDescent="0.3">
      <c r="A566" s="18">
        <f>'raw data Crude oil'!A567</f>
        <v>43535</v>
      </c>
      <c r="B566">
        <f>'raw data Crude oil'!B567</f>
        <v>66.58</v>
      </c>
      <c r="C566">
        <f>'raw data Crude oil'!C567</f>
        <v>66.48</v>
      </c>
      <c r="D566">
        <f>'raw data Crude oil'!D567</f>
        <v>66.34</v>
      </c>
      <c r="E566">
        <f>'raw data Crude oil'!E567</f>
        <v>66.22</v>
      </c>
      <c r="F566">
        <f>'raw data Crude oil'!F567</f>
        <v>66.099999999999994</v>
      </c>
      <c r="G566">
        <f>'raw data Crude oil'!G567</f>
        <v>66</v>
      </c>
      <c r="H566">
        <f>'raw data Crude oil'!H567</f>
        <v>65.92</v>
      </c>
      <c r="I566">
        <f>'raw data Crude oil'!I567</f>
        <v>65.81</v>
      </c>
      <c r="J566">
        <f>'raw data Crude oil'!J567</f>
        <v>65.73</v>
      </c>
      <c r="K566">
        <f>'raw data Crude oil'!K567</f>
        <v>65.62</v>
      </c>
      <c r="L566">
        <f>'raw data Crude oil'!L567</f>
        <v>65.510000000000005</v>
      </c>
      <c r="M566">
        <f>'raw data Crude oil'!M567</f>
        <v>65.39</v>
      </c>
      <c r="N566">
        <f>'raw data Crude oil'!N567</f>
        <v>56.79</v>
      </c>
      <c r="O566">
        <f>'raw data Crude oil'!O567</f>
        <v>57.12</v>
      </c>
      <c r="P566">
        <f>'raw data Crude oil'!P567</f>
        <v>57.54</v>
      </c>
      <c r="Q566">
        <f>'raw data Crude oil'!Q567</f>
        <v>57.97</v>
      </c>
      <c r="R566">
        <f>'raw data Crude oil'!R567</f>
        <v>58.31</v>
      </c>
      <c r="S566">
        <f>'raw data Crude oil'!S567</f>
        <v>58.55</v>
      </c>
      <c r="T566">
        <f>'raw data Crude oil'!T567</f>
        <v>58.7</v>
      </c>
      <c r="U566">
        <f>'raw data Crude oil'!U567</f>
        <v>58.78</v>
      </c>
      <c r="V566">
        <f>'raw data Crude oil'!V567</f>
        <v>58.8</v>
      </c>
      <c r="W566">
        <f>'raw data Crude oil'!W567</f>
        <v>58.76</v>
      </c>
      <c r="X566">
        <f>'raw data Crude oil'!X567</f>
        <v>58.69</v>
      </c>
      <c r="Y566">
        <f>'raw data Crude oil'!Y567</f>
        <v>58.6</v>
      </c>
      <c r="Z566">
        <f>'raw data Crude oil'!Z567</f>
        <v>0</v>
      </c>
      <c r="AA566">
        <f>'raw data Crude oil'!AA567</f>
        <v>0</v>
      </c>
      <c r="AB566">
        <f>'raw data Crude oil'!AB567</f>
        <v>0</v>
      </c>
      <c r="AC566">
        <f>'raw data Crude oil'!AC567</f>
        <v>0</v>
      </c>
      <c r="AD566">
        <f>'raw data Crude oil'!AD567</f>
        <v>0</v>
      </c>
      <c r="AE566">
        <f>'raw data Crude oil'!AE567</f>
        <v>0</v>
      </c>
      <c r="AF566">
        <f>'raw data Crude oil'!AF567</f>
        <v>0</v>
      </c>
      <c r="AG566">
        <f>'raw data Crude oil'!AG567</f>
        <v>0</v>
      </c>
      <c r="AH566">
        <f>'raw data Crude oil'!AH567</f>
        <v>0</v>
      </c>
      <c r="AI566">
        <f>'raw data Crude oil'!AI567</f>
        <v>0</v>
      </c>
      <c r="AJ566">
        <f>'raw data Crude oil'!AJ567</f>
        <v>0</v>
      </c>
      <c r="AK566">
        <f>'raw data Crude oil'!AK567</f>
        <v>0</v>
      </c>
    </row>
    <row r="567" spans="1:37" x14ac:dyDescent="0.3">
      <c r="A567" s="18">
        <f>'raw data Crude oil'!A568</f>
        <v>43536</v>
      </c>
      <c r="B567">
        <f>'raw data Crude oil'!B568</f>
        <v>66.67</v>
      </c>
      <c r="C567">
        <f>'raw data Crude oil'!C568</f>
        <v>66.58</v>
      </c>
      <c r="D567">
        <f>'raw data Crude oil'!D568</f>
        <v>66.430000000000007</v>
      </c>
      <c r="E567">
        <f>'raw data Crude oil'!E568</f>
        <v>66.31</v>
      </c>
      <c r="F567">
        <f>'raw data Crude oil'!F568</f>
        <v>66.19</v>
      </c>
      <c r="G567">
        <f>'raw data Crude oil'!G568</f>
        <v>66.09</v>
      </c>
      <c r="H567">
        <f>'raw data Crude oil'!H568</f>
        <v>66</v>
      </c>
      <c r="I567">
        <f>'raw data Crude oil'!I568</f>
        <v>65.89</v>
      </c>
      <c r="J567">
        <f>'raw data Crude oil'!J568</f>
        <v>65.81</v>
      </c>
      <c r="K567">
        <f>'raw data Crude oil'!K568</f>
        <v>65.7</v>
      </c>
      <c r="L567">
        <f>'raw data Crude oil'!L568</f>
        <v>65.58</v>
      </c>
      <c r="M567">
        <f>'raw data Crude oil'!M568</f>
        <v>65.459999999999994</v>
      </c>
      <c r="N567">
        <f>'raw data Crude oil'!N568</f>
        <v>56.87</v>
      </c>
      <c r="O567">
        <f>'raw data Crude oil'!O568</f>
        <v>57.2</v>
      </c>
      <c r="P567">
        <f>'raw data Crude oil'!P568</f>
        <v>57.62</v>
      </c>
      <c r="Q567">
        <f>'raw data Crude oil'!Q568</f>
        <v>58.06</v>
      </c>
      <c r="R567">
        <f>'raw data Crude oil'!R568</f>
        <v>58.4</v>
      </c>
      <c r="S567">
        <f>'raw data Crude oil'!S568</f>
        <v>58.64</v>
      </c>
      <c r="T567">
        <f>'raw data Crude oil'!T568</f>
        <v>58.78</v>
      </c>
      <c r="U567">
        <f>'raw data Crude oil'!U568</f>
        <v>58.85</v>
      </c>
      <c r="V567">
        <f>'raw data Crude oil'!V568</f>
        <v>58.87</v>
      </c>
      <c r="W567">
        <f>'raw data Crude oil'!W568</f>
        <v>58.82</v>
      </c>
      <c r="X567">
        <f>'raw data Crude oil'!X568</f>
        <v>58.74</v>
      </c>
      <c r="Y567">
        <f>'raw data Crude oil'!Y568</f>
        <v>58.63</v>
      </c>
      <c r="Z567">
        <f>'raw data Crude oil'!Z568</f>
        <v>0</v>
      </c>
      <c r="AA567">
        <f>'raw data Crude oil'!AA568</f>
        <v>0</v>
      </c>
      <c r="AB567">
        <f>'raw data Crude oil'!AB568</f>
        <v>0</v>
      </c>
      <c r="AC567">
        <f>'raw data Crude oil'!AC568</f>
        <v>0</v>
      </c>
      <c r="AD567">
        <f>'raw data Crude oil'!AD568</f>
        <v>0</v>
      </c>
      <c r="AE567">
        <f>'raw data Crude oil'!AE568</f>
        <v>0</v>
      </c>
      <c r="AF567">
        <f>'raw data Crude oil'!AF568</f>
        <v>0</v>
      </c>
      <c r="AG567">
        <f>'raw data Crude oil'!AG568</f>
        <v>0</v>
      </c>
      <c r="AH567">
        <f>'raw data Crude oil'!AH568</f>
        <v>0</v>
      </c>
      <c r="AI567">
        <f>'raw data Crude oil'!AI568</f>
        <v>0</v>
      </c>
      <c r="AJ567">
        <f>'raw data Crude oil'!AJ568</f>
        <v>0</v>
      </c>
      <c r="AK567">
        <f>'raw data Crude oil'!AK568</f>
        <v>0</v>
      </c>
    </row>
    <row r="568" spans="1:37" x14ac:dyDescent="0.3">
      <c r="A568" s="18">
        <f>'raw data Crude oil'!A569</f>
        <v>43537</v>
      </c>
      <c r="B568">
        <f>'raw data Crude oil'!B569</f>
        <v>67.55</v>
      </c>
      <c r="C568">
        <f>'raw data Crude oil'!C569</f>
        <v>67.459999999999994</v>
      </c>
      <c r="D568">
        <f>'raw data Crude oil'!D569</f>
        <v>67.31</v>
      </c>
      <c r="E568">
        <f>'raw data Crude oil'!E569</f>
        <v>67.180000000000007</v>
      </c>
      <c r="F568">
        <f>'raw data Crude oil'!F569</f>
        <v>67.05</v>
      </c>
      <c r="G568">
        <f>'raw data Crude oil'!G569</f>
        <v>66.94</v>
      </c>
      <c r="H568">
        <f>'raw data Crude oil'!H569</f>
        <v>66.84</v>
      </c>
      <c r="I568">
        <f>'raw data Crude oil'!I569</f>
        <v>66.72</v>
      </c>
      <c r="J568">
        <f>'raw data Crude oil'!J569</f>
        <v>66.62</v>
      </c>
      <c r="K568">
        <f>'raw data Crude oil'!K569</f>
        <v>66.510000000000005</v>
      </c>
      <c r="L568">
        <f>'raw data Crude oil'!L569</f>
        <v>66.38</v>
      </c>
      <c r="M568">
        <f>'raw data Crude oil'!M569</f>
        <v>66.23</v>
      </c>
      <c r="N568">
        <f>'raw data Crude oil'!N569</f>
        <v>58.26</v>
      </c>
      <c r="O568">
        <f>'raw data Crude oil'!O569</f>
        <v>58.59</v>
      </c>
      <c r="P568">
        <f>'raw data Crude oil'!P569</f>
        <v>58.94</v>
      </c>
      <c r="Q568">
        <f>'raw data Crude oil'!Q569</f>
        <v>59.32</v>
      </c>
      <c r="R568">
        <f>'raw data Crude oil'!R569</f>
        <v>59.62</v>
      </c>
      <c r="S568">
        <f>'raw data Crude oil'!S569</f>
        <v>59.81</v>
      </c>
      <c r="T568">
        <f>'raw data Crude oil'!T569</f>
        <v>59.91</v>
      </c>
      <c r="U568">
        <f>'raw data Crude oil'!U569</f>
        <v>59.94</v>
      </c>
      <c r="V568">
        <f>'raw data Crude oil'!V569</f>
        <v>59.92</v>
      </c>
      <c r="W568">
        <f>'raw data Crude oil'!W569</f>
        <v>59.82</v>
      </c>
      <c r="X568">
        <f>'raw data Crude oil'!X569</f>
        <v>59.7</v>
      </c>
      <c r="Y568">
        <f>'raw data Crude oil'!Y569</f>
        <v>59.54</v>
      </c>
      <c r="Z568">
        <f>'raw data Crude oil'!Z569</f>
        <v>0</v>
      </c>
      <c r="AA568">
        <f>'raw data Crude oil'!AA569</f>
        <v>0</v>
      </c>
      <c r="AB568">
        <f>'raw data Crude oil'!AB569</f>
        <v>0</v>
      </c>
      <c r="AC568">
        <f>'raw data Crude oil'!AC569</f>
        <v>0</v>
      </c>
      <c r="AD568">
        <f>'raw data Crude oil'!AD569</f>
        <v>0</v>
      </c>
      <c r="AE568">
        <f>'raw data Crude oil'!AE569</f>
        <v>0</v>
      </c>
      <c r="AF568">
        <f>'raw data Crude oil'!AF569</f>
        <v>0</v>
      </c>
      <c r="AG568">
        <f>'raw data Crude oil'!AG569</f>
        <v>0</v>
      </c>
      <c r="AH568">
        <f>'raw data Crude oil'!AH569</f>
        <v>0</v>
      </c>
      <c r="AI568">
        <f>'raw data Crude oil'!AI569</f>
        <v>0</v>
      </c>
      <c r="AJ568">
        <f>'raw data Crude oil'!AJ569</f>
        <v>0</v>
      </c>
      <c r="AK568">
        <f>'raw data Crude oil'!AK569</f>
        <v>0</v>
      </c>
    </row>
    <row r="569" spans="1:37" x14ac:dyDescent="0.3">
      <c r="A569" s="18">
        <f>'raw data Crude oil'!A570</f>
        <v>43538</v>
      </c>
      <c r="B569">
        <f>'raw data Crude oil'!B570</f>
        <v>67.23</v>
      </c>
      <c r="C569">
        <f>'raw data Crude oil'!C570</f>
        <v>67.13</v>
      </c>
      <c r="D569">
        <f>'raw data Crude oil'!D570</f>
        <v>66.959999999999994</v>
      </c>
      <c r="E569">
        <f>'raw data Crude oil'!E570</f>
        <v>66.83</v>
      </c>
      <c r="F569">
        <f>'raw data Crude oil'!F570</f>
        <v>66.709999999999994</v>
      </c>
      <c r="G569">
        <f>'raw data Crude oil'!G570</f>
        <v>66.59</v>
      </c>
      <c r="H569">
        <f>'raw data Crude oil'!H570</f>
        <v>66.48</v>
      </c>
      <c r="I569">
        <f>'raw data Crude oil'!I570</f>
        <v>66.34</v>
      </c>
      <c r="J569">
        <f>'raw data Crude oil'!J570</f>
        <v>66.23</v>
      </c>
      <c r="K569">
        <f>'raw data Crude oil'!K570</f>
        <v>66.099999999999994</v>
      </c>
      <c r="L569">
        <f>'raw data Crude oil'!L570</f>
        <v>65.95</v>
      </c>
      <c r="M569">
        <f>'raw data Crude oil'!M570</f>
        <v>65.8</v>
      </c>
      <c r="N569">
        <f>'raw data Crude oil'!N570</f>
        <v>58.61</v>
      </c>
      <c r="O569">
        <f>'raw data Crude oil'!O570</f>
        <v>58.91</v>
      </c>
      <c r="P569">
        <f>'raw data Crude oil'!P570</f>
        <v>59.21</v>
      </c>
      <c r="Q569">
        <f>'raw data Crude oil'!Q570</f>
        <v>59.54</v>
      </c>
      <c r="R569">
        <f>'raw data Crude oil'!R570</f>
        <v>59.81</v>
      </c>
      <c r="S569">
        <f>'raw data Crude oil'!S570</f>
        <v>59.97</v>
      </c>
      <c r="T569">
        <f>'raw data Crude oil'!T570</f>
        <v>60.03</v>
      </c>
      <c r="U569">
        <f>'raw data Crude oil'!U570</f>
        <v>60.01</v>
      </c>
      <c r="V569">
        <f>'raw data Crude oil'!V570</f>
        <v>59.94</v>
      </c>
      <c r="W569">
        <f>'raw data Crude oil'!W570</f>
        <v>59.8</v>
      </c>
      <c r="X569">
        <f>'raw data Crude oil'!X570</f>
        <v>59.64</v>
      </c>
      <c r="Y569">
        <f>'raw data Crude oil'!Y570</f>
        <v>59.44</v>
      </c>
      <c r="Z569">
        <f>'raw data Crude oil'!Z570</f>
        <v>0</v>
      </c>
      <c r="AA569">
        <f>'raw data Crude oil'!AA570</f>
        <v>0</v>
      </c>
      <c r="AB569">
        <f>'raw data Crude oil'!AB570</f>
        <v>0</v>
      </c>
      <c r="AC569">
        <f>'raw data Crude oil'!AC570</f>
        <v>0</v>
      </c>
      <c r="AD569">
        <f>'raw data Crude oil'!AD570</f>
        <v>0</v>
      </c>
      <c r="AE569">
        <f>'raw data Crude oil'!AE570</f>
        <v>0</v>
      </c>
      <c r="AF569">
        <f>'raw data Crude oil'!AF570</f>
        <v>0</v>
      </c>
      <c r="AG569">
        <f>'raw data Crude oil'!AG570</f>
        <v>0</v>
      </c>
      <c r="AH569">
        <f>'raw data Crude oil'!AH570</f>
        <v>0</v>
      </c>
      <c r="AI569">
        <f>'raw data Crude oil'!AI570</f>
        <v>0</v>
      </c>
      <c r="AJ569">
        <f>'raw data Crude oil'!AJ570</f>
        <v>0</v>
      </c>
      <c r="AK569">
        <f>'raw data Crude oil'!AK570</f>
        <v>0</v>
      </c>
    </row>
    <row r="570" spans="1:37" x14ac:dyDescent="0.3">
      <c r="A570" s="18">
        <f>'raw data Crude oil'!A571</f>
        <v>43539</v>
      </c>
      <c r="B570">
        <f>'raw data Crude oil'!B571</f>
        <v>67.16</v>
      </c>
      <c r="C570">
        <f>'raw data Crude oil'!C571</f>
        <v>67.040000000000006</v>
      </c>
      <c r="D570">
        <f>'raw data Crude oil'!D571</f>
        <v>66.86</v>
      </c>
      <c r="E570">
        <f>'raw data Crude oil'!E571</f>
        <v>66.7</v>
      </c>
      <c r="F570">
        <f>'raw data Crude oil'!F571</f>
        <v>66.569999999999993</v>
      </c>
      <c r="G570">
        <f>'raw data Crude oil'!G571</f>
        <v>66.44</v>
      </c>
      <c r="H570">
        <f>'raw data Crude oil'!H571</f>
        <v>66.31</v>
      </c>
      <c r="I570">
        <f>'raw data Crude oil'!I571</f>
        <v>66.16</v>
      </c>
      <c r="J570">
        <f>'raw data Crude oil'!J571</f>
        <v>66.040000000000006</v>
      </c>
      <c r="K570">
        <f>'raw data Crude oil'!K571</f>
        <v>65.92</v>
      </c>
      <c r="L570">
        <f>'raw data Crude oil'!L571</f>
        <v>65.78</v>
      </c>
      <c r="M570">
        <f>'raw data Crude oil'!M571</f>
        <v>65.63</v>
      </c>
      <c r="N570">
        <f>'raw data Crude oil'!N571</f>
        <v>58.52</v>
      </c>
      <c r="O570">
        <f>'raw data Crude oil'!O571</f>
        <v>58.82</v>
      </c>
      <c r="P570">
        <f>'raw data Crude oil'!P571</f>
        <v>59.12</v>
      </c>
      <c r="Q570">
        <f>'raw data Crude oil'!Q571</f>
        <v>59.44</v>
      </c>
      <c r="R570">
        <f>'raw data Crude oil'!R571</f>
        <v>59.72</v>
      </c>
      <c r="S570">
        <f>'raw data Crude oil'!S571</f>
        <v>59.89</v>
      </c>
      <c r="T570">
        <f>'raw data Crude oil'!T571</f>
        <v>59.95</v>
      </c>
      <c r="U570">
        <f>'raw data Crude oil'!U571</f>
        <v>59.92</v>
      </c>
      <c r="V570">
        <f>'raw data Crude oil'!V571</f>
        <v>59.84</v>
      </c>
      <c r="W570">
        <f>'raw data Crude oil'!W571</f>
        <v>59.72</v>
      </c>
      <c r="X570">
        <f>'raw data Crude oil'!X571</f>
        <v>59.57</v>
      </c>
      <c r="Y570">
        <f>'raw data Crude oil'!Y571</f>
        <v>59.38</v>
      </c>
      <c r="Z570">
        <f>'raw data Crude oil'!Z571</f>
        <v>0</v>
      </c>
      <c r="AA570">
        <f>'raw data Crude oil'!AA571</f>
        <v>0</v>
      </c>
      <c r="AB570">
        <f>'raw data Crude oil'!AB571</f>
        <v>0</v>
      </c>
      <c r="AC570">
        <f>'raw data Crude oil'!AC571</f>
        <v>0</v>
      </c>
      <c r="AD570">
        <f>'raw data Crude oil'!AD571</f>
        <v>0</v>
      </c>
      <c r="AE570">
        <f>'raw data Crude oil'!AE571</f>
        <v>0</v>
      </c>
      <c r="AF570">
        <f>'raw data Crude oil'!AF571</f>
        <v>0</v>
      </c>
      <c r="AG570">
        <f>'raw data Crude oil'!AG571</f>
        <v>0</v>
      </c>
      <c r="AH570">
        <f>'raw data Crude oil'!AH571</f>
        <v>0</v>
      </c>
      <c r="AI570">
        <f>'raw data Crude oil'!AI571</f>
        <v>0</v>
      </c>
      <c r="AJ570">
        <f>'raw data Crude oil'!AJ571</f>
        <v>0</v>
      </c>
      <c r="AK570">
        <f>'raw data Crude oil'!AK571</f>
        <v>0</v>
      </c>
    </row>
    <row r="571" spans="1:37" x14ac:dyDescent="0.3">
      <c r="A571" s="18">
        <f>'raw data Crude oil'!A572</f>
        <v>43542</v>
      </c>
      <c r="B571">
        <f>'raw data Crude oil'!B572</f>
        <v>67.540000000000006</v>
      </c>
      <c r="C571">
        <f>'raw data Crude oil'!C572</f>
        <v>67.36</v>
      </c>
      <c r="D571">
        <f>'raw data Crude oil'!D572</f>
        <v>67.13</v>
      </c>
      <c r="E571">
        <f>'raw data Crude oil'!E572</f>
        <v>66.959999999999994</v>
      </c>
      <c r="F571">
        <f>'raw data Crude oil'!F572</f>
        <v>66.8</v>
      </c>
      <c r="G571">
        <f>'raw data Crude oil'!G572</f>
        <v>66.650000000000006</v>
      </c>
      <c r="H571">
        <f>'raw data Crude oil'!H572</f>
        <v>66.510000000000005</v>
      </c>
      <c r="I571">
        <f>'raw data Crude oil'!I572</f>
        <v>66.349999999999994</v>
      </c>
      <c r="J571">
        <f>'raw data Crude oil'!J572</f>
        <v>66.22</v>
      </c>
      <c r="K571">
        <f>'raw data Crude oil'!K572</f>
        <v>66.069999999999993</v>
      </c>
      <c r="L571">
        <f>'raw data Crude oil'!L572</f>
        <v>65.92</v>
      </c>
      <c r="M571">
        <f>'raw data Crude oil'!M572</f>
        <v>65.760000000000005</v>
      </c>
      <c r="N571">
        <f>'raw data Crude oil'!N572</f>
        <v>59.09</v>
      </c>
      <c r="O571">
        <f>'raw data Crude oil'!O572</f>
        <v>59.38</v>
      </c>
      <c r="P571">
        <f>'raw data Crude oil'!P572</f>
        <v>59.65</v>
      </c>
      <c r="Q571">
        <f>'raw data Crude oil'!Q572</f>
        <v>59.94</v>
      </c>
      <c r="R571">
        <f>'raw data Crude oil'!R572</f>
        <v>60.18</v>
      </c>
      <c r="S571">
        <f>'raw data Crude oil'!S572</f>
        <v>60.31</v>
      </c>
      <c r="T571">
        <f>'raw data Crude oil'!T572</f>
        <v>60.33</v>
      </c>
      <c r="U571">
        <f>'raw data Crude oil'!U572</f>
        <v>60.25</v>
      </c>
      <c r="V571">
        <f>'raw data Crude oil'!V572</f>
        <v>60.13</v>
      </c>
      <c r="W571">
        <f>'raw data Crude oil'!W572</f>
        <v>59.97</v>
      </c>
      <c r="X571">
        <f>'raw data Crude oil'!X572</f>
        <v>59.78</v>
      </c>
      <c r="Y571">
        <f>'raw data Crude oil'!Y572</f>
        <v>59.56</v>
      </c>
      <c r="Z571">
        <f>'raw data Crude oil'!Z572</f>
        <v>0</v>
      </c>
      <c r="AA571">
        <f>'raw data Crude oil'!AA572</f>
        <v>0</v>
      </c>
      <c r="AB571">
        <f>'raw data Crude oil'!AB572</f>
        <v>0</v>
      </c>
      <c r="AC571">
        <f>'raw data Crude oil'!AC572</f>
        <v>0</v>
      </c>
      <c r="AD571">
        <f>'raw data Crude oil'!AD572</f>
        <v>0</v>
      </c>
      <c r="AE571">
        <f>'raw data Crude oil'!AE572</f>
        <v>0</v>
      </c>
      <c r="AF571">
        <f>'raw data Crude oil'!AF572</f>
        <v>0</v>
      </c>
      <c r="AG571">
        <f>'raw data Crude oil'!AG572</f>
        <v>0</v>
      </c>
      <c r="AH571">
        <f>'raw data Crude oil'!AH572</f>
        <v>0</v>
      </c>
      <c r="AI571">
        <f>'raw data Crude oil'!AI572</f>
        <v>0</v>
      </c>
      <c r="AJ571">
        <f>'raw data Crude oil'!AJ572</f>
        <v>0</v>
      </c>
      <c r="AK571">
        <f>'raw data Crude oil'!AK572</f>
        <v>0</v>
      </c>
    </row>
    <row r="572" spans="1:37" x14ac:dyDescent="0.3">
      <c r="A572" s="18">
        <f>'raw data Crude oil'!A573</f>
        <v>43543</v>
      </c>
      <c r="B572">
        <f>'raw data Crude oil'!B573</f>
        <v>67.61</v>
      </c>
      <c r="C572">
        <f>'raw data Crude oil'!C573</f>
        <v>67.42</v>
      </c>
      <c r="D572">
        <f>'raw data Crude oil'!D573</f>
        <v>67.19</v>
      </c>
      <c r="E572">
        <f>'raw data Crude oil'!E573</f>
        <v>67.02</v>
      </c>
      <c r="F572">
        <f>'raw data Crude oil'!F573</f>
        <v>66.87</v>
      </c>
      <c r="G572">
        <f>'raw data Crude oil'!G573</f>
        <v>66.72</v>
      </c>
      <c r="H572">
        <f>'raw data Crude oil'!H573</f>
        <v>66.58</v>
      </c>
      <c r="I572">
        <f>'raw data Crude oil'!I573</f>
        <v>66.41</v>
      </c>
      <c r="J572">
        <f>'raw data Crude oil'!J573</f>
        <v>66.28</v>
      </c>
      <c r="K572">
        <f>'raw data Crude oil'!K573</f>
        <v>66.13</v>
      </c>
      <c r="L572">
        <f>'raw data Crude oil'!L573</f>
        <v>65.98</v>
      </c>
      <c r="M572">
        <f>'raw data Crude oil'!M573</f>
        <v>65.819999999999993</v>
      </c>
      <c r="N572">
        <f>'raw data Crude oil'!N573</f>
        <v>59.03</v>
      </c>
      <c r="O572">
        <f>'raw data Crude oil'!O573</f>
        <v>59.29</v>
      </c>
      <c r="P572">
        <f>'raw data Crude oil'!P573</f>
        <v>59.58</v>
      </c>
      <c r="Q572">
        <f>'raw data Crude oil'!Q573</f>
        <v>59.88</v>
      </c>
      <c r="R572">
        <f>'raw data Crude oil'!R573</f>
        <v>60.13</v>
      </c>
      <c r="S572">
        <f>'raw data Crude oil'!S573</f>
        <v>60.29</v>
      </c>
      <c r="T572">
        <f>'raw data Crude oil'!T573</f>
        <v>60.33</v>
      </c>
      <c r="U572">
        <f>'raw data Crude oil'!U573</f>
        <v>60.29</v>
      </c>
      <c r="V572">
        <f>'raw data Crude oil'!V573</f>
        <v>60.19</v>
      </c>
      <c r="W572">
        <f>'raw data Crude oil'!W573</f>
        <v>60.02</v>
      </c>
      <c r="X572">
        <f>'raw data Crude oil'!X573</f>
        <v>59.85</v>
      </c>
      <c r="Y572">
        <f>'raw data Crude oil'!Y573</f>
        <v>59.65</v>
      </c>
      <c r="Z572">
        <f>'raw data Crude oil'!Z573</f>
        <v>0</v>
      </c>
      <c r="AA572">
        <f>'raw data Crude oil'!AA573</f>
        <v>0</v>
      </c>
      <c r="AB572">
        <f>'raw data Crude oil'!AB573</f>
        <v>0</v>
      </c>
      <c r="AC572">
        <f>'raw data Crude oil'!AC573</f>
        <v>0</v>
      </c>
      <c r="AD572">
        <f>'raw data Crude oil'!AD573</f>
        <v>0</v>
      </c>
      <c r="AE572">
        <f>'raw data Crude oil'!AE573</f>
        <v>0</v>
      </c>
      <c r="AF572">
        <f>'raw data Crude oil'!AF573</f>
        <v>0</v>
      </c>
      <c r="AG572">
        <f>'raw data Crude oil'!AG573</f>
        <v>0</v>
      </c>
      <c r="AH572">
        <f>'raw data Crude oil'!AH573</f>
        <v>0</v>
      </c>
      <c r="AI572">
        <f>'raw data Crude oil'!AI573</f>
        <v>0</v>
      </c>
      <c r="AJ572">
        <f>'raw data Crude oil'!AJ573</f>
        <v>0</v>
      </c>
      <c r="AK572">
        <f>'raw data Crude oil'!AK573</f>
        <v>0</v>
      </c>
    </row>
    <row r="573" spans="1:37" x14ac:dyDescent="0.3">
      <c r="A573" s="18">
        <f>'raw data Crude oil'!A574</f>
        <v>43544</v>
      </c>
      <c r="B573">
        <f>'raw data Crude oil'!B574</f>
        <v>68.5</v>
      </c>
      <c r="C573">
        <f>'raw data Crude oil'!C574</f>
        <v>68.27</v>
      </c>
      <c r="D573">
        <f>'raw data Crude oil'!D574</f>
        <v>68</v>
      </c>
      <c r="E573">
        <f>'raw data Crude oil'!E574</f>
        <v>67.790000000000006</v>
      </c>
      <c r="F573">
        <f>'raw data Crude oil'!F574</f>
        <v>67.61</v>
      </c>
      <c r="G573">
        <f>'raw data Crude oil'!G574</f>
        <v>67.44</v>
      </c>
      <c r="H573">
        <f>'raw data Crude oil'!H574</f>
        <v>67.28</v>
      </c>
      <c r="I573">
        <f>'raw data Crude oil'!I574</f>
        <v>67.099999999999994</v>
      </c>
      <c r="J573">
        <f>'raw data Crude oil'!J574</f>
        <v>66.930000000000007</v>
      </c>
      <c r="K573">
        <f>'raw data Crude oil'!K574</f>
        <v>66.77</v>
      </c>
      <c r="L573">
        <f>'raw data Crude oil'!L574</f>
        <v>66.599999999999994</v>
      </c>
      <c r="M573">
        <f>'raw data Crude oil'!M574</f>
        <v>66.430000000000007</v>
      </c>
      <c r="N573">
        <f>'raw data Crude oil'!N574</f>
        <v>59.83</v>
      </c>
      <c r="O573">
        <f>'raw data Crude oil'!O574</f>
        <v>60.23</v>
      </c>
      <c r="P573">
        <f>'raw data Crude oil'!P574</f>
        <v>60.48</v>
      </c>
      <c r="Q573">
        <f>'raw data Crude oil'!Q574</f>
        <v>60.73</v>
      </c>
      <c r="R573">
        <f>'raw data Crude oil'!R574</f>
        <v>60.94</v>
      </c>
      <c r="S573">
        <f>'raw data Crude oil'!S574</f>
        <v>61.06</v>
      </c>
      <c r="T573">
        <f>'raw data Crude oil'!T574</f>
        <v>61.08</v>
      </c>
      <c r="U573">
        <f>'raw data Crude oil'!U574</f>
        <v>61</v>
      </c>
      <c r="V573">
        <f>'raw data Crude oil'!V574</f>
        <v>60.87</v>
      </c>
      <c r="W573">
        <f>'raw data Crude oil'!W574</f>
        <v>60.71</v>
      </c>
      <c r="X573">
        <f>'raw data Crude oil'!X574</f>
        <v>60.5</v>
      </c>
      <c r="Y573">
        <f>'raw data Crude oil'!Y574</f>
        <v>60.27</v>
      </c>
      <c r="Z573">
        <f>'raw data Crude oil'!Z574</f>
        <v>0</v>
      </c>
      <c r="AA573">
        <f>'raw data Crude oil'!AA574</f>
        <v>0</v>
      </c>
      <c r="AB573">
        <f>'raw data Crude oil'!AB574</f>
        <v>0</v>
      </c>
      <c r="AC573">
        <f>'raw data Crude oil'!AC574</f>
        <v>0</v>
      </c>
      <c r="AD573">
        <f>'raw data Crude oil'!AD574</f>
        <v>0</v>
      </c>
      <c r="AE573">
        <f>'raw data Crude oil'!AE574</f>
        <v>0</v>
      </c>
      <c r="AF573">
        <f>'raw data Crude oil'!AF574</f>
        <v>0</v>
      </c>
      <c r="AG573">
        <f>'raw data Crude oil'!AG574</f>
        <v>0</v>
      </c>
      <c r="AH573">
        <f>'raw data Crude oil'!AH574</f>
        <v>0</v>
      </c>
      <c r="AI573">
        <f>'raw data Crude oil'!AI574</f>
        <v>0</v>
      </c>
      <c r="AJ573">
        <f>'raw data Crude oil'!AJ574</f>
        <v>0</v>
      </c>
      <c r="AK573">
        <f>'raw data Crude oil'!AK574</f>
        <v>0</v>
      </c>
    </row>
    <row r="574" spans="1:37" x14ac:dyDescent="0.3">
      <c r="A574" s="18">
        <f>'raw data Crude oil'!A575</f>
        <v>43545</v>
      </c>
      <c r="B574">
        <f>'raw data Crude oil'!B575</f>
        <v>67.86</v>
      </c>
      <c r="C574">
        <f>'raw data Crude oil'!C575</f>
        <v>67.67</v>
      </c>
      <c r="D574">
        <f>'raw data Crude oil'!D575</f>
        <v>67.430000000000007</v>
      </c>
      <c r="E574">
        <f>'raw data Crude oil'!E575</f>
        <v>67.22</v>
      </c>
      <c r="F574">
        <f>'raw data Crude oil'!F575</f>
        <v>67.05</v>
      </c>
      <c r="G574">
        <f>'raw data Crude oil'!G575</f>
        <v>66.89</v>
      </c>
      <c r="H574">
        <f>'raw data Crude oil'!H575</f>
        <v>66.73</v>
      </c>
      <c r="I574">
        <f>'raw data Crude oil'!I575</f>
        <v>66.56</v>
      </c>
      <c r="J574">
        <f>'raw data Crude oil'!J575</f>
        <v>66.41</v>
      </c>
      <c r="K574">
        <f>'raw data Crude oil'!K575</f>
        <v>66.25</v>
      </c>
      <c r="L574">
        <f>'raw data Crude oil'!L575</f>
        <v>66.099999999999994</v>
      </c>
      <c r="M574">
        <f>'raw data Crude oil'!M575</f>
        <v>65.94</v>
      </c>
      <c r="N574">
        <f>'raw data Crude oil'!N575</f>
        <v>59.98</v>
      </c>
      <c r="O574">
        <f>'raw data Crude oil'!O575</f>
        <v>60.2</v>
      </c>
      <c r="P574">
        <f>'raw data Crude oil'!P575</f>
        <v>60.43</v>
      </c>
      <c r="Q574">
        <f>'raw data Crude oil'!Q575</f>
        <v>60.62</v>
      </c>
      <c r="R574">
        <f>'raw data Crude oil'!R575</f>
        <v>60.73</v>
      </c>
      <c r="S574">
        <f>'raw data Crude oil'!S575</f>
        <v>60.73</v>
      </c>
      <c r="T574">
        <f>'raw data Crude oil'!T575</f>
        <v>60.65</v>
      </c>
      <c r="U574">
        <f>'raw data Crude oil'!U575</f>
        <v>60.52</v>
      </c>
      <c r="V574">
        <f>'raw data Crude oil'!V575</f>
        <v>60.34</v>
      </c>
      <c r="W574">
        <f>'raw data Crude oil'!W575</f>
        <v>60.12</v>
      </c>
      <c r="X574">
        <f>'raw data Crude oil'!X575</f>
        <v>59.89</v>
      </c>
      <c r="Y574">
        <f>'raw data Crude oil'!Y575</f>
        <v>59.66</v>
      </c>
      <c r="Z574">
        <f>'raw data Crude oil'!Z575</f>
        <v>0</v>
      </c>
      <c r="AA574">
        <f>'raw data Crude oil'!AA575</f>
        <v>0</v>
      </c>
      <c r="AB574">
        <f>'raw data Crude oil'!AB575</f>
        <v>0</v>
      </c>
      <c r="AC574">
        <f>'raw data Crude oil'!AC575</f>
        <v>0</v>
      </c>
      <c r="AD574">
        <f>'raw data Crude oil'!AD575</f>
        <v>0</v>
      </c>
      <c r="AE574">
        <f>'raw data Crude oil'!AE575</f>
        <v>0</v>
      </c>
      <c r="AF574">
        <f>'raw data Crude oil'!AF575</f>
        <v>0</v>
      </c>
      <c r="AG574">
        <f>'raw data Crude oil'!AG575</f>
        <v>0</v>
      </c>
      <c r="AH574">
        <f>'raw data Crude oil'!AH575</f>
        <v>0</v>
      </c>
      <c r="AI574">
        <f>'raw data Crude oil'!AI575</f>
        <v>0</v>
      </c>
      <c r="AJ574">
        <f>'raw data Crude oil'!AJ575</f>
        <v>0</v>
      </c>
      <c r="AK574">
        <f>'raw data Crude oil'!AK575</f>
        <v>0</v>
      </c>
    </row>
    <row r="575" spans="1:37" x14ac:dyDescent="0.3">
      <c r="A575" s="18">
        <f>'raw data Crude oil'!A576</f>
        <v>43546</v>
      </c>
      <c r="B575">
        <f>'raw data Crude oil'!B576</f>
        <v>67.03</v>
      </c>
      <c r="C575">
        <f>'raw data Crude oil'!C576</f>
        <v>66.75</v>
      </c>
      <c r="D575">
        <f>'raw data Crude oil'!D576</f>
        <v>66.489999999999995</v>
      </c>
      <c r="E575">
        <f>'raw data Crude oil'!E576</f>
        <v>66.28</v>
      </c>
      <c r="F575">
        <f>'raw data Crude oil'!F576</f>
        <v>66.11</v>
      </c>
      <c r="G575">
        <f>'raw data Crude oil'!G576</f>
        <v>65.959999999999994</v>
      </c>
      <c r="H575">
        <f>'raw data Crude oil'!H576</f>
        <v>65.81</v>
      </c>
      <c r="I575">
        <f>'raw data Crude oil'!I576</f>
        <v>65.650000000000006</v>
      </c>
      <c r="J575">
        <f>'raw data Crude oil'!J576</f>
        <v>65.510000000000005</v>
      </c>
      <c r="K575">
        <f>'raw data Crude oil'!K576</f>
        <v>65.36</v>
      </c>
      <c r="L575">
        <f>'raw data Crude oil'!L576</f>
        <v>65.22</v>
      </c>
      <c r="M575">
        <f>'raw data Crude oil'!M576</f>
        <v>65.069999999999993</v>
      </c>
      <c r="N575">
        <f>'raw data Crude oil'!N576</f>
        <v>59.04</v>
      </c>
      <c r="O575">
        <f>'raw data Crude oil'!O576</f>
        <v>59.29</v>
      </c>
      <c r="P575">
        <f>'raw data Crude oil'!P576</f>
        <v>59.53</v>
      </c>
      <c r="Q575">
        <f>'raw data Crude oil'!Q576</f>
        <v>59.75</v>
      </c>
      <c r="R575">
        <f>'raw data Crude oil'!R576</f>
        <v>59.89</v>
      </c>
      <c r="S575">
        <f>'raw data Crude oil'!S576</f>
        <v>59.92</v>
      </c>
      <c r="T575">
        <f>'raw data Crude oil'!T576</f>
        <v>59.85</v>
      </c>
      <c r="U575">
        <f>'raw data Crude oil'!U576</f>
        <v>59.73</v>
      </c>
      <c r="V575">
        <f>'raw data Crude oil'!V576</f>
        <v>59.57</v>
      </c>
      <c r="W575">
        <f>'raw data Crude oil'!W576</f>
        <v>59.38</v>
      </c>
      <c r="X575">
        <f>'raw data Crude oil'!X576</f>
        <v>59.16</v>
      </c>
      <c r="Y575">
        <f>'raw data Crude oil'!Y576</f>
        <v>58.95</v>
      </c>
      <c r="Z575">
        <f>'raw data Crude oil'!Z576</f>
        <v>0</v>
      </c>
      <c r="AA575">
        <f>'raw data Crude oil'!AA576</f>
        <v>0</v>
      </c>
      <c r="AB575">
        <f>'raw data Crude oil'!AB576</f>
        <v>0</v>
      </c>
      <c r="AC575">
        <f>'raw data Crude oil'!AC576</f>
        <v>0</v>
      </c>
      <c r="AD575">
        <f>'raw data Crude oil'!AD576</f>
        <v>0</v>
      </c>
      <c r="AE575">
        <f>'raw data Crude oil'!AE576</f>
        <v>0</v>
      </c>
      <c r="AF575">
        <f>'raw data Crude oil'!AF576</f>
        <v>0</v>
      </c>
      <c r="AG575">
        <f>'raw data Crude oil'!AG576</f>
        <v>0</v>
      </c>
      <c r="AH575">
        <f>'raw data Crude oil'!AH576</f>
        <v>0</v>
      </c>
      <c r="AI575">
        <f>'raw data Crude oil'!AI576</f>
        <v>0</v>
      </c>
      <c r="AJ575">
        <f>'raw data Crude oil'!AJ576</f>
        <v>0</v>
      </c>
      <c r="AK575">
        <f>'raw data Crude oil'!AK576</f>
        <v>0</v>
      </c>
    </row>
    <row r="576" spans="1:37" x14ac:dyDescent="0.3">
      <c r="A576" s="18">
        <f>'raw data Crude oil'!A577</f>
        <v>43549</v>
      </c>
      <c r="B576">
        <f>'raw data Crude oil'!B577</f>
        <v>67.209999999999994</v>
      </c>
      <c r="C576">
        <f>'raw data Crude oil'!C577</f>
        <v>66.81</v>
      </c>
      <c r="D576">
        <f>'raw data Crude oil'!D577</f>
        <v>66.540000000000006</v>
      </c>
      <c r="E576">
        <f>'raw data Crude oil'!E577</f>
        <v>66.319999999999993</v>
      </c>
      <c r="F576">
        <f>'raw data Crude oil'!F577</f>
        <v>66.150000000000006</v>
      </c>
      <c r="G576">
        <f>'raw data Crude oil'!G577</f>
        <v>66</v>
      </c>
      <c r="H576">
        <f>'raw data Crude oil'!H577</f>
        <v>65.849999999999994</v>
      </c>
      <c r="I576">
        <f>'raw data Crude oil'!I577</f>
        <v>65.680000000000007</v>
      </c>
      <c r="J576">
        <f>'raw data Crude oil'!J577</f>
        <v>65.540000000000006</v>
      </c>
      <c r="K576">
        <f>'raw data Crude oil'!K577</f>
        <v>65.39</v>
      </c>
      <c r="L576">
        <f>'raw data Crude oil'!L577</f>
        <v>65.25</v>
      </c>
      <c r="M576">
        <f>'raw data Crude oil'!M577</f>
        <v>65.099999999999994</v>
      </c>
      <c r="N576">
        <f>'raw data Crude oil'!N577</f>
        <v>58.82</v>
      </c>
      <c r="O576">
        <f>'raw data Crude oil'!O577</f>
        <v>59.08</v>
      </c>
      <c r="P576">
        <f>'raw data Crude oil'!P577</f>
        <v>59.33</v>
      </c>
      <c r="Q576">
        <f>'raw data Crude oil'!Q577</f>
        <v>59.55</v>
      </c>
      <c r="R576">
        <f>'raw data Crude oil'!R577</f>
        <v>59.71</v>
      </c>
      <c r="S576">
        <f>'raw data Crude oil'!S577</f>
        <v>59.75</v>
      </c>
      <c r="T576">
        <f>'raw data Crude oil'!T577</f>
        <v>59.72</v>
      </c>
      <c r="U576">
        <f>'raw data Crude oil'!U577</f>
        <v>59.63</v>
      </c>
      <c r="V576">
        <f>'raw data Crude oil'!V577</f>
        <v>59.5</v>
      </c>
      <c r="W576">
        <f>'raw data Crude oil'!W577</f>
        <v>59.33</v>
      </c>
      <c r="X576">
        <f>'raw data Crude oil'!X577</f>
        <v>59.13</v>
      </c>
      <c r="Y576">
        <f>'raw data Crude oil'!Y577</f>
        <v>58.93</v>
      </c>
      <c r="Z576">
        <f>'raw data Crude oil'!Z577</f>
        <v>0</v>
      </c>
      <c r="AA576">
        <f>'raw data Crude oil'!AA577</f>
        <v>0</v>
      </c>
      <c r="AB576">
        <f>'raw data Crude oil'!AB577</f>
        <v>0</v>
      </c>
      <c r="AC576">
        <f>'raw data Crude oil'!AC577</f>
        <v>0</v>
      </c>
      <c r="AD576">
        <f>'raw data Crude oil'!AD577</f>
        <v>0</v>
      </c>
      <c r="AE576">
        <f>'raw data Crude oil'!AE577</f>
        <v>0</v>
      </c>
      <c r="AF576">
        <f>'raw data Crude oil'!AF577</f>
        <v>0</v>
      </c>
      <c r="AG576">
        <f>'raw data Crude oil'!AG577</f>
        <v>0</v>
      </c>
      <c r="AH576">
        <f>'raw data Crude oil'!AH577</f>
        <v>0</v>
      </c>
      <c r="AI576">
        <f>'raw data Crude oil'!AI577</f>
        <v>0</v>
      </c>
      <c r="AJ576">
        <f>'raw data Crude oil'!AJ577</f>
        <v>0</v>
      </c>
      <c r="AK576">
        <f>'raw data Crude oil'!AK577</f>
        <v>0</v>
      </c>
    </row>
    <row r="577" spans="1:37" x14ac:dyDescent="0.3">
      <c r="A577" s="18">
        <f>'raw data Crude oil'!A578</f>
        <v>43550</v>
      </c>
      <c r="B577">
        <f>'raw data Crude oil'!B578</f>
        <v>67.97</v>
      </c>
      <c r="C577">
        <f>'raw data Crude oil'!C578</f>
        <v>67.430000000000007</v>
      </c>
      <c r="D577">
        <f>'raw data Crude oil'!D578</f>
        <v>67.099999999999994</v>
      </c>
      <c r="E577">
        <f>'raw data Crude oil'!E578</f>
        <v>66.849999999999994</v>
      </c>
      <c r="F577">
        <f>'raw data Crude oil'!F578</f>
        <v>66.64</v>
      </c>
      <c r="G577">
        <f>'raw data Crude oil'!G578</f>
        <v>66.459999999999994</v>
      </c>
      <c r="H577">
        <f>'raw data Crude oil'!H578</f>
        <v>66.28</v>
      </c>
      <c r="I577">
        <f>'raw data Crude oil'!I578</f>
        <v>66.08</v>
      </c>
      <c r="J577">
        <f>'raw data Crude oil'!J578</f>
        <v>65.91</v>
      </c>
      <c r="K577">
        <f>'raw data Crude oil'!K578</f>
        <v>65.739999999999995</v>
      </c>
      <c r="L577">
        <f>'raw data Crude oil'!L578</f>
        <v>65.58</v>
      </c>
      <c r="M577">
        <f>'raw data Crude oil'!M578</f>
        <v>65.42</v>
      </c>
      <c r="N577">
        <f>'raw data Crude oil'!N578</f>
        <v>59.94</v>
      </c>
      <c r="O577">
        <f>'raw data Crude oil'!O578</f>
        <v>60.1</v>
      </c>
      <c r="P577">
        <f>'raw data Crude oil'!P578</f>
        <v>60.23</v>
      </c>
      <c r="Q577">
        <f>'raw data Crude oil'!Q578</f>
        <v>60.34</v>
      </c>
      <c r="R577">
        <f>'raw data Crude oil'!R578</f>
        <v>60.39</v>
      </c>
      <c r="S577">
        <f>'raw data Crude oil'!S578</f>
        <v>60.34</v>
      </c>
      <c r="T577">
        <f>'raw data Crude oil'!T578</f>
        <v>60.24</v>
      </c>
      <c r="U577">
        <f>'raw data Crude oil'!U578</f>
        <v>60.1</v>
      </c>
      <c r="V577">
        <f>'raw data Crude oil'!V578</f>
        <v>59.92</v>
      </c>
      <c r="W577">
        <f>'raw data Crude oil'!W578</f>
        <v>59.7</v>
      </c>
      <c r="X577">
        <f>'raw data Crude oil'!X578</f>
        <v>59.46</v>
      </c>
      <c r="Y577">
        <f>'raw data Crude oil'!Y578</f>
        <v>59.22</v>
      </c>
      <c r="Z577">
        <f>'raw data Crude oil'!Z578</f>
        <v>0</v>
      </c>
      <c r="AA577">
        <f>'raw data Crude oil'!AA578</f>
        <v>0</v>
      </c>
      <c r="AB577">
        <f>'raw data Crude oil'!AB578</f>
        <v>0</v>
      </c>
      <c r="AC577">
        <f>'raw data Crude oil'!AC578</f>
        <v>0</v>
      </c>
      <c r="AD577">
        <f>'raw data Crude oil'!AD578</f>
        <v>0</v>
      </c>
      <c r="AE577">
        <f>'raw data Crude oil'!AE578</f>
        <v>0</v>
      </c>
      <c r="AF577">
        <f>'raw data Crude oil'!AF578</f>
        <v>0</v>
      </c>
      <c r="AG577">
        <f>'raw data Crude oil'!AG578</f>
        <v>0</v>
      </c>
      <c r="AH577">
        <f>'raw data Crude oil'!AH578</f>
        <v>0</v>
      </c>
      <c r="AI577">
        <f>'raw data Crude oil'!AI578</f>
        <v>0</v>
      </c>
      <c r="AJ577">
        <f>'raw data Crude oil'!AJ578</f>
        <v>0</v>
      </c>
      <c r="AK577">
        <f>'raw data Crude oil'!AK578</f>
        <v>0</v>
      </c>
    </row>
    <row r="578" spans="1:37" x14ac:dyDescent="0.3">
      <c r="A578" s="18">
        <f>'raw data Crude oil'!A579</f>
        <v>43551</v>
      </c>
      <c r="B578">
        <f>'raw data Crude oil'!B579</f>
        <v>67.83</v>
      </c>
      <c r="C578">
        <f>'raw data Crude oil'!C579</f>
        <v>67.239999999999995</v>
      </c>
      <c r="D578">
        <f>'raw data Crude oil'!D579</f>
        <v>66.87</v>
      </c>
      <c r="E578">
        <f>'raw data Crude oil'!E579</f>
        <v>66.62</v>
      </c>
      <c r="F578">
        <f>'raw data Crude oil'!F579</f>
        <v>66.41</v>
      </c>
      <c r="G578">
        <f>'raw data Crude oil'!G579</f>
        <v>66.22</v>
      </c>
      <c r="H578">
        <f>'raw data Crude oil'!H579</f>
        <v>66.05</v>
      </c>
      <c r="I578">
        <f>'raw data Crude oil'!I579</f>
        <v>65.86</v>
      </c>
      <c r="J578">
        <f>'raw data Crude oil'!J579</f>
        <v>65.69</v>
      </c>
      <c r="K578">
        <f>'raw data Crude oil'!K579</f>
        <v>65.52</v>
      </c>
      <c r="L578">
        <f>'raw data Crude oil'!L579</f>
        <v>65.37</v>
      </c>
      <c r="M578">
        <f>'raw data Crude oil'!M579</f>
        <v>65.209999999999994</v>
      </c>
      <c r="N578">
        <f>'raw data Crude oil'!N579</f>
        <v>59.41</v>
      </c>
      <c r="O578">
        <f>'raw data Crude oil'!O579</f>
        <v>59.61</v>
      </c>
      <c r="P578">
        <f>'raw data Crude oil'!P579</f>
        <v>59.77</v>
      </c>
      <c r="Q578">
        <f>'raw data Crude oil'!Q579</f>
        <v>59.91</v>
      </c>
      <c r="R578">
        <f>'raw data Crude oil'!R579</f>
        <v>59.98</v>
      </c>
      <c r="S578">
        <f>'raw data Crude oil'!S579</f>
        <v>59.96</v>
      </c>
      <c r="T578">
        <f>'raw data Crude oil'!T579</f>
        <v>59.88</v>
      </c>
      <c r="U578">
        <f>'raw data Crude oil'!U579</f>
        <v>59.76</v>
      </c>
      <c r="V578">
        <f>'raw data Crude oil'!V579</f>
        <v>59.6</v>
      </c>
      <c r="W578">
        <f>'raw data Crude oil'!W579</f>
        <v>59.4</v>
      </c>
      <c r="X578">
        <f>'raw data Crude oil'!X579</f>
        <v>59.18</v>
      </c>
      <c r="Y578">
        <f>'raw data Crude oil'!Y579</f>
        <v>58.94</v>
      </c>
      <c r="Z578">
        <f>'raw data Crude oil'!Z579</f>
        <v>0</v>
      </c>
      <c r="AA578">
        <f>'raw data Crude oil'!AA579</f>
        <v>0</v>
      </c>
      <c r="AB578">
        <f>'raw data Crude oil'!AB579</f>
        <v>0</v>
      </c>
      <c r="AC578">
        <f>'raw data Crude oil'!AC579</f>
        <v>0</v>
      </c>
      <c r="AD578">
        <f>'raw data Crude oil'!AD579</f>
        <v>0</v>
      </c>
      <c r="AE578">
        <f>'raw data Crude oil'!AE579</f>
        <v>0</v>
      </c>
      <c r="AF578">
        <f>'raw data Crude oil'!AF579</f>
        <v>0</v>
      </c>
      <c r="AG578">
        <f>'raw data Crude oil'!AG579</f>
        <v>0</v>
      </c>
      <c r="AH578">
        <f>'raw data Crude oil'!AH579</f>
        <v>0</v>
      </c>
      <c r="AI578">
        <f>'raw data Crude oil'!AI579</f>
        <v>0</v>
      </c>
      <c r="AJ578">
        <f>'raw data Crude oil'!AJ579</f>
        <v>0</v>
      </c>
      <c r="AK578">
        <f>'raw data Crude oil'!AK579</f>
        <v>0</v>
      </c>
    </row>
    <row r="579" spans="1:37" x14ac:dyDescent="0.3">
      <c r="A579" s="18">
        <f>'raw data Crude oil'!A580</f>
        <v>43552</v>
      </c>
      <c r="B579">
        <f>'raw data Crude oil'!B580</f>
        <v>67.819999999999993</v>
      </c>
      <c r="C579">
        <f>'raw data Crude oil'!C580</f>
        <v>67.099999999999994</v>
      </c>
      <c r="D579">
        <f>'raw data Crude oil'!D580</f>
        <v>66.739999999999995</v>
      </c>
      <c r="E579">
        <f>'raw data Crude oil'!E580</f>
        <v>66.47</v>
      </c>
      <c r="F579">
        <f>'raw data Crude oil'!F580</f>
        <v>66.239999999999995</v>
      </c>
      <c r="G579">
        <f>'raw data Crude oil'!G580</f>
        <v>66.03</v>
      </c>
      <c r="H579">
        <f>'raw data Crude oil'!H580</f>
        <v>65.849999999999994</v>
      </c>
      <c r="I579">
        <f>'raw data Crude oil'!I580</f>
        <v>65.66</v>
      </c>
      <c r="J579">
        <f>'raw data Crude oil'!J580</f>
        <v>65.489999999999995</v>
      </c>
      <c r="K579">
        <f>'raw data Crude oil'!K580</f>
        <v>65.33</v>
      </c>
      <c r="L579">
        <f>'raw data Crude oil'!L580</f>
        <v>65.19</v>
      </c>
      <c r="M579">
        <f>'raw data Crude oil'!M580</f>
        <v>65.040000000000006</v>
      </c>
      <c r="N579">
        <f>'raw data Crude oil'!N580</f>
        <v>59.3</v>
      </c>
      <c r="O579">
        <f>'raw data Crude oil'!O580</f>
        <v>59.48</v>
      </c>
      <c r="P579">
        <f>'raw data Crude oil'!P580</f>
        <v>59.63</v>
      </c>
      <c r="Q579">
        <f>'raw data Crude oil'!Q580</f>
        <v>59.76</v>
      </c>
      <c r="R579">
        <f>'raw data Crude oil'!R580</f>
        <v>59.84</v>
      </c>
      <c r="S579">
        <f>'raw data Crude oil'!S580</f>
        <v>59.82</v>
      </c>
      <c r="T579">
        <f>'raw data Crude oil'!T580</f>
        <v>59.75</v>
      </c>
      <c r="U579">
        <f>'raw data Crude oil'!U580</f>
        <v>59.63</v>
      </c>
      <c r="V579">
        <f>'raw data Crude oil'!V580</f>
        <v>59.49</v>
      </c>
      <c r="W579">
        <f>'raw data Crude oil'!W580</f>
        <v>59.3</v>
      </c>
      <c r="X579">
        <f>'raw data Crude oil'!X580</f>
        <v>59.09</v>
      </c>
      <c r="Y579">
        <f>'raw data Crude oil'!Y580</f>
        <v>58.88</v>
      </c>
      <c r="Z579">
        <f>'raw data Crude oil'!Z580</f>
        <v>0</v>
      </c>
      <c r="AA579">
        <f>'raw data Crude oil'!AA580</f>
        <v>0</v>
      </c>
      <c r="AB579">
        <f>'raw data Crude oil'!AB580</f>
        <v>0</v>
      </c>
      <c r="AC579">
        <f>'raw data Crude oil'!AC580</f>
        <v>0</v>
      </c>
      <c r="AD579">
        <f>'raw data Crude oil'!AD580</f>
        <v>0</v>
      </c>
      <c r="AE579">
        <f>'raw data Crude oil'!AE580</f>
        <v>0</v>
      </c>
      <c r="AF579">
        <f>'raw data Crude oil'!AF580</f>
        <v>0</v>
      </c>
      <c r="AG579">
        <f>'raw data Crude oil'!AG580</f>
        <v>0</v>
      </c>
      <c r="AH579">
        <f>'raw data Crude oil'!AH580</f>
        <v>0</v>
      </c>
      <c r="AI579">
        <f>'raw data Crude oil'!AI580</f>
        <v>0</v>
      </c>
      <c r="AJ579">
        <f>'raw data Crude oil'!AJ580</f>
        <v>0</v>
      </c>
      <c r="AK579">
        <f>'raw data Crude oil'!AK580</f>
        <v>0</v>
      </c>
    </row>
    <row r="580" spans="1:37" x14ac:dyDescent="0.3">
      <c r="A580" s="18">
        <f>'raw data Crude oil'!A581</f>
        <v>43553</v>
      </c>
      <c r="B580">
        <f>'raw data Crude oil'!B581</f>
        <v>68.39</v>
      </c>
      <c r="C580">
        <f>'raw data Crude oil'!C581</f>
        <v>67.58</v>
      </c>
      <c r="D580">
        <f>'raw data Crude oil'!D581</f>
        <v>67.209999999999994</v>
      </c>
      <c r="E580">
        <f>'raw data Crude oil'!E581</f>
        <v>66.94</v>
      </c>
      <c r="F580">
        <f>'raw data Crude oil'!F581</f>
        <v>66.72</v>
      </c>
      <c r="G580">
        <f>'raw data Crude oil'!G581</f>
        <v>66.510000000000005</v>
      </c>
      <c r="H580">
        <f>'raw data Crude oil'!H581</f>
        <v>66.33</v>
      </c>
      <c r="I580">
        <f>'raw data Crude oil'!I581</f>
        <v>66.13</v>
      </c>
      <c r="J580">
        <f>'raw data Crude oil'!J581</f>
        <v>65.959999999999994</v>
      </c>
      <c r="K580">
        <f>'raw data Crude oil'!K581</f>
        <v>65.790000000000006</v>
      </c>
      <c r="L580">
        <f>'raw data Crude oil'!L581</f>
        <v>65.63</v>
      </c>
      <c r="M580">
        <f>'raw data Crude oil'!M581</f>
        <v>65.47</v>
      </c>
      <c r="N580">
        <f>'raw data Crude oil'!N581</f>
        <v>60.14</v>
      </c>
      <c r="O580">
        <f>'raw data Crude oil'!O581</f>
        <v>60.28</v>
      </c>
      <c r="P580">
        <f>'raw data Crude oil'!P581</f>
        <v>60.4</v>
      </c>
      <c r="Q580">
        <f>'raw data Crude oil'!Q581</f>
        <v>60.49</v>
      </c>
      <c r="R580">
        <f>'raw data Crude oil'!R581</f>
        <v>60.53</v>
      </c>
      <c r="S580">
        <f>'raw data Crude oil'!S581</f>
        <v>60.47</v>
      </c>
      <c r="T580">
        <f>'raw data Crude oil'!T581</f>
        <v>60.37</v>
      </c>
      <c r="U580">
        <f>'raw data Crude oil'!U581</f>
        <v>60.22</v>
      </c>
      <c r="V580">
        <f>'raw data Crude oil'!V581</f>
        <v>60.02</v>
      </c>
      <c r="W580">
        <f>'raw data Crude oil'!W581</f>
        <v>59.8</v>
      </c>
      <c r="X580">
        <f>'raw data Crude oil'!X581</f>
        <v>59.56</v>
      </c>
      <c r="Y580">
        <f>'raw data Crude oil'!Y581</f>
        <v>59.32</v>
      </c>
      <c r="Z580">
        <f>'raw data Crude oil'!Z581</f>
        <v>0</v>
      </c>
      <c r="AA580">
        <f>'raw data Crude oil'!AA581</f>
        <v>0</v>
      </c>
      <c r="AB580">
        <f>'raw data Crude oil'!AB581</f>
        <v>0</v>
      </c>
      <c r="AC580">
        <f>'raw data Crude oil'!AC581</f>
        <v>0</v>
      </c>
      <c r="AD580">
        <f>'raw data Crude oil'!AD581</f>
        <v>0</v>
      </c>
      <c r="AE580">
        <f>'raw data Crude oil'!AE581</f>
        <v>0</v>
      </c>
      <c r="AF580">
        <f>'raw data Crude oil'!AF581</f>
        <v>0</v>
      </c>
      <c r="AG580">
        <f>'raw data Crude oil'!AG581</f>
        <v>0</v>
      </c>
      <c r="AH580">
        <f>'raw data Crude oil'!AH581</f>
        <v>0</v>
      </c>
      <c r="AI580">
        <f>'raw data Crude oil'!AI581</f>
        <v>0</v>
      </c>
      <c r="AJ580">
        <f>'raw data Crude oil'!AJ581</f>
        <v>0</v>
      </c>
      <c r="AK580">
        <f>'raw data Crude oil'!AK581</f>
        <v>0</v>
      </c>
    </row>
    <row r="581" spans="1:37" x14ac:dyDescent="0.3">
      <c r="A581" s="18">
        <f>'raw data Crude oil'!A582</f>
        <v>43556</v>
      </c>
      <c r="B581">
        <f>'raw data Crude oil'!B582</f>
        <v>69.010000000000005</v>
      </c>
      <c r="C581">
        <f>'raw data Crude oil'!C582</f>
        <v>68.59</v>
      </c>
      <c r="D581">
        <f>'raw data Crude oil'!D582</f>
        <v>68.27</v>
      </c>
      <c r="E581">
        <f>'raw data Crude oil'!E582</f>
        <v>68</v>
      </c>
      <c r="F581">
        <f>'raw data Crude oil'!F582</f>
        <v>67.75</v>
      </c>
      <c r="G581">
        <f>'raw data Crude oil'!G582</f>
        <v>67.53</v>
      </c>
      <c r="H581">
        <f>'raw data Crude oil'!H582</f>
        <v>67.3</v>
      </c>
      <c r="I581">
        <f>'raw data Crude oil'!I582</f>
        <v>67.09</v>
      </c>
      <c r="J581">
        <f>'raw data Crude oil'!J582</f>
        <v>66.89</v>
      </c>
      <c r="K581">
        <f>'raw data Crude oil'!K582</f>
        <v>66.7</v>
      </c>
      <c r="L581">
        <f>'raw data Crude oil'!L582</f>
        <v>66.510000000000005</v>
      </c>
      <c r="M581">
        <f>'raw data Crude oil'!M582</f>
        <v>66.319999999999993</v>
      </c>
      <c r="N581">
        <f>'raw data Crude oil'!N582</f>
        <v>61.59</v>
      </c>
      <c r="O581">
        <f>'raw data Crude oil'!O582</f>
        <v>61.71</v>
      </c>
      <c r="P581">
        <f>'raw data Crude oil'!P582</f>
        <v>61.8</v>
      </c>
      <c r="Q581">
        <f>'raw data Crude oil'!Q582</f>
        <v>61.83</v>
      </c>
      <c r="R581">
        <f>'raw data Crude oil'!R582</f>
        <v>61.78</v>
      </c>
      <c r="S581">
        <f>'raw data Crude oil'!S582</f>
        <v>61.65</v>
      </c>
      <c r="T581">
        <f>'raw data Crude oil'!T582</f>
        <v>61.48</v>
      </c>
      <c r="U581">
        <f>'raw data Crude oil'!U582</f>
        <v>61.27</v>
      </c>
      <c r="V581">
        <f>'raw data Crude oil'!V582</f>
        <v>61.03</v>
      </c>
      <c r="W581">
        <f>'raw data Crude oil'!W582</f>
        <v>60.76</v>
      </c>
      <c r="X581">
        <f>'raw data Crude oil'!X582</f>
        <v>60.47</v>
      </c>
      <c r="Y581">
        <f>'raw data Crude oil'!Y582</f>
        <v>60.19</v>
      </c>
      <c r="Z581">
        <f>'raw data Crude oil'!Z582</f>
        <v>0</v>
      </c>
      <c r="AA581">
        <f>'raw data Crude oil'!AA582</f>
        <v>0</v>
      </c>
      <c r="AB581">
        <f>'raw data Crude oil'!AB582</f>
        <v>0</v>
      </c>
      <c r="AC581">
        <f>'raw data Crude oil'!AC582</f>
        <v>0</v>
      </c>
      <c r="AD581">
        <f>'raw data Crude oil'!AD582</f>
        <v>0</v>
      </c>
      <c r="AE581">
        <f>'raw data Crude oil'!AE582</f>
        <v>0</v>
      </c>
      <c r="AF581">
        <f>'raw data Crude oil'!AF582</f>
        <v>0</v>
      </c>
      <c r="AG581">
        <f>'raw data Crude oil'!AG582</f>
        <v>0</v>
      </c>
      <c r="AH581">
        <f>'raw data Crude oil'!AH582</f>
        <v>0</v>
      </c>
      <c r="AI581">
        <f>'raw data Crude oil'!AI582</f>
        <v>0</v>
      </c>
      <c r="AJ581">
        <f>'raw data Crude oil'!AJ582</f>
        <v>0</v>
      </c>
      <c r="AK581">
        <f>'raw data Crude oil'!AK582</f>
        <v>0</v>
      </c>
    </row>
    <row r="582" spans="1:37" x14ac:dyDescent="0.3">
      <c r="A582" s="18">
        <f>'raw data Crude oil'!A583</f>
        <v>43557</v>
      </c>
      <c r="B582">
        <f>'raw data Crude oil'!B583</f>
        <v>69.37</v>
      </c>
      <c r="C582">
        <f>'raw data Crude oil'!C583</f>
        <v>68.930000000000007</v>
      </c>
      <c r="D582">
        <f>'raw data Crude oil'!D583</f>
        <v>68.599999999999994</v>
      </c>
      <c r="E582">
        <f>'raw data Crude oil'!E583</f>
        <v>68.3</v>
      </c>
      <c r="F582">
        <f>'raw data Crude oil'!F583</f>
        <v>68.02</v>
      </c>
      <c r="G582">
        <f>'raw data Crude oil'!G583</f>
        <v>67.78</v>
      </c>
      <c r="H582">
        <f>'raw data Crude oil'!H583</f>
        <v>67.52</v>
      </c>
      <c r="I582">
        <f>'raw data Crude oil'!I583</f>
        <v>67.28</v>
      </c>
      <c r="J582">
        <f>'raw data Crude oil'!J583</f>
        <v>67.06</v>
      </c>
      <c r="K582">
        <f>'raw data Crude oil'!K583</f>
        <v>66.86</v>
      </c>
      <c r="L582">
        <f>'raw data Crude oil'!L583</f>
        <v>66.650000000000006</v>
      </c>
      <c r="M582">
        <f>'raw data Crude oil'!M583</f>
        <v>66.44</v>
      </c>
      <c r="N582">
        <f>'raw data Crude oil'!N583</f>
        <v>62.58</v>
      </c>
      <c r="O582">
        <f>'raw data Crude oil'!O583</f>
        <v>62.61</v>
      </c>
      <c r="P582">
        <f>'raw data Crude oil'!P583</f>
        <v>62.6</v>
      </c>
      <c r="Q582">
        <f>'raw data Crude oil'!Q583</f>
        <v>62.55</v>
      </c>
      <c r="R582">
        <f>'raw data Crude oil'!R583</f>
        <v>62.45</v>
      </c>
      <c r="S582">
        <f>'raw data Crude oil'!S583</f>
        <v>62.27</v>
      </c>
      <c r="T582">
        <f>'raw data Crude oil'!T583</f>
        <v>62.04</v>
      </c>
      <c r="U582">
        <f>'raw data Crude oil'!U583</f>
        <v>61.76</v>
      </c>
      <c r="V582">
        <f>'raw data Crude oil'!V583</f>
        <v>61.45</v>
      </c>
      <c r="W582">
        <f>'raw data Crude oil'!W583</f>
        <v>61.12</v>
      </c>
      <c r="X582">
        <f>'raw data Crude oil'!X583</f>
        <v>60.78</v>
      </c>
      <c r="Y582">
        <f>'raw data Crude oil'!Y583</f>
        <v>60.46</v>
      </c>
      <c r="Z582">
        <f>'raw data Crude oil'!Z583</f>
        <v>0</v>
      </c>
      <c r="AA582">
        <f>'raw data Crude oil'!AA583</f>
        <v>0</v>
      </c>
      <c r="AB582">
        <f>'raw data Crude oil'!AB583</f>
        <v>0</v>
      </c>
      <c r="AC582">
        <f>'raw data Crude oil'!AC583</f>
        <v>0</v>
      </c>
      <c r="AD582">
        <f>'raw data Crude oil'!AD583</f>
        <v>0</v>
      </c>
      <c r="AE582">
        <f>'raw data Crude oil'!AE583</f>
        <v>0</v>
      </c>
      <c r="AF582">
        <f>'raw data Crude oil'!AF583</f>
        <v>0</v>
      </c>
      <c r="AG582">
        <f>'raw data Crude oil'!AG583</f>
        <v>0</v>
      </c>
      <c r="AH582">
        <f>'raw data Crude oil'!AH583</f>
        <v>0</v>
      </c>
      <c r="AI582">
        <f>'raw data Crude oil'!AI583</f>
        <v>0</v>
      </c>
      <c r="AJ582">
        <f>'raw data Crude oil'!AJ583</f>
        <v>0</v>
      </c>
      <c r="AK582">
        <f>'raw data Crude oil'!AK583</f>
        <v>0</v>
      </c>
    </row>
    <row r="583" spans="1:37" x14ac:dyDescent="0.3">
      <c r="A583" s="18">
        <f>'raw data Crude oil'!A584</f>
        <v>43558</v>
      </c>
      <c r="B583">
        <f>'raw data Crude oil'!B584</f>
        <v>69.31</v>
      </c>
      <c r="C583">
        <f>'raw data Crude oil'!C584</f>
        <v>68.91</v>
      </c>
      <c r="D583">
        <f>'raw data Crude oil'!D584</f>
        <v>68.59</v>
      </c>
      <c r="E583">
        <f>'raw data Crude oil'!E584</f>
        <v>68.28</v>
      </c>
      <c r="F583">
        <f>'raw data Crude oil'!F584</f>
        <v>68</v>
      </c>
      <c r="G583">
        <f>'raw data Crude oil'!G584</f>
        <v>67.75</v>
      </c>
      <c r="H583">
        <f>'raw data Crude oil'!H584</f>
        <v>67.5</v>
      </c>
      <c r="I583">
        <f>'raw data Crude oil'!I584</f>
        <v>67.260000000000005</v>
      </c>
      <c r="J583">
        <f>'raw data Crude oil'!J584</f>
        <v>67.03</v>
      </c>
      <c r="K583">
        <f>'raw data Crude oil'!K584</f>
        <v>66.83</v>
      </c>
      <c r="L583">
        <f>'raw data Crude oil'!L584</f>
        <v>66.63</v>
      </c>
      <c r="M583">
        <f>'raw data Crude oil'!M584</f>
        <v>66.42</v>
      </c>
      <c r="N583">
        <f>'raw data Crude oil'!N584</f>
        <v>62.46</v>
      </c>
      <c r="O583">
        <f>'raw data Crude oil'!O584</f>
        <v>62.52</v>
      </c>
      <c r="P583">
        <f>'raw data Crude oil'!P584</f>
        <v>62.55</v>
      </c>
      <c r="Q583">
        <f>'raw data Crude oil'!Q584</f>
        <v>62.55</v>
      </c>
      <c r="R583">
        <f>'raw data Crude oil'!R584</f>
        <v>62.48</v>
      </c>
      <c r="S583">
        <f>'raw data Crude oil'!S584</f>
        <v>62.31</v>
      </c>
      <c r="T583">
        <f>'raw data Crude oil'!T584</f>
        <v>62.08</v>
      </c>
      <c r="U583">
        <f>'raw data Crude oil'!U584</f>
        <v>61.8</v>
      </c>
      <c r="V583">
        <f>'raw data Crude oil'!V584</f>
        <v>61.49</v>
      </c>
      <c r="W583">
        <f>'raw data Crude oil'!W584</f>
        <v>61.16</v>
      </c>
      <c r="X583">
        <f>'raw data Crude oil'!X584</f>
        <v>60.83</v>
      </c>
      <c r="Y583">
        <f>'raw data Crude oil'!Y584</f>
        <v>60.52</v>
      </c>
      <c r="Z583">
        <f>'raw data Crude oil'!Z584</f>
        <v>0</v>
      </c>
      <c r="AA583">
        <f>'raw data Crude oil'!AA584</f>
        <v>0</v>
      </c>
      <c r="AB583">
        <f>'raw data Crude oil'!AB584</f>
        <v>0</v>
      </c>
      <c r="AC583">
        <f>'raw data Crude oil'!AC584</f>
        <v>0</v>
      </c>
      <c r="AD583">
        <f>'raw data Crude oil'!AD584</f>
        <v>0</v>
      </c>
      <c r="AE583">
        <f>'raw data Crude oil'!AE584</f>
        <v>0</v>
      </c>
      <c r="AF583">
        <f>'raw data Crude oil'!AF584</f>
        <v>0</v>
      </c>
      <c r="AG583">
        <f>'raw data Crude oil'!AG584</f>
        <v>0</v>
      </c>
      <c r="AH583">
        <f>'raw data Crude oil'!AH584</f>
        <v>0</v>
      </c>
      <c r="AI583">
        <f>'raw data Crude oil'!AI584</f>
        <v>0</v>
      </c>
      <c r="AJ583">
        <f>'raw data Crude oil'!AJ584</f>
        <v>0</v>
      </c>
      <c r="AK583">
        <f>'raw data Crude oil'!AK584</f>
        <v>0</v>
      </c>
    </row>
    <row r="584" spans="1:37" x14ac:dyDescent="0.3">
      <c r="A584" s="18">
        <f>'raw data Crude oil'!A585</f>
        <v>43559</v>
      </c>
      <c r="B584">
        <f>'raw data Crude oil'!B585</f>
        <v>69.400000000000006</v>
      </c>
      <c r="C584">
        <f>'raw data Crude oil'!C585</f>
        <v>69.02</v>
      </c>
      <c r="D584">
        <f>'raw data Crude oil'!D585</f>
        <v>68.69</v>
      </c>
      <c r="E584">
        <f>'raw data Crude oil'!E585</f>
        <v>68.37</v>
      </c>
      <c r="F584">
        <f>'raw data Crude oil'!F585</f>
        <v>68.069999999999993</v>
      </c>
      <c r="G584">
        <f>'raw data Crude oil'!G585</f>
        <v>67.81</v>
      </c>
      <c r="H584">
        <f>'raw data Crude oil'!H585</f>
        <v>67.540000000000006</v>
      </c>
      <c r="I584">
        <f>'raw data Crude oil'!I585</f>
        <v>67.28</v>
      </c>
      <c r="J584">
        <f>'raw data Crude oil'!J585</f>
        <v>67.05</v>
      </c>
      <c r="K584">
        <f>'raw data Crude oil'!K585</f>
        <v>66.83</v>
      </c>
      <c r="L584">
        <f>'raw data Crude oil'!L585</f>
        <v>66.61</v>
      </c>
      <c r="M584">
        <f>'raw data Crude oil'!M585</f>
        <v>66.39</v>
      </c>
      <c r="N584">
        <f>'raw data Crude oil'!N585</f>
        <v>62.1</v>
      </c>
      <c r="O584">
        <f>'raw data Crude oil'!O585</f>
        <v>62.19</v>
      </c>
      <c r="P584">
        <f>'raw data Crude oil'!P585</f>
        <v>62.26</v>
      </c>
      <c r="Q584">
        <f>'raw data Crude oil'!Q585</f>
        <v>62.29</v>
      </c>
      <c r="R584">
        <f>'raw data Crude oil'!R585</f>
        <v>62.26</v>
      </c>
      <c r="S584">
        <f>'raw data Crude oil'!S585</f>
        <v>62.14</v>
      </c>
      <c r="T584">
        <f>'raw data Crude oil'!T585</f>
        <v>61.96</v>
      </c>
      <c r="U584">
        <f>'raw data Crude oil'!U585</f>
        <v>61.72</v>
      </c>
      <c r="V584">
        <f>'raw data Crude oil'!V585</f>
        <v>61.44</v>
      </c>
      <c r="W584">
        <f>'raw data Crude oil'!W585</f>
        <v>61.13</v>
      </c>
      <c r="X584">
        <f>'raw data Crude oil'!X585</f>
        <v>60.81</v>
      </c>
      <c r="Y584">
        <f>'raw data Crude oil'!Y585</f>
        <v>60.49</v>
      </c>
      <c r="Z584">
        <f>'raw data Crude oil'!Z585</f>
        <v>0</v>
      </c>
      <c r="AA584">
        <f>'raw data Crude oil'!AA585</f>
        <v>0</v>
      </c>
      <c r="AB584">
        <f>'raw data Crude oil'!AB585</f>
        <v>0</v>
      </c>
      <c r="AC584">
        <f>'raw data Crude oil'!AC585</f>
        <v>0</v>
      </c>
      <c r="AD584">
        <f>'raw data Crude oil'!AD585</f>
        <v>0</v>
      </c>
      <c r="AE584">
        <f>'raw data Crude oil'!AE585</f>
        <v>0</v>
      </c>
      <c r="AF584">
        <f>'raw data Crude oil'!AF585</f>
        <v>0</v>
      </c>
      <c r="AG584">
        <f>'raw data Crude oil'!AG585</f>
        <v>0</v>
      </c>
      <c r="AH584">
        <f>'raw data Crude oil'!AH585</f>
        <v>0</v>
      </c>
      <c r="AI584">
        <f>'raw data Crude oil'!AI585</f>
        <v>0</v>
      </c>
      <c r="AJ584">
        <f>'raw data Crude oil'!AJ585</f>
        <v>0</v>
      </c>
      <c r="AK584">
        <f>'raw data Crude oil'!AK585</f>
        <v>0</v>
      </c>
    </row>
    <row r="585" spans="1:37" x14ac:dyDescent="0.3">
      <c r="A585" s="18">
        <f>'raw data Crude oil'!A586</f>
        <v>43560</v>
      </c>
      <c r="B585">
        <f>'raw data Crude oil'!B586</f>
        <v>70.34</v>
      </c>
      <c r="C585">
        <f>'raw data Crude oil'!C586</f>
        <v>69.930000000000007</v>
      </c>
      <c r="D585">
        <f>'raw data Crude oil'!D586</f>
        <v>69.569999999999993</v>
      </c>
      <c r="E585">
        <f>'raw data Crude oil'!E586</f>
        <v>69.209999999999994</v>
      </c>
      <c r="F585">
        <f>'raw data Crude oil'!F586</f>
        <v>68.87</v>
      </c>
      <c r="G585">
        <f>'raw data Crude oil'!G586</f>
        <v>68.58</v>
      </c>
      <c r="H585">
        <f>'raw data Crude oil'!H586</f>
        <v>68.28</v>
      </c>
      <c r="I585">
        <f>'raw data Crude oil'!I586</f>
        <v>67.989999999999995</v>
      </c>
      <c r="J585">
        <f>'raw data Crude oil'!J586</f>
        <v>67.72</v>
      </c>
      <c r="K585">
        <f>'raw data Crude oil'!K586</f>
        <v>67.47</v>
      </c>
      <c r="L585">
        <f>'raw data Crude oil'!L586</f>
        <v>67.22</v>
      </c>
      <c r="M585">
        <f>'raw data Crude oil'!M586</f>
        <v>66.959999999999994</v>
      </c>
      <c r="N585">
        <f>'raw data Crude oil'!N586</f>
        <v>63.08</v>
      </c>
      <c r="O585">
        <f>'raw data Crude oil'!O586</f>
        <v>63.15</v>
      </c>
      <c r="P585">
        <f>'raw data Crude oil'!P586</f>
        <v>63.18</v>
      </c>
      <c r="Q585">
        <f>'raw data Crude oil'!Q586</f>
        <v>63.17</v>
      </c>
      <c r="R585">
        <f>'raw data Crude oil'!R586</f>
        <v>63.07</v>
      </c>
      <c r="S585">
        <f>'raw data Crude oil'!S586</f>
        <v>62.88</v>
      </c>
      <c r="T585">
        <f>'raw data Crude oil'!T586</f>
        <v>62.64</v>
      </c>
      <c r="U585">
        <f>'raw data Crude oil'!U586</f>
        <v>62.36</v>
      </c>
      <c r="V585">
        <f>'raw data Crude oil'!V586</f>
        <v>62.04</v>
      </c>
      <c r="W585">
        <f>'raw data Crude oil'!W586</f>
        <v>61.67</v>
      </c>
      <c r="X585">
        <f>'raw data Crude oil'!X586</f>
        <v>61.31</v>
      </c>
      <c r="Y585">
        <f>'raw data Crude oil'!Y586</f>
        <v>60.95</v>
      </c>
      <c r="Z585">
        <f>'raw data Crude oil'!Z586</f>
        <v>0</v>
      </c>
      <c r="AA585">
        <f>'raw data Crude oil'!AA586</f>
        <v>0</v>
      </c>
      <c r="AB585">
        <f>'raw data Crude oil'!AB586</f>
        <v>0</v>
      </c>
      <c r="AC585">
        <f>'raw data Crude oil'!AC586</f>
        <v>0</v>
      </c>
      <c r="AD585">
        <f>'raw data Crude oil'!AD586</f>
        <v>0</v>
      </c>
      <c r="AE585">
        <f>'raw data Crude oil'!AE586</f>
        <v>0</v>
      </c>
      <c r="AF585">
        <f>'raw data Crude oil'!AF586</f>
        <v>0</v>
      </c>
      <c r="AG585">
        <f>'raw data Crude oil'!AG586</f>
        <v>0</v>
      </c>
      <c r="AH585">
        <f>'raw data Crude oil'!AH586</f>
        <v>0</v>
      </c>
      <c r="AI585">
        <f>'raw data Crude oil'!AI586</f>
        <v>0</v>
      </c>
      <c r="AJ585">
        <f>'raw data Crude oil'!AJ586</f>
        <v>0</v>
      </c>
      <c r="AK585">
        <f>'raw data Crude oil'!AK586</f>
        <v>0</v>
      </c>
    </row>
    <row r="586" spans="1:37" x14ac:dyDescent="0.3">
      <c r="A586" s="18">
        <f>'raw data Crude oil'!A587</f>
        <v>43563</v>
      </c>
      <c r="B586">
        <f>'raw data Crude oil'!B587</f>
        <v>71.099999999999994</v>
      </c>
      <c r="C586">
        <f>'raw data Crude oil'!C587</f>
        <v>70.61</v>
      </c>
      <c r="D586">
        <f>'raw data Crude oil'!D587</f>
        <v>70.209999999999994</v>
      </c>
      <c r="E586">
        <f>'raw data Crude oil'!E587</f>
        <v>69.83</v>
      </c>
      <c r="F586">
        <f>'raw data Crude oil'!F587</f>
        <v>69.459999999999994</v>
      </c>
      <c r="G586">
        <f>'raw data Crude oil'!G587</f>
        <v>69.14</v>
      </c>
      <c r="H586">
        <f>'raw data Crude oil'!H587</f>
        <v>68.83</v>
      </c>
      <c r="I586">
        <f>'raw data Crude oil'!I587</f>
        <v>68.52</v>
      </c>
      <c r="J586">
        <f>'raw data Crude oil'!J587</f>
        <v>68.23</v>
      </c>
      <c r="K586">
        <f>'raw data Crude oil'!K587</f>
        <v>67.94</v>
      </c>
      <c r="L586">
        <f>'raw data Crude oil'!L587</f>
        <v>67.66</v>
      </c>
      <c r="M586">
        <f>'raw data Crude oil'!M587</f>
        <v>67.37</v>
      </c>
      <c r="N586">
        <f>'raw data Crude oil'!N587</f>
        <v>64.400000000000006</v>
      </c>
      <c r="O586">
        <f>'raw data Crude oil'!O587</f>
        <v>64.33</v>
      </c>
      <c r="P586">
        <f>'raw data Crude oil'!P587</f>
        <v>64.22</v>
      </c>
      <c r="Q586">
        <f>'raw data Crude oil'!Q587</f>
        <v>64.06</v>
      </c>
      <c r="R586">
        <f>'raw data Crude oil'!R587</f>
        <v>63.85</v>
      </c>
      <c r="S586">
        <f>'raw data Crude oil'!S587</f>
        <v>63.57</v>
      </c>
      <c r="T586">
        <f>'raw data Crude oil'!T587</f>
        <v>63.24</v>
      </c>
      <c r="U586">
        <f>'raw data Crude oil'!U587</f>
        <v>62.88</v>
      </c>
      <c r="V586">
        <f>'raw data Crude oil'!V587</f>
        <v>62.49</v>
      </c>
      <c r="W586">
        <f>'raw data Crude oil'!W587</f>
        <v>62.09</v>
      </c>
      <c r="X586">
        <f>'raw data Crude oil'!X587</f>
        <v>61.69</v>
      </c>
      <c r="Y586">
        <f>'raw data Crude oil'!Y587</f>
        <v>61.29</v>
      </c>
      <c r="Z586">
        <f>'raw data Crude oil'!Z587</f>
        <v>0</v>
      </c>
      <c r="AA586">
        <f>'raw data Crude oil'!AA587</f>
        <v>0</v>
      </c>
      <c r="AB586">
        <f>'raw data Crude oil'!AB587</f>
        <v>0</v>
      </c>
      <c r="AC586">
        <f>'raw data Crude oil'!AC587</f>
        <v>0</v>
      </c>
      <c r="AD586">
        <f>'raw data Crude oil'!AD587</f>
        <v>0</v>
      </c>
      <c r="AE586">
        <f>'raw data Crude oil'!AE587</f>
        <v>0</v>
      </c>
      <c r="AF586">
        <f>'raw data Crude oil'!AF587</f>
        <v>0</v>
      </c>
      <c r="AG586">
        <f>'raw data Crude oil'!AG587</f>
        <v>0</v>
      </c>
      <c r="AH586">
        <f>'raw data Crude oil'!AH587</f>
        <v>0</v>
      </c>
      <c r="AI586">
        <f>'raw data Crude oil'!AI587</f>
        <v>0</v>
      </c>
      <c r="AJ586">
        <f>'raw data Crude oil'!AJ587</f>
        <v>0</v>
      </c>
      <c r="AK586">
        <f>'raw data Crude oil'!AK587</f>
        <v>0</v>
      </c>
    </row>
    <row r="587" spans="1:37" x14ac:dyDescent="0.3">
      <c r="A587" s="18">
        <f>'raw data Crude oil'!A588</f>
        <v>43564</v>
      </c>
      <c r="B587">
        <f>'raw data Crude oil'!B588</f>
        <v>70.61</v>
      </c>
      <c r="C587">
        <f>'raw data Crude oil'!C588</f>
        <v>70.16</v>
      </c>
      <c r="D587">
        <f>'raw data Crude oil'!D588</f>
        <v>69.78</v>
      </c>
      <c r="E587">
        <f>'raw data Crude oil'!E588</f>
        <v>69.41</v>
      </c>
      <c r="F587">
        <f>'raw data Crude oil'!F588</f>
        <v>69.06</v>
      </c>
      <c r="G587">
        <f>'raw data Crude oil'!G588</f>
        <v>68.77</v>
      </c>
      <c r="H587">
        <f>'raw data Crude oil'!H588</f>
        <v>68.47</v>
      </c>
      <c r="I587">
        <f>'raw data Crude oil'!I588</f>
        <v>68.17</v>
      </c>
      <c r="J587">
        <f>'raw data Crude oil'!J588</f>
        <v>67.900000000000006</v>
      </c>
      <c r="K587">
        <f>'raw data Crude oil'!K588</f>
        <v>67.64</v>
      </c>
      <c r="L587">
        <f>'raw data Crude oil'!L588</f>
        <v>67.37</v>
      </c>
      <c r="M587">
        <f>'raw data Crude oil'!M588</f>
        <v>67.099999999999994</v>
      </c>
      <c r="N587">
        <f>'raw data Crude oil'!N588</f>
        <v>63.98</v>
      </c>
      <c r="O587">
        <f>'raw data Crude oil'!O588</f>
        <v>63.96</v>
      </c>
      <c r="P587">
        <f>'raw data Crude oil'!P588</f>
        <v>63.91</v>
      </c>
      <c r="Q587">
        <f>'raw data Crude oil'!Q588</f>
        <v>63.77</v>
      </c>
      <c r="R587">
        <f>'raw data Crude oil'!R588</f>
        <v>63.56</v>
      </c>
      <c r="S587">
        <f>'raw data Crude oil'!S588</f>
        <v>63.28</v>
      </c>
      <c r="T587">
        <f>'raw data Crude oil'!T588</f>
        <v>62.96</v>
      </c>
      <c r="U587">
        <f>'raw data Crude oil'!U588</f>
        <v>62.62</v>
      </c>
      <c r="V587">
        <f>'raw data Crude oil'!V588</f>
        <v>62.26</v>
      </c>
      <c r="W587">
        <f>'raw data Crude oil'!W588</f>
        <v>61.89</v>
      </c>
      <c r="X587">
        <f>'raw data Crude oil'!X588</f>
        <v>61.5</v>
      </c>
      <c r="Y587">
        <f>'raw data Crude oil'!Y588</f>
        <v>61.13</v>
      </c>
      <c r="Z587">
        <f>'raw data Crude oil'!Z588</f>
        <v>0</v>
      </c>
      <c r="AA587">
        <f>'raw data Crude oil'!AA588</f>
        <v>0</v>
      </c>
      <c r="AB587">
        <f>'raw data Crude oil'!AB588</f>
        <v>0</v>
      </c>
      <c r="AC587">
        <f>'raw data Crude oil'!AC588</f>
        <v>0</v>
      </c>
      <c r="AD587">
        <f>'raw data Crude oil'!AD588</f>
        <v>0</v>
      </c>
      <c r="AE587">
        <f>'raw data Crude oil'!AE588</f>
        <v>0</v>
      </c>
      <c r="AF587">
        <f>'raw data Crude oil'!AF588</f>
        <v>0</v>
      </c>
      <c r="AG587">
        <f>'raw data Crude oil'!AG588</f>
        <v>0</v>
      </c>
      <c r="AH587">
        <f>'raw data Crude oil'!AH588</f>
        <v>0</v>
      </c>
      <c r="AI587">
        <f>'raw data Crude oil'!AI588</f>
        <v>0</v>
      </c>
      <c r="AJ587">
        <f>'raw data Crude oil'!AJ588</f>
        <v>0</v>
      </c>
      <c r="AK587">
        <f>'raw data Crude oil'!AK588</f>
        <v>0</v>
      </c>
    </row>
    <row r="588" spans="1:37" x14ac:dyDescent="0.3">
      <c r="A588" s="18">
        <f>'raw data Crude oil'!A589</f>
        <v>43565</v>
      </c>
      <c r="B588">
        <f>'raw data Crude oil'!B589</f>
        <v>71.73</v>
      </c>
      <c r="C588">
        <f>'raw data Crude oil'!C589</f>
        <v>71.3</v>
      </c>
      <c r="D588">
        <f>'raw data Crude oil'!D589</f>
        <v>70.92</v>
      </c>
      <c r="E588">
        <f>'raw data Crude oil'!E589</f>
        <v>70.540000000000006</v>
      </c>
      <c r="F588">
        <f>'raw data Crude oil'!F589</f>
        <v>70.17</v>
      </c>
      <c r="G588">
        <f>'raw data Crude oil'!G589</f>
        <v>69.86</v>
      </c>
      <c r="H588">
        <f>'raw data Crude oil'!H589</f>
        <v>69.540000000000006</v>
      </c>
      <c r="I588">
        <f>'raw data Crude oil'!I589</f>
        <v>69.209999999999994</v>
      </c>
      <c r="J588">
        <f>'raw data Crude oil'!J589</f>
        <v>68.91</v>
      </c>
      <c r="K588">
        <f>'raw data Crude oil'!K589</f>
        <v>68.63</v>
      </c>
      <c r="L588">
        <f>'raw data Crude oil'!L589</f>
        <v>68.34</v>
      </c>
      <c r="M588">
        <f>'raw data Crude oil'!M589</f>
        <v>68.05</v>
      </c>
      <c r="N588">
        <f>'raw data Crude oil'!N589</f>
        <v>64.61</v>
      </c>
      <c r="O588">
        <f>'raw data Crude oil'!O589</f>
        <v>64.650000000000006</v>
      </c>
      <c r="P588">
        <f>'raw data Crude oil'!P589</f>
        <v>64.67</v>
      </c>
      <c r="Q588">
        <f>'raw data Crude oil'!Q589</f>
        <v>64.569999999999993</v>
      </c>
      <c r="R588">
        <f>'raw data Crude oil'!R589</f>
        <v>64.38</v>
      </c>
      <c r="S588">
        <f>'raw data Crude oil'!S589</f>
        <v>64.11</v>
      </c>
      <c r="T588">
        <f>'raw data Crude oil'!T589</f>
        <v>63.8</v>
      </c>
      <c r="U588">
        <f>'raw data Crude oil'!U589</f>
        <v>63.46</v>
      </c>
      <c r="V588">
        <f>'raw data Crude oil'!V589</f>
        <v>63.09</v>
      </c>
      <c r="W588">
        <f>'raw data Crude oil'!W589</f>
        <v>62.69</v>
      </c>
      <c r="X588">
        <f>'raw data Crude oil'!X589</f>
        <v>62.29</v>
      </c>
      <c r="Y588">
        <f>'raw data Crude oil'!Y589</f>
        <v>61.89</v>
      </c>
      <c r="Z588">
        <f>'raw data Crude oil'!Z589</f>
        <v>0</v>
      </c>
      <c r="AA588">
        <f>'raw data Crude oil'!AA589</f>
        <v>0</v>
      </c>
      <c r="AB588">
        <f>'raw data Crude oil'!AB589</f>
        <v>0</v>
      </c>
      <c r="AC588">
        <f>'raw data Crude oil'!AC589</f>
        <v>0</v>
      </c>
      <c r="AD588">
        <f>'raw data Crude oil'!AD589</f>
        <v>0</v>
      </c>
      <c r="AE588">
        <f>'raw data Crude oil'!AE589</f>
        <v>0</v>
      </c>
      <c r="AF588">
        <f>'raw data Crude oil'!AF589</f>
        <v>0</v>
      </c>
      <c r="AG588">
        <f>'raw data Crude oil'!AG589</f>
        <v>0</v>
      </c>
      <c r="AH588">
        <f>'raw data Crude oil'!AH589</f>
        <v>0</v>
      </c>
      <c r="AI588">
        <f>'raw data Crude oil'!AI589</f>
        <v>0</v>
      </c>
      <c r="AJ588">
        <f>'raw data Crude oil'!AJ589</f>
        <v>0</v>
      </c>
      <c r="AK588">
        <f>'raw data Crude oil'!AK589</f>
        <v>0</v>
      </c>
    </row>
    <row r="589" spans="1:37" x14ac:dyDescent="0.3">
      <c r="A589" s="18">
        <f>'raw data Crude oil'!A590</f>
        <v>43566</v>
      </c>
      <c r="B589">
        <f>'raw data Crude oil'!B590</f>
        <v>70.83</v>
      </c>
      <c r="C589">
        <f>'raw data Crude oil'!C590</f>
        <v>70.400000000000006</v>
      </c>
      <c r="D589">
        <f>'raw data Crude oil'!D590</f>
        <v>70.03</v>
      </c>
      <c r="E589">
        <f>'raw data Crude oil'!E590</f>
        <v>69.69</v>
      </c>
      <c r="F589">
        <f>'raw data Crude oil'!F590</f>
        <v>69.37</v>
      </c>
      <c r="G589">
        <f>'raw data Crude oil'!G590</f>
        <v>69.099999999999994</v>
      </c>
      <c r="H589">
        <f>'raw data Crude oil'!H590</f>
        <v>68.81</v>
      </c>
      <c r="I589">
        <f>'raw data Crude oil'!I590</f>
        <v>68.52</v>
      </c>
      <c r="J589">
        <f>'raw data Crude oil'!J590</f>
        <v>68.25</v>
      </c>
      <c r="K589">
        <f>'raw data Crude oil'!K590</f>
        <v>68</v>
      </c>
      <c r="L589">
        <f>'raw data Crude oil'!L590</f>
        <v>67.739999999999995</v>
      </c>
      <c r="M589">
        <f>'raw data Crude oil'!M590</f>
        <v>67.47</v>
      </c>
      <c r="N589">
        <f>'raw data Crude oil'!N590</f>
        <v>63.58</v>
      </c>
      <c r="O589">
        <f>'raw data Crude oil'!O590</f>
        <v>63.67</v>
      </c>
      <c r="P589">
        <f>'raw data Crude oil'!P590</f>
        <v>63.73</v>
      </c>
      <c r="Q589">
        <f>'raw data Crude oil'!Q590</f>
        <v>63.69</v>
      </c>
      <c r="R589">
        <f>'raw data Crude oil'!R590</f>
        <v>63.58</v>
      </c>
      <c r="S589">
        <f>'raw data Crude oil'!S590</f>
        <v>63.38</v>
      </c>
      <c r="T589">
        <f>'raw data Crude oil'!T590</f>
        <v>63.13</v>
      </c>
      <c r="U589">
        <f>'raw data Crude oil'!U590</f>
        <v>62.84</v>
      </c>
      <c r="V589">
        <f>'raw data Crude oil'!V590</f>
        <v>62.51</v>
      </c>
      <c r="W589">
        <f>'raw data Crude oil'!W590</f>
        <v>62.17</v>
      </c>
      <c r="X589">
        <f>'raw data Crude oil'!X590</f>
        <v>61.8</v>
      </c>
      <c r="Y589">
        <f>'raw data Crude oil'!Y590</f>
        <v>61.44</v>
      </c>
      <c r="Z589">
        <f>'raw data Crude oil'!Z590</f>
        <v>0</v>
      </c>
      <c r="AA589">
        <f>'raw data Crude oil'!AA590</f>
        <v>0</v>
      </c>
      <c r="AB589">
        <f>'raw data Crude oil'!AB590</f>
        <v>0</v>
      </c>
      <c r="AC589">
        <f>'raw data Crude oil'!AC590</f>
        <v>0</v>
      </c>
      <c r="AD589">
        <f>'raw data Crude oil'!AD590</f>
        <v>0</v>
      </c>
      <c r="AE589">
        <f>'raw data Crude oil'!AE590</f>
        <v>0</v>
      </c>
      <c r="AF589">
        <f>'raw data Crude oil'!AF590</f>
        <v>0</v>
      </c>
      <c r="AG589">
        <f>'raw data Crude oil'!AG590</f>
        <v>0</v>
      </c>
      <c r="AH589">
        <f>'raw data Crude oil'!AH590</f>
        <v>0</v>
      </c>
      <c r="AI589">
        <f>'raw data Crude oil'!AI590</f>
        <v>0</v>
      </c>
      <c r="AJ589">
        <f>'raw data Crude oil'!AJ590</f>
        <v>0</v>
      </c>
      <c r="AK589">
        <f>'raw data Crude oil'!AK590</f>
        <v>0</v>
      </c>
    </row>
    <row r="590" spans="1:37" x14ac:dyDescent="0.3">
      <c r="A590" s="18">
        <f>'raw data Crude oil'!A591</f>
        <v>43567</v>
      </c>
      <c r="B590">
        <f>'raw data Crude oil'!B591</f>
        <v>71.55</v>
      </c>
      <c r="C590">
        <f>'raw data Crude oil'!C591</f>
        <v>71.06</v>
      </c>
      <c r="D590">
        <f>'raw data Crude oil'!D591</f>
        <v>70.650000000000006</v>
      </c>
      <c r="E590">
        <f>'raw data Crude oil'!E591</f>
        <v>70.28</v>
      </c>
      <c r="F590">
        <f>'raw data Crude oil'!F591</f>
        <v>69.94</v>
      </c>
      <c r="G590">
        <f>'raw data Crude oil'!G591</f>
        <v>69.66</v>
      </c>
      <c r="H590">
        <f>'raw data Crude oil'!H591</f>
        <v>69.36</v>
      </c>
      <c r="I590">
        <f>'raw data Crude oil'!I591</f>
        <v>69.06</v>
      </c>
      <c r="J590">
        <f>'raw data Crude oil'!J591</f>
        <v>68.77</v>
      </c>
      <c r="K590">
        <f>'raw data Crude oil'!K591</f>
        <v>68.5</v>
      </c>
      <c r="L590">
        <f>'raw data Crude oil'!L591</f>
        <v>68.22</v>
      </c>
      <c r="M590">
        <f>'raw data Crude oil'!M591</f>
        <v>67.95</v>
      </c>
      <c r="N590">
        <f>'raw data Crude oil'!N591</f>
        <v>63.89</v>
      </c>
      <c r="O590">
        <f>'raw data Crude oil'!O591</f>
        <v>64.02</v>
      </c>
      <c r="P590">
        <f>'raw data Crude oil'!P591</f>
        <v>64.099999999999994</v>
      </c>
      <c r="Q590">
        <f>'raw data Crude oil'!Q591</f>
        <v>64.08</v>
      </c>
      <c r="R590">
        <f>'raw data Crude oil'!R591</f>
        <v>63.96</v>
      </c>
      <c r="S590">
        <f>'raw data Crude oil'!S591</f>
        <v>63.76</v>
      </c>
      <c r="T590">
        <f>'raw data Crude oil'!T591</f>
        <v>63.51</v>
      </c>
      <c r="U590">
        <f>'raw data Crude oil'!U591</f>
        <v>63.21</v>
      </c>
      <c r="V590">
        <f>'raw data Crude oil'!V591</f>
        <v>62.87</v>
      </c>
      <c r="W590">
        <f>'raw data Crude oil'!W591</f>
        <v>62.51</v>
      </c>
      <c r="X590">
        <f>'raw data Crude oil'!X591</f>
        <v>62.15</v>
      </c>
      <c r="Y590">
        <f>'raw data Crude oil'!Y591</f>
        <v>61.78</v>
      </c>
      <c r="Z590">
        <f>'raw data Crude oil'!Z591</f>
        <v>69.989000000000004</v>
      </c>
      <c r="AA590">
        <f>'raw data Crude oil'!AA591</f>
        <v>69.802000000000007</v>
      </c>
      <c r="AB590">
        <f>'raw data Crude oil'!AB591</f>
        <v>69.242000000000004</v>
      </c>
      <c r="AC590">
        <f>'raw data Crude oil'!AC591</f>
        <v>68.665000000000006</v>
      </c>
      <c r="AD590">
        <f>'raw data Crude oil'!AD591</f>
        <v>68.247</v>
      </c>
      <c r="AE590">
        <f>'raw data Crude oil'!AE591</f>
        <v>67.855999999999995</v>
      </c>
      <c r="AF590">
        <f>'raw data Crude oil'!AF591</f>
        <v>67.447000000000003</v>
      </c>
      <c r="AG590">
        <f>'raw data Crude oil'!AG591</f>
        <v>67.046000000000006</v>
      </c>
      <c r="AH590">
        <f>'raw data Crude oil'!AH591</f>
        <v>66.623999999999995</v>
      </c>
      <c r="AI590">
        <f>'raw data Crude oil'!AI591</f>
        <v>66.257000000000005</v>
      </c>
      <c r="AJ590">
        <f>'raw data Crude oil'!AJ591</f>
        <v>65.867000000000004</v>
      </c>
      <c r="AK590">
        <f>'raw data Crude oil'!AK591</f>
        <v>65.546999999999997</v>
      </c>
    </row>
    <row r="591" spans="1:37" x14ac:dyDescent="0.3">
      <c r="A591" s="18">
        <f>'raw data Crude oil'!A592</f>
        <v>43570</v>
      </c>
      <c r="B591">
        <f>'raw data Crude oil'!B592</f>
        <v>71.180000000000007</v>
      </c>
      <c r="C591">
        <f>'raw data Crude oil'!C592</f>
        <v>70.739999999999995</v>
      </c>
      <c r="D591">
        <f>'raw data Crude oil'!D592</f>
        <v>70.36</v>
      </c>
      <c r="E591">
        <f>'raw data Crude oil'!E592</f>
        <v>70.03</v>
      </c>
      <c r="F591">
        <f>'raw data Crude oil'!F592</f>
        <v>69.739999999999995</v>
      </c>
      <c r="G591">
        <f>'raw data Crude oil'!G592</f>
        <v>69.489999999999995</v>
      </c>
      <c r="H591">
        <f>'raw data Crude oil'!H592</f>
        <v>69.22</v>
      </c>
      <c r="I591">
        <f>'raw data Crude oil'!I592</f>
        <v>68.95</v>
      </c>
      <c r="J591">
        <f>'raw data Crude oil'!J592</f>
        <v>68.69</v>
      </c>
      <c r="K591">
        <f>'raw data Crude oil'!K592</f>
        <v>68.44</v>
      </c>
      <c r="L591">
        <f>'raw data Crude oil'!L592</f>
        <v>68.19</v>
      </c>
      <c r="M591">
        <f>'raw data Crude oil'!M592</f>
        <v>67.930000000000007</v>
      </c>
      <c r="N591">
        <f>'raw data Crude oil'!N592</f>
        <v>63.4</v>
      </c>
      <c r="O591">
        <f>'raw data Crude oil'!O592</f>
        <v>63.56</v>
      </c>
      <c r="P591">
        <f>'raw data Crude oil'!P592</f>
        <v>63.67</v>
      </c>
      <c r="Q591">
        <f>'raw data Crude oil'!Q592</f>
        <v>63.7</v>
      </c>
      <c r="R591">
        <f>'raw data Crude oil'!R592</f>
        <v>63.65</v>
      </c>
      <c r="S591">
        <f>'raw data Crude oil'!S592</f>
        <v>63.51</v>
      </c>
      <c r="T591">
        <f>'raw data Crude oil'!T592</f>
        <v>63.32</v>
      </c>
      <c r="U591">
        <f>'raw data Crude oil'!U592</f>
        <v>63.06</v>
      </c>
      <c r="V591">
        <f>'raw data Crude oil'!V592</f>
        <v>62.76</v>
      </c>
      <c r="W591">
        <f>'raw data Crude oil'!W592</f>
        <v>62.42</v>
      </c>
      <c r="X591">
        <f>'raw data Crude oil'!X592</f>
        <v>62.08</v>
      </c>
      <c r="Y591">
        <f>'raw data Crude oil'!Y592</f>
        <v>61.74</v>
      </c>
      <c r="Z591">
        <f>'raw data Crude oil'!Z592</f>
        <v>69.942999999999998</v>
      </c>
      <c r="AA591">
        <f>'raw data Crude oil'!AA592</f>
        <v>69.742999999999995</v>
      </c>
      <c r="AB591">
        <f>'raw data Crude oil'!AB592</f>
        <v>69.144000000000005</v>
      </c>
      <c r="AC591">
        <f>'raw data Crude oil'!AC592</f>
        <v>68.566999999999993</v>
      </c>
      <c r="AD591">
        <f>'raw data Crude oil'!AD592</f>
        <v>68.149000000000001</v>
      </c>
      <c r="AE591">
        <f>'raw data Crude oil'!AE592</f>
        <v>67.796999999999997</v>
      </c>
      <c r="AF591">
        <f>'raw data Crude oil'!AF592</f>
        <v>67.418000000000006</v>
      </c>
      <c r="AG591">
        <f>'raw data Crude oil'!AG592</f>
        <v>67.037999999999997</v>
      </c>
      <c r="AH591">
        <f>'raw data Crude oil'!AH592</f>
        <v>66.665999999999997</v>
      </c>
      <c r="AI591">
        <f>'raw data Crude oil'!AI592</f>
        <v>66.289000000000001</v>
      </c>
      <c r="AJ591">
        <f>'raw data Crude oil'!AJ592</f>
        <v>65.966999999999999</v>
      </c>
      <c r="AK591">
        <f>'raw data Crude oil'!AK592</f>
        <v>65.658000000000001</v>
      </c>
    </row>
    <row r="592" spans="1:37" x14ac:dyDescent="0.3">
      <c r="A592" s="18">
        <f>'raw data Crude oil'!A593</f>
        <v>43571</v>
      </c>
      <c r="B592">
        <f>'raw data Crude oil'!B593</f>
        <v>71.72</v>
      </c>
      <c r="C592">
        <f>'raw data Crude oil'!C593</f>
        <v>71.209999999999994</v>
      </c>
      <c r="D592">
        <f>'raw data Crude oil'!D593</f>
        <v>70.77</v>
      </c>
      <c r="E592">
        <f>'raw data Crude oil'!E593</f>
        <v>70.41</v>
      </c>
      <c r="F592">
        <f>'raw data Crude oil'!F593</f>
        <v>70.09</v>
      </c>
      <c r="G592">
        <f>'raw data Crude oil'!G593</f>
        <v>69.81</v>
      </c>
      <c r="H592">
        <f>'raw data Crude oil'!H593</f>
        <v>69.52</v>
      </c>
      <c r="I592">
        <f>'raw data Crude oil'!I593</f>
        <v>69.239999999999995</v>
      </c>
      <c r="J592">
        <f>'raw data Crude oil'!J593</f>
        <v>68.97</v>
      </c>
      <c r="K592">
        <f>'raw data Crude oil'!K593</f>
        <v>68.709999999999994</v>
      </c>
      <c r="L592">
        <f>'raw data Crude oil'!L593</f>
        <v>68.45</v>
      </c>
      <c r="M592">
        <f>'raw data Crude oil'!M593</f>
        <v>68.180000000000007</v>
      </c>
      <c r="N592">
        <f>'raw data Crude oil'!N593</f>
        <v>64.05</v>
      </c>
      <c r="O592">
        <f>'raw data Crude oil'!O593</f>
        <v>64.19</v>
      </c>
      <c r="P592">
        <f>'raw data Crude oil'!P593</f>
        <v>64.260000000000005</v>
      </c>
      <c r="Q592">
        <f>'raw data Crude oil'!Q593</f>
        <v>64.27</v>
      </c>
      <c r="R592">
        <f>'raw data Crude oil'!R593</f>
        <v>64.180000000000007</v>
      </c>
      <c r="S592">
        <f>'raw data Crude oil'!S593</f>
        <v>64</v>
      </c>
      <c r="T592">
        <f>'raw data Crude oil'!T593</f>
        <v>63.76</v>
      </c>
      <c r="U592">
        <f>'raw data Crude oil'!U593</f>
        <v>63.46</v>
      </c>
      <c r="V592">
        <f>'raw data Crude oil'!V593</f>
        <v>63.13</v>
      </c>
      <c r="W592">
        <f>'raw data Crude oil'!W593</f>
        <v>62.77</v>
      </c>
      <c r="X592">
        <f>'raw data Crude oil'!X593</f>
        <v>62.39</v>
      </c>
      <c r="Y592">
        <f>'raw data Crude oil'!Y593</f>
        <v>62.02</v>
      </c>
      <c r="Z592">
        <f>'raw data Crude oil'!Z593</f>
        <v>70.239000000000004</v>
      </c>
      <c r="AA592">
        <f>'raw data Crude oil'!AA593</f>
        <v>70.381</v>
      </c>
      <c r="AB592">
        <f>'raw data Crude oil'!AB593</f>
        <v>69.682000000000002</v>
      </c>
      <c r="AC592">
        <f>'raw data Crude oil'!AC593</f>
        <v>69.066000000000003</v>
      </c>
      <c r="AD592">
        <f>'raw data Crude oil'!AD593</f>
        <v>68.626999999999995</v>
      </c>
      <c r="AE592">
        <f>'raw data Crude oil'!AE593</f>
        <v>68.266000000000005</v>
      </c>
      <c r="AF592">
        <f>'raw data Crude oil'!AF593</f>
        <v>67.878</v>
      </c>
      <c r="AG592">
        <f>'raw data Crude oil'!AG593</f>
        <v>67.486999999999995</v>
      </c>
      <c r="AH592">
        <f>'raw data Crude oil'!AH593</f>
        <v>67.105000000000004</v>
      </c>
      <c r="AI592">
        <f>'raw data Crude oil'!AI593</f>
        <v>66.727999999999994</v>
      </c>
      <c r="AJ592">
        <f>'raw data Crude oil'!AJ593</f>
        <v>66.356999999999999</v>
      </c>
      <c r="AK592">
        <f>'raw data Crude oil'!AK593</f>
        <v>66.046999999999997</v>
      </c>
    </row>
    <row r="593" spans="1:37" x14ac:dyDescent="0.3">
      <c r="A593" s="18">
        <f>'raw data Crude oil'!A594</f>
        <v>43572</v>
      </c>
      <c r="B593">
        <f>'raw data Crude oil'!B594</f>
        <v>71.62</v>
      </c>
      <c r="C593">
        <f>'raw data Crude oil'!C594</f>
        <v>71.09</v>
      </c>
      <c r="D593">
        <f>'raw data Crude oil'!D594</f>
        <v>70.64</v>
      </c>
      <c r="E593">
        <f>'raw data Crude oil'!E594</f>
        <v>70.260000000000005</v>
      </c>
      <c r="F593">
        <f>'raw data Crude oil'!F594</f>
        <v>69.930000000000007</v>
      </c>
      <c r="G593">
        <f>'raw data Crude oil'!G594</f>
        <v>69.66</v>
      </c>
      <c r="H593">
        <f>'raw data Crude oil'!H594</f>
        <v>69.39</v>
      </c>
      <c r="I593">
        <f>'raw data Crude oil'!I594</f>
        <v>69.099999999999994</v>
      </c>
      <c r="J593">
        <f>'raw data Crude oil'!J594</f>
        <v>68.84</v>
      </c>
      <c r="K593">
        <f>'raw data Crude oil'!K594</f>
        <v>68.58</v>
      </c>
      <c r="L593">
        <f>'raw data Crude oil'!L594</f>
        <v>68.319999999999993</v>
      </c>
      <c r="M593">
        <f>'raw data Crude oil'!M594</f>
        <v>68.05</v>
      </c>
      <c r="N593">
        <f>'raw data Crude oil'!N594</f>
        <v>63.76</v>
      </c>
      <c r="O593">
        <f>'raw data Crude oil'!O594</f>
        <v>63.87</v>
      </c>
      <c r="P593">
        <f>'raw data Crude oil'!P594</f>
        <v>63.94</v>
      </c>
      <c r="Q593">
        <f>'raw data Crude oil'!Q594</f>
        <v>63.97</v>
      </c>
      <c r="R593">
        <f>'raw data Crude oil'!R594</f>
        <v>63.92</v>
      </c>
      <c r="S593">
        <f>'raw data Crude oil'!S594</f>
        <v>63.78</v>
      </c>
      <c r="T593">
        <f>'raw data Crude oil'!T594</f>
        <v>63.58</v>
      </c>
      <c r="U593">
        <f>'raw data Crude oil'!U594</f>
        <v>63.31</v>
      </c>
      <c r="V593">
        <f>'raw data Crude oil'!V594</f>
        <v>63.01</v>
      </c>
      <c r="W593">
        <f>'raw data Crude oil'!W594</f>
        <v>62.67</v>
      </c>
      <c r="X593">
        <f>'raw data Crude oil'!X594</f>
        <v>62.31</v>
      </c>
      <c r="Y593">
        <f>'raw data Crude oil'!Y594</f>
        <v>61.95</v>
      </c>
      <c r="Z593">
        <f>'raw data Crude oil'!Z594</f>
        <v>70.251999999999995</v>
      </c>
      <c r="AA593">
        <f>'raw data Crude oil'!AA594</f>
        <v>70.22</v>
      </c>
      <c r="AB593">
        <f>'raw data Crude oil'!AB594</f>
        <v>69.491</v>
      </c>
      <c r="AC593">
        <f>'raw data Crude oil'!AC594</f>
        <v>68.835999999999999</v>
      </c>
      <c r="AD593">
        <f>'raw data Crude oil'!AD594</f>
        <v>68.358000000000004</v>
      </c>
      <c r="AE593">
        <f>'raw data Crude oil'!AE594</f>
        <v>67.966999999999999</v>
      </c>
      <c r="AF593">
        <f>'raw data Crude oil'!AF594</f>
        <v>67.626999999999995</v>
      </c>
      <c r="AG593">
        <f>'raw data Crude oil'!AG594</f>
        <v>67.227999999999994</v>
      </c>
      <c r="AH593">
        <f>'raw data Crude oil'!AH594</f>
        <v>66.825000000000003</v>
      </c>
      <c r="AI593">
        <f>'raw data Crude oil'!AI594</f>
        <v>66.477999999999994</v>
      </c>
      <c r="AJ593">
        <f>'raw data Crude oil'!AJ594</f>
        <v>66.106999999999999</v>
      </c>
      <c r="AK593">
        <f>'raw data Crude oil'!AK594</f>
        <v>65.736999999999995</v>
      </c>
    </row>
    <row r="594" spans="1:37" x14ac:dyDescent="0.3">
      <c r="A594" s="18">
        <f>'raw data Crude oil'!A595</f>
        <v>43573</v>
      </c>
      <c r="B594">
        <f>'raw data Crude oil'!B595</f>
        <v>71.97</v>
      </c>
      <c r="C594">
        <f>'raw data Crude oil'!C595</f>
        <v>71.430000000000007</v>
      </c>
      <c r="D594">
        <f>'raw data Crude oil'!D595</f>
        <v>70.959999999999994</v>
      </c>
      <c r="E594">
        <f>'raw data Crude oil'!E595</f>
        <v>70.55</v>
      </c>
      <c r="F594">
        <f>'raw data Crude oil'!F595</f>
        <v>70.19</v>
      </c>
      <c r="G594">
        <f>'raw data Crude oil'!G595</f>
        <v>69.89</v>
      </c>
      <c r="H594">
        <f>'raw data Crude oil'!H595</f>
        <v>69.58</v>
      </c>
      <c r="I594">
        <f>'raw data Crude oil'!I595</f>
        <v>69.27</v>
      </c>
      <c r="J594">
        <f>'raw data Crude oil'!J595</f>
        <v>68.98</v>
      </c>
      <c r="K594">
        <f>'raw data Crude oil'!K595</f>
        <v>68.7</v>
      </c>
      <c r="L594">
        <f>'raw data Crude oil'!L595</f>
        <v>68.41</v>
      </c>
      <c r="M594">
        <f>'raw data Crude oil'!M595</f>
        <v>68.13</v>
      </c>
      <c r="N594">
        <f>'raw data Crude oil'!N595</f>
        <v>64</v>
      </c>
      <c r="O594">
        <f>'raw data Crude oil'!O595</f>
        <v>64.069999999999993</v>
      </c>
      <c r="P594">
        <f>'raw data Crude oil'!P595</f>
        <v>64.12</v>
      </c>
      <c r="Q594">
        <f>'raw data Crude oil'!Q595</f>
        <v>64.11</v>
      </c>
      <c r="R594">
        <f>'raw data Crude oil'!R595</f>
        <v>64.010000000000005</v>
      </c>
      <c r="S594">
        <f>'raw data Crude oil'!S595</f>
        <v>63.83</v>
      </c>
      <c r="T594">
        <f>'raw data Crude oil'!T595</f>
        <v>63.58</v>
      </c>
      <c r="U594">
        <f>'raw data Crude oil'!U595</f>
        <v>63.28</v>
      </c>
      <c r="V594">
        <f>'raw data Crude oil'!V595</f>
        <v>62.94</v>
      </c>
      <c r="W594">
        <f>'raw data Crude oil'!W595</f>
        <v>62.57</v>
      </c>
      <c r="X594">
        <f>'raw data Crude oil'!X595</f>
        <v>62.17</v>
      </c>
      <c r="Y594">
        <f>'raw data Crude oil'!Y595</f>
        <v>61.78</v>
      </c>
      <c r="Z594">
        <f>'raw data Crude oil'!Z595</f>
        <v>70.346000000000004</v>
      </c>
      <c r="AA594">
        <f>'raw data Crude oil'!AA595</f>
        <v>70.489999999999995</v>
      </c>
      <c r="AB594">
        <f>'raw data Crude oil'!AB595</f>
        <v>69.77</v>
      </c>
      <c r="AC594">
        <f>'raw data Crude oil'!AC595</f>
        <v>69.093999999999994</v>
      </c>
      <c r="AD594">
        <f>'raw data Crude oil'!AD595</f>
        <v>68.626000000000005</v>
      </c>
      <c r="AE594">
        <f>'raw data Crude oil'!AE595</f>
        <v>68.224999999999994</v>
      </c>
      <c r="AF594">
        <f>'raw data Crude oil'!AF595</f>
        <v>67.816999999999993</v>
      </c>
      <c r="AG594">
        <f>'raw data Crude oil'!AG595</f>
        <v>67.426000000000002</v>
      </c>
      <c r="AH594">
        <f>'raw data Crude oil'!AH595</f>
        <v>67.022999999999996</v>
      </c>
      <c r="AI594">
        <f>'raw data Crude oil'!AI595</f>
        <v>66.626999999999995</v>
      </c>
      <c r="AJ594">
        <f>'raw data Crude oil'!AJ595</f>
        <v>66.236000000000004</v>
      </c>
      <c r="AK594">
        <f>'raw data Crude oil'!AK595</f>
        <v>65.885999999999996</v>
      </c>
    </row>
    <row r="595" spans="1:37" x14ac:dyDescent="0.3">
      <c r="A595" s="18">
        <f>'raw data Crude oil'!A596</f>
        <v>43577</v>
      </c>
      <c r="B595">
        <f>'raw data Crude oil'!B596</f>
        <v>74.040000000000006</v>
      </c>
      <c r="C595">
        <f>'raw data Crude oil'!C596</f>
        <v>73.39</v>
      </c>
      <c r="D595">
        <f>'raw data Crude oil'!D596</f>
        <v>72.81</v>
      </c>
      <c r="E595">
        <f>'raw data Crude oil'!E596</f>
        <v>72.28</v>
      </c>
      <c r="F595">
        <f>'raw data Crude oil'!F596</f>
        <v>71.8</v>
      </c>
      <c r="G595">
        <f>'raw data Crude oil'!G596</f>
        <v>71.39</v>
      </c>
      <c r="H595">
        <f>'raw data Crude oil'!H596</f>
        <v>70.97</v>
      </c>
      <c r="I595">
        <f>'raw data Crude oil'!I596</f>
        <v>70.58</v>
      </c>
      <c r="J595">
        <f>'raw data Crude oil'!J596</f>
        <v>70.2</v>
      </c>
      <c r="K595">
        <f>'raw data Crude oil'!K596</f>
        <v>69.849999999999994</v>
      </c>
      <c r="L595">
        <f>'raw data Crude oil'!L596</f>
        <v>69.5</v>
      </c>
      <c r="M595">
        <f>'raw data Crude oil'!M596</f>
        <v>69.150000000000006</v>
      </c>
      <c r="N595">
        <f>'raw data Crude oil'!N596</f>
        <v>65.7</v>
      </c>
      <c r="O595">
        <f>'raw data Crude oil'!O596</f>
        <v>65.55</v>
      </c>
      <c r="P595">
        <f>'raw data Crude oil'!P596</f>
        <v>65.510000000000005</v>
      </c>
      <c r="Q595">
        <f>'raw data Crude oil'!Q596</f>
        <v>65.37</v>
      </c>
      <c r="R595">
        <f>'raw data Crude oil'!R596</f>
        <v>65.150000000000006</v>
      </c>
      <c r="S595">
        <f>'raw data Crude oil'!S596</f>
        <v>64.87</v>
      </c>
      <c r="T595">
        <f>'raw data Crude oil'!T596</f>
        <v>64.53</v>
      </c>
      <c r="U595">
        <f>'raw data Crude oil'!U596</f>
        <v>64.14</v>
      </c>
      <c r="V595">
        <f>'raw data Crude oil'!V596</f>
        <v>63.72</v>
      </c>
      <c r="W595">
        <f>'raw data Crude oil'!W596</f>
        <v>63.29</v>
      </c>
      <c r="X595">
        <f>'raw data Crude oil'!X596</f>
        <v>62.84</v>
      </c>
      <c r="Y595">
        <f>'raw data Crude oil'!Y596</f>
        <v>62.4</v>
      </c>
      <c r="Z595">
        <f>'raw data Crude oil'!Z596</f>
        <v>70.978999999999999</v>
      </c>
      <c r="AA595">
        <f>'raw data Crude oil'!AA596</f>
        <v>72.344999999999999</v>
      </c>
      <c r="AB595">
        <f>'raw data Crude oil'!AB596</f>
        <v>71.513999999999996</v>
      </c>
      <c r="AC595">
        <f>'raw data Crude oil'!AC596</f>
        <v>70.759</v>
      </c>
      <c r="AD595">
        <f>'raw data Crude oil'!AD596</f>
        <v>70.191000000000003</v>
      </c>
      <c r="AE595">
        <f>'raw data Crude oil'!AE596</f>
        <v>69.69</v>
      </c>
      <c r="AF595">
        <f>'raw data Crude oil'!AF596</f>
        <v>69.233000000000004</v>
      </c>
      <c r="AG595">
        <f>'raw data Crude oil'!AG596</f>
        <v>68.751999999999995</v>
      </c>
      <c r="AH595">
        <f>'raw data Crude oil'!AH596</f>
        <v>68.277000000000001</v>
      </c>
      <c r="AI595">
        <f>'raw data Crude oil'!AI596</f>
        <v>67.813999999999993</v>
      </c>
      <c r="AJ595">
        <f>'raw data Crude oil'!AJ596</f>
        <v>67.382999999999996</v>
      </c>
      <c r="AK595">
        <f>'raw data Crude oil'!AK596</f>
        <v>66.944000000000003</v>
      </c>
    </row>
    <row r="596" spans="1:37" x14ac:dyDescent="0.3">
      <c r="A596" s="18">
        <f>'raw data Crude oil'!A597</f>
        <v>43578</v>
      </c>
      <c r="B596">
        <f>'raw data Crude oil'!B597</f>
        <v>74.510000000000005</v>
      </c>
      <c r="C596">
        <f>'raw data Crude oil'!C597</f>
        <v>73.89</v>
      </c>
      <c r="D596">
        <f>'raw data Crude oil'!D597</f>
        <v>73.33</v>
      </c>
      <c r="E596">
        <f>'raw data Crude oil'!E597</f>
        <v>72.8</v>
      </c>
      <c r="F596">
        <f>'raw data Crude oil'!F597</f>
        <v>72.31</v>
      </c>
      <c r="G596">
        <f>'raw data Crude oil'!G597</f>
        <v>71.900000000000006</v>
      </c>
      <c r="H596">
        <f>'raw data Crude oil'!H597</f>
        <v>71.48</v>
      </c>
      <c r="I596">
        <f>'raw data Crude oil'!I597</f>
        <v>71.08</v>
      </c>
      <c r="J596">
        <f>'raw data Crude oil'!J597</f>
        <v>70.69</v>
      </c>
      <c r="K596">
        <f>'raw data Crude oil'!K597</f>
        <v>70.319999999999993</v>
      </c>
      <c r="L596">
        <f>'raw data Crude oil'!L597</f>
        <v>69.959999999999994</v>
      </c>
      <c r="M596">
        <f>'raw data Crude oil'!M597</f>
        <v>69.599999999999994</v>
      </c>
      <c r="N596">
        <f>'raw data Crude oil'!N597</f>
        <v>66.3</v>
      </c>
      <c r="O596">
        <f>'raw data Crude oil'!O597</f>
        <v>66.239999999999995</v>
      </c>
      <c r="P596">
        <f>'raw data Crude oil'!P597</f>
        <v>66.06</v>
      </c>
      <c r="Q596">
        <f>'raw data Crude oil'!Q597</f>
        <v>65.790000000000006</v>
      </c>
      <c r="R596">
        <f>'raw data Crude oil'!R597</f>
        <v>65.47</v>
      </c>
      <c r="S596">
        <f>'raw data Crude oil'!S597</f>
        <v>65.099999999999994</v>
      </c>
      <c r="T596">
        <f>'raw data Crude oil'!T597</f>
        <v>64.680000000000007</v>
      </c>
      <c r="U596">
        <f>'raw data Crude oil'!U597</f>
        <v>64.23</v>
      </c>
      <c r="V596">
        <f>'raw data Crude oil'!V597</f>
        <v>63.78</v>
      </c>
      <c r="W596">
        <f>'raw data Crude oil'!W597</f>
        <v>63.31</v>
      </c>
      <c r="X596">
        <f>'raw data Crude oil'!X597</f>
        <v>62.86</v>
      </c>
      <c r="Y596">
        <f>'raw data Crude oil'!Y597</f>
        <v>62.43</v>
      </c>
      <c r="Z596">
        <f>'raw data Crude oil'!Z597</f>
        <v>71.221999999999994</v>
      </c>
      <c r="AA596">
        <f>'raw data Crude oil'!AA597</f>
        <v>72.876000000000005</v>
      </c>
      <c r="AB596">
        <f>'raw data Crude oil'!AB597</f>
        <v>72.063999999999993</v>
      </c>
      <c r="AC596">
        <f>'raw data Crude oil'!AC597</f>
        <v>71.299000000000007</v>
      </c>
      <c r="AD596">
        <f>'raw data Crude oil'!AD597</f>
        <v>70.741</v>
      </c>
      <c r="AE596">
        <f>'raw data Crude oil'!AE597</f>
        <v>70.25</v>
      </c>
      <c r="AF596">
        <f>'raw data Crude oil'!AF597</f>
        <v>69.763000000000005</v>
      </c>
      <c r="AG596">
        <f>'raw data Crude oil'!AG597</f>
        <v>69.281000000000006</v>
      </c>
      <c r="AH596">
        <f>'raw data Crude oil'!AH597</f>
        <v>68.784999999999997</v>
      </c>
      <c r="AI596">
        <f>'raw data Crude oil'!AI597</f>
        <v>68.284000000000006</v>
      </c>
      <c r="AJ596">
        <f>'raw data Crude oil'!AJ597</f>
        <v>67.841999999999999</v>
      </c>
      <c r="AK596">
        <f>'raw data Crude oil'!AK597</f>
        <v>67.393000000000001</v>
      </c>
    </row>
    <row r="597" spans="1:37" x14ac:dyDescent="0.3">
      <c r="A597" s="18">
        <f>'raw data Crude oil'!A598</f>
        <v>43579</v>
      </c>
      <c r="B597">
        <f>'raw data Crude oil'!B598</f>
        <v>74.569999999999993</v>
      </c>
      <c r="C597">
        <f>'raw data Crude oil'!C598</f>
        <v>73.84</v>
      </c>
      <c r="D597">
        <f>'raw data Crude oil'!D598</f>
        <v>73.260000000000005</v>
      </c>
      <c r="E597">
        <f>'raw data Crude oil'!E598</f>
        <v>72.739999999999995</v>
      </c>
      <c r="F597">
        <f>'raw data Crude oil'!F598</f>
        <v>72.260000000000005</v>
      </c>
      <c r="G597">
        <f>'raw data Crude oil'!G598</f>
        <v>71.86</v>
      </c>
      <c r="H597">
        <f>'raw data Crude oil'!H598</f>
        <v>71.45</v>
      </c>
      <c r="I597">
        <f>'raw data Crude oil'!I598</f>
        <v>71.06</v>
      </c>
      <c r="J597">
        <f>'raw data Crude oil'!J598</f>
        <v>70.680000000000007</v>
      </c>
      <c r="K597">
        <f>'raw data Crude oil'!K598</f>
        <v>70.31</v>
      </c>
      <c r="L597">
        <f>'raw data Crude oil'!L598</f>
        <v>69.95</v>
      </c>
      <c r="M597">
        <f>'raw data Crude oil'!M598</f>
        <v>69.58</v>
      </c>
      <c r="N597">
        <f>'raw data Crude oil'!N598</f>
        <v>65.89</v>
      </c>
      <c r="O597">
        <f>'raw data Crude oil'!O598</f>
        <v>65.89</v>
      </c>
      <c r="P597">
        <f>'raw data Crude oil'!P598</f>
        <v>65.77</v>
      </c>
      <c r="Q597">
        <f>'raw data Crude oil'!Q598</f>
        <v>65.55</v>
      </c>
      <c r="R597">
        <f>'raw data Crude oil'!R598</f>
        <v>65.27</v>
      </c>
      <c r="S597">
        <f>'raw data Crude oil'!S598</f>
        <v>64.930000000000007</v>
      </c>
      <c r="T597">
        <f>'raw data Crude oil'!T598</f>
        <v>64.53</v>
      </c>
      <c r="U597">
        <f>'raw data Crude oil'!U598</f>
        <v>64.11</v>
      </c>
      <c r="V597">
        <f>'raw data Crude oil'!V598</f>
        <v>63.68</v>
      </c>
      <c r="W597">
        <f>'raw data Crude oil'!W598</f>
        <v>63.24</v>
      </c>
      <c r="X597">
        <f>'raw data Crude oil'!X598</f>
        <v>62.82</v>
      </c>
      <c r="Y597">
        <f>'raw data Crude oil'!Y598</f>
        <v>62.41</v>
      </c>
      <c r="Z597">
        <f>'raw data Crude oil'!Z598</f>
        <v>71.19</v>
      </c>
      <c r="AA597">
        <f>'raw data Crude oil'!AA598</f>
        <v>72.915000000000006</v>
      </c>
      <c r="AB597">
        <f>'raw data Crude oil'!AB598</f>
        <v>72.084000000000003</v>
      </c>
      <c r="AC597">
        <f>'raw data Crude oil'!AC598</f>
        <v>71.328999999999994</v>
      </c>
      <c r="AD597">
        <f>'raw data Crude oil'!AD598</f>
        <v>70.762</v>
      </c>
      <c r="AE597">
        <f>'raw data Crude oil'!AE598</f>
        <v>70.290000000000006</v>
      </c>
      <c r="AF597">
        <f>'raw data Crude oil'!AF598</f>
        <v>69.793000000000006</v>
      </c>
      <c r="AG597">
        <f>'raw data Crude oil'!AG598</f>
        <v>69.311999999999998</v>
      </c>
      <c r="AH597">
        <f>'raw data Crude oil'!AH598</f>
        <v>68.814999999999998</v>
      </c>
      <c r="AI597">
        <f>'raw data Crude oil'!AI598</f>
        <v>68.323999999999998</v>
      </c>
      <c r="AJ597">
        <f>'raw data Crude oil'!AJ598</f>
        <v>67.872</v>
      </c>
      <c r="AK597">
        <f>'raw data Crude oil'!AK598</f>
        <v>67.412999999999997</v>
      </c>
    </row>
    <row r="598" spans="1:37" x14ac:dyDescent="0.3">
      <c r="A598" s="18">
        <f>'raw data Crude oil'!A599</f>
        <v>43580</v>
      </c>
      <c r="B598">
        <f>'raw data Crude oil'!B599</f>
        <v>74.349999999999994</v>
      </c>
      <c r="C598">
        <f>'raw data Crude oil'!C599</f>
        <v>73.63</v>
      </c>
      <c r="D598">
        <f>'raw data Crude oil'!D599</f>
        <v>72.989999999999995</v>
      </c>
      <c r="E598">
        <f>'raw data Crude oil'!E599</f>
        <v>72.430000000000007</v>
      </c>
      <c r="F598">
        <f>'raw data Crude oil'!F599</f>
        <v>71.930000000000007</v>
      </c>
      <c r="G598">
        <f>'raw data Crude oil'!G599</f>
        <v>71.52</v>
      </c>
      <c r="H598">
        <f>'raw data Crude oil'!H599</f>
        <v>71.11</v>
      </c>
      <c r="I598">
        <f>'raw data Crude oil'!I599</f>
        <v>70.72</v>
      </c>
      <c r="J598">
        <f>'raw data Crude oil'!J599</f>
        <v>70.33</v>
      </c>
      <c r="K598">
        <f>'raw data Crude oil'!K599</f>
        <v>69.959999999999994</v>
      </c>
      <c r="L598">
        <f>'raw data Crude oil'!L599</f>
        <v>69.599999999999994</v>
      </c>
      <c r="M598">
        <f>'raw data Crude oil'!M599</f>
        <v>69.23</v>
      </c>
      <c r="N598">
        <f>'raw data Crude oil'!N599</f>
        <v>65.209999999999994</v>
      </c>
      <c r="O598">
        <f>'raw data Crude oil'!O599</f>
        <v>65.28</v>
      </c>
      <c r="P598">
        <f>'raw data Crude oil'!P599</f>
        <v>65.23</v>
      </c>
      <c r="Q598">
        <f>'raw data Crude oil'!Q599</f>
        <v>65.069999999999993</v>
      </c>
      <c r="R598">
        <f>'raw data Crude oil'!R599</f>
        <v>64.849999999999994</v>
      </c>
      <c r="S598">
        <f>'raw data Crude oil'!S599</f>
        <v>64.569999999999993</v>
      </c>
      <c r="T598">
        <f>'raw data Crude oil'!T599</f>
        <v>64.209999999999994</v>
      </c>
      <c r="U598">
        <f>'raw data Crude oil'!U599</f>
        <v>63.81</v>
      </c>
      <c r="V598">
        <f>'raw data Crude oil'!V599</f>
        <v>63.41</v>
      </c>
      <c r="W598">
        <f>'raw data Crude oil'!W599</f>
        <v>63</v>
      </c>
      <c r="X598">
        <f>'raw data Crude oil'!X599</f>
        <v>62.59</v>
      </c>
      <c r="Y598">
        <f>'raw data Crude oil'!Y599</f>
        <v>62.19</v>
      </c>
      <c r="Z598">
        <f>'raw data Crude oil'!Z599</f>
        <v>71.218999999999994</v>
      </c>
      <c r="AA598">
        <f>'raw data Crude oil'!AA599</f>
        <v>72.841999999999999</v>
      </c>
      <c r="AB598">
        <f>'raw data Crude oil'!AB599</f>
        <v>71.932000000000002</v>
      </c>
      <c r="AC598">
        <f>'raw data Crude oil'!AC599</f>
        <v>71.087999999999994</v>
      </c>
      <c r="AD598">
        <f>'raw data Crude oil'!AD599</f>
        <v>70.460999999999999</v>
      </c>
      <c r="AE598">
        <f>'raw data Crude oil'!AE599</f>
        <v>69.95</v>
      </c>
      <c r="AF598">
        <f>'raw data Crude oil'!AF599</f>
        <v>69.442999999999998</v>
      </c>
      <c r="AG598">
        <f>'raw data Crude oil'!AG599</f>
        <v>68.941000000000003</v>
      </c>
      <c r="AH598">
        <f>'raw data Crude oil'!AH599</f>
        <v>68.435000000000002</v>
      </c>
      <c r="AI598">
        <f>'raw data Crude oil'!AI599</f>
        <v>67.974000000000004</v>
      </c>
      <c r="AJ598">
        <f>'raw data Crude oil'!AJ599</f>
        <v>67.522000000000006</v>
      </c>
      <c r="AK598">
        <f>'raw data Crude oil'!AK599</f>
        <v>67.063000000000002</v>
      </c>
    </row>
    <row r="599" spans="1:37" x14ac:dyDescent="0.3">
      <c r="A599" s="18">
        <f>'raw data Crude oil'!A600</f>
        <v>43581</v>
      </c>
      <c r="B599">
        <f>'raw data Crude oil'!B600</f>
        <v>72.150000000000006</v>
      </c>
      <c r="C599">
        <f>'raw data Crude oil'!C600</f>
        <v>71.63</v>
      </c>
      <c r="D599">
        <f>'raw data Crude oil'!D600</f>
        <v>71</v>
      </c>
      <c r="E599">
        <f>'raw data Crude oil'!E600</f>
        <v>70.45</v>
      </c>
      <c r="F599">
        <f>'raw data Crude oil'!F600</f>
        <v>69.95</v>
      </c>
      <c r="G599">
        <f>'raw data Crude oil'!G600</f>
        <v>69.56</v>
      </c>
      <c r="H599">
        <f>'raw data Crude oil'!H600</f>
        <v>69.16</v>
      </c>
      <c r="I599">
        <f>'raw data Crude oil'!I600</f>
        <v>68.8</v>
      </c>
      <c r="J599">
        <f>'raw data Crude oil'!J600</f>
        <v>68.45</v>
      </c>
      <c r="K599">
        <f>'raw data Crude oil'!K600</f>
        <v>68.13</v>
      </c>
      <c r="L599">
        <f>'raw data Crude oil'!L600</f>
        <v>67.81</v>
      </c>
      <c r="M599">
        <f>'raw data Crude oil'!M600</f>
        <v>67.489999999999995</v>
      </c>
      <c r="N599">
        <f>'raw data Crude oil'!N600</f>
        <v>63.3</v>
      </c>
      <c r="O599">
        <f>'raw data Crude oil'!O600</f>
        <v>63.38</v>
      </c>
      <c r="P599">
        <f>'raw data Crude oil'!P600</f>
        <v>63.36</v>
      </c>
      <c r="Q599">
        <f>'raw data Crude oil'!Q600</f>
        <v>63.23</v>
      </c>
      <c r="R599">
        <f>'raw data Crude oil'!R600</f>
        <v>63.04</v>
      </c>
      <c r="S599">
        <f>'raw data Crude oil'!S600</f>
        <v>62.8</v>
      </c>
      <c r="T599">
        <f>'raw data Crude oil'!T600</f>
        <v>62.49</v>
      </c>
      <c r="U599">
        <f>'raw data Crude oil'!U600</f>
        <v>62.14</v>
      </c>
      <c r="V599">
        <f>'raw data Crude oil'!V600</f>
        <v>61.78</v>
      </c>
      <c r="W599">
        <f>'raw data Crude oil'!W600</f>
        <v>61.41</v>
      </c>
      <c r="X599">
        <f>'raw data Crude oil'!X600</f>
        <v>61.06</v>
      </c>
      <c r="Y599">
        <f>'raw data Crude oil'!Y600</f>
        <v>60.7</v>
      </c>
      <c r="Z599">
        <f>'raw data Crude oil'!Z600</f>
        <v>70.971999999999994</v>
      </c>
      <c r="AA599">
        <f>'raw data Crude oil'!AA600</f>
        <v>70.772999999999996</v>
      </c>
      <c r="AB599">
        <f>'raw data Crude oil'!AB600</f>
        <v>69.882999999999996</v>
      </c>
      <c r="AC599">
        <f>'raw data Crude oil'!AC600</f>
        <v>69.108000000000004</v>
      </c>
      <c r="AD599">
        <f>'raw data Crude oil'!AD600</f>
        <v>68.522000000000006</v>
      </c>
      <c r="AE599">
        <f>'raw data Crude oil'!AE600</f>
        <v>68.040999999999997</v>
      </c>
      <c r="AF599">
        <f>'raw data Crude oil'!AF600</f>
        <v>67.543999999999997</v>
      </c>
      <c r="AG599">
        <f>'raw data Crude oil'!AG600</f>
        <v>67.043000000000006</v>
      </c>
      <c r="AH599">
        <f>'raw data Crude oil'!AH600</f>
        <v>66.56</v>
      </c>
      <c r="AI599">
        <f>'raw data Crude oil'!AI600</f>
        <v>66.114999999999995</v>
      </c>
      <c r="AJ599">
        <f>'raw data Crude oil'!AJ600</f>
        <v>65.703999999999994</v>
      </c>
      <c r="AK599">
        <f>'raw data Crude oil'!AK600</f>
        <v>65.305000000000007</v>
      </c>
    </row>
    <row r="600" spans="1:37" x14ac:dyDescent="0.3">
      <c r="A600" s="18">
        <f>'raw data Crude oil'!A601</f>
        <v>43584</v>
      </c>
      <c r="B600">
        <f>'raw data Crude oil'!B601</f>
        <v>72.040000000000006</v>
      </c>
      <c r="C600">
        <f>'raw data Crude oil'!C601</f>
        <v>71.540000000000006</v>
      </c>
      <c r="D600">
        <f>'raw data Crude oil'!D601</f>
        <v>70.92</v>
      </c>
      <c r="E600">
        <f>'raw data Crude oil'!E601</f>
        <v>70.39</v>
      </c>
      <c r="F600">
        <f>'raw data Crude oil'!F601</f>
        <v>69.91</v>
      </c>
      <c r="G600">
        <f>'raw data Crude oil'!G601</f>
        <v>69.540000000000006</v>
      </c>
      <c r="H600">
        <f>'raw data Crude oil'!H601</f>
        <v>69.17</v>
      </c>
      <c r="I600">
        <f>'raw data Crude oil'!I601</f>
        <v>68.81</v>
      </c>
      <c r="J600">
        <f>'raw data Crude oil'!J601</f>
        <v>68.47</v>
      </c>
      <c r="K600">
        <f>'raw data Crude oil'!K601</f>
        <v>68.150000000000006</v>
      </c>
      <c r="L600">
        <f>'raw data Crude oil'!L601</f>
        <v>67.84</v>
      </c>
      <c r="M600">
        <f>'raw data Crude oil'!M601</f>
        <v>67.53</v>
      </c>
      <c r="N600">
        <f>'raw data Crude oil'!N601</f>
        <v>63.5</v>
      </c>
      <c r="O600">
        <f>'raw data Crude oil'!O601</f>
        <v>63.57</v>
      </c>
      <c r="P600">
        <f>'raw data Crude oil'!P601</f>
        <v>63.54</v>
      </c>
      <c r="Q600">
        <f>'raw data Crude oil'!Q601</f>
        <v>63.42</v>
      </c>
      <c r="R600">
        <f>'raw data Crude oil'!R601</f>
        <v>63.23</v>
      </c>
      <c r="S600">
        <f>'raw data Crude oil'!S601</f>
        <v>62.98</v>
      </c>
      <c r="T600">
        <f>'raw data Crude oil'!T601</f>
        <v>62.67</v>
      </c>
      <c r="U600">
        <f>'raw data Crude oil'!U601</f>
        <v>62.33</v>
      </c>
      <c r="V600">
        <f>'raw data Crude oil'!V601</f>
        <v>61.96</v>
      </c>
      <c r="W600">
        <f>'raw data Crude oil'!W601</f>
        <v>61.58</v>
      </c>
      <c r="X600">
        <f>'raw data Crude oil'!X601</f>
        <v>61.21</v>
      </c>
      <c r="Y600">
        <f>'raw data Crude oil'!Y601</f>
        <v>60.86</v>
      </c>
      <c r="Z600">
        <f>'raw data Crude oil'!Z601</f>
        <v>70.935000000000002</v>
      </c>
      <c r="AA600">
        <f>'raw data Crude oil'!AA601</f>
        <v>70.923000000000002</v>
      </c>
      <c r="AB600">
        <f>'raw data Crude oil'!AB601</f>
        <v>69.994</v>
      </c>
      <c r="AC600">
        <f>'raw data Crude oil'!AC601</f>
        <v>69.149000000000001</v>
      </c>
      <c r="AD600">
        <f>'raw data Crude oil'!AD601</f>
        <v>68.543000000000006</v>
      </c>
      <c r="AE600">
        <f>'raw data Crude oil'!AE601</f>
        <v>68.052000000000007</v>
      </c>
      <c r="AF600">
        <f>'raw data Crude oil'!AF601</f>
        <v>67.563999999999993</v>
      </c>
      <c r="AG600">
        <f>'raw data Crude oil'!AG601</f>
        <v>67.073999999999998</v>
      </c>
      <c r="AH600">
        <f>'raw data Crude oil'!AH601</f>
        <v>66.58</v>
      </c>
      <c r="AI600">
        <f>'raw data Crude oil'!AI601</f>
        <v>66.135999999999996</v>
      </c>
      <c r="AJ600">
        <f>'raw data Crude oil'!AJ601</f>
        <v>65.685000000000002</v>
      </c>
      <c r="AK600">
        <f>'raw data Crude oil'!AK601</f>
        <v>65.265000000000001</v>
      </c>
    </row>
    <row r="601" spans="1:37" x14ac:dyDescent="0.3">
      <c r="A601" s="18">
        <f>'raw data Crude oil'!A602</f>
        <v>43585</v>
      </c>
      <c r="B601">
        <f>'raw data Crude oil'!B602</f>
        <v>72.8</v>
      </c>
      <c r="C601">
        <f>'raw data Crude oil'!C602</f>
        <v>72.06</v>
      </c>
      <c r="D601">
        <f>'raw data Crude oil'!D602</f>
        <v>71.45</v>
      </c>
      <c r="E601">
        <f>'raw data Crude oil'!E602</f>
        <v>70.91</v>
      </c>
      <c r="F601">
        <f>'raw data Crude oil'!F602</f>
        <v>70.42</v>
      </c>
      <c r="G601">
        <f>'raw data Crude oil'!G602</f>
        <v>70.03</v>
      </c>
      <c r="H601">
        <f>'raw data Crude oil'!H602</f>
        <v>69.64</v>
      </c>
      <c r="I601">
        <f>'raw data Crude oil'!I602</f>
        <v>69.27</v>
      </c>
      <c r="J601">
        <f>'raw data Crude oil'!J602</f>
        <v>68.92</v>
      </c>
      <c r="K601">
        <f>'raw data Crude oil'!K602</f>
        <v>68.599999999999994</v>
      </c>
      <c r="L601">
        <f>'raw data Crude oil'!L602</f>
        <v>68.28</v>
      </c>
      <c r="M601">
        <f>'raw data Crude oil'!M602</f>
        <v>67.95</v>
      </c>
      <c r="N601">
        <f>'raw data Crude oil'!N602</f>
        <v>63.91</v>
      </c>
      <c r="O601">
        <f>'raw data Crude oil'!O602</f>
        <v>63.98</v>
      </c>
      <c r="P601">
        <f>'raw data Crude oil'!P602</f>
        <v>63.97</v>
      </c>
      <c r="Q601">
        <f>'raw data Crude oil'!Q602</f>
        <v>63.84</v>
      </c>
      <c r="R601">
        <f>'raw data Crude oil'!R602</f>
        <v>63.64</v>
      </c>
      <c r="S601">
        <f>'raw data Crude oil'!S602</f>
        <v>63.38</v>
      </c>
      <c r="T601">
        <f>'raw data Crude oil'!T602</f>
        <v>63.07</v>
      </c>
      <c r="U601">
        <f>'raw data Crude oil'!U602</f>
        <v>62.72</v>
      </c>
      <c r="V601">
        <f>'raw data Crude oil'!V602</f>
        <v>62.35</v>
      </c>
      <c r="W601">
        <f>'raw data Crude oil'!W602</f>
        <v>61.97</v>
      </c>
      <c r="X601">
        <f>'raw data Crude oil'!X602</f>
        <v>61.58</v>
      </c>
      <c r="Y601">
        <f>'raw data Crude oil'!Y602</f>
        <v>61.21</v>
      </c>
      <c r="Z601">
        <f>'raw data Crude oil'!Z602</f>
        <v>70.95</v>
      </c>
      <c r="AA601">
        <f>'raw data Crude oil'!AA602</f>
        <v>71.552999999999997</v>
      </c>
      <c r="AB601">
        <f>'raw data Crude oil'!AB602</f>
        <v>70.613</v>
      </c>
      <c r="AC601">
        <f>'raw data Crude oil'!AC602</f>
        <v>69.769000000000005</v>
      </c>
      <c r="AD601">
        <f>'raw data Crude oil'!AD602</f>
        <v>69.122</v>
      </c>
      <c r="AE601">
        <f>'raw data Crude oil'!AE602</f>
        <v>68.600999999999999</v>
      </c>
      <c r="AF601">
        <f>'raw data Crude oil'!AF602</f>
        <v>68.084000000000003</v>
      </c>
      <c r="AG601">
        <f>'raw data Crude oil'!AG602</f>
        <v>67.569999999999993</v>
      </c>
      <c r="AH601">
        <f>'raw data Crude oil'!AH602</f>
        <v>67.072999999999993</v>
      </c>
      <c r="AI601">
        <f>'raw data Crude oil'!AI602</f>
        <v>66.605000000000004</v>
      </c>
      <c r="AJ601">
        <f>'raw data Crude oil'!AJ602</f>
        <v>66.164000000000001</v>
      </c>
      <c r="AK601">
        <f>'raw data Crude oil'!AK602</f>
        <v>65.734999999999999</v>
      </c>
    </row>
    <row r="602" spans="1:37" x14ac:dyDescent="0.3">
      <c r="A602" s="18">
        <f>'raw data Crude oil'!A603</f>
        <v>43586</v>
      </c>
      <c r="B602">
        <f>'raw data Crude oil'!B603</f>
        <v>72.180000000000007</v>
      </c>
      <c r="C602">
        <f>'raw data Crude oil'!C603</f>
        <v>71.5</v>
      </c>
      <c r="D602">
        <f>'raw data Crude oil'!D603</f>
        <v>70.95</v>
      </c>
      <c r="E602">
        <f>'raw data Crude oil'!E603</f>
        <v>70.44</v>
      </c>
      <c r="F602">
        <f>'raw data Crude oil'!F603</f>
        <v>70.03</v>
      </c>
      <c r="G602">
        <f>'raw data Crude oil'!G603</f>
        <v>69.62</v>
      </c>
      <c r="H602">
        <f>'raw data Crude oil'!H603</f>
        <v>69.25</v>
      </c>
      <c r="I602">
        <f>'raw data Crude oil'!I603</f>
        <v>68.91</v>
      </c>
      <c r="J602">
        <f>'raw data Crude oil'!J603</f>
        <v>68.59</v>
      </c>
      <c r="K602">
        <f>'raw data Crude oil'!K603</f>
        <v>68.28</v>
      </c>
      <c r="L602">
        <f>'raw data Crude oil'!L603</f>
        <v>67.959999999999994</v>
      </c>
      <c r="M602">
        <f>'raw data Crude oil'!M603</f>
        <v>67.63</v>
      </c>
      <c r="N602">
        <f>'raw data Crude oil'!N603</f>
        <v>63.6</v>
      </c>
      <c r="O602">
        <f>'raw data Crude oil'!O603</f>
        <v>63.69</v>
      </c>
      <c r="P602">
        <f>'raw data Crude oil'!P603</f>
        <v>63.71</v>
      </c>
      <c r="Q602">
        <f>'raw data Crude oil'!Q603</f>
        <v>63.62</v>
      </c>
      <c r="R602">
        <f>'raw data Crude oil'!R603</f>
        <v>63.44</v>
      </c>
      <c r="S602">
        <f>'raw data Crude oil'!S603</f>
        <v>63.2</v>
      </c>
      <c r="T602">
        <f>'raw data Crude oil'!T603</f>
        <v>62.92</v>
      </c>
      <c r="U602">
        <f>'raw data Crude oil'!U603</f>
        <v>62.59</v>
      </c>
      <c r="V602">
        <f>'raw data Crude oil'!V603</f>
        <v>62.24</v>
      </c>
      <c r="W602">
        <f>'raw data Crude oil'!W603</f>
        <v>61.87</v>
      </c>
      <c r="X602">
        <f>'raw data Crude oil'!X603</f>
        <v>61.5</v>
      </c>
      <c r="Y602">
        <f>'raw data Crude oil'!Y603</f>
        <v>61.14</v>
      </c>
      <c r="Z602">
        <f>'raw data Crude oil'!Z603</f>
        <v>70.95</v>
      </c>
      <c r="AA602">
        <f>'raw data Crude oil'!AA603</f>
        <v>71.653000000000006</v>
      </c>
      <c r="AB602">
        <f>'raw data Crude oil'!AB603</f>
        <v>70.683000000000007</v>
      </c>
      <c r="AC602">
        <f>'raw data Crude oil'!AC603</f>
        <v>69.837999999999994</v>
      </c>
      <c r="AD602">
        <f>'raw data Crude oil'!AD603</f>
        <v>69.161000000000001</v>
      </c>
      <c r="AE602">
        <f>'raw data Crude oil'!AE603</f>
        <v>68.63</v>
      </c>
      <c r="AF602">
        <f>'raw data Crude oil'!AF603</f>
        <v>68.093999999999994</v>
      </c>
      <c r="AG602">
        <f>'raw data Crude oil'!AG603</f>
        <v>67.554000000000002</v>
      </c>
      <c r="AH602">
        <f>'raw data Crude oil'!AH603</f>
        <v>67.06</v>
      </c>
      <c r="AI602">
        <f>'raw data Crude oil'!AI603</f>
        <v>66.596000000000004</v>
      </c>
      <c r="AJ602">
        <f>'raw data Crude oil'!AJ603</f>
        <v>66.164000000000001</v>
      </c>
      <c r="AK602">
        <f>'raw data Crude oil'!AK603</f>
        <v>65.745000000000005</v>
      </c>
    </row>
    <row r="603" spans="1:37" x14ac:dyDescent="0.3">
      <c r="A603" s="18">
        <f>'raw data Crude oil'!A604</f>
        <v>43587</v>
      </c>
      <c r="B603">
        <f>'raw data Crude oil'!B604</f>
        <v>70.75</v>
      </c>
      <c r="C603">
        <f>'raw data Crude oil'!C604</f>
        <v>70.02</v>
      </c>
      <c r="D603">
        <f>'raw data Crude oil'!D604</f>
        <v>69.430000000000007</v>
      </c>
      <c r="E603">
        <f>'raw data Crude oil'!E604</f>
        <v>68.91</v>
      </c>
      <c r="F603">
        <f>'raw data Crude oil'!F604</f>
        <v>68.48</v>
      </c>
      <c r="G603">
        <f>'raw data Crude oil'!G604</f>
        <v>68.069999999999993</v>
      </c>
      <c r="H603">
        <f>'raw data Crude oil'!H604</f>
        <v>67.7</v>
      </c>
      <c r="I603">
        <f>'raw data Crude oil'!I604</f>
        <v>67.36</v>
      </c>
      <c r="J603">
        <f>'raw data Crude oil'!J604</f>
        <v>67.06</v>
      </c>
      <c r="K603">
        <f>'raw data Crude oil'!K604</f>
        <v>66.77</v>
      </c>
      <c r="L603">
        <f>'raw data Crude oil'!L604</f>
        <v>66.47</v>
      </c>
      <c r="M603">
        <f>'raw data Crude oil'!M604</f>
        <v>66.16</v>
      </c>
      <c r="N603">
        <f>'raw data Crude oil'!N604</f>
        <v>61.81</v>
      </c>
      <c r="O603">
        <f>'raw data Crude oil'!O604</f>
        <v>61.9</v>
      </c>
      <c r="P603">
        <f>'raw data Crude oil'!P604</f>
        <v>61.94</v>
      </c>
      <c r="Q603">
        <f>'raw data Crude oil'!Q604</f>
        <v>61.89</v>
      </c>
      <c r="R603">
        <f>'raw data Crude oil'!R604</f>
        <v>61.76</v>
      </c>
      <c r="S603">
        <f>'raw data Crude oil'!S604</f>
        <v>61.57</v>
      </c>
      <c r="T603">
        <f>'raw data Crude oil'!T604</f>
        <v>61.33</v>
      </c>
      <c r="U603">
        <f>'raw data Crude oil'!U604</f>
        <v>61.04</v>
      </c>
      <c r="V603">
        <f>'raw data Crude oil'!V604</f>
        <v>60.72</v>
      </c>
      <c r="W603">
        <f>'raw data Crude oil'!W604</f>
        <v>60.37</v>
      </c>
      <c r="X603">
        <f>'raw data Crude oil'!X604</f>
        <v>60.02</v>
      </c>
      <c r="Y603">
        <f>'raw data Crude oil'!Y604</f>
        <v>59.67</v>
      </c>
      <c r="Z603">
        <f>'raw data Crude oil'!Z604</f>
        <v>70.602999999999994</v>
      </c>
      <c r="AA603">
        <f>'raw data Crude oil'!AA604</f>
        <v>69.391000000000005</v>
      </c>
      <c r="AB603">
        <f>'raw data Crude oil'!AB604</f>
        <v>68.367000000000004</v>
      </c>
      <c r="AC603">
        <f>'raw data Crude oil'!AC604</f>
        <v>67.680000000000007</v>
      </c>
      <c r="AD603">
        <f>'raw data Crude oil'!AD604</f>
        <v>67.12</v>
      </c>
      <c r="AE603">
        <f>'raw data Crude oil'!AE604</f>
        <v>66.573999999999998</v>
      </c>
      <c r="AF603">
        <f>'raw data Crude oil'!AF604</f>
        <v>66.054000000000002</v>
      </c>
      <c r="AG603">
        <f>'raw data Crude oil'!AG604</f>
        <v>65.540999999999997</v>
      </c>
      <c r="AH603">
        <f>'raw data Crude oil'!AH604</f>
        <v>65.076999999999998</v>
      </c>
      <c r="AI603">
        <f>'raw data Crude oil'!AI604</f>
        <v>64.635000000000005</v>
      </c>
      <c r="AJ603">
        <f>'raw data Crude oil'!AJ604</f>
        <v>64.195999999999998</v>
      </c>
      <c r="AK603">
        <f>'raw data Crude oil'!AK604</f>
        <v>63.816000000000003</v>
      </c>
    </row>
    <row r="604" spans="1:37" x14ac:dyDescent="0.3">
      <c r="A604" s="18">
        <f>'raw data Crude oil'!A605</f>
        <v>43588</v>
      </c>
      <c r="B604">
        <f>'raw data Crude oil'!B605</f>
        <v>70.849999999999994</v>
      </c>
      <c r="C604">
        <f>'raw data Crude oil'!C605</f>
        <v>70.03</v>
      </c>
      <c r="D604">
        <f>'raw data Crude oil'!D605</f>
        <v>69.37</v>
      </c>
      <c r="E604">
        <f>'raw data Crude oil'!E605</f>
        <v>68.819999999999993</v>
      </c>
      <c r="F604">
        <f>'raw data Crude oil'!F605</f>
        <v>68.39</v>
      </c>
      <c r="G604">
        <f>'raw data Crude oil'!G605</f>
        <v>67.98</v>
      </c>
      <c r="H604">
        <f>'raw data Crude oil'!H605</f>
        <v>67.61</v>
      </c>
      <c r="I604">
        <f>'raw data Crude oil'!I605</f>
        <v>67.27</v>
      </c>
      <c r="J604">
        <f>'raw data Crude oil'!J605</f>
        <v>66.959999999999994</v>
      </c>
      <c r="K604">
        <f>'raw data Crude oil'!K605</f>
        <v>66.67</v>
      </c>
      <c r="L604">
        <f>'raw data Crude oil'!L605</f>
        <v>66.36</v>
      </c>
      <c r="M604">
        <f>'raw data Crude oil'!M605</f>
        <v>66.040000000000006</v>
      </c>
      <c r="N604">
        <f>'raw data Crude oil'!N605</f>
        <v>61.94</v>
      </c>
      <c r="O604">
        <f>'raw data Crude oil'!O605</f>
        <v>62.04</v>
      </c>
      <c r="P604">
        <f>'raw data Crude oil'!P605</f>
        <v>62.07</v>
      </c>
      <c r="Q604">
        <f>'raw data Crude oil'!Q605</f>
        <v>62.01</v>
      </c>
      <c r="R604">
        <f>'raw data Crude oil'!R605</f>
        <v>61.86</v>
      </c>
      <c r="S604">
        <f>'raw data Crude oil'!S605</f>
        <v>61.64</v>
      </c>
      <c r="T604">
        <f>'raw data Crude oil'!T605</f>
        <v>61.38</v>
      </c>
      <c r="U604">
        <f>'raw data Crude oil'!U605</f>
        <v>61.07</v>
      </c>
      <c r="V604">
        <f>'raw data Crude oil'!V605</f>
        <v>60.74</v>
      </c>
      <c r="W604">
        <f>'raw data Crude oil'!W605</f>
        <v>60.4</v>
      </c>
      <c r="X604">
        <f>'raw data Crude oil'!X605</f>
        <v>60.05</v>
      </c>
      <c r="Y604">
        <f>'raw data Crude oil'!Y605</f>
        <v>59.7</v>
      </c>
      <c r="Z604">
        <f>'raw data Crude oil'!Z605</f>
        <v>70.308999999999997</v>
      </c>
      <c r="AA604">
        <f>'raw data Crude oil'!AA605</f>
        <v>69.167000000000002</v>
      </c>
      <c r="AB604">
        <f>'raw data Crude oil'!AB605</f>
        <v>68.135999999999996</v>
      </c>
      <c r="AC604">
        <f>'raw data Crude oil'!AC605</f>
        <v>67.44</v>
      </c>
      <c r="AD604">
        <f>'raw data Crude oil'!AD605</f>
        <v>66.87</v>
      </c>
      <c r="AE604">
        <f>'raw data Crude oil'!AE605</f>
        <v>66.364000000000004</v>
      </c>
      <c r="AF604">
        <f>'raw data Crude oil'!AF605</f>
        <v>65.834000000000003</v>
      </c>
      <c r="AG604">
        <f>'raw data Crude oil'!AG605</f>
        <v>65.33</v>
      </c>
      <c r="AH604">
        <f>'raw data Crude oil'!AH605</f>
        <v>64.837000000000003</v>
      </c>
      <c r="AI604">
        <f>'raw data Crude oil'!AI605</f>
        <v>64.364999999999995</v>
      </c>
      <c r="AJ604">
        <f>'raw data Crude oil'!AJ605</f>
        <v>63.965000000000003</v>
      </c>
      <c r="AK604">
        <f>'raw data Crude oil'!AK605</f>
        <v>63.587000000000003</v>
      </c>
    </row>
    <row r="605" spans="1:37" x14ac:dyDescent="0.3">
      <c r="A605" s="18">
        <f>'raw data Crude oil'!A606</f>
        <v>43591</v>
      </c>
      <c r="B605">
        <f>'raw data Crude oil'!B606</f>
        <v>71.239999999999995</v>
      </c>
      <c r="C605">
        <f>'raw data Crude oil'!C606</f>
        <v>70.37</v>
      </c>
      <c r="D605">
        <f>'raw data Crude oil'!D606</f>
        <v>69.680000000000007</v>
      </c>
      <c r="E605">
        <f>'raw data Crude oil'!E606</f>
        <v>69.12</v>
      </c>
      <c r="F605">
        <f>'raw data Crude oil'!F606</f>
        <v>68.680000000000007</v>
      </c>
      <c r="G605">
        <f>'raw data Crude oil'!G606</f>
        <v>68.27</v>
      </c>
      <c r="H605">
        <f>'raw data Crude oil'!H606</f>
        <v>67.91</v>
      </c>
      <c r="I605">
        <f>'raw data Crude oil'!I606</f>
        <v>67.58</v>
      </c>
      <c r="J605">
        <f>'raw data Crude oil'!J606</f>
        <v>67.27</v>
      </c>
      <c r="K605">
        <f>'raw data Crude oil'!K606</f>
        <v>66.989999999999995</v>
      </c>
      <c r="L605">
        <f>'raw data Crude oil'!L606</f>
        <v>66.69</v>
      </c>
      <c r="M605">
        <f>'raw data Crude oil'!M606</f>
        <v>66.38</v>
      </c>
      <c r="N605">
        <f>'raw data Crude oil'!N606</f>
        <v>62.25</v>
      </c>
      <c r="O605">
        <f>'raw data Crude oil'!O606</f>
        <v>62.37</v>
      </c>
      <c r="P605">
        <f>'raw data Crude oil'!P606</f>
        <v>62.42</v>
      </c>
      <c r="Q605">
        <f>'raw data Crude oil'!Q606</f>
        <v>62.35</v>
      </c>
      <c r="R605">
        <f>'raw data Crude oil'!R606</f>
        <v>62.2</v>
      </c>
      <c r="S605">
        <f>'raw data Crude oil'!S606</f>
        <v>61.99</v>
      </c>
      <c r="T605">
        <f>'raw data Crude oil'!T606</f>
        <v>61.72</v>
      </c>
      <c r="U605">
        <f>'raw data Crude oil'!U606</f>
        <v>61.42</v>
      </c>
      <c r="V605">
        <f>'raw data Crude oil'!V606</f>
        <v>61.09</v>
      </c>
      <c r="W605">
        <f>'raw data Crude oil'!W606</f>
        <v>60.75</v>
      </c>
      <c r="X605">
        <f>'raw data Crude oil'!X606</f>
        <v>60.41</v>
      </c>
      <c r="Y605">
        <f>'raw data Crude oil'!Y606</f>
        <v>60.08</v>
      </c>
      <c r="Z605">
        <f>'raw data Crude oil'!Z606</f>
        <v>70.472999999999999</v>
      </c>
      <c r="AA605">
        <f>'raw data Crude oil'!AA606</f>
        <v>69.415999999999997</v>
      </c>
      <c r="AB605">
        <f>'raw data Crude oil'!AB606</f>
        <v>68.325999999999993</v>
      </c>
      <c r="AC605">
        <f>'raw data Crude oil'!AC606</f>
        <v>67.61</v>
      </c>
      <c r="AD605">
        <f>'raw data Crude oil'!AD606</f>
        <v>67.040000000000006</v>
      </c>
      <c r="AE605">
        <f>'raw data Crude oil'!AE606</f>
        <v>66.534000000000006</v>
      </c>
      <c r="AF605">
        <f>'raw data Crude oil'!AF606</f>
        <v>66.034000000000006</v>
      </c>
      <c r="AG605">
        <f>'raw data Crude oil'!AG606</f>
        <v>65.53</v>
      </c>
      <c r="AH605">
        <f>'raw data Crude oil'!AH606</f>
        <v>65.037000000000006</v>
      </c>
      <c r="AI605">
        <f>'raw data Crude oil'!AI606</f>
        <v>64.594999999999999</v>
      </c>
      <c r="AJ605">
        <f>'raw data Crude oil'!AJ606</f>
        <v>64.225999999999999</v>
      </c>
      <c r="AK605">
        <f>'raw data Crude oil'!AK606</f>
        <v>63.866999999999997</v>
      </c>
    </row>
    <row r="606" spans="1:37" x14ac:dyDescent="0.3">
      <c r="A606" s="18">
        <f>'raw data Crude oil'!A607</f>
        <v>43592</v>
      </c>
      <c r="B606">
        <f>'raw data Crude oil'!B607</f>
        <v>69.88</v>
      </c>
      <c r="C606">
        <f>'raw data Crude oil'!C607</f>
        <v>69.069999999999993</v>
      </c>
      <c r="D606">
        <f>'raw data Crude oil'!D607</f>
        <v>68.42</v>
      </c>
      <c r="E606">
        <f>'raw data Crude oil'!E607</f>
        <v>67.89</v>
      </c>
      <c r="F606">
        <f>'raw data Crude oil'!F607</f>
        <v>67.48</v>
      </c>
      <c r="G606">
        <f>'raw data Crude oil'!G607</f>
        <v>67.11</v>
      </c>
      <c r="H606">
        <f>'raw data Crude oil'!H607</f>
        <v>66.77</v>
      </c>
      <c r="I606">
        <f>'raw data Crude oil'!I607</f>
        <v>66.45</v>
      </c>
      <c r="J606">
        <f>'raw data Crude oil'!J607</f>
        <v>66.16</v>
      </c>
      <c r="K606">
        <f>'raw data Crude oil'!K607</f>
        <v>65.89</v>
      </c>
      <c r="L606">
        <f>'raw data Crude oil'!L607</f>
        <v>65.61</v>
      </c>
      <c r="M606">
        <f>'raw data Crude oil'!M607</f>
        <v>65.319999999999993</v>
      </c>
      <c r="N606">
        <f>'raw data Crude oil'!N607</f>
        <v>61.4</v>
      </c>
      <c r="O606">
        <f>'raw data Crude oil'!O607</f>
        <v>61.51</v>
      </c>
      <c r="P606">
        <f>'raw data Crude oil'!P607</f>
        <v>61.54</v>
      </c>
      <c r="Q606">
        <f>'raw data Crude oil'!Q607</f>
        <v>61.47</v>
      </c>
      <c r="R606">
        <f>'raw data Crude oil'!R607</f>
        <v>61.3</v>
      </c>
      <c r="S606">
        <f>'raw data Crude oil'!S607</f>
        <v>61.06</v>
      </c>
      <c r="T606">
        <f>'raw data Crude oil'!T607</f>
        <v>60.79</v>
      </c>
      <c r="U606">
        <f>'raw data Crude oil'!U607</f>
        <v>60.48</v>
      </c>
      <c r="V606">
        <f>'raw data Crude oil'!V607</f>
        <v>60.15</v>
      </c>
      <c r="W606">
        <f>'raw data Crude oil'!W607</f>
        <v>59.82</v>
      </c>
      <c r="X606">
        <f>'raw data Crude oil'!X607</f>
        <v>59.47</v>
      </c>
      <c r="Y606">
        <f>'raw data Crude oil'!Y607</f>
        <v>59.14</v>
      </c>
      <c r="Z606">
        <f>'raw data Crude oil'!Z607</f>
        <v>69.272000000000006</v>
      </c>
      <c r="AA606">
        <f>'raw data Crude oil'!AA607</f>
        <v>67.947999999999993</v>
      </c>
      <c r="AB606">
        <f>'raw data Crude oil'!AB607</f>
        <v>66.927000000000007</v>
      </c>
      <c r="AC606">
        <f>'raw data Crude oil'!AC607</f>
        <v>66.271000000000001</v>
      </c>
      <c r="AD606">
        <f>'raw data Crude oil'!AD607</f>
        <v>65.772000000000006</v>
      </c>
      <c r="AE606">
        <f>'raw data Crude oil'!AE607</f>
        <v>65.295000000000002</v>
      </c>
      <c r="AF606">
        <f>'raw data Crude oil'!AF607</f>
        <v>64.814999999999998</v>
      </c>
      <c r="AG606">
        <f>'raw data Crude oil'!AG607</f>
        <v>64.341999999999999</v>
      </c>
      <c r="AH606">
        <f>'raw data Crude oil'!AH607</f>
        <v>63.868000000000002</v>
      </c>
      <c r="AI606">
        <f>'raw data Crude oil'!AI607</f>
        <v>63.436</v>
      </c>
      <c r="AJ606">
        <f>'raw data Crude oil'!AJ607</f>
        <v>63.087000000000003</v>
      </c>
      <c r="AK606">
        <f>'raw data Crude oil'!AK607</f>
        <v>62.747999999999998</v>
      </c>
    </row>
    <row r="607" spans="1:37" x14ac:dyDescent="0.3">
      <c r="A607" s="18">
        <f>'raw data Crude oil'!A608</f>
        <v>43593</v>
      </c>
      <c r="B607">
        <f>'raw data Crude oil'!B608</f>
        <v>70.37</v>
      </c>
      <c r="C607">
        <f>'raw data Crude oil'!C608</f>
        <v>69.62</v>
      </c>
      <c r="D607">
        <f>'raw data Crude oil'!D608</f>
        <v>69.02</v>
      </c>
      <c r="E607">
        <f>'raw data Crude oil'!E608</f>
        <v>68.53</v>
      </c>
      <c r="F607">
        <f>'raw data Crude oil'!F608</f>
        <v>68.16</v>
      </c>
      <c r="G607">
        <f>'raw data Crude oil'!G608</f>
        <v>67.81</v>
      </c>
      <c r="H607">
        <f>'raw data Crude oil'!H608</f>
        <v>67.489999999999995</v>
      </c>
      <c r="I607">
        <f>'raw data Crude oil'!I608</f>
        <v>67.19</v>
      </c>
      <c r="J607">
        <f>'raw data Crude oil'!J608</f>
        <v>66.91</v>
      </c>
      <c r="K607">
        <f>'raw data Crude oil'!K608</f>
        <v>66.650000000000006</v>
      </c>
      <c r="L607">
        <f>'raw data Crude oil'!L608</f>
        <v>66.38</v>
      </c>
      <c r="M607">
        <f>'raw data Crude oil'!M608</f>
        <v>66.08</v>
      </c>
      <c r="N607">
        <f>'raw data Crude oil'!N608</f>
        <v>62.12</v>
      </c>
      <c r="O607">
        <f>'raw data Crude oil'!O608</f>
        <v>62.22</v>
      </c>
      <c r="P607">
        <f>'raw data Crude oil'!P608</f>
        <v>62.25</v>
      </c>
      <c r="Q607">
        <f>'raw data Crude oil'!Q608</f>
        <v>62.19</v>
      </c>
      <c r="R607">
        <f>'raw data Crude oil'!R608</f>
        <v>62.04</v>
      </c>
      <c r="S607">
        <f>'raw data Crude oil'!S608</f>
        <v>61.82</v>
      </c>
      <c r="T607">
        <f>'raw data Crude oil'!T608</f>
        <v>61.55</v>
      </c>
      <c r="U607">
        <f>'raw data Crude oil'!U608</f>
        <v>61.24</v>
      </c>
      <c r="V607">
        <f>'raw data Crude oil'!V608</f>
        <v>60.91</v>
      </c>
      <c r="W607">
        <f>'raw data Crude oil'!W608</f>
        <v>60.55</v>
      </c>
      <c r="X607">
        <f>'raw data Crude oil'!X608</f>
        <v>60.2</v>
      </c>
      <c r="Y607">
        <f>'raw data Crude oil'!Y608</f>
        <v>59.86</v>
      </c>
      <c r="Z607">
        <f>'raw data Crude oil'!Z608</f>
        <v>69.602999999999994</v>
      </c>
      <c r="AA607">
        <f>'raw data Crude oil'!AA608</f>
        <v>68.33</v>
      </c>
      <c r="AB607">
        <f>'raw data Crude oil'!AB608</f>
        <v>67.338999999999999</v>
      </c>
      <c r="AC607">
        <f>'raw data Crude oil'!AC608</f>
        <v>66.733000000000004</v>
      </c>
      <c r="AD607">
        <f>'raw data Crude oil'!AD608</f>
        <v>66.263000000000005</v>
      </c>
      <c r="AE607">
        <f>'raw data Crude oil'!AE608</f>
        <v>65.796000000000006</v>
      </c>
      <c r="AF607">
        <f>'raw data Crude oil'!AF608</f>
        <v>65.346000000000004</v>
      </c>
      <c r="AG607">
        <f>'raw data Crude oil'!AG608</f>
        <v>64.923000000000002</v>
      </c>
      <c r="AH607">
        <f>'raw data Crude oil'!AH608</f>
        <v>64.507999999999996</v>
      </c>
      <c r="AI607">
        <f>'raw data Crude oil'!AI608</f>
        <v>64.087000000000003</v>
      </c>
      <c r="AJ607">
        <f>'raw data Crude oil'!AJ608</f>
        <v>63.725999999999999</v>
      </c>
      <c r="AK607">
        <f>'raw data Crude oil'!AK608</f>
        <v>63.378</v>
      </c>
    </row>
    <row r="608" spans="1:37" x14ac:dyDescent="0.3">
      <c r="A608" s="18">
        <f>'raw data Crude oil'!A609</f>
        <v>43594</v>
      </c>
      <c r="B608">
        <f>'raw data Crude oil'!B609</f>
        <v>70.39</v>
      </c>
      <c r="C608">
        <f>'raw data Crude oil'!C609</f>
        <v>69.48</v>
      </c>
      <c r="D608">
        <f>'raw data Crude oil'!D609</f>
        <v>68.790000000000006</v>
      </c>
      <c r="E608">
        <f>'raw data Crude oil'!E609</f>
        <v>68.23</v>
      </c>
      <c r="F608">
        <f>'raw data Crude oil'!F609</f>
        <v>67.81</v>
      </c>
      <c r="G608">
        <f>'raw data Crude oil'!G609</f>
        <v>67.430000000000007</v>
      </c>
      <c r="H608">
        <f>'raw data Crude oil'!H609</f>
        <v>67.08</v>
      </c>
      <c r="I608">
        <f>'raw data Crude oil'!I609</f>
        <v>66.760000000000005</v>
      </c>
      <c r="J608">
        <f>'raw data Crude oil'!J609</f>
        <v>66.47</v>
      </c>
      <c r="K608">
        <f>'raw data Crude oil'!K609</f>
        <v>66.2</v>
      </c>
      <c r="L608">
        <f>'raw data Crude oil'!L609</f>
        <v>65.92</v>
      </c>
      <c r="M608">
        <f>'raw data Crude oil'!M609</f>
        <v>65.61</v>
      </c>
      <c r="N608">
        <f>'raw data Crude oil'!N609</f>
        <v>61.7</v>
      </c>
      <c r="O608">
        <f>'raw data Crude oil'!O609</f>
        <v>61.81</v>
      </c>
      <c r="P608">
        <f>'raw data Crude oil'!P609</f>
        <v>61.86</v>
      </c>
      <c r="Q608">
        <f>'raw data Crude oil'!Q609</f>
        <v>61.82</v>
      </c>
      <c r="R608">
        <f>'raw data Crude oil'!R609</f>
        <v>61.69</v>
      </c>
      <c r="S608">
        <f>'raw data Crude oil'!S609</f>
        <v>61.49</v>
      </c>
      <c r="T608">
        <f>'raw data Crude oil'!T609</f>
        <v>61.24</v>
      </c>
      <c r="U608">
        <f>'raw data Crude oil'!U609</f>
        <v>60.95</v>
      </c>
      <c r="V608">
        <f>'raw data Crude oil'!V609</f>
        <v>60.62</v>
      </c>
      <c r="W608">
        <f>'raw data Crude oil'!W609</f>
        <v>60.28</v>
      </c>
      <c r="X608">
        <f>'raw data Crude oil'!X609</f>
        <v>59.94</v>
      </c>
      <c r="Y608">
        <f>'raw data Crude oil'!Y609</f>
        <v>59.6</v>
      </c>
      <c r="Z608">
        <f>'raw data Crude oil'!Z609</f>
        <v>69.683000000000007</v>
      </c>
      <c r="AA608">
        <f>'raw data Crude oil'!AA609</f>
        <v>68.406000000000006</v>
      </c>
      <c r="AB608">
        <f>'raw data Crude oil'!AB609</f>
        <v>67.325999999999993</v>
      </c>
      <c r="AC608">
        <f>'raw data Crude oil'!AC609</f>
        <v>66.590999999999994</v>
      </c>
      <c r="AD608">
        <f>'raw data Crude oil'!AD609</f>
        <v>66.091999999999999</v>
      </c>
      <c r="AE608">
        <f>'raw data Crude oil'!AE609</f>
        <v>65.625</v>
      </c>
      <c r="AF608">
        <f>'raw data Crude oil'!AF609</f>
        <v>65.165000000000006</v>
      </c>
      <c r="AG608">
        <f>'raw data Crude oil'!AG609</f>
        <v>64.701999999999998</v>
      </c>
      <c r="AH608">
        <f>'raw data Crude oil'!AH609</f>
        <v>64.257999999999996</v>
      </c>
      <c r="AI608">
        <f>'raw data Crude oil'!AI609</f>
        <v>63.845999999999997</v>
      </c>
      <c r="AJ608">
        <f>'raw data Crude oil'!AJ609</f>
        <v>63.496000000000002</v>
      </c>
      <c r="AK608">
        <f>'raw data Crude oil'!AK609</f>
        <v>63.148000000000003</v>
      </c>
    </row>
    <row r="609" spans="1:37" x14ac:dyDescent="0.3">
      <c r="A609" s="18">
        <f>'raw data Crude oil'!A610</f>
        <v>43595</v>
      </c>
      <c r="B609">
        <f>'raw data Crude oil'!B610</f>
        <v>70.62</v>
      </c>
      <c r="C609">
        <f>'raw data Crude oil'!C610</f>
        <v>69.64</v>
      </c>
      <c r="D609">
        <f>'raw data Crude oil'!D610</f>
        <v>68.88</v>
      </c>
      <c r="E609">
        <f>'raw data Crude oil'!E610</f>
        <v>68.27</v>
      </c>
      <c r="F609">
        <f>'raw data Crude oil'!F610</f>
        <v>67.83</v>
      </c>
      <c r="G609">
        <f>'raw data Crude oil'!G610</f>
        <v>67.430000000000007</v>
      </c>
      <c r="H609">
        <f>'raw data Crude oil'!H610</f>
        <v>67.069999999999993</v>
      </c>
      <c r="I609">
        <f>'raw data Crude oil'!I610</f>
        <v>66.739999999999995</v>
      </c>
      <c r="J609">
        <f>'raw data Crude oil'!J610</f>
        <v>66.44</v>
      </c>
      <c r="K609">
        <f>'raw data Crude oil'!K610</f>
        <v>66.16</v>
      </c>
      <c r="L609">
        <f>'raw data Crude oil'!L610</f>
        <v>65.87</v>
      </c>
      <c r="M609">
        <f>'raw data Crude oil'!M610</f>
        <v>65.56</v>
      </c>
      <c r="N609">
        <f>'raw data Crude oil'!N610</f>
        <v>61.66</v>
      </c>
      <c r="O609">
        <f>'raw data Crude oil'!O610</f>
        <v>61.8</v>
      </c>
      <c r="P609">
        <f>'raw data Crude oil'!P610</f>
        <v>61.86</v>
      </c>
      <c r="Q609">
        <f>'raw data Crude oil'!Q610</f>
        <v>61.83</v>
      </c>
      <c r="R609">
        <f>'raw data Crude oil'!R610</f>
        <v>61.7</v>
      </c>
      <c r="S609">
        <f>'raw data Crude oil'!S610</f>
        <v>61.49</v>
      </c>
      <c r="T609">
        <f>'raw data Crude oil'!T610</f>
        <v>61.23</v>
      </c>
      <c r="U609">
        <f>'raw data Crude oil'!U610</f>
        <v>60.93</v>
      </c>
      <c r="V609">
        <f>'raw data Crude oil'!V610</f>
        <v>60.59</v>
      </c>
      <c r="W609">
        <f>'raw data Crude oil'!W610</f>
        <v>60.25</v>
      </c>
      <c r="X609">
        <f>'raw data Crude oil'!X610</f>
        <v>59.9</v>
      </c>
      <c r="Y609">
        <f>'raw data Crude oil'!Y610</f>
        <v>59.56</v>
      </c>
      <c r="Z609">
        <f>'raw data Crude oil'!Z610</f>
        <v>69.843000000000004</v>
      </c>
      <c r="AA609">
        <f>'raw data Crude oil'!AA610</f>
        <v>68.512</v>
      </c>
      <c r="AB609">
        <f>'raw data Crude oil'!AB610</f>
        <v>67.363</v>
      </c>
      <c r="AC609">
        <f>'raw data Crude oil'!AC610</f>
        <v>66.61</v>
      </c>
      <c r="AD609">
        <f>'raw data Crude oil'!AD610</f>
        <v>66.090999999999994</v>
      </c>
      <c r="AE609">
        <f>'raw data Crude oil'!AE610</f>
        <v>65.584000000000003</v>
      </c>
      <c r="AF609">
        <f>'raw data Crude oil'!AF610</f>
        <v>65.084000000000003</v>
      </c>
      <c r="AG609">
        <f>'raw data Crude oil'!AG610</f>
        <v>64.590999999999994</v>
      </c>
      <c r="AH609">
        <f>'raw data Crude oil'!AH610</f>
        <v>64.147000000000006</v>
      </c>
      <c r="AI609">
        <f>'raw data Crude oil'!AI610</f>
        <v>63.725999999999999</v>
      </c>
      <c r="AJ609">
        <f>'raw data Crude oil'!AJ610</f>
        <v>63.375999999999998</v>
      </c>
      <c r="AK609">
        <f>'raw data Crude oil'!AK610</f>
        <v>63.027000000000001</v>
      </c>
    </row>
    <row r="610" spans="1:37" x14ac:dyDescent="0.3">
      <c r="A610" s="18">
        <f>'raw data Crude oil'!A611</f>
        <v>43598</v>
      </c>
      <c r="B610">
        <f>'raw data Crude oil'!B611</f>
        <v>70.23</v>
      </c>
      <c r="C610">
        <f>'raw data Crude oil'!C611</f>
        <v>69.31</v>
      </c>
      <c r="D610">
        <f>'raw data Crude oil'!D611</f>
        <v>68.58</v>
      </c>
      <c r="E610">
        <f>'raw data Crude oil'!E611</f>
        <v>68</v>
      </c>
      <c r="F610">
        <f>'raw data Crude oil'!F611</f>
        <v>67.569999999999993</v>
      </c>
      <c r="G610">
        <f>'raw data Crude oil'!G611</f>
        <v>67.17</v>
      </c>
      <c r="H610">
        <f>'raw data Crude oil'!H611</f>
        <v>66.81</v>
      </c>
      <c r="I610">
        <f>'raw data Crude oil'!I611</f>
        <v>66.48</v>
      </c>
      <c r="J610">
        <f>'raw data Crude oil'!J611</f>
        <v>66.17</v>
      </c>
      <c r="K610">
        <f>'raw data Crude oil'!K611</f>
        <v>65.89</v>
      </c>
      <c r="L610">
        <f>'raw data Crude oil'!L611</f>
        <v>65.599999999999994</v>
      </c>
      <c r="M610">
        <f>'raw data Crude oil'!M611</f>
        <v>65.290000000000006</v>
      </c>
      <c r="N610">
        <f>'raw data Crude oil'!N611</f>
        <v>61.04</v>
      </c>
      <c r="O610">
        <f>'raw data Crude oil'!O611</f>
        <v>61.21</v>
      </c>
      <c r="P610">
        <f>'raw data Crude oil'!P611</f>
        <v>61.3</v>
      </c>
      <c r="Q610">
        <f>'raw data Crude oil'!Q611</f>
        <v>61.3</v>
      </c>
      <c r="R610">
        <f>'raw data Crude oil'!R611</f>
        <v>61.2</v>
      </c>
      <c r="S610">
        <f>'raw data Crude oil'!S611</f>
        <v>61.02</v>
      </c>
      <c r="T610">
        <f>'raw data Crude oil'!T611</f>
        <v>60.79</v>
      </c>
      <c r="U610">
        <f>'raw data Crude oil'!U611</f>
        <v>60.51</v>
      </c>
      <c r="V610">
        <f>'raw data Crude oil'!V611</f>
        <v>60.19</v>
      </c>
      <c r="W610">
        <f>'raw data Crude oil'!W611</f>
        <v>59.85</v>
      </c>
      <c r="X610">
        <f>'raw data Crude oil'!X611</f>
        <v>59.51</v>
      </c>
      <c r="Y610">
        <f>'raw data Crude oil'!Y611</f>
        <v>59.17</v>
      </c>
      <c r="Z610">
        <f>'raw data Crude oil'!Z611</f>
        <v>69.823999999999998</v>
      </c>
      <c r="AA610">
        <f>'raw data Crude oil'!AA611</f>
        <v>68.244</v>
      </c>
      <c r="AB610">
        <f>'raw data Crude oil'!AB611</f>
        <v>67.055000000000007</v>
      </c>
      <c r="AC610">
        <f>'raw data Crude oil'!AC611</f>
        <v>66.28</v>
      </c>
      <c r="AD610">
        <f>'raw data Crude oil'!AD611</f>
        <v>65.781000000000006</v>
      </c>
      <c r="AE610">
        <f>'raw data Crude oil'!AE611</f>
        <v>65.274000000000001</v>
      </c>
      <c r="AF610">
        <f>'raw data Crude oil'!AF611</f>
        <v>64.774000000000001</v>
      </c>
      <c r="AG610">
        <f>'raw data Crude oil'!AG611</f>
        <v>64.3</v>
      </c>
      <c r="AH610">
        <f>'raw data Crude oil'!AH611</f>
        <v>63.896999999999998</v>
      </c>
      <c r="AI610">
        <f>'raw data Crude oil'!AI611</f>
        <v>63.475999999999999</v>
      </c>
      <c r="AJ610">
        <f>'raw data Crude oil'!AJ611</f>
        <v>63.085999999999999</v>
      </c>
      <c r="AK610">
        <f>'raw data Crude oil'!AK611</f>
        <v>62.737000000000002</v>
      </c>
    </row>
    <row r="611" spans="1:37" x14ac:dyDescent="0.3">
      <c r="A611" s="18">
        <f>'raw data Crude oil'!A612</f>
        <v>43599</v>
      </c>
      <c r="B611">
        <f>'raw data Crude oil'!B612</f>
        <v>71.239999999999995</v>
      </c>
      <c r="C611">
        <f>'raw data Crude oil'!C612</f>
        <v>70.31</v>
      </c>
      <c r="D611">
        <f>'raw data Crude oil'!D612</f>
        <v>69.56</v>
      </c>
      <c r="E611">
        <f>'raw data Crude oil'!E612</f>
        <v>68.94</v>
      </c>
      <c r="F611">
        <f>'raw data Crude oil'!F612</f>
        <v>68.48</v>
      </c>
      <c r="G611">
        <f>'raw data Crude oil'!G612</f>
        <v>68.05</v>
      </c>
      <c r="H611">
        <f>'raw data Crude oil'!H612</f>
        <v>67.67</v>
      </c>
      <c r="I611">
        <f>'raw data Crude oil'!I612</f>
        <v>67.319999999999993</v>
      </c>
      <c r="J611">
        <f>'raw data Crude oil'!J612</f>
        <v>67</v>
      </c>
      <c r="K611">
        <f>'raw data Crude oil'!K612</f>
        <v>66.7</v>
      </c>
      <c r="L611">
        <f>'raw data Crude oil'!L612</f>
        <v>66.400000000000006</v>
      </c>
      <c r="M611">
        <f>'raw data Crude oil'!M612</f>
        <v>66.069999999999993</v>
      </c>
      <c r="N611">
        <f>'raw data Crude oil'!N612</f>
        <v>61.78</v>
      </c>
      <c r="O611">
        <f>'raw data Crude oil'!O612</f>
        <v>61.96</v>
      </c>
      <c r="P611">
        <f>'raw data Crude oil'!P612</f>
        <v>62.08</v>
      </c>
      <c r="Q611">
        <f>'raw data Crude oil'!Q612</f>
        <v>62.1</v>
      </c>
      <c r="R611">
        <f>'raw data Crude oil'!R612</f>
        <v>62.03</v>
      </c>
      <c r="S611">
        <f>'raw data Crude oil'!S612</f>
        <v>61.87</v>
      </c>
      <c r="T611">
        <f>'raw data Crude oil'!T612</f>
        <v>61.65</v>
      </c>
      <c r="U611">
        <f>'raw data Crude oil'!U612</f>
        <v>61.37</v>
      </c>
      <c r="V611">
        <f>'raw data Crude oil'!V612</f>
        <v>61.04</v>
      </c>
      <c r="W611">
        <f>'raw data Crude oil'!W612</f>
        <v>60.69</v>
      </c>
      <c r="X611">
        <f>'raw data Crude oil'!X612</f>
        <v>60.33</v>
      </c>
      <c r="Y611">
        <f>'raw data Crude oil'!Y612</f>
        <v>59.97</v>
      </c>
      <c r="Z611">
        <f>'raw data Crude oil'!Z612</f>
        <v>70.405000000000001</v>
      </c>
      <c r="AA611">
        <f>'raw data Crude oil'!AA612</f>
        <v>69.272999999999996</v>
      </c>
      <c r="AB611">
        <f>'raw data Crude oil'!AB612</f>
        <v>68.033000000000001</v>
      </c>
      <c r="AC611">
        <f>'raw data Crude oil'!AC612</f>
        <v>67.228999999999999</v>
      </c>
      <c r="AD611">
        <f>'raw data Crude oil'!AD612</f>
        <v>66.709999999999994</v>
      </c>
      <c r="AE611">
        <f>'raw data Crude oil'!AE612</f>
        <v>66.212999999999994</v>
      </c>
      <c r="AF611">
        <f>'raw data Crude oil'!AF612</f>
        <v>65.712999999999994</v>
      </c>
      <c r="AG611">
        <f>'raw data Crude oil'!AG612</f>
        <v>65.22</v>
      </c>
      <c r="AH611">
        <f>'raw data Crude oil'!AH612</f>
        <v>64.775999999999996</v>
      </c>
      <c r="AI611">
        <f>'raw data Crude oil'!AI612</f>
        <v>64.344999999999999</v>
      </c>
      <c r="AJ611">
        <f>'raw data Crude oil'!AJ612</f>
        <v>63.945</v>
      </c>
      <c r="AK611">
        <f>'raw data Crude oil'!AK612</f>
        <v>63.587000000000003</v>
      </c>
    </row>
    <row r="612" spans="1:37" x14ac:dyDescent="0.3">
      <c r="A612" s="18">
        <f>'raw data Crude oil'!A613</f>
        <v>43600</v>
      </c>
      <c r="B612">
        <f>'raw data Crude oil'!B613</f>
        <v>71.77</v>
      </c>
      <c r="C612">
        <f>'raw data Crude oil'!C613</f>
        <v>70.900000000000006</v>
      </c>
      <c r="D612">
        <f>'raw data Crude oil'!D613</f>
        <v>70.16</v>
      </c>
      <c r="E612">
        <f>'raw data Crude oil'!E613</f>
        <v>69.55</v>
      </c>
      <c r="F612">
        <f>'raw data Crude oil'!F613</f>
        <v>69.08</v>
      </c>
      <c r="G612">
        <f>'raw data Crude oil'!G613</f>
        <v>68.650000000000006</v>
      </c>
      <c r="H612">
        <f>'raw data Crude oil'!H613</f>
        <v>68.260000000000005</v>
      </c>
      <c r="I612">
        <f>'raw data Crude oil'!I613</f>
        <v>67.900000000000006</v>
      </c>
      <c r="J612">
        <f>'raw data Crude oil'!J613</f>
        <v>67.569999999999993</v>
      </c>
      <c r="K612">
        <f>'raw data Crude oil'!K613</f>
        <v>67.25</v>
      </c>
      <c r="L612">
        <f>'raw data Crude oil'!L613</f>
        <v>66.94</v>
      </c>
      <c r="M612">
        <f>'raw data Crude oil'!M613</f>
        <v>66.61</v>
      </c>
      <c r="N612">
        <f>'raw data Crude oil'!N613</f>
        <v>62.02</v>
      </c>
      <c r="O612">
        <f>'raw data Crude oil'!O613</f>
        <v>62.24</v>
      </c>
      <c r="P612">
        <f>'raw data Crude oil'!P613</f>
        <v>62.39</v>
      </c>
      <c r="Q612">
        <f>'raw data Crude oil'!Q613</f>
        <v>62.45</v>
      </c>
      <c r="R612">
        <f>'raw data Crude oil'!R613</f>
        <v>62.41</v>
      </c>
      <c r="S612">
        <f>'raw data Crude oil'!S613</f>
        <v>62.28</v>
      </c>
      <c r="T612">
        <f>'raw data Crude oil'!T613</f>
        <v>62.08</v>
      </c>
      <c r="U612">
        <f>'raw data Crude oil'!U613</f>
        <v>61.82</v>
      </c>
      <c r="V612">
        <f>'raw data Crude oil'!V613</f>
        <v>61.51</v>
      </c>
      <c r="W612">
        <f>'raw data Crude oil'!W613</f>
        <v>61.16</v>
      </c>
      <c r="X612">
        <f>'raw data Crude oil'!X613</f>
        <v>60.79</v>
      </c>
      <c r="Y612">
        <f>'raw data Crude oil'!Y613</f>
        <v>60.41</v>
      </c>
      <c r="Z612">
        <f>'raw data Crude oil'!Z613</f>
        <v>70.721999999999994</v>
      </c>
      <c r="AA612">
        <f>'raw data Crude oil'!AA613</f>
        <v>69.852999999999994</v>
      </c>
      <c r="AB612">
        <f>'raw data Crude oil'!AB613</f>
        <v>68.653000000000006</v>
      </c>
      <c r="AC612">
        <f>'raw data Crude oil'!AC613</f>
        <v>67.838999999999999</v>
      </c>
      <c r="AD612">
        <f>'raw data Crude oil'!AD613</f>
        <v>67.31</v>
      </c>
      <c r="AE612">
        <f>'raw data Crude oil'!AE613</f>
        <v>66.793000000000006</v>
      </c>
      <c r="AF612">
        <f>'raw data Crude oil'!AF613</f>
        <v>66.283000000000001</v>
      </c>
      <c r="AG612">
        <f>'raw data Crude oil'!AG613</f>
        <v>65.778999999999996</v>
      </c>
      <c r="AH612">
        <f>'raw data Crude oil'!AH613</f>
        <v>65.295000000000002</v>
      </c>
      <c r="AI612">
        <f>'raw data Crude oil'!AI613</f>
        <v>64.864999999999995</v>
      </c>
      <c r="AJ612">
        <f>'raw data Crude oil'!AJ613</f>
        <v>64.454999999999998</v>
      </c>
      <c r="AK612">
        <f>'raw data Crude oil'!AK613</f>
        <v>64.076999999999998</v>
      </c>
    </row>
    <row r="613" spans="1:37" x14ac:dyDescent="0.3">
      <c r="A613" s="18">
        <f>'raw data Crude oil'!A614</f>
        <v>43601</v>
      </c>
      <c r="B613">
        <f>'raw data Crude oil'!B614</f>
        <v>72.62</v>
      </c>
      <c r="C613">
        <f>'raw data Crude oil'!C614</f>
        <v>71.7</v>
      </c>
      <c r="D613">
        <f>'raw data Crude oil'!D614</f>
        <v>70.89</v>
      </c>
      <c r="E613">
        <f>'raw data Crude oil'!E614</f>
        <v>70.25</v>
      </c>
      <c r="F613">
        <f>'raw data Crude oil'!F614</f>
        <v>69.75</v>
      </c>
      <c r="G613">
        <f>'raw data Crude oil'!G614</f>
        <v>69.31</v>
      </c>
      <c r="H613">
        <f>'raw data Crude oil'!H614</f>
        <v>68.89</v>
      </c>
      <c r="I613">
        <f>'raw data Crude oil'!I614</f>
        <v>68.5</v>
      </c>
      <c r="J613">
        <f>'raw data Crude oil'!J614</f>
        <v>68.150000000000006</v>
      </c>
      <c r="K613">
        <f>'raw data Crude oil'!K614</f>
        <v>67.819999999999993</v>
      </c>
      <c r="L613">
        <f>'raw data Crude oil'!L614</f>
        <v>67.48</v>
      </c>
      <c r="M613">
        <f>'raw data Crude oil'!M614</f>
        <v>67.12</v>
      </c>
      <c r="N613">
        <f>'raw data Crude oil'!N614</f>
        <v>62.87</v>
      </c>
      <c r="O613">
        <f>'raw data Crude oil'!O614</f>
        <v>63.06</v>
      </c>
      <c r="P613">
        <f>'raw data Crude oil'!P614</f>
        <v>63.17</v>
      </c>
      <c r="Q613">
        <f>'raw data Crude oil'!Q614</f>
        <v>63.19</v>
      </c>
      <c r="R613">
        <f>'raw data Crude oil'!R614</f>
        <v>63.1</v>
      </c>
      <c r="S613">
        <f>'raw data Crude oil'!S614</f>
        <v>62.94</v>
      </c>
      <c r="T613">
        <f>'raw data Crude oil'!T614</f>
        <v>62.72</v>
      </c>
      <c r="U613">
        <f>'raw data Crude oil'!U614</f>
        <v>62.43</v>
      </c>
      <c r="V613">
        <f>'raw data Crude oil'!V614</f>
        <v>62.1</v>
      </c>
      <c r="W613">
        <f>'raw data Crude oil'!W614</f>
        <v>61.71</v>
      </c>
      <c r="X613">
        <f>'raw data Crude oil'!X614</f>
        <v>61.31</v>
      </c>
      <c r="Y613">
        <f>'raw data Crude oil'!Y614</f>
        <v>60.9</v>
      </c>
      <c r="Z613">
        <f>'raw data Crude oil'!Z614</f>
        <v>71.222999999999999</v>
      </c>
      <c r="AA613">
        <f>'raw data Crude oil'!AA614</f>
        <v>70.760000000000005</v>
      </c>
      <c r="AB613">
        <f>'raw data Crude oil'!AB614</f>
        <v>69.531999999999996</v>
      </c>
      <c r="AC613">
        <f>'raw data Crude oil'!AC614</f>
        <v>68.667000000000002</v>
      </c>
      <c r="AD613">
        <f>'raw data Crude oil'!AD614</f>
        <v>68.069000000000003</v>
      </c>
      <c r="AE613">
        <f>'raw data Crude oil'!AE614</f>
        <v>67.552000000000007</v>
      </c>
      <c r="AF613">
        <f>'raw data Crude oil'!AF614</f>
        <v>67.040999999999997</v>
      </c>
      <c r="AG613">
        <f>'raw data Crude oil'!AG614</f>
        <v>66.486999999999995</v>
      </c>
      <c r="AH613">
        <f>'raw data Crude oil'!AH614</f>
        <v>65.974999999999994</v>
      </c>
      <c r="AI613">
        <f>'raw data Crude oil'!AI614</f>
        <v>65.533000000000001</v>
      </c>
      <c r="AJ613">
        <f>'raw data Crude oil'!AJ614</f>
        <v>65.093999999999994</v>
      </c>
      <c r="AK613">
        <f>'raw data Crude oil'!AK614</f>
        <v>64.685000000000002</v>
      </c>
    </row>
    <row r="614" spans="1:37" x14ac:dyDescent="0.3">
      <c r="A614" s="18">
        <f>'raw data Crude oil'!A615</f>
        <v>43602</v>
      </c>
      <c r="B614">
        <f>'raw data Crude oil'!B615</f>
        <v>72.209999999999994</v>
      </c>
      <c r="C614">
        <f>'raw data Crude oil'!C615</f>
        <v>71.260000000000005</v>
      </c>
      <c r="D614">
        <f>'raw data Crude oil'!D615</f>
        <v>70.44</v>
      </c>
      <c r="E614">
        <f>'raw data Crude oil'!E615</f>
        <v>69.81</v>
      </c>
      <c r="F614">
        <f>'raw data Crude oil'!F615</f>
        <v>69.33</v>
      </c>
      <c r="G614">
        <f>'raw data Crude oil'!G615</f>
        <v>68.91</v>
      </c>
      <c r="H614">
        <f>'raw data Crude oil'!H615</f>
        <v>68.52</v>
      </c>
      <c r="I614">
        <f>'raw data Crude oil'!I615</f>
        <v>68.14</v>
      </c>
      <c r="J614">
        <f>'raw data Crude oil'!J615</f>
        <v>67.790000000000006</v>
      </c>
      <c r="K614">
        <f>'raw data Crude oil'!K615</f>
        <v>67.459999999999994</v>
      </c>
      <c r="L614">
        <f>'raw data Crude oil'!L615</f>
        <v>67.12</v>
      </c>
      <c r="M614">
        <f>'raw data Crude oil'!M615</f>
        <v>66.760000000000005</v>
      </c>
      <c r="N614">
        <f>'raw data Crude oil'!N615</f>
        <v>62.76</v>
      </c>
      <c r="O614">
        <f>'raw data Crude oil'!O615</f>
        <v>62.92</v>
      </c>
      <c r="P614">
        <f>'raw data Crude oil'!P615</f>
        <v>62.99</v>
      </c>
      <c r="Q614">
        <f>'raw data Crude oil'!Q615</f>
        <v>62.98</v>
      </c>
      <c r="R614">
        <f>'raw data Crude oil'!R615</f>
        <v>62.86</v>
      </c>
      <c r="S614">
        <f>'raw data Crude oil'!S615</f>
        <v>62.66</v>
      </c>
      <c r="T614">
        <f>'raw data Crude oil'!T615</f>
        <v>62.39</v>
      </c>
      <c r="U614">
        <f>'raw data Crude oil'!U615</f>
        <v>62.07</v>
      </c>
      <c r="V614">
        <f>'raw data Crude oil'!V615</f>
        <v>61.72</v>
      </c>
      <c r="W614">
        <f>'raw data Crude oil'!W615</f>
        <v>61.34</v>
      </c>
      <c r="X614">
        <f>'raw data Crude oil'!X615</f>
        <v>60.94</v>
      </c>
      <c r="Y614">
        <f>'raw data Crude oil'!Y615</f>
        <v>60.54</v>
      </c>
      <c r="Z614">
        <f>'raw data Crude oil'!Z615</f>
        <v>71.019000000000005</v>
      </c>
      <c r="AA614">
        <f>'raw data Crude oil'!AA615</f>
        <v>70.259</v>
      </c>
      <c r="AB614">
        <f>'raw data Crude oil'!AB615</f>
        <v>69.102999999999994</v>
      </c>
      <c r="AC614">
        <f>'raw data Crude oil'!AC615</f>
        <v>68.278000000000006</v>
      </c>
      <c r="AD614">
        <f>'raw data Crude oil'!AD615</f>
        <v>67.7</v>
      </c>
      <c r="AE614">
        <f>'raw data Crude oil'!AE615</f>
        <v>67.192999999999998</v>
      </c>
      <c r="AF614">
        <f>'raw data Crude oil'!AF615</f>
        <v>66.682000000000002</v>
      </c>
      <c r="AG614">
        <f>'raw data Crude oil'!AG615</f>
        <v>66.167000000000002</v>
      </c>
      <c r="AH614">
        <f>'raw data Crude oil'!AH615</f>
        <v>65.655000000000001</v>
      </c>
      <c r="AI614">
        <f>'raw data Crude oil'!AI615</f>
        <v>65.183000000000007</v>
      </c>
      <c r="AJ614">
        <f>'raw data Crude oil'!AJ615</f>
        <v>64.733999999999995</v>
      </c>
      <c r="AK614">
        <f>'raw data Crude oil'!AK615</f>
        <v>64.325000000000003</v>
      </c>
    </row>
    <row r="615" spans="1:37" x14ac:dyDescent="0.3">
      <c r="A615" s="18">
        <f>'raw data Crude oil'!A616</f>
        <v>43605</v>
      </c>
      <c r="B615">
        <f>'raw data Crude oil'!B616</f>
        <v>71.97</v>
      </c>
      <c r="C615">
        <f>'raw data Crude oil'!C616</f>
        <v>71.16</v>
      </c>
      <c r="D615">
        <f>'raw data Crude oil'!D616</f>
        <v>70.38</v>
      </c>
      <c r="E615">
        <f>'raw data Crude oil'!E616</f>
        <v>69.78</v>
      </c>
      <c r="F615">
        <f>'raw data Crude oil'!F616</f>
        <v>69.33</v>
      </c>
      <c r="G615">
        <f>'raw data Crude oil'!G616</f>
        <v>68.94</v>
      </c>
      <c r="H615">
        <f>'raw data Crude oil'!H616</f>
        <v>68.569999999999993</v>
      </c>
      <c r="I615">
        <f>'raw data Crude oil'!I616</f>
        <v>68.23</v>
      </c>
      <c r="J615">
        <f>'raw data Crude oil'!J616</f>
        <v>67.900000000000006</v>
      </c>
      <c r="K615">
        <f>'raw data Crude oil'!K616</f>
        <v>67.59</v>
      </c>
      <c r="L615">
        <f>'raw data Crude oil'!L616</f>
        <v>67.27</v>
      </c>
      <c r="M615">
        <f>'raw data Crude oil'!M616</f>
        <v>66.92</v>
      </c>
      <c r="N615">
        <f>'raw data Crude oil'!N616</f>
        <v>63.1</v>
      </c>
      <c r="O615">
        <f>'raw data Crude oil'!O616</f>
        <v>63.21</v>
      </c>
      <c r="P615">
        <f>'raw data Crude oil'!P616</f>
        <v>63.26</v>
      </c>
      <c r="Q615">
        <f>'raw data Crude oil'!Q616</f>
        <v>63.23</v>
      </c>
      <c r="R615">
        <f>'raw data Crude oil'!R616</f>
        <v>63.11</v>
      </c>
      <c r="S615">
        <f>'raw data Crude oil'!S616</f>
        <v>62.91</v>
      </c>
      <c r="T615">
        <f>'raw data Crude oil'!T616</f>
        <v>62.65</v>
      </c>
      <c r="U615">
        <f>'raw data Crude oil'!U616</f>
        <v>62.33</v>
      </c>
      <c r="V615">
        <f>'raw data Crude oil'!V616</f>
        <v>61.98</v>
      </c>
      <c r="W615">
        <f>'raw data Crude oil'!W616</f>
        <v>61.61</v>
      </c>
      <c r="X615">
        <f>'raw data Crude oil'!X616</f>
        <v>61.22</v>
      </c>
      <c r="Y615">
        <f>'raw data Crude oil'!Y616</f>
        <v>60.84</v>
      </c>
      <c r="Z615">
        <f>'raw data Crude oil'!Z616</f>
        <v>70.929000000000002</v>
      </c>
      <c r="AA615">
        <f>'raw data Crude oil'!AA616</f>
        <v>70.051000000000002</v>
      </c>
      <c r="AB615">
        <f>'raw data Crude oil'!AB616</f>
        <v>68.944000000000003</v>
      </c>
      <c r="AC615">
        <f>'raw data Crude oil'!AC616</f>
        <v>68.16</v>
      </c>
      <c r="AD615">
        <f>'raw data Crude oil'!AD616</f>
        <v>67.600999999999999</v>
      </c>
      <c r="AE615">
        <f>'raw data Crude oil'!AE616</f>
        <v>67.123999999999995</v>
      </c>
      <c r="AF615">
        <f>'raw data Crude oil'!AF616</f>
        <v>66.623999999999995</v>
      </c>
      <c r="AG615">
        <f>'raw data Crude oil'!AG616</f>
        <v>66.138999999999996</v>
      </c>
      <c r="AH615">
        <f>'raw data Crude oil'!AH616</f>
        <v>65.715999999999994</v>
      </c>
      <c r="AI615">
        <f>'raw data Crude oil'!AI616</f>
        <v>65.293999999999997</v>
      </c>
      <c r="AJ615">
        <f>'raw data Crude oil'!AJ616</f>
        <v>64.884</v>
      </c>
      <c r="AK615">
        <f>'raw data Crude oil'!AK616</f>
        <v>64.486000000000004</v>
      </c>
    </row>
    <row r="616" spans="1:37" x14ac:dyDescent="0.3">
      <c r="A616" s="18">
        <f>'raw data Crude oil'!A617</f>
        <v>43606</v>
      </c>
      <c r="B616">
        <f>'raw data Crude oil'!B617</f>
        <v>72.180000000000007</v>
      </c>
      <c r="C616">
        <f>'raw data Crude oil'!C617</f>
        <v>71.31</v>
      </c>
      <c r="D616">
        <f>'raw data Crude oil'!D617</f>
        <v>70.510000000000005</v>
      </c>
      <c r="E616">
        <f>'raw data Crude oil'!E617</f>
        <v>69.900000000000006</v>
      </c>
      <c r="F616">
        <f>'raw data Crude oil'!F617</f>
        <v>69.45</v>
      </c>
      <c r="G616">
        <f>'raw data Crude oil'!G617</f>
        <v>69.06</v>
      </c>
      <c r="H616">
        <f>'raw data Crude oil'!H617</f>
        <v>68.7</v>
      </c>
      <c r="I616">
        <f>'raw data Crude oil'!I617</f>
        <v>68.349999999999994</v>
      </c>
      <c r="J616">
        <f>'raw data Crude oil'!J617</f>
        <v>68.02</v>
      </c>
      <c r="K616">
        <f>'raw data Crude oil'!K617</f>
        <v>67.709999999999994</v>
      </c>
      <c r="L616">
        <f>'raw data Crude oil'!L617</f>
        <v>67.39</v>
      </c>
      <c r="M616">
        <f>'raw data Crude oil'!M617</f>
        <v>67.06</v>
      </c>
      <c r="N616">
        <f>'raw data Crude oil'!N617</f>
        <v>62.99</v>
      </c>
      <c r="O616">
        <f>'raw data Crude oil'!O617</f>
        <v>63.13</v>
      </c>
      <c r="P616">
        <f>'raw data Crude oil'!P617</f>
        <v>63.21</v>
      </c>
      <c r="Q616">
        <f>'raw data Crude oil'!Q617</f>
        <v>63.19</v>
      </c>
      <c r="R616">
        <f>'raw data Crude oil'!R617</f>
        <v>63.07</v>
      </c>
      <c r="S616">
        <f>'raw data Crude oil'!S617</f>
        <v>62.88</v>
      </c>
      <c r="T616">
        <f>'raw data Crude oil'!T617</f>
        <v>62.62</v>
      </c>
      <c r="U616">
        <f>'raw data Crude oil'!U617</f>
        <v>62.32</v>
      </c>
      <c r="V616">
        <f>'raw data Crude oil'!V617</f>
        <v>61.98</v>
      </c>
      <c r="W616">
        <f>'raw data Crude oil'!W617</f>
        <v>61.64</v>
      </c>
      <c r="X616">
        <f>'raw data Crude oil'!X617</f>
        <v>61.28</v>
      </c>
      <c r="Y616">
        <f>'raw data Crude oil'!Y617</f>
        <v>60.93</v>
      </c>
      <c r="Z616">
        <f>'raw data Crude oil'!Z617</f>
        <v>70.957999999999998</v>
      </c>
      <c r="AA616">
        <f>'raw data Crude oil'!AA617</f>
        <v>70.14</v>
      </c>
      <c r="AB616">
        <f>'raw data Crude oil'!AB617</f>
        <v>69.043000000000006</v>
      </c>
      <c r="AC616">
        <f>'raw data Crude oil'!AC617</f>
        <v>68.3</v>
      </c>
      <c r="AD616">
        <f>'raw data Crude oil'!AD617</f>
        <v>67.741</v>
      </c>
      <c r="AE616">
        <f>'raw data Crude oil'!AE617</f>
        <v>67.263999999999996</v>
      </c>
      <c r="AF616">
        <f>'raw data Crude oil'!AF617</f>
        <v>66.793000000000006</v>
      </c>
      <c r="AG616">
        <f>'raw data Crude oil'!AG617</f>
        <v>66.338999999999999</v>
      </c>
      <c r="AH616">
        <f>'raw data Crude oil'!AH617</f>
        <v>65.885999999999996</v>
      </c>
      <c r="AI616">
        <f>'raw data Crude oil'!AI617</f>
        <v>65.433999999999997</v>
      </c>
      <c r="AJ616">
        <f>'raw data Crude oil'!AJ617</f>
        <v>64.995000000000005</v>
      </c>
      <c r="AK616">
        <f>'raw data Crude oil'!AK617</f>
        <v>64.614999999999995</v>
      </c>
    </row>
    <row r="617" spans="1:37" x14ac:dyDescent="0.3">
      <c r="A617" s="18">
        <f>'raw data Crude oil'!A618</f>
        <v>43607</v>
      </c>
      <c r="B617">
        <f>'raw data Crude oil'!B618</f>
        <v>70.989999999999995</v>
      </c>
      <c r="C617">
        <f>'raw data Crude oil'!C618</f>
        <v>69.989999999999995</v>
      </c>
      <c r="D617">
        <f>'raw data Crude oil'!D618</f>
        <v>69.13</v>
      </c>
      <c r="E617">
        <f>'raw data Crude oil'!E618</f>
        <v>68.47</v>
      </c>
      <c r="F617">
        <f>'raw data Crude oil'!F618</f>
        <v>68</v>
      </c>
      <c r="G617">
        <f>'raw data Crude oil'!G618</f>
        <v>67.63</v>
      </c>
      <c r="H617">
        <f>'raw data Crude oil'!H618</f>
        <v>67.27</v>
      </c>
      <c r="I617">
        <f>'raw data Crude oil'!I618</f>
        <v>66.95</v>
      </c>
      <c r="J617">
        <f>'raw data Crude oil'!J618</f>
        <v>66.64</v>
      </c>
      <c r="K617">
        <f>'raw data Crude oil'!K618</f>
        <v>66.34</v>
      </c>
      <c r="L617">
        <f>'raw data Crude oil'!L618</f>
        <v>66.040000000000006</v>
      </c>
      <c r="M617">
        <f>'raw data Crude oil'!M618</f>
        <v>65.739999999999995</v>
      </c>
      <c r="N617">
        <f>'raw data Crude oil'!N618</f>
        <v>61.42</v>
      </c>
      <c r="O617">
        <f>'raw data Crude oil'!O618</f>
        <v>61.5</v>
      </c>
      <c r="P617">
        <f>'raw data Crude oil'!P618</f>
        <v>61.48</v>
      </c>
      <c r="Q617">
        <f>'raw data Crude oil'!Q618</f>
        <v>61.37</v>
      </c>
      <c r="R617">
        <f>'raw data Crude oil'!R618</f>
        <v>61.2</v>
      </c>
      <c r="S617">
        <f>'raw data Crude oil'!S618</f>
        <v>60.97</v>
      </c>
      <c r="T617">
        <f>'raw data Crude oil'!T618</f>
        <v>60.68</v>
      </c>
      <c r="U617">
        <f>'raw data Crude oil'!U618</f>
        <v>60.37</v>
      </c>
      <c r="V617">
        <f>'raw data Crude oil'!V618</f>
        <v>60.06</v>
      </c>
      <c r="W617">
        <f>'raw data Crude oil'!W618</f>
        <v>59.74</v>
      </c>
      <c r="X617">
        <f>'raw data Crude oil'!X618</f>
        <v>59.43</v>
      </c>
      <c r="Y617">
        <f>'raw data Crude oil'!Y618</f>
        <v>59.12</v>
      </c>
      <c r="Z617">
        <f>'raw data Crude oil'!Z618</f>
        <v>70.465000000000003</v>
      </c>
      <c r="AA617">
        <f>'raw data Crude oil'!AA618</f>
        <v>68.697000000000003</v>
      </c>
      <c r="AB617">
        <f>'raw data Crude oil'!AB618</f>
        <v>67.551000000000002</v>
      </c>
      <c r="AC617">
        <f>'raw data Crude oil'!AC618</f>
        <v>66.808999999999997</v>
      </c>
      <c r="AD617">
        <f>'raw data Crude oil'!AD618</f>
        <v>66.251999999999995</v>
      </c>
      <c r="AE617">
        <f>'raw data Crude oil'!AE618</f>
        <v>65.784000000000006</v>
      </c>
      <c r="AF617">
        <f>'raw data Crude oil'!AF618</f>
        <v>65.314999999999998</v>
      </c>
      <c r="AG617">
        <f>'raw data Crude oil'!AG618</f>
        <v>64.87</v>
      </c>
      <c r="AH617">
        <f>'raw data Crude oil'!AH618</f>
        <v>64.445999999999998</v>
      </c>
      <c r="AI617">
        <f>'raw data Crude oil'!AI618</f>
        <v>64.015000000000001</v>
      </c>
      <c r="AJ617">
        <f>'raw data Crude oil'!AJ618</f>
        <v>63.595999999999997</v>
      </c>
      <c r="AK617">
        <f>'raw data Crude oil'!AK618</f>
        <v>63.216000000000001</v>
      </c>
    </row>
    <row r="618" spans="1:37" x14ac:dyDescent="0.3">
      <c r="A618" s="18">
        <f>'raw data Crude oil'!A619</f>
        <v>43608</v>
      </c>
      <c r="B618">
        <f>'raw data Crude oil'!B619</f>
        <v>67.760000000000005</v>
      </c>
      <c r="C618">
        <f>'raw data Crude oil'!C619</f>
        <v>66.5</v>
      </c>
      <c r="D618">
        <f>'raw data Crude oil'!D619</f>
        <v>65.56</v>
      </c>
      <c r="E618">
        <f>'raw data Crude oil'!E619</f>
        <v>64.89</v>
      </c>
      <c r="F618">
        <f>'raw data Crude oil'!F619</f>
        <v>64.42</v>
      </c>
      <c r="G618">
        <f>'raw data Crude oil'!G619</f>
        <v>64.069999999999993</v>
      </c>
      <c r="H618">
        <f>'raw data Crude oil'!H619</f>
        <v>63.75</v>
      </c>
      <c r="I618">
        <f>'raw data Crude oil'!I619</f>
        <v>63.45</v>
      </c>
      <c r="J618">
        <f>'raw data Crude oil'!J619</f>
        <v>63.19</v>
      </c>
      <c r="K618">
        <f>'raw data Crude oil'!K619</f>
        <v>62.96</v>
      </c>
      <c r="L618">
        <f>'raw data Crude oil'!L619</f>
        <v>62.73</v>
      </c>
      <c r="M618">
        <f>'raw data Crude oil'!M619</f>
        <v>62.49</v>
      </c>
      <c r="N618">
        <f>'raw data Crude oil'!N619</f>
        <v>57.91</v>
      </c>
      <c r="O618">
        <f>'raw data Crude oil'!O619</f>
        <v>57.99</v>
      </c>
      <c r="P618">
        <f>'raw data Crude oil'!P619</f>
        <v>57.99</v>
      </c>
      <c r="Q618">
        <f>'raw data Crude oil'!Q619</f>
        <v>57.91</v>
      </c>
      <c r="R618">
        <f>'raw data Crude oil'!R619</f>
        <v>57.77</v>
      </c>
      <c r="S618">
        <f>'raw data Crude oil'!S619</f>
        <v>57.57</v>
      </c>
      <c r="T618">
        <f>'raw data Crude oil'!T619</f>
        <v>57.34</v>
      </c>
      <c r="U618">
        <f>'raw data Crude oil'!U619</f>
        <v>57.08</v>
      </c>
      <c r="V618">
        <f>'raw data Crude oil'!V619</f>
        <v>56.82</v>
      </c>
      <c r="W618">
        <f>'raw data Crude oil'!W619</f>
        <v>56.55</v>
      </c>
      <c r="X618">
        <f>'raw data Crude oil'!X619</f>
        <v>56.3</v>
      </c>
      <c r="Y618">
        <f>'raw data Crude oil'!Y619</f>
        <v>56.04</v>
      </c>
      <c r="Z618">
        <f>'raw data Crude oil'!Z619</f>
        <v>69.236000000000004</v>
      </c>
      <c r="AA618">
        <f>'raw data Crude oil'!AA619</f>
        <v>64.760999999999996</v>
      </c>
      <c r="AB618">
        <f>'raw data Crude oil'!AB619</f>
        <v>63.780999999999999</v>
      </c>
      <c r="AC618">
        <f>'raw data Crude oil'!AC619</f>
        <v>63.069000000000003</v>
      </c>
      <c r="AD618">
        <f>'raw data Crude oil'!AD619</f>
        <v>62.582999999999998</v>
      </c>
      <c r="AE618">
        <f>'raw data Crude oil'!AE619</f>
        <v>62.155999999999999</v>
      </c>
      <c r="AF618">
        <f>'raw data Crude oil'!AF619</f>
        <v>61.735999999999997</v>
      </c>
      <c r="AG618">
        <f>'raw data Crude oil'!AG619</f>
        <v>61.305</v>
      </c>
      <c r="AH618">
        <f>'raw data Crude oil'!AH619</f>
        <v>60.9</v>
      </c>
      <c r="AI618">
        <f>'raw data Crude oil'!AI619</f>
        <v>60.539000000000001</v>
      </c>
      <c r="AJ618">
        <f>'raw data Crude oil'!AJ619</f>
        <v>60.189</v>
      </c>
      <c r="AK618">
        <f>'raw data Crude oil'!AK619</f>
        <v>59.869</v>
      </c>
    </row>
    <row r="619" spans="1:37" x14ac:dyDescent="0.3">
      <c r="A619" s="18">
        <f>'raw data Crude oil'!A620</f>
        <v>43609</v>
      </c>
      <c r="B619">
        <f>'raw data Crude oil'!B620</f>
        <v>68.69</v>
      </c>
      <c r="C619">
        <f>'raw data Crude oil'!C620</f>
        <v>67.47</v>
      </c>
      <c r="D619">
        <f>'raw data Crude oil'!D620</f>
        <v>66.52</v>
      </c>
      <c r="E619">
        <f>'raw data Crude oil'!E620</f>
        <v>65.83</v>
      </c>
      <c r="F619">
        <f>'raw data Crude oil'!F620</f>
        <v>65.38</v>
      </c>
      <c r="G619">
        <f>'raw data Crude oil'!G620</f>
        <v>65.03</v>
      </c>
      <c r="H619">
        <f>'raw data Crude oil'!H620</f>
        <v>64.72</v>
      </c>
      <c r="I619">
        <f>'raw data Crude oil'!I620</f>
        <v>64.44</v>
      </c>
      <c r="J619">
        <f>'raw data Crude oil'!J620</f>
        <v>64.2</v>
      </c>
      <c r="K619">
        <f>'raw data Crude oil'!K620</f>
        <v>63.98</v>
      </c>
      <c r="L619">
        <f>'raw data Crude oil'!L620</f>
        <v>63.76</v>
      </c>
      <c r="M619">
        <f>'raw data Crude oil'!M620</f>
        <v>63.53</v>
      </c>
      <c r="N619">
        <f>'raw data Crude oil'!N620</f>
        <v>58.63</v>
      </c>
      <c r="O619">
        <f>'raw data Crude oil'!O620</f>
        <v>58.71</v>
      </c>
      <c r="P619">
        <f>'raw data Crude oil'!P620</f>
        <v>58.73</v>
      </c>
      <c r="Q619">
        <f>'raw data Crude oil'!Q620</f>
        <v>58.66</v>
      </c>
      <c r="R619">
        <f>'raw data Crude oil'!R620</f>
        <v>58.53</v>
      </c>
      <c r="S619">
        <f>'raw data Crude oil'!S620</f>
        <v>58.35</v>
      </c>
      <c r="T619">
        <f>'raw data Crude oil'!T620</f>
        <v>58.13</v>
      </c>
      <c r="U619">
        <f>'raw data Crude oil'!U620</f>
        <v>57.89</v>
      </c>
      <c r="V619">
        <f>'raw data Crude oil'!V620</f>
        <v>57.65</v>
      </c>
      <c r="W619">
        <f>'raw data Crude oil'!W620</f>
        <v>57.4</v>
      </c>
      <c r="X619">
        <f>'raw data Crude oil'!X620</f>
        <v>57.16</v>
      </c>
      <c r="Y619">
        <f>'raw data Crude oil'!Y620</f>
        <v>56.93</v>
      </c>
      <c r="Z619">
        <f>'raw data Crude oil'!Z620</f>
        <v>69.424999999999997</v>
      </c>
      <c r="AA619">
        <f>'raw data Crude oil'!AA620</f>
        <v>65.683000000000007</v>
      </c>
      <c r="AB619">
        <f>'raw data Crude oil'!AB620</f>
        <v>64.64</v>
      </c>
      <c r="AC619">
        <f>'raw data Crude oil'!AC620</f>
        <v>63.96</v>
      </c>
      <c r="AD619">
        <f>'raw data Crude oil'!AD620</f>
        <v>63.453000000000003</v>
      </c>
      <c r="AE619">
        <f>'raw data Crude oil'!AE620</f>
        <v>63.046999999999997</v>
      </c>
      <c r="AF619">
        <f>'raw data Crude oil'!AF620</f>
        <v>62.646999999999998</v>
      </c>
      <c r="AG619">
        <f>'raw data Crude oil'!AG620</f>
        <v>62.237000000000002</v>
      </c>
      <c r="AH619">
        <f>'raw data Crude oil'!AH620</f>
        <v>61.88</v>
      </c>
      <c r="AI619">
        <f>'raw data Crude oil'!AI620</f>
        <v>61.558999999999997</v>
      </c>
      <c r="AJ619">
        <f>'raw data Crude oil'!AJ620</f>
        <v>61.24</v>
      </c>
      <c r="AK619">
        <f>'raw data Crude oil'!AK620</f>
        <v>60.969000000000001</v>
      </c>
    </row>
    <row r="620" spans="1:37" x14ac:dyDescent="0.3">
      <c r="A620" s="18">
        <f>'raw data Crude oil'!A621</f>
        <v>43612</v>
      </c>
      <c r="B620">
        <f>'raw data Crude oil'!B621</f>
        <v>70.11</v>
      </c>
      <c r="C620">
        <f>'raw data Crude oil'!C621</f>
        <v>68.77</v>
      </c>
      <c r="D620">
        <f>'raw data Crude oil'!D621</f>
        <v>67.8</v>
      </c>
      <c r="E620">
        <f>'raw data Crude oil'!E621</f>
        <v>67.09</v>
      </c>
      <c r="F620">
        <f>'raw data Crude oil'!F621</f>
        <v>66.63</v>
      </c>
      <c r="G620">
        <f>'raw data Crude oil'!G621</f>
        <v>66.28</v>
      </c>
      <c r="H620">
        <f>'raw data Crude oil'!H621</f>
        <v>65.959999999999994</v>
      </c>
      <c r="I620">
        <f>'raw data Crude oil'!I621</f>
        <v>65.67</v>
      </c>
      <c r="J620">
        <f>'raw data Crude oil'!J621</f>
        <v>65.42</v>
      </c>
      <c r="K620">
        <f>'raw data Crude oil'!K621</f>
        <v>65.19</v>
      </c>
      <c r="L620">
        <f>'raw data Crude oil'!L621</f>
        <v>64.97</v>
      </c>
      <c r="M620">
        <f>'raw data Crude oil'!M621</f>
        <v>64.73</v>
      </c>
      <c r="N620">
        <f>'raw data Crude oil'!N621</f>
        <v>58.63</v>
      </c>
      <c r="O620">
        <f>'raw data Crude oil'!O621</f>
        <v>58.71</v>
      </c>
      <c r="P620">
        <f>'raw data Crude oil'!P621</f>
        <v>58.73</v>
      </c>
      <c r="Q620">
        <f>'raw data Crude oil'!Q621</f>
        <v>58.66</v>
      </c>
      <c r="R620">
        <f>'raw data Crude oil'!R621</f>
        <v>58.53</v>
      </c>
      <c r="S620">
        <f>'raw data Crude oil'!S621</f>
        <v>58.35</v>
      </c>
      <c r="T620">
        <f>'raw data Crude oil'!T621</f>
        <v>58.13</v>
      </c>
      <c r="U620">
        <f>'raw data Crude oil'!U621</f>
        <v>57.89</v>
      </c>
      <c r="V620">
        <f>'raw data Crude oil'!V621</f>
        <v>57.65</v>
      </c>
      <c r="W620">
        <f>'raw data Crude oil'!W621</f>
        <v>57.4</v>
      </c>
      <c r="X620">
        <f>'raw data Crude oil'!X621</f>
        <v>57.16</v>
      </c>
      <c r="Y620">
        <f>'raw data Crude oil'!Y621</f>
        <v>56.93</v>
      </c>
      <c r="Z620">
        <f>'raw data Crude oil'!Z621</f>
        <v>69.757999999999996</v>
      </c>
      <c r="AA620">
        <f>'raw data Crude oil'!AA621</f>
        <v>67.081999999999994</v>
      </c>
      <c r="AB620">
        <f>'raw data Crude oil'!AB621</f>
        <v>65.938999999999993</v>
      </c>
      <c r="AC620">
        <f>'raw data Crude oil'!AC621</f>
        <v>65.218999999999994</v>
      </c>
      <c r="AD620">
        <f>'raw data Crude oil'!AD621</f>
        <v>64.673000000000002</v>
      </c>
      <c r="AE620">
        <f>'raw data Crude oil'!AE621</f>
        <v>64.225999999999999</v>
      </c>
      <c r="AF620">
        <f>'raw data Crude oil'!AF621</f>
        <v>63.826000000000001</v>
      </c>
      <c r="AG620">
        <f>'raw data Crude oil'!AG621</f>
        <v>63.445999999999998</v>
      </c>
      <c r="AH620">
        <f>'raw data Crude oil'!AH621</f>
        <v>63.09</v>
      </c>
      <c r="AI620">
        <f>'raw data Crude oil'!AI621</f>
        <v>62.768999999999998</v>
      </c>
      <c r="AJ620">
        <f>'raw data Crude oil'!AJ621</f>
        <v>62.448999999999998</v>
      </c>
      <c r="AK620">
        <f>'raw data Crude oil'!AK621</f>
        <v>62.148000000000003</v>
      </c>
    </row>
    <row r="621" spans="1:37" x14ac:dyDescent="0.3">
      <c r="A621" s="18">
        <f>'raw data Crude oil'!A622</f>
        <v>43613</v>
      </c>
      <c r="B621">
        <f>'raw data Crude oil'!B622</f>
        <v>70.11</v>
      </c>
      <c r="C621">
        <f>'raw data Crude oil'!C622</f>
        <v>68.67</v>
      </c>
      <c r="D621">
        <f>'raw data Crude oil'!D622</f>
        <v>67.73</v>
      </c>
      <c r="E621">
        <f>'raw data Crude oil'!E622</f>
        <v>67.05</v>
      </c>
      <c r="F621">
        <f>'raw data Crude oil'!F622</f>
        <v>66.63</v>
      </c>
      <c r="G621">
        <f>'raw data Crude oil'!G622</f>
        <v>66.3</v>
      </c>
      <c r="H621">
        <f>'raw data Crude oil'!H622</f>
        <v>66</v>
      </c>
      <c r="I621">
        <f>'raw data Crude oil'!I622</f>
        <v>65.72</v>
      </c>
      <c r="J621">
        <f>'raw data Crude oil'!J622</f>
        <v>65.47</v>
      </c>
      <c r="K621">
        <f>'raw data Crude oil'!K622</f>
        <v>65.23</v>
      </c>
      <c r="L621">
        <f>'raw data Crude oil'!L622</f>
        <v>64.989999999999995</v>
      </c>
      <c r="M621">
        <f>'raw data Crude oil'!M622</f>
        <v>64.739999999999995</v>
      </c>
      <c r="N621">
        <f>'raw data Crude oil'!N622</f>
        <v>59.14</v>
      </c>
      <c r="O621">
        <f>'raw data Crude oil'!O622</f>
        <v>59.35</v>
      </c>
      <c r="P621">
        <f>'raw data Crude oil'!P622</f>
        <v>59.45</v>
      </c>
      <c r="Q621">
        <f>'raw data Crude oil'!Q622</f>
        <v>59.45</v>
      </c>
      <c r="R621">
        <f>'raw data Crude oil'!R622</f>
        <v>59.36</v>
      </c>
      <c r="S621">
        <f>'raw data Crude oil'!S622</f>
        <v>59.2</v>
      </c>
      <c r="T621">
        <f>'raw data Crude oil'!T622</f>
        <v>59</v>
      </c>
      <c r="U621">
        <f>'raw data Crude oil'!U622</f>
        <v>58.76</v>
      </c>
      <c r="V621">
        <f>'raw data Crude oil'!V622</f>
        <v>58.52</v>
      </c>
      <c r="W621">
        <f>'raw data Crude oil'!W622</f>
        <v>58.27</v>
      </c>
      <c r="X621">
        <f>'raw data Crude oil'!X622</f>
        <v>58.02</v>
      </c>
      <c r="Y621">
        <f>'raw data Crude oil'!Y622</f>
        <v>57.77</v>
      </c>
      <c r="Z621">
        <f>'raw data Crude oil'!Z622</f>
        <v>69.677999999999997</v>
      </c>
      <c r="AA621">
        <f>'raw data Crude oil'!AA622</f>
        <v>67.113</v>
      </c>
      <c r="AB621">
        <f>'raw data Crude oil'!AB622</f>
        <v>65.88</v>
      </c>
      <c r="AC621">
        <f>'raw data Crude oil'!AC622</f>
        <v>65.200999999999993</v>
      </c>
      <c r="AD621">
        <f>'raw data Crude oil'!AD622</f>
        <v>64.694000000000003</v>
      </c>
      <c r="AE621">
        <f>'raw data Crude oil'!AE622</f>
        <v>64.277000000000001</v>
      </c>
      <c r="AF621">
        <f>'raw data Crude oil'!AF622</f>
        <v>63.877000000000002</v>
      </c>
      <c r="AG621">
        <f>'raw data Crude oil'!AG622</f>
        <v>63.475999999999999</v>
      </c>
      <c r="AH621">
        <f>'raw data Crude oil'!AH622</f>
        <v>63.109000000000002</v>
      </c>
      <c r="AI621">
        <f>'raw data Crude oil'!AI622</f>
        <v>62.768000000000001</v>
      </c>
      <c r="AJ621">
        <f>'raw data Crude oil'!AJ622</f>
        <v>62.439</v>
      </c>
      <c r="AK621">
        <f>'raw data Crude oil'!AK622</f>
        <v>62.148000000000003</v>
      </c>
    </row>
    <row r="622" spans="1:37" x14ac:dyDescent="0.3">
      <c r="A622" s="18">
        <f>'raw data Crude oil'!A623</f>
        <v>43614</v>
      </c>
      <c r="B622">
        <f>'raw data Crude oil'!B623</f>
        <v>69.45</v>
      </c>
      <c r="C622">
        <f>'raw data Crude oil'!C623</f>
        <v>67.87</v>
      </c>
      <c r="D622">
        <f>'raw data Crude oil'!D623</f>
        <v>66.98</v>
      </c>
      <c r="E622">
        <f>'raw data Crude oil'!E623</f>
        <v>66.37</v>
      </c>
      <c r="F622">
        <f>'raw data Crude oil'!F623</f>
        <v>65.98</v>
      </c>
      <c r="G622">
        <f>'raw data Crude oil'!G623</f>
        <v>65.680000000000007</v>
      </c>
      <c r="H622">
        <f>'raw data Crude oil'!H623</f>
        <v>65.41</v>
      </c>
      <c r="I622">
        <f>'raw data Crude oil'!I623</f>
        <v>65.150000000000006</v>
      </c>
      <c r="J622">
        <f>'raw data Crude oil'!J623</f>
        <v>64.91</v>
      </c>
      <c r="K622">
        <f>'raw data Crude oil'!K623</f>
        <v>64.69</v>
      </c>
      <c r="L622">
        <f>'raw data Crude oil'!L623</f>
        <v>64.47</v>
      </c>
      <c r="M622">
        <f>'raw data Crude oil'!M623</f>
        <v>64.239999999999995</v>
      </c>
      <c r="N622">
        <f>'raw data Crude oil'!N623</f>
        <v>58.81</v>
      </c>
      <c r="O622">
        <f>'raw data Crude oil'!O623</f>
        <v>58.95</v>
      </c>
      <c r="P622">
        <f>'raw data Crude oil'!P623</f>
        <v>58.99</v>
      </c>
      <c r="Q622">
        <f>'raw data Crude oil'!Q623</f>
        <v>58.94</v>
      </c>
      <c r="R622">
        <f>'raw data Crude oil'!R623</f>
        <v>58.83</v>
      </c>
      <c r="S622">
        <f>'raw data Crude oil'!S623</f>
        <v>58.66</v>
      </c>
      <c r="T622">
        <f>'raw data Crude oil'!T623</f>
        <v>58.45</v>
      </c>
      <c r="U622">
        <f>'raw data Crude oil'!U623</f>
        <v>58.22</v>
      </c>
      <c r="V622">
        <f>'raw data Crude oil'!V623</f>
        <v>57.98</v>
      </c>
      <c r="W622">
        <f>'raw data Crude oil'!W623</f>
        <v>57.74</v>
      </c>
      <c r="X622">
        <f>'raw data Crude oil'!X623</f>
        <v>57.5</v>
      </c>
      <c r="Y622">
        <f>'raw data Crude oil'!Y623</f>
        <v>57.27</v>
      </c>
      <c r="Z622">
        <f>'raw data Crude oil'!Z623</f>
        <v>69.548000000000002</v>
      </c>
      <c r="AA622">
        <f>'raw data Crude oil'!AA623</f>
        <v>66.396000000000001</v>
      </c>
      <c r="AB622">
        <f>'raw data Crude oil'!AB623</f>
        <v>65.113</v>
      </c>
      <c r="AC622">
        <f>'raw data Crude oil'!AC623</f>
        <v>64.522000000000006</v>
      </c>
      <c r="AD622">
        <f>'raw data Crude oil'!AD623</f>
        <v>64.036000000000001</v>
      </c>
      <c r="AE622">
        <f>'raw data Crude oil'!AE623</f>
        <v>63.648000000000003</v>
      </c>
      <c r="AF622">
        <f>'raw data Crude oil'!AF623</f>
        <v>63.207999999999998</v>
      </c>
      <c r="AG622">
        <f>'raw data Crude oil'!AG623</f>
        <v>62.817</v>
      </c>
      <c r="AH622">
        <f>'raw data Crude oil'!AH623</f>
        <v>62.48</v>
      </c>
      <c r="AI622">
        <f>'raw data Crude oil'!AI623</f>
        <v>62.158999999999999</v>
      </c>
      <c r="AJ622">
        <f>'raw data Crude oil'!AJ623</f>
        <v>61.85</v>
      </c>
      <c r="AK622">
        <f>'raw data Crude oil'!AK623</f>
        <v>61.588999999999999</v>
      </c>
    </row>
    <row r="623" spans="1:37" x14ac:dyDescent="0.3">
      <c r="A623" s="18">
        <f>'raw data Crude oil'!A624</f>
        <v>43615</v>
      </c>
      <c r="B623">
        <f>'raw data Crude oil'!B624</f>
        <v>66.87</v>
      </c>
      <c r="C623">
        <f>'raw data Crude oil'!C624</f>
        <v>65.33</v>
      </c>
      <c r="D623">
        <f>'raw data Crude oil'!D624</f>
        <v>64.53</v>
      </c>
      <c r="E623">
        <f>'raw data Crude oil'!E624</f>
        <v>64.03</v>
      </c>
      <c r="F623">
        <f>'raw data Crude oil'!F624</f>
        <v>63.69</v>
      </c>
      <c r="G623">
        <f>'raw data Crude oil'!G624</f>
        <v>63.42</v>
      </c>
      <c r="H623">
        <f>'raw data Crude oil'!H624</f>
        <v>63.18</v>
      </c>
      <c r="I623">
        <f>'raw data Crude oil'!I624</f>
        <v>62.96</v>
      </c>
      <c r="J623">
        <f>'raw data Crude oil'!J624</f>
        <v>62.77</v>
      </c>
      <c r="K623">
        <f>'raw data Crude oil'!K624</f>
        <v>62.59</v>
      </c>
      <c r="L623">
        <f>'raw data Crude oil'!L624</f>
        <v>62.4</v>
      </c>
      <c r="M623">
        <f>'raw data Crude oil'!M624</f>
        <v>62.21</v>
      </c>
      <c r="N623">
        <f>'raw data Crude oil'!N624</f>
        <v>56.59</v>
      </c>
      <c r="O623">
        <f>'raw data Crude oil'!O624</f>
        <v>56.74</v>
      </c>
      <c r="P623">
        <f>'raw data Crude oil'!P624</f>
        <v>56.81</v>
      </c>
      <c r="Q623">
        <f>'raw data Crude oil'!Q624</f>
        <v>56.78</v>
      </c>
      <c r="R623">
        <f>'raw data Crude oil'!R624</f>
        <v>56.68</v>
      </c>
      <c r="S623">
        <f>'raw data Crude oil'!S624</f>
        <v>56.53</v>
      </c>
      <c r="T623">
        <f>'raw data Crude oil'!T624</f>
        <v>56.36</v>
      </c>
      <c r="U623">
        <f>'raw data Crude oil'!U624</f>
        <v>56.16</v>
      </c>
      <c r="V623">
        <f>'raw data Crude oil'!V624</f>
        <v>55.95</v>
      </c>
      <c r="W623">
        <f>'raw data Crude oil'!W624</f>
        <v>55.73</v>
      </c>
      <c r="X623">
        <f>'raw data Crude oil'!X624</f>
        <v>55.51</v>
      </c>
      <c r="Y623">
        <f>'raw data Crude oil'!Y624</f>
        <v>55.31</v>
      </c>
      <c r="Z623">
        <f>'raw data Crude oil'!Z624</f>
        <v>69.418999999999997</v>
      </c>
      <c r="AA623">
        <f>'raw data Crude oil'!AA624</f>
        <v>64.004999999999995</v>
      </c>
      <c r="AB623">
        <f>'raw data Crude oil'!AB624</f>
        <v>62.747</v>
      </c>
      <c r="AC623">
        <f>'raw data Crude oil'!AC624</f>
        <v>62.125999999999998</v>
      </c>
      <c r="AD623">
        <f>'raw data Crude oil'!AD624</f>
        <v>61.585000000000001</v>
      </c>
      <c r="AE623">
        <f>'raw data Crude oil'!AE624</f>
        <v>61.204000000000001</v>
      </c>
      <c r="AF623">
        <f>'raw data Crude oil'!AF624</f>
        <v>60.853000000000002</v>
      </c>
      <c r="AG623">
        <f>'raw data Crude oil'!AG624</f>
        <v>60.482999999999997</v>
      </c>
      <c r="AH623">
        <f>'raw data Crude oil'!AH624</f>
        <v>60.19</v>
      </c>
      <c r="AI623">
        <f>'raw data Crude oil'!AI624</f>
        <v>59.920999999999999</v>
      </c>
      <c r="AJ623">
        <f>'raw data Crude oil'!AJ624</f>
        <v>59.640999999999998</v>
      </c>
      <c r="AK623">
        <f>'raw data Crude oil'!AK624</f>
        <v>59.430999999999997</v>
      </c>
    </row>
    <row r="624" spans="1:37" x14ac:dyDescent="0.3">
      <c r="A624" s="18">
        <f>'raw data Crude oil'!A625</f>
        <v>43616</v>
      </c>
      <c r="B624">
        <f>'raw data Crude oil'!B625</f>
        <v>64.489999999999995</v>
      </c>
      <c r="C624">
        <f>'raw data Crude oil'!C625</f>
        <v>61.99</v>
      </c>
      <c r="D624">
        <f>'raw data Crude oil'!D625</f>
        <v>61.16</v>
      </c>
      <c r="E624">
        <f>'raw data Crude oil'!E625</f>
        <v>60.67</v>
      </c>
      <c r="F624">
        <f>'raw data Crude oil'!F625</f>
        <v>60.38</v>
      </c>
      <c r="G624">
        <f>'raw data Crude oil'!G625</f>
        <v>60.15</v>
      </c>
      <c r="H624">
        <f>'raw data Crude oil'!H625</f>
        <v>59.97</v>
      </c>
      <c r="I624">
        <f>'raw data Crude oil'!I625</f>
        <v>59.8</v>
      </c>
      <c r="J624">
        <f>'raw data Crude oil'!J625</f>
        <v>59.65</v>
      </c>
      <c r="K624">
        <f>'raw data Crude oil'!K625</f>
        <v>59.53</v>
      </c>
      <c r="L624">
        <f>'raw data Crude oil'!L625</f>
        <v>59.4</v>
      </c>
      <c r="M624">
        <f>'raw data Crude oil'!M625</f>
        <v>59.27</v>
      </c>
      <c r="N624">
        <f>'raw data Crude oil'!N625</f>
        <v>53.5</v>
      </c>
      <c r="O624">
        <f>'raw data Crude oil'!O625</f>
        <v>53.64</v>
      </c>
      <c r="P624">
        <f>'raw data Crude oil'!P625</f>
        <v>53.73</v>
      </c>
      <c r="Q624">
        <f>'raw data Crude oil'!Q625</f>
        <v>53.72</v>
      </c>
      <c r="R624">
        <f>'raw data Crude oil'!R625</f>
        <v>53.66</v>
      </c>
      <c r="S624">
        <f>'raw data Crude oil'!S625</f>
        <v>53.55</v>
      </c>
      <c r="T624">
        <f>'raw data Crude oil'!T625</f>
        <v>53.41</v>
      </c>
      <c r="U624">
        <f>'raw data Crude oil'!U625</f>
        <v>53.25</v>
      </c>
      <c r="V624">
        <f>'raw data Crude oil'!V625</f>
        <v>53.07</v>
      </c>
      <c r="W624">
        <f>'raw data Crude oil'!W625</f>
        <v>52.9</v>
      </c>
      <c r="X624">
        <f>'raw data Crude oil'!X625</f>
        <v>52.73</v>
      </c>
      <c r="Y624">
        <f>'raw data Crude oil'!Y625</f>
        <v>52.58</v>
      </c>
      <c r="Z624">
        <f>'raw data Crude oil'!Z625</f>
        <v>69.375</v>
      </c>
      <c r="AA624">
        <f>'raw data Crude oil'!AA625</f>
        <v>60.999000000000002</v>
      </c>
      <c r="AB624">
        <f>'raw data Crude oil'!AB625</f>
        <v>59.698999999999998</v>
      </c>
      <c r="AC624">
        <f>'raw data Crude oil'!AC625</f>
        <v>59.017000000000003</v>
      </c>
      <c r="AD624">
        <f>'raw data Crude oil'!AD625</f>
        <v>58.459000000000003</v>
      </c>
      <c r="AE624">
        <f>'raw data Crude oil'!AE625</f>
        <v>58.061999999999998</v>
      </c>
      <c r="AF624">
        <f>'raw data Crude oil'!AF625</f>
        <v>57.712000000000003</v>
      </c>
      <c r="AG624">
        <f>'raw data Crude oil'!AG625</f>
        <v>57.375999999999998</v>
      </c>
      <c r="AH624">
        <f>'raw data Crude oil'!AH625</f>
        <v>57.085000000000001</v>
      </c>
      <c r="AI624">
        <f>'raw data Crude oil'!AI625</f>
        <v>56.884</v>
      </c>
      <c r="AJ624">
        <f>'raw data Crude oil'!AJ625</f>
        <v>56.704000000000001</v>
      </c>
      <c r="AK624">
        <f>'raw data Crude oil'!AK625</f>
        <v>56.543999999999997</v>
      </c>
    </row>
    <row r="625" spans="1:37" x14ac:dyDescent="0.3">
      <c r="A625" s="18">
        <f>'raw data Crude oil'!A626</f>
        <v>43619</v>
      </c>
      <c r="B625">
        <f>'raw data Crude oil'!B626</f>
        <v>61.28</v>
      </c>
      <c r="C625">
        <f>'raw data Crude oil'!C626</f>
        <v>60.46</v>
      </c>
      <c r="D625">
        <f>'raw data Crude oil'!D626</f>
        <v>59.99</v>
      </c>
      <c r="E625">
        <f>'raw data Crude oil'!E626</f>
        <v>59.75</v>
      </c>
      <c r="F625">
        <f>'raw data Crude oil'!F626</f>
        <v>59.57</v>
      </c>
      <c r="G625">
        <f>'raw data Crude oil'!G626</f>
        <v>59.43</v>
      </c>
      <c r="H625">
        <f>'raw data Crude oil'!H626</f>
        <v>59.31</v>
      </c>
      <c r="I625">
        <f>'raw data Crude oil'!I626</f>
        <v>59.2</v>
      </c>
      <c r="J625">
        <f>'raw data Crude oil'!J626</f>
        <v>59.11</v>
      </c>
      <c r="K625">
        <f>'raw data Crude oil'!K626</f>
        <v>59.01</v>
      </c>
      <c r="L625">
        <f>'raw data Crude oil'!L626</f>
        <v>58.92</v>
      </c>
      <c r="M625">
        <f>'raw data Crude oil'!M626</f>
        <v>58.82</v>
      </c>
      <c r="N625">
        <f>'raw data Crude oil'!N626</f>
        <v>53.25</v>
      </c>
      <c r="O625">
        <f>'raw data Crude oil'!O626</f>
        <v>53.38</v>
      </c>
      <c r="P625">
        <f>'raw data Crude oil'!P626</f>
        <v>53.45</v>
      </c>
      <c r="Q625">
        <f>'raw data Crude oil'!Q626</f>
        <v>53.44</v>
      </c>
      <c r="R625">
        <f>'raw data Crude oil'!R626</f>
        <v>53.39</v>
      </c>
      <c r="S625">
        <f>'raw data Crude oil'!S626</f>
        <v>53.29</v>
      </c>
      <c r="T625">
        <f>'raw data Crude oil'!T626</f>
        <v>53.16</v>
      </c>
      <c r="U625">
        <f>'raw data Crude oil'!U626</f>
        <v>53.01</v>
      </c>
      <c r="V625">
        <f>'raw data Crude oil'!V626</f>
        <v>52.85</v>
      </c>
      <c r="W625">
        <f>'raw data Crude oil'!W626</f>
        <v>52.7</v>
      </c>
      <c r="X625">
        <f>'raw data Crude oil'!X626</f>
        <v>52.56</v>
      </c>
      <c r="Y625">
        <f>'raw data Crude oil'!Y626</f>
        <v>52.43</v>
      </c>
      <c r="Z625">
        <f>'raw data Crude oil'!Z626</f>
        <v>69.375</v>
      </c>
      <c r="AA625">
        <f>'raw data Crude oil'!AA626</f>
        <v>60.235999999999997</v>
      </c>
      <c r="AB625">
        <f>'raw data Crude oil'!AB626</f>
        <v>59.08</v>
      </c>
      <c r="AC625">
        <f>'raw data Crude oil'!AC626</f>
        <v>58.348999999999997</v>
      </c>
      <c r="AD625">
        <f>'raw data Crude oil'!AD626</f>
        <v>57.811</v>
      </c>
      <c r="AE625">
        <f>'raw data Crude oil'!AE626</f>
        <v>57.473999999999997</v>
      </c>
      <c r="AF625">
        <f>'raw data Crude oil'!AF626</f>
        <v>57.143999999999998</v>
      </c>
      <c r="AG625">
        <f>'raw data Crude oil'!AG626</f>
        <v>56.81</v>
      </c>
      <c r="AH625">
        <f>'raw data Crude oil'!AH626</f>
        <v>56.595999999999997</v>
      </c>
      <c r="AI625">
        <f>'raw data Crude oil'!AI626</f>
        <v>56.414999999999999</v>
      </c>
      <c r="AJ625">
        <f>'raw data Crude oil'!AJ626</f>
        <v>56.246000000000002</v>
      </c>
      <c r="AK625">
        <f>'raw data Crude oil'!AK626</f>
        <v>56.104999999999997</v>
      </c>
    </row>
    <row r="626" spans="1:37" x14ac:dyDescent="0.3">
      <c r="A626" s="18">
        <f>'raw data Crude oil'!A627</f>
        <v>43620</v>
      </c>
      <c r="B626">
        <f>'raw data Crude oil'!B627</f>
        <v>61.97</v>
      </c>
      <c r="C626">
        <f>'raw data Crude oil'!C627</f>
        <v>61.08</v>
      </c>
      <c r="D626">
        <f>'raw data Crude oil'!D627</f>
        <v>60.51</v>
      </c>
      <c r="E626">
        <f>'raw data Crude oil'!E627</f>
        <v>60.2</v>
      </c>
      <c r="F626">
        <f>'raw data Crude oil'!F627</f>
        <v>59.97</v>
      </c>
      <c r="G626">
        <f>'raw data Crude oil'!G627</f>
        <v>59.78</v>
      </c>
      <c r="H626">
        <f>'raw data Crude oil'!H627</f>
        <v>59.63</v>
      </c>
      <c r="I626">
        <f>'raw data Crude oil'!I627</f>
        <v>59.49</v>
      </c>
      <c r="J626">
        <f>'raw data Crude oil'!J627</f>
        <v>59.38</v>
      </c>
      <c r="K626">
        <f>'raw data Crude oil'!K627</f>
        <v>59.27</v>
      </c>
      <c r="L626">
        <f>'raw data Crude oil'!L627</f>
        <v>59.15</v>
      </c>
      <c r="M626">
        <f>'raw data Crude oil'!M627</f>
        <v>59.03</v>
      </c>
      <c r="N626">
        <f>'raw data Crude oil'!N627</f>
        <v>53.48</v>
      </c>
      <c r="O626">
        <f>'raw data Crude oil'!O627</f>
        <v>53.63</v>
      </c>
      <c r="P626">
        <f>'raw data Crude oil'!P627</f>
        <v>53.71</v>
      </c>
      <c r="Q626">
        <f>'raw data Crude oil'!Q627</f>
        <v>53.71</v>
      </c>
      <c r="R626">
        <f>'raw data Crude oil'!R627</f>
        <v>53.66</v>
      </c>
      <c r="S626">
        <f>'raw data Crude oil'!S627</f>
        <v>53.56</v>
      </c>
      <c r="T626">
        <f>'raw data Crude oil'!T627</f>
        <v>53.41</v>
      </c>
      <c r="U626">
        <f>'raw data Crude oil'!U627</f>
        <v>53.24</v>
      </c>
      <c r="V626">
        <f>'raw data Crude oil'!V627</f>
        <v>53.07</v>
      </c>
      <c r="W626">
        <f>'raw data Crude oil'!W627</f>
        <v>52.92</v>
      </c>
      <c r="X626">
        <f>'raw data Crude oil'!X627</f>
        <v>52.76</v>
      </c>
      <c r="Y626">
        <f>'raw data Crude oil'!Y627</f>
        <v>52.64</v>
      </c>
      <c r="Z626">
        <f>'raw data Crude oil'!Z627</f>
        <v>60.677999999999997</v>
      </c>
      <c r="AA626">
        <f>'raw data Crude oil'!AA627</f>
        <v>59.484999999999999</v>
      </c>
      <c r="AB626">
        <f>'raw data Crude oil'!AB627</f>
        <v>58.835999999999999</v>
      </c>
      <c r="AC626">
        <f>'raw data Crude oil'!AC627</f>
        <v>58.289000000000001</v>
      </c>
      <c r="AD626">
        <f>'raw data Crude oil'!AD627</f>
        <v>57.862000000000002</v>
      </c>
      <c r="AE626">
        <f>'raw data Crude oil'!AE627</f>
        <v>57.503</v>
      </c>
      <c r="AF626">
        <f>'raw data Crude oil'!AF627</f>
        <v>57.177</v>
      </c>
      <c r="AG626">
        <f>'raw data Crude oil'!AG627</f>
        <v>56.935000000000002</v>
      </c>
      <c r="AH626">
        <f>'raw data Crude oil'!AH627</f>
        <v>56.734999999999999</v>
      </c>
      <c r="AI626">
        <f>'raw data Crude oil'!AI627</f>
        <v>56.555</v>
      </c>
      <c r="AJ626">
        <f>'raw data Crude oil'!AJ627</f>
        <v>56.384</v>
      </c>
      <c r="AK626">
        <f>'raw data Crude oil'!AK627</f>
        <v>56.225999999999999</v>
      </c>
    </row>
    <row r="627" spans="1:37" x14ac:dyDescent="0.3">
      <c r="A627" s="18">
        <f>'raw data Crude oil'!A628</f>
        <v>43621</v>
      </c>
      <c r="B627">
        <f>'raw data Crude oil'!B628</f>
        <v>60.63</v>
      </c>
      <c r="C627">
        <f>'raw data Crude oil'!C628</f>
        <v>59.53</v>
      </c>
      <c r="D627">
        <f>'raw data Crude oil'!D628</f>
        <v>58.87</v>
      </c>
      <c r="E627">
        <f>'raw data Crude oil'!E628</f>
        <v>58.52</v>
      </c>
      <c r="F627">
        <f>'raw data Crude oil'!F628</f>
        <v>58.28</v>
      </c>
      <c r="G627">
        <f>'raw data Crude oil'!G628</f>
        <v>58.08</v>
      </c>
      <c r="H627">
        <f>'raw data Crude oil'!H628</f>
        <v>57.91</v>
      </c>
      <c r="I627">
        <f>'raw data Crude oil'!I628</f>
        <v>57.77</v>
      </c>
      <c r="J627">
        <f>'raw data Crude oil'!J628</f>
        <v>57.68</v>
      </c>
      <c r="K627">
        <f>'raw data Crude oil'!K628</f>
        <v>57.58</v>
      </c>
      <c r="L627">
        <f>'raw data Crude oil'!L628</f>
        <v>57.47</v>
      </c>
      <c r="M627">
        <f>'raw data Crude oil'!M628</f>
        <v>57.36</v>
      </c>
      <c r="N627">
        <f>'raw data Crude oil'!N628</f>
        <v>51.68</v>
      </c>
      <c r="O627">
        <f>'raw data Crude oil'!O628</f>
        <v>51.83</v>
      </c>
      <c r="P627">
        <f>'raw data Crude oil'!P628</f>
        <v>51.91</v>
      </c>
      <c r="Q627">
        <f>'raw data Crude oil'!Q628</f>
        <v>51.91</v>
      </c>
      <c r="R627">
        <f>'raw data Crude oil'!R628</f>
        <v>51.87</v>
      </c>
      <c r="S627">
        <f>'raw data Crude oil'!S628</f>
        <v>51.78</v>
      </c>
      <c r="T627">
        <f>'raw data Crude oil'!T628</f>
        <v>51.66</v>
      </c>
      <c r="U627">
        <f>'raw data Crude oil'!U628</f>
        <v>51.5</v>
      </c>
      <c r="V627">
        <f>'raw data Crude oil'!V628</f>
        <v>51.36</v>
      </c>
      <c r="W627">
        <f>'raw data Crude oil'!W628</f>
        <v>51.23</v>
      </c>
      <c r="X627">
        <f>'raw data Crude oil'!X628</f>
        <v>51.1</v>
      </c>
      <c r="Y627">
        <f>'raw data Crude oil'!Y628</f>
        <v>50.99</v>
      </c>
      <c r="Z627">
        <f>'raw data Crude oil'!Z628</f>
        <v>58.956000000000003</v>
      </c>
      <c r="AA627">
        <f>'raw data Crude oil'!AA628</f>
        <v>57.651000000000003</v>
      </c>
      <c r="AB627">
        <f>'raw data Crude oil'!AB628</f>
        <v>57.014000000000003</v>
      </c>
      <c r="AC627">
        <f>'raw data Crude oil'!AC628</f>
        <v>56.488999999999997</v>
      </c>
      <c r="AD627">
        <f>'raw data Crude oil'!AD628</f>
        <v>56.091000000000001</v>
      </c>
      <c r="AE627">
        <f>'raw data Crude oil'!AE628</f>
        <v>55.752000000000002</v>
      </c>
      <c r="AF627">
        <f>'raw data Crude oil'!AF628</f>
        <v>55.417000000000002</v>
      </c>
      <c r="AG627">
        <f>'raw data Crude oil'!AG628</f>
        <v>55.176000000000002</v>
      </c>
      <c r="AH627">
        <f>'raw data Crude oil'!AH628</f>
        <v>55.024999999999999</v>
      </c>
      <c r="AI627">
        <f>'raw data Crude oil'!AI628</f>
        <v>54.884999999999998</v>
      </c>
      <c r="AJ627">
        <f>'raw data Crude oil'!AJ628</f>
        <v>54.765000000000001</v>
      </c>
      <c r="AK627">
        <f>'raw data Crude oil'!AK628</f>
        <v>54.646000000000001</v>
      </c>
    </row>
    <row r="628" spans="1:37" x14ac:dyDescent="0.3">
      <c r="A628" s="18">
        <f>'raw data Crude oil'!A629</f>
        <v>43622</v>
      </c>
      <c r="B628">
        <f>'raw data Crude oil'!B629</f>
        <v>61.67</v>
      </c>
      <c r="C628">
        <f>'raw data Crude oil'!C629</f>
        <v>60.52</v>
      </c>
      <c r="D628">
        <f>'raw data Crude oil'!D629</f>
        <v>59.82</v>
      </c>
      <c r="E628">
        <f>'raw data Crude oil'!E629</f>
        <v>59.43</v>
      </c>
      <c r="F628">
        <f>'raw data Crude oil'!F629</f>
        <v>59.17</v>
      </c>
      <c r="G628">
        <f>'raw data Crude oil'!G629</f>
        <v>58.96</v>
      </c>
      <c r="H628">
        <f>'raw data Crude oil'!H629</f>
        <v>58.79</v>
      </c>
      <c r="I628">
        <f>'raw data Crude oil'!I629</f>
        <v>58.64</v>
      </c>
      <c r="J628">
        <f>'raw data Crude oil'!J629</f>
        <v>58.54</v>
      </c>
      <c r="K628">
        <f>'raw data Crude oil'!K629</f>
        <v>58.44</v>
      </c>
      <c r="L628">
        <f>'raw data Crude oil'!L629</f>
        <v>58.34</v>
      </c>
      <c r="M628">
        <f>'raw data Crude oil'!M629</f>
        <v>58.23</v>
      </c>
      <c r="N628">
        <f>'raw data Crude oil'!N629</f>
        <v>52.59</v>
      </c>
      <c r="O628">
        <f>'raw data Crude oil'!O629</f>
        <v>52.73</v>
      </c>
      <c r="P628">
        <f>'raw data Crude oil'!P629</f>
        <v>52.83</v>
      </c>
      <c r="Q628">
        <f>'raw data Crude oil'!Q629</f>
        <v>52.8</v>
      </c>
      <c r="R628">
        <f>'raw data Crude oil'!R629</f>
        <v>52.73</v>
      </c>
      <c r="S628">
        <f>'raw data Crude oil'!S629</f>
        <v>52.63</v>
      </c>
      <c r="T628">
        <f>'raw data Crude oil'!T629</f>
        <v>52.49</v>
      </c>
      <c r="U628">
        <f>'raw data Crude oil'!U629</f>
        <v>52.35</v>
      </c>
      <c r="V628">
        <f>'raw data Crude oil'!V629</f>
        <v>52.21</v>
      </c>
      <c r="W628">
        <f>'raw data Crude oil'!W629</f>
        <v>52.08</v>
      </c>
      <c r="X628">
        <f>'raw data Crude oil'!X629</f>
        <v>51.96</v>
      </c>
      <c r="Y628">
        <f>'raw data Crude oil'!Y629</f>
        <v>51.85</v>
      </c>
      <c r="Z628">
        <f>'raw data Crude oil'!Z629</f>
        <v>59.917000000000002</v>
      </c>
      <c r="AA628">
        <f>'raw data Crude oil'!AA629</f>
        <v>58.71</v>
      </c>
      <c r="AB628">
        <f>'raw data Crude oil'!AB629</f>
        <v>58.061999999999998</v>
      </c>
      <c r="AC628">
        <f>'raw data Crude oil'!AC629</f>
        <v>57.527999999999999</v>
      </c>
      <c r="AD628">
        <f>'raw data Crude oil'!AD629</f>
        <v>57.091000000000001</v>
      </c>
      <c r="AE628">
        <f>'raw data Crude oil'!AE629</f>
        <v>56.712000000000003</v>
      </c>
      <c r="AF628">
        <f>'raw data Crude oil'!AF629</f>
        <v>56.405999999999999</v>
      </c>
      <c r="AG628">
        <f>'raw data Crude oil'!AG629</f>
        <v>56.155000000000001</v>
      </c>
      <c r="AH628">
        <f>'raw data Crude oil'!AH629</f>
        <v>55.994999999999997</v>
      </c>
      <c r="AI628">
        <f>'raw data Crude oil'!AI629</f>
        <v>55.835000000000001</v>
      </c>
      <c r="AJ628">
        <f>'raw data Crude oil'!AJ629</f>
        <v>55.695</v>
      </c>
      <c r="AK628">
        <f>'raw data Crude oil'!AK629</f>
        <v>55.566000000000003</v>
      </c>
    </row>
    <row r="629" spans="1:37" x14ac:dyDescent="0.3">
      <c r="A629" s="18">
        <f>'raw data Crude oil'!A630</f>
        <v>43623</v>
      </c>
      <c r="B629">
        <f>'raw data Crude oil'!B630</f>
        <v>63.29</v>
      </c>
      <c r="C629">
        <f>'raw data Crude oil'!C630</f>
        <v>62.18</v>
      </c>
      <c r="D629">
        <f>'raw data Crude oil'!D630</f>
        <v>61.5</v>
      </c>
      <c r="E629">
        <f>'raw data Crude oil'!E630</f>
        <v>61.12</v>
      </c>
      <c r="F629">
        <f>'raw data Crude oil'!F630</f>
        <v>60.85</v>
      </c>
      <c r="G629">
        <f>'raw data Crude oil'!G630</f>
        <v>60.62</v>
      </c>
      <c r="H629">
        <f>'raw data Crude oil'!H630</f>
        <v>60.41</v>
      </c>
      <c r="I629">
        <f>'raw data Crude oil'!I630</f>
        <v>60.23</v>
      </c>
      <c r="J629">
        <f>'raw data Crude oil'!J630</f>
        <v>60.09</v>
      </c>
      <c r="K629">
        <f>'raw data Crude oil'!K630</f>
        <v>59.95</v>
      </c>
      <c r="L629">
        <f>'raw data Crude oil'!L630</f>
        <v>59.81</v>
      </c>
      <c r="M629">
        <f>'raw data Crude oil'!M630</f>
        <v>59.66</v>
      </c>
      <c r="N629">
        <f>'raw data Crude oil'!N630</f>
        <v>53.99</v>
      </c>
      <c r="O629">
        <f>'raw data Crude oil'!O630</f>
        <v>54.16</v>
      </c>
      <c r="P629">
        <f>'raw data Crude oil'!P630</f>
        <v>54.27</v>
      </c>
      <c r="Q629">
        <f>'raw data Crude oil'!Q630</f>
        <v>54.25</v>
      </c>
      <c r="R629">
        <f>'raw data Crude oil'!R630</f>
        <v>54.19</v>
      </c>
      <c r="S629">
        <f>'raw data Crude oil'!S630</f>
        <v>54.1</v>
      </c>
      <c r="T629">
        <f>'raw data Crude oil'!T630</f>
        <v>53.96</v>
      </c>
      <c r="U629">
        <f>'raw data Crude oil'!U630</f>
        <v>53.8</v>
      </c>
      <c r="V629">
        <f>'raw data Crude oil'!V630</f>
        <v>53.63</v>
      </c>
      <c r="W629">
        <f>'raw data Crude oil'!W630</f>
        <v>53.46</v>
      </c>
      <c r="X629">
        <f>'raw data Crude oil'!X630</f>
        <v>53.3</v>
      </c>
      <c r="Y629">
        <f>'raw data Crude oil'!Y630</f>
        <v>53.15</v>
      </c>
      <c r="Z629">
        <f>'raw data Crude oil'!Z630</f>
        <v>61.286000000000001</v>
      </c>
      <c r="AA629">
        <f>'raw data Crude oil'!AA630</f>
        <v>60.33</v>
      </c>
      <c r="AB629">
        <f>'raw data Crude oil'!AB630</f>
        <v>59.692999999999998</v>
      </c>
      <c r="AC629">
        <f>'raw data Crude oil'!AC630</f>
        <v>59.137</v>
      </c>
      <c r="AD629">
        <f>'raw data Crude oil'!AD630</f>
        <v>58.69</v>
      </c>
      <c r="AE629">
        <f>'raw data Crude oil'!AE630</f>
        <v>58.31</v>
      </c>
      <c r="AF629">
        <f>'raw data Crude oil'!AF630</f>
        <v>57.972999999999999</v>
      </c>
      <c r="AG629">
        <f>'raw data Crude oil'!AG630</f>
        <v>57.713999999999999</v>
      </c>
      <c r="AH629">
        <f>'raw data Crude oil'!AH630</f>
        <v>57.503</v>
      </c>
      <c r="AI629">
        <f>'raw data Crude oil'!AI630</f>
        <v>57.314</v>
      </c>
      <c r="AJ629">
        <f>'raw data Crude oil'!AJ630</f>
        <v>57.183</v>
      </c>
      <c r="AK629">
        <f>'raw data Crude oil'!AK630</f>
        <v>57.045000000000002</v>
      </c>
    </row>
    <row r="630" spans="1:37" x14ac:dyDescent="0.3">
      <c r="A630" s="18">
        <f>'raw data Crude oil'!A631</f>
        <v>43626</v>
      </c>
      <c r="B630">
        <f>'raw data Crude oil'!B631</f>
        <v>62.29</v>
      </c>
      <c r="C630">
        <f>'raw data Crude oil'!C631</f>
        <v>61.34</v>
      </c>
      <c r="D630">
        <f>'raw data Crude oil'!D631</f>
        <v>60.79</v>
      </c>
      <c r="E630">
        <f>'raw data Crude oil'!E631</f>
        <v>60.5</v>
      </c>
      <c r="F630">
        <f>'raw data Crude oil'!F631</f>
        <v>60.3</v>
      </c>
      <c r="G630">
        <f>'raw data Crude oil'!G631</f>
        <v>60.12</v>
      </c>
      <c r="H630">
        <f>'raw data Crude oil'!H631</f>
        <v>59.96</v>
      </c>
      <c r="I630">
        <f>'raw data Crude oil'!I631</f>
        <v>59.83</v>
      </c>
      <c r="J630">
        <f>'raw data Crude oil'!J631</f>
        <v>59.73</v>
      </c>
      <c r="K630">
        <f>'raw data Crude oil'!K631</f>
        <v>59.63</v>
      </c>
      <c r="L630">
        <f>'raw data Crude oil'!L631</f>
        <v>59.54</v>
      </c>
      <c r="M630">
        <f>'raw data Crude oil'!M631</f>
        <v>59.42</v>
      </c>
      <c r="N630">
        <f>'raw data Crude oil'!N631</f>
        <v>53.26</v>
      </c>
      <c r="O630">
        <f>'raw data Crude oil'!O631</f>
        <v>53.48</v>
      </c>
      <c r="P630">
        <f>'raw data Crude oil'!P631</f>
        <v>53.62</v>
      </c>
      <c r="Q630">
        <f>'raw data Crude oil'!Q631</f>
        <v>53.64</v>
      </c>
      <c r="R630">
        <f>'raw data Crude oil'!R631</f>
        <v>53.63</v>
      </c>
      <c r="S630">
        <f>'raw data Crude oil'!S631</f>
        <v>53.58</v>
      </c>
      <c r="T630">
        <f>'raw data Crude oil'!T631</f>
        <v>53.49</v>
      </c>
      <c r="U630">
        <f>'raw data Crude oil'!U631</f>
        <v>53.38</v>
      </c>
      <c r="V630">
        <f>'raw data Crude oil'!V631</f>
        <v>53.25</v>
      </c>
      <c r="W630">
        <f>'raw data Crude oil'!W631</f>
        <v>53.13</v>
      </c>
      <c r="X630">
        <f>'raw data Crude oil'!X631</f>
        <v>53.01</v>
      </c>
      <c r="Y630">
        <f>'raw data Crude oil'!Y631</f>
        <v>52.89</v>
      </c>
      <c r="Z630">
        <f>'raw data Crude oil'!Z631</f>
        <v>60.761000000000003</v>
      </c>
      <c r="AA630">
        <f>'raw data Crude oil'!AA631</f>
        <v>59.606000000000002</v>
      </c>
      <c r="AB630">
        <f>'raw data Crude oil'!AB631</f>
        <v>59.036999999999999</v>
      </c>
      <c r="AC630">
        <f>'raw data Crude oil'!AC631</f>
        <v>58.55</v>
      </c>
      <c r="AD630">
        <f>'raw data Crude oil'!AD631</f>
        <v>58.152000000000001</v>
      </c>
      <c r="AE630">
        <f>'raw data Crude oil'!AE631</f>
        <v>57.792000000000002</v>
      </c>
      <c r="AF630">
        <f>'raw data Crude oil'!AF631</f>
        <v>57.488</v>
      </c>
      <c r="AG630">
        <f>'raw data Crude oil'!AG631</f>
        <v>57.244999999999997</v>
      </c>
      <c r="AH630">
        <f>'raw data Crude oil'!AH631</f>
        <v>57.085000000000001</v>
      </c>
      <c r="AI630">
        <f>'raw data Crude oil'!AI631</f>
        <v>56.975999999999999</v>
      </c>
      <c r="AJ630">
        <f>'raw data Crude oil'!AJ631</f>
        <v>56.884</v>
      </c>
      <c r="AK630">
        <f>'raw data Crude oil'!AK631</f>
        <v>56.776000000000003</v>
      </c>
    </row>
    <row r="631" spans="1:37" x14ac:dyDescent="0.3">
      <c r="A631" s="18">
        <f>'raw data Crude oil'!A632</f>
        <v>43627</v>
      </c>
      <c r="B631">
        <f>'raw data Crude oil'!B632</f>
        <v>62.29</v>
      </c>
      <c r="C631">
        <f>'raw data Crude oil'!C632</f>
        <v>61.45</v>
      </c>
      <c r="D631">
        <f>'raw data Crude oil'!D632</f>
        <v>60.95</v>
      </c>
      <c r="E631">
        <f>'raw data Crude oil'!E632</f>
        <v>60.69</v>
      </c>
      <c r="F631">
        <f>'raw data Crude oil'!F632</f>
        <v>60.51</v>
      </c>
      <c r="G631">
        <f>'raw data Crude oil'!G632</f>
        <v>60.36</v>
      </c>
      <c r="H631">
        <f>'raw data Crude oil'!H632</f>
        <v>60.22</v>
      </c>
      <c r="I631">
        <f>'raw data Crude oil'!I632</f>
        <v>60.1</v>
      </c>
      <c r="J631">
        <f>'raw data Crude oil'!J632</f>
        <v>60.02</v>
      </c>
      <c r="K631">
        <f>'raw data Crude oil'!K632</f>
        <v>59.94</v>
      </c>
      <c r="L631">
        <f>'raw data Crude oil'!L632</f>
        <v>59.85</v>
      </c>
      <c r="M631">
        <f>'raw data Crude oil'!M632</f>
        <v>59.74</v>
      </c>
      <c r="N631">
        <f>'raw data Crude oil'!N632</f>
        <v>53.27</v>
      </c>
      <c r="O631">
        <f>'raw data Crude oil'!O632</f>
        <v>53.52</v>
      </c>
      <c r="P631">
        <f>'raw data Crude oil'!P632</f>
        <v>53.68</v>
      </c>
      <c r="Q631">
        <f>'raw data Crude oil'!Q632</f>
        <v>53.74</v>
      </c>
      <c r="R631">
        <f>'raw data Crude oil'!R632</f>
        <v>53.76</v>
      </c>
      <c r="S631">
        <f>'raw data Crude oil'!S632</f>
        <v>53.75</v>
      </c>
      <c r="T631">
        <f>'raw data Crude oil'!T632</f>
        <v>53.7</v>
      </c>
      <c r="U631">
        <f>'raw data Crude oil'!U632</f>
        <v>53.62</v>
      </c>
      <c r="V631">
        <f>'raw data Crude oil'!V632</f>
        <v>53.52</v>
      </c>
      <c r="W631">
        <f>'raw data Crude oil'!W632</f>
        <v>53.41</v>
      </c>
      <c r="X631">
        <f>'raw data Crude oil'!X632</f>
        <v>53.3</v>
      </c>
      <c r="Y631">
        <f>'raw data Crude oil'!Y632</f>
        <v>53.2</v>
      </c>
      <c r="Z631">
        <f>'raw data Crude oil'!Z632</f>
        <v>60.9</v>
      </c>
      <c r="AA631">
        <f>'raw data Crude oil'!AA632</f>
        <v>59.798000000000002</v>
      </c>
      <c r="AB631">
        <f>'raw data Crude oil'!AB632</f>
        <v>59.247999999999998</v>
      </c>
      <c r="AC631">
        <f>'raw data Crude oil'!AC632</f>
        <v>58.811</v>
      </c>
      <c r="AD631">
        <f>'raw data Crude oil'!AD632</f>
        <v>58.423000000000002</v>
      </c>
      <c r="AE631">
        <f>'raw data Crude oil'!AE632</f>
        <v>58.103000000000002</v>
      </c>
      <c r="AF631">
        <f>'raw data Crude oil'!AF632</f>
        <v>57.829000000000001</v>
      </c>
      <c r="AG631">
        <f>'raw data Crude oil'!AG632</f>
        <v>57.636000000000003</v>
      </c>
      <c r="AH631">
        <f>'raw data Crude oil'!AH632</f>
        <v>57.475999999999999</v>
      </c>
      <c r="AI631">
        <f>'raw data Crude oil'!AI632</f>
        <v>57.335999999999999</v>
      </c>
      <c r="AJ631">
        <f>'raw data Crude oil'!AJ632</f>
        <v>57.244999999999997</v>
      </c>
      <c r="AK631">
        <f>'raw data Crude oil'!AK632</f>
        <v>57.146000000000001</v>
      </c>
    </row>
    <row r="632" spans="1:37" x14ac:dyDescent="0.3">
      <c r="A632" s="18">
        <f>'raw data Crude oil'!A633</f>
        <v>43628</v>
      </c>
      <c r="B632">
        <f>'raw data Crude oil'!B633</f>
        <v>59.97</v>
      </c>
      <c r="C632">
        <f>'raw data Crude oil'!C633</f>
        <v>59.19</v>
      </c>
      <c r="D632">
        <f>'raw data Crude oil'!D633</f>
        <v>58.74</v>
      </c>
      <c r="E632">
        <f>'raw data Crude oil'!E633</f>
        <v>58.49</v>
      </c>
      <c r="F632">
        <f>'raw data Crude oil'!F633</f>
        <v>58.33</v>
      </c>
      <c r="G632">
        <f>'raw data Crude oil'!G633</f>
        <v>58.22</v>
      </c>
      <c r="H632">
        <f>'raw data Crude oil'!H633</f>
        <v>58.13</v>
      </c>
      <c r="I632">
        <f>'raw data Crude oil'!I633</f>
        <v>58.06</v>
      </c>
      <c r="J632">
        <f>'raw data Crude oil'!J633</f>
        <v>58.01</v>
      </c>
      <c r="K632">
        <f>'raw data Crude oil'!K633</f>
        <v>57.96</v>
      </c>
      <c r="L632">
        <f>'raw data Crude oil'!L633</f>
        <v>57.9</v>
      </c>
      <c r="M632">
        <f>'raw data Crude oil'!M633</f>
        <v>57.83</v>
      </c>
      <c r="N632">
        <f>'raw data Crude oil'!N633</f>
        <v>51.14</v>
      </c>
      <c r="O632">
        <f>'raw data Crude oil'!O633</f>
        <v>51.37</v>
      </c>
      <c r="P632">
        <f>'raw data Crude oil'!P633</f>
        <v>51.54</v>
      </c>
      <c r="Q632">
        <f>'raw data Crude oil'!Q633</f>
        <v>51.62</v>
      </c>
      <c r="R632">
        <f>'raw data Crude oil'!R633</f>
        <v>51.67</v>
      </c>
      <c r="S632">
        <f>'raw data Crude oil'!S633</f>
        <v>51.69</v>
      </c>
      <c r="T632">
        <f>'raw data Crude oil'!T633</f>
        <v>51.67</v>
      </c>
      <c r="U632">
        <f>'raw data Crude oil'!U633</f>
        <v>51.62</v>
      </c>
      <c r="V632">
        <f>'raw data Crude oil'!V633</f>
        <v>51.54</v>
      </c>
      <c r="W632">
        <f>'raw data Crude oil'!W633</f>
        <v>51.47</v>
      </c>
      <c r="X632">
        <f>'raw data Crude oil'!X633</f>
        <v>51.39</v>
      </c>
      <c r="Y632">
        <f>'raw data Crude oil'!Y633</f>
        <v>51.32</v>
      </c>
      <c r="Z632">
        <f>'raw data Crude oil'!Z633</f>
        <v>59.44</v>
      </c>
      <c r="AA632">
        <f>'raw data Crude oil'!AA633</f>
        <v>57.58</v>
      </c>
      <c r="AB632">
        <f>'raw data Crude oil'!AB633</f>
        <v>57.018999999999998</v>
      </c>
      <c r="AC632">
        <f>'raw data Crude oil'!AC633</f>
        <v>56.582000000000001</v>
      </c>
      <c r="AD632">
        <f>'raw data Crude oil'!AD633</f>
        <v>56.234999999999999</v>
      </c>
      <c r="AE632">
        <f>'raw data Crude oil'!AE633</f>
        <v>55.945999999999998</v>
      </c>
      <c r="AF632">
        <f>'raw data Crude oil'!AF633</f>
        <v>55.673000000000002</v>
      </c>
      <c r="AG632">
        <f>'raw data Crude oil'!AG633</f>
        <v>55.518000000000001</v>
      </c>
      <c r="AH632">
        <f>'raw data Crude oil'!AH633</f>
        <v>55.408000000000001</v>
      </c>
      <c r="AI632">
        <f>'raw data Crude oil'!AI633</f>
        <v>55.326999999999998</v>
      </c>
      <c r="AJ632">
        <f>'raw data Crude oil'!AJ633</f>
        <v>55.247</v>
      </c>
      <c r="AK632">
        <f>'raw data Crude oil'!AK633</f>
        <v>55.188000000000002</v>
      </c>
    </row>
    <row r="633" spans="1:37" x14ac:dyDescent="0.3">
      <c r="A633" s="18">
        <f>'raw data Crude oil'!A634</f>
        <v>43629</v>
      </c>
      <c r="B633">
        <f>'raw data Crude oil'!B634</f>
        <v>61.31</v>
      </c>
      <c r="C633">
        <f>'raw data Crude oil'!C634</f>
        <v>60.45</v>
      </c>
      <c r="D633">
        <f>'raw data Crude oil'!D634</f>
        <v>59.97</v>
      </c>
      <c r="E633">
        <f>'raw data Crude oil'!E634</f>
        <v>59.7</v>
      </c>
      <c r="F633">
        <f>'raw data Crude oil'!F634</f>
        <v>59.51</v>
      </c>
      <c r="G633">
        <f>'raw data Crude oil'!G634</f>
        <v>59.36</v>
      </c>
      <c r="H633">
        <f>'raw data Crude oil'!H634</f>
        <v>59.24</v>
      </c>
      <c r="I633">
        <f>'raw data Crude oil'!I634</f>
        <v>59.14</v>
      </c>
      <c r="J633">
        <f>'raw data Crude oil'!J634</f>
        <v>59.06</v>
      </c>
      <c r="K633">
        <f>'raw data Crude oil'!K634</f>
        <v>58.98</v>
      </c>
      <c r="L633">
        <f>'raw data Crude oil'!L634</f>
        <v>58.89</v>
      </c>
      <c r="M633">
        <f>'raw data Crude oil'!M634</f>
        <v>58.79</v>
      </c>
      <c r="N633">
        <f>'raw data Crude oil'!N634</f>
        <v>52.28</v>
      </c>
      <c r="O633">
        <f>'raw data Crude oil'!O634</f>
        <v>52.54</v>
      </c>
      <c r="P633">
        <f>'raw data Crude oil'!P634</f>
        <v>52.72</v>
      </c>
      <c r="Q633">
        <f>'raw data Crude oil'!Q634</f>
        <v>52.78</v>
      </c>
      <c r="R633">
        <f>'raw data Crude oil'!R634</f>
        <v>52.82</v>
      </c>
      <c r="S633">
        <f>'raw data Crude oil'!S634</f>
        <v>52.81</v>
      </c>
      <c r="T633">
        <f>'raw data Crude oil'!T634</f>
        <v>52.76</v>
      </c>
      <c r="U633">
        <f>'raw data Crude oil'!U634</f>
        <v>52.67</v>
      </c>
      <c r="V633">
        <f>'raw data Crude oil'!V634</f>
        <v>52.57</v>
      </c>
      <c r="W633">
        <f>'raw data Crude oil'!W634</f>
        <v>52.48</v>
      </c>
      <c r="X633">
        <f>'raw data Crude oil'!X634</f>
        <v>52.36</v>
      </c>
      <c r="Y633">
        <f>'raw data Crude oil'!Y634</f>
        <v>52.28</v>
      </c>
      <c r="Z633">
        <f>'raw data Crude oil'!Z634</f>
        <v>60.223999999999997</v>
      </c>
      <c r="AA633">
        <f>'raw data Crude oil'!AA634</f>
        <v>58.768999999999998</v>
      </c>
      <c r="AB633">
        <f>'raw data Crude oil'!AB634</f>
        <v>58.177999999999997</v>
      </c>
      <c r="AC633">
        <f>'raw data Crude oil'!AC634</f>
        <v>57.710999999999999</v>
      </c>
      <c r="AD633">
        <f>'raw data Crude oil'!AD634</f>
        <v>57.363</v>
      </c>
      <c r="AE633">
        <f>'raw data Crude oil'!AE634</f>
        <v>57.054000000000002</v>
      </c>
      <c r="AF633">
        <f>'raw data Crude oil'!AF634</f>
        <v>56.77</v>
      </c>
      <c r="AG633">
        <f>'raw data Crude oil'!AG634</f>
        <v>56.616</v>
      </c>
      <c r="AH633">
        <f>'raw data Crude oil'!AH634</f>
        <v>56.475999999999999</v>
      </c>
      <c r="AI633">
        <f>'raw data Crude oil'!AI634</f>
        <v>56.375999999999998</v>
      </c>
      <c r="AJ633">
        <f>'raw data Crude oil'!AJ634</f>
        <v>56.284999999999997</v>
      </c>
      <c r="AK633">
        <f>'raw data Crude oil'!AK634</f>
        <v>56.177</v>
      </c>
    </row>
    <row r="634" spans="1:37" x14ac:dyDescent="0.3">
      <c r="A634" s="18">
        <f>'raw data Crude oil'!A635</f>
        <v>43630</v>
      </c>
      <c r="B634">
        <f>'raw data Crude oil'!B635</f>
        <v>62.01</v>
      </c>
      <c r="C634">
        <f>'raw data Crude oil'!C635</f>
        <v>61.01</v>
      </c>
      <c r="D634">
        <f>'raw data Crude oil'!D635</f>
        <v>60.47</v>
      </c>
      <c r="E634">
        <f>'raw data Crude oil'!E635</f>
        <v>60.14</v>
      </c>
      <c r="F634">
        <f>'raw data Crude oil'!F635</f>
        <v>59.9</v>
      </c>
      <c r="G634">
        <f>'raw data Crude oil'!G635</f>
        <v>59.7</v>
      </c>
      <c r="H634">
        <f>'raw data Crude oil'!H635</f>
        <v>59.55</v>
      </c>
      <c r="I634">
        <f>'raw data Crude oil'!I635</f>
        <v>59.41</v>
      </c>
      <c r="J634">
        <f>'raw data Crude oil'!J635</f>
        <v>59.31</v>
      </c>
      <c r="K634">
        <f>'raw data Crude oil'!K635</f>
        <v>59.2</v>
      </c>
      <c r="L634">
        <f>'raw data Crude oil'!L635</f>
        <v>59.09</v>
      </c>
      <c r="M634">
        <f>'raw data Crude oil'!M635</f>
        <v>58.98</v>
      </c>
      <c r="N634">
        <f>'raw data Crude oil'!N635</f>
        <v>52.51</v>
      </c>
      <c r="O634">
        <f>'raw data Crude oil'!O635</f>
        <v>52.77</v>
      </c>
      <c r="P634">
        <f>'raw data Crude oil'!P635</f>
        <v>52.95</v>
      </c>
      <c r="Q634">
        <f>'raw data Crude oil'!Q635</f>
        <v>53</v>
      </c>
      <c r="R634">
        <f>'raw data Crude oil'!R635</f>
        <v>53.01</v>
      </c>
      <c r="S634">
        <f>'raw data Crude oil'!S635</f>
        <v>52.98</v>
      </c>
      <c r="T634">
        <f>'raw data Crude oil'!T635</f>
        <v>52.9</v>
      </c>
      <c r="U634">
        <f>'raw data Crude oil'!U635</f>
        <v>52.79</v>
      </c>
      <c r="V634">
        <f>'raw data Crude oil'!V635</f>
        <v>52.66</v>
      </c>
      <c r="W634">
        <f>'raw data Crude oil'!W635</f>
        <v>52.54</v>
      </c>
      <c r="X634">
        <f>'raw data Crude oil'!X635</f>
        <v>52.43</v>
      </c>
      <c r="Y634">
        <f>'raw data Crude oil'!Y635</f>
        <v>52.32</v>
      </c>
      <c r="Z634">
        <f>'raw data Crude oil'!Z635</f>
        <v>60.484999999999999</v>
      </c>
      <c r="AA634">
        <f>'raw data Crude oil'!AA635</f>
        <v>59.226999999999997</v>
      </c>
      <c r="AB634">
        <f>'raw data Crude oil'!AB635</f>
        <v>58.594999999999999</v>
      </c>
      <c r="AC634">
        <f>'raw data Crude oil'!AC635</f>
        <v>58.079000000000001</v>
      </c>
      <c r="AD634">
        <f>'raw data Crude oil'!AD635</f>
        <v>57.701000000000001</v>
      </c>
      <c r="AE634">
        <f>'raw data Crude oil'!AE635</f>
        <v>57.363</v>
      </c>
      <c r="AF634">
        <f>'raw data Crude oil'!AF635</f>
        <v>57.106999999999999</v>
      </c>
      <c r="AG634">
        <f>'raw data Crude oil'!AG635</f>
        <v>56.905000000000001</v>
      </c>
      <c r="AH634">
        <f>'raw data Crude oil'!AH635</f>
        <v>56.725000000000001</v>
      </c>
      <c r="AI634">
        <f>'raw data Crude oil'!AI635</f>
        <v>56.564999999999998</v>
      </c>
      <c r="AJ634">
        <f>'raw data Crude oil'!AJ635</f>
        <v>56.465000000000003</v>
      </c>
      <c r="AK634">
        <f>'raw data Crude oil'!AK635</f>
        <v>56.356000000000002</v>
      </c>
    </row>
    <row r="635" spans="1:37" x14ac:dyDescent="0.3">
      <c r="A635" s="18">
        <f>'raw data Crude oil'!A636</f>
        <v>43633</v>
      </c>
      <c r="B635">
        <f>'raw data Crude oil'!B636</f>
        <v>60.94</v>
      </c>
      <c r="C635">
        <f>'raw data Crude oil'!C636</f>
        <v>59.99</v>
      </c>
      <c r="D635">
        <f>'raw data Crude oil'!D636</f>
        <v>59.53</v>
      </c>
      <c r="E635">
        <f>'raw data Crude oil'!E636</f>
        <v>59.25</v>
      </c>
      <c r="F635">
        <f>'raw data Crude oil'!F636</f>
        <v>59.06</v>
      </c>
      <c r="G635">
        <f>'raw data Crude oil'!G636</f>
        <v>58.91</v>
      </c>
      <c r="H635">
        <f>'raw data Crude oil'!H636</f>
        <v>58.79</v>
      </c>
      <c r="I635">
        <f>'raw data Crude oil'!I636</f>
        <v>58.69</v>
      </c>
      <c r="J635">
        <f>'raw data Crude oil'!J636</f>
        <v>58.62</v>
      </c>
      <c r="K635">
        <f>'raw data Crude oil'!K636</f>
        <v>58.54</v>
      </c>
      <c r="L635">
        <f>'raw data Crude oil'!L636</f>
        <v>58.46</v>
      </c>
      <c r="M635">
        <f>'raw data Crude oil'!M636</f>
        <v>58.38</v>
      </c>
      <c r="N635">
        <f>'raw data Crude oil'!N636</f>
        <v>51.93</v>
      </c>
      <c r="O635">
        <f>'raw data Crude oil'!O636</f>
        <v>52.17</v>
      </c>
      <c r="P635">
        <f>'raw data Crude oil'!P636</f>
        <v>52.31</v>
      </c>
      <c r="Q635">
        <f>'raw data Crude oil'!Q636</f>
        <v>52.35</v>
      </c>
      <c r="R635">
        <f>'raw data Crude oil'!R636</f>
        <v>52.37</v>
      </c>
      <c r="S635">
        <f>'raw data Crude oil'!S636</f>
        <v>52.36</v>
      </c>
      <c r="T635">
        <f>'raw data Crude oil'!T636</f>
        <v>52.3</v>
      </c>
      <c r="U635">
        <f>'raw data Crude oil'!U636</f>
        <v>52.2</v>
      </c>
      <c r="V635">
        <f>'raw data Crude oil'!V636</f>
        <v>52.09</v>
      </c>
      <c r="W635">
        <f>'raw data Crude oil'!W636</f>
        <v>51.99</v>
      </c>
      <c r="X635">
        <f>'raw data Crude oil'!X636</f>
        <v>51.89</v>
      </c>
      <c r="Y635">
        <f>'raw data Crude oil'!Y636</f>
        <v>51.8</v>
      </c>
      <c r="Z635">
        <f>'raw data Crude oil'!Z636</f>
        <v>60.127000000000002</v>
      </c>
      <c r="AA635">
        <f>'raw data Crude oil'!AA636</f>
        <v>58.25</v>
      </c>
      <c r="AB635">
        <f>'raw data Crude oil'!AB636</f>
        <v>57.606999999999999</v>
      </c>
      <c r="AC635">
        <f>'raw data Crude oil'!AC636</f>
        <v>57.151000000000003</v>
      </c>
      <c r="AD635">
        <f>'raw data Crude oil'!AD636</f>
        <v>56.817999999999998</v>
      </c>
      <c r="AE635">
        <f>'raw data Crude oil'!AE636</f>
        <v>56.509</v>
      </c>
      <c r="AF635">
        <f>'raw data Crude oil'!AF636</f>
        <v>56.238999999999997</v>
      </c>
      <c r="AG635">
        <f>'raw data Crude oil'!AG636</f>
        <v>56.087000000000003</v>
      </c>
      <c r="AH635">
        <f>'raw data Crude oil'!AH636</f>
        <v>55.956000000000003</v>
      </c>
      <c r="AI635">
        <f>'raw data Crude oil'!AI636</f>
        <v>55.886000000000003</v>
      </c>
      <c r="AJ635">
        <f>'raw data Crude oil'!AJ636</f>
        <v>55.816000000000003</v>
      </c>
      <c r="AK635">
        <f>'raw data Crude oil'!AK636</f>
        <v>55.737000000000002</v>
      </c>
    </row>
    <row r="636" spans="1:37" x14ac:dyDescent="0.3">
      <c r="A636" s="18">
        <f>'raw data Crude oil'!A637</f>
        <v>43634</v>
      </c>
      <c r="B636">
        <f>'raw data Crude oil'!B637</f>
        <v>62.14</v>
      </c>
      <c r="C636">
        <f>'raw data Crude oil'!C637</f>
        <v>61.33</v>
      </c>
      <c r="D636">
        <f>'raw data Crude oil'!D637</f>
        <v>60.92</v>
      </c>
      <c r="E636">
        <f>'raw data Crude oil'!E637</f>
        <v>60.65</v>
      </c>
      <c r="F636">
        <f>'raw data Crude oil'!F637</f>
        <v>60.45</v>
      </c>
      <c r="G636">
        <f>'raw data Crude oil'!G637</f>
        <v>60.29</v>
      </c>
      <c r="H636">
        <f>'raw data Crude oil'!H637</f>
        <v>60.16</v>
      </c>
      <c r="I636">
        <f>'raw data Crude oil'!I637</f>
        <v>60.04</v>
      </c>
      <c r="J636">
        <f>'raw data Crude oil'!J637</f>
        <v>59.94</v>
      </c>
      <c r="K636">
        <f>'raw data Crude oil'!K637</f>
        <v>59.85</v>
      </c>
      <c r="L636">
        <f>'raw data Crude oil'!L637</f>
        <v>59.75</v>
      </c>
      <c r="M636">
        <f>'raw data Crude oil'!M637</f>
        <v>59.65</v>
      </c>
      <c r="N636">
        <f>'raw data Crude oil'!N637</f>
        <v>53.9</v>
      </c>
      <c r="O636">
        <f>'raw data Crude oil'!O637</f>
        <v>54.11</v>
      </c>
      <c r="P636">
        <f>'raw data Crude oil'!P637</f>
        <v>54.19</v>
      </c>
      <c r="Q636">
        <f>'raw data Crude oil'!Q637</f>
        <v>54.14</v>
      </c>
      <c r="R636">
        <f>'raw data Crude oil'!R637</f>
        <v>54.08</v>
      </c>
      <c r="S636">
        <f>'raw data Crude oil'!S637</f>
        <v>54</v>
      </c>
      <c r="T636">
        <f>'raw data Crude oil'!T637</f>
        <v>53.87</v>
      </c>
      <c r="U636">
        <f>'raw data Crude oil'!U637</f>
        <v>53.71</v>
      </c>
      <c r="V636">
        <f>'raw data Crude oil'!V637</f>
        <v>53.56</v>
      </c>
      <c r="W636">
        <f>'raw data Crude oil'!W637</f>
        <v>53.42</v>
      </c>
      <c r="X636">
        <f>'raw data Crude oil'!X637</f>
        <v>53.29</v>
      </c>
      <c r="Y636">
        <f>'raw data Crude oil'!Y637</f>
        <v>53.18</v>
      </c>
      <c r="Z636">
        <f>'raw data Crude oil'!Z637</f>
        <v>60.786999999999999</v>
      </c>
      <c r="AA636">
        <f>'raw data Crude oil'!AA637</f>
        <v>59.591999999999999</v>
      </c>
      <c r="AB636">
        <f>'raw data Crude oil'!AB637</f>
        <v>58.957999999999998</v>
      </c>
      <c r="AC636">
        <f>'raw data Crude oil'!AC637</f>
        <v>58.49</v>
      </c>
      <c r="AD636">
        <f>'raw data Crude oil'!AD637</f>
        <v>58.152999999999999</v>
      </c>
      <c r="AE636">
        <f>'raw data Crude oil'!AE637</f>
        <v>57.863999999999997</v>
      </c>
      <c r="AF636">
        <f>'raw data Crude oil'!AF637</f>
        <v>57.588999999999999</v>
      </c>
      <c r="AG636">
        <f>'raw data Crude oil'!AG637</f>
        <v>57.414999999999999</v>
      </c>
      <c r="AH636">
        <f>'raw data Crude oil'!AH637</f>
        <v>57.276000000000003</v>
      </c>
      <c r="AI636">
        <f>'raw data Crude oil'!AI637</f>
        <v>57.174999999999997</v>
      </c>
      <c r="AJ636">
        <f>'raw data Crude oil'!AJ637</f>
        <v>57.104999999999997</v>
      </c>
      <c r="AK636">
        <f>'raw data Crude oil'!AK637</f>
        <v>57.026000000000003</v>
      </c>
    </row>
    <row r="637" spans="1:37" x14ac:dyDescent="0.3">
      <c r="A637" s="18">
        <f>'raw data Crude oil'!A638</f>
        <v>43635</v>
      </c>
      <c r="B637">
        <f>'raw data Crude oil'!B638</f>
        <v>61.82</v>
      </c>
      <c r="C637">
        <f>'raw data Crude oil'!C638</f>
        <v>61.04</v>
      </c>
      <c r="D637">
        <f>'raw data Crude oil'!D638</f>
        <v>60.64</v>
      </c>
      <c r="E637">
        <f>'raw data Crude oil'!E638</f>
        <v>60.37</v>
      </c>
      <c r="F637">
        <f>'raw data Crude oil'!F638</f>
        <v>60.17</v>
      </c>
      <c r="G637">
        <f>'raw data Crude oil'!G638</f>
        <v>60.01</v>
      </c>
      <c r="H637">
        <f>'raw data Crude oil'!H638</f>
        <v>59.88</v>
      </c>
      <c r="I637">
        <f>'raw data Crude oil'!I638</f>
        <v>59.76</v>
      </c>
      <c r="J637">
        <f>'raw data Crude oil'!J638</f>
        <v>59.67</v>
      </c>
      <c r="K637">
        <f>'raw data Crude oil'!K638</f>
        <v>59.57</v>
      </c>
      <c r="L637">
        <f>'raw data Crude oil'!L638</f>
        <v>59.47</v>
      </c>
      <c r="M637">
        <f>'raw data Crude oil'!M638</f>
        <v>59.37</v>
      </c>
      <c r="N637">
        <f>'raw data Crude oil'!N638</f>
        <v>53.76</v>
      </c>
      <c r="O637">
        <f>'raw data Crude oil'!O638</f>
        <v>53.97</v>
      </c>
      <c r="P637">
        <f>'raw data Crude oil'!P638</f>
        <v>54.03</v>
      </c>
      <c r="Q637">
        <f>'raw data Crude oil'!Q638</f>
        <v>53.99</v>
      </c>
      <c r="R637">
        <f>'raw data Crude oil'!R638</f>
        <v>53.93</v>
      </c>
      <c r="S637">
        <f>'raw data Crude oil'!S638</f>
        <v>53.83</v>
      </c>
      <c r="T637">
        <f>'raw data Crude oil'!T638</f>
        <v>53.69</v>
      </c>
      <c r="U637">
        <f>'raw data Crude oil'!U638</f>
        <v>53.53</v>
      </c>
      <c r="V637">
        <f>'raw data Crude oil'!V638</f>
        <v>53.38</v>
      </c>
      <c r="W637">
        <f>'raw data Crude oil'!W638</f>
        <v>53.23</v>
      </c>
      <c r="X637">
        <f>'raw data Crude oil'!X638</f>
        <v>53.09</v>
      </c>
      <c r="Y637">
        <f>'raw data Crude oil'!Y638</f>
        <v>52.97</v>
      </c>
      <c r="Z637">
        <f>'raw data Crude oil'!Z638</f>
        <v>60.656999999999996</v>
      </c>
      <c r="AA637">
        <f>'raw data Crude oil'!AA638</f>
        <v>59.402999999999999</v>
      </c>
      <c r="AB637">
        <f>'raw data Crude oil'!AB638</f>
        <v>58.738</v>
      </c>
      <c r="AC637">
        <f>'raw data Crude oil'!AC638</f>
        <v>58.25</v>
      </c>
      <c r="AD637">
        <f>'raw data Crude oil'!AD638</f>
        <v>57.893000000000001</v>
      </c>
      <c r="AE637">
        <f>'raw data Crude oil'!AE638</f>
        <v>57.594000000000001</v>
      </c>
      <c r="AF637">
        <f>'raw data Crude oil'!AF638</f>
        <v>57.329000000000001</v>
      </c>
      <c r="AG637">
        <f>'raw data Crude oil'!AG638</f>
        <v>57.136000000000003</v>
      </c>
      <c r="AH637">
        <f>'raw data Crude oil'!AH638</f>
        <v>57.024999999999999</v>
      </c>
      <c r="AI637">
        <f>'raw data Crude oil'!AI638</f>
        <v>56.965000000000003</v>
      </c>
      <c r="AJ637">
        <f>'raw data Crude oil'!AJ638</f>
        <v>56.895000000000003</v>
      </c>
      <c r="AK637">
        <f>'raw data Crude oil'!AK638</f>
        <v>56.816000000000003</v>
      </c>
    </row>
    <row r="638" spans="1:37" x14ac:dyDescent="0.3">
      <c r="A638" s="18">
        <f>'raw data Crude oil'!A639</f>
        <v>43636</v>
      </c>
      <c r="B638">
        <f>'raw data Crude oil'!B639</f>
        <v>64.45</v>
      </c>
      <c r="C638">
        <f>'raw data Crude oil'!C639</f>
        <v>63.76</v>
      </c>
      <c r="D638">
        <f>'raw data Crude oil'!D639</f>
        <v>63.35</v>
      </c>
      <c r="E638">
        <f>'raw data Crude oil'!E639</f>
        <v>63.05</v>
      </c>
      <c r="F638">
        <f>'raw data Crude oil'!F639</f>
        <v>62.81</v>
      </c>
      <c r="G638">
        <f>'raw data Crude oil'!G639</f>
        <v>62.61</v>
      </c>
      <c r="H638">
        <f>'raw data Crude oil'!H639</f>
        <v>62.42</v>
      </c>
      <c r="I638">
        <f>'raw data Crude oil'!I639</f>
        <v>62.25</v>
      </c>
      <c r="J638">
        <f>'raw data Crude oil'!J639</f>
        <v>62.1</v>
      </c>
      <c r="K638">
        <f>'raw data Crude oil'!K639</f>
        <v>61.95</v>
      </c>
      <c r="L638">
        <f>'raw data Crude oil'!L639</f>
        <v>61.81</v>
      </c>
      <c r="M638">
        <f>'raw data Crude oil'!M639</f>
        <v>61.66</v>
      </c>
      <c r="N638">
        <f>'raw data Crude oil'!N639</f>
        <v>56.65</v>
      </c>
      <c r="O638">
        <f>'raw data Crude oil'!O639</f>
        <v>57.07</v>
      </c>
      <c r="P638">
        <f>'raw data Crude oil'!P639</f>
        <v>57.13</v>
      </c>
      <c r="Q638">
        <f>'raw data Crude oil'!Q639</f>
        <v>57.05</v>
      </c>
      <c r="R638">
        <f>'raw data Crude oil'!R639</f>
        <v>56.89</v>
      </c>
      <c r="S638">
        <f>'raw data Crude oil'!S639</f>
        <v>56.7</v>
      </c>
      <c r="T638">
        <f>'raw data Crude oil'!T639</f>
        <v>56.47</v>
      </c>
      <c r="U638">
        <f>'raw data Crude oil'!U639</f>
        <v>56.23</v>
      </c>
      <c r="V638">
        <f>'raw data Crude oil'!V639</f>
        <v>55.98</v>
      </c>
      <c r="W638">
        <f>'raw data Crude oil'!W639</f>
        <v>55.76</v>
      </c>
      <c r="X638">
        <f>'raw data Crude oil'!X639</f>
        <v>55.55</v>
      </c>
      <c r="Y638">
        <f>'raw data Crude oil'!Y639</f>
        <v>55.37</v>
      </c>
      <c r="Z638">
        <f>'raw data Crude oil'!Z639</f>
        <v>61.628999999999998</v>
      </c>
      <c r="AA638">
        <f>'raw data Crude oil'!AA639</f>
        <v>62.231999999999999</v>
      </c>
      <c r="AB638">
        <f>'raw data Crude oil'!AB639</f>
        <v>61.545999999999999</v>
      </c>
      <c r="AC638">
        <f>'raw data Crude oil'!AC639</f>
        <v>61.009</v>
      </c>
      <c r="AD638">
        <f>'raw data Crude oil'!AD639</f>
        <v>60.591000000000001</v>
      </c>
      <c r="AE638">
        <f>'raw data Crude oil'!AE639</f>
        <v>60.191000000000003</v>
      </c>
      <c r="AF638">
        <f>'raw data Crude oil'!AF639</f>
        <v>59.853999999999999</v>
      </c>
      <c r="AG638">
        <f>'raw data Crude oil'!AG639</f>
        <v>59.622999999999998</v>
      </c>
      <c r="AH638">
        <f>'raw data Crude oil'!AH639</f>
        <v>59.453000000000003</v>
      </c>
      <c r="AI638">
        <f>'raw data Crude oil'!AI639</f>
        <v>59.334000000000003</v>
      </c>
      <c r="AJ638">
        <f>'raw data Crude oil'!AJ639</f>
        <v>59.222999999999999</v>
      </c>
      <c r="AK638">
        <f>'raw data Crude oil'!AK639</f>
        <v>59.094000000000001</v>
      </c>
    </row>
    <row r="639" spans="1:37" x14ac:dyDescent="0.3">
      <c r="A639" s="18">
        <f>'raw data Crude oil'!A640</f>
        <v>43637</v>
      </c>
      <c r="B639">
        <f>'raw data Crude oil'!B640</f>
        <v>65.2</v>
      </c>
      <c r="C639">
        <f>'raw data Crude oil'!C640</f>
        <v>64.45</v>
      </c>
      <c r="D639">
        <f>'raw data Crude oil'!D640</f>
        <v>64</v>
      </c>
      <c r="E639">
        <f>'raw data Crude oil'!E640</f>
        <v>63.67</v>
      </c>
      <c r="F639">
        <f>'raw data Crude oil'!F640</f>
        <v>63.4</v>
      </c>
      <c r="G639">
        <f>'raw data Crude oil'!G640</f>
        <v>63.18</v>
      </c>
      <c r="H639">
        <f>'raw data Crude oil'!H640</f>
        <v>62.96</v>
      </c>
      <c r="I639">
        <f>'raw data Crude oil'!I640</f>
        <v>62.75</v>
      </c>
      <c r="J639">
        <f>'raw data Crude oil'!J640</f>
        <v>62.56</v>
      </c>
      <c r="K639">
        <f>'raw data Crude oil'!K640</f>
        <v>62.37</v>
      </c>
      <c r="L639">
        <f>'raw data Crude oil'!L640</f>
        <v>62.19</v>
      </c>
      <c r="M639">
        <f>'raw data Crude oil'!M640</f>
        <v>62.01</v>
      </c>
      <c r="N639">
        <f>'raw data Crude oil'!N640</f>
        <v>57.43</v>
      </c>
      <c r="O639">
        <f>'raw data Crude oil'!O640</f>
        <v>57.5</v>
      </c>
      <c r="P639">
        <f>'raw data Crude oil'!P640</f>
        <v>57.42</v>
      </c>
      <c r="Q639">
        <f>'raw data Crude oil'!Q640</f>
        <v>57.25</v>
      </c>
      <c r="R639">
        <f>'raw data Crude oil'!R640</f>
        <v>57.04</v>
      </c>
      <c r="S639">
        <f>'raw data Crude oil'!S640</f>
        <v>56.79</v>
      </c>
      <c r="T639">
        <f>'raw data Crude oil'!T640</f>
        <v>56.52</v>
      </c>
      <c r="U639">
        <f>'raw data Crude oil'!U640</f>
        <v>56.25</v>
      </c>
      <c r="V639">
        <f>'raw data Crude oil'!V640</f>
        <v>55.99</v>
      </c>
      <c r="W639">
        <f>'raw data Crude oil'!W640</f>
        <v>55.76</v>
      </c>
      <c r="X639">
        <f>'raw data Crude oil'!X640</f>
        <v>55.55</v>
      </c>
      <c r="Y639">
        <f>'raw data Crude oil'!Y640</f>
        <v>55.33</v>
      </c>
      <c r="Z639">
        <f>'raw data Crude oil'!Z640</f>
        <v>61.795999999999999</v>
      </c>
      <c r="AA639">
        <f>'raw data Crude oil'!AA640</f>
        <v>62.77</v>
      </c>
      <c r="AB639">
        <f>'raw data Crude oil'!AB640</f>
        <v>62.174999999999997</v>
      </c>
      <c r="AC639">
        <f>'raw data Crude oil'!AC640</f>
        <v>61.627000000000002</v>
      </c>
      <c r="AD639">
        <f>'raw data Crude oil'!AD640</f>
        <v>61.15</v>
      </c>
      <c r="AE639">
        <f>'raw data Crude oil'!AE640</f>
        <v>60.74</v>
      </c>
      <c r="AF639">
        <f>'raw data Crude oil'!AF640</f>
        <v>60.41</v>
      </c>
      <c r="AG639">
        <f>'raw data Crude oil'!AG640</f>
        <v>60.121000000000002</v>
      </c>
      <c r="AH639">
        <f>'raw data Crude oil'!AH640</f>
        <v>59.911000000000001</v>
      </c>
      <c r="AI639">
        <f>'raw data Crude oil'!AI640</f>
        <v>59.731999999999999</v>
      </c>
      <c r="AJ639">
        <f>'raw data Crude oil'!AJ640</f>
        <v>59.600999999999999</v>
      </c>
      <c r="AK639">
        <f>'raw data Crude oil'!AK640</f>
        <v>59.453000000000003</v>
      </c>
    </row>
    <row r="640" spans="1:37" x14ac:dyDescent="0.3">
      <c r="A640" s="18">
        <f>'raw data Crude oil'!A641</f>
        <v>43640</v>
      </c>
      <c r="B640">
        <f>'raw data Crude oil'!B641</f>
        <v>64.86</v>
      </c>
      <c r="C640">
        <f>'raw data Crude oil'!C641</f>
        <v>64.180000000000007</v>
      </c>
      <c r="D640">
        <f>'raw data Crude oil'!D641</f>
        <v>63.81</v>
      </c>
      <c r="E640">
        <f>'raw data Crude oil'!E641</f>
        <v>63.55</v>
      </c>
      <c r="F640">
        <f>'raw data Crude oil'!F641</f>
        <v>63.33</v>
      </c>
      <c r="G640">
        <f>'raw data Crude oil'!G641</f>
        <v>63.15</v>
      </c>
      <c r="H640">
        <f>'raw data Crude oil'!H641</f>
        <v>62.96</v>
      </c>
      <c r="I640">
        <f>'raw data Crude oil'!I641</f>
        <v>62.76</v>
      </c>
      <c r="J640">
        <f>'raw data Crude oil'!J641</f>
        <v>62.59</v>
      </c>
      <c r="K640">
        <f>'raw data Crude oil'!K641</f>
        <v>62.4</v>
      </c>
      <c r="L640">
        <f>'raw data Crude oil'!L641</f>
        <v>62.21</v>
      </c>
      <c r="M640">
        <f>'raw data Crude oil'!M641</f>
        <v>62.03</v>
      </c>
      <c r="N640">
        <f>'raw data Crude oil'!N641</f>
        <v>57.9</v>
      </c>
      <c r="O640">
        <f>'raw data Crude oil'!O641</f>
        <v>57.93</v>
      </c>
      <c r="P640">
        <f>'raw data Crude oil'!P641</f>
        <v>57.82</v>
      </c>
      <c r="Q640">
        <f>'raw data Crude oil'!Q641</f>
        <v>57.64</v>
      </c>
      <c r="R640">
        <f>'raw data Crude oil'!R641</f>
        <v>57.41</v>
      </c>
      <c r="S640">
        <f>'raw data Crude oil'!S641</f>
        <v>57.15</v>
      </c>
      <c r="T640">
        <f>'raw data Crude oil'!T641</f>
        <v>56.87</v>
      </c>
      <c r="U640">
        <f>'raw data Crude oil'!U641</f>
        <v>56.58</v>
      </c>
      <c r="V640">
        <f>'raw data Crude oil'!V641</f>
        <v>56.32</v>
      </c>
      <c r="W640">
        <f>'raw data Crude oil'!W641</f>
        <v>56.07</v>
      </c>
      <c r="X640">
        <f>'raw data Crude oil'!X641</f>
        <v>55.84</v>
      </c>
      <c r="Y640">
        <f>'raw data Crude oil'!Y641</f>
        <v>55.62</v>
      </c>
      <c r="Z640">
        <f>'raw data Crude oil'!Z641</f>
        <v>61.665999999999997</v>
      </c>
      <c r="AA640">
        <f>'raw data Crude oil'!AA641</f>
        <v>62.384</v>
      </c>
      <c r="AB640">
        <f>'raw data Crude oil'!AB641</f>
        <v>61.868000000000002</v>
      </c>
      <c r="AC640">
        <f>'raw data Crude oil'!AC641</f>
        <v>61.43</v>
      </c>
      <c r="AD640">
        <f>'raw data Crude oil'!AD641</f>
        <v>61.021999999999998</v>
      </c>
      <c r="AE640">
        <f>'raw data Crude oil'!AE641</f>
        <v>60.631</v>
      </c>
      <c r="AF640">
        <f>'raw data Crude oil'!AF641</f>
        <v>60.331000000000003</v>
      </c>
      <c r="AG640">
        <f>'raw data Crude oil'!AG641</f>
        <v>60.101999999999997</v>
      </c>
      <c r="AH640">
        <f>'raw data Crude oil'!AH641</f>
        <v>59.920999999999999</v>
      </c>
      <c r="AI640">
        <f>'raw data Crude oil'!AI641</f>
        <v>59.761000000000003</v>
      </c>
      <c r="AJ640">
        <f>'raw data Crude oil'!AJ641</f>
        <v>59.600999999999999</v>
      </c>
      <c r="AK640">
        <f>'raw data Crude oil'!AK641</f>
        <v>59.433</v>
      </c>
    </row>
    <row r="641" spans="1:37" x14ac:dyDescent="0.3">
      <c r="A641" s="18">
        <f>'raw data Crude oil'!A642</f>
        <v>43641</v>
      </c>
      <c r="B641">
        <f>'raw data Crude oil'!B642</f>
        <v>65.05</v>
      </c>
      <c r="C641">
        <f>'raw data Crude oil'!C642</f>
        <v>64.28</v>
      </c>
      <c r="D641">
        <f>'raw data Crude oil'!D642</f>
        <v>63.91</v>
      </c>
      <c r="E641">
        <f>'raw data Crude oil'!E642</f>
        <v>63.66</v>
      </c>
      <c r="F641">
        <f>'raw data Crude oil'!F642</f>
        <v>63.44</v>
      </c>
      <c r="G641">
        <f>'raw data Crude oil'!G642</f>
        <v>63.26</v>
      </c>
      <c r="H641">
        <f>'raw data Crude oil'!H642</f>
        <v>63.08</v>
      </c>
      <c r="I641">
        <f>'raw data Crude oil'!I642</f>
        <v>62.89</v>
      </c>
      <c r="J641">
        <f>'raw data Crude oil'!J642</f>
        <v>62.72</v>
      </c>
      <c r="K641">
        <f>'raw data Crude oil'!K642</f>
        <v>62.54</v>
      </c>
      <c r="L641">
        <f>'raw data Crude oil'!L642</f>
        <v>62.36</v>
      </c>
      <c r="M641">
        <f>'raw data Crude oil'!M642</f>
        <v>62.19</v>
      </c>
      <c r="N641">
        <f>'raw data Crude oil'!N642</f>
        <v>57.83</v>
      </c>
      <c r="O641">
        <f>'raw data Crude oil'!O642</f>
        <v>57.89</v>
      </c>
      <c r="P641">
        <f>'raw data Crude oil'!P642</f>
        <v>57.8</v>
      </c>
      <c r="Q641">
        <f>'raw data Crude oil'!Q642</f>
        <v>57.66</v>
      </c>
      <c r="R641">
        <f>'raw data Crude oil'!R642</f>
        <v>57.47</v>
      </c>
      <c r="S641">
        <f>'raw data Crude oil'!S642</f>
        <v>57.24</v>
      </c>
      <c r="T641">
        <f>'raw data Crude oil'!T642</f>
        <v>56.99</v>
      </c>
      <c r="U641">
        <f>'raw data Crude oil'!U642</f>
        <v>56.73</v>
      </c>
      <c r="V641">
        <f>'raw data Crude oil'!V642</f>
        <v>56.49</v>
      </c>
      <c r="W641">
        <f>'raw data Crude oil'!W642</f>
        <v>56.26</v>
      </c>
      <c r="X641">
        <f>'raw data Crude oil'!X642</f>
        <v>56.06</v>
      </c>
      <c r="Y641">
        <f>'raw data Crude oil'!Y642</f>
        <v>55.85</v>
      </c>
      <c r="Z641">
        <f>'raw data Crude oil'!Z642</f>
        <v>61.634</v>
      </c>
      <c r="AA641">
        <f>'raw data Crude oil'!AA642</f>
        <v>62.514000000000003</v>
      </c>
      <c r="AB641">
        <f>'raw data Crude oil'!AB642</f>
        <v>61.969000000000001</v>
      </c>
      <c r="AC641">
        <f>'raw data Crude oil'!AC642</f>
        <v>61.55</v>
      </c>
      <c r="AD641">
        <f>'raw data Crude oil'!AD642</f>
        <v>61.152000000000001</v>
      </c>
      <c r="AE641">
        <f>'raw data Crude oil'!AE642</f>
        <v>60.771000000000001</v>
      </c>
      <c r="AF641">
        <f>'raw data Crude oil'!AF642</f>
        <v>60.472000000000001</v>
      </c>
      <c r="AG641">
        <f>'raw data Crude oil'!AG642</f>
        <v>60.231999999999999</v>
      </c>
      <c r="AH641">
        <f>'raw data Crude oil'!AH642</f>
        <v>60.051000000000002</v>
      </c>
      <c r="AI641">
        <f>'raw data Crude oil'!AI642</f>
        <v>59.902000000000001</v>
      </c>
      <c r="AJ641">
        <f>'raw data Crude oil'!AJ642</f>
        <v>59.752000000000002</v>
      </c>
      <c r="AK641">
        <f>'raw data Crude oil'!AK642</f>
        <v>59.594000000000001</v>
      </c>
    </row>
    <row r="642" spans="1:37" x14ac:dyDescent="0.3">
      <c r="A642" s="18">
        <f>'raw data Crude oil'!A643</f>
        <v>43642</v>
      </c>
      <c r="B642">
        <f>'raw data Crude oil'!B643</f>
        <v>66.489999999999995</v>
      </c>
      <c r="C642">
        <f>'raw data Crude oil'!C643</f>
        <v>65.69</v>
      </c>
      <c r="D642">
        <f>'raw data Crude oil'!D643</f>
        <v>65.290000000000006</v>
      </c>
      <c r="E642">
        <f>'raw data Crude oil'!E643</f>
        <v>65.010000000000005</v>
      </c>
      <c r="F642">
        <f>'raw data Crude oil'!F643</f>
        <v>64.75</v>
      </c>
      <c r="G642">
        <f>'raw data Crude oil'!G643</f>
        <v>64.52</v>
      </c>
      <c r="H642">
        <f>'raw data Crude oil'!H643</f>
        <v>64.31</v>
      </c>
      <c r="I642">
        <f>'raw data Crude oil'!I643</f>
        <v>64.09</v>
      </c>
      <c r="J642">
        <f>'raw data Crude oil'!J643</f>
        <v>63.88</v>
      </c>
      <c r="K642">
        <f>'raw data Crude oil'!K643</f>
        <v>63.66</v>
      </c>
      <c r="L642">
        <f>'raw data Crude oil'!L643</f>
        <v>63.45</v>
      </c>
      <c r="M642">
        <f>'raw data Crude oil'!M643</f>
        <v>63.24</v>
      </c>
      <c r="N642">
        <f>'raw data Crude oil'!N643</f>
        <v>59.38</v>
      </c>
      <c r="O642">
        <f>'raw data Crude oil'!O643</f>
        <v>59.43</v>
      </c>
      <c r="P642">
        <f>'raw data Crude oil'!P643</f>
        <v>59.31</v>
      </c>
      <c r="Q642">
        <f>'raw data Crude oil'!Q643</f>
        <v>59.14</v>
      </c>
      <c r="R642">
        <f>'raw data Crude oil'!R643</f>
        <v>58.91</v>
      </c>
      <c r="S642">
        <f>'raw data Crude oil'!S643</f>
        <v>58.64</v>
      </c>
      <c r="T642">
        <f>'raw data Crude oil'!T643</f>
        <v>58.34</v>
      </c>
      <c r="U642">
        <f>'raw data Crude oil'!U643</f>
        <v>58.02</v>
      </c>
      <c r="V642">
        <f>'raw data Crude oil'!V643</f>
        <v>57.72</v>
      </c>
      <c r="W642">
        <f>'raw data Crude oil'!W643</f>
        <v>57.43</v>
      </c>
      <c r="X642">
        <f>'raw data Crude oil'!X643</f>
        <v>57.17</v>
      </c>
      <c r="Y642">
        <f>'raw data Crude oil'!Y643</f>
        <v>56.9</v>
      </c>
      <c r="Z642">
        <f>'raw data Crude oil'!Z643</f>
        <v>61.804000000000002</v>
      </c>
      <c r="AA642">
        <f>'raw data Crude oil'!AA643</f>
        <v>63.933</v>
      </c>
      <c r="AB642">
        <f>'raw data Crude oil'!AB643</f>
        <v>63.356999999999999</v>
      </c>
      <c r="AC642">
        <f>'raw data Crude oil'!AC643</f>
        <v>62.908000000000001</v>
      </c>
      <c r="AD642">
        <f>'raw data Crude oil'!AD643</f>
        <v>62.46</v>
      </c>
      <c r="AE642">
        <f>'raw data Crude oil'!AE643</f>
        <v>62.03</v>
      </c>
      <c r="AF642">
        <f>'raw data Crude oil'!AF643</f>
        <v>61.719000000000001</v>
      </c>
      <c r="AG642">
        <f>'raw data Crude oil'!AG643</f>
        <v>61.43</v>
      </c>
      <c r="AH642">
        <f>'raw data Crude oil'!AH643</f>
        <v>61.209000000000003</v>
      </c>
      <c r="AI642">
        <f>'raw data Crude oil'!AI643</f>
        <v>61.02</v>
      </c>
      <c r="AJ642">
        <f>'raw data Crude oil'!AJ643</f>
        <v>60.84</v>
      </c>
      <c r="AK642">
        <f>'raw data Crude oil'!AK643</f>
        <v>60.640999999999998</v>
      </c>
    </row>
    <row r="643" spans="1:37" x14ac:dyDescent="0.3">
      <c r="A643" s="18">
        <f>'raw data Crude oil'!A644</f>
        <v>43643</v>
      </c>
      <c r="B643">
        <f>'raw data Crude oil'!B644</f>
        <v>66.55</v>
      </c>
      <c r="C643">
        <f>'raw data Crude oil'!C644</f>
        <v>65.67</v>
      </c>
      <c r="D643">
        <f>'raw data Crude oil'!D644</f>
        <v>65.27</v>
      </c>
      <c r="E643">
        <f>'raw data Crude oil'!E644</f>
        <v>64.98</v>
      </c>
      <c r="F643">
        <f>'raw data Crude oil'!F644</f>
        <v>64.69</v>
      </c>
      <c r="G643">
        <f>'raw data Crude oil'!G644</f>
        <v>64.45</v>
      </c>
      <c r="H643">
        <f>'raw data Crude oil'!H644</f>
        <v>64.239999999999995</v>
      </c>
      <c r="I643">
        <f>'raw data Crude oil'!I644</f>
        <v>64.02</v>
      </c>
      <c r="J643">
        <f>'raw data Crude oil'!J644</f>
        <v>63.8</v>
      </c>
      <c r="K643">
        <f>'raw data Crude oil'!K644</f>
        <v>63.58</v>
      </c>
      <c r="L643">
        <f>'raw data Crude oil'!L644</f>
        <v>63.37</v>
      </c>
      <c r="M643">
        <f>'raw data Crude oil'!M644</f>
        <v>63.16</v>
      </c>
      <c r="N643">
        <f>'raw data Crude oil'!N644</f>
        <v>59.43</v>
      </c>
      <c r="O643">
        <f>'raw data Crude oil'!O644</f>
        <v>59.49</v>
      </c>
      <c r="P643">
        <f>'raw data Crude oil'!P644</f>
        <v>59.38</v>
      </c>
      <c r="Q643">
        <f>'raw data Crude oil'!Q644</f>
        <v>59.19</v>
      </c>
      <c r="R643">
        <f>'raw data Crude oil'!R644</f>
        <v>58.95</v>
      </c>
      <c r="S643">
        <f>'raw data Crude oil'!S644</f>
        <v>58.67</v>
      </c>
      <c r="T643">
        <f>'raw data Crude oil'!T644</f>
        <v>58.36</v>
      </c>
      <c r="U643">
        <f>'raw data Crude oil'!U644</f>
        <v>58.04</v>
      </c>
      <c r="V643">
        <f>'raw data Crude oil'!V644</f>
        <v>57.72</v>
      </c>
      <c r="W643">
        <f>'raw data Crude oil'!W644</f>
        <v>57.42</v>
      </c>
      <c r="X643">
        <f>'raw data Crude oil'!X644</f>
        <v>57.14</v>
      </c>
      <c r="Y643">
        <f>'raw data Crude oil'!Y644</f>
        <v>56.86</v>
      </c>
      <c r="Z643">
        <f>'raw data Crude oil'!Z644</f>
        <v>61.762999999999998</v>
      </c>
      <c r="AA643">
        <f>'raw data Crude oil'!AA644</f>
        <v>64.013000000000005</v>
      </c>
      <c r="AB643">
        <f>'raw data Crude oil'!AB644</f>
        <v>63.406999999999996</v>
      </c>
      <c r="AC643">
        <f>'raw data Crude oil'!AC644</f>
        <v>62.905999999999999</v>
      </c>
      <c r="AD643">
        <f>'raw data Crude oil'!AD644</f>
        <v>62.44</v>
      </c>
      <c r="AE643">
        <f>'raw data Crude oil'!AE644</f>
        <v>62.04</v>
      </c>
      <c r="AF643">
        <f>'raw data Crude oil'!AF644</f>
        <v>61.709000000000003</v>
      </c>
      <c r="AG643">
        <f>'raw data Crude oil'!AG644</f>
        <v>61.44</v>
      </c>
      <c r="AH643">
        <f>'raw data Crude oil'!AH644</f>
        <v>61.198999999999998</v>
      </c>
      <c r="AI643">
        <f>'raw data Crude oil'!AI644</f>
        <v>61.01</v>
      </c>
      <c r="AJ643">
        <f>'raw data Crude oil'!AJ644</f>
        <v>60.83</v>
      </c>
      <c r="AK643">
        <f>'raw data Crude oil'!AK644</f>
        <v>60.631</v>
      </c>
    </row>
    <row r="644" spans="1:37" x14ac:dyDescent="0.3">
      <c r="A644" s="18">
        <f>'raw data Crude oil'!A645</f>
        <v>43644</v>
      </c>
      <c r="B644">
        <f>'raw data Crude oil'!B645</f>
        <v>66.55</v>
      </c>
      <c r="C644">
        <f>'raw data Crude oil'!C645</f>
        <v>64.739999999999995</v>
      </c>
      <c r="D644">
        <f>'raw data Crude oil'!D645</f>
        <v>64.349999999999994</v>
      </c>
      <c r="E644">
        <f>'raw data Crude oil'!E645</f>
        <v>64.069999999999993</v>
      </c>
      <c r="F644">
        <f>'raw data Crude oil'!F645</f>
        <v>63.8</v>
      </c>
      <c r="G644">
        <f>'raw data Crude oil'!G645</f>
        <v>63.56</v>
      </c>
      <c r="H644">
        <f>'raw data Crude oil'!H645</f>
        <v>63.36</v>
      </c>
      <c r="I644">
        <f>'raw data Crude oil'!I645</f>
        <v>63.16</v>
      </c>
      <c r="J644">
        <f>'raw data Crude oil'!J645</f>
        <v>62.96</v>
      </c>
      <c r="K644">
        <f>'raw data Crude oil'!K645</f>
        <v>62.75</v>
      </c>
      <c r="L644">
        <f>'raw data Crude oil'!L645</f>
        <v>62.55</v>
      </c>
      <c r="M644">
        <f>'raw data Crude oil'!M645</f>
        <v>62.36</v>
      </c>
      <c r="N644">
        <f>'raw data Crude oil'!N645</f>
        <v>58.47</v>
      </c>
      <c r="O644">
        <f>'raw data Crude oil'!O645</f>
        <v>58.52</v>
      </c>
      <c r="P644">
        <f>'raw data Crude oil'!P645</f>
        <v>58.4</v>
      </c>
      <c r="Q644">
        <f>'raw data Crude oil'!Q645</f>
        <v>58.22</v>
      </c>
      <c r="R644">
        <f>'raw data Crude oil'!R645</f>
        <v>57.98</v>
      </c>
      <c r="S644">
        <f>'raw data Crude oil'!S645</f>
        <v>57.71</v>
      </c>
      <c r="T644">
        <f>'raw data Crude oil'!T645</f>
        <v>57.42</v>
      </c>
      <c r="U644">
        <f>'raw data Crude oil'!U645</f>
        <v>57.12</v>
      </c>
      <c r="V644">
        <f>'raw data Crude oil'!V645</f>
        <v>56.82</v>
      </c>
      <c r="W644">
        <f>'raw data Crude oil'!W645</f>
        <v>56.53</v>
      </c>
      <c r="X644">
        <f>'raw data Crude oil'!X645</f>
        <v>56.26</v>
      </c>
      <c r="Y644">
        <f>'raw data Crude oil'!Y645</f>
        <v>55.99</v>
      </c>
      <c r="Z644">
        <f>'raw data Crude oil'!Z645</f>
        <v>61.759</v>
      </c>
      <c r="AA644">
        <f>'raw data Crude oil'!AA645</f>
        <v>62.823</v>
      </c>
      <c r="AB644">
        <f>'raw data Crude oil'!AB645</f>
        <v>62.387</v>
      </c>
      <c r="AC644">
        <f>'raw data Crude oil'!AC645</f>
        <v>61.966999999999999</v>
      </c>
      <c r="AD644">
        <f>'raw data Crude oil'!AD645</f>
        <v>61.54</v>
      </c>
      <c r="AE644">
        <f>'raw data Crude oil'!AE645</f>
        <v>61.13</v>
      </c>
      <c r="AF644">
        <f>'raw data Crude oil'!AF645</f>
        <v>60.801000000000002</v>
      </c>
      <c r="AG644">
        <f>'raw data Crude oil'!AG645</f>
        <v>60.561</v>
      </c>
      <c r="AH644">
        <f>'raw data Crude oil'!AH645</f>
        <v>60.36</v>
      </c>
      <c r="AI644">
        <f>'raw data Crude oil'!AI645</f>
        <v>60.170999999999999</v>
      </c>
      <c r="AJ644">
        <f>'raw data Crude oil'!AJ645</f>
        <v>60.011000000000003</v>
      </c>
      <c r="AK644">
        <f>'raw data Crude oil'!AK645</f>
        <v>59.831000000000003</v>
      </c>
    </row>
    <row r="645" spans="1:37" x14ac:dyDescent="0.3">
      <c r="A645" s="18">
        <f>'raw data Crude oil'!A646</f>
        <v>43647</v>
      </c>
      <c r="B645">
        <f>'raw data Crude oil'!B646</f>
        <v>65.06</v>
      </c>
      <c r="C645">
        <f>'raw data Crude oil'!C646</f>
        <v>64.760000000000005</v>
      </c>
      <c r="D645">
        <f>'raw data Crude oil'!D646</f>
        <v>64.53</v>
      </c>
      <c r="E645">
        <f>'raw data Crude oil'!E646</f>
        <v>64.290000000000006</v>
      </c>
      <c r="F645">
        <f>'raw data Crude oil'!F646</f>
        <v>64.08</v>
      </c>
      <c r="G645">
        <f>'raw data Crude oil'!G646</f>
        <v>63.88</v>
      </c>
      <c r="H645">
        <f>'raw data Crude oil'!H646</f>
        <v>63.68</v>
      </c>
      <c r="I645">
        <f>'raw data Crude oil'!I646</f>
        <v>63.48</v>
      </c>
      <c r="J645">
        <f>'raw data Crude oil'!J646</f>
        <v>63.28</v>
      </c>
      <c r="K645">
        <f>'raw data Crude oil'!K646</f>
        <v>63.07</v>
      </c>
      <c r="L645">
        <f>'raw data Crude oil'!L646</f>
        <v>62.87</v>
      </c>
      <c r="M645">
        <f>'raw data Crude oil'!M646</f>
        <v>62.69</v>
      </c>
      <c r="N645">
        <f>'raw data Crude oil'!N646</f>
        <v>59.09</v>
      </c>
      <c r="O645">
        <f>'raw data Crude oil'!O646</f>
        <v>59.14</v>
      </c>
      <c r="P645">
        <f>'raw data Crude oil'!P646</f>
        <v>59.01</v>
      </c>
      <c r="Q645">
        <f>'raw data Crude oil'!Q646</f>
        <v>58.83</v>
      </c>
      <c r="R645">
        <f>'raw data Crude oil'!R646</f>
        <v>58.6</v>
      </c>
      <c r="S645">
        <f>'raw data Crude oil'!S646</f>
        <v>58.32</v>
      </c>
      <c r="T645">
        <f>'raw data Crude oil'!T646</f>
        <v>58.03</v>
      </c>
      <c r="U645">
        <f>'raw data Crude oil'!U646</f>
        <v>57.73</v>
      </c>
      <c r="V645">
        <f>'raw data Crude oil'!V646</f>
        <v>57.43</v>
      </c>
      <c r="W645">
        <f>'raw data Crude oil'!W646</f>
        <v>57.14</v>
      </c>
      <c r="X645">
        <f>'raw data Crude oil'!X646</f>
        <v>56.88</v>
      </c>
      <c r="Y645">
        <f>'raw data Crude oil'!Y646</f>
        <v>56.6</v>
      </c>
      <c r="Z645">
        <f>'raw data Crude oil'!Z646</f>
        <v>61.759</v>
      </c>
      <c r="AA645">
        <f>'raw data Crude oil'!AA646</f>
        <v>63.389000000000003</v>
      </c>
      <c r="AB645">
        <f>'raw data Crude oil'!AB646</f>
        <v>62.88</v>
      </c>
      <c r="AC645">
        <f>'raw data Crude oil'!AC646</f>
        <v>62.459000000000003</v>
      </c>
      <c r="AD645">
        <f>'raw data Crude oil'!AD646</f>
        <v>62.030999999999999</v>
      </c>
      <c r="AE645">
        <f>'raw data Crude oil'!AE646</f>
        <v>61.63</v>
      </c>
      <c r="AF645">
        <f>'raw data Crude oil'!AF646</f>
        <v>61.280999999999999</v>
      </c>
      <c r="AG645">
        <f>'raw data Crude oil'!AG646</f>
        <v>61.051000000000002</v>
      </c>
      <c r="AH645">
        <f>'raw data Crude oil'!AH646</f>
        <v>60.87</v>
      </c>
      <c r="AI645">
        <f>'raw data Crude oil'!AI646</f>
        <v>60.69</v>
      </c>
      <c r="AJ645">
        <f>'raw data Crude oil'!AJ646</f>
        <v>60.51</v>
      </c>
      <c r="AK645">
        <f>'raw data Crude oil'!AK646</f>
        <v>60.341000000000001</v>
      </c>
    </row>
    <row r="646" spans="1:37" x14ac:dyDescent="0.3">
      <c r="A646" s="18">
        <f>'raw data Crude oil'!A647</f>
        <v>43648</v>
      </c>
      <c r="B646">
        <f>'raw data Crude oil'!B647</f>
        <v>62.4</v>
      </c>
      <c r="C646">
        <f>'raw data Crude oil'!C647</f>
        <v>62.16</v>
      </c>
      <c r="D646">
        <f>'raw data Crude oil'!D647</f>
        <v>61.97</v>
      </c>
      <c r="E646">
        <f>'raw data Crude oil'!E647</f>
        <v>61.77</v>
      </c>
      <c r="F646">
        <f>'raw data Crude oil'!F647</f>
        <v>61.61</v>
      </c>
      <c r="G646">
        <f>'raw data Crude oil'!G647</f>
        <v>61.44</v>
      </c>
      <c r="H646">
        <f>'raw data Crude oil'!H647</f>
        <v>61.27</v>
      </c>
      <c r="I646">
        <f>'raw data Crude oil'!I647</f>
        <v>61.11</v>
      </c>
      <c r="J646">
        <f>'raw data Crude oil'!J647</f>
        <v>60.94</v>
      </c>
      <c r="K646">
        <f>'raw data Crude oil'!K647</f>
        <v>60.77</v>
      </c>
      <c r="L646">
        <f>'raw data Crude oil'!L647</f>
        <v>60.61</v>
      </c>
      <c r="M646">
        <f>'raw data Crude oil'!M647</f>
        <v>60.47</v>
      </c>
      <c r="N646">
        <f>'raw data Crude oil'!N647</f>
        <v>56.25</v>
      </c>
      <c r="O646">
        <f>'raw data Crude oil'!O647</f>
        <v>56.34</v>
      </c>
      <c r="P646">
        <f>'raw data Crude oil'!P647</f>
        <v>56.28</v>
      </c>
      <c r="Q646">
        <f>'raw data Crude oil'!Q647</f>
        <v>56.18</v>
      </c>
      <c r="R646">
        <f>'raw data Crude oil'!R647</f>
        <v>56.03</v>
      </c>
      <c r="S646">
        <f>'raw data Crude oil'!S647</f>
        <v>55.83</v>
      </c>
      <c r="T646">
        <f>'raw data Crude oil'!T647</f>
        <v>55.6</v>
      </c>
      <c r="U646">
        <f>'raw data Crude oil'!U647</f>
        <v>55.36</v>
      </c>
      <c r="V646">
        <f>'raw data Crude oil'!V647</f>
        <v>55.12</v>
      </c>
      <c r="W646">
        <f>'raw data Crude oil'!W647</f>
        <v>54.89</v>
      </c>
      <c r="X646">
        <f>'raw data Crude oil'!X647</f>
        <v>54.67</v>
      </c>
      <c r="Y646">
        <f>'raw data Crude oil'!Y647</f>
        <v>54.44</v>
      </c>
      <c r="Z646">
        <f>'raw data Crude oil'!Z647</f>
        <v>61.000999999999998</v>
      </c>
      <c r="AA646">
        <f>'raw data Crude oil'!AA647</f>
        <v>60.280999999999999</v>
      </c>
      <c r="AB646">
        <f>'raw data Crude oil'!AB647</f>
        <v>59.91</v>
      </c>
      <c r="AC646">
        <f>'raw data Crude oil'!AC647</f>
        <v>59.523000000000003</v>
      </c>
      <c r="AD646">
        <f>'raw data Crude oil'!AD647</f>
        <v>59.161999999999999</v>
      </c>
      <c r="AE646">
        <f>'raw data Crude oil'!AE647</f>
        <v>58.834000000000003</v>
      </c>
      <c r="AF646">
        <f>'raw data Crude oil'!AF647</f>
        <v>58.622999999999998</v>
      </c>
      <c r="AG646">
        <f>'raw data Crude oil'!AG647</f>
        <v>58.451999999999998</v>
      </c>
      <c r="AH646">
        <f>'raw data Crude oil'!AH647</f>
        <v>58.281999999999996</v>
      </c>
      <c r="AI646">
        <f>'raw data Crude oil'!AI647</f>
        <v>58.161999999999999</v>
      </c>
      <c r="AJ646">
        <f>'raw data Crude oil'!AJ647</f>
        <v>58.033000000000001</v>
      </c>
      <c r="AK646">
        <f>'raw data Crude oil'!AK647</f>
        <v>57.912999999999997</v>
      </c>
    </row>
    <row r="647" spans="1:37" x14ac:dyDescent="0.3">
      <c r="A647" s="18">
        <f>'raw data Crude oil'!A648</f>
        <v>43649</v>
      </c>
      <c r="B647">
        <f>'raw data Crude oil'!B648</f>
        <v>63.82</v>
      </c>
      <c r="C647">
        <f>'raw data Crude oil'!C648</f>
        <v>63.51</v>
      </c>
      <c r="D647">
        <f>'raw data Crude oil'!D648</f>
        <v>63.29</v>
      </c>
      <c r="E647">
        <f>'raw data Crude oil'!E648</f>
        <v>63.07</v>
      </c>
      <c r="F647">
        <f>'raw data Crude oil'!F648</f>
        <v>62.89</v>
      </c>
      <c r="G647">
        <f>'raw data Crude oil'!G648</f>
        <v>62.71</v>
      </c>
      <c r="H647">
        <f>'raw data Crude oil'!H648</f>
        <v>62.53</v>
      </c>
      <c r="I647">
        <f>'raw data Crude oil'!I648</f>
        <v>62.35</v>
      </c>
      <c r="J647">
        <f>'raw data Crude oil'!J648</f>
        <v>62.16</v>
      </c>
      <c r="K647">
        <f>'raw data Crude oil'!K648</f>
        <v>61.99</v>
      </c>
      <c r="L647">
        <f>'raw data Crude oil'!L648</f>
        <v>61.82</v>
      </c>
      <c r="M647">
        <f>'raw data Crude oil'!M648</f>
        <v>61.67</v>
      </c>
      <c r="N647">
        <f>'raw data Crude oil'!N648</f>
        <v>57.34</v>
      </c>
      <c r="O647">
        <f>'raw data Crude oil'!O648</f>
        <v>57.44</v>
      </c>
      <c r="P647">
        <f>'raw data Crude oil'!P648</f>
        <v>57.43</v>
      </c>
      <c r="Q647">
        <f>'raw data Crude oil'!Q648</f>
        <v>57.37</v>
      </c>
      <c r="R647">
        <f>'raw data Crude oil'!R648</f>
        <v>57.26</v>
      </c>
      <c r="S647">
        <f>'raw data Crude oil'!S648</f>
        <v>57.09</v>
      </c>
      <c r="T647">
        <f>'raw data Crude oil'!T648</f>
        <v>56.89</v>
      </c>
      <c r="U647">
        <f>'raw data Crude oil'!U648</f>
        <v>56.67</v>
      </c>
      <c r="V647">
        <f>'raw data Crude oil'!V648</f>
        <v>56.44</v>
      </c>
      <c r="W647">
        <f>'raw data Crude oil'!W648</f>
        <v>56.21</v>
      </c>
      <c r="X647">
        <f>'raw data Crude oil'!X648</f>
        <v>55.99</v>
      </c>
      <c r="Y647">
        <f>'raw data Crude oil'!Y648</f>
        <v>55.76</v>
      </c>
      <c r="Z647">
        <f>'raw data Crude oil'!Z648</f>
        <v>62.146000000000001</v>
      </c>
      <c r="AA647">
        <f>'raw data Crude oil'!AA648</f>
        <v>61.62</v>
      </c>
      <c r="AB647">
        <f>'raw data Crude oil'!AB648</f>
        <v>61.23</v>
      </c>
      <c r="AC647">
        <f>'raw data Crude oil'!AC648</f>
        <v>60.841999999999999</v>
      </c>
      <c r="AD647">
        <f>'raw data Crude oil'!AD648</f>
        <v>60.470999999999997</v>
      </c>
      <c r="AE647">
        <f>'raw data Crude oil'!AE648</f>
        <v>60.122999999999998</v>
      </c>
      <c r="AF647">
        <f>'raw data Crude oil'!AF648</f>
        <v>59.892000000000003</v>
      </c>
      <c r="AG647">
        <f>'raw data Crude oil'!AG648</f>
        <v>59.701000000000001</v>
      </c>
      <c r="AH647">
        <f>'raw data Crude oil'!AH648</f>
        <v>59.531999999999996</v>
      </c>
      <c r="AI647">
        <f>'raw data Crude oil'!AI648</f>
        <v>59.381999999999998</v>
      </c>
      <c r="AJ647">
        <f>'raw data Crude oil'!AJ648</f>
        <v>59.232999999999997</v>
      </c>
      <c r="AK647">
        <f>'raw data Crude oil'!AK648</f>
        <v>59.103000000000002</v>
      </c>
    </row>
    <row r="648" spans="1:37" x14ac:dyDescent="0.3">
      <c r="A648" s="18">
        <f>'raw data Crude oil'!A649</f>
        <v>43650</v>
      </c>
      <c r="B648">
        <f>'raw data Crude oil'!B649</f>
        <v>63.3</v>
      </c>
      <c r="C648">
        <f>'raw data Crude oil'!C649</f>
        <v>62.95</v>
      </c>
      <c r="D648">
        <f>'raw data Crude oil'!D649</f>
        <v>62.69</v>
      </c>
      <c r="E648">
        <f>'raw data Crude oil'!E649</f>
        <v>62.46</v>
      </c>
      <c r="F648">
        <f>'raw data Crude oil'!F649</f>
        <v>62.26</v>
      </c>
      <c r="G648">
        <f>'raw data Crude oil'!G649</f>
        <v>62.08</v>
      </c>
      <c r="H648">
        <f>'raw data Crude oil'!H649</f>
        <v>61.91</v>
      </c>
      <c r="I648">
        <f>'raw data Crude oil'!I649</f>
        <v>61.75</v>
      </c>
      <c r="J648">
        <f>'raw data Crude oil'!J649</f>
        <v>61.58</v>
      </c>
      <c r="K648">
        <f>'raw data Crude oil'!K649</f>
        <v>61.42</v>
      </c>
      <c r="L648">
        <f>'raw data Crude oil'!L649</f>
        <v>61.26</v>
      </c>
      <c r="M648">
        <f>'raw data Crude oil'!M649</f>
        <v>61.12</v>
      </c>
      <c r="N648">
        <f>'raw data Crude oil'!N649</f>
        <v>57.34</v>
      </c>
      <c r="O648">
        <f>'raw data Crude oil'!O649</f>
        <v>57.44</v>
      </c>
      <c r="P648">
        <f>'raw data Crude oil'!P649</f>
        <v>57.43</v>
      </c>
      <c r="Q648">
        <f>'raw data Crude oil'!Q649</f>
        <v>57.37</v>
      </c>
      <c r="R648">
        <f>'raw data Crude oil'!R649</f>
        <v>57.26</v>
      </c>
      <c r="S648">
        <f>'raw data Crude oil'!S649</f>
        <v>57.09</v>
      </c>
      <c r="T648">
        <f>'raw data Crude oil'!T649</f>
        <v>56.89</v>
      </c>
      <c r="U648">
        <f>'raw data Crude oil'!U649</f>
        <v>56.67</v>
      </c>
      <c r="V648">
        <f>'raw data Crude oil'!V649</f>
        <v>56.44</v>
      </c>
      <c r="W648">
        <f>'raw data Crude oil'!W649</f>
        <v>56.21</v>
      </c>
      <c r="X648">
        <f>'raw data Crude oil'!X649</f>
        <v>55.99</v>
      </c>
      <c r="Y648">
        <f>'raw data Crude oil'!Y649</f>
        <v>55.76</v>
      </c>
      <c r="Z648">
        <f>'raw data Crude oil'!Z649</f>
        <v>61.677</v>
      </c>
      <c r="AA648">
        <f>'raw data Crude oil'!AA649</f>
        <v>61.018000000000001</v>
      </c>
      <c r="AB648">
        <f>'raw data Crude oil'!AB649</f>
        <v>60.598999999999997</v>
      </c>
      <c r="AC648">
        <f>'raw data Crude oil'!AC649</f>
        <v>60.191000000000003</v>
      </c>
      <c r="AD648">
        <f>'raw data Crude oil'!AD649</f>
        <v>59.801000000000002</v>
      </c>
      <c r="AE648">
        <f>'raw data Crude oil'!AE649</f>
        <v>59.454000000000001</v>
      </c>
      <c r="AF648">
        <f>'raw data Crude oil'!AF649</f>
        <v>59.232999999999997</v>
      </c>
      <c r="AG648">
        <f>'raw data Crude oil'!AG649</f>
        <v>59.072000000000003</v>
      </c>
      <c r="AH648">
        <f>'raw data Crude oil'!AH649</f>
        <v>58.912999999999997</v>
      </c>
      <c r="AI648">
        <f>'raw data Crude oil'!AI649</f>
        <v>58.771999999999998</v>
      </c>
      <c r="AJ648">
        <f>'raw data Crude oil'!AJ649</f>
        <v>58.643000000000001</v>
      </c>
      <c r="AK648">
        <f>'raw data Crude oil'!AK649</f>
        <v>58.523000000000003</v>
      </c>
    </row>
    <row r="649" spans="1:37" x14ac:dyDescent="0.3">
      <c r="A649" s="18">
        <f>'raw data Crude oil'!A650</f>
        <v>43651</v>
      </c>
      <c r="B649">
        <f>'raw data Crude oil'!B650</f>
        <v>64.23</v>
      </c>
      <c r="C649">
        <f>'raw data Crude oil'!C650</f>
        <v>63.84</v>
      </c>
      <c r="D649">
        <f>'raw data Crude oil'!D650</f>
        <v>63.54</v>
      </c>
      <c r="E649">
        <f>'raw data Crude oil'!E650</f>
        <v>63.27</v>
      </c>
      <c r="F649">
        <f>'raw data Crude oil'!F650</f>
        <v>63.04</v>
      </c>
      <c r="G649">
        <f>'raw data Crude oil'!G650</f>
        <v>62.83</v>
      </c>
      <c r="H649">
        <f>'raw data Crude oil'!H650</f>
        <v>62.64</v>
      </c>
      <c r="I649">
        <f>'raw data Crude oil'!I650</f>
        <v>62.45</v>
      </c>
      <c r="J649">
        <f>'raw data Crude oil'!J650</f>
        <v>62.25</v>
      </c>
      <c r="K649">
        <f>'raw data Crude oil'!K650</f>
        <v>62.07</v>
      </c>
      <c r="L649">
        <f>'raw data Crude oil'!L650</f>
        <v>61.87</v>
      </c>
      <c r="M649">
        <f>'raw data Crude oil'!M650</f>
        <v>61.71</v>
      </c>
      <c r="N649">
        <f>'raw data Crude oil'!N650</f>
        <v>57.51</v>
      </c>
      <c r="O649">
        <f>'raw data Crude oil'!O650</f>
        <v>57.59</v>
      </c>
      <c r="P649">
        <f>'raw data Crude oil'!P650</f>
        <v>57.56</v>
      </c>
      <c r="Q649">
        <f>'raw data Crude oil'!Q650</f>
        <v>57.48</v>
      </c>
      <c r="R649">
        <f>'raw data Crude oil'!R650</f>
        <v>57.35</v>
      </c>
      <c r="S649">
        <f>'raw data Crude oil'!S650</f>
        <v>57.17</v>
      </c>
      <c r="T649">
        <f>'raw data Crude oil'!T650</f>
        <v>56.95</v>
      </c>
      <c r="U649">
        <f>'raw data Crude oil'!U650</f>
        <v>56.71</v>
      </c>
      <c r="V649">
        <f>'raw data Crude oil'!V650</f>
        <v>56.47</v>
      </c>
      <c r="W649">
        <f>'raw data Crude oil'!W650</f>
        <v>56.21</v>
      </c>
      <c r="X649">
        <f>'raw data Crude oil'!X650</f>
        <v>55.98</v>
      </c>
      <c r="Y649">
        <f>'raw data Crude oil'!Y650</f>
        <v>55.74</v>
      </c>
      <c r="Z649">
        <f>'raw data Crude oil'!Z650</f>
        <v>62.636000000000003</v>
      </c>
      <c r="AA649">
        <f>'raw data Crude oil'!AA650</f>
        <v>62.045999999999999</v>
      </c>
      <c r="AB649">
        <f>'raw data Crude oil'!AB650</f>
        <v>61.506999999999998</v>
      </c>
      <c r="AC649">
        <f>'raw data Crude oil'!AC650</f>
        <v>61.02</v>
      </c>
      <c r="AD649">
        <f>'raw data Crude oil'!AD650</f>
        <v>60.58</v>
      </c>
      <c r="AE649">
        <f>'raw data Crude oil'!AE650</f>
        <v>60.212000000000003</v>
      </c>
      <c r="AF649">
        <f>'raw data Crude oil'!AF650</f>
        <v>59.951000000000001</v>
      </c>
      <c r="AG649">
        <f>'raw data Crude oil'!AG650</f>
        <v>59.77</v>
      </c>
      <c r="AH649">
        <f>'raw data Crude oil'!AH650</f>
        <v>59.591999999999999</v>
      </c>
      <c r="AI649">
        <f>'raw data Crude oil'!AI650</f>
        <v>59.42</v>
      </c>
      <c r="AJ649">
        <f>'raw data Crude oil'!AJ650</f>
        <v>59.241999999999997</v>
      </c>
      <c r="AK649">
        <f>'raw data Crude oil'!AK650</f>
        <v>59.101999999999997</v>
      </c>
    </row>
    <row r="650" spans="1:37" x14ac:dyDescent="0.3">
      <c r="A650" s="18">
        <f>'raw data Crude oil'!A651</f>
        <v>43654</v>
      </c>
      <c r="B650">
        <f>'raw data Crude oil'!B651</f>
        <v>64.11</v>
      </c>
      <c r="C650">
        <f>'raw data Crude oil'!C651</f>
        <v>63.82</v>
      </c>
      <c r="D650">
        <f>'raw data Crude oil'!D651</f>
        <v>63.54</v>
      </c>
      <c r="E650">
        <f>'raw data Crude oil'!E651</f>
        <v>63.29</v>
      </c>
      <c r="F650">
        <f>'raw data Crude oil'!F651</f>
        <v>63.07</v>
      </c>
      <c r="G650">
        <f>'raw data Crude oil'!G651</f>
        <v>62.88</v>
      </c>
      <c r="H650">
        <f>'raw data Crude oil'!H651</f>
        <v>62.69</v>
      </c>
      <c r="I650">
        <f>'raw data Crude oil'!I651</f>
        <v>62.51</v>
      </c>
      <c r="J650">
        <f>'raw data Crude oil'!J651</f>
        <v>62.32</v>
      </c>
      <c r="K650">
        <f>'raw data Crude oil'!K651</f>
        <v>62.15</v>
      </c>
      <c r="L650">
        <f>'raw data Crude oil'!L651</f>
        <v>61.97</v>
      </c>
      <c r="M650">
        <f>'raw data Crude oil'!M651</f>
        <v>61.81</v>
      </c>
      <c r="N650">
        <f>'raw data Crude oil'!N651</f>
        <v>57.66</v>
      </c>
      <c r="O650">
        <f>'raw data Crude oil'!O651</f>
        <v>57.76</v>
      </c>
      <c r="P650">
        <f>'raw data Crude oil'!P651</f>
        <v>57.73</v>
      </c>
      <c r="Q650">
        <f>'raw data Crude oil'!Q651</f>
        <v>57.65</v>
      </c>
      <c r="R650">
        <f>'raw data Crude oil'!R651</f>
        <v>57.51</v>
      </c>
      <c r="S650">
        <f>'raw data Crude oil'!S651</f>
        <v>57.32</v>
      </c>
      <c r="T650">
        <f>'raw data Crude oil'!T651</f>
        <v>57.1</v>
      </c>
      <c r="U650">
        <f>'raw data Crude oil'!U651</f>
        <v>56.87</v>
      </c>
      <c r="V650">
        <f>'raw data Crude oil'!V651</f>
        <v>56.63</v>
      </c>
      <c r="W650">
        <f>'raw data Crude oil'!W651</f>
        <v>56.39</v>
      </c>
      <c r="X650">
        <f>'raw data Crude oil'!X651</f>
        <v>56.16</v>
      </c>
      <c r="Y650">
        <f>'raw data Crude oil'!Y651</f>
        <v>55.93</v>
      </c>
      <c r="Z650">
        <f>'raw data Crude oil'!Z651</f>
        <v>62.802999999999997</v>
      </c>
      <c r="AA650">
        <f>'raw data Crude oil'!AA651</f>
        <v>62.146999999999998</v>
      </c>
      <c r="AB650">
        <f>'raw data Crude oil'!AB651</f>
        <v>61.537999999999997</v>
      </c>
      <c r="AC650">
        <f>'raw data Crude oil'!AC651</f>
        <v>61.05</v>
      </c>
      <c r="AD650">
        <f>'raw data Crude oil'!AD651</f>
        <v>60.591000000000001</v>
      </c>
      <c r="AE650">
        <f>'raw data Crude oil'!AE651</f>
        <v>60.241999999999997</v>
      </c>
      <c r="AF650">
        <f>'raw data Crude oil'!AF651</f>
        <v>59.991999999999997</v>
      </c>
      <c r="AG650">
        <f>'raw data Crude oil'!AG651</f>
        <v>59.820999999999998</v>
      </c>
      <c r="AH650">
        <f>'raw data Crude oil'!AH651</f>
        <v>59.652000000000001</v>
      </c>
      <c r="AI650">
        <f>'raw data Crude oil'!AI651</f>
        <v>59.491</v>
      </c>
      <c r="AJ650">
        <f>'raw data Crude oil'!AJ651</f>
        <v>59.332000000000001</v>
      </c>
      <c r="AK650">
        <f>'raw data Crude oil'!AK651</f>
        <v>59.173000000000002</v>
      </c>
    </row>
    <row r="651" spans="1:37" x14ac:dyDescent="0.3">
      <c r="A651" s="18">
        <f>'raw data Crude oil'!A652</f>
        <v>43655</v>
      </c>
      <c r="B651">
        <f>'raw data Crude oil'!B652</f>
        <v>64.16</v>
      </c>
      <c r="C651">
        <f>'raw data Crude oil'!C652</f>
        <v>63.93</v>
      </c>
      <c r="D651">
        <f>'raw data Crude oil'!D652</f>
        <v>63.68</v>
      </c>
      <c r="E651">
        <f>'raw data Crude oil'!E652</f>
        <v>63.45</v>
      </c>
      <c r="F651">
        <f>'raw data Crude oil'!F652</f>
        <v>63.24</v>
      </c>
      <c r="G651">
        <f>'raw data Crude oil'!G652</f>
        <v>63.07</v>
      </c>
      <c r="H651">
        <f>'raw data Crude oil'!H652</f>
        <v>62.92</v>
      </c>
      <c r="I651">
        <f>'raw data Crude oil'!I652</f>
        <v>62.76</v>
      </c>
      <c r="J651">
        <f>'raw data Crude oil'!J652</f>
        <v>62.59</v>
      </c>
      <c r="K651">
        <f>'raw data Crude oil'!K652</f>
        <v>62.43</v>
      </c>
      <c r="L651">
        <f>'raw data Crude oil'!L652</f>
        <v>62.27</v>
      </c>
      <c r="M651">
        <f>'raw data Crude oil'!M652</f>
        <v>62.13</v>
      </c>
      <c r="N651">
        <f>'raw data Crude oil'!N652</f>
        <v>57.83</v>
      </c>
      <c r="O651">
        <f>'raw data Crude oil'!O652</f>
        <v>57.94</v>
      </c>
      <c r="P651">
        <f>'raw data Crude oil'!P652</f>
        <v>57.91</v>
      </c>
      <c r="Q651">
        <f>'raw data Crude oil'!Q652</f>
        <v>57.85</v>
      </c>
      <c r="R651">
        <f>'raw data Crude oil'!R652</f>
        <v>57.71</v>
      </c>
      <c r="S651">
        <f>'raw data Crude oil'!S652</f>
        <v>57.52</v>
      </c>
      <c r="T651">
        <f>'raw data Crude oil'!T652</f>
        <v>57.32</v>
      </c>
      <c r="U651">
        <f>'raw data Crude oil'!U652</f>
        <v>57.11</v>
      </c>
      <c r="V651">
        <f>'raw data Crude oil'!V652</f>
        <v>56.88</v>
      </c>
      <c r="W651">
        <f>'raw data Crude oil'!W652</f>
        <v>56.66</v>
      </c>
      <c r="X651">
        <f>'raw data Crude oil'!X652</f>
        <v>56.43</v>
      </c>
      <c r="Y651">
        <f>'raw data Crude oil'!Y652</f>
        <v>56.21</v>
      </c>
      <c r="Z651">
        <f>'raw data Crude oil'!Z652</f>
        <v>62.786000000000001</v>
      </c>
      <c r="AA651">
        <f>'raw data Crude oil'!AA652</f>
        <v>62.219000000000001</v>
      </c>
      <c r="AB651">
        <f>'raw data Crude oil'!AB652</f>
        <v>61.679000000000002</v>
      </c>
      <c r="AC651">
        <f>'raw data Crude oil'!AC652</f>
        <v>61.201000000000001</v>
      </c>
      <c r="AD651">
        <f>'raw data Crude oil'!AD652</f>
        <v>60.741999999999997</v>
      </c>
      <c r="AE651">
        <f>'raw data Crude oil'!AE652</f>
        <v>60.426000000000002</v>
      </c>
      <c r="AF651">
        <f>'raw data Crude oil'!AF652</f>
        <v>60.183</v>
      </c>
      <c r="AG651">
        <f>'raw data Crude oil'!AG652</f>
        <v>60.052</v>
      </c>
      <c r="AH651">
        <f>'raw data Crude oil'!AH652</f>
        <v>59.912999999999997</v>
      </c>
      <c r="AI651">
        <f>'raw data Crude oil'!AI652</f>
        <v>59.781999999999996</v>
      </c>
      <c r="AJ651">
        <f>'raw data Crude oil'!AJ652</f>
        <v>59.643000000000001</v>
      </c>
      <c r="AK651">
        <f>'raw data Crude oil'!AK652</f>
        <v>59.512999999999998</v>
      </c>
    </row>
    <row r="652" spans="1:37" x14ac:dyDescent="0.3">
      <c r="A652" s="18">
        <f>'raw data Crude oil'!A653</f>
        <v>43656</v>
      </c>
      <c r="B652">
        <f>'raw data Crude oil'!B653</f>
        <v>67.010000000000005</v>
      </c>
      <c r="C652">
        <f>'raw data Crude oil'!C653</f>
        <v>66.69</v>
      </c>
      <c r="D652">
        <f>'raw data Crude oil'!D653</f>
        <v>66.37</v>
      </c>
      <c r="E652">
        <f>'raw data Crude oil'!E653</f>
        <v>66.069999999999993</v>
      </c>
      <c r="F652">
        <f>'raw data Crude oil'!F653</f>
        <v>65.790000000000006</v>
      </c>
      <c r="G652">
        <f>'raw data Crude oil'!G653</f>
        <v>65.55</v>
      </c>
      <c r="H652">
        <f>'raw data Crude oil'!H653</f>
        <v>65.319999999999993</v>
      </c>
      <c r="I652">
        <f>'raw data Crude oil'!I653</f>
        <v>65.099999999999994</v>
      </c>
      <c r="J652">
        <f>'raw data Crude oil'!J653</f>
        <v>64.87</v>
      </c>
      <c r="K652">
        <f>'raw data Crude oil'!K653</f>
        <v>64.64</v>
      </c>
      <c r="L652">
        <f>'raw data Crude oil'!L653</f>
        <v>64.42</v>
      </c>
      <c r="M652">
        <f>'raw data Crude oil'!M653</f>
        <v>64.22</v>
      </c>
      <c r="N652">
        <f>'raw data Crude oil'!N653</f>
        <v>60.43</v>
      </c>
      <c r="O652">
        <f>'raw data Crude oil'!O653</f>
        <v>60.52</v>
      </c>
      <c r="P652">
        <f>'raw data Crude oil'!P653</f>
        <v>60.46</v>
      </c>
      <c r="Q652">
        <f>'raw data Crude oil'!Q653</f>
        <v>60.34</v>
      </c>
      <c r="R652">
        <f>'raw data Crude oil'!R653</f>
        <v>60.14</v>
      </c>
      <c r="S652">
        <f>'raw data Crude oil'!S653</f>
        <v>59.89</v>
      </c>
      <c r="T652">
        <f>'raw data Crude oil'!T653</f>
        <v>59.62</v>
      </c>
      <c r="U652">
        <f>'raw data Crude oil'!U653</f>
        <v>59.34</v>
      </c>
      <c r="V652">
        <f>'raw data Crude oil'!V653</f>
        <v>59.04</v>
      </c>
      <c r="W652">
        <f>'raw data Crude oil'!W653</f>
        <v>58.76</v>
      </c>
      <c r="X652">
        <f>'raw data Crude oil'!X653</f>
        <v>58.47</v>
      </c>
      <c r="Y652">
        <f>'raw data Crude oil'!Y653</f>
        <v>58.18</v>
      </c>
      <c r="Z652">
        <f>'raw data Crude oil'!Z653</f>
        <v>64.593000000000004</v>
      </c>
      <c r="AA652">
        <f>'raw data Crude oil'!AA653</f>
        <v>64.885000000000005</v>
      </c>
      <c r="AB652">
        <f>'raw data Crude oil'!AB653</f>
        <v>64.325999999999993</v>
      </c>
      <c r="AC652">
        <f>'raw data Crude oil'!AC653</f>
        <v>63.776000000000003</v>
      </c>
      <c r="AD652">
        <f>'raw data Crude oil'!AD653</f>
        <v>63.225999999999999</v>
      </c>
      <c r="AE652">
        <f>'raw data Crude oil'!AE653</f>
        <v>62.856000000000002</v>
      </c>
      <c r="AF652">
        <f>'raw data Crude oil'!AF653</f>
        <v>62.576000000000001</v>
      </c>
      <c r="AG652">
        <f>'raw data Crude oil'!AG653</f>
        <v>62.319000000000003</v>
      </c>
      <c r="AH652">
        <f>'raw data Crude oil'!AH653</f>
        <v>62.11</v>
      </c>
      <c r="AI652">
        <f>'raw data Crude oil'!AI653</f>
        <v>61.9</v>
      </c>
      <c r="AJ652">
        <f>'raw data Crude oil'!AJ653</f>
        <v>61.74</v>
      </c>
      <c r="AK652">
        <f>'raw data Crude oil'!AK653</f>
        <v>61.56</v>
      </c>
    </row>
    <row r="653" spans="1:37" x14ac:dyDescent="0.3">
      <c r="A653" s="18">
        <f>'raw data Crude oil'!A654</f>
        <v>43657</v>
      </c>
      <c r="B653">
        <f>'raw data Crude oil'!B654</f>
        <v>66.52</v>
      </c>
      <c r="C653">
        <f>'raw data Crude oil'!C654</f>
        <v>66.22</v>
      </c>
      <c r="D653">
        <f>'raw data Crude oil'!D654</f>
        <v>65.900000000000006</v>
      </c>
      <c r="E653">
        <f>'raw data Crude oil'!E654</f>
        <v>65.599999999999994</v>
      </c>
      <c r="F653">
        <f>'raw data Crude oil'!F654</f>
        <v>65.319999999999993</v>
      </c>
      <c r="G653">
        <f>'raw data Crude oil'!G654</f>
        <v>65.069999999999993</v>
      </c>
      <c r="H653">
        <f>'raw data Crude oil'!H654</f>
        <v>64.849999999999994</v>
      </c>
      <c r="I653">
        <f>'raw data Crude oil'!I654</f>
        <v>64.64</v>
      </c>
      <c r="J653">
        <f>'raw data Crude oil'!J654</f>
        <v>64.41</v>
      </c>
      <c r="K653">
        <f>'raw data Crude oil'!K654</f>
        <v>64.209999999999994</v>
      </c>
      <c r="L653">
        <f>'raw data Crude oil'!L654</f>
        <v>63.99</v>
      </c>
      <c r="M653">
        <f>'raw data Crude oil'!M654</f>
        <v>63.79</v>
      </c>
      <c r="N653">
        <f>'raw data Crude oil'!N654</f>
        <v>60.2</v>
      </c>
      <c r="O653">
        <f>'raw data Crude oil'!O654</f>
        <v>60.28</v>
      </c>
      <c r="P653">
        <f>'raw data Crude oil'!P654</f>
        <v>60.23</v>
      </c>
      <c r="Q653">
        <f>'raw data Crude oil'!Q654</f>
        <v>60.11</v>
      </c>
      <c r="R653">
        <f>'raw data Crude oil'!R654</f>
        <v>59.91</v>
      </c>
      <c r="S653">
        <f>'raw data Crude oil'!S654</f>
        <v>59.65</v>
      </c>
      <c r="T653">
        <f>'raw data Crude oil'!T654</f>
        <v>59.36</v>
      </c>
      <c r="U653">
        <f>'raw data Crude oil'!U654</f>
        <v>59.06</v>
      </c>
      <c r="V653">
        <f>'raw data Crude oil'!V654</f>
        <v>58.75</v>
      </c>
      <c r="W653">
        <f>'raw data Crude oil'!W654</f>
        <v>58.46</v>
      </c>
      <c r="X653">
        <f>'raw data Crude oil'!X654</f>
        <v>58.16</v>
      </c>
      <c r="Y653">
        <f>'raw data Crude oil'!Y654</f>
        <v>57.86</v>
      </c>
      <c r="Z653">
        <f>'raw data Crude oil'!Z654</f>
        <v>64.352999999999994</v>
      </c>
      <c r="AA653">
        <f>'raw data Crude oil'!AA654</f>
        <v>64.454999999999998</v>
      </c>
      <c r="AB653">
        <f>'raw data Crude oil'!AB654</f>
        <v>63.845999999999997</v>
      </c>
      <c r="AC653">
        <f>'raw data Crude oil'!AC654</f>
        <v>63.268000000000001</v>
      </c>
      <c r="AD653">
        <f>'raw data Crude oil'!AD654</f>
        <v>62.698</v>
      </c>
      <c r="AE653">
        <f>'raw data Crude oil'!AE654</f>
        <v>62.308999999999997</v>
      </c>
      <c r="AF653">
        <f>'raw data Crude oil'!AF654</f>
        <v>62.01</v>
      </c>
      <c r="AG653">
        <f>'raw data Crude oil'!AG654</f>
        <v>61.779000000000003</v>
      </c>
      <c r="AH653">
        <f>'raw data Crude oil'!AH654</f>
        <v>61.581000000000003</v>
      </c>
      <c r="AI653">
        <f>'raw data Crude oil'!AI654</f>
        <v>61.39</v>
      </c>
      <c r="AJ653">
        <f>'raw data Crude oil'!AJ654</f>
        <v>61.2</v>
      </c>
      <c r="AK653">
        <f>'raw data Crude oil'!AK654</f>
        <v>61.02</v>
      </c>
    </row>
    <row r="654" spans="1:37" x14ac:dyDescent="0.3">
      <c r="A654" s="18">
        <f>'raw data Crude oil'!A655</f>
        <v>43658</v>
      </c>
      <c r="B654">
        <f>'raw data Crude oil'!B655</f>
        <v>66.72</v>
      </c>
      <c r="C654">
        <f>'raw data Crude oil'!C655</f>
        <v>66.34</v>
      </c>
      <c r="D654">
        <f>'raw data Crude oil'!D655</f>
        <v>65.98</v>
      </c>
      <c r="E654">
        <f>'raw data Crude oil'!E655</f>
        <v>65.650000000000006</v>
      </c>
      <c r="F654">
        <f>'raw data Crude oil'!F655</f>
        <v>65.349999999999994</v>
      </c>
      <c r="G654">
        <f>'raw data Crude oil'!G655</f>
        <v>65.09</v>
      </c>
      <c r="H654">
        <f>'raw data Crude oil'!H655</f>
        <v>64.86</v>
      </c>
      <c r="I654">
        <f>'raw data Crude oil'!I655</f>
        <v>64.63</v>
      </c>
      <c r="J654">
        <f>'raw data Crude oil'!J655</f>
        <v>64.400000000000006</v>
      </c>
      <c r="K654">
        <f>'raw data Crude oil'!K655</f>
        <v>64.180000000000007</v>
      </c>
      <c r="L654">
        <f>'raw data Crude oil'!L655</f>
        <v>63.95</v>
      </c>
      <c r="M654">
        <f>'raw data Crude oil'!M655</f>
        <v>63.74</v>
      </c>
      <c r="N654">
        <f>'raw data Crude oil'!N655</f>
        <v>60.21</v>
      </c>
      <c r="O654">
        <f>'raw data Crude oil'!O655</f>
        <v>60.3</v>
      </c>
      <c r="P654">
        <f>'raw data Crude oil'!P655</f>
        <v>60.27</v>
      </c>
      <c r="Q654">
        <f>'raw data Crude oil'!Q655</f>
        <v>60.15</v>
      </c>
      <c r="R654">
        <f>'raw data Crude oil'!R655</f>
        <v>59.96</v>
      </c>
      <c r="S654">
        <f>'raw data Crude oil'!S655</f>
        <v>59.7</v>
      </c>
      <c r="T654">
        <f>'raw data Crude oil'!T655</f>
        <v>59.41</v>
      </c>
      <c r="U654">
        <f>'raw data Crude oil'!U655</f>
        <v>59.12</v>
      </c>
      <c r="V654">
        <f>'raw data Crude oil'!V655</f>
        <v>58.81</v>
      </c>
      <c r="W654">
        <f>'raw data Crude oil'!W655</f>
        <v>58.51</v>
      </c>
      <c r="X654">
        <f>'raw data Crude oil'!X655</f>
        <v>58.2</v>
      </c>
      <c r="Y654">
        <f>'raw data Crude oil'!Y655</f>
        <v>57.89</v>
      </c>
      <c r="Z654">
        <f>'raw data Crude oil'!Z655</f>
        <v>64.501999999999995</v>
      </c>
      <c r="AA654">
        <f>'raw data Crude oil'!AA655</f>
        <v>64.534000000000006</v>
      </c>
      <c r="AB654">
        <f>'raw data Crude oil'!AB655</f>
        <v>63.904000000000003</v>
      </c>
      <c r="AC654">
        <f>'raw data Crude oil'!AC655</f>
        <v>63.296999999999997</v>
      </c>
      <c r="AD654">
        <f>'raw data Crude oil'!AD655</f>
        <v>62.707999999999998</v>
      </c>
      <c r="AE654">
        <f>'raw data Crude oil'!AE655</f>
        <v>62.298000000000002</v>
      </c>
      <c r="AF654">
        <f>'raw data Crude oil'!AF655</f>
        <v>61.98</v>
      </c>
      <c r="AG654">
        <f>'raw data Crude oil'!AG655</f>
        <v>61.719000000000001</v>
      </c>
      <c r="AH654">
        <f>'raw data Crude oil'!AH655</f>
        <v>61.47</v>
      </c>
      <c r="AI654">
        <f>'raw data Crude oil'!AI655</f>
        <v>61.268999999999998</v>
      </c>
      <c r="AJ654">
        <f>'raw data Crude oil'!AJ655</f>
        <v>61.09</v>
      </c>
      <c r="AK654">
        <f>'raw data Crude oil'!AK655</f>
        <v>60.92</v>
      </c>
    </row>
    <row r="655" spans="1:37" x14ac:dyDescent="0.3">
      <c r="A655" s="18">
        <f>'raw data Crude oil'!A656</f>
        <v>43661</v>
      </c>
      <c r="B655">
        <f>'raw data Crude oil'!B656</f>
        <v>66.48</v>
      </c>
      <c r="C655">
        <f>'raw data Crude oil'!C656</f>
        <v>65.92</v>
      </c>
      <c r="D655">
        <f>'raw data Crude oil'!D656</f>
        <v>65.48</v>
      </c>
      <c r="E655">
        <f>'raw data Crude oil'!E656</f>
        <v>65.09</v>
      </c>
      <c r="F655">
        <f>'raw data Crude oil'!F656</f>
        <v>64.77</v>
      </c>
      <c r="G655">
        <f>'raw data Crude oil'!G656</f>
        <v>64.489999999999995</v>
      </c>
      <c r="H655">
        <f>'raw data Crude oil'!H656</f>
        <v>64.25</v>
      </c>
      <c r="I655">
        <f>'raw data Crude oil'!I656</f>
        <v>64.02</v>
      </c>
      <c r="J655">
        <f>'raw data Crude oil'!J656</f>
        <v>63.78</v>
      </c>
      <c r="K655">
        <f>'raw data Crude oil'!K656</f>
        <v>63.55</v>
      </c>
      <c r="L655">
        <f>'raw data Crude oil'!L656</f>
        <v>63.31</v>
      </c>
      <c r="M655">
        <f>'raw data Crude oil'!M656</f>
        <v>63.1</v>
      </c>
      <c r="N655">
        <f>'raw data Crude oil'!N656</f>
        <v>59.58</v>
      </c>
      <c r="O655">
        <f>'raw data Crude oil'!O656</f>
        <v>59.68</v>
      </c>
      <c r="P655">
        <f>'raw data Crude oil'!P656</f>
        <v>59.64</v>
      </c>
      <c r="Q655">
        <f>'raw data Crude oil'!Q656</f>
        <v>59.52</v>
      </c>
      <c r="R655">
        <f>'raw data Crude oil'!R656</f>
        <v>59.33</v>
      </c>
      <c r="S655">
        <f>'raw data Crude oil'!S656</f>
        <v>59.07</v>
      </c>
      <c r="T655">
        <f>'raw data Crude oil'!T656</f>
        <v>58.77</v>
      </c>
      <c r="U655">
        <f>'raw data Crude oil'!U656</f>
        <v>58.46</v>
      </c>
      <c r="V655">
        <f>'raw data Crude oil'!V656</f>
        <v>58.15</v>
      </c>
      <c r="W655">
        <f>'raw data Crude oil'!W656</f>
        <v>57.85</v>
      </c>
      <c r="X655">
        <f>'raw data Crude oil'!X656</f>
        <v>57.54</v>
      </c>
      <c r="Y655">
        <f>'raw data Crude oil'!Y656</f>
        <v>57.23</v>
      </c>
      <c r="Z655">
        <f>'raw data Crude oil'!Z656</f>
        <v>64.247</v>
      </c>
      <c r="AA655">
        <f>'raw data Crude oil'!AA656</f>
        <v>64</v>
      </c>
      <c r="AB655">
        <f>'raw data Crude oil'!AB656</f>
        <v>63.331000000000003</v>
      </c>
      <c r="AC655">
        <f>'raw data Crude oil'!AC656</f>
        <v>62.636000000000003</v>
      </c>
      <c r="AD655">
        <f>'raw data Crude oil'!AD656</f>
        <v>62.006999999999998</v>
      </c>
      <c r="AE655">
        <f>'raw data Crude oil'!AE656</f>
        <v>61.567</v>
      </c>
      <c r="AF655">
        <f>'raw data Crude oil'!AF656</f>
        <v>61.28</v>
      </c>
      <c r="AG655">
        <f>'raw data Crude oil'!AG656</f>
        <v>61.008000000000003</v>
      </c>
      <c r="AH655">
        <f>'raw data Crude oil'!AH656</f>
        <v>60.75</v>
      </c>
      <c r="AI655">
        <f>'raw data Crude oil'!AI656</f>
        <v>60.588999999999999</v>
      </c>
      <c r="AJ655">
        <f>'raw data Crude oil'!AJ656</f>
        <v>60.42</v>
      </c>
      <c r="AK655">
        <f>'raw data Crude oil'!AK656</f>
        <v>60.25</v>
      </c>
    </row>
    <row r="656" spans="1:37" x14ac:dyDescent="0.3">
      <c r="A656" s="18">
        <f>'raw data Crude oil'!A657</f>
        <v>43662</v>
      </c>
      <c r="B656">
        <f>'raw data Crude oil'!B657</f>
        <v>64.349999999999994</v>
      </c>
      <c r="C656">
        <f>'raw data Crude oil'!C657</f>
        <v>63.84</v>
      </c>
      <c r="D656">
        <f>'raw data Crude oil'!D657</f>
        <v>63.42</v>
      </c>
      <c r="E656">
        <f>'raw data Crude oil'!E657</f>
        <v>63.05</v>
      </c>
      <c r="F656">
        <f>'raw data Crude oil'!F657</f>
        <v>62.75</v>
      </c>
      <c r="G656">
        <f>'raw data Crude oil'!G657</f>
        <v>62.5</v>
      </c>
      <c r="H656">
        <f>'raw data Crude oil'!H657</f>
        <v>62.29</v>
      </c>
      <c r="I656">
        <f>'raw data Crude oil'!I657</f>
        <v>62.08</v>
      </c>
      <c r="J656">
        <f>'raw data Crude oil'!J657</f>
        <v>61.86</v>
      </c>
      <c r="K656">
        <f>'raw data Crude oil'!K657</f>
        <v>61.66</v>
      </c>
      <c r="L656">
        <f>'raw data Crude oil'!L657</f>
        <v>61.44</v>
      </c>
      <c r="M656">
        <f>'raw data Crude oil'!M657</f>
        <v>61.25</v>
      </c>
      <c r="N656">
        <f>'raw data Crude oil'!N657</f>
        <v>57.62</v>
      </c>
      <c r="O656">
        <f>'raw data Crude oil'!O657</f>
        <v>57.74</v>
      </c>
      <c r="P656">
        <f>'raw data Crude oil'!P657</f>
        <v>57.71</v>
      </c>
      <c r="Q656">
        <f>'raw data Crude oil'!Q657</f>
        <v>57.61</v>
      </c>
      <c r="R656">
        <f>'raw data Crude oil'!R657</f>
        <v>57.43</v>
      </c>
      <c r="S656">
        <f>'raw data Crude oil'!S657</f>
        <v>57.19</v>
      </c>
      <c r="T656">
        <f>'raw data Crude oil'!T657</f>
        <v>56.91</v>
      </c>
      <c r="U656">
        <f>'raw data Crude oil'!U657</f>
        <v>56.62</v>
      </c>
      <c r="V656">
        <f>'raw data Crude oil'!V657</f>
        <v>56.33</v>
      </c>
      <c r="W656">
        <f>'raw data Crude oil'!W657</f>
        <v>56.04</v>
      </c>
      <c r="X656">
        <f>'raw data Crude oil'!X657</f>
        <v>55.75</v>
      </c>
      <c r="Y656">
        <f>'raw data Crude oil'!Y657</f>
        <v>55.46</v>
      </c>
      <c r="Z656">
        <f>'raw data Crude oil'!Z657</f>
        <v>63.119</v>
      </c>
      <c r="AA656">
        <f>'raw data Crude oil'!AA657</f>
        <v>61.970999999999997</v>
      </c>
      <c r="AB656">
        <f>'raw data Crude oil'!AB657</f>
        <v>61.302</v>
      </c>
      <c r="AC656">
        <f>'raw data Crude oil'!AC657</f>
        <v>60.597000000000001</v>
      </c>
      <c r="AD656">
        <f>'raw data Crude oil'!AD657</f>
        <v>59.908000000000001</v>
      </c>
      <c r="AE656">
        <f>'raw data Crude oil'!AE657</f>
        <v>59.45</v>
      </c>
      <c r="AF656">
        <f>'raw data Crude oil'!AF657</f>
        <v>59.14</v>
      </c>
      <c r="AG656">
        <f>'raw data Crude oil'!AG657</f>
        <v>58.878999999999998</v>
      </c>
      <c r="AH656">
        <f>'raw data Crude oil'!AH657</f>
        <v>58.680999999999997</v>
      </c>
      <c r="AI656">
        <f>'raw data Crude oil'!AI657</f>
        <v>58.53</v>
      </c>
      <c r="AJ656">
        <f>'raw data Crude oil'!AJ657</f>
        <v>58.371000000000002</v>
      </c>
      <c r="AK656">
        <f>'raw data Crude oil'!AK657</f>
        <v>58.220999999999997</v>
      </c>
    </row>
    <row r="657" spans="1:37" x14ac:dyDescent="0.3">
      <c r="A657" s="18">
        <f>'raw data Crude oil'!A658</f>
        <v>43663</v>
      </c>
      <c r="B657">
        <f>'raw data Crude oil'!B658</f>
        <v>63.66</v>
      </c>
      <c r="C657">
        <f>'raw data Crude oil'!C658</f>
        <v>63.19</v>
      </c>
      <c r="D657">
        <f>'raw data Crude oil'!D658</f>
        <v>62.8</v>
      </c>
      <c r="E657">
        <f>'raw data Crude oil'!E658</f>
        <v>62.46</v>
      </c>
      <c r="F657">
        <f>'raw data Crude oil'!F658</f>
        <v>62.18</v>
      </c>
      <c r="G657">
        <f>'raw data Crude oil'!G658</f>
        <v>61.95</v>
      </c>
      <c r="H657">
        <f>'raw data Crude oil'!H658</f>
        <v>61.75</v>
      </c>
      <c r="I657">
        <f>'raw data Crude oil'!I658</f>
        <v>61.56</v>
      </c>
      <c r="J657">
        <f>'raw data Crude oil'!J658</f>
        <v>61.35</v>
      </c>
      <c r="K657">
        <f>'raw data Crude oil'!K658</f>
        <v>61.15</v>
      </c>
      <c r="L657">
        <f>'raw data Crude oil'!L658</f>
        <v>60.94</v>
      </c>
      <c r="M657">
        <f>'raw data Crude oil'!M658</f>
        <v>60.76</v>
      </c>
      <c r="N657">
        <f>'raw data Crude oil'!N658</f>
        <v>56.78</v>
      </c>
      <c r="O657">
        <f>'raw data Crude oil'!O658</f>
        <v>56.92</v>
      </c>
      <c r="P657">
        <f>'raw data Crude oil'!P658</f>
        <v>56.95</v>
      </c>
      <c r="Q657">
        <f>'raw data Crude oil'!Q658</f>
        <v>56.93</v>
      </c>
      <c r="R657">
        <f>'raw data Crude oil'!R658</f>
        <v>56.8</v>
      </c>
      <c r="S657">
        <f>'raw data Crude oil'!S658</f>
        <v>56.62</v>
      </c>
      <c r="T657">
        <f>'raw data Crude oil'!T658</f>
        <v>56.39</v>
      </c>
      <c r="U657">
        <f>'raw data Crude oil'!U658</f>
        <v>56.12</v>
      </c>
      <c r="V657">
        <f>'raw data Crude oil'!V658</f>
        <v>55.87</v>
      </c>
      <c r="W657">
        <f>'raw data Crude oil'!W658</f>
        <v>55.59</v>
      </c>
      <c r="X657">
        <f>'raw data Crude oil'!X658</f>
        <v>55.34</v>
      </c>
      <c r="Y657">
        <f>'raw data Crude oil'!Y658</f>
        <v>55.09</v>
      </c>
      <c r="Z657">
        <f>'raw data Crude oil'!Z658</f>
        <v>62.938000000000002</v>
      </c>
      <c r="AA657">
        <f>'raw data Crude oil'!AA658</f>
        <v>61.402000000000001</v>
      </c>
      <c r="AB657">
        <f>'raw data Crude oil'!AB658</f>
        <v>60.783999999999999</v>
      </c>
      <c r="AC657">
        <f>'raw data Crude oil'!AC658</f>
        <v>59.978000000000002</v>
      </c>
      <c r="AD657">
        <f>'raw data Crude oil'!AD658</f>
        <v>59.168999999999997</v>
      </c>
      <c r="AE657">
        <f>'raw data Crude oil'!AE658</f>
        <v>58.661000000000001</v>
      </c>
      <c r="AF657">
        <f>'raw data Crude oil'!AF658</f>
        <v>58.350999999999999</v>
      </c>
      <c r="AG657">
        <f>'raw data Crude oil'!AG658</f>
        <v>58.1</v>
      </c>
      <c r="AH657">
        <f>'raw data Crude oil'!AH658</f>
        <v>57.890999999999998</v>
      </c>
      <c r="AI657">
        <f>'raw data Crude oil'!AI658</f>
        <v>57.75</v>
      </c>
      <c r="AJ657">
        <f>'raw data Crude oil'!AJ658</f>
        <v>57.610999999999997</v>
      </c>
      <c r="AK657">
        <f>'raw data Crude oil'!AK658</f>
        <v>57.481000000000002</v>
      </c>
    </row>
    <row r="658" spans="1:37" x14ac:dyDescent="0.3">
      <c r="A658" s="18">
        <f>'raw data Crude oil'!A659</f>
        <v>43664</v>
      </c>
      <c r="B658">
        <f>'raw data Crude oil'!B659</f>
        <v>61.93</v>
      </c>
      <c r="C658">
        <f>'raw data Crude oil'!C659</f>
        <v>61.59</v>
      </c>
      <c r="D658">
        <f>'raw data Crude oil'!D659</f>
        <v>61.31</v>
      </c>
      <c r="E658">
        <f>'raw data Crude oil'!E659</f>
        <v>61.05</v>
      </c>
      <c r="F658">
        <f>'raw data Crude oil'!F659</f>
        <v>60.83</v>
      </c>
      <c r="G658">
        <f>'raw data Crude oil'!G659</f>
        <v>60.66</v>
      </c>
      <c r="H658">
        <f>'raw data Crude oil'!H659</f>
        <v>60.51</v>
      </c>
      <c r="I658">
        <f>'raw data Crude oil'!I659</f>
        <v>60.35</v>
      </c>
      <c r="J658">
        <f>'raw data Crude oil'!J659</f>
        <v>60.17</v>
      </c>
      <c r="K658">
        <f>'raw data Crude oil'!K659</f>
        <v>59.99</v>
      </c>
      <c r="L658">
        <f>'raw data Crude oil'!L659</f>
        <v>59.8</v>
      </c>
      <c r="M658">
        <f>'raw data Crude oil'!M659</f>
        <v>59.64</v>
      </c>
      <c r="N658">
        <f>'raw data Crude oil'!N659</f>
        <v>55.3</v>
      </c>
      <c r="O658">
        <f>'raw data Crude oil'!O659</f>
        <v>55.42</v>
      </c>
      <c r="P658">
        <f>'raw data Crude oil'!P659</f>
        <v>55.44</v>
      </c>
      <c r="Q658">
        <f>'raw data Crude oil'!Q659</f>
        <v>55.43</v>
      </c>
      <c r="R658">
        <f>'raw data Crude oil'!R659</f>
        <v>55.36</v>
      </c>
      <c r="S658">
        <f>'raw data Crude oil'!S659</f>
        <v>55.22</v>
      </c>
      <c r="T658">
        <f>'raw data Crude oil'!T659</f>
        <v>55.03</v>
      </c>
      <c r="U658">
        <f>'raw data Crude oil'!U659</f>
        <v>54.8</v>
      </c>
      <c r="V658">
        <f>'raw data Crude oil'!V659</f>
        <v>54.56</v>
      </c>
      <c r="W658">
        <f>'raw data Crude oil'!W659</f>
        <v>54.33</v>
      </c>
      <c r="X658">
        <f>'raw data Crude oil'!X659</f>
        <v>54.1</v>
      </c>
      <c r="Y658">
        <f>'raw data Crude oil'!Y659</f>
        <v>53.87</v>
      </c>
      <c r="Z658">
        <f>'raw data Crude oil'!Z659</f>
        <v>62.37</v>
      </c>
      <c r="AA658">
        <f>'raw data Crude oil'!AA659</f>
        <v>59.966999999999999</v>
      </c>
      <c r="AB658">
        <f>'raw data Crude oil'!AB659</f>
        <v>59.338000000000001</v>
      </c>
      <c r="AC658">
        <f>'raw data Crude oil'!AC659</f>
        <v>58.54</v>
      </c>
      <c r="AD658">
        <f>'raw data Crude oil'!AD659</f>
        <v>57.781999999999996</v>
      </c>
      <c r="AE658">
        <f>'raw data Crude oil'!AE659</f>
        <v>57.235999999999997</v>
      </c>
      <c r="AF658">
        <f>'raw data Crude oil'!AF659</f>
        <v>56.923000000000002</v>
      </c>
      <c r="AG658">
        <f>'raw data Crude oil'!AG659</f>
        <v>56.720999999999997</v>
      </c>
      <c r="AH658">
        <f>'raw data Crude oil'!AH659</f>
        <v>56.542000000000002</v>
      </c>
      <c r="AI658">
        <f>'raw data Crude oil'!AI659</f>
        <v>56.420999999999999</v>
      </c>
      <c r="AJ658">
        <f>'raw data Crude oil'!AJ659</f>
        <v>56.302</v>
      </c>
      <c r="AK658">
        <f>'raw data Crude oil'!AK659</f>
        <v>56.182000000000002</v>
      </c>
    </row>
    <row r="659" spans="1:37" x14ac:dyDescent="0.3">
      <c r="A659" s="18">
        <f>'raw data Crude oil'!A660</f>
        <v>43665</v>
      </c>
      <c r="B659">
        <f>'raw data Crude oil'!B660</f>
        <v>62.47</v>
      </c>
      <c r="C659">
        <f>'raw data Crude oil'!C660</f>
        <v>62.28</v>
      </c>
      <c r="D659">
        <f>'raw data Crude oil'!D660</f>
        <v>62.03</v>
      </c>
      <c r="E659">
        <f>'raw data Crude oil'!E660</f>
        <v>61.79</v>
      </c>
      <c r="F659">
        <f>'raw data Crude oil'!F660</f>
        <v>61.58</v>
      </c>
      <c r="G659">
        <f>'raw data Crude oil'!G660</f>
        <v>61.42</v>
      </c>
      <c r="H659">
        <f>'raw data Crude oil'!H660</f>
        <v>61.28</v>
      </c>
      <c r="I659">
        <f>'raw data Crude oil'!I660</f>
        <v>61.12</v>
      </c>
      <c r="J659">
        <f>'raw data Crude oil'!J660</f>
        <v>60.95</v>
      </c>
      <c r="K659">
        <f>'raw data Crude oil'!K660</f>
        <v>60.78</v>
      </c>
      <c r="L659">
        <f>'raw data Crude oil'!L660</f>
        <v>60.6</v>
      </c>
      <c r="M659">
        <f>'raw data Crude oil'!M660</f>
        <v>60.45</v>
      </c>
      <c r="N659">
        <f>'raw data Crude oil'!N660</f>
        <v>55.63</v>
      </c>
      <c r="O659">
        <f>'raw data Crude oil'!O660</f>
        <v>55.76</v>
      </c>
      <c r="P659">
        <f>'raw data Crude oil'!P660</f>
        <v>55.82</v>
      </c>
      <c r="Q659">
        <f>'raw data Crude oil'!Q660</f>
        <v>55.86</v>
      </c>
      <c r="R659">
        <f>'raw data Crude oil'!R660</f>
        <v>55.83</v>
      </c>
      <c r="S659">
        <f>'raw data Crude oil'!S660</f>
        <v>55.72</v>
      </c>
      <c r="T659">
        <f>'raw data Crude oil'!T660</f>
        <v>55.56</v>
      </c>
      <c r="U659">
        <f>'raw data Crude oil'!U660</f>
        <v>55.37</v>
      </c>
      <c r="V659">
        <f>'raw data Crude oil'!V660</f>
        <v>55.15</v>
      </c>
      <c r="W659">
        <f>'raw data Crude oil'!W660</f>
        <v>54.93</v>
      </c>
      <c r="X659">
        <f>'raw data Crude oil'!X660</f>
        <v>54.72</v>
      </c>
      <c r="Y659">
        <f>'raw data Crude oil'!Y660</f>
        <v>54.5</v>
      </c>
      <c r="Z659">
        <f>'raw data Crude oil'!Z660</f>
        <v>62.695999999999998</v>
      </c>
      <c r="AA659">
        <f>'raw data Crude oil'!AA660</f>
        <v>60.649000000000001</v>
      </c>
      <c r="AB659">
        <f>'raw data Crude oil'!AB660</f>
        <v>60.088999999999999</v>
      </c>
      <c r="AC659">
        <f>'raw data Crude oil'!AC660</f>
        <v>59.360999999999997</v>
      </c>
      <c r="AD659">
        <f>'raw data Crude oil'!AD660</f>
        <v>58.612000000000002</v>
      </c>
      <c r="AE659">
        <f>'raw data Crude oil'!AE660</f>
        <v>58.097000000000001</v>
      </c>
      <c r="AF659">
        <f>'raw data Crude oil'!AF660</f>
        <v>57.753</v>
      </c>
      <c r="AG659">
        <f>'raw data Crude oil'!AG660</f>
        <v>57.552</v>
      </c>
      <c r="AH659">
        <f>'raw data Crude oil'!AH660</f>
        <v>57.411999999999999</v>
      </c>
      <c r="AI659">
        <f>'raw data Crude oil'!AI660</f>
        <v>57.290999999999997</v>
      </c>
      <c r="AJ659">
        <f>'raw data Crude oil'!AJ660</f>
        <v>57.173000000000002</v>
      </c>
      <c r="AK659">
        <f>'raw data Crude oil'!AK660</f>
        <v>57.072000000000003</v>
      </c>
    </row>
    <row r="660" spans="1:37" x14ac:dyDescent="0.3">
      <c r="A660" s="18">
        <f>'raw data Crude oil'!A661</f>
        <v>43668</v>
      </c>
      <c r="B660">
        <f>'raw data Crude oil'!B661</f>
        <v>63.26</v>
      </c>
      <c r="C660">
        <f>'raw data Crude oil'!C661</f>
        <v>63.03</v>
      </c>
      <c r="D660">
        <f>'raw data Crude oil'!D661</f>
        <v>62.72</v>
      </c>
      <c r="E660">
        <f>'raw data Crude oil'!E661</f>
        <v>62.41</v>
      </c>
      <c r="F660">
        <f>'raw data Crude oil'!F661</f>
        <v>62.15</v>
      </c>
      <c r="G660">
        <f>'raw data Crude oil'!G661</f>
        <v>61.96</v>
      </c>
      <c r="H660">
        <f>'raw data Crude oil'!H661</f>
        <v>61.79</v>
      </c>
      <c r="I660">
        <f>'raw data Crude oil'!I661</f>
        <v>61.61</v>
      </c>
      <c r="J660">
        <f>'raw data Crude oil'!J661</f>
        <v>61.42</v>
      </c>
      <c r="K660">
        <f>'raw data Crude oil'!K661</f>
        <v>61.24</v>
      </c>
      <c r="L660">
        <f>'raw data Crude oil'!L661</f>
        <v>61.05</v>
      </c>
      <c r="M660">
        <f>'raw data Crude oil'!M661</f>
        <v>60.88</v>
      </c>
      <c r="N660">
        <f>'raw data Crude oil'!N661</f>
        <v>56.22</v>
      </c>
      <c r="O660">
        <f>'raw data Crude oil'!O661</f>
        <v>56.22</v>
      </c>
      <c r="P660">
        <f>'raw data Crude oil'!P661</f>
        <v>56.29</v>
      </c>
      <c r="Q660">
        <f>'raw data Crude oil'!Q661</f>
        <v>56.33</v>
      </c>
      <c r="R660">
        <f>'raw data Crude oil'!R661</f>
        <v>56.3</v>
      </c>
      <c r="S660">
        <f>'raw data Crude oil'!S661</f>
        <v>56.18</v>
      </c>
      <c r="T660">
        <f>'raw data Crude oil'!T661</f>
        <v>56</v>
      </c>
      <c r="U660">
        <f>'raw data Crude oil'!U661</f>
        <v>55.79</v>
      </c>
      <c r="V660">
        <f>'raw data Crude oil'!V661</f>
        <v>55.56</v>
      </c>
      <c r="W660">
        <f>'raw data Crude oil'!W661</f>
        <v>55.34</v>
      </c>
      <c r="X660">
        <f>'raw data Crude oil'!X661</f>
        <v>55.13</v>
      </c>
      <c r="Y660">
        <f>'raw data Crude oil'!Y661</f>
        <v>54.91</v>
      </c>
      <c r="Z660">
        <f>'raw data Crude oil'!Z661</f>
        <v>62.935000000000002</v>
      </c>
      <c r="AA660">
        <f>'raw data Crude oil'!AA661</f>
        <v>61.295999999999999</v>
      </c>
      <c r="AB660">
        <f>'raw data Crude oil'!AB661</f>
        <v>60.744999999999997</v>
      </c>
      <c r="AC660">
        <f>'raw data Crude oil'!AC661</f>
        <v>60.018999999999998</v>
      </c>
      <c r="AD660">
        <f>'raw data Crude oil'!AD661</f>
        <v>59.290999999999997</v>
      </c>
      <c r="AE660">
        <f>'raw data Crude oil'!AE661</f>
        <v>58.753999999999998</v>
      </c>
      <c r="AF660">
        <f>'raw data Crude oil'!AF661</f>
        <v>58.392000000000003</v>
      </c>
      <c r="AG660">
        <f>'raw data Crude oil'!AG661</f>
        <v>58.110999999999997</v>
      </c>
      <c r="AH660">
        <f>'raw data Crude oil'!AH661</f>
        <v>57.872</v>
      </c>
      <c r="AI660">
        <f>'raw data Crude oil'!AI661</f>
        <v>57.731000000000002</v>
      </c>
      <c r="AJ660">
        <f>'raw data Crude oil'!AJ661</f>
        <v>57.601999999999997</v>
      </c>
      <c r="AK660">
        <f>'raw data Crude oil'!AK661</f>
        <v>57.502000000000002</v>
      </c>
    </row>
    <row r="661" spans="1:37" x14ac:dyDescent="0.3">
      <c r="A661" s="18">
        <f>'raw data Crude oil'!A662</f>
        <v>43669</v>
      </c>
      <c r="B661">
        <f>'raw data Crude oil'!B662</f>
        <v>63.83</v>
      </c>
      <c r="C661">
        <f>'raw data Crude oil'!C662</f>
        <v>63.75</v>
      </c>
      <c r="D661">
        <f>'raw data Crude oil'!D662</f>
        <v>63.43</v>
      </c>
      <c r="E661">
        <f>'raw data Crude oil'!E662</f>
        <v>63.09</v>
      </c>
      <c r="F661">
        <f>'raw data Crude oil'!F662</f>
        <v>62.79</v>
      </c>
      <c r="G661">
        <f>'raw data Crude oil'!G662</f>
        <v>62.57</v>
      </c>
      <c r="H661">
        <f>'raw data Crude oil'!H662</f>
        <v>62.38</v>
      </c>
      <c r="I661">
        <f>'raw data Crude oil'!I662</f>
        <v>62.17</v>
      </c>
      <c r="J661">
        <f>'raw data Crude oil'!J662</f>
        <v>61.96</v>
      </c>
      <c r="K661">
        <f>'raw data Crude oil'!K662</f>
        <v>61.74</v>
      </c>
      <c r="L661">
        <f>'raw data Crude oil'!L662</f>
        <v>61.53</v>
      </c>
      <c r="M661">
        <f>'raw data Crude oil'!M662</f>
        <v>61.33</v>
      </c>
      <c r="N661">
        <f>'raw data Crude oil'!N662</f>
        <v>56.77</v>
      </c>
      <c r="O661">
        <f>'raw data Crude oil'!O662</f>
        <v>56.85</v>
      </c>
      <c r="P661">
        <f>'raw data Crude oil'!P662</f>
        <v>56.89</v>
      </c>
      <c r="Q661">
        <f>'raw data Crude oil'!Q662</f>
        <v>56.85</v>
      </c>
      <c r="R661">
        <f>'raw data Crude oil'!R662</f>
        <v>56.73</v>
      </c>
      <c r="S661">
        <f>'raw data Crude oil'!S662</f>
        <v>56.54</v>
      </c>
      <c r="T661">
        <f>'raw data Crude oil'!T662</f>
        <v>56.29</v>
      </c>
      <c r="U661">
        <f>'raw data Crude oil'!U662</f>
        <v>56.04</v>
      </c>
      <c r="V661">
        <f>'raw data Crude oil'!V662</f>
        <v>55.78</v>
      </c>
      <c r="W661">
        <f>'raw data Crude oil'!W662</f>
        <v>55.54</v>
      </c>
      <c r="X661">
        <f>'raw data Crude oil'!X662</f>
        <v>55.29</v>
      </c>
      <c r="Y661">
        <f>'raw data Crude oil'!Y662</f>
        <v>55.06</v>
      </c>
      <c r="Z661">
        <f>'raw data Crude oil'!Z662</f>
        <v>63.113</v>
      </c>
      <c r="AA661">
        <f>'raw data Crude oil'!AA662</f>
        <v>61.954999999999998</v>
      </c>
      <c r="AB661">
        <f>'raw data Crude oil'!AB662</f>
        <v>61.433999999999997</v>
      </c>
      <c r="AC661">
        <f>'raw data Crude oil'!AC662</f>
        <v>60.707000000000001</v>
      </c>
      <c r="AD661">
        <f>'raw data Crude oil'!AD662</f>
        <v>59.99</v>
      </c>
      <c r="AE661">
        <f>'raw data Crude oil'!AE662</f>
        <v>59.472000000000001</v>
      </c>
      <c r="AF661">
        <f>'raw data Crude oil'!AF662</f>
        <v>59.1</v>
      </c>
      <c r="AG661">
        <f>'raw data Crude oil'!AG662</f>
        <v>58.9</v>
      </c>
      <c r="AH661">
        <f>'raw data Crude oil'!AH662</f>
        <v>58.7</v>
      </c>
      <c r="AI661">
        <f>'raw data Crude oil'!AI662</f>
        <v>58.5</v>
      </c>
      <c r="AJ661">
        <f>'raw data Crude oil'!AJ662</f>
        <v>58.32</v>
      </c>
      <c r="AK661">
        <f>'raw data Crude oil'!AK662</f>
        <v>58.15</v>
      </c>
    </row>
    <row r="662" spans="1:37" x14ac:dyDescent="0.3">
      <c r="A662" s="18">
        <f>'raw data Crude oil'!A663</f>
        <v>43670</v>
      </c>
      <c r="B662">
        <f>'raw data Crude oil'!B663</f>
        <v>63.18</v>
      </c>
      <c r="C662">
        <f>'raw data Crude oil'!C663</f>
        <v>63.08</v>
      </c>
      <c r="D662">
        <f>'raw data Crude oil'!D663</f>
        <v>62.74</v>
      </c>
      <c r="E662">
        <f>'raw data Crude oil'!E663</f>
        <v>62.39</v>
      </c>
      <c r="F662">
        <f>'raw data Crude oil'!F663</f>
        <v>62.1</v>
      </c>
      <c r="G662">
        <f>'raw data Crude oil'!G663</f>
        <v>61.92</v>
      </c>
      <c r="H662">
        <f>'raw data Crude oil'!H663</f>
        <v>61.77</v>
      </c>
      <c r="I662">
        <f>'raw data Crude oil'!I663</f>
        <v>61.59</v>
      </c>
      <c r="J662">
        <f>'raw data Crude oil'!J663</f>
        <v>61.39</v>
      </c>
      <c r="K662">
        <f>'raw data Crude oil'!K663</f>
        <v>61.19</v>
      </c>
      <c r="L662">
        <f>'raw data Crude oil'!L663</f>
        <v>60.98</v>
      </c>
      <c r="M662">
        <f>'raw data Crude oil'!M663</f>
        <v>60.79</v>
      </c>
      <c r="N662">
        <f>'raw data Crude oil'!N663</f>
        <v>55.88</v>
      </c>
      <c r="O662">
        <f>'raw data Crude oil'!O663</f>
        <v>56</v>
      </c>
      <c r="P662">
        <f>'raw data Crude oil'!P663</f>
        <v>56.07</v>
      </c>
      <c r="Q662">
        <f>'raw data Crude oil'!Q663</f>
        <v>56.05</v>
      </c>
      <c r="R662">
        <f>'raw data Crude oil'!R663</f>
        <v>55.96</v>
      </c>
      <c r="S662">
        <f>'raw data Crude oil'!S663</f>
        <v>55.79</v>
      </c>
      <c r="T662">
        <f>'raw data Crude oil'!T663</f>
        <v>55.58</v>
      </c>
      <c r="U662">
        <f>'raw data Crude oil'!U663</f>
        <v>55.35</v>
      </c>
      <c r="V662">
        <f>'raw data Crude oil'!V663</f>
        <v>55.11</v>
      </c>
      <c r="W662">
        <f>'raw data Crude oil'!W663</f>
        <v>54.86</v>
      </c>
      <c r="X662">
        <f>'raw data Crude oil'!X663</f>
        <v>54.63</v>
      </c>
      <c r="Y662">
        <f>'raw data Crude oil'!Y663</f>
        <v>54.42</v>
      </c>
      <c r="Z662">
        <f>'raw data Crude oil'!Z663</f>
        <v>63.040999999999997</v>
      </c>
      <c r="AA662">
        <f>'raw data Crude oil'!AA663</f>
        <v>61.575000000000003</v>
      </c>
      <c r="AB662">
        <f>'raw data Crude oil'!AB663</f>
        <v>61.033000000000001</v>
      </c>
      <c r="AC662">
        <f>'raw data Crude oil'!AC663</f>
        <v>60.296999999999997</v>
      </c>
      <c r="AD662">
        <f>'raw data Crude oil'!AD663</f>
        <v>59.600999999999999</v>
      </c>
      <c r="AE662">
        <f>'raw data Crude oil'!AE663</f>
        <v>59.085999999999999</v>
      </c>
      <c r="AF662">
        <f>'raw data Crude oil'!AF663</f>
        <v>58.712000000000003</v>
      </c>
      <c r="AG662">
        <f>'raw data Crude oil'!AG663</f>
        <v>58.48</v>
      </c>
      <c r="AH662">
        <f>'raw data Crude oil'!AH663</f>
        <v>58.290999999999997</v>
      </c>
      <c r="AI662">
        <f>'raw data Crude oil'!AI663</f>
        <v>58.13</v>
      </c>
      <c r="AJ662">
        <f>'raw data Crude oil'!AJ663</f>
        <v>57.951000000000001</v>
      </c>
      <c r="AK662">
        <f>'raw data Crude oil'!AK663</f>
        <v>57.79</v>
      </c>
    </row>
    <row r="663" spans="1:37" x14ac:dyDescent="0.3">
      <c r="A663" s="18">
        <f>'raw data Crude oil'!A664</f>
        <v>43671</v>
      </c>
      <c r="B663">
        <f>'raw data Crude oil'!B664</f>
        <v>63.39</v>
      </c>
      <c r="C663">
        <f>'raw data Crude oil'!C664</f>
        <v>63.26</v>
      </c>
      <c r="D663">
        <f>'raw data Crude oil'!D664</f>
        <v>62.88</v>
      </c>
      <c r="E663">
        <f>'raw data Crude oil'!E664</f>
        <v>62.49</v>
      </c>
      <c r="F663">
        <f>'raw data Crude oil'!F664</f>
        <v>62.17</v>
      </c>
      <c r="G663">
        <f>'raw data Crude oil'!G664</f>
        <v>61.98</v>
      </c>
      <c r="H663">
        <f>'raw data Crude oil'!H664</f>
        <v>61.82</v>
      </c>
      <c r="I663">
        <f>'raw data Crude oil'!I664</f>
        <v>61.65</v>
      </c>
      <c r="J663">
        <f>'raw data Crude oil'!J664</f>
        <v>61.47</v>
      </c>
      <c r="K663">
        <f>'raw data Crude oil'!K664</f>
        <v>61.28</v>
      </c>
      <c r="L663">
        <f>'raw data Crude oil'!L664</f>
        <v>61.08</v>
      </c>
      <c r="M663">
        <f>'raw data Crude oil'!M664</f>
        <v>60.89</v>
      </c>
      <c r="N663">
        <f>'raw data Crude oil'!N664</f>
        <v>56.02</v>
      </c>
      <c r="O663">
        <f>'raw data Crude oil'!O664</f>
        <v>56.16</v>
      </c>
      <c r="P663">
        <f>'raw data Crude oil'!P664</f>
        <v>56.26</v>
      </c>
      <c r="Q663">
        <f>'raw data Crude oil'!Q664</f>
        <v>56.27</v>
      </c>
      <c r="R663">
        <f>'raw data Crude oil'!R664</f>
        <v>56.2</v>
      </c>
      <c r="S663">
        <f>'raw data Crude oil'!S664</f>
        <v>56.04</v>
      </c>
      <c r="T663">
        <f>'raw data Crude oil'!T664</f>
        <v>55.84</v>
      </c>
      <c r="U663">
        <f>'raw data Crude oil'!U664</f>
        <v>55.6</v>
      </c>
      <c r="V663">
        <f>'raw data Crude oil'!V664</f>
        <v>55.38</v>
      </c>
      <c r="W663">
        <f>'raw data Crude oil'!W664</f>
        <v>55.13</v>
      </c>
      <c r="X663">
        <f>'raw data Crude oil'!X664</f>
        <v>54.9</v>
      </c>
      <c r="Y663">
        <f>'raw data Crude oil'!Y664</f>
        <v>54.68</v>
      </c>
      <c r="Z663">
        <f>'raw data Crude oil'!Z664</f>
        <v>63.151000000000003</v>
      </c>
      <c r="AA663">
        <f>'raw data Crude oil'!AA664</f>
        <v>61.942999999999998</v>
      </c>
      <c r="AB663">
        <f>'raw data Crude oil'!AB664</f>
        <v>61.280999999999999</v>
      </c>
      <c r="AC663">
        <f>'raw data Crude oil'!AC664</f>
        <v>60.515999999999998</v>
      </c>
      <c r="AD663">
        <f>'raw data Crude oil'!AD664</f>
        <v>59.771000000000001</v>
      </c>
      <c r="AE663">
        <f>'raw data Crude oil'!AE664</f>
        <v>59.225000000000001</v>
      </c>
      <c r="AF663">
        <f>'raw data Crude oil'!AF664</f>
        <v>58.832000000000001</v>
      </c>
      <c r="AG663">
        <f>'raw data Crude oil'!AG664</f>
        <v>58.640999999999998</v>
      </c>
      <c r="AH663">
        <f>'raw data Crude oil'!AH664</f>
        <v>58.470999999999997</v>
      </c>
      <c r="AI663">
        <f>'raw data Crude oil'!AI664</f>
        <v>58.3</v>
      </c>
      <c r="AJ663">
        <f>'raw data Crude oil'!AJ664</f>
        <v>58.121000000000002</v>
      </c>
      <c r="AK663">
        <f>'raw data Crude oil'!AK664</f>
        <v>57.951000000000001</v>
      </c>
    </row>
    <row r="664" spans="1:37" x14ac:dyDescent="0.3">
      <c r="A664" s="18">
        <f>'raw data Crude oil'!A665</f>
        <v>43672</v>
      </c>
      <c r="B664">
        <f>'raw data Crude oil'!B665</f>
        <v>63.46</v>
      </c>
      <c r="C664">
        <f>'raw data Crude oil'!C665</f>
        <v>63.37</v>
      </c>
      <c r="D664">
        <f>'raw data Crude oil'!D665</f>
        <v>62.95</v>
      </c>
      <c r="E664">
        <f>'raw data Crude oil'!E665</f>
        <v>62.54</v>
      </c>
      <c r="F664">
        <f>'raw data Crude oil'!F665</f>
        <v>62.22</v>
      </c>
      <c r="G664">
        <f>'raw data Crude oil'!G665</f>
        <v>62.03</v>
      </c>
      <c r="H664">
        <f>'raw data Crude oil'!H665</f>
        <v>61.88</v>
      </c>
      <c r="I664">
        <f>'raw data Crude oil'!I665</f>
        <v>61.71</v>
      </c>
      <c r="J664">
        <f>'raw data Crude oil'!J665</f>
        <v>61.54</v>
      </c>
      <c r="K664">
        <f>'raw data Crude oil'!K665</f>
        <v>61.36</v>
      </c>
      <c r="L664">
        <f>'raw data Crude oil'!L665</f>
        <v>61.17</v>
      </c>
      <c r="M664">
        <f>'raw data Crude oil'!M665</f>
        <v>60.99</v>
      </c>
      <c r="N664">
        <f>'raw data Crude oil'!N665</f>
        <v>56.2</v>
      </c>
      <c r="O664">
        <f>'raw data Crude oil'!O665</f>
        <v>56.33</v>
      </c>
      <c r="P664">
        <f>'raw data Crude oil'!P665</f>
        <v>56.42</v>
      </c>
      <c r="Q664">
        <f>'raw data Crude oil'!Q665</f>
        <v>56.43</v>
      </c>
      <c r="R664">
        <f>'raw data Crude oil'!R665</f>
        <v>56.36</v>
      </c>
      <c r="S664">
        <f>'raw data Crude oil'!S665</f>
        <v>56.21</v>
      </c>
      <c r="T664">
        <f>'raw data Crude oil'!T665</f>
        <v>56.03</v>
      </c>
      <c r="U664">
        <f>'raw data Crude oil'!U665</f>
        <v>55.81</v>
      </c>
      <c r="V664">
        <f>'raw data Crude oil'!V665</f>
        <v>55.59</v>
      </c>
      <c r="W664">
        <f>'raw data Crude oil'!W665</f>
        <v>55.36</v>
      </c>
      <c r="X664">
        <f>'raw data Crude oil'!X665</f>
        <v>55.14</v>
      </c>
      <c r="Y664">
        <f>'raw data Crude oil'!Y665</f>
        <v>54.94</v>
      </c>
      <c r="Z664">
        <f>'raw data Crude oil'!Z665</f>
        <v>63.151000000000003</v>
      </c>
      <c r="AA664">
        <f>'raw data Crude oil'!AA665</f>
        <v>61.981000000000002</v>
      </c>
      <c r="AB664">
        <f>'raw data Crude oil'!AB665</f>
        <v>61.28</v>
      </c>
      <c r="AC664">
        <f>'raw data Crude oil'!AC665</f>
        <v>60.496000000000002</v>
      </c>
      <c r="AD664">
        <f>'raw data Crude oil'!AD665</f>
        <v>59.750999999999998</v>
      </c>
      <c r="AE664">
        <f>'raw data Crude oil'!AE665</f>
        <v>59.216000000000001</v>
      </c>
      <c r="AF664">
        <f>'raw data Crude oil'!AF665</f>
        <v>58.841999999999999</v>
      </c>
      <c r="AG664">
        <f>'raw data Crude oil'!AG665</f>
        <v>58.671999999999997</v>
      </c>
      <c r="AH664">
        <f>'raw data Crude oil'!AH665</f>
        <v>58.512</v>
      </c>
      <c r="AI664">
        <f>'raw data Crude oil'!AI665</f>
        <v>58.371000000000002</v>
      </c>
      <c r="AJ664">
        <f>'raw data Crude oil'!AJ665</f>
        <v>58.231000000000002</v>
      </c>
      <c r="AK664">
        <f>'raw data Crude oil'!AK665</f>
        <v>58.082000000000001</v>
      </c>
    </row>
    <row r="665" spans="1:37" x14ac:dyDescent="0.3">
      <c r="A665" s="18">
        <f>'raw data Crude oil'!A666</f>
        <v>43675</v>
      </c>
      <c r="B665">
        <f>'raw data Crude oil'!B666</f>
        <v>63.71</v>
      </c>
      <c r="C665">
        <f>'raw data Crude oil'!C666</f>
        <v>63.62</v>
      </c>
      <c r="D665">
        <f>'raw data Crude oil'!D666</f>
        <v>63.2</v>
      </c>
      <c r="E665">
        <f>'raw data Crude oil'!E666</f>
        <v>62.79</v>
      </c>
      <c r="F665">
        <f>'raw data Crude oil'!F666</f>
        <v>62.45</v>
      </c>
      <c r="G665">
        <f>'raw data Crude oil'!G666</f>
        <v>62.24</v>
      </c>
      <c r="H665">
        <f>'raw data Crude oil'!H666</f>
        <v>62.07</v>
      </c>
      <c r="I665">
        <f>'raw data Crude oil'!I666</f>
        <v>61.87</v>
      </c>
      <c r="J665">
        <f>'raw data Crude oil'!J666</f>
        <v>61.66</v>
      </c>
      <c r="K665">
        <f>'raw data Crude oil'!K666</f>
        <v>61.44</v>
      </c>
      <c r="L665">
        <f>'raw data Crude oil'!L666</f>
        <v>61.22</v>
      </c>
      <c r="M665">
        <f>'raw data Crude oil'!M666</f>
        <v>61</v>
      </c>
      <c r="N665">
        <f>'raw data Crude oil'!N666</f>
        <v>56.87</v>
      </c>
      <c r="O665">
        <f>'raw data Crude oil'!O666</f>
        <v>56.96</v>
      </c>
      <c r="P665">
        <f>'raw data Crude oil'!P666</f>
        <v>57.01</v>
      </c>
      <c r="Q665">
        <f>'raw data Crude oil'!Q666</f>
        <v>56.97</v>
      </c>
      <c r="R665">
        <f>'raw data Crude oil'!R666</f>
        <v>56.85</v>
      </c>
      <c r="S665">
        <f>'raw data Crude oil'!S666</f>
        <v>56.67</v>
      </c>
      <c r="T665">
        <f>'raw data Crude oil'!T666</f>
        <v>56.45</v>
      </c>
      <c r="U665">
        <f>'raw data Crude oil'!U666</f>
        <v>56.2</v>
      </c>
      <c r="V665">
        <f>'raw data Crude oil'!V666</f>
        <v>55.93</v>
      </c>
      <c r="W665">
        <f>'raw data Crude oil'!W666</f>
        <v>55.67</v>
      </c>
      <c r="X665">
        <f>'raw data Crude oil'!X666</f>
        <v>55.4</v>
      </c>
      <c r="Y665">
        <f>'raw data Crude oil'!Y666</f>
        <v>55.16</v>
      </c>
      <c r="Z665">
        <f>'raw data Crude oil'!Z666</f>
        <v>63.165999999999997</v>
      </c>
      <c r="AA665">
        <f>'raw data Crude oil'!AA666</f>
        <v>62.191000000000003</v>
      </c>
      <c r="AB665">
        <f>'raw data Crude oil'!AB666</f>
        <v>61.53</v>
      </c>
      <c r="AC665">
        <f>'raw data Crude oil'!AC666</f>
        <v>60.744999999999997</v>
      </c>
      <c r="AD665">
        <f>'raw data Crude oil'!AD666</f>
        <v>59.99</v>
      </c>
      <c r="AE665">
        <f>'raw data Crude oil'!AE666</f>
        <v>59.414000000000001</v>
      </c>
      <c r="AF665">
        <f>'raw data Crude oil'!AF666</f>
        <v>59.000999999999998</v>
      </c>
      <c r="AG665">
        <f>'raw data Crude oil'!AG666</f>
        <v>58.8</v>
      </c>
      <c r="AH665">
        <f>'raw data Crude oil'!AH666</f>
        <v>58.62</v>
      </c>
      <c r="AI665">
        <f>'raw data Crude oil'!AI666</f>
        <v>58.45</v>
      </c>
      <c r="AJ665">
        <f>'raw data Crude oil'!AJ666</f>
        <v>58.28</v>
      </c>
      <c r="AK665">
        <f>'raw data Crude oil'!AK666</f>
        <v>58.11</v>
      </c>
    </row>
    <row r="666" spans="1:37" x14ac:dyDescent="0.3">
      <c r="A666" s="18">
        <f>'raw data Crude oil'!A667</f>
        <v>43676</v>
      </c>
      <c r="B666">
        <f>'raw data Crude oil'!B667</f>
        <v>64.72</v>
      </c>
      <c r="C666">
        <f>'raw data Crude oil'!C667</f>
        <v>64.63</v>
      </c>
      <c r="D666">
        <f>'raw data Crude oil'!D667</f>
        <v>64.180000000000007</v>
      </c>
      <c r="E666">
        <f>'raw data Crude oil'!E667</f>
        <v>63.74</v>
      </c>
      <c r="F666">
        <f>'raw data Crude oil'!F667</f>
        <v>63.36</v>
      </c>
      <c r="G666">
        <f>'raw data Crude oil'!G667</f>
        <v>63.11</v>
      </c>
      <c r="H666">
        <f>'raw data Crude oil'!H667</f>
        <v>62.89</v>
      </c>
      <c r="I666">
        <f>'raw data Crude oil'!I667</f>
        <v>62.66</v>
      </c>
      <c r="J666">
        <f>'raw data Crude oil'!J667</f>
        <v>62.42</v>
      </c>
      <c r="K666">
        <f>'raw data Crude oil'!K667</f>
        <v>62.18</v>
      </c>
      <c r="L666">
        <f>'raw data Crude oil'!L667</f>
        <v>61.93</v>
      </c>
      <c r="M666">
        <f>'raw data Crude oil'!M667</f>
        <v>61.69</v>
      </c>
      <c r="N666">
        <f>'raw data Crude oil'!N667</f>
        <v>58.05</v>
      </c>
      <c r="O666">
        <f>'raw data Crude oil'!O667</f>
        <v>58.11</v>
      </c>
      <c r="P666">
        <f>'raw data Crude oil'!P667</f>
        <v>58.11</v>
      </c>
      <c r="Q666">
        <f>'raw data Crude oil'!Q667</f>
        <v>58</v>
      </c>
      <c r="R666">
        <f>'raw data Crude oil'!R667</f>
        <v>57.82</v>
      </c>
      <c r="S666">
        <f>'raw data Crude oil'!S667</f>
        <v>57.58</v>
      </c>
      <c r="T666">
        <f>'raw data Crude oil'!T667</f>
        <v>57.31</v>
      </c>
      <c r="U666">
        <f>'raw data Crude oil'!U667</f>
        <v>57.02</v>
      </c>
      <c r="V666">
        <f>'raw data Crude oil'!V667</f>
        <v>56.72</v>
      </c>
      <c r="W666">
        <f>'raw data Crude oil'!W667</f>
        <v>56.41</v>
      </c>
      <c r="X666">
        <f>'raw data Crude oil'!X667</f>
        <v>56.1</v>
      </c>
      <c r="Y666">
        <f>'raw data Crude oil'!Y667</f>
        <v>55.81</v>
      </c>
      <c r="Z666">
        <f>'raw data Crude oil'!Z667</f>
        <v>63.201999999999998</v>
      </c>
      <c r="AA666">
        <f>'raw data Crude oil'!AA667</f>
        <v>63.14</v>
      </c>
      <c r="AB666">
        <f>'raw data Crude oil'!AB667</f>
        <v>62.418999999999997</v>
      </c>
      <c r="AC666">
        <f>'raw data Crude oil'!AC667</f>
        <v>61.613</v>
      </c>
      <c r="AD666">
        <f>'raw data Crude oil'!AD667</f>
        <v>60.808</v>
      </c>
      <c r="AE666">
        <f>'raw data Crude oil'!AE667</f>
        <v>60.198999999999998</v>
      </c>
      <c r="AF666">
        <f>'raw data Crude oil'!AF667</f>
        <v>59.77</v>
      </c>
      <c r="AG666">
        <f>'raw data Crude oil'!AG667</f>
        <v>59.567999999999998</v>
      </c>
      <c r="AH666">
        <f>'raw data Crude oil'!AH667</f>
        <v>59.369</v>
      </c>
      <c r="AI666">
        <f>'raw data Crude oil'!AI667</f>
        <v>59.177999999999997</v>
      </c>
      <c r="AJ666">
        <f>'raw data Crude oil'!AJ667</f>
        <v>58.978999999999999</v>
      </c>
      <c r="AK666">
        <f>'raw data Crude oil'!AK667</f>
        <v>58.798999999999999</v>
      </c>
    </row>
    <row r="667" spans="1:37" x14ac:dyDescent="0.3">
      <c r="A667" s="18">
        <f>'raw data Crude oil'!A668</f>
        <v>43677</v>
      </c>
      <c r="B667">
        <f>'raw data Crude oil'!B668</f>
        <v>65.17</v>
      </c>
      <c r="C667">
        <f>'raw data Crude oil'!C668</f>
        <v>65.05</v>
      </c>
      <c r="D667">
        <f>'raw data Crude oil'!D668</f>
        <v>64.55</v>
      </c>
      <c r="E667">
        <f>'raw data Crude oil'!E668</f>
        <v>64.08</v>
      </c>
      <c r="F667">
        <f>'raw data Crude oil'!F668</f>
        <v>63.69</v>
      </c>
      <c r="G667">
        <f>'raw data Crude oil'!G668</f>
        <v>63.44</v>
      </c>
      <c r="H667">
        <f>'raw data Crude oil'!H668</f>
        <v>63.22</v>
      </c>
      <c r="I667">
        <f>'raw data Crude oil'!I668</f>
        <v>62.97</v>
      </c>
      <c r="J667">
        <f>'raw data Crude oil'!J668</f>
        <v>62.72</v>
      </c>
      <c r="K667">
        <f>'raw data Crude oil'!K668</f>
        <v>62.46</v>
      </c>
      <c r="L667">
        <f>'raw data Crude oil'!L668</f>
        <v>62.2</v>
      </c>
      <c r="M667">
        <f>'raw data Crude oil'!M668</f>
        <v>61.95</v>
      </c>
      <c r="N667">
        <f>'raw data Crude oil'!N668</f>
        <v>58.58</v>
      </c>
      <c r="O667">
        <f>'raw data Crude oil'!O668</f>
        <v>58.63</v>
      </c>
      <c r="P667">
        <f>'raw data Crude oil'!P668</f>
        <v>58.61</v>
      </c>
      <c r="Q667">
        <f>'raw data Crude oil'!Q668</f>
        <v>58.5</v>
      </c>
      <c r="R667">
        <f>'raw data Crude oil'!R668</f>
        <v>58.32</v>
      </c>
      <c r="S667">
        <f>'raw data Crude oil'!S668</f>
        <v>58.08</v>
      </c>
      <c r="T667">
        <f>'raw data Crude oil'!T668</f>
        <v>57.78</v>
      </c>
      <c r="U667">
        <f>'raw data Crude oil'!U668</f>
        <v>57.47</v>
      </c>
      <c r="V667">
        <f>'raw data Crude oil'!V668</f>
        <v>57.15</v>
      </c>
      <c r="W667">
        <f>'raw data Crude oil'!W668</f>
        <v>56.82</v>
      </c>
      <c r="X667">
        <f>'raw data Crude oil'!X668</f>
        <v>56.49</v>
      </c>
      <c r="Y667">
        <f>'raw data Crude oil'!Y668</f>
        <v>56.19</v>
      </c>
      <c r="Z667">
        <f>'raw data Crude oil'!Z668</f>
        <v>63.253999999999998</v>
      </c>
      <c r="AA667">
        <f>'raw data Crude oil'!AA668</f>
        <v>63.637</v>
      </c>
      <c r="AB667">
        <f>'raw data Crude oil'!AB668</f>
        <v>62.828000000000003</v>
      </c>
      <c r="AC667">
        <f>'raw data Crude oil'!AC668</f>
        <v>61.953000000000003</v>
      </c>
      <c r="AD667">
        <f>'raw data Crude oil'!AD668</f>
        <v>61.128</v>
      </c>
      <c r="AE667">
        <f>'raw data Crude oil'!AE668</f>
        <v>60.459000000000003</v>
      </c>
      <c r="AF667">
        <f>'raw data Crude oil'!AF668</f>
        <v>59.999000000000002</v>
      </c>
      <c r="AG667">
        <f>'raw data Crude oil'!AG668</f>
        <v>59.758000000000003</v>
      </c>
      <c r="AH667">
        <f>'raw data Crude oil'!AH668</f>
        <v>59.567999999999998</v>
      </c>
      <c r="AI667">
        <f>'raw data Crude oil'!AI668</f>
        <v>59.378</v>
      </c>
      <c r="AJ667">
        <f>'raw data Crude oil'!AJ668</f>
        <v>59.188000000000002</v>
      </c>
      <c r="AK667">
        <f>'raw data Crude oil'!AK668</f>
        <v>58.999000000000002</v>
      </c>
    </row>
    <row r="668" spans="1:37" x14ac:dyDescent="0.3">
      <c r="A668" s="18">
        <f>'raw data Crude oil'!A669</f>
        <v>43678</v>
      </c>
      <c r="B668">
        <f>'raw data Crude oil'!B669</f>
        <v>60.5</v>
      </c>
      <c r="C668">
        <f>'raw data Crude oil'!C669</f>
        <v>59.96</v>
      </c>
      <c r="D668">
        <f>'raw data Crude oil'!D669</f>
        <v>59.49</v>
      </c>
      <c r="E668">
        <f>'raw data Crude oil'!E669</f>
        <v>59.13</v>
      </c>
      <c r="F668">
        <f>'raw data Crude oil'!F669</f>
        <v>58.93</v>
      </c>
      <c r="G668">
        <f>'raw data Crude oil'!G669</f>
        <v>58.78</v>
      </c>
      <c r="H668">
        <f>'raw data Crude oil'!H669</f>
        <v>58.6</v>
      </c>
      <c r="I668">
        <f>'raw data Crude oil'!I669</f>
        <v>58.41</v>
      </c>
      <c r="J668">
        <f>'raw data Crude oil'!J669</f>
        <v>58.23</v>
      </c>
      <c r="K668">
        <f>'raw data Crude oil'!K669</f>
        <v>58.03</v>
      </c>
      <c r="L668">
        <f>'raw data Crude oil'!L669</f>
        <v>57.85</v>
      </c>
      <c r="M668">
        <f>'raw data Crude oil'!M669</f>
        <v>57.68</v>
      </c>
      <c r="N668">
        <f>'raw data Crude oil'!N669</f>
        <v>53.95</v>
      </c>
      <c r="O668">
        <f>'raw data Crude oil'!O669</f>
        <v>54.01</v>
      </c>
      <c r="P668">
        <f>'raw data Crude oil'!P669</f>
        <v>54.03</v>
      </c>
      <c r="Q668">
        <f>'raw data Crude oil'!Q669</f>
        <v>53.95</v>
      </c>
      <c r="R668">
        <f>'raw data Crude oil'!R669</f>
        <v>53.81</v>
      </c>
      <c r="S668">
        <f>'raw data Crude oil'!S669</f>
        <v>53.63</v>
      </c>
      <c r="T668">
        <f>'raw data Crude oil'!T669</f>
        <v>53.42</v>
      </c>
      <c r="U668">
        <f>'raw data Crude oil'!U669</f>
        <v>53.2</v>
      </c>
      <c r="V668">
        <f>'raw data Crude oil'!V669</f>
        <v>52.96</v>
      </c>
      <c r="W668">
        <f>'raw data Crude oil'!W669</f>
        <v>52.73</v>
      </c>
      <c r="X668">
        <f>'raw data Crude oil'!X669</f>
        <v>52.5</v>
      </c>
      <c r="Y668">
        <f>'raw data Crude oil'!Y669</f>
        <v>52.28</v>
      </c>
      <c r="Z668">
        <f>'raw data Crude oil'!Z669</f>
        <v>63.253999999999998</v>
      </c>
      <c r="AA668">
        <f>'raw data Crude oil'!AA669</f>
        <v>59.198999999999998</v>
      </c>
      <c r="AB668">
        <f>'raw data Crude oil'!AB669</f>
        <v>58.408000000000001</v>
      </c>
      <c r="AC668">
        <f>'raw data Crude oil'!AC669</f>
        <v>57.494</v>
      </c>
      <c r="AD668">
        <f>'raw data Crude oil'!AD669</f>
        <v>56.71</v>
      </c>
      <c r="AE668">
        <f>'raw data Crude oil'!AE669</f>
        <v>56.076000000000001</v>
      </c>
      <c r="AF668">
        <f>'raw data Crude oil'!AF669</f>
        <v>55.636000000000003</v>
      </c>
      <c r="AG668">
        <f>'raw data Crude oil'!AG669</f>
        <v>55.460999999999999</v>
      </c>
      <c r="AH668">
        <f>'raw data Crude oil'!AH669</f>
        <v>55.292000000000002</v>
      </c>
      <c r="AI668">
        <f>'raw data Crude oil'!AI669</f>
        <v>55.22</v>
      </c>
      <c r="AJ668">
        <f>'raw data Crude oil'!AJ669</f>
        <v>55.151000000000003</v>
      </c>
      <c r="AK668">
        <f>'raw data Crude oil'!AK669</f>
        <v>55.042000000000002</v>
      </c>
    </row>
    <row r="669" spans="1:37" x14ac:dyDescent="0.3">
      <c r="A669" s="18">
        <f>'raw data Crude oil'!A670</f>
        <v>43679</v>
      </c>
      <c r="B669">
        <f>'raw data Crude oil'!B670</f>
        <v>61.89</v>
      </c>
      <c r="C669">
        <f>'raw data Crude oil'!C670</f>
        <v>61.32</v>
      </c>
      <c r="D669">
        <f>'raw data Crude oil'!D670</f>
        <v>60.8</v>
      </c>
      <c r="E669">
        <f>'raw data Crude oil'!E670</f>
        <v>60.46</v>
      </c>
      <c r="F669">
        <f>'raw data Crude oil'!F670</f>
        <v>60.28</v>
      </c>
      <c r="G669">
        <f>'raw data Crude oil'!G670</f>
        <v>60.14</v>
      </c>
      <c r="H669">
        <f>'raw data Crude oil'!H670</f>
        <v>59.98</v>
      </c>
      <c r="I669">
        <f>'raw data Crude oil'!I670</f>
        <v>59.8</v>
      </c>
      <c r="J669">
        <f>'raw data Crude oil'!J670</f>
        <v>59.63</v>
      </c>
      <c r="K669">
        <f>'raw data Crude oil'!K670</f>
        <v>59.45</v>
      </c>
      <c r="L669">
        <f>'raw data Crude oil'!L670</f>
        <v>59.27</v>
      </c>
      <c r="M669">
        <f>'raw data Crude oil'!M670</f>
        <v>59.09</v>
      </c>
      <c r="N669">
        <f>'raw data Crude oil'!N670</f>
        <v>55.66</v>
      </c>
      <c r="O669">
        <f>'raw data Crude oil'!O670</f>
        <v>55.67</v>
      </c>
      <c r="P669">
        <f>'raw data Crude oil'!P670</f>
        <v>55.66</v>
      </c>
      <c r="Q669">
        <f>'raw data Crude oil'!Q670</f>
        <v>55.56</v>
      </c>
      <c r="R669">
        <f>'raw data Crude oil'!R670</f>
        <v>55.41</v>
      </c>
      <c r="S669">
        <f>'raw data Crude oil'!S670</f>
        <v>55.22</v>
      </c>
      <c r="T669">
        <f>'raw data Crude oil'!T670</f>
        <v>55</v>
      </c>
      <c r="U669">
        <f>'raw data Crude oil'!U670</f>
        <v>54.77</v>
      </c>
      <c r="V669">
        <f>'raw data Crude oil'!V670</f>
        <v>54.54</v>
      </c>
      <c r="W669">
        <f>'raw data Crude oil'!W670</f>
        <v>54.31</v>
      </c>
      <c r="X669">
        <f>'raw data Crude oil'!X670</f>
        <v>54.08</v>
      </c>
      <c r="Y669">
        <f>'raw data Crude oil'!Y670</f>
        <v>53.86</v>
      </c>
      <c r="Z669">
        <f>'raw data Crude oil'!Z670</f>
        <v>60.667999999999999</v>
      </c>
      <c r="AA669">
        <f>'raw data Crude oil'!AA670</f>
        <v>59.674999999999997</v>
      </c>
      <c r="AB669">
        <f>'raw data Crude oil'!AB670</f>
        <v>58.784999999999997</v>
      </c>
      <c r="AC669">
        <f>'raw data Crude oil'!AC670</f>
        <v>58.021000000000001</v>
      </c>
      <c r="AD669">
        <f>'raw data Crude oil'!AD670</f>
        <v>57.406999999999996</v>
      </c>
      <c r="AE669">
        <f>'raw data Crude oil'!AE670</f>
        <v>56.972999999999999</v>
      </c>
      <c r="AF669">
        <f>'raw data Crude oil'!AF670</f>
        <v>56.790999999999997</v>
      </c>
      <c r="AG669">
        <f>'raw data Crude oil'!AG670</f>
        <v>56.652000000000001</v>
      </c>
      <c r="AH669">
        <f>'raw data Crude oil'!AH670</f>
        <v>56.540999999999997</v>
      </c>
      <c r="AI669">
        <f>'raw data Crude oil'!AI670</f>
        <v>56.451000000000001</v>
      </c>
      <c r="AJ669">
        <f>'raw data Crude oil'!AJ670</f>
        <v>56.351999999999997</v>
      </c>
      <c r="AK669">
        <f>'raw data Crude oil'!AK670</f>
        <v>56.262</v>
      </c>
    </row>
    <row r="670" spans="1:37" x14ac:dyDescent="0.3">
      <c r="A670" s="18">
        <f>'raw data Crude oil'!A671</f>
        <v>43682</v>
      </c>
      <c r="B670">
        <f>'raw data Crude oil'!B671</f>
        <v>59.81</v>
      </c>
      <c r="C670">
        <f>'raw data Crude oil'!C671</f>
        <v>59.35</v>
      </c>
      <c r="D670">
        <f>'raw data Crude oil'!D671</f>
        <v>58.93</v>
      </c>
      <c r="E670">
        <f>'raw data Crude oil'!E671</f>
        <v>58.68</v>
      </c>
      <c r="F670">
        <f>'raw data Crude oil'!F671</f>
        <v>58.56</v>
      </c>
      <c r="G670">
        <f>'raw data Crude oil'!G671</f>
        <v>58.47</v>
      </c>
      <c r="H670">
        <f>'raw data Crude oil'!H671</f>
        <v>58.37</v>
      </c>
      <c r="I670">
        <f>'raw data Crude oil'!I671</f>
        <v>58.24</v>
      </c>
      <c r="J670">
        <f>'raw data Crude oil'!J671</f>
        <v>58.12</v>
      </c>
      <c r="K670">
        <f>'raw data Crude oil'!K671</f>
        <v>57.99</v>
      </c>
      <c r="L670">
        <f>'raw data Crude oil'!L671</f>
        <v>57.87</v>
      </c>
      <c r="M670">
        <f>'raw data Crude oil'!M671</f>
        <v>57.75</v>
      </c>
      <c r="N670">
        <f>'raw data Crude oil'!N671</f>
        <v>54.69</v>
      </c>
      <c r="O670">
        <f>'raw data Crude oil'!O671</f>
        <v>54.58</v>
      </c>
      <c r="P670">
        <f>'raw data Crude oil'!P671</f>
        <v>54.45</v>
      </c>
      <c r="Q670">
        <f>'raw data Crude oil'!Q671</f>
        <v>54.3</v>
      </c>
      <c r="R670">
        <f>'raw data Crude oil'!R671</f>
        <v>54.1</v>
      </c>
      <c r="S670">
        <f>'raw data Crude oil'!S671</f>
        <v>53.89</v>
      </c>
      <c r="T670">
        <f>'raw data Crude oil'!T671</f>
        <v>53.68</v>
      </c>
      <c r="U670">
        <f>'raw data Crude oil'!U671</f>
        <v>53.47</v>
      </c>
      <c r="V670">
        <f>'raw data Crude oil'!V671</f>
        <v>53.27</v>
      </c>
      <c r="W670">
        <f>'raw data Crude oil'!W671</f>
        <v>53.07</v>
      </c>
      <c r="X670">
        <f>'raw data Crude oil'!X671</f>
        <v>52.87</v>
      </c>
      <c r="Y670">
        <f>'raw data Crude oil'!Y671</f>
        <v>52.69</v>
      </c>
      <c r="Z670">
        <f>'raw data Crude oil'!Z671</f>
        <v>59.003</v>
      </c>
      <c r="AA670">
        <f>'raw data Crude oil'!AA671</f>
        <v>57.75</v>
      </c>
      <c r="AB670">
        <f>'raw data Crude oil'!AB671</f>
        <v>56.929000000000002</v>
      </c>
      <c r="AC670">
        <f>'raw data Crude oil'!AC671</f>
        <v>56.244</v>
      </c>
      <c r="AD670">
        <f>'raw data Crude oil'!AD671</f>
        <v>55.670999999999999</v>
      </c>
      <c r="AE670">
        <f>'raw data Crude oil'!AE671</f>
        <v>55.344999999999999</v>
      </c>
      <c r="AF670">
        <f>'raw data Crude oil'!AF671</f>
        <v>55.173999999999999</v>
      </c>
      <c r="AG670">
        <f>'raw data Crude oil'!AG671</f>
        <v>55.085000000000001</v>
      </c>
      <c r="AH670">
        <f>'raw data Crude oil'!AH671</f>
        <v>55.003999999999998</v>
      </c>
      <c r="AI670">
        <f>'raw data Crude oil'!AI671</f>
        <v>54.914000000000001</v>
      </c>
      <c r="AJ670">
        <f>'raw data Crude oil'!AJ671</f>
        <v>54.825000000000003</v>
      </c>
      <c r="AK670">
        <f>'raw data Crude oil'!AK671</f>
        <v>54.734999999999999</v>
      </c>
    </row>
    <row r="671" spans="1:37" x14ac:dyDescent="0.3">
      <c r="A671" s="18">
        <f>'raw data Crude oil'!A672</f>
        <v>43683</v>
      </c>
      <c r="B671">
        <f>'raw data Crude oil'!B672</f>
        <v>58.94</v>
      </c>
      <c r="C671">
        <f>'raw data Crude oil'!C672</f>
        <v>58.53</v>
      </c>
      <c r="D671">
        <f>'raw data Crude oil'!D672</f>
        <v>58.14</v>
      </c>
      <c r="E671">
        <f>'raw data Crude oil'!E672</f>
        <v>57.91</v>
      </c>
      <c r="F671">
        <f>'raw data Crude oil'!F672</f>
        <v>57.82</v>
      </c>
      <c r="G671">
        <f>'raw data Crude oil'!G672</f>
        <v>57.76</v>
      </c>
      <c r="H671">
        <f>'raw data Crude oil'!H672</f>
        <v>57.67</v>
      </c>
      <c r="I671">
        <f>'raw data Crude oil'!I672</f>
        <v>57.57</v>
      </c>
      <c r="J671">
        <f>'raw data Crude oil'!J672</f>
        <v>57.46</v>
      </c>
      <c r="K671">
        <f>'raw data Crude oil'!K672</f>
        <v>57.35</v>
      </c>
      <c r="L671">
        <f>'raw data Crude oil'!L672</f>
        <v>57.24</v>
      </c>
      <c r="M671">
        <f>'raw data Crude oil'!M672</f>
        <v>57.13</v>
      </c>
      <c r="N671">
        <f>'raw data Crude oil'!N672</f>
        <v>53.63</v>
      </c>
      <c r="O671">
        <f>'raw data Crude oil'!O672</f>
        <v>53.59</v>
      </c>
      <c r="P671">
        <f>'raw data Crude oil'!P672</f>
        <v>53.53</v>
      </c>
      <c r="Q671">
        <f>'raw data Crude oil'!Q672</f>
        <v>53.42</v>
      </c>
      <c r="R671">
        <f>'raw data Crude oil'!R672</f>
        <v>53.26</v>
      </c>
      <c r="S671">
        <f>'raw data Crude oil'!S672</f>
        <v>53.08</v>
      </c>
      <c r="T671">
        <f>'raw data Crude oil'!T672</f>
        <v>52.89</v>
      </c>
      <c r="U671">
        <f>'raw data Crude oil'!U672</f>
        <v>52.71</v>
      </c>
      <c r="V671">
        <f>'raw data Crude oil'!V672</f>
        <v>52.53</v>
      </c>
      <c r="W671">
        <f>'raw data Crude oil'!W672</f>
        <v>52.34</v>
      </c>
      <c r="X671">
        <f>'raw data Crude oil'!X672</f>
        <v>52.17</v>
      </c>
      <c r="Y671">
        <f>'raw data Crude oil'!Y672</f>
        <v>52</v>
      </c>
      <c r="Z671">
        <f>'raw data Crude oil'!Z672</f>
        <v>58.335000000000001</v>
      </c>
      <c r="AA671">
        <f>'raw data Crude oil'!AA672</f>
        <v>56.941000000000003</v>
      </c>
      <c r="AB671">
        <f>'raw data Crude oil'!AB672</f>
        <v>56.14</v>
      </c>
      <c r="AC671">
        <f>'raw data Crude oil'!AC672</f>
        <v>55.515999999999998</v>
      </c>
      <c r="AD671">
        <f>'raw data Crude oil'!AD672</f>
        <v>54.994</v>
      </c>
      <c r="AE671">
        <f>'raw data Crude oil'!AE672</f>
        <v>54.695999999999998</v>
      </c>
      <c r="AF671">
        <f>'raw data Crude oil'!AF672</f>
        <v>54.594999999999999</v>
      </c>
      <c r="AG671">
        <f>'raw data Crude oil'!AG672</f>
        <v>54.524999999999999</v>
      </c>
      <c r="AH671">
        <f>'raw data Crude oil'!AH672</f>
        <v>54.454999999999998</v>
      </c>
      <c r="AI671">
        <f>'raw data Crude oil'!AI672</f>
        <v>54.384999999999998</v>
      </c>
      <c r="AJ671">
        <f>'raw data Crude oil'!AJ672</f>
        <v>54.284999999999997</v>
      </c>
      <c r="AK671">
        <f>'raw data Crude oil'!AK672</f>
        <v>54.235999999999997</v>
      </c>
    </row>
    <row r="672" spans="1:37" x14ac:dyDescent="0.3">
      <c r="A672" s="18">
        <f>'raw data Crude oil'!A673</f>
        <v>43684</v>
      </c>
      <c r="B672">
        <f>'raw data Crude oil'!B673</f>
        <v>56.23</v>
      </c>
      <c r="C672">
        <f>'raw data Crude oil'!C673</f>
        <v>55.93</v>
      </c>
      <c r="D672">
        <f>'raw data Crude oil'!D673</f>
        <v>55.63</v>
      </c>
      <c r="E672">
        <f>'raw data Crude oil'!E673</f>
        <v>55.45</v>
      </c>
      <c r="F672">
        <f>'raw data Crude oil'!F673</f>
        <v>55.39</v>
      </c>
      <c r="G672">
        <f>'raw data Crude oil'!G673</f>
        <v>55.35</v>
      </c>
      <c r="H672">
        <f>'raw data Crude oil'!H673</f>
        <v>55.31</v>
      </c>
      <c r="I672">
        <f>'raw data Crude oil'!I673</f>
        <v>55.25</v>
      </c>
      <c r="J672">
        <f>'raw data Crude oil'!J673</f>
        <v>55.19</v>
      </c>
      <c r="K672">
        <f>'raw data Crude oil'!K673</f>
        <v>55.14</v>
      </c>
      <c r="L672">
        <f>'raw data Crude oil'!L673</f>
        <v>55.09</v>
      </c>
      <c r="M672">
        <f>'raw data Crude oil'!M673</f>
        <v>55.03</v>
      </c>
      <c r="N672">
        <f>'raw data Crude oil'!N673</f>
        <v>51.09</v>
      </c>
      <c r="O672">
        <f>'raw data Crude oil'!O673</f>
        <v>51.03</v>
      </c>
      <c r="P672">
        <f>'raw data Crude oil'!P673</f>
        <v>50.95</v>
      </c>
      <c r="Q672">
        <f>'raw data Crude oil'!Q673</f>
        <v>50.86</v>
      </c>
      <c r="R672">
        <f>'raw data Crude oil'!R673</f>
        <v>50.73</v>
      </c>
      <c r="S672">
        <f>'raw data Crude oil'!S673</f>
        <v>50.59</v>
      </c>
      <c r="T672">
        <f>'raw data Crude oil'!T673</f>
        <v>50.45</v>
      </c>
      <c r="U672">
        <f>'raw data Crude oil'!U673</f>
        <v>50.32</v>
      </c>
      <c r="V672">
        <f>'raw data Crude oil'!V673</f>
        <v>50.18</v>
      </c>
      <c r="W672">
        <f>'raw data Crude oil'!W673</f>
        <v>50.04</v>
      </c>
      <c r="X672">
        <f>'raw data Crude oil'!X673</f>
        <v>49.91</v>
      </c>
      <c r="Y672">
        <f>'raw data Crude oil'!Y673</f>
        <v>49.81</v>
      </c>
      <c r="Z672">
        <f>'raw data Crude oil'!Z673</f>
        <v>56.579000000000001</v>
      </c>
      <c r="AA672">
        <f>'raw data Crude oil'!AA673</f>
        <v>54.655999999999999</v>
      </c>
      <c r="AB672">
        <f>'raw data Crude oil'!AB673</f>
        <v>53.862000000000002</v>
      </c>
      <c r="AC672">
        <f>'raw data Crude oil'!AC673</f>
        <v>53.267000000000003</v>
      </c>
      <c r="AD672">
        <f>'raw data Crude oil'!AD673</f>
        <v>52.776000000000003</v>
      </c>
      <c r="AE672">
        <f>'raw data Crude oil'!AE673</f>
        <v>52.508000000000003</v>
      </c>
      <c r="AF672">
        <f>'raw data Crude oil'!AF673</f>
        <v>52.406999999999996</v>
      </c>
      <c r="AG672">
        <f>'raw data Crude oil'!AG673</f>
        <v>52.366999999999997</v>
      </c>
      <c r="AH672">
        <f>'raw data Crude oil'!AH673</f>
        <v>52.317999999999998</v>
      </c>
      <c r="AI672">
        <f>'raw data Crude oil'!AI673</f>
        <v>52.277999999999999</v>
      </c>
      <c r="AJ672">
        <f>'raw data Crude oil'!AJ673</f>
        <v>52.256999999999998</v>
      </c>
      <c r="AK672">
        <f>'raw data Crude oil'!AK673</f>
        <v>52.268000000000001</v>
      </c>
    </row>
    <row r="673" spans="1:37" x14ac:dyDescent="0.3">
      <c r="A673" s="18">
        <f>'raw data Crude oil'!A674</f>
        <v>43685</v>
      </c>
      <c r="B673">
        <f>'raw data Crude oil'!B674</f>
        <v>57.38</v>
      </c>
      <c r="C673">
        <f>'raw data Crude oil'!C674</f>
        <v>57.04</v>
      </c>
      <c r="D673">
        <f>'raw data Crude oil'!D674</f>
        <v>56.67</v>
      </c>
      <c r="E673">
        <f>'raw data Crude oil'!E674</f>
        <v>56.41</v>
      </c>
      <c r="F673">
        <f>'raw data Crude oil'!F674</f>
        <v>56.29</v>
      </c>
      <c r="G673">
        <f>'raw data Crude oil'!G674</f>
        <v>56.21</v>
      </c>
      <c r="H673">
        <f>'raw data Crude oil'!H674</f>
        <v>56.12</v>
      </c>
      <c r="I673">
        <f>'raw data Crude oil'!I674</f>
        <v>56.03</v>
      </c>
      <c r="J673">
        <f>'raw data Crude oil'!J674</f>
        <v>55.95</v>
      </c>
      <c r="K673">
        <f>'raw data Crude oil'!K674</f>
        <v>55.87</v>
      </c>
      <c r="L673">
        <f>'raw data Crude oil'!L674</f>
        <v>55.8</v>
      </c>
      <c r="M673">
        <f>'raw data Crude oil'!M674</f>
        <v>55.72</v>
      </c>
      <c r="N673">
        <f>'raw data Crude oil'!N674</f>
        <v>52.54</v>
      </c>
      <c r="O673">
        <f>'raw data Crude oil'!O674</f>
        <v>52.46</v>
      </c>
      <c r="P673">
        <f>'raw data Crude oil'!P674</f>
        <v>52.29</v>
      </c>
      <c r="Q673">
        <f>'raw data Crude oil'!Q674</f>
        <v>52.1</v>
      </c>
      <c r="R673">
        <f>'raw data Crude oil'!R674</f>
        <v>51.88</v>
      </c>
      <c r="S673">
        <f>'raw data Crude oil'!S674</f>
        <v>51.64</v>
      </c>
      <c r="T673">
        <f>'raw data Crude oil'!T674</f>
        <v>51.44</v>
      </c>
      <c r="U673">
        <f>'raw data Crude oil'!U674</f>
        <v>51.24</v>
      </c>
      <c r="V673">
        <f>'raw data Crude oil'!V674</f>
        <v>51.05</v>
      </c>
      <c r="W673">
        <f>'raw data Crude oil'!W674</f>
        <v>50.87</v>
      </c>
      <c r="X673">
        <f>'raw data Crude oil'!X674</f>
        <v>50.71</v>
      </c>
      <c r="Y673">
        <f>'raw data Crude oil'!Y674</f>
        <v>50.57</v>
      </c>
      <c r="Z673">
        <f>'raw data Crude oil'!Z674</f>
        <v>57.573999999999998</v>
      </c>
      <c r="AA673">
        <f>'raw data Crude oil'!AA674</f>
        <v>55.892000000000003</v>
      </c>
      <c r="AB673">
        <f>'raw data Crude oil'!AB674</f>
        <v>54.999000000000002</v>
      </c>
      <c r="AC673">
        <f>'raw data Crude oil'!AC674</f>
        <v>54.344000000000001</v>
      </c>
      <c r="AD673">
        <f>'raw data Crude oil'!AD674</f>
        <v>53.792000000000002</v>
      </c>
      <c r="AE673">
        <f>'raw data Crude oil'!AE674</f>
        <v>53.475999999999999</v>
      </c>
      <c r="AF673">
        <f>'raw data Crude oil'!AF674</f>
        <v>53.345999999999997</v>
      </c>
      <c r="AG673">
        <f>'raw data Crude oil'!AG674</f>
        <v>53.295999999999999</v>
      </c>
      <c r="AH673">
        <f>'raw data Crude oil'!AH674</f>
        <v>53.235999999999997</v>
      </c>
      <c r="AI673">
        <f>'raw data Crude oil'!AI674</f>
        <v>53.177</v>
      </c>
      <c r="AJ673">
        <f>'raw data Crude oil'!AJ674</f>
        <v>53.125999999999998</v>
      </c>
      <c r="AK673">
        <f>'raw data Crude oil'!AK674</f>
        <v>53.087000000000003</v>
      </c>
    </row>
    <row r="674" spans="1:37" x14ac:dyDescent="0.3">
      <c r="A674" s="18">
        <f>'raw data Crude oil'!A675</f>
        <v>43686</v>
      </c>
      <c r="B674">
        <f>'raw data Crude oil'!B675</f>
        <v>58.53</v>
      </c>
      <c r="C674">
        <f>'raw data Crude oil'!C675</f>
        <v>58.19</v>
      </c>
      <c r="D674">
        <f>'raw data Crude oil'!D675</f>
        <v>57.81</v>
      </c>
      <c r="E674">
        <f>'raw data Crude oil'!E675</f>
        <v>57.53</v>
      </c>
      <c r="F674">
        <f>'raw data Crude oil'!F675</f>
        <v>57.38</v>
      </c>
      <c r="G674">
        <f>'raw data Crude oil'!G675</f>
        <v>57.28</v>
      </c>
      <c r="H674">
        <f>'raw data Crude oil'!H675</f>
        <v>57.17</v>
      </c>
      <c r="I674">
        <f>'raw data Crude oil'!I675</f>
        <v>57.05</v>
      </c>
      <c r="J674">
        <f>'raw data Crude oil'!J675</f>
        <v>56.94</v>
      </c>
      <c r="K674">
        <f>'raw data Crude oil'!K675</f>
        <v>56.83</v>
      </c>
      <c r="L674">
        <f>'raw data Crude oil'!L675</f>
        <v>56.74</v>
      </c>
      <c r="M674">
        <f>'raw data Crude oil'!M675</f>
        <v>56.64</v>
      </c>
      <c r="N674">
        <f>'raw data Crude oil'!N675</f>
        <v>54.5</v>
      </c>
      <c r="O674">
        <f>'raw data Crude oil'!O675</f>
        <v>54.37</v>
      </c>
      <c r="P674">
        <f>'raw data Crude oil'!P675</f>
        <v>54.09</v>
      </c>
      <c r="Q674">
        <f>'raw data Crude oil'!Q675</f>
        <v>53.78</v>
      </c>
      <c r="R674">
        <f>'raw data Crude oil'!R675</f>
        <v>53.46</v>
      </c>
      <c r="S674">
        <f>'raw data Crude oil'!S675</f>
        <v>53.16</v>
      </c>
      <c r="T674">
        <f>'raw data Crude oil'!T675</f>
        <v>52.88</v>
      </c>
      <c r="U674">
        <f>'raw data Crude oil'!U675</f>
        <v>52.64</v>
      </c>
      <c r="V674">
        <f>'raw data Crude oil'!V675</f>
        <v>52.41</v>
      </c>
      <c r="W674">
        <f>'raw data Crude oil'!W675</f>
        <v>52.2</v>
      </c>
      <c r="X674">
        <f>'raw data Crude oil'!X675</f>
        <v>52</v>
      </c>
      <c r="Y674">
        <f>'raw data Crude oil'!Y675</f>
        <v>51.83</v>
      </c>
      <c r="Z674">
        <f>'raw data Crude oil'!Z675</f>
        <v>58.337000000000003</v>
      </c>
      <c r="AA674">
        <f>'raw data Crude oil'!AA675</f>
        <v>56.981999999999999</v>
      </c>
      <c r="AB674">
        <f>'raw data Crude oil'!AB675</f>
        <v>56.118000000000002</v>
      </c>
      <c r="AC674">
        <f>'raw data Crude oil'!AC675</f>
        <v>55.423000000000002</v>
      </c>
      <c r="AD674">
        <f>'raw data Crude oil'!AD675</f>
        <v>54.81</v>
      </c>
      <c r="AE674">
        <f>'raw data Crude oil'!AE675</f>
        <v>54.465000000000003</v>
      </c>
      <c r="AF674">
        <f>'raw data Crude oil'!AF675</f>
        <v>54.334000000000003</v>
      </c>
      <c r="AG674">
        <f>'raw data Crude oil'!AG675</f>
        <v>54.265000000000001</v>
      </c>
      <c r="AH674">
        <f>'raw data Crude oil'!AH675</f>
        <v>54.204999999999998</v>
      </c>
      <c r="AI674">
        <f>'raw data Crude oil'!AI675</f>
        <v>54.136000000000003</v>
      </c>
      <c r="AJ674">
        <f>'raw data Crude oil'!AJ675</f>
        <v>54.064999999999998</v>
      </c>
      <c r="AK674">
        <f>'raw data Crude oil'!AK675</f>
        <v>54.006</v>
      </c>
    </row>
    <row r="675" spans="1:37" x14ac:dyDescent="0.3">
      <c r="A675" s="18">
        <f>'raw data Crude oil'!A676</f>
        <v>43689</v>
      </c>
      <c r="B675">
        <f>'raw data Crude oil'!B676</f>
        <v>58.57</v>
      </c>
      <c r="C675">
        <f>'raw data Crude oil'!C676</f>
        <v>58.3</v>
      </c>
      <c r="D675">
        <f>'raw data Crude oil'!D676</f>
        <v>57.93</v>
      </c>
      <c r="E675">
        <f>'raw data Crude oil'!E676</f>
        <v>57.65</v>
      </c>
      <c r="F675">
        <f>'raw data Crude oil'!F676</f>
        <v>57.49</v>
      </c>
      <c r="G675">
        <f>'raw data Crude oil'!G676</f>
        <v>57.39</v>
      </c>
      <c r="H675">
        <f>'raw data Crude oil'!H676</f>
        <v>57.28</v>
      </c>
      <c r="I675">
        <f>'raw data Crude oil'!I676</f>
        <v>57.15</v>
      </c>
      <c r="J675">
        <f>'raw data Crude oil'!J676</f>
        <v>57.02</v>
      </c>
      <c r="K675">
        <f>'raw data Crude oil'!K676</f>
        <v>56.9</v>
      </c>
      <c r="L675">
        <f>'raw data Crude oil'!L676</f>
        <v>56.8</v>
      </c>
      <c r="M675">
        <f>'raw data Crude oil'!M676</f>
        <v>56.69</v>
      </c>
      <c r="N675">
        <f>'raw data Crude oil'!N676</f>
        <v>54.93</v>
      </c>
      <c r="O675">
        <f>'raw data Crude oil'!O676</f>
        <v>54.85</v>
      </c>
      <c r="P675">
        <f>'raw data Crude oil'!P676</f>
        <v>54.54</v>
      </c>
      <c r="Q675">
        <f>'raw data Crude oil'!Q676</f>
        <v>54.19</v>
      </c>
      <c r="R675">
        <f>'raw data Crude oil'!R676</f>
        <v>53.83</v>
      </c>
      <c r="S675">
        <f>'raw data Crude oil'!S676</f>
        <v>53.49</v>
      </c>
      <c r="T675">
        <f>'raw data Crude oil'!T676</f>
        <v>53.19</v>
      </c>
      <c r="U675">
        <f>'raw data Crude oil'!U676</f>
        <v>52.92</v>
      </c>
      <c r="V675">
        <f>'raw data Crude oil'!V676</f>
        <v>52.67</v>
      </c>
      <c r="W675">
        <f>'raw data Crude oil'!W676</f>
        <v>52.43</v>
      </c>
      <c r="X675">
        <f>'raw data Crude oil'!X676</f>
        <v>52.2</v>
      </c>
      <c r="Y675">
        <f>'raw data Crude oil'!Y676</f>
        <v>52</v>
      </c>
      <c r="Z675">
        <f>'raw data Crude oil'!Z676</f>
        <v>58.357999999999997</v>
      </c>
      <c r="AA675">
        <f>'raw data Crude oil'!AA676</f>
        <v>57.012</v>
      </c>
      <c r="AB675">
        <f>'raw data Crude oil'!AB676</f>
        <v>56.158000000000001</v>
      </c>
      <c r="AC675">
        <f>'raw data Crude oil'!AC676</f>
        <v>55.512</v>
      </c>
      <c r="AD675">
        <f>'raw data Crude oil'!AD676</f>
        <v>54.92</v>
      </c>
      <c r="AE675">
        <f>'raw data Crude oil'!AE676</f>
        <v>54.575000000000003</v>
      </c>
      <c r="AF675">
        <f>'raw data Crude oil'!AF676</f>
        <v>54.414000000000001</v>
      </c>
      <c r="AG675">
        <f>'raw data Crude oil'!AG676</f>
        <v>54.314</v>
      </c>
      <c r="AH675">
        <f>'raw data Crude oil'!AH676</f>
        <v>54.223999999999997</v>
      </c>
      <c r="AI675">
        <f>'raw data Crude oil'!AI676</f>
        <v>54.134999999999998</v>
      </c>
      <c r="AJ675">
        <f>'raw data Crude oil'!AJ676</f>
        <v>54.055</v>
      </c>
      <c r="AK675">
        <f>'raw data Crude oil'!AK676</f>
        <v>53.984999999999999</v>
      </c>
    </row>
    <row r="676" spans="1:37" x14ac:dyDescent="0.3">
      <c r="A676" s="18">
        <f>'raw data Crude oil'!A677</f>
        <v>43690</v>
      </c>
      <c r="B676">
        <f>'raw data Crude oil'!B677</f>
        <v>61.3</v>
      </c>
      <c r="C676">
        <f>'raw data Crude oil'!C677</f>
        <v>60.92</v>
      </c>
      <c r="D676">
        <f>'raw data Crude oil'!D677</f>
        <v>60.48</v>
      </c>
      <c r="E676">
        <f>'raw data Crude oil'!E677</f>
        <v>60.15</v>
      </c>
      <c r="F676">
        <f>'raw data Crude oil'!F677</f>
        <v>59.97</v>
      </c>
      <c r="G676">
        <f>'raw data Crude oil'!G677</f>
        <v>59.83</v>
      </c>
      <c r="H676">
        <f>'raw data Crude oil'!H677</f>
        <v>59.7</v>
      </c>
      <c r="I676">
        <f>'raw data Crude oil'!I677</f>
        <v>59.56</v>
      </c>
      <c r="J676">
        <f>'raw data Crude oil'!J677</f>
        <v>59.41</v>
      </c>
      <c r="K676">
        <f>'raw data Crude oil'!K677</f>
        <v>59.26</v>
      </c>
      <c r="L676">
        <f>'raw data Crude oil'!L677</f>
        <v>59.13</v>
      </c>
      <c r="M676">
        <f>'raw data Crude oil'!M677</f>
        <v>58.99</v>
      </c>
      <c r="N676">
        <f>'raw data Crude oil'!N677</f>
        <v>57.1</v>
      </c>
      <c r="O676">
        <f>'raw data Crude oil'!O677</f>
        <v>57.1</v>
      </c>
      <c r="P676">
        <f>'raw data Crude oil'!P677</f>
        <v>56.87</v>
      </c>
      <c r="Q676">
        <f>'raw data Crude oil'!Q677</f>
        <v>56.54</v>
      </c>
      <c r="R676">
        <f>'raw data Crude oil'!R677</f>
        <v>56.19</v>
      </c>
      <c r="S676">
        <f>'raw data Crude oil'!S677</f>
        <v>55.86</v>
      </c>
      <c r="T676">
        <f>'raw data Crude oil'!T677</f>
        <v>55.55</v>
      </c>
      <c r="U676">
        <f>'raw data Crude oil'!U677</f>
        <v>55.26</v>
      </c>
      <c r="V676">
        <f>'raw data Crude oil'!V677</f>
        <v>54.98</v>
      </c>
      <c r="W676">
        <f>'raw data Crude oil'!W677</f>
        <v>54.71</v>
      </c>
      <c r="X676">
        <f>'raw data Crude oil'!X677</f>
        <v>54.46</v>
      </c>
      <c r="Y676">
        <f>'raw data Crude oil'!Y677</f>
        <v>54.23</v>
      </c>
      <c r="Z676">
        <f>'raw data Crude oil'!Z677</f>
        <v>59.875</v>
      </c>
      <c r="AA676">
        <f>'raw data Crude oil'!AA677</f>
        <v>59.399000000000001</v>
      </c>
      <c r="AB676">
        <f>'raw data Crude oil'!AB677</f>
        <v>58.518999999999998</v>
      </c>
      <c r="AC676">
        <f>'raw data Crude oil'!AC677</f>
        <v>57.780999999999999</v>
      </c>
      <c r="AD676">
        <f>'raw data Crude oil'!AD677</f>
        <v>57.177</v>
      </c>
      <c r="AE676">
        <f>'raw data Crude oil'!AE677</f>
        <v>56.823999999999998</v>
      </c>
      <c r="AF676">
        <f>'raw data Crude oil'!AF677</f>
        <v>56.692999999999998</v>
      </c>
      <c r="AG676">
        <f>'raw data Crude oil'!AG677</f>
        <v>56.613</v>
      </c>
      <c r="AH676">
        <f>'raw data Crude oil'!AH677</f>
        <v>56.533000000000001</v>
      </c>
      <c r="AI676">
        <f>'raw data Crude oil'!AI677</f>
        <v>56.433999999999997</v>
      </c>
      <c r="AJ676">
        <f>'raw data Crude oil'!AJ677</f>
        <v>56.344000000000001</v>
      </c>
      <c r="AK676">
        <f>'raw data Crude oil'!AK677</f>
        <v>56.234000000000002</v>
      </c>
    </row>
    <row r="677" spans="1:37" x14ac:dyDescent="0.3">
      <c r="A677" s="18">
        <f>'raw data Crude oil'!A678</f>
        <v>43691</v>
      </c>
      <c r="B677">
        <f>'raw data Crude oil'!B678</f>
        <v>59.48</v>
      </c>
      <c r="C677">
        <f>'raw data Crude oil'!C678</f>
        <v>59.07</v>
      </c>
      <c r="D677">
        <f>'raw data Crude oil'!D678</f>
        <v>58.64</v>
      </c>
      <c r="E677">
        <f>'raw data Crude oil'!E678</f>
        <v>58.32</v>
      </c>
      <c r="F677">
        <f>'raw data Crude oil'!F678</f>
        <v>58.15</v>
      </c>
      <c r="G677">
        <f>'raw data Crude oil'!G678</f>
        <v>58.04</v>
      </c>
      <c r="H677">
        <f>'raw data Crude oil'!H678</f>
        <v>57.94</v>
      </c>
      <c r="I677">
        <f>'raw data Crude oil'!I678</f>
        <v>57.82</v>
      </c>
      <c r="J677">
        <f>'raw data Crude oil'!J678</f>
        <v>57.71</v>
      </c>
      <c r="K677">
        <f>'raw data Crude oil'!K678</f>
        <v>57.59</v>
      </c>
      <c r="L677">
        <f>'raw data Crude oil'!L678</f>
        <v>57.47</v>
      </c>
      <c r="M677">
        <f>'raw data Crude oil'!M678</f>
        <v>57.35</v>
      </c>
      <c r="N677">
        <f>'raw data Crude oil'!N678</f>
        <v>55.23</v>
      </c>
      <c r="O677">
        <f>'raw data Crude oil'!O678</f>
        <v>55.25</v>
      </c>
      <c r="P677">
        <f>'raw data Crude oil'!P678</f>
        <v>54.99</v>
      </c>
      <c r="Q677">
        <f>'raw data Crude oil'!Q678</f>
        <v>54.66</v>
      </c>
      <c r="R677">
        <f>'raw data Crude oil'!R678</f>
        <v>54.33</v>
      </c>
      <c r="S677">
        <f>'raw data Crude oil'!S678</f>
        <v>54.03</v>
      </c>
      <c r="T677">
        <f>'raw data Crude oil'!T678</f>
        <v>53.78</v>
      </c>
      <c r="U677">
        <f>'raw data Crude oil'!U678</f>
        <v>53.55</v>
      </c>
      <c r="V677">
        <f>'raw data Crude oil'!V678</f>
        <v>53.31</v>
      </c>
      <c r="W677">
        <f>'raw data Crude oil'!W678</f>
        <v>53.09</v>
      </c>
      <c r="X677">
        <f>'raw data Crude oil'!X678</f>
        <v>52.88</v>
      </c>
      <c r="Y677">
        <f>'raw data Crude oil'!Y678</f>
        <v>52.68</v>
      </c>
      <c r="Z677">
        <f>'raw data Crude oil'!Z678</f>
        <v>58.747</v>
      </c>
      <c r="AA677">
        <f>'raw data Crude oil'!AA678</f>
        <v>57.56</v>
      </c>
      <c r="AB677">
        <f>'raw data Crude oil'!AB678</f>
        <v>56.735999999999997</v>
      </c>
      <c r="AC677">
        <f>'raw data Crude oil'!AC678</f>
        <v>56.012</v>
      </c>
      <c r="AD677">
        <f>'raw data Crude oil'!AD678</f>
        <v>55.43</v>
      </c>
      <c r="AE677">
        <f>'raw data Crude oil'!AE678</f>
        <v>55.094999999999999</v>
      </c>
      <c r="AF677">
        <f>'raw data Crude oil'!AF678</f>
        <v>54.963999999999999</v>
      </c>
      <c r="AG677">
        <f>'raw data Crude oil'!AG678</f>
        <v>54.905000000000001</v>
      </c>
      <c r="AH677">
        <f>'raw data Crude oil'!AH678</f>
        <v>54.853999999999999</v>
      </c>
      <c r="AI677">
        <f>'raw data Crude oil'!AI678</f>
        <v>54.774000000000001</v>
      </c>
      <c r="AJ677">
        <f>'raw data Crude oil'!AJ678</f>
        <v>54.695</v>
      </c>
      <c r="AK677">
        <f>'raw data Crude oil'!AK678</f>
        <v>54.615000000000002</v>
      </c>
    </row>
    <row r="678" spans="1:37" x14ac:dyDescent="0.3">
      <c r="A678" s="18">
        <f>'raw data Crude oil'!A679</f>
        <v>43692</v>
      </c>
      <c r="B678">
        <f>'raw data Crude oil'!B679</f>
        <v>58.23</v>
      </c>
      <c r="C678">
        <f>'raw data Crude oil'!C679</f>
        <v>57.79</v>
      </c>
      <c r="D678">
        <f>'raw data Crude oil'!D679</f>
        <v>57.34</v>
      </c>
      <c r="E678">
        <f>'raw data Crude oil'!E679</f>
        <v>57.01</v>
      </c>
      <c r="F678">
        <f>'raw data Crude oil'!F679</f>
        <v>56.84</v>
      </c>
      <c r="G678">
        <f>'raw data Crude oil'!G679</f>
        <v>56.75</v>
      </c>
      <c r="H678">
        <f>'raw data Crude oil'!H679</f>
        <v>56.67</v>
      </c>
      <c r="I678">
        <f>'raw data Crude oil'!I679</f>
        <v>56.58</v>
      </c>
      <c r="J678">
        <f>'raw data Crude oil'!J679</f>
        <v>56.48</v>
      </c>
      <c r="K678">
        <f>'raw data Crude oil'!K679</f>
        <v>56.37</v>
      </c>
      <c r="L678">
        <f>'raw data Crude oil'!L679</f>
        <v>56.28</v>
      </c>
      <c r="M678">
        <f>'raw data Crude oil'!M679</f>
        <v>56.18</v>
      </c>
      <c r="N678">
        <f>'raw data Crude oil'!N679</f>
        <v>54.47</v>
      </c>
      <c r="O678">
        <f>'raw data Crude oil'!O679</f>
        <v>54.42</v>
      </c>
      <c r="P678">
        <f>'raw data Crude oil'!P679</f>
        <v>54.09</v>
      </c>
      <c r="Q678">
        <f>'raw data Crude oil'!Q679</f>
        <v>53.71</v>
      </c>
      <c r="R678">
        <f>'raw data Crude oil'!R679</f>
        <v>53.33</v>
      </c>
      <c r="S678">
        <f>'raw data Crude oil'!S679</f>
        <v>52.99</v>
      </c>
      <c r="T678">
        <f>'raw data Crude oil'!T679</f>
        <v>52.73</v>
      </c>
      <c r="U678">
        <f>'raw data Crude oil'!U679</f>
        <v>52.5</v>
      </c>
      <c r="V678">
        <f>'raw data Crude oil'!V679</f>
        <v>52.28</v>
      </c>
      <c r="W678">
        <f>'raw data Crude oil'!W679</f>
        <v>52.07</v>
      </c>
      <c r="X678">
        <f>'raw data Crude oil'!X679</f>
        <v>51.87</v>
      </c>
      <c r="Y678">
        <f>'raw data Crude oil'!Y679</f>
        <v>51.68</v>
      </c>
      <c r="Z678">
        <f>'raw data Crude oil'!Z679</f>
        <v>58.113</v>
      </c>
      <c r="AA678">
        <f>'raw data Crude oil'!AA679</f>
        <v>56.389000000000003</v>
      </c>
      <c r="AB678">
        <f>'raw data Crude oil'!AB679</f>
        <v>55.506</v>
      </c>
      <c r="AC678">
        <f>'raw data Crude oil'!AC679</f>
        <v>54.752000000000002</v>
      </c>
      <c r="AD678">
        <f>'raw data Crude oil'!AD679</f>
        <v>54.140999999999998</v>
      </c>
      <c r="AE678">
        <f>'raw data Crude oil'!AE679</f>
        <v>53.795999999999999</v>
      </c>
      <c r="AF678">
        <f>'raw data Crude oil'!AF679</f>
        <v>53.665999999999997</v>
      </c>
      <c r="AG678">
        <f>'raw data Crude oil'!AG679</f>
        <v>53.594999999999999</v>
      </c>
      <c r="AH678">
        <f>'raw data Crude oil'!AH679</f>
        <v>53.555</v>
      </c>
      <c r="AI678">
        <f>'raw data Crude oil'!AI679</f>
        <v>53.506</v>
      </c>
      <c r="AJ678">
        <f>'raw data Crude oil'!AJ679</f>
        <v>53.454999999999998</v>
      </c>
      <c r="AK678">
        <f>'raw data Crude oil'!AK679</f>
        <v>53.396000000000001</v>
      </c>
    </row>
    <row r="679" spans="1:37" x14ac:dyDescent="0.3">
      <c r="A679" s="18">
        <f>'raw data Crude oil'!A680</f>
        <v>43693</v>
      </c>
      <c r="B679">
        <f>'raw data Crude oil'!B680</f>
        <v>58.64</v>
      </c>
      <c r="C679">
        <f>'raw data Crude oil'!C680</f>
        <v>58.16</v>
      </c>
      <c r="D679">
        <f>'raw data Crude oil'!D680</f>
        <v>57.67</v>
      </c>
      <c r="E679">
        <f>'raw data Crude oil'!E680</f>
        <v>57.32</v>
      </c>
      <c r="F679">
        <f>'raw data Crude oil'!F680</f>
        <v>57.11</v>
      </c>
      <c r="G679">
        <f>'raw data Crude oil'!G680</f>
        <v>56.99</v>
      </c>
      <c r="H679">
        <f>'raw data Crude oil'!H680</f>
        <v>56.88</v>
      </c>
      <c r="I679">
        <f>'raw data Crude oil'!I680</f>
        <v>56.76</v>
      </c>
      <c r="J679">
        <f>'raw data Crude oil'!J680</f>
        <v>56.66</v>
      </c>
      <c r="K679">
        <f>'raw data Crude oil'!K680</f>
        <v>56.54</v>
      </c>
      <c r="L679">
        <f>'raw data Crude oil'!L680</f>
        <v>56.43</v>
      </c>
      <c r="M679">
        <f>'raw data Crude oil'!M680</f>
        <v>56.31</v>
      </c>
      <c r="N679">
        <f>'raw data Crude oil'!N680</f>
        <v>54.87</v>
      </c>
      <c r="O679">
        <f>'raw data Crude oil'!O680</f>
        <v>54.81</v>
      </c>
      <c r="P679">
        <f>'raw data Crude oil'!P680</f>
        <v>54.42</v>
      </c>
      <c r="Q679">
        <f>'raw data Crude oil'!Q680</f>
        <v>53.99</v>
      </c>
      <c r="R679">
        <f>'raw data Crude oil'!R680</f>
        <v>53.56</v>
      </c>
      <c r="S679">
        <f>'raw data Crude oil'!S680</f>
        <v>53.19</v>
      </c>
      <c r="T679">
        <f>'raw data Crude oil'!T680</f>
        <v>52.9</v>
      </c>
      <c r="U679">
        <f>'raw data Crude oil'!U680</f>
        <v>52.65</v>
      </c>
      <c r="V679">
        <f>'raw data Crude oil'!V680</f>
        <v>52.41</v>
      </c>
      <c r="W679">
        <f>'raw data Crude oil'!W680</f>
        <v>52.2</v>
      </c>
      <c r="X679">
        <f>'raw data Crude oil'!X680</f>
        <v>52</v>
      </c>
      <c r="Y679">
        <f>'raw data Crude oil'!Y680</f>
        <v>51.8</v>
      </c>
      <c r="Z679">
        <f>'raw data Crude oil'!Z680</f>
        <v>58.351999999999997</v>
      </c>
      <c r="AA679">
        <f>'raw data Crude oil'!AA680</f>
        <v>56.826999999999998</v>
      </c>
      <c r="AB679">
        <f>'raw data Crude oil'!AB680</f>
        <v>55.854999999999997</v>
      </c>
      <c r="AC679">
        <f>'raw data Crude oil'!AC680</f>
        <v>55.05</v>
      </c>
      <c r="AD679">
        <f>'raw data Crude oil'!AD680</f>
        <v>54.369</v>
      </c>
      <c r="AE679">
        <f>'raw data Crude oil'!AE680</f>
        <v>54.015000000000001</v>
      </c>
      <c r="AF679">
        <f>'raw data Crude oil'!AF680</f>
        <v>53.863999999999997</v>
      </c>
      <c r="AG679">
        <f>'raw data Crude oil'!AG680</f>
        <v>53.784999999999997</v>
      </c>
      <c r="AH679">
        <f>'raw data Crude oil'!AH680</f>
        <v>53.723999999999997</v>
      </c>
      <c r="AI679">
        <f>'raw data Crude oil'!AI680</f>
        <v>53.645000000000003</v>
      </c>
      <c r="AJ679">
        <f>'raw data Crude oil'!AJ680</f>
        <v>53.575000000000003</v>
      </c>
      <c r="AK679">
        <f>'raw data Crude oil'!AK680</f>
        <v>53.505000000000003</v>
      </c>
    </row>
    <row r="680" spans="1:37" x14ac:dyDescent="0.3">
      <c r="A680" s="18">
        <f>'raw data Crude oil'!A681</f>
        <v>43696</v>
      </c>
      <c r="B680">
        <f>'raw data Crude oil'!B681</f>
        <v>59.74</v>
      </c>
      <c r="C680">
        <f>'raw data Crude oil'!C681</f>
        <v>59.22</v>
      </c>
      <c r="D680">
        <f>'raw data Crude oil'!D681</f>
        <v>58.7</v>
      </c>
      <c r="E680">
        <f>'raw data Crude oil'!E681</f>
        <v>58.32</v>
      </c>
      <c r="F680">
        <f>'raw data Crude oil'!F681</f>
        <v>58.09</v>
      </c>
      <c r="G680">
        <f>'raw data Crude oil'!G681</f>
        <v>57.95</v>
      </c>
      <c r="H680">
        <f>'raw data Crude oil'!H681</f>
        <v>57.81</v>
      </c>
      <c r="I680">
        <f>'raw data Crude oil'!I681</f>
        <v>57.66</v>
      </c>
      <c r="J680">
        <f>'raw data Crude oil'!J681</f>
        <v>57.53</v>
      </c>
      <c r="K680">
        <f>'raw data Crude oil'!K681</f>
        <v>57.39</v>
      </c>
      <c r="L680">
        <f>'raw data Crude oil'!L681</f>
        <v>57.26</v>
      </c>
      <c r="M680">
        <f>'raw data Crude oil'!M681</f>
        <v>57.12</v>
      </c>
      <c r="N680">
        <f>'raw data Crude oil'!N681</f>
        <v>56.21</v>
      </c>
      <c r="O680">
        <f>'raw data Crude oil'!O681</f>
        <v>56.14</v>
      </c>
      <c r="P680">
        <f>'raw data Crude oil'!P681</f>
        <v>55.71</v>
      </c>
      <c r="Q680">
        <f>'raw data Crude oil'!Q681</f>
        <v>55.21</v>
      </c>
      <c r="R680">
        <f>'raw data Crude oil'!R681</f>
        <v>54.71</v>
      </c>
      <c r="S680">
        <f>'raw data Crude oil'!S681</f>
        <v>54.28</v>
      </c>
      <c r="T680">
        <f>'raw data Crude oil'!T681</f>
        <v>53.93</v>
      </c>
      <c r="U680">
        <f>'raw data Crude oil'!U681</f>
        <v>53.63</v>
      </c>
      <c r="V680">
        <f>'raw data Crude oil'!V681</f>
        <v>53.36</v>
      </c>
      <c r="W680">
        <f>'raw data Crude oil'!W681</f>
        <v>53.11</v>
      </c>
      <c r="X680">
        <f>'raw data Crude oil'!X681</f>
        <v>52.88</v>
      </c>
      <c r="Y680">
        <f>'raw data Crude oil'!Y681</f>
        <v>52.66</v>
      </c>
      <c r="Z680">
        <f>'raw data Crude oil'!Z681</f>
        <v>58.962000000000003</v>
      </c>
      <c r="AA680">
        <f>'raw data Crude oil'!AA681</f>
        <v>58.104999999999997</v>
      </c>
      <c r="AB680">
        <f>'raw data Crude oil'!AB681</f>
        <v>57.023000000000003</v>
      </c>
      <c r="AC680">
        <f>'raw data Crude oil'!AC681</f>
        <v>56.158999999999999</v>
      </c>
      <c r="AD680">
        <f>'raw data Crude oil'!AD681</f>
        <v>55.396999999999998</v>
      </c>
      <c r="AE680">
        <f>'raw data Crude oil'!AE681</f>
        <v>54.994</v>
      </c>
      <c r="AF680">
        <f>'raw data Crude oil'!AF681</f>
        <v>54.743000000000002</v>
      </c>
      <c r="AG680">
        <f>'raw data Crude oil'!AG681</f>
        <v>54.573999999999998</v>
      </c>
      <c r="AH680">
        <f>'raw data Crude oil'!AH681</f>
        <v>54.493000000000002</v>
      </c>
      <c r="AI680">
        <f>'raw data Crude oil'!AI681</f>
        <v>54.404000000000003</v>
      </c>
      <c r="AJ680">
        <f>'raw data Crude oil'!AJ681</f>
        <v>54.323999999999998</v>
      </c>
      <c r="AK680">
        <f>'raw data Crude oil'!AK681</f>
        <v>54.234000000000002</v>
      </c>
    </row>
    <row r="681" spans="1:37" x14ac:dyDescent="0.3">
      <c r="A681" s="18">
        <f>'raw data Crude oil'!A682</f>
        <v>43697</v>
      </c>
      <c r="B681">
        <f>'raw data Crude oil'!B682</f>
        <v>60.03</v>
      </c>
      <c r="C681">
        <f>'raw data Crude oil'!C682</f>
        <v>59.58</v>
      </c>
      <c r="D681">
        <f>'raw data Crude oil'!D682</f>
        <v>59.08</v>
      </c>
      <c r="E681">
        <f>'raw data Crude oil'!E682</f>
        <v>58.69</v>
      </c>
      <c r="F681">
        <f>'raw data Crude oil'!F682</f>
        <v>58.45</v>
      </c>
      <c r="G681">
        <f>'raw data Crude oil'!G682</f>
        <v>58.3</v>
      </c>
      <c r="H681">
        <f>'raw data Crude oil'!H682</f>
        <v>58.16</v>
      </c>
      <c r="I681">
        <f>'raw data Crude oil'!I682</f>
        <v>58</v>
      </c>
      <c r="J681">
        <f>'raw data Crude oil'!J682</f>
        <v>57.87</v>
      </c>
      <c r="K681">
        <f>'raw data Crude oil'!K682</f>
        <v>57.72</v>
      </c>
      <c r="L681">
        <f>'raw data Crude oil'!L682</f>
        <v>57.58</v>
      </c>
      <c r="M681">
        <f>'raw data Crude oil'!M682</f>
        <v>57.44</v>
      </c>
      <c r="N681">
        <f>'raw data Crude oil'!N682</f>
        <v>56.34</v>
      </c>
      <c r="O681">
        <f>'raw data Crude oil'!O682</f>
        <v>56.13</v>
      </c>
      <c r="P681">
        <f>'raw data Crude oil'!P682</f>
        <v>55.8</v>
      </c>
      <c r="Q681">
        <f>'raw data Crude oil'!Q682</f>
        <v>55.34</v>
      </c>
      <c r="R681">
        <f>'raw data Crude oil'!R682</f>
        <v>54.88</v>
      </c>
      <c r="S681">
        <f>'raw data Crude oil'!S682</f>
        <v>54.47</v>
      </c>
      <c r="T681">
        <f>'raw data Crude oil'!T682</f>
        <v>54.12</v>
      </c>
      <c r="U681">
        <f>'raw data Crude oil'!U682</f>
        <v>53.82</v>
      </c>
      <c r="V681">
        <f>'raw data Crude oil'!V682</f>
        <v>53.55</v>
      </c>
      <c r="W681">
        <f>'raw data Crude oil'!W682</f>
        <v>53.32</v>
      </c>
      <c r="X681">
        <f>'raw data Crude oil'!X682</f>
        <v>53.08</v>
      </c>
      <c r="Y681">
        <f>'raw data Crude oil'!Y682</f>
        <v>52.85</v>
      </c>
      <c r="Z681">
        <f>'raw data Crude oil'!Z682</f>
        <v>59.162999999999997</v>
      </c>
      <c r="AA681">
        <f>'raw data Crude oil'!AA682</f>
        <v>58.636000000000003</v>
      </c>
      <c r="AB681">
        <f>'raw data Crude oil'!AB682</f>
        <v>57.613</v>
      </c>
      <c r="AC681">
        <f>'raw data Crude oil'!AC682</f>
        <v>56.728999999999999</v>
      </c>
      <c r="AD681">
        <f>'raw data Crude oil'!AD682</f>
        <v>55.956000000000003</v>
      </c>
      <c r="AE681">
        <f>'raw data Crude oil'!AE682</f>
        <v>55.494</v>
      </c>
      <c r="AF681">
        <f>'raw data Crude oil'!AF682</f>
        <v>55.241999999999997</v>
      </c>
      <c r="AG681">
        <f>'raw data Crude oil'!AG682</f>
        <v>55.094000000000001</v>
      </c>
      <c r="AH681">
        <f>'raw data Crude oil'!AH682</f>
        <v>54.953000000000003</v>
      </c>
      <c r="AI681">
        <f>'raw data Crude oil'!AI682</f>
        <v>54.832999999999998</v>
      </c>
      <c r="AJ681">
        <f>'raw data Crude oil'!AJ682</f>
        <v>54.704000000000001</v>
      </c>
      <c r="AK681">
        <f>'raw data Crude oil'!AK682</f>
        <v>54.603999999999999</v>
      </c>
    </row>
    <row r="682" spans="1:37" x14ac:dyDescent="0.3">
      <c r="A682" s="18">
        <f>'raw data Crude oil'!A683</f>
        <v>43698</v>
      </c>
      <c r="B682">
        <f>'raw data Crude oil'!B683</f>
        <v>60.3</v>
      </c>
      <c r="C682">
        <f>'raw data Crude oil'!C683</f>
        <v>59.86</v>
      </c>
      <c r="D682">
        <f>'raw data Crude oil'!D683</f>
        <v>59.33</v>
      </c>
      <c r="E682">
        <f>'raw data Crude oil'!E683</f>
        <v>58.92</v>
      </c>
      <c r="F682">
        <f>'raw data Crude oil'!F683</f>
        <v>58.67</v>
      </c>
      <c r="G682">
        <f>'raw data Crude oil'!G683</f>
        <v>58.5</v>
      </c>
      <c r="H682">
        <f>'raw data Crude oil'!H683</f>
        <v>58.35</v>
      </c>
      <c r="I682">
        <f>'raw data Crude oil'!I683</f>
        <v>58.19</v>
      </c>
      <c r="J682">
        <f>'raw data Crude oil'!J683</f>
        <v>58.05</v>
      </c>
      <c r="K682">
        <f>'raw data Crude oil'!K683</f>
        <v>57.9</v>
      </c>
      <c r="L682">
        <f>'raw data Crude oil'!L683</f>
        <v>57.76</v>
      </c>
      <c r="M682">
        <f>'raw data Crude oil'!M683</f>
        <v>57.62</v>
      </c>
      <c r="N682">
        <f>'raw data Crude oil'!N683</f>
        <v>55.68</v>
      </c>
      <c r="O682">
        <f>'raw data Crude oil'!O683</f>
        <v>55.49</v>
      </c>
      <c r="P682">
        <f>'raw data Crude oil'!P683</f>
        <v>55.18</v>
      </c>
      <c r="Q682">
        <f>'raw data Crude oil'!Q683</f>
        <v>54.82</v>
      </c>
      <c r="R682">
        <f>'raw data Crude oil'!R683</f>
        <v>54.47</v>
      </c>
      <c r="S682">
        <f>'raw data Crude oil'!S683</f>
        <v>54.17</v>
      </c>
      <c r="T682">
        <f>'raw data Crude oil'!T683</f>
        <v>53.89</v>
      </c>
      <c r="U682">
        <f>'raw data Crude oil'!U683</f>
        <v>53.64</v>
      </c>
      <c r="V682">
        <f>'raw data Crude oil'!V683</f>
        <v>53.4</v>
      </c>
      <c r="W682">
        <f>'raw data Crude oil'!W683</f>
        <v>53.16</v>
      </c>
      <c r="X682">
        <f>'raw data Crude oil'!X683</f>
        <v>52.94</v>
      </c>
      <c r="Y682">
        <f>'raw data Crude oil'!Y683</f>
        <v>52.74</v>
      </c>
      <c r="Z682">
        <f>'raw data Crude oil'!Z683</f>
        <v>59.4</v>
      </c>
      <c r="AA682">
        <f>'raw data Crude oil'!AA683</f>
        <v>59.155000000000001</v>
      </c>
      <c r="AB682">
        <f>'raw data Crude oil'!AB683</f>
        <v>58.112000000000002</v>
      </c>
      <c r="AC682">
        <f>'raw data Crude oil'!AC683</f>
        <v>57.207999999999998</v>
      </c>
      <c r="AD682">
        <f>'raw data Crude oil'!AD683</f>
        <v>56.384</v>
      </c>
      <c r="AE682">
        <f>'raw data Crude oil'!AE683</f>
        <v>55.853000000000002</v>
      </c>
      <c r="AF682">
        <f>'raw data Crude oil'!AF683</f>
        <v>55.521999999999998</v>
      </c>
      <c r="AG682">
        <f>'raw data Crude oil'!AG683</f>
        <v>55.344000000000001</v>
      </c>
      <c r="AH682">
        <f>'raw data Crude oil'!AH683</f>
        <v>55.213000000000001</v>
      </c>
      <c r="AI682">
        <f>'raw data Crude oil'!AI683</f>
        <v>55.082999999999998</v>
      </c>
      <c r="AJ682">
        <f>'raw data Crude oil'!AJ683</f>
        <v>54.973999999999997</v>
      </c>
      <c r="AK682">
        <f>'raw data Crude oil'!AK683</f>
        <v>54.872999999999998</v>
      </c>
    </row>
    <row r="683" spans="1:37" x14ac:dyDescent="0.3">
      <c r="A683" s="18">
        <f>'raw data Crude oil'!A684</f>
        <v>43699</v>
      </c>
      <c r="B683">
        <f>'raw data Crude oil'!B684</f>
        <v>59.92</v>
      </c>
      <c r="C683">
        <f>'raw data Crude oil'!C684</f>
        <v>59.5</v>
      </c>
      <c r="D683">
        <f>'raw data Crude oil'!D684</f>
        <v>58.95</v>
      </c>
      <c r="E683">
        <f>'raw data Crude oil'!E684</f>
        <v>58.53</v>
      </c>
      <c r="F683">
        <f>'raw data Crude oil'!F684</f>
        <v>58.28</v>
      </c>
      <c r="G683">
        <f>'raw data Crude oil'!G684</f>
        <v>58.12</v>
      </c>
      <c r="H683">
        <f>'raw data Crude oil'!H684</f>
        <v>57.99</v>
      </c>
      <c r="I683">
        <f>'raw data Crude oil'!I684</f>
        <v>57.85</v>
      </c>
      <c r="J683">
        <f>'raw data Crude oil'!J684</f>
        <v>57.72</v>
      </c>
      <c r="K683">
        <f>'raw data Crude oil'!K684</f>
        <v>57.58</v>
      </c>
      <c r="L683">
        <f>'raw data Crude oil'!L684</f>
        <v>57.46</v>
      </c>
      <c r="M683">
        <f>'raw data Crude oil'!M684</f>
        <v>57.33</v>
      </c>
      <c r="N683">
        <f>'raw data Crude oil'!N684</f>
        <v>55.35</v>
      </c>
      <c r="O683">
        <f>'raw data Crude oil'!O684</f>
        <v>55.16</v>
      </c>
      <c r="P683">
        <f>'raw data Crude oil'!P684</f>
        <v>54.87</v>
      </c>
      <c r="Q683">
        <f>'raw data Crude oil'!Q684</f>
        <v>54.52</v>
      </c>
      <c r="R683">
        <f>'raw data Crude oil'!R684</f>
        <v>54.18</v>
      </c>
      <c r="S683">
        <f>'raw data Crude oil'!S684</f>
        <v>53.87</v>
      </c>
      <c r="T683">
        <f>'raw data Crude oil'!T684</f>
        <v>53.6</v>
      </c>
      <c r="U683">
        <f>'raw data Crude oil'!U684</f>
        <v>53.34</v>
      </c>
      <c r="V683">
        <f>'raw data Crude oil'!V684</f>
        <v>53.11</v>
      </c>
      <c r="W683">
        <f>'raw data Crude oil'!W684</f>
        <v>52.87</v>
      </c>
      <c r="X683">
        <f>'raw data Crude oil'!X684</f>
        <v>52.66</v>
      </c>
      <c r="Y683">
        <f>'raw data Crude oil'!Y684</f>
        <v>52.46</v>
      </c>
      <c r="Z683">
        <f>'raw data Crude oil'!Z684</f>
        <v>59.277000000000001</v>
      </c>
      <c r="AA683">
        <f>'raw data Crude oil'!AA684</f>
        <v>58.683999999999997</v>
      </c>
      <c r="AB683">
        <f>'raw data Crude oil'!AB684</f>
        <v>57.661999999999999</v>
      </c>
      <c r="AC683">
        <f>'raw data Crude oil'!AC684</f>
        <v>56.777999999999999</v>
      </c>
      <c r="AD683">
        <f>'raw data Crude oil'!AD684</f>
        <v>56.005000000000003</v>
      </c>
      <c r="AE683">
        <f>'raw data Crude oil'!AE684</f>
        <v>55.473999999999997</v>
      </c>
      <c r="AF683">
        <f>'raw data Crude oil'!AF684</f>
        <v>55.162999999999997</v>
      </c>
      <c r="AG683">
        <f>'raw data Crude oil'!AG684</f>
        <v>55.033999999999999</v>
      </c>
      <c r="AH683">
        <f>'raw data Crude oil'!AH684</f>
        <v>54.923000000000002</v>
      </c>
      <c r="AI683">
        <f>'raw data Crude oil'!AI684</f>
        <v>54.804000000000002</v>
      </c>
      <c r="AJ683">
        <f>'raw data Crude oil'!AJ684</f>
        <v>54.683999999999997</v>
      </c>
      <c r="AK683">
        <f>'raw data Crude oil'!AK684</f>
        <v>54.573999999999998</v>
      </c>
    </row>
    <row r="684" spans="1:37" x14ac:dyDescent="0.3">
      <c r="A684" s="18">
        <f>'raw data Crude oil'!A685</f>
        <v>43700</v>
      </c>
      <c r="B684">
        <f>'raw data Crude oil'!B685</f>
        <v>59.34</v>
      </c>
      <c r="C684">
        <f>'raw data Crude oil'!C685</f>
        <v>58.8</v>
      </c>
      <c r="D684">
        <f>'raw data Crude oil'!D685</f>
        <v>58.16</v>
      </c>
      <c r="E684">
        <f>'raw data Crude oil'!E685</f>
        <v>57.73</v>
      </c>
      <c r="F684">
        <f>'raw data Crude oil'!F685</f>
        <v>57.47</v>
      </c>
      <c r="G684">
        <f>'raw data Crude oil'!G685</f>
        <v>57.31</v>
      </c>
      <c r="H684">
        <f>'raw data Crude oil'!H685</f>
        <v>57.18</v>
      </c>
      <c r="I684">
        <f>'raw data Crude oil'!I685</f>
        <v>57.06</v>
      </c>
      <c r="J684">
        <f>'raw data Crude oil'!J685</f>
        <v>56.94</v>
      </c>
      <c r="K684">
        <f>'raw data Crude oil'!K685</f>
        <v>56.82</v>
      </c>
      <c r="L684">
        <f>'raw data Crude oil'!L685</f>
        <v>56.72</v>
      </c>
      <c r="M684">
        <f>'raw data Crude oil'!M685</f>
        <v>56.6</v>
      </c>
      <c r="N684">
        <f>'raw data Crude oil'!N685</f>
        <v>54.17</v>
      </c>
      <c r="O684">
        <f>'raw data Crude oil'!O685</f>
        <v>54.02</v>
      </c>
      <c r="P684">
        <f>'raw data Crude oil'!P685</f>
        <v>53.74</v>
      </c>
      <c r="Q684">
        <f>'raw data Crude oil'!Q685</f>
        <v>53.41</v>
      </c>
      <c r="R684">
        <f>'raw data Crude oil'!R685</f>
        <v>53.09</v>
      </c>
      <c r="S684">
        <f>'raw data Crude oil'!S685</f>
        <v>52.82</v>
      </c>
      <c r="T684">
        <f>'raw data Crude oil'!T685</f>
        <v>52.58</v>
      </c>
      <c r="U684">
        <f>'raw data Crude oil'!U685</f>
        <v>52.34</v>
      </c>
      <c r="V684">
        <f>'raw data Crude oil'!V685</f>
        <v>52.13</v>
      </c>
      <c r="W684">
        <f>'raw data Crude oil'!W685</f>
        <v>51.93</v>
      </c>
      <c r="X684">
        <f>'raw data Crude oil'!X685</f>
        <v>51.75</v>
      </c>
      <c r="Y684">
        <f>'raw data Crude oil'!Y685</f>
        <v>51.58</v>
      </c>
      <c r="Z684">
        <f>'raw data Crude oil'!Z685</f>
        <v>59.036999999999999</v>
      </c>
      <c r="AA684">
        <f>'raw data Crude oil'!AA685</f>
        <v>57.74</v>
      </c>
      <c r="AB684">
        <f>'raw data Crude oil'!AB685</f>
        <v>56.691000000000003</v>
      </c>
      <c r="AC684">
        <f>'raw data Crude oil'!AC685</f>
        <v>55.878</v>
      </c>
      <c r="AD684">
        <f>'raw data Crude oil'!AD685</f>
        <v>55.115000000000002</v>
      </c>
      <c r="AE684">
        <f>'raw data Crude oil'!AE685</f>
        <v>54.624000000000002</v>
      </c>
      <c r="AF684">
        <f>'raw data Crude oil'!AF685</f>
        <v>54.353999999999999</v>
      </c>
      <c r="AG684">
        <f>'raw data Crude oil'!AG685</f>
        <v>54.244999999999997</v>
      </c>
      <c r="AH684">
        <f>'raw data Crude oil'!AH685</f>
        <v>54.134</v>
      </c>
      <c r="AI684">
        <f>'raw data Crude oil'!AI685</f>
        <v>54.015000000000001</v>
      </c>
      <c r="AJ684">
        <f>'raw data Crude oil'!AJ685</f>
        <v>53.914999999999999</v>
      </c>
      <c r="AK684">
        <f>'raw data Crude oil'!AK685</f>
        <v>53.814999999999998</v>
      </c>
    </row>
    <row r="685" spans="1:37" x14ac:dyDescent="0.3">
      <c r="A685" s="18">
        <f>'raw data Crude oil'!A686</f>
        <v>43703</v>
      </c>
      <c r="B685">
        <f>'raw data Crude oil'!B686</f>
        <v>58.7</v>
      </c>
      <c r="C685">
        <f>'raw data Crude oil'!C686</f>
        <v>58.12</v>
      </c>
      <c r="D685">
        <f>'raw data Crude oil'!D686</f>
        <v>57.48</v>
      </c>
      <c r="E685">
        <f>'raw data Crude oil'!E686</f>
        <v>57.04</v>
      </c>
      <c r="F685">
        <f>'raw data Crude oil'!F686</f>
        <v>56.79</v>
      </c>
      <c r="G685">
        <f>'raw data Crude oil'!G686</f>
        <v>56.64</v>
      </c>
      <c r="H685">
        <f>'raw data Crude oil'!H686</f>
        <v>56.52</v>
      </c>
      <c r="I685">
        <f>'raw data Crude oil'!I686</f>
        <v>56.42</v>
      </c>
      <c r="J685">
        <f>'raw data Crude oil'!J686</f>
        <v>56.32</v>
      </c>
      <c r="K685">
        <f>'raw data Crude oil'!K686</f>
        <v>56.23</v>
      </c>
      <c r="L685">
        <f>'raw data Crude oil'!L686</f>
        <v>56.15</v>
      </c>
      <c r="M685">
        <f>'raw data Crude oil'!M686</f>
        <v>56.06</v>
      </c>
      <c r="N685">
        <f>'raw data Crude oil'!N686</f>
        <v>53.64</v>
      </c>
      <c r="O685">
        <f>'raw data Crude oil'!O686</f>
        <v>53.5</v>
      </c>
      <c r="P685">
        <f>'raw data Crude oil'!P686</f>
        <v>53.24</v>
      </c>
      <c r="Q685">
        <f>'raw data Crude oil'!Q686</f>
        <v>52.91</v>
      </c>
      <c r="R685">
        <f>'raw data Crude oil'!R686</f>
        <v>52.6</v>
      </c>
      <c r="S685">
        <f>'raw data Crude oil'!S686</f>
        <v>52.34</v>
      </c>
      <c r="T685">
        <f>'raw data Crude oil'!T686</f>
        <v>52.1</v>
      </c>
      <c r="U685">
        <f>'raw data Crude oil'!U686</f>
        <v>51.88</v>
      </c>
      <c r="V685">
        <f>'raw data Crude oil'!V686</f>
        <v>51.68</v>
      </c>
      <c r="W685">
        <f>'raw data Crude oil'!W686</f>
        <v>51.49</v>
      </c>
      <c r="X685">
        <f>'raw data Crude oil'!X686</f>
        <v>51.32</v>
      </c>
      <c r="Y685">
        <f>'raw data Crude oil'!Y686</f>
        <v>51.17</v>
      </c>
      <c r="Z685">
        <f>'raw data Crude oil'!Z686</f>
        <v>58.886000000000003</v>
      </c>
      <c r="AA685">
        <f>'raw data Crude oil'!AA686</f>
        <v>57</v>
      </c>
      <c r="AB685">
        <f>'raw data Crude oil'!AB686</f>
        <v>55.981000000000002</v>
      </c>
      <c r="AC685">
        <f>'raw data Crude oil'!AC686</f>
        <v>55.170999999999999</v>
      </c>
      <c r="AD685">
        <f>'raw data Crude oil'!AD686</f>
        <v>54.441000000000003</v>
      </c>
      <c r="AE685">
        <f>'raw data Crude oil'!AE686</f>
        <v>53.945</v>
      </c>
      <c r="AF685">
        <f>'raw data Crude oil'!AF686</f>
        <v>53.685000000000002</v>
      </c>
      <c r="AG685">
        <f>'raw data Crude oil'!AG686</f>
        <v>53.575000000000003</v>
      </c>
      <c r="AH685">
        <f>'raw data Crude oil'!AH686</f>
        <v>53.475999999999999</v>
      </c>
      <c r="AI685">
        <f>'raw data Crude oil'!AI686</f>
        <v>53.386000000000003</v>
      </c>
      <c r="AJ685">
        <f>'raw data Crude oil'!AJ686</f>
        <v>53.295999999999999</v>
      </c>
      <c r="AK685">
        <f>'raw data Crude oil'!AK686</f>
        <v>53.216000000000001</v>
      </c>
    </row>
    <row r="686" spans="1:37" x14ac:dyDescent="0.3">
      <c r="A686" s="18">
        <f>'raw data Crude oil'!A687</f>
        <v>43704</v>
      </c>
      <c r="B686">
        <f>'raw data Crude oil'!B687</f>
        <v>59.51</v>
      </c>
      <c r="C686">
        <f>'raw data Crude oil'!C687</f>
        <v>59.03</v>
      </c>
      <c r="D686">
        <f>'raw data Crude oil'!D687</f>
        <v>58.4</v>
      </c>
      <c r="E686">
        <f>'raw data Crude oil'!E687</f>
        <v>57.98</v>
      </c>
      <c r="F686">
        <f>'raw data Crude oil'!F687</f>
        <v>57.72</v>
      </c>
      <c r="G686">
        <f>'raw data Crude oil'!G687</f>
        <v>57.56</v>
      </c>
      <c r="H686">
        <f>'raw data Crude oil'!H687</f>
        <v>57.43</v>
      </c>
      <c r="I686">
        <f>'raw data Crude oil'!I687</f>
        <v>57.31</v>
      </c>
      <c r="J686">
        <f>'raw data Crude oil'!J687</f>
        <v>57.19</v>
      </c>
      <c r="K686">
        <f>'raw data Crude oil'!K687</f>
        <v>57.07</v>
      </c>
      <c r="L686">
        <f>'raw data Crude oil'!L687</f>
        <v>56.98</v>
      </c>
      <c r="M686">
        <f>'raw data Crude oil'!M687</f>
        <v>56.87</v>
      </c>
      <c r="N686">
        <f>'raw data Crude oil'!N687</f>
        <v>54.93</v>
      </c>
      <c r="O686">
        <f>'raw data Crude oil'!O687</f>
        <v>54.77</v>
      </c>
      <c r="P686">
        <f>'raw data Crude oil'!P687</f>
        <v>54.46</v>
      </c>
      <c r="Q686">
        <f>'raw data Crude oil'!Q687</f>
        <v>54.09</v>
      </c>
      <c r="R686">
        <f>'raw data Crude oil'!R687</f>
        <v>53.75</v>
      </c>
      <c r="S686">
        <f>'raw data Crude oil'!S687</f>
        <v>53.46</v>
      </c>
      <c r="T686">
        <f>'raw data Crude oil'!T687</f>
        <v>53.2</v>
      </c>
      <c r="U686">
        <f>'raw data Crude oil'!U687</f>
        <v>52.96</v>
      </c>
      <c r="V686">
        <f>'raw data Crude oil'!V687</f>
        <v>52.74</v>
      </c>
      <c r="W686">
        <f>'raw data Crude oil'!W687</f>
        <v>52.53</v>
      </c>
      <c r="X686">
        <f>'raw data Crude oil'!X687</f>
        <v>52.34</v>
      </c>
      <c r="Y686">
        <f>'raw data Crude oil'!Y687</f>
        <v>52.17</v>
      </c>
      <c r="Z686">
        <f>'raw data Crude oil'!Z687</f>
        <v>59.030999999999999</v>
      </c>
      <c r="AA686">
        <f>'raw data Crude oil'!AA687</f>
        <v>58.11</v>
      </c>
      <c r="AB686">
        <f>'raw data Crude oil'!AB687</f>
        <v>57.101999999999997</v>
      </c>
      <c r="AC686">
        <f>'raw data Crude oil'!AC687</f>
        <v>56.277999999999999</v>
      </c>
      <c r="AD686">
        <f>'raw data Crude oil'!AD687</f>
        <v>55.555</v>
      </c>
      <c r="AE686">
        <f>'raw data Crude oil'!AE687</f>
        <v>55.084000000000003</v>
      </c>
      <c r="AF686">
        <f>'raw data Crude oil'!AF687</f>
        <v>54.783999999999999</v>
      </c>
      <c r="AG686">
        <f>'raw data Crude oil'!AG687</f>
        <v>54.664999999999999</v>
      </c>
      <c r="AH686">
        <f>'raw data Crude oil'!AH687</f>
        <v>54.543999999999997</v>
      </c>
      <c r="AI686">
        <f>'raw data Crude oil'!AI687</f>
        <v>54.426000000000002</v>
      </c>
      <c r="AJ686">
        <f>'raw data Crude oil'!AJ687</f>
        <v>54.325000000000003</v>
      </c>
      <c r="AK686">
        <f>'raw data Crude oil'!AK687</f>
        <v>54.204999999999998</v>
      </c>
    </row>
    <row r="687" spans="1:37" x14ac:dyDescent="0.3">
      <c r="A687" s="18">
        <f>'raw data Crude oil'!A688</f>
        <v>43705</v>
      </c>
      <c r="B687">
        <f>'raw data Crude oil'!B688</f>
        <v>60.49</v>
      </c>
      <c r="C687">
        <f>'raw data Crude oil'!C688</f>
        <v>59.93</v>
      </c>
      <c r="D687">
        <f>'raw data Crude oil'!D688</f>
        <v>59.23</v>
      </c>
      <c r="E687">
        <f>'raw data Crude oil'!E688</f>
        <v>58.75</v>
      </c>
      <c r="F687">
        <f>'raw data Crude oil'!F688</f>
        <v>58.47</v>
      </c>
      <c r="G687">
        <f>'raw data Crude oil'!G688</f>
        <v>58.28</v>
      </c>
      <c r="H687">
        <f>'raw data Crude oil'!H688</f>
        <v>58.12</v>
      </c>
      <c r="I687">
        <f>'raw data Crude oil'!I688</f>
        <v>57.97</v>
      </c>
      <c r="J687">
        <f>'raw data Crude oil'!J688</f>
        <v>57.82</v>
      </c>
      <c r="K687">
        <f>'raw data Crude oil'!K688</f>
        <v>57.68</v>
      </c>
      <c r="L687">
        <f>'raw data Crude oil'!L688</f>
        <v>57.55</v>
      </c>
      <c r="M687">
        <f>'raw data Crude oil'!M688</f>
        <v>57.42</v>
      </c>
      <c r="N687">
        <f>'raw data Crude oil'!N688</f>
        <v>55.78</v>
      </c>
      <c r="O687">
        <f>'raw data Crude oil'!O688</f>
        <v>55.6</v>
      </c>
      <c r="P687">
        <f>'raw data Crude oil'!P688</f>
        <v>55.26</v>
      </c>
      <c r="Q687">
        <f>'raw data Crude oil'!Q688</f>
        <v>54.86</v>
      </c>
      <c r="R687">
        <f>'raw data Crude oil'!R688</f>
        <v>54.5</v>
      </c>
      <c r="S687">
        <f>'raw data Crude oil'!S688</f>
        <v>54.2</v>
      </c>
      <c r="T687">
        <f>'raw data Crude oil'!T688</f>
        <v>53.92</v>
      </c>
      <c r="U687">
        <f>'raw data Crude oil'!U688</f>
        <v>53.65</v>
      </c>
      <c r="V687">
        <f>'raw data Crude oil'!V688</f>
        <v>53.4</v>
      </c>
      <c r="W687">
        <f>'raw data Crude oil'!W688</f>
        <v>53.16</v>
      </c>
      <c r="X687">
        <f>'raw data Crude oil'!X688</f>
        <v>52.94</v>
      </c>
      <c r="Y687">
        <f>'raw data Crude oil'!Y688</f>
        <v>52.74</v>
      </c>
      <c r="Z687">
        <f>'raw data Crude oil'!Z688</f>
        <v>59.091000000000001</v>
      </c>
      <c r="AA687">
        <f>'raw data Crude oil'!AA688</f>
        <v>58.767000000000003</v>
      </c>
      <c r="AB687">
        <f>'raw data Crude oil'!AB688</f>
        <v>57.768999999999998</v>
      </c>
      <c r="AC687">
        <f>'raw data Crude oil'!AC688</f>
        <v>56.976999999999997</v>
      </c>
      <c r="AD687">
        <f>'raw data Crude oil'!AD688</f>
        <v>56.252000000000002</v>
      </c>
      <c r="AE687">
        <f>'raw data Crude oil'!AE688</f>
        <v>55.753</v>
      </c>
      <c r="AF687">
        <f>'raw data Crude oil'!AF688</f>
        <v>55.433</v>
      </c>
      <c r="AG687">
        <f>'raw data Crude oil'!AG688</f>
        <v>55.292999999999999</v>
      </c>
      <c r="AH687">
        <f>'raw data Crude oil'!AH688</f>
        <v>55.192999999999998</v>
      </c>
      <c r="AI687">
        <f>'raw data Crude oil'!AI688</f>
        <v>55.064</v>
      </c>
      <c r="AJ687">
        <f>'raw data Crude oil'!AJ688</f>
        <v>54.923999999999999</v>
      </c>
      <c r="AK687">
        <f>'raw data Crude oil'!AK688</f>
        <v>54.793999999999997</v>
      </c>
    </row>
    <row r="688" spans="1:37" x14ac:dyDescent="0.3">
      <c r="A688" s="18">
        <f>'raw data Crude oil'!A689</f>
        <v>43706</v>
      </c>
      <c r="B688">
        <f>'raw data Crude oil'!B689</f>
        <v>61.08</v>
      </c>
      <c r="C688">
        <f>'raw data Crude oil'!C689</f>
        <v>60.49</v>
      </c>
      <c r="D688">
        <f>'raw data Crude oil'!D689</f>
        <v>59.78</v>
      </c>
      <c r="E688">
        <f>'raw data Crude oil'!E689</f>
        <v>59.28</v>
      </c>
      <c r="F688">
        <f>'raw data Crude oil'!F689</f>
        <v>58.98</v>
      </c>
      <c r="G688">
        <f>'raw data Crude oil'!G689</f>
        <v>58.78</v>
      </c>
      <c r="H688">
        <f>'raw data Crude oil'!H689</f>
        <v>58.6</v>
      </c>
      <c r="I688">
        <f>'raw data Crude oil'!I689</f>
        <v>58.42</v>
      </c>
      <c r="J688">
        <f>'raw data Crude oil'!J689</f>
        <v>58.25</v>
      </c>
      <c r="K688">
        <f>'raw data Crude oil'!K689</f>
        <v>58.09</v>
      </c>
      <c r="L688">
        <f>'raw data Crude oil'!L689</f>
        <v>57.94</v>
      </c>
      <c r="M688">
        <f>'raw data Crude oil'!M689</f>
        <v>57.79</v>
      </c>
      <c r="N688">
        <f>'raw data Crude oil'!N689</f>
        <v>56.71</v>
      </c>
      <c r="O688">
        <f>'raw data Crude oil'!O689</f>
        <v>56.45</v>
      </c>
      <c r="P688">
        <f>'raw data Crude oil'!P689</f>
        <v>56.05</v>
      </c>
      <c r="Q688">
        <f>'raw data Crude oil'!Q689</f>
        <v>55.61</v>
      </c>
      <c r="R688">
        <f>'raw data Crude oil'!R689</f>
        <v>55.19</v>
      </c>
      <c r="S688">
        <f>'raw data Crude oil'!S689</f>
        <v>54.8</v>
      </c>
      <c r="T688">
        <f>'raw data Crude oil'!T689</f>
        <v>54.45</v>
      </c>
      <c r="U688">
        <f>'raw data Crude oil'!U689</f>
        <v>54.13</v>
      </c>
      <c r="V688">
        <f>'raw data Crude oil'!V689</f>
        <v>53.83</v>
      </c>
      <c r="W688">
        <f>'raw data Crude oil'!W689</f>
        <v>53.55</v>
      </c>
      <c r="X688">
        <f>'raw data Crude oil'!X689</f>
        <v>53.3</v>
      </c>
      <c r="Y688">
        <f>'raw data Crude oil'!Y689</f>
        <v>53.08</v>
      </c>
      <c r="Z688">
        <f>'raw data Crude oil'!Z689</f>
        <v>59.118000000000002</v>
      </c>
      <c r="AA688">
        <f>'raw data Crude oil'!AA689</f>
        <v>59.345999999999997</v>
      </c>
      <c r="AB688">
        <f>'raw data Crude oil'!AB689</f>
        <v>58.328000000000003</v>
      </c>
      <c r="AC688">
        <f>'raw data Crude oil'!AC689</f>
        <v>57.526000000000003</v>
      </c>
      <c r="AD688">
        <f>'raw data Crude oil'!AD689</f>
        <v>56.790999999999997</v>
      </c>
      <c r="AE688">
        <f>'raw data Crude oil'!AE689</f>
        <v>56.252000000000002</v>
      </c>
      <c r="AF688">
        <f>'raw data Crude oil'!AF689</f>
        <v>55.930999999999997</v>
      </c>
      <c r="AG688">
        <f>'raw data Crude oil'!AG689</f>
        <v>55.692</v>
      </c>
      <c r="AH688">
        <f>'raw data Crude oil'!AH689</f>
        <v>55.552</v>
      </c>
      <c r="AI688">
        <f>'raw data Crude oil'!AI689</f>
        <v>55.412999999999997</v>
      </c>
      <c r="AJ688">
        <f>'raw data Crude oil'!AJ689</f>
        <v>55.273000000000003</v>
      </c>
      <c r="AK688">
        <f>'raw data Crude oil'!AK689</f>
        <v>55.133000000000003</v>
      </c>
    </row>
    <row r="689" spans="1:37" x14ac:dyDescent="0.3">
      <c r="A689" s="18">
        <f>'raw data Crude oil'!A690</f>
        <v>43707</v>
      </c>
      <c r="B689">
        <f>'raw data Crude oil'!B690</f>
        <v>60.43</v>
      </c>
      <c r="C689">
        <f>'raw data Crude oil'!C690</f>
        <v>59.25</v>
      </c>
      <c r="D689">
        <f>'raw data Crude oil'!D690</f>
        <v>58.46</v>
      </c>
      <c r="E689">
        <f>'raw data Crude oil'!E690</f>
        <v>57.92</v>
      </c>
      <c r="F689">
        <f>'raw data Crude oil'!F690</f>
        <v>57.61</v>
      </c>
      <c r="G689">
        <f>'raw data Crude oil'!G690</f>
        <v>57.41</v>
      </c>
      <c r="H689">
        <f>'raw data Crude oil'!H690</f>
        <v>57.24</v>
      </c>
      <c r="I689">
        <f>'raw data Crude oil'!I690</f>
        <v>57.09</v>
      </c>
      <c r="J689">
        <f>'raw data Crude oil'!J690</f>
        <v>56.93</v>
      </c>
      <c r="K689">
        <f>'raw data Crude oil'!K690</f>
        <v>56.79</v>
      </c>
      <c r="L689">
        <f>'raw data Crude oil'!L690</f>
        <v>56.66</v>
      </c>
      <c r="M689">
        <f>'raw data Crude oil'!M690</f>
        <v>56.53</v>
      </c>
      <c r="N689">
        <f>'raw data Crude oil'!N690</f>
        <v>55.1</v>
      </c>
      <c r="O689">
        <f>'raw data Crude oil'!O690</f>
        <v>54.89</v>
      </c>
      <c r="P689">
        <f>'raw data Crude oil'!P690</f>
        <v>54.56</v>
      </c>
      <c r="Q689">
        <f>'raw data Crude oil'!Q690</f>
        <v>54.16</v>
      </c>
      <c r="R689">
        <f>'raw data Crude oil'!R690</f>
        <v>53.78</v>
      </c>
      <c r="S689">
        <f>'raw data Crude oil'!S690</f>
        <v>53.43</v>
      </c>
      <c r="T689">
        <f>'raw data Crude oil'!T690</f>
        <v>53.1</v>
      </c>
      <c r="U689">
        <f>'raw data Crude oil'!U690</f>
        <v>52.79</v>
      </c>
      <c r="V689">
        <f>'raw data Crude oil'!V690</f>
        <v>52.5</v>
      </c>
      <c r="W689">
        <f>'raw data Crude oil'!W690</f>
        <v>52.23</v>
      </c>
      <c r="X689">
        <f>'raw data Crude oil'!X690</f>
        <v>51.99</v>
      </c>
      <c r="Y689">
        <f>'raw data Crude oil'!Y690</f>
        <v>51.78</v>
      </c>
      <c r="Z689">
        <f>'raw data Crude oil'!Z690</f>
        <v>59.106000000000002</v>
      </c>
      <c r="AA689">
        <f>'raw data Crude oil'!AA690</f>
        <v>58.072000000000003</v>
      </c>
      <c r="AB689">
        <f>'raw data Crude oil'!AB690</f>
        <v>56.997</v>
      </c>
      <c r="AC689">
        <f>'raw data Crude oil'!AC690</f>
        <v>56.185000000000002</v>
      </c>
      <c r="AD689">
        <f>'raw data Crude oil'!AD690</f>
        <v>55.441000000000003</v>
      </c>
      <c r="AE689">
        <f>'raw data Crude oil'!AE690</f>
        <v>54.902000000000001</v>
      </c>
      <c r="AF689">
        <f>'raw data Crude oil'!AF690</f>
        <v>54.552999999999997</v>
      </c>
      <c r="AG689">
        <f>'raw data Crude oil'!AG690</f>
        <v>54.393000000000001</v>
      </c>
      <c r="AH689">
        <f>'raw data Crude oil'!AH690</f>
        <v>54.273000000000003</v>
      </c>
      <c r="AI689">
        <f>'raw data Crude oil'!AI690</f>
        <v>54.154000000000003</v>
      </c>
      <c r="AJ689">
        <f>'raw data Crude oil'!AJ690</f>
        <v>54.033999999999999</v>
      </c>
      <c r="AK689">
        <f>'raw data Crude oil'!AK690</f>
        <v>53.904000000000003</v>
      </c>
    </row>
    <row r="690" spans="1:37" x14ac:dyDescent="0.3">
      <c r="A690" s="18">
        <f>'raw data Crude oil'!A691</f>
        <v>43710</v>
      </c>
      <c r="B690">
        <f>'raw data Crude oil'!B691</f>
        <v>58.66</v>
      </c>
      <c r="C690">
        <f>'raw data Crude oil'!C691</f>
        <v>57.86</v>
      </c>
      <c r="D690">
        <f>'raw data Crude oil'!D691</f>
        <v>57.31</v>
      </c>
      <c r="E690">
        <f>'raw data Crude oil'!E691</f>
        <v>57</v>
      </c>
      <c r="F690">
        <f>'raw data Crude oil'!F691</f>
        <v>56.8</v>
      </c>
      <c r="G690">
        <f>'raw data Crude oil'!G691</f>
        <v>56.65</v>
      </c>
      <c r="H690">
        <f>'raw data Crude oil'!H691</f>
        <v>56.53</v>
      </c>
      <c r="I690">
        <f>'raw data Crude oil'!I691</f>
        <v>56.41</v>
      </c>
      <c r="J690">
        <f>'raw data Crude oil'!J691</f>
        <v>56.3</v>
      </c>
      <c r="K690">
        <f>'raw data Crude oil'!K691</f>
        <v>56.2</v>
      </c>
      <c r="L690">
        <f>'raw data Crude oil'!L691</f>
        <v>56.1</v>
      </c>
      <c r="M690">
        <f>'raw data Crude oil'!M691</f>
        <v>56</v>
      </c>
      <c r="N690">
        <f>'raw data Crude oil'!N691</f>
        <v>55.1</v>
      </c>
      <c r="O690">
        <f>'raw data Crude oil'!O691</f>
        <v>54.89</v>
      </c>
      <c r="P690">
        <f>'raw data Crude oil'!P691</f>
        <v>54.56</v>
      </c>
      <c r="Q690">
        <f>'raw data Crude oil'!Q691</f>
        <v>54.16</v>
      </c>
      <c r="R690">
        <f>'raw data Crude oil'!R691</f>
        <v>53.78</v>
      </c>
      <c r="S690">
        <f>'raw data Crude oil'!S691</f>
        <v>53.43</v>
      </c>
      <c r="T690">
        <f>'raw data Crude oil'!T691</f>
        <v>53.1</v>
      </c>
      <c r="U690">
        <f>'raw data Crude oil'!U691</f>
        <v>52.79</v>
      </c>
      <c r="V690">
        <f>'raw data Crude oil'!V691</f>
        <v>52.5</v>
      </c>
      <c r="W690">
        <f>'raw data Crude oil'!W691</f>
        <v>52.23</v>
      </c>
      <c r="X690">
        <f>'raw data Crude oil'!X691</f>
        <v>51.99</v>
      </c>
      <c r="Y690">
        <f>'raw data Crude oil'!Y691</f>
        <v>51.78</v>
      </c>
      <c r="Z690">
        <f>'raw data Crude oil'!Z691</f>
        <v>59.106000000000002</v>
      </c>
      <c r="AA690">
        <f>'raw data Crude oil'!AA691</f>
        <v>57.32</v>
      </c>
      <c r="AB690">
        <f>'raw data Crude oil'!AB691</f>
        <v>56.375999999999998</v>
      </c>
      <c r="AC690">
        <f>'raw data Crude oil'!AC691</f>
        <v>55.594999999999999</v>
      </c>
      <c r="AD690">
        <f>'raw data Crude oil'!AD691</f>
        <v>54.841000000000001</v>
      </c>
      <c r="AE690">
        <f>'raw data Crude oil'!AE691</f>
        <v>54.323</v>
      </c>
      <c r="AF690">
        <f>'raw data Crude oil'!AF691</f>
        <v>53.963999999999999</v>
      </c>
      <c r="AG690">
        <f>'raw data Crude oil'!AG691</f>
        <v>53.825000000000003</v>
      </c>
      <c r="AH690">
        <f>'raw data Crude oil'!AH691</f>
        <v>53.715000000000003</v>
      </c>
      <c r="AI690">
        <f>'raw data Crude oil'!AI691</f>
        <v>53.604999999999997</v>
      </c>
      <c r="AJ690">
        <f>'raw data Crude oil'!AJ691</f>
        <v>53.505000000000003</v>
      </c>
      <c r="AK690">
        <f>'raw data Crude oil'!AK691</f>
        <v>53.405999999999999</v>
      </c>
    </row>
    <row r="691" spans="1:37" x14ac:dyDescent="0.3">
      <c r="A691" s="18">
        <f>'raw data Crude oil'!A692</f>
        <v>43711</v>
      </c>
      <c r="B691">
        <f>'raw data Crude oil'!B692</f>
        <v>58.26</v>
      </c>
      <c r="C691">
        <f>'raw data Crude oil'!C692</f>
        <v>57.47</v>
      </c>
      <c r="D691">
        <f>'raw data Crude oil'!D692</f>
        <v>56.94</v>
      </c>
      <c r="E691">
        <f>'raw data Crude oil'!E692</f>
        <v>56.64</v>
      </c>
      <c r="F691">
        <f>'raw data Crude oil'!F692</f>
        <v>56.45</v>
      </c>
      <c r="G691">
        <f>'raw data Crude oil'!G692</f>
        <v>56.32</v>
      </c>
      <c r="H691">
        <f>'raw data Crude oil'!H692</f>
        <v>56.21</v>
      </c>
      <c r="I691">
        <f>'raw data Crude oil'!I692</f>
        <v>56.09</v>
      </c>
      <c r="J691">
        <f>'raw data Crude oil'!J692</f>
        <v>55.99</v>
      </c>
      <c r="K691">
        <f>'raw data Crude oil'!K692</f>
        <v>55.92</v>
      </c>
      <c r="L691">
        <f>'raw data Crude oil'!L692</f>
        <v>55.84</v>
      </c>
      <c r="M691">
        <f>'raw data Crude oil'!M692</f>
        <v>55.74</v>
      </c>
      <c r="N691">
        <f>'raw data Crude oil'!N692</f>
        <v>53.94</v>
      </c>
      <c r="O691">
        <f>'raw data Crude oil'!O692</f>
        <v>53.76</v>
      </c>
      <c r="P691">
        <f>'raw data Crude oil'!P692</f>
        <v>53.48</v>
      </c>
      <c r="Q691">
        <f>'raw data Crude oil'!Q692</f>
        <v>53.13</v>
      </c>
      <c r="R691">
        <f>'raw data Crude oil'!R692</f>
        <v>52.82</v>
      </c>
      <c r="S691">
        <f>'raw data Crude oil'!S692</f>
        <v>52.52</v>
      </c>
      <c r="T691">
        <f>'raw data Crude oil'!T692</f>
        <v>52.24</v>
      </c>
      <c r="U691">
        <f>'raw data Crude oil'!U692</f>
        <v>51.98</v>
      </c>
      <c r="V691">
        <f>'raw data Crude oil'!V692</f>
        <v>51.74</v>
      </c>
      <c r="W691">
        <f>'raw data Crude oil'!W692</f>
        <v>51.49</v>
      </c>
      <c r="X691">
        <f>'raw data Crude oil'!X692</f>
        <v>51.31</v>
      </c>
      <c r="Y691">
        <f>'raw data Crude oil'!Y692</f>
        <v>51.12</v>
      </c>
      <c r="Z691">
        <f>'raw data Crude oil'!Z692</f>
        <v>56.664999999999999</v>
      </c>
      <c r="AA691">
        <f>'raw data Crude oil'!AA692</f>
        <v>55.786999999999999</v>
      </c>
      <c r="AB691">
        <f>'raw data Crude oil'!AB692</f>
        <v>55.055999999999997</v>
      </c>
      <c r="AC691">
        <f>'raw data Crude oil'!AC692</f>
        <v>54.372</v>
      </c>
      <c r="AD691">
        <f>'raw data Crude oil'!AD692</f>
        <v>53.884</v>
      </c>
      <c r="AE691">
        <f>'raw data Crude oil'!AE692</f>
        <v>53.594999999999999</v>
      </c>
      <c r="AF691">
        <f>'raw data Crude oil'!AF692</f>
        <v>53.465000000000003</v>
      </c>
      <c r="AG691">
        <f>'raw data Crude oil'!AG692</f>
        <v>53.365000000000002</v>
      </c>
      <c r="AH691">
        <f>'raw data Crude oil'!AH692</f>
        <v>53.267000000000003</v>
      </c>
      <c r="AI691">
        <f>'raw data Crude oil'!AI692</f>
        <v>53.195999999999998</v>
      </c>
      <c r="AJ691">
        <f>'raw data Crude oil'!AJ692</f>
        <v>53.116</v>
      </c>
      <c r="AK691">
        <f>'raw data Crude oil'!AK692</f>
        <v>53.021000000000001</v>
      </c>
    </row>
    <row r="692" spans="1:37" x14ac:dyDescent="0.3">
      <c r="A692" s="18">
        <f>'raw data Crude oil'!A693</f>
        <v>43712</v>
      </c>
      <c r="B692">
        <f>'raw data Crude oil'!B693</f>
        <v>60.7</v>
      </c>
      <c r="C692">
        <f>'raw data Crude oil'!C693</f>
        <v>59.83</v>
      </c>
      <c r="D692">
        <f>'raw data Crude oil'!D693</f>
        <v>59.27</v>
      </c>
      <c r="E692">
        <f>'raw data Crude oil'!E693</f>
        <v>58.95</v>
      </c>
      <c r="F692">
        <f>'raw data Crude oil'!F693</f>
        <v>58.74</v>
      </c>
      <c r="G692">
        <f>'raw data Crude oil'!G693</f>
        <v>58.57</v>
      </c>
      <c r="H692">
        <f>'raw data Crude oil'!H693</f>
        <v>58.42</v>
      </c>
      <c r="I692">
        <f>'raw data Crude oil'!I693</f>
        <v>58.27</v>
      </c>
      <c r="J692">
        <f>'raw data Crude oil'!J693</f>
        <v>58.13</v>
      </c>
      <c r="K692">
        <f>'raw data Crude oil'!K693</f>
        <v>58.02</v>
      </c>
      <c r="L692">
        <f>'raw data Crude oil'!L693</f>
        <v>57.91</v>
      </c>
      <c r="M692">
        <f>'raw data Crude oil'!M693</f>
        <v>57.78</v>
      </c>
      <c r="N692">
        <f>'raw data Crude oil'!N693</f>
        <v>56.26</v>
      </c>
      <c r="O692">
        <f>'raw data Crude oil'!O693</f>
        <v>56.1</v>
      </c>
      <c r="P692">
        <f>'raw data Crude oil'!P693</f>
        <v>55.8</v>
      </c>
      <c r="Q692">
        <f>'raw data Crude oil'!Q693</f>
        <v>55.43</v>
      </c>
      <c r="R692">
        <f>'raw data Crude oil'!R693</f>
        <v>55.08</v>
      </c>
      <c r="S692">
        <f>'raw data Crude oil'!S693</f>
        <v>54.75</v>
      </c>
      <c r="T692">
        <f>'raw data Crude oil'!T693</f>
        <v>54.43</v>
      </c>
      <c r="U692">
        <f>'raw data Crude oil'!U693</f>
        <v>54.12</v>
      </c>
      <c r="V692">
        <f>'raw data Crude oil'!V693</f>
        <v>53.84</v>
      </c>
      <c r="W692">
        <f>'raw data Crude oil'!W693</f>
        <v>53.58</v>
      </c>
      <c r="X692">
        <f>'raw data Crude oil'!X693</f>
        <v>53.35</v>
      </c>
      <c r="Y692">
        <f>'raw data Crude oil'!Y693</f>
        <v>53.13</v>
      </c>
      <c r="Z692">
        <f>'raw data Crude oil'!Z693</f>
        <v>58.423999999999999</v>
      </c>
      <c r="AA692">
        <f>'raw data Crude oil'!AA693</f>
        <v>57.905999999999999</v>
      </c>
      <c r="AB692">
        <f>'raw data Crude oil'!AB693</f>
        <v>57.185000000000002</v>
      </c>
      <c r="AC692">
        <f>'raw data Crude oil'!AC693</f>
        <v>56.44</v>
      </c>
      <c r="AD692">
        <f>'raw data Crude oil'!AD693</f>
        <v>55.942</v>
      </c>
      <c r="AE692">
        <f>'raw data Crude oil'!AE693</f>
        <v>55.633000000000003</v>
      </c>
      <c r="AF692">
        <f>'raw data Crude oil'!AF693</f>
        <v>55.493000000000002</v>
      </c>
      <c r="AG692">
        <f>'raw data Crude oil'!AG693</f>
        <v>55.372999999999998</v>
      </c>
      <c r="AH692">
        <f>'raw data Crude oil'!AH693</f>
        <v>55.265000000000001</v>
      </c>
      <c r="AI692">
        <f>'raw data Crude oil'!AI693</f>
        <v>55.164999999999999</v>
      </c>
      <c r="AJ692">
        <f>'raw data Crude oil'!AJ693</f>
        <v>55.064</v>
      </c>
      <c r="AK692">
        <f>'raw data Crude oil'!AK693</f>
        <v>54.947000000000003</v>
      </c>
    </row>
    <row r="693" spans="1:37" x14ac:dyDescent="0.3">
      <c r="A693" s="18">
        <f>'raw data Crude oil'!A694</f>
        <v>43713</v>
      </c>
      <c r="B693">
        <f>'raw data Crude oil'!B694</f>
        <v>60.95</v>
      </c>
      <c r="C693">
        <f>'raw data Crude oil'!C694</f>
        <v>60.04</v>
      </c>
      <c r="D693">
        <f>'raw data Crude oil'!D694</f>
        <v>59.46</v>
      </c>
      <c r="E693">
        <f>'raw data Crude oil'!E694</f>
        <v>59.13</v>
      </c>
      <c r="F693">
        <f>'raw data Crude oil'!F694</f>
        <v>58.91</v>
      </c>
      <c r="G693">
        <f>'raw data Crude oil'!G694</f>
        <v>58.72</v>
      </c>
      <c r="H693">
        <f>'raw data Crude oil'!H694</f>
        <v>58.55</v>
      </c>
      <c r="I693">
        <f>'raw data Crude oil'!I694</f>
        <v>58.38</v>
      </c>
      <c r="J693">
        <f>'raw data Crude oil'!J694</f>
        <v>58.23</v>
      </c>
      <c r="K693">
        <f>'raw data Crude oil'!K694</f>
        <v>58.11</v>
      </c>
      <c r="L693">
        <f>'raw data Crude oil'!L694</f>
        <v>57.99</v>
      </c>
      <c r="M693">
        <f>'raw data Crude oil'!M694</f>
        <v>57.85</v>
      </c>
      <c r="N693">
        <f>'raw data Crude oil'!N694</f>
        <v>56.3</v>
      </c>
      <c r="O693">
        <f>'raw data Crude oil'!O694</f>
        <v>56.16</v>
      </c>
      <c r="P693">
        <f>'raw data Crude oil'!P694</f>
        <v>55.88</v>
      </c>
      <c r="Q693">
        <f>'raw data Crude oil'!Q694</f>
        <v>55.53</v>
      </c>
      <c r="R693">
        <f>'raw data Crude oil'!R694</f>
        <v>55.16</v>
      </c>
      <c r="S693">
        <f>'raw data Crude oil'!S694</f>
        <v>54.8</v>
      </c>
      <c r="T693">
        <f>'raw data Crude oil'!T694</f>
        <v>54.46</v>
      </c>
      <c r="U693">
        <f>'raw data Crude oil'!U694</f>
        <v>54.15</v>
      </c>
      <c r="V693">
        <f>'raw data Crude oil'!V694</f>
        <v>53.84</v>
      </c>
      <c r="W693">
        <f>'raw data Crude oil'!W694</f>
        <v>53.57</v>
      </c>
      <c r="X693">
        <f>'raw data Crude oil'!X694</f>
        <v>53.34</v>
      </c>
      <c r="Y693">
        <f>'raw data Crude oil'!Y694</f>
        <v>53.11</v>
      </c>
      <c r="Z693">
        <f>'raw data Crude oil'!Z694</f>
        <v>58.698</v>
      </c>
      <c r="AA693">
        <f>'raw data Crude oil'!AA694</f>
        <v>58.265000000000001</v>
      </c>
      <c r="AB693">
        <f>'raw data Crude oil'!AB694</f>
        <v>57.473999999999997</v>
      </c>
      <c r="AC693">
        <f>'raw data Crude oil'!AC694</f>
        <v>56.679000000000002</v>
      </c>
      <c r="AD693">
        <f>'raw data Crude oil'!AD694</f>
        <v>56.131</v>
      </c>
      <c r="AE693">
        <f>'raw data Crude oil'!AE694</f>
        <v>55.771999999999998</v>
      </c>
      <c r="AF693">
        <f>'raw data Crude oil'!AF694</f>
        <v>55.631999999999998</v>
      </c>
      <c r="AG693">
        <f>'raw data Crude oil'!AG694</f>
        <v>55.503</v>
      </c>
      <c r="AH693">
        <f>'raw data Crude oil'!AH694</f>
        <v>55.393999999999998</v>
      </c>
      <c r="AI693">
        <f>'raw data Crude oil'!AI694</f>
        <v>55.284999999999997</v>
      </c>
      <c r="AJ693">
        <f>'raw data Crude oil'!AJ694</f>
        <v>55.154000000000003</v>
      </c>
      <c r="AK693">
        <f>'raw data Crude oil'!AK694</f>
        <v>55.018000000000001</v>
      </c>
    </row>
    <row r="694" spans="1:37" x14ac:dyDescent="0.3">
      <c r="A694" s="18">
        <f>'raw data Crude oil'!A695</f>
        <v>43714</v>
      </c>
      <c r="B694">
        <f>'raw data Crude oil'!B695</f>
        <v>61.54</v>
      </c>
      <c r="C694">
        <f>'raw data Crude oil'!C695</f>
        <v>60.57</v>
      </c>
      <c r="D694">
        <f>'raw data Crude oil'!D695</f>
        <v>59.94</v>
      </c>
      <c r="E694">
        <f>'raw data Crude oil'!E695</f>
        <v>59.55</v>
      </c>
      <c r="F694">
        <f>'raw data Crude oil'!F695</f>
        <v>59.29</v>
      </c>
      <c r="G694">
        <f>'raw data Crude oil'!G695</f>
        <v>59.07</v>
      </c>
      <c r="H694">
        <f>'raw data Crude oil'!H695</f>
        <v>58.88</v>
      </c>
      <c r="I694">
        <f>'raw data Crude oil'!I695</f>
        <v>58.68</v>
      </c>
      <c r="J694">
        <f>'raw data Crude oil'!J695</f>
        <v>58.51</v>
      </c>
      <c r="K694">
        <f>'raw data Crude oil'!K695</f>
        <v>58.38</v>
      </c>
      <c r="L694">
        <f>'raw data Crude oil'!L695</f>
        <v>58.24</v>
      </c>
      <c r="M694">
        <f>'raw data Crude oil'!M695</f>
        <v>58.1</v>
      </c>
      <c r="N694">
        <f>'raw data Crude oil'!N695</f>
        <v>56.52</v>
      </c>
      <c r="O694">
        <f>'raw data Crude oil'!O695</f>
        <v>56.43</v>
      </c>
      <c r="P694">
        <f>'raw data Crude oil'!P695</f>
        <v>56.17</v>
      </c>
      <c r="Q694">
        <f>'raw data Crude oil'!Q695</f>
        <v>55.82</v>
      </c>
      <c r="R694">
        <f>'raw data Crude oil'!R695</f>
        <v>55.46</v>
      </c>
      <c r="S694">
        <f>'raw data Crude oil'!S695</f>
        <v>55.1</v>
      </c>
      <c r="T694">
        <f>'raw data Crude oil'!T695</f>
        <v>54.74</v>
      </c>
      <c r="U694">
        <f>'raw data Crude oil'!U695</f>
        <v>54.42</v>
      </c>
      <c r="V694">
        <f>'raw data Crude oil'!V695</f>
        <v>54.12</v>
      </c>
      <c r="W694">
        <f>'raw data Crude oil'!W695</f>
        <v>53.84</v>
      </c>
      <c r="X694">
        <f>'raw data Crude oil'!X695</f>
        <v>53.59</v>
      </c>
      <c r="Y694">
        <f>'raw data Crude oil'!Y695</f>
        <v>53.37</v>
      </c>
      <c r="Z694">
        <f>'raw data Crude oil'!Z695</f>
        <v>59.323999999999998</v>
      </c>
      <c r="AA694">
        <f>'raw data Crude oil'!AA695</f>
        <v>58.902999999999999</v>
      </c>
      <c r="AB694">
        <f>'raw data Crude oil'!AB695</f>
        <v>57.970999999999997</v>
      </c>
      <c r="AC694">
        <f>'raw data Crude oil'!AC695</f>
        <v>57.134999999999998</v>
      </c>
      <c r="AD694">
        <f>'raw data Crude oil'!AD695</f>
        <v>56.52</v>
      </c>
      <c r="AE694">
        <f>'raw data Crude oil'!AE695</f>
        <v>56.140999999999998</v>
      </c>
      <c r="AF694">
        <f>'raw data Crude oil'!AF695</f>
        <v>55.970999999999997</v>
      </c>
      <c r="AG694">
        <f>'raw data Crude oil'!AG695</f>
        <v>55.811999999999998</v>
      </c>
      <c r="AH694">
        <f>'raw data Crude oil'!AH695</f>
        <v>55.683999999999997</v>
      </c>
      <c r="AI694">
        <f>'raw data Crude oil'!AI695</f>
        <v>55.564</v>
      </c>
      <c r="AJ694">
        <f>'raw data Crude oil'!AJ695</f>
        <v>55.433999999999997</v>
      </c>
      <c r="AK694">
        <f>'raw data Crude oil'!AK695</f>
        <v>55.296999999999997</v>
      </c>
    </row>
    <row r="695" spans="1:37" x14ac:dyDescent="0.3">
      <c r="A695" s="18">
        <f>'raw data Crude oil'!A696</f>
        <v>43717</v>
      </c>
      <c r="B695">
        <f>'raw data Crude oil'!B696</f>
        <v>62.59</v>
      </c>
      <c r="C695">
        <f>'raw data Crude oil'!C696</f>
        <v>61.63</v>
      </c>
      <c r="D695">
        <f>'raw data Crude oil'!D696</f>
        <v>61.01</v>
      </c>
      <c r="E695">
        <f>'raw data Crude oil'!E696</f>
        <v>60.59</v>
      </c>
      <c r="F695">
        <f>'raw data Crude oil'!F696</f>
        <v>60.28</v>
      </c>
      <c r="G695">
        <f>'raw data Crude oil'!G696</f>
        <v>60.02</v>
      </c>
      <c r="H695">
        <f>'raw data Crude oil'!H696</f>
        <v>59.79</v>
      </c>
      <c r="I695">
        <f>'raw data Crude oil'!I696</f>
        <v>59.55</v>
      </c>
      <c r="J695">
        <f>'raw data Crude oil'!J696</f>
        <v>59.35</v>
      </c>
      <c r="K695">
        <f>'raw data Crude oil'!K696</f>
        <v>59.18</v>
      </c>
      <c r="L695">
        <f>'raw data Crude oil'!L696</f>
        <v>59</v>
      </c>
      <c r="M695">
        <f>'raw data Crude oil'!M696</f>
        <v>58.82</v>
      </c>
      <c r="N695">
        <f>'raw data Crude oil'!N696</f>
        <v>57.85</v>
      </c>
      <c r="O695">
        <f>'raw data Crude oil'!O696</f>
        <v>57.73</v>
      </c>
      <c r="P695">
        <f>'raw data Crude oil'!P696</f>
        <v>57.43</v>
      </c>
      <c r="Q695">
        <f>'raw data Crude oil'!Q696</f>
        <v>57.03</v>
      </c>
      <c r="R695">
        <f>'raw data Crude oil'!R696</f>
        <v>56.6</v>
      </c>
      <c r="S695">
        <f>'raw data Crude oil'!S696</f>
        <v>56.18</v>
      </c>
      <c r="T695">
        <f>'raw data Crude oil'!T696</f>
        <v>55.78</v>
      </c>
      <c r="U695">
        <f>'raw data Crude oil'!U696</f>
        <v>55.41</v>
      </c>
      <c r="V695">
        <f>'raw data Crude oil'!V696</f>
        <v>55.06</v>
      </c>
      <c r="W695">
        <f>'raw data Crude oil'!W696</f>
        <v>54.72</v>
      </c>
      <c r="X695">
        <f>'raw data Crude oil'!X696</f>
        <v>54.43</v>
      </c>
      <c r="Y695">
        <f>'raw data Crude oil'!Y696</f>
        <v>54.15</v>
      </c>
      <c r="Z695">
        <f>'raw data Crude oil'!Z696</f>
        <v>60.222999999999999</v>
      </c>
      <c r="AA695">
        <f>'raw data Crude oil'!AA696</f>
        <v>59.972999999999999</v>
      </c>
      <c r="AB695">
        <f>'raw data Crude oil'!AB696</f>
        <v>58.96</v>
      </c>
      <c r="AC695">
        <f>'raw data Crude oil'!AC696</f>
        <v>58.1</v>
      </c>
      <c r="AD695">
        <f>'raw data Crude oil'!AD696</f>
        <v>57.438000000000002</v>
      </c>
      <c r="AE695">
        <f>'raw data Crude oil'!AE696</f>
        <v>57.058999999999997</v>
      </c>
      <c r="AF695">
        <f>'raw data Crude oil'!AF696</f>
        <v>56.878999999999998</v>
      </c>
      <c r="AG695">
        <f>'raw data Crude oil'!AG696</f>
        <v>56.7</v>
      </c>
      <c r="AH695">
        <f>'raw data Crude oil'!AH696</f>
        <v>56.542000000000002</v>
      </c>
      <c r="AI695">
        <f>'raw data Crude oil'!AI696</f>
        <v>56.402000000000001</v>
      </c>
      <c r="AJ695">
        <f>'raw data Crude oil'!AJ696</f>
        <v>56.222000000000001</v>
      </c>
      <c r="AK695">
        <f>'raw data Crude oil'!AK696</f>
        <v>56.033999999999999</v>
      </c>
    </row>
    <row r="696" spans="1:37" x14ac:dyDescent="0.3">
      <c r="A696" s="18">
        <f>'raw data Crude oil'!A697</f>
        <v>43718</v>
      </c>
      <c r="B696">
        <f>'raw data Crude oil'!B697</f>
        <v>62.38</v>
      </c>
      <c r="C696">
        <f>'raw data Crude oil'!C697</f>
        <v>61.44</v>
      </c>
      <c r="D696">
        <f>'raw data Crude oil'!D697</f>
        <v>60.84</v>
      </c>
      <c r="E696">
        <f>'raw data Crude oil'!E697</f>
        <v>60.44</v>
      </c>
      <c r="F696">
        <f>'raw data Crude oil'!F697</f>
        <v>60.15</v>
      </c>
      <c r="G696">
        <f>'raw data Crude oil'!G697</f>
        <v>59.91</v>
      </c>
      <c r="H696">
        <f>'raw data Crude oil'!H697</f>
        <v>59.7</v>
      </c>
      <c r="I696">
        <f>'raw data Crude oil'!I697</f>
        <v>59.48</v>
      </c>
      <c r="J696">
        <f>'raw data Crude oil'!J697</f>
        <v>59.3</v>
      </c>
      <c r="K696">
        <f>'raw data Crude oil'!K697</f>
        <v>59.15</v>
      </c>
      <c r="L696">
        <f>'raw data Crude oil'!L697</f>
        <v>59</v>
      </c>
      <c r="M696">
        <f>'raw data Crude oil'!M697</f>
        <v>58.83</v>
      </c>
      <c r="N696">
        <f>'raw data Crude oil'!N697</f>
        <v>57.4</v>
      </c>
      <c r="O696">
        <f>'raw data Crude oil'!O697</f>
        <v>57.29</v>
      </c>
      <c r="P696">
        <f>'raw data Crude oil'!P697</f>
        <v>57</v>
      </c>
      <c r="Q696">
        <f>'raw data Crude oil'!Q697</f>
        <v>56.6</v>
      </c>
      <c r="R696">
        <f>'raw data Crude oil'!R697</f>
        <v>56.18</v>
      </c>
      <c r="S696">
        <f>'raw data Crude oil'!S697</f>
        <v>55.78</v>
      </c>
      <c r="T696">
        <f>'raw data Crude oil'!T697</f>
        <v>55.38</v>
      </c>
      <c r="U696">
        <f>'raw data Crude oil'!U697</f>
        <v>55.02</v>
      </c>
      <c r="V696">
        <f>'raw data Crude oil'!V697</f>
        <v>54.68</v>
      </c>
      <c r="W696">
        <f>'raw data Crude oil'!W697</f>
        <v>54.36</v>
      </c>
      <c r="X696">
        <f>'raw data Crude oil'!X697</f>
        <v>54.08</v>
      </c>
      <c r="Y696">
        <f>'raw data Crude oil'!Y697</f>
        <v>53.82</v>
      </c>
      <c r="Z696">
        <f>'raw data Crude oil'!Z697</f>
        <v>59.773000000000003</v>
      </c>
      <c r="AA696">
        <f>'raw data Crude oil'!AA697</f>
        <v>59.463999999999999</v>
      </c>
      <c r="AB696">
        <f>'raw data Crude oil'!AB697</f>
        <v>58.621000000000002</v>
      </c>
      <c r="AC696">
        <f>'raw data Crude oil'!AC697</f>
        <v>57.781999999999996</v>
      </c>
      <c r="AD696">
        <f>'raw data Crude oil'!AD697</f>
        <v>57.139000000000003</v>
      </c>
      <c r="AE696">
        <f>'raw data Crude oil'!AE697</f>
        <v>56.76</v>
      </c>
      <c r="AF696">
        <f>'raw data Crude oil'!AF697</f>
        <v>56.61</v>
      </c>
      <c r="AG696">
        <f>'raw data Crude oil'!AG697</f>
        <v>56.451000000000001</v>
      </c>
      <c r="AH696">
        <f>'raw data Crude oil'!AH697</f>
        <v>56.313000000000002</v>
      </c>
      <c r="AI696">
        <f>'raw data Crude oil'!AI697</f>
        <v>56.203000000000003</v>
      </c>
      <c r="AJ696">
        <f>'raw data Crude oil'!AJ697</f>
        <v>56.073</v>
      </c>
      <c r="AK696">
        <f>'raw data Crude oil'!AK697</f>
        <v>55.915999999999997</v>
      </c>
    </row>
    <row r="697" spans="1:37" x14ac:dyDescent="0.3">
      <c r="A697" s="18">
        <f>'raw data Crude oil'!A698</f>
        <v>43719</v>
      </c>
      <c r="B697">
        <f>'raw data Crude oil'!B698</f>
        <v>60.81</v>
      </c>
      <c r="C697">
        <f>'raw data Crude oil'!C698</f>
        <v>59.94</v>
      </c>
      <c r="D697">
        <f>'raw data Crude oil'!D698</f>
        <v>59.38</v>
      </c>
      <c r="E697">
        <f>'raw data Crude oil'!E698</f>
        <v>59.02</v>
      </c>
      <c r="F697">
        <f>'raw data Crude oil'!F698</f>
        <v>58.78</v>
      </c>
      <c r="G697">
        <f>'raw data Crude oil'!G698</f>
        <v>58.6</v>
      </c>
      <c r="H697">
        <f>'raw data Crude oil'!H698</f>
        <v>58.44</v>
      </c>
      <c r="I697">
        <f>'raw data Crude oil'!I698</f>
        <v>58.27</v>
      </c>
      <c r="J697">
        <f>'raw data Crude oil'!J698</f>
        <v>58.13</v>
      </c>
      <c r="K697">
        <f>'raw data Crude oil'!K698</f>
        <v>58.01</v>
      </c>
      <c r="L697">
        <f>'raw data Crude oil'!L698</f>
        <v>57.89</v>
      </c>
      <c r="M697">
        <f>'raw data Crude oil'!M698</f>
        <v>57.76</v>
      </c>
      <c r="N697">
        <f>'raw data Crude oil'!N698</f>
        <v>55.75</v>
      </c>
      <c r="O697">
        <f>'raw data Crude oil'!O698</f>
        <v>55.67</v>
      </c>
      <c r="P697">
        <f>'raw data Crude oil'!P698</f>
        <v>55.44</v>
      </c>
      <c r="Q697">
        <f>'raw data Crude oil'!Q698</f>
        <v>55.12</v>
      </c>
      <c r="R697">
        <f>'raw data Crude oil'!R698</f>
        <v>54.78</v>
      </c>
      <c r="S697">
        <f>'raw data Crude oil'!S698</f>
        <v>54.45</v>
      </c>
      <c r="T697">
        <f>'raw data Crude oil'!T698</f>
        <v>54.12</v>
      </c>
      <c r="U697">
        <f>'raw data Crude oil'!U698</f>
        <v>53.83</v>
      </c>
      <c r="V697">
        <f>'raw data Crude oil'!V698</f>
        <v>53.54</v>
      </c>
      <c r="W697">
        <f>'raw data Crude oil'!W698</f>
        <v>53.27</v>
      </c>
      <c r="X697">
        <f>'raw data Crude oil'!X698</f>
        <v>53.02</v>
      </c>
      <c r="Y697">
        <f>'raw data Crude oil'!Y698</f>
        <v>52.8</v>
      </c>
      <c r="Z697">
        <f>'raw data Crude oil'!Z698</f>
        <v>58.91</v>
      </c>
      <c r="AA697">
        <f>'raw data Crude oil'!AA698</f>
        <v>58.015999999999998</v>
      </c>
      <c r="AB697">
        <f>'raw data Crude oil'!AB698</f>
        <v>57.133000000000003</v>
      </c>
      <c r="AC697">
        <f>'raw data Crude oil'!AC698</f>
        <v>56.387</v>
      </c>
      <c r="AD697">
        <f>'raw data Crude oil'!AD698</f>
        <v>55.731999999999999</v>
      </c>
      <c r="AE697">
        <f>'raw data Crude oil'!AE698</f>
        <v>55.402000000000001</v>
      </c>
      <c r="AF697">
        <f>'raw data Crude oil'!AF698</f>
        <v>55.241999999999997</v>
      </c>
      <c r="AG697">
        <f>'raw data Crude oil'!AG698</f>
        <v>55.073</v>
      </c>
      <c r="AH697">
        <f>'raw data Crude oil'!AH698</f>
        <v>55.014000000000003</v>
      </c>
      <c r="AI697">
        <f>'raw data Crude oil'!AI698</f>
        <v>54.935000000000002</v>
      </c>
      <c r="AJ697">
        <f>'raw data Crude oil'!AJ698</f>
        <v>54.863999999999997</v>
      </c>
      <c r="AK697">
        <f>'raw data Crude oil'!AK698</f>
        <v>54.758000000000003</v>
      </c>
    </row>
    <row r="698" spans="1:37" x14ac:dyDescent="0.3">
      <c r="A698" s="18">
        <f>'raw data Crude oil'!A699</f>
        <v>43720</v>
      </c>
      <c r="B698">
        <f>'raw data Crude oil'!B699</f>
        <v>60.38</v>
      </c>
      <c r="C698">
        <f>'raw data Crude oil'!C699</f>
        <v>59.46</v>
      </c>
      <c r="D698">
        <f>'raw data Crude oil'!D699</f>
        <v>58.87</v>
      </c>
      <c r="E698">
        <f>'raw data Crude oil'!E699</f>
        <v>58.5</v>
      </c>
      <c r="F698">
        <f>'raw data Crude oil'!F699</f>
        <v>58.24</v>
      </c>
      <c r="G698">
        <f>'raw data Crude oil'!G699</f>
        <v>58.07</v>
      </c>
      <c r="H698">
        <f>'raw data Crude oil'!H699</f>
        <v>57.93</v>
      </c>
      <c r="I698">
        <f>'raw data Crude oil'!I699</f>
        <v>57.77</v>
      </c>
      <c r="J698">
        <f>'raw data Crude oil'!J699</f>
        <v>57.65</v>
      </c>
      <c r="K698">
        <f>'raw data Crude oil'!K699</f>
        <v>57.55</v>
      </c>
      <c r="L698">
        <f>'raw data Crude oil'!L699</f>
        <v>57.45</v>
      </c>
      <c r="M698">
        <f>'raw data Crude oil'!M699</f>
        <v>57.32</v>
      </c>
      <c r="N698">
        <f>'raw data Crude oil'!N699</f>
        <v>55.09</v>
      </c>
      <c r="O698">
        <f>'raw data Crude oil'!O699</f>
        <v>55.05</v>
      </c>
      <c r="P698">
        <f>'raw data Crude oil'!P699</f>
        <v>54.86</v>
      </c>
      <c r="Q698">
        <f>'raw data Crude oil'!Q699</f>
        <v>54.57</v>
      </c>
      <c r="R698">
        <f>'raw data Crude oil'!R699</f>
        <v>54.26</v>
      </c>
      <c r="S698">
        <f>'raw data Crude oil'!S699</f>
        <v>53.96</v>
      </c>
      <c r="T698">
        <f>'raw data Crude oil'!T699</f>
        <v>53.67</v>
      </c>
      <c r="U698">
        <f>'raw data Crude oil'!U699</f>
        <v>53.39</v>
      </c>
      <c r="V698">
        <f>'raw data Crude oil'!V699</f>
        <v>53.12</v>
      </c>
      <c r="W698">
        <f>'raw data Crude oil'!W699</f>
        <v>52.86</v>
      </c>
      <c r="X698">
        <f>'raw data Crude oil'!X699</f>
        <v>52.62</v>
      </c>
      <c r="Y698">
        <f>'raw data Crude oil'!Y699</f>
        <v>52.41</v>
      </c>
      <c r="Z698">
        <f>'raw data Crude oil'!Z699</f>
        <v>58.706000000000003</v>
      </c>
      <c r="AA698">
        <f>'raw data Crude oil'!AA699</f>
        <v>57.573999999999998</v>
      </c>
      <c r="AB698">
        <f>'raw data Crude oil'!AB699</f>
        <v>56.752000000000002</v>
      </c>
      <c r="AC698">
        <f>'raw data Crude oil'!AC699</f>
        <v>55.935000000000002</v>
      </c>
      <c r="AD698">
        <f>'raw data Crude oil'!AD699</f>
        <v>55.241999999999997</v>
      </c>
      <c r="AE698">
        <f>'raw data Crude oil'!AE699</f>
        <v>54.982999999999997</v>
      </c>
      <c r="AF698">
        <f>'raw data Crude oil'!AF699</f>
        <v>54.872999999999998</v>
      </c>
      <c r="AG698">
        <f>'raw data Crude oil'!AG699</f>
        <v>54.753999999999998</v>
      </c>
      <c r="AH698">
        <f>'raw data Crude oil'!AH699</f>
        <v>54.645000000000003</v>
      </c>
      <c r="AI698">
        <f>'raw data Crude oil'!AI699</f>
        <v>54.545000000000002</v>
      </c>
      <c r="AJ698">
        <f>'raw data Crude oil'!AJ699</f>
        <v>54.454000000000001</v>
      </c>
      <c r="AK698">
        <f>'raw data Crude oil'!AK699</f>
        <v>54.36</v>
      </c>
    </row>
    <row r="699" spans="1:37" x14ac:dyDescent="0.3">
      <c r="A699" s="18">
        <f>'raw data Crude oil'!A700</f>
        <v>43721</v>
      </c>
      <c r="B699">
        <f>'raw data Crude oil'!B700</f>
        <v>60.22</v>
      </c>
      <c r="C699">
        <f>'raw data Crude oil'!C700</f>
        <v>59.25</v>
      </c>
      <c r="D699">
        <f>'raw data Crude oil'!D700</f>
        <v>58.61</v>
      </c>
      <c r="E699">
        <f>'raw data Crude oil'!E700</f>
        <v>58.18</v>
      </c>
      <c r="F699">
        <f>'raw data Crude oil'!F700</f>
        <v>57.88</v>
      </c>
      <c r="G699">
        <f>'raw data Crude oil'!G700</f>
        <v>57.68</v>
      </c>
      <c r="H699">
        <f>'raw data Crude oil'!H700</f>
        <v>57.52</v>
      </c>
      <c r="I699">
        <f>'raw data Crude oil'!I700</f>
        <v>57.36</v>
      </c>
      <c r="J699">
        <f>'raw data Crude oil'!J700</f>
        <v>57.23</v>
      </c>
      <c r="K699">
        <f>'raw data Crude oil'!K700</f>
        <v>57.12</v>
      </c>
      <c r="L699">
        <f>'raw data Crude oil'!L700</f>
        <v>57.01</v>
      </c>
      <c r="M699">
        <f>'raw data Crude oil'!M700</f>
        <v>56.88</v>
      </c>
      <c r="N699">
        <f>'raw data Crude oil'!N700</f>
        <v>54.85</v>
      </c>
      <c r="O699">
        <f>'raw data Crude oil'!O700</f>
        <v>54.8</v>
      </c>
      <c r="P699">
        <f>'raw data Crude oil'!P700</f>
        <v>54.59</v>
      </c>
      <c r="Q699">
        <f>'raw data Crude oil'!Q700</f>
        <v>54.27</v>
      </c>
      <c r="R699">
        <f>'raw data Crude oil'!R700</f>
        <v>53.94</v>
      </c>
      <c r="S699">
        <f>'raw data Crude oil'!S700</f>
        <v>53.61</v>
      </c>
      <c r="T699">
        <f>'raw data Crude oil'!T700</f>
        <v>53.29</v>
      </c>
      <c r="U699">
        <f>'raw data Crude oil'!U700</f>
        <v>53</v>
      </c>
      <c r="V699">
        <f>'raw data Crude oil'!V700</f>
        <v>52.72</v>
      </c>
      <c r="W699">
        <f>'raw data Crude oil'!W700</f>
        <v>52.45</v>
      </c>
      <c r="X699">
        <f>'raw data Crude oil'!X700</f>
        <v>52.21</v>
      </c>
      <c r="Y699">
        <f>'raw data Crude oil'!Y700</f>
        <v>51.99</v>
      </c>
      <c r="Z699">
        <f>'raw data Crude oil'!Z700</f>
        <v>58.597999999999999</v>
      </c>
      <c r="AA699">
        <f>'raw data Crude oil'!AA700</f>
        <v>57.372</v>
      </c>
      <c r="AB699">
        <f>'raw data Crude oil'!AB700</f>
        <v>56.42</v>
      </c>
      <c r="AC699">
        <f>'raw data Crude oil'!AC700</f>
        <v>55.540999999999997</v>
      </c>
      <c r="AD699">
        <f>'raw data Crude oil'!AD700</f>
        <v>54.85</v>
      </c>
      <c r="AE699">
        <f>'raw data Crude oil'!AE700</f>
        <v>54.531999999999996</v>
      </c>
      <c r="AF699">
        <f>'raw data Crude oil'!AF700</f>
        <v>54.402999999999999</v>
      </c>
      <c r="AG699">
        <f>'raw data Crude oil'!AG700</f>
        <v>54.283999999999999</v>
      </c>
      <c r="AH699">
        <f>'raw data Crude oil'!AH700</f>
        <v>54.174999999999997</v>
      </c>
      <c r="AI699">
        <f>'raw data Crude oil'!AI700</f>
        <v>54.075000000000003</v>
      </c>
      <c r="AJ699">
        <f>'raw data Crude oil'!AJ700</f>
        <v>53.973999999999997</v>
      </c>
      <c r="AK699">
        <f>'raw data Crude oil'!AK700</f>
        <v>53.87</v>
      </c>
    </row>
    <row r="700" spans="1:37" x14ac:dyDescent="0.3">
      <c r="A700" s="18">
        <f>'raw data Crude oil'!A701</f>
        <v>43724</v>
      </c>
      <c r="B700">
        <f>'raw data Crude oil'!B701</f>
        <v>69.02</v>
      </c>
      <c r="C700">
        <f>'raw data Crude oil'!C701</f>
        <v>67.680000000000007</v>
      </c>
      <c r="D700">
        <f>'raw data Crude oil'!D701</f>
        <v>66.55</v>
      </c>
      <c r="E700">
        <f>'raw data Crude oil'!E701</f>
        <v>65.59</v>
      </c>
      <c r="F700">
        <f>'raw data Crude oil'!F701</f>
        <v>64.78</v>
      </c>
      <c r="G700">
        <f>'raw data Crude oil'!G701</f>
        <v>64.069999999999993</v>
      </c>
      <c r="H700">
        <f>'raw data Crude oil'!H701</f>
        <v>63.45</v>
      </c>
      <c r="I700">
        <f>'raw data Crude oil'!I701</f>
        <v>62.88</v>
      </c>
      <c r="J700">
        <f>'raw data Crude oil'!J701</f>
        <v>62.39</v>
      </c>
      <c r="K700">
        <f>'raw data Crude oil'!K701</f>
        <v>61.97</v>
      </c>
      <c r="L700">
        <f>'raw data Crude oil'!L701</f>
        <v>61.58</v>
      </c>
      <c r="M700">
        <f>'raw data Crude oil'!M701</f>
        <v>61.17</v>
      </c>
      <c r="N700">
        <f>'raw data Crude oil'!N701</f>
        <v>62.9</v>
      </c>
      <c r="O700">
        <f>'raw data Crude oil'!O701</f>
        <v>62.67</v>
      </c>
      <c r="P700">
        <f>'raw data Crude oil'!P701</f>
        <v>62.02</v>
      </c>
      <c r="Q700">
        <f>'raw data Crude oil'!Q701</f>
        <v>61.13</v>
      </c>
      <c r="R700">
        <f>'raw data Crude oil'!R701</f>
        <v>60.22</v>
      </c>
      <c r="S700">
        <f>'raw data Crude oil'!S701</f>
        <v>59.31</v>
      </c>
      <c r="T700">
        <f>'raw data Crude oil'!T701</f>
        <v>58.45</v>
      </c>
      <c r="U700">
        <f>'raw data Crude oil'!U701</f>
        <v>57.68</v>
      </c>
      <c r="V700">
        <f>'raw data Crude oil'!V701</f>
        <v>56.99</v>
      </c>
      <c r="W700">
        <f>'raw data Crude oil'!W701</f>
        <v>56.36</v>
      </c>
      <c r="X700">
        <f>'raw data Crude oil'!X701</f>
        <v>55.79</v>
      </c>
      <c r="Y700">
        <f>'raw data Crude oil'!Y701</f>
        <v>55.31</v>
      </c>
      <c r="Z700">
        <f>'raw data Crude oil'!Z701</f>
        <v>63.118000000000002</v>
      </c>
      <c r="AA700">
        <f>'raw data Crude oil'!AA701</f>
        <v>66.090999999999994</v>
      </c>
      <c r="AB700">
        <f>'raw data Crude oil'!AB701</f>
        <v>64.683999999999997</v>
      </c>
      <c r="AC700">
        <f>'raw data Crude oil'!AC701</f>
        <v>63.273000000000003</v>
      </c>
      <c r="AD700">
        <f>'raw data Crude oil'!AD701</f>
        <v>62.158000000000001</v>
      </c>
      <c r="AE700">
        <f>'raw data Crude oil'!AE701</f>
        <v>61.399000000000001</v>
      </c>
      <c r="AF700">
        <f>'raw data Crude oil'!AF701</f>
        <v>60.774000000000001</v>
      </c>
      <c r="AG700">
        <f>'raw data Crude oil'!AG701</f>
        <v>60.216999999999999</v>
      </c>
      <c r="AH700">
        <f>'raw data Crude oil'!AH701</f>
        <v>59.77</v>
      </c>
      <c r="AI700">
        <f>'raw data Crude oil'!AI701</f>
        <v>59.362000000000002</v>
      </c>
      <c r="AJ700">
        <f>'raw data Crude oil'!AJ701</f>
        <v>58.892000000000003</v>
      </c>
      <c r="AK700">
        <f>'raw data Crude oil'!AK701</f>
        <v>58.475000000000001</v>
      </c>
    </row>
    <row r="701" spans="1:37" x14ac:dyDescent="0.3">
      <c r="A701" s="18">
        <f>'raw data Crude oil'!A702</f>
        <v>43725</v>
      </c>
      <c r="B701">
        <f>'raw data Crude oil'!B702</f>
        <v>64.55</v>
      </c>
      <c r="C701">
        <f>'raw data Crude oil'!C702</f>
        <v>63.56</v>
      </c>
      <c r="D701">
        <f>'raw data Crude oil'!D702</f>
        <v>62.7</v>
      </c>
      <c r="E701">
        <f>'raw data Crude oil'!E702</f>
        <v>62.04</v>
      </c>
      <c r="F701">
        <f>'raw data Crude oil'!F702</f>
        <v>61.54</v>
      </c>
      <c r="G701">
        <f>'raw data Crude oil'!G702</f>
        <v>61.11</v>
      </c>
      <c r="H701">
        <f>'raw data Crude oil'!H702</f>
        <v>60.74</v>
      </c>
      <c r="I701">
        <f>'raw data Crude oil'!I702</f>
        <v>60.39</v>
      </c>
      <c r="J701">
        <f>'raw data Crude oil'!J702</f>
        <v>60.1</v>
      </c>
      <c r="K701">
        <f>'raw data Crude oil'!K702</f>
        <v>59.86</v>
      </c>
      <c r="L701">
        <f>'raw data Crude oil'!L702</f>
        <v>59.63</v>
      </c>
      <c r="M701">
        <f>'raw data Crude oil'!M702</f>
        <v>59.39</v>
      </c>
      <c r="N701">
        <f>'raw data Crude oil'!N702</f>
        <v>59.34</v>
      </c>
      <c r="O701">
        <f>'raw data Crude oil'!O702</f>
        <v>59.1</v>
      </c>
      <c r="P701">
        <f>'raw data Crude oil'!P702</f>
        <v>58.57</v>
      </c>
      <c r="Q701">
        <f>'raw data Crude oil'!Q702</f>
        <v>57.92</v>
      </c>
      <c r="R701">
        <f>'raw data Crude oil'!R702</f>
        <v>57.28</v>
      </c>
      <c r="S701">
        <f>'raw data Crude oil'!S702</f>
        <v>56.62</v>
      </c>
      <c r="T701">
        <f>'raw data Crude oil'!T702</f>
        <v>56.03</v>
      </c>
      <c r="U701">
        <f>'raw data Crude oil'!U702</f>
        <v>55.49</v>
      </c>
      <c r="V701">
        <f>'raw data Crude oil'!V702</f>
        <v>55</v>
      </c>
      <c r="W701">
        <f>'raw data Crude oil'!W702</f>
        <v>54.56</v>
      </c>
      <c r="X701">
        <f>'raw data Crude oil'!X702</f>
        <v>54.16</v>
      </c>
      <c r="Y701">
        <f>'raw data Crude oil'!Y702</f>
        <v>53.83</v>
      </c>
      <c r="Z701">
        <f>'raw data Crude oil'!Z702</f>
        <v>61.392000000000003</v>
      </c>
      <c r="AA701">
        <f>'raw data Crude oil'!AA702</f>
        <v>61.972999999999999</v>
      </c>
      <c r="AB701">
        <f>'raw data Crude oil'!AB702</f>
        <v>60.749000000000002</v>
      </c>
      <c r="AC701">
        <f>'raw data Crude oil'!AC702</f>
        <v>59.622</v>
      </c>
      <c r="AD701">
        <f>'raw data Crude oil'!AD702</f>
        <v>58.79</v>
      </c>
      <c r="AE701">
        <f>'raw data Crude oil'!AE702</f>
        <v>58.381999999999998</v>
      </c>
      <c r="AF701">
        <f>'raw data Crude oil'!AF702</f>
        <v>57.984000000000002</v>
      </c>
      <c r="AG701">
        <f>'raw data Crude oil'!AG702</f>
        <v>57.706000000000003</v>
      </c>
      <c r="AH701">
        <f>'raw data Crude oil'!AH702</f>
        <v>57.439</v>
      </c>
      <c r="AI701">
        <f>'raw data Crude oil'!AI702</f>
        <v>57.18</v>
      </c>
      <c r="AJ701">
        <f>'raw data Crude oil'!AJ702</f>
        <v>56.93</v>
      </c>
      <c r="AK701">
        <f>'raw data Crude oil'!AK702</f>
        <v>56.689</v>
      </c>
    </row>
    <row r="702" spans="1:37" x14ac:dyDescent="0.3">
      <c r="A702" s="18">
        <f>'raw data Crude oil'!A703</f>
        <v>43726</v>
      </c>
      <c r="B702">
        <f>'raw data Crude oil'!B703</f>
        <v>63.6</v>
      </c>
      <c r="C702">
        <f>'raw data Crude oil'!C703</f>
        <v>62.66</v>
      </c>
      <c r="D702">
        <f>'raw data Crude oil'!D703</f>
        <v>61.8</v>
      </c>
      <c r="E702">
        <f>'raw data Crude oil'!E703</f>
        <v>61.18</v>
      </c>
      <c r="F702">
        <f>'raw data Crude oil'!F703</f>
        <v>60.71</v>
      </c>
      <c r="G702">
        <f>'raw data Crude oil'!G703</f>
        <v>60.32</v>
      </c>
      <c r="H702">
        <f>'raw data Crude oil'!H703</f>
        <v>59.99</v>
      </c>
      <c r="I702">
        <f>'raw data Crude oil'!I703</f>
        <v>59.67</v>
      </c>
      <c r="J702">
        <f>'raw data Crude oil'!J703</f>
        <v>59.39</v>
      </c>
      <c r="K702">
        <f>'raw data Crude oil'!K703</f>
        <v>59.14</v>
      </c>
      <c r="L702">
        <f>'raw data Crude oil'!L703</f>
        <v>58.9</v>
      </c>
      <c r="M702">
        <f>'raw data Crude oil'!M703</f>
        <v>58.65</v>
      </c>
      <c r="N702">
        <f>'raw data Crude oil'!N703</f>
        <v>58.11</v>
      </c>
      <c r="O702">
        <f>'raw data Crude oil'!O703</f>
        <v>58.04</v>
      </c>
      <c r="P702">
        <f>'raw data Crude oil'!P703</f>
        <v>57.62</v>
      </c>
      <c r="Q702">
        <f>'raw data Crude oil'!Q703</f>
        <v>57.08</v>
      </c>
      <c r="R702">
        <f>'raw data Crude oil'!R703</f>
        <v>56.56</v>
      </c>
      <c r="S702">
        <f>'raw data Crude oil'!S703</f>
        <v>56.05</v>
      </c>
      <c r="T702">
        <f>'raw data Crude oil'!T703</f>
        <v>55.54</v>
      </c>
      <c r="U702">
        <f>'raw data Crude oil'!U703</f>
        <v>55.03</v>
      </c>
      <c r="V702">
        <f>'raw data Crude oil'!V703</f>
        <v>54.55</v>
      </c>
      <c r="W702">
        <f>'raw data Crude oil'!W703</f>
        <v>54.12</v>
      </c>
      <c r="X702">
        <f>'raw data Crude oil'!X703</f>
        <v>53.71</v>
      </c>
      <c r="Y702">
        <f>'raw data Crude oil'!Y703</f>
        <v>53.35</v>
      </c>
      <c r="Z702">
        <f>'raw data Crude oil'!Z703</f>
        <v>61.170999999999999</v>
      </c>
      <c r="AA702">
        <f>'raw data Crude oil'!AA703</f>
        <v>61.343000000000004</v>
      </c>
      <c r="AB702">
        <f>'raw data Crude oil'!AB703</f>
        <v>60.03</v>
      </c>
      <c r="AC702">
        <f>'raw data Crude oil'!AC703</f>
        <v>58.844999999999999</v>
      </c>
      <c r="AD702">
        <f>'raw data Crude oil'!AD703</f>
        <v>58.031999999999996</v>
      </c>
      <c r="AE702">
        <f>'raw data Crude oil'!AE703</f>
        <v>57.584000000000003</v>
      </c>
      <c r="AF702">
        <f>'raw data Crude oil'!AF703</f>
        <v>57.225000000000001</v>
      </c>
      <c r="AG702">
        <f>'raw data Crude oil'!AG703</f>
        <v>56.966999999999999</v>
      </c>
      <c r="AH702">
        <f>'raw data Crude oil'!AH703</f>
        <v>56.758000000000003</v>
      </c>
      <c r="AI702">
        <f>'raw data Crude oil'!AI703</f>
        <v>56.529000000000003</v>
      </c>
      <c r="AJ702">
        <f>'raw data Crude oil'!AJ703</f>
        <v>56.298999999999999</v>
      </c>
      <c r="AK702">
        <f>'raw data Crude oil'!AK703</f>
        <v>56.067</v>
      </c>
    </row>
    <row r="703" spans="1:37" x14ac:dyDescent="0.3">
      <c r="A703" s="18">
        <f>'raw data Crude oil'!A704</f>
        <v>43727</v>
      </c>
      <c r="B703">
        <f>'raw data Crude oil'!B704</f>
        <v>64.400000000000006</v>
      </c>
      <c r="C703">
        <f>'raw data Crude oil'!C704</f>
        <v>63.33</v>
      </c>
      <c r="D703">
        <f>'raw data Crude oil'!D704</f>
        <v>62.39</v>
      </c>
      <c r="E703">
        <f>'raw data Crude oil'!E704</f>
        <v>61.72</v>
      </c>
      <c r="F703">
        <f>'raw data Crude oil'!F704</f>
        <v>61.23</v>
      </c>
      <c r="G703">
        <f>'raw data Crude oil'!G704</f>
        <v>60.81</v>
      </c>
      <c r="H703">
        <f>'raw data Crude oil'!H704</f>
        <v>60.44</v>
      </c>
      <c r="I703">
        <f>'raw data Crude oil'!I704</f>
        <v>60.08</v>
      </c>
      <c r="J703">
        <f>'raw data Crude oil'!J704</f>
        <v>59.76</v>
      </c>
      <c r="K703">
        <f>'raw data Crude oil'!K704</f>
        <v>59.47</v>
      </c>
      <c r="L703">
        <f>'raw data Crude oil'!L704</f>
        <v>59.2</v>
      </c>
      <c r="M703">
        <f>'raw data Crude oil'!M704</f>
        <v>58.92</v>
      </c>
      <c r="N703">
        <f>'raw data Crude oil'!N704</f>
        <v>58.13</v>
      </c>
      <c r="O703">
        <f>'raw data Crude oil'!O704</f>
        <v>58.19</v>
      </c>
      <c r="P703">
        <f>'raw data Crude oil'!P704</f>
        <v>57.91</v>
      </c>
      <c r="Q703">
        <f>'raw data Crude oil'!Q704</f>
        <v>57.43</v>
      </c>
      <c r="R703">
        <f>'raw data Crude oil'!R704</f>
        <v>56.91</v>
      </c>
      <c r="S703">
        <f>'raw data Crude oil'!S704</f>
        <v>56.37</v>
      </c>
      <c r="T703">
        <f>'raw data Crude oil'!T704</f>
        <v>55.85</v>
      </c>
      <c r="U703">
        <f>'raw data Crude oil'!U704</f>
        <v>55.34</v>
      </c>
      <c r="V703">
        <f>'raw data Crude oil'!V704</f>
        <v>54.84</v>
      </c>
      <c r="W703">
        <f>'raw data Crude oil'!W704</f>
        <v>54.36</v>
      </c>
      <c r="X703">
        <f>'raw data Crude oil'!X704</f>
        <v>53.93</v>
      </c>
      <c r="Y703">
        <f>'raw data Crude oil'!Y704</f>
        <v>53.55</v>
      </c>
      <c r="Z703">
        <f>'raw data Crude oil'!Z704</f>
        <v>61.685000000000002</v>
      </c>
      <c r="AA703">
        <f>'raw data Crude oil'!AA704</f>
        <v>62.639000000000003</v>
      </c>
      <c r="AB703">
        <f>'raw data Crude oil'!AB704</f>
        <v>61.107999999999997</v>
      </c>
      <c r="AC703">
        <f>'raw data Crude oil'!AC704</f>
        <v>59.753</v>
      </c>
      <c r="AD703">
        <f>'raw data Crude oil'!AD704</f>
        <v>58.820999999999998</v>
      </c>
      <c r="AE703">
        <f>'raw data Crude oil'!AE704</f>
        <v>58.341999999999999</v>
      </c>
      <c r="AF703">
        <f>'raw data Crude oil'!AF704</f>
        <v>57.914000000000001</v>
      </c>
      <c r="AG703">
        <f>'raw data Crude oil'!AG704</f>
        <v>57.674999999999997</v>
      </c>
      <c r="AH703">
        <f>'raw data Crude oil'!AH704</f>
        <v>57.426000000000002</v>
      </c>
      <c r="AI703">
        <f>'raw data Crude oil'!AI704</f>
        <v>57.177999999999997</v>
      </c>
      <c r="AJ703">
        <f>'raw data Crude oil'!AJ704</f>
        <v>56.917999999999999</v>
      </c>
      <c r="AK703">
        <f>'raw data Crude oil'!AK704</f>
        <v>56.664999999999999</v>
      </c>
    </row>
    <row r="704" spans="1:37" x14ac:dyDescent="0.3">
      <c r="A704" s="18">
        <f>'raw data Crude oil'!A705</f>
        <v>43728</v>
      </c>
      <c r="B704">
        <f>'raw data Crude oil'!B705</f>
        <v>64.28</v>
      </c>
      <c r="C704">
        <f>'raw data Crude oil'!C705</f>
        <v>63.2</v>
      </c>
      <c r="D704">
        <f>'raw data Crude oil'!D705</f>
        <v>62.2</v>
      </c>
      <c r="E704">
        <f>'raw data Crude oil'!E705</f>
        <v>61.52</v>
      </c>
      <c r="F704">
        <f>'raw data Crude oil'!F705</f>
        <v>61.02</v>
      </c>
      <c r="G704">
        <f>'raw data Crude oil'!G705</f>
        <v>60.62</v>
      </c>
      <c r="H704">
        <f>'raw data Crude oil'!H705</f>
        <v>60.27</v>
      </c>
      <c r="I704">
        <f>'raw data Crude oil'!I705</f>
        <v>59.94</v>
      </c>
      <c r="J704">
        <f>'raw data Crude oil'!J705</f>
        <v>59.64</v>
      </c>
      <c r="K704">
        <f>'raw data Crude oil'!K705</f>
        <v>59.38</v>
      </c>
      <c r="L704">
        <f>'raw data Crude oil'!L705</f>
        <v>59.12</v>
      </c>
      <c r="M704">
        <f>'raw data Crude oil'!M705</f>
        <v>58.86</v>
      </c>
      <c r="N704">
        <f>'raw data Crude oil'!N705</f>
        <v>58.09</v>
      </c>
      <c r="O704">
        <f>'raw data Crude oil'!O705</f>
        <v>58.09</v>
      </c>
      <c r="P704">
        <f>'raw data Crude oil'!P705</f>
        <v>57.84</v>
      </c>
      <c r="Q704">
        <f>'raw data Crude oil'!Q705</f>
        <v>57.39</v>
      </c>
      <c r="R704">
        <f>'raw data Crude oil'!R705</f>
        <v>56.9</v>
      </c>
      <c r="S704">
        <f>'raw data Crude oil'!S705</f>
        <v>56.38</v>
      </c>
      <c r="T704">
        <f>'raw data Crude oil'!T705</f>
        <v>55.84</v>
      </c>
      <c r="U704">
        <f>'raw data Crude oil'!U705</f>
        <v>55.31</v>
      </c>
      <c r="V704">
        <f>'raw data Crude oil'!V705</f>
        <v>54.8</v>
      </c>
      <c r="W704">
        <f>'raw data Crude oil'!W705</f>
        <v>54.32</v>
      </c>
      <c r="X704">
        <f>'raw data Crude oil'!X705</f>
        <v>53.89</v>
      </c>
      <c r="Y704">
        <f>'raw data Crude oil'!Y705</f>
        <v>53.52</v>
      </c>
      <c r="Z704">
        <f>'raw data Crude oil'!Z705</f>
        <v>61.506</v>
      </c>
      <c r="AA704">
        <f>'raw data Crude oil'!AA705</f>
        <v>62.226999999999997</v>
      </c>
      <c r="AB704">
        <f>'raw data Crude oil'!AB705</f>
        <v>60.698</v>
      </c>
      <c r="AC704">
        <f>'raw data Crude oil'!AC705</f>
        <v>59.402000000000001</v>
      </c>
      <c r="AD704">
        <f>'raw data Crude oil'!AD705</f>
        <v>58.472000000000001</v>
      </c>
      <c r="AE704">
        <f>'raw data Crude oil'!AE705</f>
        <v>58.063000000000002</v>
      </c>
      <c r="AF704">
        <f>'raw data Crude oil'!AF705</f>
        <v>57.664999999999999</v>
      </c>
      <c r="AG704">
        <f>'raw data Crude oil'!AG705</f>
        <v>57.386000000000003</v>
      </c>
      <c r="AH704">
        <f>'raw data Crude oil'!AH705</f>
        <v>57.106999999999999</v>
      </c>
      <c r="AI704">
        <f>'raw data Crude oil'!AI705</f>
        <v>56.878</v>
      </c>
      <c r="AJ704">
        <f>'raw data Crude oil'!AJ705</f>
        <v>56.649000000000001</v>
      </c>
      <c r="AK704">
        <f>'raw data Crude oil'!AK705</f>
        <v>56.427</v>
      </c>
    </row>
    <row r="705" spans="1:37" x14ac:dyDescent="0.3">
      <c r="A705" s="18">
        <f>'raw data Crude oil'!A706</f>
        <v>43731</v>
      </c>
      <c r="B705">
        <f>'raw data Crude oil'!B706</f>
        <v>64.77</v>
      </c>
      <c r="C705">
        <f>'raw data Crude oil'!C706</f>
        <v>63.73</v>
      </c>
      <c r="D705">
        <f>'raw data Crude oil'!D706</f>
        <v>62.69</v>
      </c>
      <c r="E705">
        <f>'raw data Crude oil'!E706</f>
        <v>61.97</v>
      </c>
      <c r="F705">
        <f>'raw data Crude oil'!F706</f>
        <v>61.45</v>
      </c>
      <c r="G705">
        <f>'raw data Crude oil'!G706</f>
        <v>61.06</v>
      </c>
      <c r="H705">
        <f>'raw data Crude oil'!H706</f>
        <v>60.74</v>
      </c>
      <c r="I705">
        <f>'raw data Crude oil'!I706</f>
        <v>60.44</v>
      </c>
      <c r="J705">
        <f>'raw data Crude oil'!J706</f>
        <v>60.17</v>
      </c>
      <c r="K705">
        <f>'raw data Crude oil'!K706</f>
        <v>59.93</v>
      </c>
      <c r="L705">
        <f>'raw data Crude oil'!L706</f>
        <v>59.7</v>
      </c>
      <c r="M705">
        <f>'raw data Crude oil'!M706</f>
        <v>59.46</v>
      </c>
      <c r="N705">
        <f>'raw data Crude oil'!N706</f>
        <v>58.64</v>
      </c>
      <c r="O705">
        <f>'raw data Crude oil'!O706</f>
        <v>58.42</v>
      </c>
      <c r="P705">
        <f>'raw data Crude oil'!P706</f>
        <v>57.96</v>
      </c>
      <c r="Q705">
        <f>'raw data Crude oil'!Q706</f>
        <v>57.45</v>
      </c>
      <c r="R705">
        <f>'raw data Crude oil'!R706</f>
        <v>56.93</v>
      </c>
      <c r="S705">
        <f>'raw data Crude oil'!S706</f>
        <v>56.42</v>
      </c>
      <c r="T705">
        <f>'raw data Crude oil'!T706</f>
        <v>55.92</v>
      </c>
      <c r="U705">
        <f>'raw data Crude oil'!U706</f>
        <v>55.44</v>
      </c>
      <c r="V705">
        <f>'raw data Crude oil'!V706</f>
        <v>54.99</v>
      </c>
      <c r="W705">
        <f>'raw data Crude oil'!W706</f>
        <v>54.59</v>
      </c>
      <c r="X705">
        <f>'raw data Crude oil'!X706</f>
        <v>54.25</v>
      </c>
      <c r="Y705">
        <f>'raw data Crude oil'!Y706</f>
        <v>53.96</v>
      </c>
      <c r="Z705">
        <f>'raw data Crude oil'!Z706</f>
        <v>61.64</v>
      </c>
      <c r="AA705">
        <f>'raw data Crude oil'!AA706</f>
        <v>62.585000000000001</v>
      </c>
      <c r="AB705">
        <f>'raw data Crude oil'!AB706</f>
        <v>61.095999999999997</v>
      </c>
      <c r="AC705">
        <f>'raw data Crude oil'!AC706</f>
        <v>59.79</v>
      </c>
      <c r="AD705">
        <f>'raw data Crude oil'!AD706</f>
        <v>58.832000000000001</v>
      </c>
      <c r="AE705">
        <f>'raw data Crude oil'!AE706</f>
        <v>58.393999999999998</v>
      </c>
      <c r="AF705">
        <f>'raw data Crude oil'!AF706</f>
        <v>58.045999999999999</v>
      </c>
      <c r="AG705">
        <f>'raw data Crude oil'!AG706</f>
        <v>57.826999999999998</v>
      </c>
      <c r="AH705">
        <f>'raw data Crude oil'!AH706</f>
        <v>57.609000000000002</v>
      </c>
      <c r="AI705">
        <f>'raw data Crude oil'!AI706</f>
        <v>57.41</v>
      </c>
      <c r="AJ705">
        <f>'raw data Crude oil'!AJ706</f>
        <v>57.21</v>
      </c>
      <c r="AK705">
        <f>'raw data Crude oil'!AK706</f>
        <v>56.999000000000002</v>
      </c>
    </row>
    <row r="706" spans="1:37" x14ac:dyDescent="0.3">
      <c r="A706" s="18">
        <f>'raw data Crude oil'!A707</f>
        <v>43732</v>
      </c>
      <c r="B706">
        <f>'raw data Crude oil'!B707</f>
        <v>63.1</v>
      </c>
      <c r="C706">
        <f>'raw data Crude oil'!C707</f>
        <v>62.12</v>
      </c>
      <c r="D706">
        <f>'raw data Crude oil'!D707</f>
        <v>61.16</v>
      </c>
      <c r="E706">
        <f>'raw data Crude oil'!E707</f>
        <v>60.49</v>
      </c>
      <c r="F706">
        <f>'raw data Crude oil'!F707</f>
        <v>60.03</v>
      </c>
      <c r="G706">
        <f>'raw data Crude oil'!G707</f>
        <v>59.68</v>
      </c>
      <c r="H706">
        <f>'raw data Crude oil'!H707</f>
        <v>59.39</v>
      </c>
      <c r="I706">
        <f>'raw data Crude oil'!I707</f>
        <v>59.12</v>
      </c>
      <c r="J706">
        <f>'raw data Crude oil'!J707</f>
        <v>58.88</v>
      </c>
      <c r="K706">
        <f>'raw data Crude oil'!K707</f>
        <v>58.7</v>
      </c>
      <c r="L706">
        <f>'raw data Crude oil'!L707</f>
        <v>58.52</v>
      </c>
      <c r="M706">
        <f>'raw data Crude oil'!M707</f>
        <v>58.32</v>
      </c>
      <c r="N706">
        <f>'raw data Crude oil'!N707</f>
        <v>57.29</v>
      </c>
      <c r="O706">
        <f>'raw data Crude oil'!O707</f>
        <v>57.08</v>
      </c>
      <c r="P706">
        <f>'raw data Crude oil'!P707</f>
        <v>56.63</v>
      </c>
      <c r="Q706">
        <f>'raw data Crude oil'!Q707</f>
        <v>56.14</v>
      </c>
      <c r="R706">
        <f>'raw data Crude oil'!R707</f>
        <v>55.64</v>
      </c>
      <c r="S706">
        <f>'raw data Crude oil'!S707</f>
        <v>55.14</v>
      </c>
      <c r="T706">
        <f>'raw data Crude oil'!T707</f>
        <v>54.68</v>
      </c>
      <c r="U706">
        <f>'raw data Crude oil'!U707</f>
        <v>54.24</v>
      </c>
      <c r="V706">
        <f>'raw data Crude oil'!V707</f>
        <v>53.82</v>
      </c>
      <c r="W706">
        <f>'raw data Crude oil'!W707</f>
        <v>53.46</v>
      </c>
      <c r="X706">
        <f>'raw data Crude oil'!X707</f>
        <v>53.16</v>
      </c>
      <c r="Y706">
        <f>'raw data Crude oil'!Y707</f>
        <v>52.91</v>
      </c>
      <c r="Z706">
        <f>'raw data Crude oil'!Z707</f>
        <v>61.581000000000003</v>
      </c>
      <c r="AA706">
        <f>'raw data Crude oil'!AA707</f>
        <v>60.927999999999997</v>
      </c>
      <c r="AB706">
        <f>'raw data Crude oil'!AB707</f>
        <v>59.508000000000003</v>
      </c>
      <c r="AC706">
        <f>'raw data Crude oil'!AC707</f>
        <v>58.235999999999997</v>
      </c>
      <c r="AD706">
        <f>'raw data Crude oil'!AD707</f>
        <v>57.283999999999999</v>
      </c>
      <c r="AE706">
        <f>'raw data Crude oil'!AE707</f>
        <v>56.866</v>
      </c>
      <c r="AF706">
        <f>'raw data Crude oil'!AF707</f>
        <v>56.567999999999998</v>
      </c>
      <c r="AG706">
        <f>'raw data Crude oil'!AG707</f>
        <v>56.389000000000003</v>
      </c>
      <c r="AH706">
        <f>'raw data Crude oil'!AH707</f>
        <v>56.210999999999999</v>
      </c>
      <c r="AI706">
        <f>'raw data Crude oil'!AI707</f>
        <v>56.042000000000002</v>
      </c>
      <c r="AJ706">
        <f>'raw data Crude oil'!AJ707</f>
        <v>55.871000000000002</v>
      </c>
      <c r="AK706">
        <f>'raw data Crude oil'!AK707</f>
        <v>55.704000000000001</v>
      </c>
    </row>
    <row r="707" spans="1:37" x14ac:dyDescent="0.3">
      <c r="A707" s="18">
        <f>'raw data Crude oil'!A708</f>
        <v>43733</v>
      </c>
      <c r="B707">
        <f>'raw data Crude oil'!B708</f>
        <v>62.39</v>
      </c>
      <c r="C707">
        <f>'raw data Crude oil'!C708</f>
        <v>61.43</v>
      </c>
      <c r="D707">
        <f>'raw data Crude oil'!D708</f>
        <v>60.53</v>
      </c>
      <c r="E707">
        <f>'raw data Crude oil'!E708</f>
        <v>59.88</v>
      </c>
      <c r="F707">
        <f>'raw data Crude oil'!F708</f>
        <v>59.43</v>
      </c>
      <c r="G707">
        <f>'raw data Crude oil'!G708</f>
        <v>59.07</v>
      </c>
      <c r="H707">
        <f>'raw data Crude oil'!H708</f>
        <v>58.78</v>
      </c>
      <c r="I707">
        <f>'raw data Crude oil'!I708</f>
        <v>58.51</v>
      </c>
      <c r="J707">
        <f>'raw data Crude oil'!J708</f>
        <v>58.28</v>
      </c>
      <c r="K707">
        <f>'raw data Crude oil'!K708</f>
        <v>58.1</v>
      </c>
      <c r="L707">
        <f>'raw data Crude oil'!L708</f>
        <v>57.93</v>
      </c>
      <c r="M707">
        <f>'raw data Crude oil'!M708</f>
        <v>57.74</v>
      </c>
      <c r="N707">
        <f>'raw data Crude oil'!N708</f>
        <v>56.49</v>
      </c>
      <c r="O707">
        <f>'raw data Crude oil'!O708</f>
        <v>56.32</v>
      </c>
      <c r="P707">
        <f>'raw data Crude oil'!P708</f>
        <v>55.93</v>
      </c>
      <c r="Q707">
        <f>'raw data Crude oil'!Q708</f>
        <v>55.47</v>
      </c>
      <c r="R707">
        <f>'raw data Crude oil'!R708</f>
        <v>55</v>
      </c>
      <c r="S707">
        <f>'raw data Crude oil'!S708</f>
        <v>54.54</v>
      </c>
      <c r="T707">
        <f>'raw data Crude oil'!T708</f>
        <v>54.11</v>
      </c>
      <c r="U707">
        <f>'raw data Crude oil'!U708</f>
        <v>53.69</v>
      </c>
      <c r="V707">
        <f>'raw data Crude oil'!V708</f>
        <v>53.3</v>
      </c>
      <c r="W707">
        <f>'raw data Crude oil'!W708</f>
        <v>52.96</v>
      </c>
      <c r="X707">
        <f>'raw data Crude oil'!X708</f>
        <v>52.66</v>
      </c>
      <c r="Y707">
        <f>'raw data Crude oil'!Y708</f>
        <v>52.43</v>
      </c>
      <c r="Z707">
        <f>'raw data Crude oil'!Z708</f>
        <v>61.161999999999999</v>
      </c>
      <c r="AA707">
        <f>'raw data Crude oil'!AA708</f>
        <v>60.290999999999997</v>
      </c>
      <c r="AB707">
        <f>'raw data Crude oil'!AB708</f>
        <v>58.889000000000003</v>
      </c>
      <c r="AC707">
        <f>'raw data Crude oil'!AC708</f>
        <v>57.656999999999996</v>
      </c>
      <c r="AD707">
        <f>'raw data Crude oil'!AD708</f>
        <v>56.683999999999997</v>
      </c>
      <c r="AE707">
        <f>'raw data Crude oil'!AE708</f>
        <v>56.265999999999998</v>
      </c>
      <c r="AF707">
        <f>'raw data Crude oil'!AF708</f>
        <v>55.927999999999997</v>
      </c>
      <c r="AG707">
        <f>'raw data Crude oil'!AG708</f>
        <v>55.728999999999999</v>
      </c>
      <c r="AH707">
        <f>'raw data Crude oil'!AH708</f>
        <v>55.540999999999997</v>
      </c>
      <c r="AI707">
        <f>'raw data Crude oil'!AI708</f>
        <v>55.392000000000003</v>
      </c>
      <c r="AJ707">
        <f>'raw data Crude oil'!AJ708</f>
        <v>55.252000000000002</v>
      </c>
      <c r="AK707">
        <f>'raw data Crude oil'!AK708</f>
        <v>55.115000000000002</v>
      </c>
    </row>
    <row r="708" spans="1:37" x14ac:dyDescent="0.3">
      <c r="A708" s="18">
        <f>'raw data Crude oil'!A709</f>
        <v>43734</v>
      </c>
      <c r="B708">
        <f>'raw data Crude oil'!B709</f>
        <v>62.74</v>
      </c>
      <c r="C708">
        <f>'raw data Crude oil'!C709</f>
        <v>61.74</v>
      </c>
      <c r="D708">
        <f>'raw data Crude oil'!D709</f>
        <v>60.86</v>
      </c>
      <c r="E708">
        <f>'raw data Crude oil'!E709</f>
        <v>60.21</v>
      </c>
      <c r="F708">
        <f>'raw data Crude oil'!F709</f>
        <v>59.72</v>
      </c>
      <c r="G708">
        <f>'raw data Crude oil'!G709</f>
        <v>59.31</v>
      </c>
      <c r="H708">
        <f>'raw data Crude oil'!H709</f>
        <v>58.98</v>
      </c>
      <c r="I708">
        <f>'raw data Crude oil'!I709</f>
        <v>58.69</v>
      </c>
      <c r="J708">
        <f>'raw data Crude oil'!J709</f>
        <v>58.43</v>
      </c>
      <c r="K708">
        <f>'raw data Crude oil'!K709</f>
        <v>58.23</v>
      </c>
      <c r="L708">
        <f>'raw data Crude oil'!L709</f>
        <v>58.05</v>
      </c>
      <c r="M708">
        <f>'raw data Crude oil'!M709</f>
        <v>57.86</v>
      </c>
      <c r="N708">
        <f>'raw data Crude oil'!N709</f>
        <v>56.41</v>
      </c>
      <c r="O708">
        <f>'raw data Crude oil'!O709</f>
        <v>56.28</v>
      </c>
      <c r="P708">
        <f>'raw data Crude oil'!P709</f>
        <v>55.9</v>
      </c>
      <c r="Q708">
        <f>'raw data Crude oil'!Q709</f>
        <v>55.45</v>
      </c>
      <c r="R708">
        <f>'raw data Crude oil'!R709</f>
        <v>54.95</v>
      </c>
      <c r="S708">
        <f>'raw data Crude oil'!S709</f>
        <v>54.45</v>
      </c>
      <c r="T708">
        <f>'raw data Crude oil'!T709</f>
        <v>53.99</v>
      </c>
      <c r="U708">
        <f>'raw data Crude oil'!U709</f>
        <v>53.56</v>
      </c>
      <c r="V708">
        <f>'raw data Crude oil'!V709</f>
        <v>53.15</v>
      </c>
      <c r="W708">
        <f>'raw data Crude oil'!W709</f>
        <v>52.81</v>
      </c>
      <c r="X708">
        <f>'raw data Crude oil'!X709</f>
        <v>52.53</v>
      </c>
      <c r="Y708">
        <f>'raw data Crude oil'!Y709</f>
        <v>52.3</v>
      </c>
      <c r="Z708">
        <f>'raw data Crude oil'!Z709</f>
        <v>61.170999999999999</v>
      </c>
      <c r="AA708">
        <f>'raw data Crude oil'!AA709</f>
        <v>60.682000000000002</v>
      </c>
      <c r="AB708">
        <f>'raw data Crude oil'!AB709</f>
        <v>59.268999999999998</v>
      </c>
      <c r="AC708">
        <f>'raw data Crude oil'!AC709</f>
        <v>58.042999999999999</v>
      </c>
      <c r="AD708">
        <f>'raw data Crude oil'!AD709</f>
        <v>57.011000000000003</v>
      </c>
      <c r="AE708">
        <f>'raw data Crude oil'!AE709</f>
        <v>56.543999999999997</v>
      </c>
      <c r="AF708">
        <f>'raw data Crude oil'!AF709</f>
        <v>56.127000000000002</v>
      </c>
      <c r="AG708">
        <f>'raw data Crude oil'!AG709</f>
        <v>55.887999999999998</v>
      </c>
      <c r="AH708">
        <f>'raw data Crude oil'!AH709</f>
        <v>55.69</v>
      </c>
      <c r="AI708">
        <f>'raw data Crude oil'!AI709</f>
        <v>55.512</v>
      </c>
      <c r="AJ708">
        <f>'raw data Crude oil'!AJ709</f>
        <v>55.351999999999997</v>
      </c>
      <c r="AK708">
        <f>'raw data Crude oil'!AK709</f>
        <v>55.204999999999998</v>
      </c>
    </row>
    <row r="709" spans="1:37" x14ac:dyDescent="0.3">
      <c r="A709" s="18">
        <f>'raw data Crude oil'!A710</f>
        <v>43735</v>
      </c>
      <c r="B709">
        <f>'raw data Crude oil'!B710</f>
        <v>61.91</v>
      </c>
      <c r="C709">
        <f>'raw data Crude oil'!C710</f>
        <v>61.04</v>
      </c>
      <c r="D709">
        <f>'raw data Crude oil'!D710</f>
        <v>60.19</v>
      </c>
      <c r="E709">
        <f>'raw data Crude oil'!E710</f>
        <v>59.55</v>
      </c>
      <c r="F709">
        <f>'raw data Crude oil'!F710</f>
        <v>59.08</v>
      </c>
      <c r="G709">
        <f>'raw data Crude oil'!G710</f>
        <v>58.7</v>
      </c>
      <c r="H709">
        <f>'raw data Crude oil'!H710</f>
        <v>58.39</v>
      </c>
      <c r="I709">
        <f>'raw data Crude oil'!I710</f>
        <v>58.12</v>
      </c>
      <c r="J709">
        <f>'raw data Crude oil'!J710</f>
        <v>57.89</v>
      </c>
      <c r="K709">
        <f>'raw data Crude oil'!K710</f>
        <v>57.71</v>
      </c>
      <c r="L709">
        <f>'raw data Crude oil'!L710</f>
        <v>57.54</v>
      </c>
      <c r="M709">
        <f>'raw data Crude oil'!M710</f>
        <v>57.36</v>
      </c>
      <c r="N709">
        <f>'raw data Crude oil'!N710</f>
        <v>55.91</v>
      </c>
      <c r="O709">
        <f>'raw data Crude oil'!O710</f>
        <v>55.79</v>
      </c>
      <c r="P709">
        <f>'raw data Crude oil'!P710</f>
        <v>55.43</v>
      </c>
      <c r="Q709">
        <f>'raw data Crude oil'!Q710</f>
        <v>54.98</v>
      </c>
      <c r="R709">
        <f>'raw data Crude oil'!R710</f>
        <v>54.49</v>
      </c>
      <c r="S709">
        <f>'raw data Crude oil'!S710</f>
        <v>54</v>
      </c>
      <c r="T709">
        <f>'raw data Crude oil'!T710</f>
        <v>53.56</v>
      </c>
      <c r="U709">
        <f>'raw data Crude oil'!U710</f>
        <v>53.14</v>
      </c>
      <c r="V709">
        <f>'raw data Crude oil'!V710</f>
        <v>52.76</v>
      </c>
      <c r="W709">
        <f>'raw data Crude oil'!W710</f>
        <v>52.43</v>
      </c>
      <c r="X709">
        <f>'raw data Crude oil'!X710</f>
        <v>52.16</v>
      </c>
      <c r="Y709">
        <f>'raw data Crude oil'!Y710</f>
        <v>51.95</v>
      </c>
      <c r="Z709">
        <f>'raw data Crude oil'!Z710</f>
        <v>61.137</v>
      </c>
      <c r="AA709">
        <f>'raw data Crude oil'!AA710</f>
        <v>59.872999999999998</v>
      </c>
      <c r="AB709">
        <f>'raw data Crude oil'!AB710</f>
        <v>58.55</v>
      </c>
      <c r="AC709">
        <f>'raw data Crude oil'!AC710</f>
        <v>57.335000000000001</v>
      </c>
      <c r="AD709">
        <f>'raw data Crude oil'!AD710</f>
        <v>56.332999999999998</v>
      </c>
      <c r="AE709">
        <f>'raw data Crude oil'!AE710</f>
        <v>55.844999999999999</v>
      </c>
      <c r="AF709">
        <f>'raw data Crude oil'!AF710</f>
        <v>55.497999999999998</v>
      </c>
      <c r="AG709">
        <f>'raw data Crude oil'!AG710</f>
        <v>55.279000000000003</v>
      </c>
      <c r="AH709">
        <f>'raw data Crude oil'!AH710</f>
        <v>55.110999999999997</v>
      </c>
      <c r="AI709">
        <f>'raw data Crude oil'!AI710</f>
        <v>54.962000000000003</v>
      </c>
      <c r="AJ709">
        <f>'raw data Crude oil'!AJ710</f>
        <v>54.822000000000003</v>
      </c>
      <c r="AK709">
        <f>'raw data Crude oil'!AK710</f>
        <v>54.683999999999997</v>
      </c>
    </row>
    <row r="710" spans="1:37" x14ac:dyDescent="0.3">
      <c r="A710" s="18">
        <f>'raw data Crude oil'!A711</f>
        <v>43738</v>
      </c>
      <c r="B710">
        <f>'raw data Crude oil'!B711</f>
        <v>60.78</v>
      </c>
      <c r="C710">
        <f>'raw data Crude oil'!C711</f>
        <v>59.25</v>
      </c>
      <c r="D710">
        <f>'raw data Crude oil'!D711</f>
        <v>58.48</v>
      </c>
      <c r="E710">
        <f>'raw data Crude oil'!E711</f>
        <v>57.94</v>
      </c>
      <c r="F710">
        <f>'raw data Crude oil'!F711</f>
        <v>57.56</v>
      </c>
      <c r="G710">
        <f>'raw data Crude oil'!G711</f>
        <v>57.26</v>
      </c>
      <c r="H710">
        <f>'raw data Crude oil'!H711</f>
        <v>57.03</v>
      </c>
      <c r="I710">
        <f>'raw data Crude oil'!I711</f>
        <v>56.83</v>
      </c>
      <c r="J710">
        <f>'raw data Crude oil'!J711</f>
        <v>56.64</v>
      </c>
      <c r="K710">
        <f>'raw data Crude oil'!K711</f>
        <v>56.5</v>
      </c>
      <c r="L710">
        <f>'raw data Crude oil'!L711</f>
        <v>56.36</v>
      </c>
      <c r="M710">
        <f>'raw data Crude oil'!M711</f>
        <v>56.21</v>
      </c>
      <c r="N710">
        <f>'raw data Crude oil'!N711</f>
        <v>54.07</v>
      </c>
      <c r="O710">
        <f>'raw data Crude oil'!O711</f>
        <v>53.98</v>
      </c>
      <c r="P710">
        <f>'raw data Crude oil'!P711</f>
        <v>53.7</v>
      </c>
      <c r="Q710">
        <f>'raw data Crude oil'!Q711</f>
        <v>53.32</v>
      </c>
      <c r="R710">
        <f>'raw data Crude oil'!R711</f>
        <v>52.9</v>
      </c>
      <c r="S710">
        <f>'raw data Crude oil'!S711</f>
        <v>52.49</v>
      </c>
      <c r="T710">
        <f>'raw data Crude oil'!T711</f>
        <v>52.12</v>
      </c>
      <c r="U710">
        <f>'raw data Crude oil'!U711</f>
        <v>51.77</v>
      </c>
      <c r="V710">
        <f>'raw data Crude oil'!V711</f>
        <v>51.45</v>
      </c>
      <c r="W710">
        <f>'raw data Crude oil'!W711</f>
        <v>51.17</v>
      </c>
      <c r="X710">
        <f>'raw data Crude oil'!X711</f>
        <v>50.94</v>
      </c>
      <c r="Y710">
        <f>'raw data Crude oil'!Y711</f>
        <v>50.76</v>
      </c>
      <c r="Z710">
        <f>'raw data Crude oil'!Z711</f>
        <v>61.115000000000002</v>
      </c>
      <c r="AA710">
        <f>'raw data Crude oil'!AA711</f>
        <v>58.057000000000002</v>
      </c>
      <c r="AB710">
        <f>'raw data Crude oil'!AB711</f>
        <v>56.793999999999997</v>
      </c>
      <c r="AC710">
        <f>'raw data Crude oil'!AC711</f>
        <v>55.723999999999997</v>
      </c>
      <c r="AD710">
        <f>'raw data Crude oil'!AD711</f>
        <v>54.793999999999997</v>
      </c>
      <c r="AE710">
        <f>'raw data Crude oil'!AE711</f>
        <v>54.344000000000001</v>
      </c>
      <c r="AF710">
        <f>'raw data Crude oil'!AF711</f>
        <v>54.043999999999997</v>
      </c>
      <c r="AG710">
        <f>'raw data Crude oil'!AG711</f>
        <v>53.893999999999998</v>
      </c>
      <c r="AH710">
        <f>'raw data Crude oil'!AH711</f>
        <v>53.744</v>
      </c>
      <c r="AI710">
        <f>'raw data Crude oil'!AI711</f>
        <v>53.673999999999999</v>
      </c>
      <c r="AJ710">
        <f>'raw data Crude oil'!AJ711</f>
        <v>53.593000000000004</v>
      </c>
      <c r="AK710">
        <f>'raw data Crude oil'!AK711</f>
        <v>53.518000000000001</v>
      </c>
    </row>
    <row r="711" spans="1:37" x14ac:dyDescent="0.3">
      <c r="A711" s="18">
        <f>'raw data Crude oil'!A712</f>
        <v>43739</v>
      </c>
      <c r="B711">
        <f>'raw data Crude oil'!B712</f>
        <v>58.89</v>
      </c>
      <c r="C711">
        <f>'raw data Crude oil'!C712</f>
        <v>58.17</v>
      </c>
      <c r="D711">
        <f>'raw data Crude oil'!D712</f>
        <v>57.68</v>
      </c>
      <c r="E711">
        <f>'raw data Crude oil'!E712</f>
        <v>57.35</v>
      </c>
      <c r="F711">
        <f>'raw data Crude oil'!F712</f>
        <v>57.1</v>
      </c>
      <c r="G711">
        <f>'raw data Crude oil'!G712</f>
        <v>56.91</v>
      </c>
      <c r="H711">
        <f>'raw data Crude oil'!H712</f>
        <v>56.74</v>
      </c>
      <c r="I711">
        <f>'raw data Crude oil'!I712</f>
        <v>56.56</v>
      </c>
      <c r="J711">
        <f>'raw data Crude oil'!J712</f>
        <v>56.43</v>
      </c>
      <c r="K711">
        <f>'raw data Crude oil'!K712</f>
        <v>56.3</v>
      </c>
      <c r="L711">
        <f>'raw data Crude oil'!L712</f>
        <v>56.16</v>
      </c>
      <c r="M711">
        <f>'raw data Crude oil'!M712</f>
        <v>56.04</v>
      </c>
      <c r="N711">
        <f>'raw data Crude oil'!N712</f>
        <v>53.62</v>
      </c>
      <c r="O711">
        <f>'raw data Crude oil'!O712</f>
        <v>53.5</v>
      </c>
      <c r="P711">
        <f>'raw data Crude oil'!P712</f>
        <v>53.24</v>
      </c>
      <c r="Q711">
        <f>'raw data Crude oil'!Q712</f>
        <v>52.91</v>
      </c>
      <c r="R711">
        <f>'raw data Crude oil'!R712</f>
        <v>52.54</v>
      </c>
      <c r="S711">
        <f>'raw data Crude oil'!S712</f>
        <v>52.15</v>
      </c>
      <c r="T711">
        <f>'raw data Crude oil'!T712</f>
        <v>51.81</v>
      </c>
      <c r="U711">
        <f>'raw data Crude oil'!U712</f>
        <v>51.5</v>
      </c>
      <c r="V711">
        <f>'raw data Crude oil'!V712</f>
        <v>51.22</v>
      </c>
      <c r="W711">
        <f>'raw data Crude oil'!W712</f>
        <v>50.97</v>
      </c>
      <c r="X711">
        <f>'raw data Crude oil'!X712</f>
        <v>50.77</v>
      </c>
      <c r="Y711">
        <f>'raw data Crude oil'!Y712</f>
        <v>50.61</v>
      </c>
      <c r="Z711">
        <f>'raw data Crude oil'!Z712</f>
        <v>61.115000000000002</v>
      </c>
      <c r="AA711">
        <f>'raw data Crude oil'!AA712</f>
        <v>58.262</v>
      </c>
      <c r="AB711">
        <f>'raw data Crude oil'!AB712</f>
        <v>56.847000000000001</v>
      </c>
      <c r="AC711">
        <f>'raw data Crude oil'!AC712</f>
        <v>55.731999999999999</v>
      </c>
      <c r="AD711">
        <f>'raw data Crude oil'!AD712</f>
        <v>54.762</v>
      </c>
      <c r="AE711">
        <f>'raw data Crude oil'!AE712</f>
        <v>54.302</v>
      </c>
      <c r="AF711">
        <f>'raw data Crude oil'!AF712</f>
        <v>53.972000000000001</v>
      </c>
      <c r="AG711">
        <f>'raw data Crude oil'!AG712</f>
        <v>53.831000000000003</v>
      </c>
      <c r="AH711">
        <f>'raw data Crude oil'!AH712</f>
        <v>53.704000000000001</v>
      </c>
      <c r="AI711">
        <f>'raw data Crude oil'!AI712</f>
        <v>53.658999999999999</v>
      </c>
      <c r="AJ711">
        <f>'raw data Crude oil'!AJ712</f>
        <v>53.564</v>
      </c>
      <c r="AK711">
        <f>'raw data Crude oil'!AK712</f>
        <v>53.478999999999999</v>
      </c>
    </row>
    <row r="712" spans="1:37" x14ac:dyDescent="0.3">
      <c r="A712" s="18">
        <f>'raw data Crude oil'!A713</f>
        <v>43740</v>
      </c>
      <c r="B712">
        <f>'raw data Crude oil'!B713</f>
        <v>57.69</v>
      </c>
      <c r="C712">
        <f>'raw data Crude oil'!C713</f>
        <v>57.04</v>
      </c>
      <c r="D712">
        <f>'raw data Crude oil'!D713</f>
        <v>56.6</v>
      </c>
      <c r="E712">
        <f>'raw data Crude oil'!E713</f>
        <v>56.33</v>
      </c>
      <c r="F712">
        <f>'raw data Crude oil'!F713</f>
        <v>56.14</v>
      </c>
      <c r="G712">
        <f>'raw data Crude oil'!G713</f>
        <v>56.01</v>
      </c>
      <c r="H712">
        <f>'raw data Crude oil'!H713</f>
        <v>55.88</v>
      </c>
      <c r="I712">
        <f>'raw data Crude oil'!I713</f>
        <v>55.74</v>
      </c>
      <c r="J712">
        <f>'raw data Crude oil'!J713</f>
        <v>55.65</v>
      </c>
      <c r="K712">
        <f>'raw data Crude oil'!K713</f>
        <v>55.56</v>
      </c>
      <c r="L712">
        <f>'raw data Crude oil'!L713</f>
        <v>55.46</v>
      </c>
      <c r="M712">
        <f>'raw data Crude oil'!M713</f>
        <v>55.38</v>
      </c>
      <c r="N712">
        <f>'raw data Crude oil'!N713</f>
        <v>52.64</v>
      </c>
      <c r="O712">
        <f>'raw data Crude oil'!O713</f>
        <v>52.51</v>
      </c>
      <c r="P712">
        <f>'raw data Crude oil'!P713</f>
        <v>52.25</v>
      </c>
      <c r="Q712">
        <f>'raw data Crude oil'!Q713</f>
        <v>51.95</v>
      </c>
      <c r="R712">
        <f>'raw data Crude oil'!R713</f>
        <v>51.63</v>
      </c>
      <c r="S712">
        <f>'raw data Crude oil'!S713</f>
        <v>51.31</v>
      </c>
      <c r="T712">
        <f>'raw data Crude oil'!T713</f>
        <v>51.02</v>
      </c>
      <c r="U712">
        <f>'raw data Crude oil'!U713</f>
        <v>50.75</v>
      </c>
      <c r="V712">
        <f>'raw data Crude oil'!V713</f>
        <v>50.51</v>
      </c>
      <c r="W712">
        <f>'raw data Crude oil'!W713</f>
        <v>50.3</v>
      </c>
      <c r="X712">
        <f>'raw data Crude oil'!X713</f>
        <v>50.13</v>
      </c>
      <c r="Y712">
        <f>'raw data Crude oil'!Y713</f>
        <v>49.99</v>
      </c>
      <c r="Z712">
        <f>'raw data Crude oil'!Z713</f>
        <v>57.392000000000003</v>
      </c>
      <c r="AA712">
        <f>'raw data Crude oil'!AA713</f>
        <v>55.838999999999999</v>
      </c>
      <c r="AB712">
        <f>'raw data Crude oil'!AB713</f>
        <v>54.753999999999998</v>
      </c>
      <c r="AC712">
        <f>'raw data Crude oil'!AC713</f>
        <v>53.801000000000002</v>
      </c>
      <c r="AD712">
        <f>'raw data Crude oil'!AD713</f>
        <v>53.353999999999999</v>
      </c>
      <c r="AE712">
        <f>'raw data Crude oil'!AE713</f>
        <v>53.043999999999997</v>
      </c>
      <c r="AF712">
        <f>'raw data Crude oil'!AF713</f>
        <v>52.923999999999999</v>
      </c>
      <c r="AG712">
        <f>'raw data Crude oil'!AG713</f>
        <v>52.814</v>
      </c>
      <c r="AH712">
        <f>'raw data Crude oil'!AH713</f>
        <v>52.725999999999999</v>
      </c>
      <c r="AI712">
        <f>'raw data Crude oil'!AI713</f>
        <v>52.765999999999998</v>
      </c>
      <c r="AJ712">
        <f>'raw data Crude oil'!AJ713</f>
        <v>52.811999999999998</v>
      </c>
      <c r="AK712">
        <f>'raw data Crude oil'!AK713</f>
        <v>52.774999999999999</v>
      </c>
    </row>
    <row r="713" spans="1:37" x14ac:dyDescent="0.3">
      <c r="A713" s="18">
        <f>'raw data Crude oil'!A714</f>
        <v>43741</v>
      </c>
      <c r="B713">
        <f>'raw data Crude oil'!B714</f>
        <v>57.71</v>
      </c>
      <c r="C713">
        <f>'raw data Crude oil'!C714</f>
        <v>57.06</v>
      </c>
      <c r="D713">
        <f>'raw data Crude oil'!D714</f>
        <v>56.57</v>
      </c>
      <c r="E713">
        <f>'raw data Crude oil'!E714</f>
        <v>56.24</v>
      </c>
      <c r="F713">
        <f>'raw data Crude oil'!F714</f>
        <v>56</v>
      </c>
      <c r="G713">
        <f>'raw data Crude oil'!G714</f>
        <v>55.82</v>
      </c>
      <c r="H713">
        <f>'raw data Crude oil'!H714</f>
        <v>55.66</v>
      </c>
      <c r="I713">
        <f>'raw data Crude oil'!I714</f>
        <v>55.5</v>
      </c>
      <c r="J713">
        <f>'raw data Crude oil'!J714</f>
        <v>55.39</v>
      </c>
      <c r="K713">
        <f>'raw data Crude oil'!K714</f>
        <v>55.3</v>
      </c>
      <c r="L713">
        <f>'raw data Crude oil'!L714</f>
        <v>55.2</v>
      </c>
      <c r="M713">
        <f>'raw data Crude oil'!M714</f>
        <v>55.11</v>
      </c>
      <c r="N713">
        <f>'raw data Crude oil'!N714</f>
        <v>52.45</v>
      </c>
      <c r="O713">
        <f>'raw data Crude oil'!O714</f>
        <v>52.36</v>
      </c>
      <c r="P713">
        <f>'raw data Crude oil'!P714</f>
        <v>52.16</v>
      </c>
      <c r="Q713">
        <f>'raw data Crude oil'!Q714</f>
        <v>51.89</v>
      </c>
      <c r="R713">
        <f>'raw data Crude oil'!R714</f>
        <v>51.59</v>
      </c>
      <c r="S713">
        <f>'raw data Crude oil'!S714</f>
        <v>51.27</v>
      </c>
      <c r="T713">
        <f>'raw data Crude oil'!T714</f>
        <v>50.97</v>
      </c>
      <c r="U713">
        <f>'raw data Crude oil'!U714</f>
        <v>50.69</v>
      </c>
      <c r="V713">
        <f>'raw data Crude oil'!V714</f>
        <v>50.42</v>
      </c>
      <c r="W713">
        <f>'raw data Crude oil'!W714</f>
        <v>50.21</v>
      </c>
      <c r="X713">
        <f>'raw data Crude oil'!X714</f>
        <v>50.02</v>
      </c>
      <c r="Y713">
        <f>'raw data Crude oil'!Y714</f>
        <v>49.87</v>
      </c>
      <c r="Z713">
        <f>'raw data Crude oil'!Z714</f>
        <v>57.441000000000003</v>
      </c>
      <c r="AA713">
        <f>'raw data Crude oil'!AA714</f>
        <v>55.786999999999999</v>
      </c>
      <c r="AB713">
        <f>'raw data Crude oil'!AB714</f>
        <v>54.709000000000003</v>
      </c>
      <c r="AC713">
        <f>'raw data Crude oil'!AC714</f>
        <v>53.738999999999997</v>
      </c>
      <c r="AD713">
        <f>'raw data Crude oil'!AD714</f>
        <v>53.271000000000001</v>
      </c>
      <c r="AE713">
        <f>'raw data Crude oil'!AE714</f>
        <v>52.933</v>
      </c>
      <c r="AF713">
        <f>'raw data Crude oil'!AF714</f>
        <v>52.781999999999996</v>
      </c>
      <c r="AG713">
        <f>'raw data Crude oil'!AG714</f>
        <v>52.664999999999999</v>
      </c>
      <c r="AH713">
        <f>'raw data Crude oil'!AH714</f>
        <v>52.595999999999997</v>
      </c>
      <c r="AI713">
        <f>'raw data Crude oil'!AI714</f>
        <v>52.545999999999999</v>
      </c>
      <c r="AJ713">
        <f>'raw data Crude oil'!AJ714</f>
        <v>52.481000000000002</v>
      </c>
      <c r="AK713">
        <f>'raw data Crude oil'!AK714</f>
        <v>52.395000000000003</v>
      </c>
    </row>
    <row r="714" spans="1:37" x14ac:dyDescent="0.3">
      <c r="A714" s="18">
        <f>'raw data Crude oil'!A715</f>
        <v>43742</v>
      </c>
      <c r="B714">
        <f>'raw data Crude oil'!B715</f>
        <v>58.37</v>
      </c>
      <c r="C714">
        <f>'raw data Crude oil'!C715</f>
        <v>57.74</v>
      </c>
      <c r="D714">
        <f>'raw data Crude oil'!D715</f>
        <v>57.23</v>
      </c>
      <c r="E714">
        <f>'raw data Crude oil'!E715</f>
        <v>56.89</v>
      </c>
      <c r="F714">
        <f>'raw data Crude oil'!F715</f>
        <v>56.64</v>
      </c>
      <c r="G714">
        <f>'raw data Crude oil'!G715</f>
        <v>56.44</v>
      </c>
      <c r="H714">
        <f>'raw data Crude oil'!H715</f>
        <v>56.26</v>
      </c>
      <c r="I714">
        <f>'raw data Crude oil'!I715</f>
        <v>56.09</v>
      </c>
      <c r="J714">
        <f>'raw data Crude oil'!J715</f>
        <v>55.98</v>
      </c>
      <c r="K714">
        <f>'raw data Crude oil'!K715</f>
        <v>55.89</v>
      </c>
      <c r="L714">
        <f>'raw data Crude oil'!L715</f>
        <v>55.77</v>
      </c>
      <c r="M714">
        <f>'raw data Crude oil'!M715</f>
        <v>55.68</v>
      </c>
      <c r="N714">
        <f>'raw data Crude oil'!N715</f>
        <v>52.81</v>
      </c>
      <c r="O714">
        <f>'raw data Crude oil'!O715</f>
        <v>52.74</v>
      </c>
      <c r="P714">
        <f>'raw data Crude oil'!P715</f>
        <v>52.56</v>
      </c>
      <c r="Q714">
        <f>'raw data Crude oil'!Q715</f>
        <v>52.33</v>
      </c>
      <c r="R714">
        <f>'raw data Crude oil'!R715</f>
        <v>52.07</v>
      </c>
      <c r="S714">
        <f>'raw data Crude oil'!S715</f>
        <v>51.76</v>
      </c>
      <c r="T714">
        <f>'raw data Crude oil'!T715</f>
        <v>51.46</v>
      </c>
      <c r="U714">
        <f>'raw data Crude oil'!U715</f>
        <v>51.17</v>
      </c>
      <c r="V714">
        <f>'raw data Crude oil'!V715</f>
        <v>50.9</v>
      </c>
      <c r="W714">
        <f>'raw data Crude oil'!W715</f>
        <v>50.67</v>
      </c>
      <c r="X714">
        <f>'raw data Crude oil'!X715</f>
        <v>50.48</v>
      </c>
      <c r="Y714">
        <f>'raw data Crude oil'!Y715</f>
        <v>50.34</v>
      </c>
      <c r="Z714">
        <f>'raw data Crude oil'!Z715</f>
        <v>58.243000000000002</v>
      </c>
      <c r="AA714">
        <f>'raw data Crude oil'!AA715</f>
        <v>56.676000000000002</v>
      </c>
      <c r="AB714">
        <f>'raw data Crude oil'!AB715</f>
        <v>55.518000000000001</v>
      </c>
      <c r="AC714">
        <f>'raw data Crude oil'!AC715</f>
        <v>54.529000000000003</v>
      </c>
      <c r="AD714">
        <f>'raw data Crude oil'!AD715</f>
        <v>53.99</v>
      </c>
      <c r="AE714">
        <f>'raw data Crude oil'!AE715</f>
        <v>53.642000000000003</v>
      </c>
      <c r="AF714">
        <f>'raw data Crude oil'!AF715</f>
        <v>53.472000000000001</v>
      </c>
      <c r="AG714">
        <f>'raw data Crude oil'!AG715</f>
        <v>53.295000000000002</v>
      </c>
      <c r="AH714">
        <f>'raw data Crude oil'!AH715</f>
        <v>53.155999999999999</v>
      </c>
      <c r="AI714">
        <f>'raw data Crude oil'!AI715</f>
        <v>53.115000000000002</v>
      </c>
      <c r="AJ714">
        <f>'raw data Crude oil'!AJ715</f>
        <v>53.021000000000001</v>
      </c>
      <c r="AK714">
        <f>'raw data Crude oil'!AK715</f>
        <v>52.954999999999998</v>
      </c>
    </row>
    <row r="715" spans="1:37" x14ac:dyDescent="0.3">
      <c r="A715" s="18">
        <f>'raw data Crude oil'!A716</f>
        <v>43745</v>
      </c>
      <c r="B715">
        <f>'raw data Crude oil'!B716</f>
        <v>58.35</v>
      </c>
      <c r="C715">
        <f>'raw data Crude oil'!C716</f>
        <v>57.82</v>
      </c>
      <c r="D715">
        <f>'raw data Crude oil'!D716</f>
        <v>57.32</v>
      </c>
      <c r="E715">
        <f>'raw data Crude oil'!E716</f>
        <v>56.98</v>
      </c>
      <c r="F715">
        <f>'raw data Crude oil'!F716</f>
        <v>56.74</v>
      </c>
      <c r="G715">
        <f>'raw data Crude oil'!G716</f>
        <v>56.54</v>
      </c>
      <c r="H715">
        <f>'raw data Crude oil'!H716</f>
        <v>56.36</v>
      </c>
      <c r="I715">
        <f>'raw data Crude oil'!I716</f>
        <v>56.19</v>
      </c>
      <c r="J715">
        <f>'raw data Crude oil'!J716</f>
        <v>56.08</v>
      </c>
      <c r="K715">
        <f>'raw data Crude oil'!K716</f>
        <v>55.97</v>
      </c>
      <c r="L715">
        <f>'raw data Crude oil'!L716</f>
        <v>55.85</v>
      </c>
      <c r="M715">
        <f>'raw data Crude oil'!M716</f>
        <v>55.75</v>
      </c>
      <c r="N715">
        <f>'raw data Crude oil'!N716</f>
        <v>52.75</v>
      </c>
      <c r="O715">
        <f>'raw data Crude oil'!O716</f>
        <v>52.71</v>
      </c>
      <c r="P715">
        <f>'raw data Crude oil'!P716</f>
        <v>52.57</v>
      </c>
      <c r="Q715">
        <f>'raw data Crude oil'!Q716</f>
        <v>52.37</v>
      </c>
      <c r="R715">
        <f>'raw data Crude oil'!R716</f>
        <v>52.15</v>
      </c>
      <c r="S715">
        <f>'raw data Crude oil'!S716</f>
        <v>51.89</v>
      </c>
      <c r="T715">
        <f>'raw data Crude oil'!T716</f>
        <v>51.63</v>
      </c>
      <c r="U715">
        <f>'raw data Crude oil'!U716</f>
        <v>51.35</v>
      </c>
      <c r="V715">
        <f>'raw data Crude oil'!V716</f>
        <v>51.09</v>
      </c>
      <c r="W715">
        <f>'raw data Crude oil'!W716</f>
        <v>50.86</v>
      </c>
      <c r="X715">
        <f>'raw data Crude oil'!X716</f>
        <v>50.66</v>
      </c>
      <c r="Y715">
        <f>'raw data Crude oil'!Y716</f>
        <v>50.51</v>
      </c>
      <c r="Z715">
        <f>'raw data Crude oil'!Z716</f>
        <v>58.15</v>
      </c>
      <c r="AA715">
        <f>'raw data Crude oil'!AA716</f>
        <v>56.744</v>
      </c>
      <c r="AB715">
        <f>'raw data Crude oil'!AB716</f>
        <v>55.607999999999997</v>
      </c>
      <c r="AC715">
        <f>'raw data Crude oil'!AC716</f>
        <v>54.649000000000001</v>
      </c>
      <c r="AD715">
        <f>'raw data Crude oil'!AD716</f>
        <v>54.15</v>
      </c>
      <c r="AE715">
        <f>'raw data Crude oil'!AE716</f>
        <v>53.802</v>
      </c>
      <c r="AF715">
        <f>'raw data Crude oil'!AF716</f>
        <v>53.601999999999997</v>
      </c>
      <c r="AG715">
        <f>'raw data Crude oil'!AG716</f>
        <v>53.465000000000003</v>
      </c>
      <c r="AH715">
        <f>'raw data Crude oil'!AH716</f>
        <v>53.365000000000002</v>
      </c>
      <c r="AI715">
        <f>'raw data Crude oil'!AI716</f>
        <v>53.314999999999998</v>
      </c>
      <c r="AJ715">
        <f>'raw data Crude oil'!AJ716</f>
        <v>53.21</v>
      </c>
      <c r="AK715">
        <f>'raw data Crude oil'!AK716</f>
        <v>53.134999999999998</v>
      </c>
    </row>
    <row r="716" spans="1:37" x14ac:dyDescent="0.3">
      <c r="A716" s="18">
        <f>'raw data Crude oil'!A717</f>
        <v>43746</v>
      </c>
      <c r="B716">
        <f>'raw data Crude oil'!B717</f>
        <v>58.24</v>
      </c>
      <c r="C716">
        <f>'raw data Crude oil'!C717</f>
        <v>57.76</v>
      </c>
      <c r="D716">
        <f>'raw data Crude oil'!D717</f>
        <v>57.29</v>
      </c>
      <c r="E716">
        <f>'raw data Crude oil'!E717</f>
        <v>56.97</v>
      </c>
      <c r="F716">
        <f>'raw data Crude oil'!F717</f>
        <v>56.75</v>
      </c>
      <c r="G716">
        <f>'raw data Crude oil'!G717</f>
        <v>56.56</v>
      </c>
      <c r="H716">
        <f>'raw data Crude oil'!H717</f>
        <v>56.38</v>
      </c>
      <c r="I716">
        <f>'raw data Crude oil'!I717</f>
        <v>56.23</v>
      </c>
      <c r="J716">
        <f>'raw data Crude oil'!J717</f>
        <v>56.12</v>
      </c>
      <c r="K716">
        <f>'raw data Crude oil'!K717</f>
        <v>56.02</v>
      </c>
      <c r="L716">
        <f>'raw data Crude oil'!L717</f>
        <v>55.91</v>
      </c>
      <c r="M716">
        <f>'raw data Crude oil'!M717</f>
        <v>55.82</v>
      </c>
      <c r="N716">
        <f>'raw data Crude oil'!N717</f>
        <v>52.63</v>
      </c>
      <c r="O716">
        <f>'raw data Crude oil'!O717</f>
        <v>52.62</v>
      </c>
      <c r="P716">
        <f>'raw data Crude oil'!P717</f>
        <v>52.49</v>
      </c>
      <c r="Q716">
        <f>'raw data Crude oil'!Q717</f>
        <v>52.29</v>
      </c>
      <c r="R716">
        <f>'raw data Crude oil'!R717</f>
        <v>52.11</v>
      </c>
      <c r="S716">
        <f>'raw data Crude oil'!S717</f>
        <v>51.9</v>
      </c>
      <c r="T716">
        <f>'raw data Crude oil'!T717</f>
        <v>51.69</v>
      </c>
      <c r="U716">
        <f>'raw data Crude oil'!U717</f>
        <v>51.46</v>
      </c>
      <c r="V716">
        <f>'raw data Crude oil'!V717</f>
        <v>51.23</v>
      </c>
      <c r="W716">
        <f>'raw data Crude oil'!W717</f>
        <v>51.01</v>
      </c>
      <c r="X716">
        <f>'raw data Crude oil'!X717</f>
        <v>50.82</v>
      </c>
      <c r="Y716">
        <f>'raw data Crude oil'!Y717</f>
        <v>50.68</v>
      </c>
      <c r="Z716">
        <f>'raw data Crude oil'!Z717</f>
        <v>57.951999999999998</v>
      </c>
      <c r="AA716">
        <f>'raw data Crude oil'!AA717</f>
        <v>56.488</v>
      </c>
      <c r="AB716">
        <f>'raw data Crude oil'!AB717</f>
        <v>55.44</v>
      </c>
      <c r="AC716">
        <f>'raw data Crude oil'!AC717</f>
        <v>54.6</v>
      </c>
      <c r="AD716">
        <f>'raw data Crude oil'!AD717</f>
        <v>54.151000000000003</v>
      </c>
      <c r="AE716">
        <f>'raw data Crude oil'!AE717</f>
        <v>53.822000000000003</v>
      </c>
      <c r="AF716">
        <f>'raw data Crude oil'!AF717</f>
        <v>53.662999999999997</v>
      </c>
      <c r="AG716">
        <f>'raw data Crude oil'!AG717</f>
        <v>53.524999999999999</v>
      </c>
      <c r="AH716">
        <f>'raw data Crude oil'!AH717</f>
        <v>53.424999999999997</v>
      </c>
      <c r="AI716">
        <f>'raw data Crude oil'!AI717</f>
        <v>53.354999999999997</v>
      </c>
      <c r="AJ716">
        <f>'raw data Crude oil'!AJ717</f>
        <v>53.301000000000002</v>
      </c>
      <c r="AK716">
        <f>'raw data Crude oil'!AK717</f>
        <v>53.234999999999999</v>
      </c>
    </row>
    <row r="717" spans="1:37" x14ac:dyDescent="0.3">
      <c r="A717" s="18">
        <f>'raw data Crude oil'!A718</f>
        <v>43747</v>
      </c>
      <c r="B717">
        <f>'raw data Crude oil'!B718</f>
        <v>58.32</v>
      </c>
      <c r="C717">
        <f>'raw data Crude oil'!C718</f>
        <v>57.84</v>
      </c>
      <c r="D717">
        <f>'raw data Crude oil'!D718</f>
        <v>57.33</v>
      </c>
      <c r="E717">
        <f>'raw data Crude oil'!E718</f>
        <v>56.99</v>
      </c>
      <c r="F717">
        <f>'raw data Crude oil'!F718</f>
        <v>56.76</v>
      </c>
      <c r="G717">
        <f>'raw data Crude oil'!G718</f>
        <v>56.58</v>
      </c>
      <c r="H717">
        <f>'raw data Crude oil'!H718</f>
        <v>56.41</v>
      </c>
      <c r="I717">
        <f>'raw data Crude oil'!I718</f>
        <v>56.26</v>
      </c>
      <c r="J717">
        <f>'raw data Crude oil'!J718</f>
        <v>56.14</v>
      </c>
      <c r="K717">
        <f>'raw data Crude oil'!K718</f>
        <v>56.03</v>
      </c>
      <c r="L717">
        <f>'raw data Crude oil'!L718</f>
        <v>55.91</v>
      </c>
      <c r="M717">
        <f>'raw data Crude oil'!M718</f>
        <v>55.82</v>
      </c>
      <c r="N717">
        <f>'raw data Crude oil'!N718</f>
        <v>52.59</v>
      </c>
      <c r="O717">
        <f>'raw data Crude oil'!O718</f>
        <v>52.61</v>
      </c>
      <c r="P717">
        <f>'raw data Crude oil'!P718</f>
        <v>52.48</v>
      </c>
      <c r="Q717">
        <f>'raw data Crude oil'!Q718</f>
        <v>52.29</v>
      </c>
      <c r="R717">
        <f>'raw data Crude oil'!R718</f>
        <v>52.12</v>
      </c>
      <c r="S717">
        <f>'raw data Crude oil'!S718</f>
        <v>51.92</v>
      </c>
      <c r="T717">
        <f>'raw data Crude oil'!T718</f>
        <v>51.72</v>
      </c>
      <c r="U717">
        <f>'raw data Crude oil'!U718</f>
        <v>51.5</v>
      </c>
      <c r="V717">
        <f>'raw data Crude oil'!V718</f>
        <v>51.27</v>
      </c>
      <c r="W717">
        <f>'raw data Crude oil'!W718</f>
        <v>51.04</v>
      </c>
      <c r="X717">
        <f>'raw data Crude oil'!X718</f>
        <v>50.85</v>
      </c>
      <c r="Y717">
        <f>'raw data Crude oil'!Y718</f>
        <v>50.7</v>
      </c>
      <c r="Z717">
        <f>'raw data Crude oil'!Z718</f>
        <v>57.997999999999998</v>
      </c>
      <c r="AA717">
        <f>'raw data Crude oil'!AA718</f>
        <v>56.426000000000002</v>
      </c>
      <c r="AB717">
        <f>'raw data Crude oil'!AB718</f>
        <v>55.408000000000001</v>
      </c>
      <c r="AC717">
        <f>'raw data Crude oil'!AC718</f>
        <v>54.58</v>
      </c>
      <c r="AD717">
        <f>'raw data Crude oil'!AD718</f>
        <v>54.121000000000002</v>
      </c>
      <c r="AE717">
        <f>'raw data Crude oil'!AE718</f>
        <v>53.811999999999998</v>
      </c>
      <c r="AF717">
        <f>'raw data Crude oil'!AF718</f>
        <v>53.683</v>
      </c>
      <c r="AG717">
        <f>'raw data Crude oil'!AG718</f>
        <v>53.564</v>
      </c>
      <c r="AH717">
        <f>'raw data Crude oil'!AH718</f>
        <v>53.454999999999998</v>
      </c>
      <c r="AI717">
        <f>'raw data Crude oil'!AI718</f>
        <v>53.395000000000003</v>
      </c>
      <c r="AJ717">
        <f>'raw data Crude oil'!AJ718</f>
        <v>53.271000000000001</v>
      </c>
      <c r="AK717">
        <f>'raw data Crude oil'!AK718</f>
        <v>53.204999999999998</v>
      </c>
    </row>
    <row r="718" spans="1:37" x14ac:dyDescent="0.3">
      <c r="A718" s="18">
        <f>'raw data Crude oil'!A719</f>
        <v>43748</v>
      </c>
      <c r="B718">
        <f>'raw data Crude oil'!B719</f>
        <v>59.1</v>
      </c>
      <c r="C718">
        <f>'raw data Crude oil'!C719</f>
        <v>58.65</v>
      </c>
      <c r="D718">
        <f>'raw data Crude oil'!D719</f>
        <v>58.14</v>
      </c>
      <c r="E718">
        <f>'raw data Crude oil'!E719</f>
        <v>57.79</v>
      </c>
      <c r="F718">
        <f>'raw data Crude oil'!F719</f>
        <v>57.54</v>
      </c>
      <c r="G718">
        <f>'raw data Crude oil'!G719</f>
        <v>57.33</v>
      </c>
      <c r="H718">
        <f>'raw data Crude oil'!H719</f>
        <v>57.14</v>
      </c>
      <c r="I718">
        <f>'raw data Crude oil'!I719</f>
        <v>56.96</v>
      </c>
      <c r="J718">
        <f>'raw data Crude oil'!J719</f>
        <v>56.81</v>
      </c>
      <c r="K718">
        <f>'raw data Crude oil'!K719</f>
        <v>56.67</v>
      </c>
      <c r="L718">
        <f>'raw data Crude oil'!L719</f>
        <v>56.53</v>
      </c>
      <c r="M718">
        <f>'raw data Crude oil'!M719</f>
        <v>56.41</v>
      </c>
      <c r="N718">
        <f>'raw data Crude oil'!N719</f>
        <v>53.55</v>
      </c>
      <c r="O718">
        <f>'raw data Crude oil'!O719</f>
        <v>53.56</v>
      </c>
      <c r="P718">
        <f>'raw data Crude oil'!P719</f>
        <v>53.41</v>
      </c>
      <c r="Q718">
        <f>'raw data Crude oil'!Q719</f>
        <v>53.19</v>
      </c>
      <c r="R718">
        <f>'raw data Crude oil'!R719</f>
        <v>52.97</v>
      </c>
      <c r="S718">
        <f>'raw data Crude oil'!S719</f>
        <v>52.74</v>
      </c>
      <c r="T718">
        <f>'raw data Crude oil'!T719</f>
        <v>52.5</v>
      </c>
      <c r="U718">
        <f>'raw data Crude oil'!U719</f>
        <v>52.26</v>
      </c>
      <c r="V718">
        <f>'raw data Crude oil'!V719</f>
        <v>52</v>
      </c>
      <c r="W718">
        <f>'raw data Crude oil'!W719</f>
        <v>51.75</v>
      </c>
      <c r="X718">
        <f>'raw data Crude oil'!X719</f>
        <v>51.53</v>
      </c>
      <c r="Y718">
        <f>'raw data Crude oil'!Y719</f>
        <v>51.35</v>
      </c>
      <c r="Z718">
        <f>'raw data Crude oil'!Z719</f>
        <v>58.67</v>
      </c>
      <c r="AA718">
        <f>'raw data Crude oil'!AA719</f>
        <v>57.496000000000002</v>
      </c>
      <c r="AB718">
        <f>'raw data Crude oil'!AB719</f>
        <v>56.396999999999998</v>
      </c>
      <c r="AC718">
        <f>'raw data Crude oil'!AC719</f>
        <v>55.529000000000003</v>
      </c>
      <c r="AD718">
        <f>'raw data Crude oil'!AD719</f>
        <v>55.05</v>
      </c>
      <c r="AE718">
        <f>'raw data Crude oil'!AE719</f>
        <v>54.710999999999999</v>
      </c>
      <c r="AF718">
        <f>'raw data Crude oil'!AF719</f>
        <v>54.530999999999999</v>
      </c>
      <c r="AG718">
        <f>'raw data Crude oil'!AG719</f>
        <v>54.363</v>
      </c>
      <c r="AH718">
        <f>'raw data Crude oil'!AH719</f>
        <v>54.244</v>
      </c>
      <c r="AI718">
        <f>'raw data Crude oil'!AI719</f>
        <v>54.134</v>
      </c>
      <c r="AJ718">
        <f>'raw data Crude oil'!AJ719</f>
        <v>54.018999999999998</v>
      </c>
      <c r="AK718">
        <f>'raw data Crude oil'!AK719</f>
        <v>53.904000000000003</v>
      </c>
    </row>
    <row r="719" spans="1:37" x14ac:dyDescent="0.3">
      <c r="A719" s="18">
        <f>'raw data Crude oil'!A720</f>
        <v>43749</v>
      </c>
      <c r="B719">
        <f>'raw data Crude oil'!B720</f>
        <v>60.51</v>
      </c>
      <c r="C719">
        <f>'raw data Crude oil'!C720</f>
        <v>60.12</v>
      </c>
      <c r="D719">
        <f>'raw data Crude oil'!D720</f>
        <v>59.6</v>
      </c>
      <c r="E719">
        <f>'raw data Crude oil'!E720</f>
        <v>59.23</v>
      </c>
      <c r="F719">
        <f>'raw data Crude oil'!F720</f>
        <v>58.95</v>
      </c>
      <c r="G719">
        <f>'raw data Crude oil'!G720</f>
        <v>58.71</v>
      </c>
      <c r="H719">
        <f>'raw data Crude oil'!H720</f>
        <v>58.49</v>
      </c>
      <c r="I719">
        <f>'raw data Crude oil'!I720</f>
        <v>58.29</v>
      </c>
      <c r="J719">
        <f>'raw data Crude oil'!J720</f>
        <v>58.12</v>
      </c>
      <c r="K719">
        <f>'raw data Crude oil'!K720</f>
        <v>57.97</v>
      </c>
      <c r="L719">
        <f>'raw data Crude oil'!L720</f>
        <v>57.8</v>
      </c>
      <c r="M719">
        <f>'raw data Crude oil'!M720</f>
        <v>57.64</v>
      </c>
      <c r="N719">
        <f>'raw data Crude oil'!N720</f>
        <v>54.7</v>
      </c>
      <c r="O719">
        <f>'raw data Crude oil'!O720</f>
        <v>54.78</v>
      </c>
      <c r="P719">
        <f>'raw data Crude oil'!P720</f>
        <v>54.72</v>
      </c>
      <c r="Q719">
        <f>'raw data Crude oil'!Q720</f>
        <v>54.54</v>
      </c>
      <c r="R719">
        <f>'raw data Crude oil'!R720</f>
        <v>54.34</v>
      </c>
      <c r="S719">
        <f>'raw data Crude oil'!S720</f>
        <v>54.1</v>
      </c>
      <c r="T719">
        <f>'raw data Crude oil'!T720</f>
        <v>53.88</v>
      </c>
      <c r="U719">
        <f>'raw data Crude oil'!U720</f>
        <v>53.63</v>
      </c>
      <c r="V719">
        <f>'raw data Crude oil'!V720</f>
        <v>53.37</v>
      </c>
      <c r="W719">
        <f>'raw data Crude oil'!W720</f>
        <v>53.11</v>
      </c>
      <c r="X719">
        <f>'raw data Crude oil'!X720</f>
        <v>52.89</v>
      </c>
      <c r="Y719">
        <f>'raw data Crude oil'!Y720</f>
        <v>52.67</v>
      </c>
      <c r="Z719">
        <f>'raw data Crude oil'!Z720</f>
        <v>59.598999999999997</v>
      </c>
      <c r="AA719">
        <f>'raw data Crude oil'!AA720</f>
        <v>59.155000000000001</v>
      </c>
      <c r="AB719">
        <f>'raw data Crude oil'!AB720</f>
        <v>58.075000000000003</v>
      </c>
      <c r="AC719">
        <f>'raw data Crude oil'!AC720</f>
        <v>57.186999999999998</v>
      </c>
      <c r="AD719">
        <f>'raw data Crude oil'!AD720</f>
        <v>56.640999999999998</v>
      </c>
      <c r="AE719">
        <f>'raw data Crude oil'!AE720</f>
        <v>56.280999999999999</v>
      </c>
      <c r="AF719">
        <f>'raw data Crude oil'!AF720</f>
        <v>55.98</v>
      </c>
      <c r="AG719">
        <f>'raw data Crude oil'!AG720</f>
        <v>55.792000000000002</v>
      </c>
      <c r="AH719">
        <f>'raw data Crude oil'!AH720</f>
        <v>55.643000000000001</v>
      </c>
      <c r="AI719">
        <f>'raw data Crude oil'!AI720</f>
        <v>55.493000000000002</v>
      </c>
      <c r="AJ719">
        <f>'raw data Crude oil'!AJ720</f>
        <v>55.325000000000003</v>
      </c>
      <c r="AK719">
        <f>'raw data Crude oil'!AK720</f>
        <v>55.171999999999997</v>
      </c>
    </row>
    <row r="720" spans="1:37" x14ac:dyDescent="0.3">
      <c r="A720" s="18">
        <f>'raw data Crude oil'!A721</f>
        <v>43752</v>
      </c>
      <c r="B720">
        <f>'raw data Crude oil'!B721</f>
        <v>59.35</v>
      </c>
      <c r="C720">
        <f>'raw data Crude oil'!C721</f>
        <v>59.12</v>
      </c>
      <c r="D720">
        <f>'raw data Crude oil'!D721</f>
        <v>58.72</v>
      </c>
      <c r="E720">
        <f>'raw data Crude oil'!E721</f>
        <v>58.42</v>
      </c>
      <c r="F720">
        <f>'raw data Crude oil'!F721</f>
        <v>58.18</v>
      </c>
      <c r="G720">
        <f>'raw data Crude oil'!G721</f>
        <v>57.98</v>
      </c>
      <c r="H720">
        <f>'raw data Crude oil'!H721</f>
        <v>57.79</v>
      </c>
      <c r="I720">
        <f>'raw data Crude oil'!I721</f>
        <v>57.61</v>
      </c>
      <c r="J720">
        <f>'raw data Crude oil'!J721</f>
        <v>57.47</v>
      </c>
      <c r="K720">
        <f>'raw data Crude oil'!K721</f>
        <v>57.34</v>
      </c>
      <c r="L720">
        <f>'raw data Crude oil'!L721</f>
        <v>57.2</v>
      </c>
      <c r="M720">
        <f>'raw data Crude oil'!M721</f>
        <v>57.07</v>
      </c>
      <c r="N720">
        <f>'raw data Crude oil'!N721</f>
        <v>53.59</v>
      </c>
      <c r="O720">
        <f>'raw data Crude oil'!O721</f>
        <v>53.65</v>
      </c>
      <c r="P720">
        <f>'raw data Crude oil'!P721</f>
        <v>53.66</v>
      </c>
      <c r="Q720">
        <f>'raw data Crude oil'!Q721</f>
        <v>53.58</v>
      </c>
      <c r="R720">
        <f>'raw data Crude oil'!R721</f>
        <v>53.45</v>
      </c>
      <c r="S720">
        <f>'raw data Crude oil'!S721</f>
        <v>53.27</v>
      </c>
      <c r="T720">
        <f>'raw data Crude oil'!T721</f>
        <v>53.08</v>
      </c>
      <c r="U720">
        <f>'raw data Crude oil'!U721</f>
        <v>52.87</v>
      </c>
      <c r="V720">
        <f>'raw data Crude oil'!V721</f>
        <v>52.66</v>
      </c>
      <c r="W720">
        <f>'raw data Crude oil'!W721</f>
        <v>52.44</v>
      </c>
      <c r="X720">
        <f>'raw data Crude oil'!X721</f>
        <v>52.22</v>
      </c>
      <c r="Y720">
        <f>'raw data Crude oil'!Y721</f>
        <v>52.05</v>
      </c>
      <c r="Z720">
        <f>'raw data Crude oil'!Z721</f>
        <v>59.122999999999998</v>
      </c>
      <c r="AA720">
        <f>'raw data Crude oil'!AA721</f>
        <v>58.180999999999997</v>
      </c>
      <c r="AB720">
        <f>'raw data Crude oil'!AB721</f>
        <v>57.210999999999999</v>
      </c>
      <c r="AC720">
        <f>'raw data Crude oil'!AC721</f>
        <v>56.418999999999997</v>
      </c>
      <c r="AD720">
        <f>'raw data Crude oil'!AD721</f>
        <v>55.95</v>
      </c>
      <c r="AE720">
        <f>'raw data Crude oil'!AE721</f>
        <v>55.621000000000002</v>
      </c>
      <c r="AF720">
        <f>'raw data Crude oil'!AF721</f>
        <v>55.371000000000002</v>
      </c>
      <c r="AG720">
        <f>'raw data Crude oil'!AG721</f>
        <v>55.213000000000001</v>
      </c>
      <c r="AH720">
        <f>'raw data Crude oil'!AH721</f>
        <v>55.064</v>
      </c>
      <c r="AI720">
        <f>'raw data Crude oil'!AI721</f>
        <v>54.923999999999999</v>
      </c>
      <c r="AJ720">
        <f>'raw data Crude oil'!AJ721</f>
        <v>54.758000000000003</v>
      </c>
      <c r="AK720">
        <f>'raw data Crude oil'!AK721</f>
        <v>54.634</v>
      </c>
    </row>
    <row r="721" spans="1:37" x14ac:dyDescent="0.3">
      <c r="A721" s="18">
        <f>'raw data Crude oil'!A722</f>
        <v>43753</v>
      </c>
      <c r="B721">
        <f>'raw data Crude oil'!B722</f>
        <v>58.74</v>
      </c>
      <c r="C721">
        <f>'raw data Crude oil'!C722</f>
        <v>58.54</v>
      </c>
      <c r="D721">
        <f>'raw data Crude oil'!D722</f>
        <v>58.11</v>
      </c>
      <c r="E721">
        <f>'raw data Crude oil'!E722</f>
        <v>57.79</v>
      </c>
      <c r="F721">
        <f>'raw data Crude oil'!F722</f>
        <v>57.53</v>
      </c>
      <c r="G721">
        <f>'raw data Crude oil'!G722</f>
        <v>57.31</v>
      </c>
      <c r="H721">
        <f>'raw data Crude oil'!H722</f>
        <v>57.1</v>
      </c>
      <c r="I721">
        <f>'raw data Crude oil'!I722</f>
        <v>56.92</v>
      </c>
      <c r="J721">
        <f>'raw data Crude oil'!J722</f>
        <v>56.77</v>
      </c>
      <c r="K721">
        <f>'raw data Crude oil'!K722</f>
        <v>56.65</v>
      </c>
      <c r="L721">
        <f>'raw data Crude oil'!L722</f>
        <v>56.5</v>
      </c>
      <c r="M721">
        <f>'raw data Crude oil'!M722</f>
        <v>56.38</v>
      </c>
      <c r="N721">
        <f>'raw data Crude oil'!N722</f>
        <v>52.81</v>
      </c>
      <c r="O721">
        <f>'raw data Crude oil'!O722</f>
        <v>52.88</v>
      </c>
      <c r="P721">
        <f>'raw data Crude oil'!P722</f>
        <v>52.91</v>
      </c>
      <c r="Q721">
        <f>'raw data Crude oil'!Q722</f>
        <v>52.81</v>
      </c>
      <c r="R721">
        <f>'raw data Crude oil'!R722</f>
        <v>52.66</v>
      </c>
      <c r="S721">
        <f>'raw data Crude oil'!S722</f>
        <v>52.47</v>
      </c>
      <c r="T721">
        <f>'raw data Crude oil'!T722</f>
        <v>52.27</v>
      </c>
      <c r="U721">
        <f>'raw data Crude oil'!U722</f>
        <v>52.07</v>
      </c>
      <c r="V721">
        <f>'raw data Crude oil'!V722</f>
        <v>51.86</v>
      </c>
      <c r="W721">
        <f>'raw data Crude oil'!W722</f>
        <v>51.64</v>
      </c>
      <c r="X721">
        <f>'raw data Crude oil'!X722</f>
        <v>51.43</v>
      </c>
      <c r="Y721">
        <f>'raw data Crude oil'!Y722</f>
        <v>51.26</v>
      </c>
      <c r="Z721">
        <f>'raw data Crude oil'!Z722</f>
        <v>58.67</v>
      </c>
      <c r="AA721">
        <f>'raw data Crude oil'!AA722</f>
        <v>57.25</v>
      </c>
      <c r="AB721">
        <f>'raw data Crude oil'!AB722</f>
        <v>56.28</v>
      </c>
      <c r="AC721">
        <f>'raw data Crude oil'!AC722</f>
        <v>55.508000000000003</v>
      </c>
      <c r="AD721">
        <f>'raw data Crude oil'!AD722</f>
        <v>55.039000000000001</v>
      </c>
      <c r="AE721">
        <f>'raw data Crude oil'!AE722</f>
        <v>54.72</v>
      </c>
      <c r="AF721">
        <f>'raw data Crude oil'!AF722</f>
        <v>54.511000000000003</v>
      </c>
      <c r="AG721">
        <f>'raw data Crude oil'!AG722</f>
        <v>54.353000000000002</v>
      </c>
      <c r="AH721">
        <f>'raw data Crude oil'!AH722</f>
        <v>54.225000000000001</v>
      </c>
      <c r="AI721">
        <f>'raw data Crude oil'!AI722</f>
        <v>54.122999999999998</v>
      </c>
      <c r="AJ721">
        <f>'raw data Crude oil'!AJ722</f>
        <v>54.009</v>
      </c>
      <c r="AK721">
        <f>'raw data Crude oil'!AK722</f>
        <v>53.904000000000003</v>
      </c>
    </row>
    <row r="722" spans="1:37" x14ac:dyDescent="0.3">
      <c r="A722" s="18">
        <f>'raw data Crude oil'!A723</f>
        <v>43754</v>
      </c>
      <c r="B722">
        <f>'raw data Crude oil'!B723</f>
        <v>59.42</v>
      </c>
      <c r="C722">
        <f>'raw data Crude oil'!C723</f>
        <v>59.16</v>
      </c>
      <c r="D722">
        <f>'raw data Crude oil'!D723</f>
        <v>58.68</v>
      </c>
      <c r="E722">
        <f>'raw data Crude oil'!E723</f>
        <v>58.32</v>
      </c>
      <c r="F722">
        <f>'raw data Crude oil'!F723</f>
        <v>58.04</v>
      </c>
      <c r="G722">
        <f>'raw data Crude oil'!G723</f>
        <v>57.81</v>
      </c>
      <c r="H722">
        <f>'raw data Crude oil'!H723</f>
        <v>57.59</v>
      </c>
      <c r="I722">
        <f>'raw data Crude oil'!I723</f>
        <v>57.4</v>
      </c>
      <c r="J722">
        <f>'raw data Crude oil'!J723</f>
        <v>57.24</v>
      </c>
      <c r="K722">
        <f>'raw data Crude oil'!K723</f>
        <v>57.1</v>
      </c>
      <c r="L722">
        <f>'raw data Crude oil'!L723</f>
        <v>56.94</v>
      </c>
      <c r="M722">
        <f>'raw data Crude oil'!M723</f>
        <v>56.8</v>
      </c>
      <c r="N722">
        <f>'raw data Crude oil'!N723</f>
        <v>53.36</v>
      </c>
      <c r="O722">
        <f>'raw data Crude oil'!O723</f>
        <v>53.45</v>
      </c>
      <c r="P722">
        <f>'raw data Crude oil'!P723</f>
        <v>53.47</v>
      </c>
      <c r="Q722">
        <f>'raw data Crude oil'!Q723</f>
        <v>53.36</v>
      </c>
      <c r="R722">
        <f>'raw data Crude oil'!R723</f>
        <v>53.19</v>
      </c>
      <c r="S722">
        <f>'raw data Crude oil'!S723</f>
        <v>52.97</v>
      </c>
      <c r="T722">
        <f>'raw data Crude oil'!T723</f>
        <v>52.75</v>
      </c>
      <c r="U722">
        <f>'raw data Crude oil'!U723</f>
        <v>52.51</v>
      </c>
      <c r="V722">
        <f>'raw data Crude oil'!V723</f>
        <v>52.26</v>
      </c>
      <c r="W722">
        <f>'raw data Crude oil'!W723</f>
        <v>52.02</v>
      </c>
      <c r="X722">
        <f>'raw data Crude oil'!X723</f>
        <v>51.81</v>
      </c>
      <c r="Y722">
        <f>'raw data Crude oil'!Y723</f>
        <v>51.63</v>
      </c>
      <c r="Z722">
        <f>'raw data Crude oil'!Z723</f>
        <v>58.97</v>
      </c>
      <c r="AA722">
        <f>'raw data Crude oil'!AA723</f>
        <v>57.807000000000002</v>
      </c>
      <c r="AB722">
        <f>'raw data Crude oil'!AB723</f>
        <v>56.856000000000002</v>
      </c>
      <c r="AC722">
        <f>'raw data Crude oil'!AC723</f>
        <v>56.057000000000002</v>
      </c>
      <c r="AD722">
        <f>'raw data Crude oil'!AD723</f>
        <v>55.539000000000001</v>
      </c>
      <c r="AE722">
        <f>'raw data Crude oil'!AE723</f>
        <v>55.2</v>
      </c>
      <c r="AF722">
        <f>'raw data Crude oil'!AF723</f>
        <v>55.000999999999998</v>
      </c>
      <c r="AG722">
        <f>'raw data Crude oil'!AG723</f>
        <v>54.831000000000003</v>
      </c>
      <c r="AH722">
        <f>'raw data Crude oil'!AH723</f>
        <v>54.683999999999997</v>
      </c>
      <c r="AI722">
        <f>'raw data Crude oil'!AI723</f>
        <v>54.552999999999997</v>
      </c>
      <c r="AJ722">
        <f>'raw data Crude oil'!AJ723</f>
        <v>54.417000000000002</v>
      </c>
      <c r="AK722">
        <f>'raw data Crude oil'!AK723</f>
        <v>54.292999999999999</v>
      </c>
    </row>
    <row r="723" spans="1:37" x14ac:dyDescent="0.3">
      <c r="A723" s="18">
        <f>'raw data Crude oil'!A724</f>
        <v>43755</v>
      </c>
      <c r="B723">
        <f>'raw data Crude oil'!B724</f>
        <v>59.91</v>
      </c>
      <c r="C723">
        <f>'raw data Crude oil'!C724</f>
        <v>59.46</v>
      </c>
      <c r="D723">
        <f>'raw data Crude oil'!D724</f>
        <v>58.87</v>
      </c>
      <c r="E723">
        <f>'raw data Crude oil'!E724</f>
        <v>58.43</v>
      </c>
      <c r="F723">
        <f>'raw data Crude oil'!F724</f>
        <v>58.1</v>
      </c>
      <c r="G723">
        <f>'raw data Crude oil'!G724</f>
        <v>57.84</v>
      </c>
      <c r="H723">
        <f>'raw data Crude oil'!H724</f>
        <v>57.59</v>
      </c>
      <c r="I723">
        <f>'raw data Crude oil'!I724</f>
        <v>57.38</v>
      </c>
      <c r="J723">
        <f>'raw data Crude oil'!J724</f>
        <v>57.22</v>
      </c>
      <c r="K723">
        <f>'raw data Crude oil'!K724</f>
        <v>57.07</v>
      </c>
      <c r="L723">
        <f>'raw data Crude oil'!L724</f>
        <v>56.9</v>
      </c>
      <c r="M723">
        <f>'raw data Crude oil'!M724</f>
        <v>56.77</v>
      </c>
      <c r="N723">
        <f>'raw data Crude oil'!N724</f>
        <v>53.93</v>
      </c>
      <c r="O723">
        <f>'raw data Crude oil'!O724</f>
        <v>54.03</v>
      </c>
      <c r="P723">
        <f>'raw data Crude oil'!P724</f>
        <v>54.01</v>
      </c>
      <c r="Q723">
        <f>'raw data Crude oil'!Q724</f>
        <v>53.86</v>
      </c>
      <c r="R723">
        <f>'raw data Crude oil'!R724</f>
        <v>53.63</v>
      </c>
      <c r="S723">
        <f>'raw data Crude oil'!S724</f>
        <v>53.36</v>
      </c>
      <c r="T723">
        <f>'raw data Crude oil'!T724</f>
        <v>53.08</v>
      </c>
      <c r="U723">
        <f>'raw data Crude oil'!U724</f>
        <v>52.79</v>
      </c>
      <c r="V723">
        <f>'raw data Crude oil'!V724</f>
        <v>52.5</v>
      </c>
      <c r="W723">
        <f>'raw data Crude oil'!W724</f>
        <v>52.22</v>
      </c>
      <c r="X723">
        <f>'raw data Crude oil'!X724</f>
        <v>51.99</v>
      </c>
      <c r="Y723">
        <f>'raw data Crude oil'!Y724</f>
        <v>51.78</v>
      </c>
      <c r="Z723">
        <f>'raw data Crude oil'!Z724</f>
        <v>59.139000000000003</v>
      </c>
      <c r="AA723">
        <f>'raw data Crude oil'!AA724</f>
        <v>58.152000000000001</v>
      </c>
      <c r="AB723">
        <f>'raw data Crude oil'!AB724</f>
        <v>57.137999999999998</v>
      </c>
      <c r="AC723">
        <f>'raw data Crude oil'!AC724</f>
        <v>56.25</v>
      </c>
      <c r="AD723">
        <f>'raw data Crude oil'!AD724</f>
        <v>55.7</v>
      </c>
      <c r="AE723">
        <f>'raw data Crude oil'!AE724</f>
        <v>55.34</v>
      </c>
      <c r="AF723">
        <f>'raw data Crude oil'!AF724</f>
        <v>55.08</v>
      </c>
      <c r="AG723">
        <f>'raw data Crude oil'!AG724</f>
        <v>54.892000000000003</v>
      </c>
      <c r="AH723">
        <f>'raw data Crude oil'!AH724</f>
        <v>54.743000000000002</v>
      </c>
      <c r="AI723">
        <f>'raw data Crude oil'!AI724</f>
        <v>54.603000000000002</v>
      </c>
      <c r="AJ723">
        <f>'raw data Crude oil'!AJ724</f>
        <v>54.438000000000002</v>
      </c>
      <c r="AK723">
        <f>'raw data Crude oil'!AK724</f>
        <v>54.313000000000002</v>
      </c>
    </row>
    <row r="724" spans="1:37" x14ac:dyDescent="0.3">
      <c r="A724" s="18">
        <f>'raw data Crude oil'!A725</f>
        <v>43756</v>
      </c>
      <c r="B724">
        <f>'raw data Crude oil'!B725</f>
        <v>59.42</v>
      </c>
      <c r="C724">
        <f>'raw data Crude oil'!C725</f>
        <v>59.09</v>
      </c>
      <c r="D724">
        <f>'raw data Crude oil'!D725</f>
        <v>58.53</v>
      </c>
      <c r="E724">
        <f>'raw data Crude oil'!E725</f>
        <v>58.11</v>
      </c>
      <c r="F724">
        <f>'raw data Crude oil'!F725</f>
        <v>57.79</v>
      </c>
      <c r="G724">
        <f>'raw data Crude oil'!G725</f>
        <v>57.52</v>
      </c>
      <c r="H724">
        <f>'raw data Crude oil'!H725</f>
        <v>57.27</v>
      </c>
      <c r="I724">
        <f>'raw data Crude oil'!I725</f>
        <v>57.07</v>
      </c>
      <c r="J724">
        <f>'raw data Crude oil'!J725</f>
        <v>56.91</v>
      </c>
      <c r="K724">
        <f>'raw data Crude oil'!K725</f>
        <v>56.76</v>
      </c>
      <c r="L724">
        <f>'raw data Crude oil'!L725</f>
        <v>56.6</v>
      </c>
      <c r="M724">
        <f>'raw data Crude oil'!M725</f>
        <v>56.47</v>
      </c>
      <c r="N724">
        <f>'raw data Crude oil'!N725</f>
        <v>53.78</v>
      </c>
      <c r="O724">
        <f>'raw data Crude oil'!O725</f>
        <v>53.87</v>
      </c>
      <c r="P724">
        <f>'raw data Crude oil'!P725</f>
        <v>53.82</v>
      </c>
      <c r="Q724">
        <f>'raw data Crude oil'!Q725</f>
        <v>53.62</v>
      </c>
      <c r="R724">
        <f>'raw data Crude oil'!R725</f>
        <v>53.37</v>
      </c>
      <c r="S724">
        <f>'raw data Crude oil'!S725</f>
        <v>53.08</v>
      </c>
      <c r="T724">
        <f>'raw data Crude oil'!T725</f>
        <v>52.8</v>
      </c>
      <c r="U724">
        <f>'raw data Crude oil'!U725</f>
        <v>52.52</v>
      </c>
      <c r="V724">
        <f>'raw data Crude oil'!V725</f>
        <v>52.23</v>
      </c>
      <c r="W724">
        <f>'raw data Crude oil'!W725</f>
        <v>51.96</v>
      </c>
      <c r="X724">
        <f>'raw data Crude oil'!X725</f>
        <v>51.73</v>
      </c>
      <c r="Y724">
        <f>'raw data Crude oil'!Y725</f>
        <v>51.55</v>
      </c>
      <c r="Z724">
        <f>'raw data Crude oil'!Z725</f>
        <v>59.003999999999998</v>
      </c>
      <c r="AA724">
        <f>'raw data Crude oil'!AA725</f>
        <v>57.853000000000002</v>
      </c>
      <c r="AB724">
        <f>'raw data Crude oil'!AB725</f>
        <v>56.82</v>
      </c>
      <c r="AC724">
        <f>'raw data Crude oil'!AC725</f>
        <v>55.914999999999999</v>
      </c>
      <c r="AD724">
        <f>'raw data Crude oil'!AD725</f>
        <v>55.341999999999999</v>
      </c>
      <c r="AE724">
        <f>'raw data Crude oil'!AE725</f>
        <v>54.999000000000002</v>
      </c>
      <c r="AF724">
        <f>'raw data Crude oil'!AF725</f>
        <v>54.79</v>
      </c>
      <c r="AG724">
        <f>'raw data Crude oil'!AG725</f>
        <v>54.612000000000002</v>
      </c>
      <c r="AH724">
        <f>'raw data Crude oil'!AH725</f>
        <v>54.448999999999998</v>
      </c>
      <c r="AI724">
        <f>'raw data Crude oil'!AI725</f>
        <v>54.302999999999997</v>
      </c>
      <c r="AJ724">
        <f>'raw data Crude oil'!AJ725</f>
        <v>54.128</v>
      </c>
      <c r="AK724">
        <f>'raw data Crude oil'!AK725</f>
        <v>54.003999999999998</v>
      </c>
    </row>
    <row r="725" spans="1:37" x14ac:dyDescent="0.3">
      <c r="A725" s="18">
        <f>'raw data Crude oil'!A726</f>
        <v>43759</v>
      </c>
      <c r="B725">
        <f>'raw data Crude oil'!B726</f>
        <v>58.96</v>
      </c>
      <c r="C725">
        <f>'raw data Crude oil'!C726</f>
        <v>58.68</v>
      </c>
      <c r="D725">
        <f>'raw data Crude oil'!D726</f>
        <v>58.2</v>
      </c>
      <c r="E725">
        <f>'raw data Crude oil'!E726</f>
        <v>57.83</v>
      </c>
      <c r="F725">
        <f>'raw data Crude oil'!F726</f>
        <v>57.54</v>
      </c>
      <c r="G725">
        <f>'raw data Crude oil'!G726</f>
        <v>57.3</v>
      </c>
      <c r="H725">
        <f>'raw data Crude oil'!H726</f>
        <v>57.08</v>
      </c>
      <c r="I725">
        <f>'raw data Crude oil'!I726</f>
        <v>56.9</v>
      </c>
      <c r="J725">
        <f>'raw data Crude oil'!J726</f>
        <v>56.76</v>
      </c>
      <c r="K725">
        <f>'raw data Crude oil'!K726</f>
        <v>56.63</v>
      </c>
      <c r="L725">
        <f>'raw data Crude oil'!L726</f>
        <v>56.48</v>
      </c>
      <c r="M725">
        <f>'raw data Crude oil'!M726</f>
        <v>56.36</v>
      </c>
      <c r="N725">
        <f>'raw data Crude oil'!N726</f>
        <v>53.31</v>
      </c>
      <c r="O725">
        <f>'raw data Crude oil'!O726</f>
        <v>53.51</v>
      </c>
      <c r="P725">
        <f>'raw data Crude oil'!P726</f>
        <v>53.54</v>
      </c>
      <c r="Q725">
        <f>'raw data Crude oil'!Q726</f>
        <v>53.41</v>
      </c>
      <c r="R725">
        <f>'raw data Crude oil'!R726</f>
        <v>53.18</v>
      </c>
      <c r="S725">
        <f>'raw data Crude oil'!S726</f>
        <v>52.94</v>
      </c>
      <c r="T725">
        <f>'raw data Crude oil'!T726</f>
        <v>52.7</v>
      </c>
      <c r="U725">
        <f>'raw data Crude oil'!U726</f>
        <v>52.44</v>
      </c>
      <c r="V725">
        <f>'raw data Crude oil'!V726</f>
        <v>52.17</v>
      </c>
      <c r="W725">
        <f>'raw data Crude oil'!W726</f>
        <v>51.92</v>
      </c>
      <c r="X725">
        <f>'raw data Crude oil'!X726</f>
        <v>51.71</v>
      </c>
      <c r="Y725">
        <f>'raw data Crude oil'!Y726</f>
        <v>51.55</v>
      </c>
      <c r="Z725">
        <f>'raw data Crude oil'!Z726</f>
        <v>58.869</v>
      </c>
      <c r="AA725">
        <f>'raw data Crude oil'!AA726</f>
        <v>57.447000000000003</v>
      </c>
      <c r="AB725">
        <f>'raw data Crude oil'!AB726</f>
        <v>56.465000000000003</v>
      </c>
      <c r="AC725">
        <f>'raw data Crude oil'!AC726</f>
        <v>55.606999999999999</v>
      </c>
      <c r="AD725">
        <f>'raw data Crude oil'!AD726</f>
        <v>55.058</v>
      </c>
      <c r="AE725">
        <f>'raw data Crude oil'!AE726</f>
        <v>54.73</v>
      </c>
      <c r="AF725">
        <f>'raw data Crude oil'!AF726</f>
        <v>54.530999999999999</v>
      </c>
      <c r="AG725">
        <f>'raw data Crude oil'!AG726</f>
        <v>54.383000000000003</v>
      </c>
      <c r="AH725">
        <f>'raw data Crude oil'!AH726</f>
        <v>54.264000000000003</v>
      </c>
      <c r="AI725">
        <f>'raw data Crude oil'!AI726</f>
        <v>54.143000000000001</v>
      </c>
      <c r="AJ725">
        <f>'raw data Crude oil'!AJ726</f>
        <v>54.009</v>
      </c>
      <c r="AK725">
        <f>'raw data Crude oil'!AK726</f>
        <v>53.895000000000003</v>
      </c>
    </row>
    <row r="726" spans="1:37" x14ac:dyDescent="0.3">
      <c r="A726" s="18">
        <f>'raw data Crude oil'!A727</f>
        <v>43760</v>
      </c>
      <c r="B726">
        <f>'raw data Crude oil'!B727</f>
        <v>59.7</v>
      </c>
      <c r="C726">
        <f>'raw data Crude oil'!C727</f>
        <v>59.44</v>
      </c>
      <c r="D726">
        <f>'raw data Crude oil'!D727</f>
        <v>58.93</v>
      </c>
      <c r="E726">
        <f>'raw data Crude oil'!E727</f>
        <v>58.52</v>
      </c>
      <c r="F726">
        <f>'raw data Crude oil'!F727</f>
        <v>58.18</v>
      </c>
      <c r="G726">
        <f>'raw data Crude oil'!G727</f>
        <v>57.91</v>
      </c>
      <c r="H726">
        <f>'raw data Crude oil'!H727</f>
        <v>57.65</v>
      </c>
      <c r="I726">
        <f>'raw data Crude oil'!I727</f>
        <v>57.44</v>
      </c>
      <c r="J726">
        <f>'raw data Crude oil'!J727</f>
        <v>57.27</v>
      </c>
      <c r="K726">
        <f>'raw data Crude oil'!K727</f>
        <v>57.11</v>
      </c>
      <c r="L726">
        <f>'raw data Crude oil'!L727</f>
        <v>56.94</v>
      </c>
      <c r="M726">
        <f>'raw data Crude oil'!M727</f>
        <v>56.8</v>
      </c>
      <c r="N726">
        <f>'raw data Crude oil'!N727</f>
        <v>54.16</v>
      </c>
      <c r="O726">
        <f>'raw data Crude oil'!O727</f>
        <v>54.48</v>
      </c>
      <c r="P726">
        <f>'raw data Crude oil'!P727</f>
        <v>54.5</v>
      </c>
      <c r="Q726">
        <f>'raw data Crude oil'!Q727</f>
        <v>54.34</v>
      </c>
      <c r="R726">
        <f>'raw data Crude oil'!R727</f>
        <v>54.07</v>
      </c>
      <c r="S726">
        <f>'raw data Crude oil'!S727</f>
        <v>53.77</v>
      </c>
      <c r="T726">
        <f>'raw data Crude oil'!T727</f>
        <v>53.46</v>
      </c>
      <c r="U726">
        <f>'raw data Crude oil'!U727</f>
        <v>53.13</v>
      </c>
      <c r="V726">
        <f>'raw data Crude oil'!V727</f>
        <v>52.82</v>
      </c>
      <c r="W726">
        <f>'raw data Crude oil'!W727</f>
        <v>52.52</v>
      </c>
      <c r="X726">
        <f>'raw data Crude oil'!X727</f>
        <v>52.27</v>
      </c>
      <c r="Y726">
        <f>'raw data Crude oil'!Y727</f>
        <v>52.08</v>
      </c>
      <c r="Z726">
        <f>'raw data Crude oil'!Z727</f>
        <v>59.023000000000003</v>
      </c>
      <c r="AA726">
        <f>'raw data Crude oil'!AA727</f>
        <v>58.045999999999999</v>
      </c>
      <c r="AB726">
        <f>'raw data Crude oil'!AB727</f>
        <v>57.05</v>
      </c>
      <c r="AC726">
        <f>'raw data Crude oil'!AC727</f>
        <v>56.185000000000002</v>
      </c>
      <c r="AD726">
        <f>'raw data Crude oil'!AD727</f>
        <v>55.616999999999997</v>
      </c>
      <c r="AE726">
        <f>'raw data Crude oil'!AE727</f>
        <v>55.277999999999999</v>
      </c>
      <c r="AF726">
        <f>'raw data Crude oil'!AF727</f>
        <v>55.02</v>
      </c>
      <c r="AG726">
        <f>'raw data Crude oil'!AG727</f>
        <v>54.822000000000003</v>
      </c>
      <c r="AH726">
        <f>'raw data Crude oil'!AH727</f>
        <v>54.643000000000001</v>
      </c>
      <c r="AI726">
        <f>'raw data Crude oil'!AI727</f>
        <v>54.503</v>
      </c>
      <c r="AJ726">
        <f>'raw data Crude oil'!AJ727</f>
        <v>54.377000000000002</v>
      </c>
      <c r="AK726">
        <f>'raw data Crude oil'!AK727</f>
        <v>54.243000000000002</v>
      </c>
    </row>
    <row r="727" spans="1:37" x14ac:dyDescent="0.3">
      <c r="A727" s="18">
        <f>'raw data Crude oil'!A728</f>
        <v>43761</v>
      </c>
      <c r="B727">
        <f>'raw data Crude oil'!B728</f>
        <v>61.17</v>
      </c>
      <c r="C727">
        <f>'raw data Crude oil'!C728</f>
        <v>60.87</v>
      </c>
      <c r="D727">
        <f>'raw data Crude oil'!D728</f>
        <v>60.34</v>
      </c>
      <c r="E727">
        <f>'raw data Crude oil'!E728</f>
        <v>59.88</v>
      </c>
      <c r="F727">
        <f>'raw data Crude oil'!F728</f>
        <v>59.49</v>
      </c>
      <c r="G727">
        <f>'raw data Crude oil'!G728</f>
        <v>59.18</v>
      </c>
      <c r="H727">
        <f>'raw data Crude oil'!H728</f>
        <v>58.88</v>
      </c>
      <c r="I727">
        <f>'raw data Crude oil'!I728</f>
        <v>58.62</v>
      </c>
      <c r="J727">
        <f>'raw data Crude oil'!J728</f>
        <v>58.42</v>
      </c>
      <c r="K727">
        <f>'raw data Crude oil'!K728</f>
        <v>58.23</v>
      </c>
      <c r="L727">
        <f>'raw data Crude oil'!L728</f>
        <v>58.03</v>
      </c>
      <c r="M727">
        <f>'raw data Crude oil'!M728</f>
        <v>57.86</v>
      </c>
      <c r="N727">
        <f>'raw data Crude oil'!N728</f>
        <v>55.97</v>
      </c>
      <c r="O727">
        <f>'raw data Crude oil'!O728</f>
        <v>55.99</v>
      </c>
      <c r="P727">
        <f>'raw data Crude oil'!P728</f>
        <v>55.82</v>
      </c>
      <c r="Q727">
        <f>'raw data Crude oil'!Q728</f>
        <v>55.52</v>
      </c>
      <c r="R727">
        <f>'raw data Crude oil'!R728</f>
        <v>55.15</v>
      </c>
      <c r="S727">
        <f>'raw data Crude oil'!S728</f>
        <v>54.77</v>
      </c>
      <c r="T727">
        <f>'raw data Crude oil'!T728</f>
        <v>54.38</v>
      </c>
      <c r="U727">
        <f>'raw data Crude oil'!U728</f>
        <v>54.01</v>
      </c>
      <c r="V727">
        <f>'raw data Crude oil'!V728</f>
        <v>53.68</v>
      </c>
      <c r="W727">
        <f>'raw data Crude oil'!W728</f>
        <v>53.39</v>
      </c>
      <c r="X727">
        <f>'raw data Crude oil'!X728</f>
        <v>53.15</v>
      </c>
      <c r="Y727">
        <f>'raw data Crude oil'!Y728</f>
        <v>52.96</v>
      </c>
      <c r="Z727">
        <f>'raw data Crude oil'!Z728</f>
        <v>59.448</v>
      </c>
      <c r="AA727">
        <f>'raw data Crude oil'!AA728</f>
        <v>59.475000000000001</v>
      </c>
      <c r="AB727">
        <f>'raw data Crude oil'!AB728</f>
        <v>58.445999999999998</v>
      </c>
      <c r="AC727">
        <f>'raw data Crude oil'!AC728</f>
        <v>57.561999999999998</v>
      </c>
      <c r="AD727">
        <f>'raw data Crude oil'!AD728</f>
        <v>56.984999999999999</v>
      </c>
      <c r="AE727">
        <f>'raw data Crude oil'!AE728</f>
        <v>56.625999999999998</v>
      </c>
      <c r="AF727">
        <f>'raw data Crude oil'!AF728</f>
        <v>56.338000000000001</v>
      </c>
      <c r="AG727">
        <f>'raw data Crude oil'!AG728</f>
        <v>56.1</v>
      </c>
      <c r="AH727">
        <f>'raw data Crude oil'!AH728</f>
        <v>55.871000000000002</v>
      </c>
      <c r="AI727">
        <f>'raw data Crude oil'!AI728</f>
        <v>55.670999999999999</v>
      </c>
      <c r="AJ727">
        <f>'raw data Crude oil'!AJ728</f>
        <v>55.463999999999999</v>
      </c>
      <c r="AK727">
        <f>'raw data Crude oil'!AK728</f>
        <v>55.271999999999998</v>
      </c>
    </row>
    <row r="728" spans="1:37" x14ac:dyDescent="0.3">
      <c r="A728" s="18">
        <f>'raw data Crude oil'!A729</f>
        <v>43762</v>
      </c>
      <c r="B728">
        <f>'raw data Crude oil'!B729</f>
        <v>61.67</v>
      </c>
      <c r="C728">
        <f>'raw data Crude oil'!C729</f>
        <v>61.39</v>
      </c>
      <c r="D728">
        <f>'raw data Crude oil'!D729</f>
        <v>60.83</v>
      </c>
      <c r="E728">
        <f>'raw data Crude oil'!E729</f>
        <v>60.34</v>
      </c>
      <c r="F728">
        <f>'raw data Crude oil'!F729</f>
        <v>59.92</v>
      </c>
      <c r="G728">
        <f>'raw data Crude oil'!G729</f>
        <v>59.58</v>
      </c>
      <c r="H728">
        <f>'raw data Crude oil'!H729</f>
        <v>59.26</v>
      </c>
      <c r="I728">
        <f>'raw data Crude oil'!I729</f>
        <v>58.98</v>
      </c>
      <c r="J728">
        <f>'raw data Crude oil'!J729</f>
        <v>58.77</v>
      </c>
      <c r="K728">
        <f>'raw data Crude oil'!K729</f>
        <v>58.57</v>
      </c>
      <c r="L728">
        <f>'raw data Crude oil'!L729</f>
        <v>58.37</v>
      </c>
      <c r="M728">
        <f>'raw data Crude oil'!M729</f>
        <v>58.2</v>
      </c>
      <c r="N728">
        <f>'raw data Crude oil'!N729</f>
        <v>56.23</v>
      </c>
      <c r="O728">
        <f>'raw data Crude oil'!O729</f>
        <v>56.27</v>
      </c>
      <c r="P728">
        <f>'raw data Crude oil'!P729</f>
        <v>56.13</v>
      </c>
      <c r="Q728">
        <f>'raw data Crude oil'!Q729</f>
        <v>55.85</v>
      </c>
      <c r="R728">
        <f>'raw data Crude oil'!R729</f>
        <v>55.48</v>
      </c>
      <c r="S728">
        <f>'raw data Crude oil'!S729</f>
        <v>55.09</v>
      </c>
      <c r="T728">
        <f>'raw data Crude oil'!T729</f>
        <v>54.68</v>
      </c>
      <c r="U728">
        <f>'raw data Crude oil'!U729</f>
        <v>54.3</v>
      </c>
      <c r="V728">
        <f>'raw data Crude oil'!V729</f>
        <v>53.94</v>
      </c>
      <c r="W728">
        <f>'raw data Crude oil'!W729</f>
        <v>53.63</v>
      </c>
      <c r="X728">
        <f>'raw data Crude oil'!X729</f>
        <v>53.38</v>
      </c>
      <c r="Y728">
        <f>'raw data Crude oil'!Y729</f>
        <v>53.18</v>
      </c>
      <c r="Z728">
        <f>'raw data Crude oil'!Z729</f>
        <v>59.491999999999997</v>
      </c>
      <c r="AA728">
        <f>'raw data Crude oil'!AA729</f>
        <v>59.960999999999999</v>
      </c>
      <c r="AB728">
        <f>'raw data Crude oil'!AB729</f>
        <v>58.872999999999998</v>
      </c>
      <c r="AC728">
        <f>'raw data Crude oil'!AC729</f>
        <v>57.960999999999999</v>
      </c>
      <c r="AD728">
        <f>'raw data Crude oil'!AD729</f>
        <v>57.343000000000004</v>
      </c>
      <c r="AE728">
        <f>'raw data Crude oil'!AE729</f>
        <v>56.975000000000001</v>
      </c>
      <c r="AF728">
        <f>'raw data Crude oil'!AF729</f>
        <v>56.627000000000002</v>
      </c>
      <c r="AG728">
        <f>'raw data Crude oil'!AG729</f>
        <v>56.35</v>
      </c>
      <c r="AH728">
        <f>'raw data Crude oil'!AH729</f>
        <v>56.140999999999998</v>
      </c>
      <c r="AI728">
        <f>'raw data Crude oil'!AI729</f>
        <v>55.951000000000001</v>
      </c>
      <c r="AJ728">
        <f>'raw data Crude oil'!AJ729</f>
        <v>55.764000000000003</v>
      </c>
      <c r="AK728">
        <f>'raw data Crude oil'!AK729</f>
        <v>55.591999999999999</v>
      </c>
    </row>
    <row r="729" spans="1:37" x14ac:dyDescent="0.3">
      <c r="A729" s="18">
        <f>'raw data Crude oil'!A730</f>
        <v>43763</v>
      </c>
      <c r="B729">
        <f>'raw data Crude oil'!B730</f>
        <v>62.02</v>
      </c>
      <c r="C729">
        <f>'raw data Crude oil'!C730</f>
        <v>61.73</v>
      </c>
      <c r="D729">
        <f>'raw data Crude oil'!D730</f>
        <v>61.2</v>
      </c>
      <c r="E729">
        <f>'raw data Crude oil'!E730</f>
        <v>60.73</v>
      </c>
      <c r="F729">
        <f>'raw data Crude oil'!F730</f>
        <v>60.32</v>
      </c>
      <c r="G729">
        <f>'raw data Crude oil'!G730</f>
        <v>59.97</v>
      </c>
      <c r="H729">
        <f>'raw data Crude oil'!H730</f>
        <v>59.64</v>
      </c>
      <c r="I729">
        <f>'raw data Crude oil'!I730</f>
        <v>59.37</v>
      </c>
      <c r="J729">
        <f>'raw data Crude oil'!J730</f>
        <v>59.15</v>
      </c>
      <c r="K729">
        <f>'raw data Crude oil'!K730</f>
        <v>58.94</v>
      </c>
      <c r="L729">
        <f>'raw data Crude oil'!L730</f>
        <v>58.73</v>
      </c>
      <c r="M729">
        <f>'raw data Crude oil'!M730</f>
        <v>58.54</v>
      </c>
      <c r="N729">
        <f>'raw data Crude oil'!N730</f>
        <v>56.66</v>
      </c>
      <c r="O729">
        <f>'raw data Crude oil'!O730</f>
        <v>56.71</v>
      </c>
      <c r="P729">
        <f>'raw data Crude oil'!P730</f>
        <v>56.59</v>
      </c>
      <c r="Q729">
        <f>'raw data Crude oil'!Q730</f>
        <v>56.32</v>
      </c>
      <c r="R729">
        <f>'raw data Crude oil'!R730</f>
        <v>55.95</v>
      </c>
      <c r="S729">
        <f>'raw data Crude oil'!S730</f>
        <v>55.55</v>
      </c>
      <c r="T729">
        <f>'raw data Crude oil'!T730</f>
        <v>55.15</v>
      </c>
      <c r="U729">
        <f>'raw data Crude oil'!U730</f>
        <v>54.75</v>
      </c>
      <c r="V729">
        <f>'raw data Crude oil'!V730</f>
        <v>54.39</v>
      </c>
      <c r="W729">
        <f>'raw data Crude oil'!W730</f>
        <v>54.08</v>
      </c>
      <c r="X729">
        <f>'raw data Crude oil'!X730</f>
        <v>53.82</v>
      </c>
      <c r="Y729">
        <f>'raw data Crude oil'!Y730</f>
        <v>53.61</v>
      </c>
      <c r="Z729">
        <f>'raw data Crude oil'!Z730</f>
        <v>59.515999999999998</v>
      </c>
      <c r="AA729">
        <f>'raw data Crude oil'!AA730</f>
        <v>60.414999999999999</v>
      </c>
      <c r="AB729">
        <f>'raw data Crude oil'!AB730</f>
        <v>59.215000000000003</v>
      </c>
      <c r="AC729">
        <f>'raw data Crude oil'!AC730</f>
        <v>58.290999999999997</v>
      </c>
      <c r="AD729">
        <f>'raw data Crude oil'!AD730</f>
        <v>57.670999999999999</v>
      </c>
      <c r="AE729">
        <f>'raw data Crude oil'!AE730</f>
        <v>57.284999999999997</v>
      </c>
      <c r="AF729">
        <f>'raw data Crude oil'!AF730</f>
        <v>56.947000000000003</v>
      </c>
      <c r="AG729">
        <f>'raw data Crude oil'!AG730</f>
        <v>56.7</v>
      </c>
      <c r="AH729">
        <f>'raw data Crude oil'!AH730</f>
        <v>56.49</v>
      </c>
      <c r="AI729">
        <f>'raw data Crude oil'!AI730</f>
        <v>56.271000000000001</v>
      </c>
      <c r="AJ729">
        <f>'raw data Crude oil'!AJ730</f>
        <v>56.061999999999998</v>
      </c>
      <c r="AK729">
        <f>'raw data Crude oil'!AK730</f>
        <v>55.881</v>
      </c>
    </row>
    <row r="730" spans="1:37" x14ac:dyDescent="0.3">
      <c r="A730" s="18">
        <f>'raw data Crude oil'!A731</f>
        <v>43766</v>
      </c>
      <c r="B730">
        <f>'raw data Crude oil'!B731</f>
        <v>61.57</v>
      </c>
      <c r="C730">
        <f>'raw data Crude oil'!C731</f>
        <v>61.25</v>
      </c>
      <c r="D730">
        <f>'raw data Crude oil'!D731</f>
        <v>60.71</v>
      </c>
      <c r="E730">
        <f>'raw data Crude oil'!E731</f>
        <v>60.26</v>
      </c>
      <c r="F730">
        <f>'raw data Crude oil'!F731</f>
        <v>59.86</v>
      </c>
      <c r="G730">
        <f>'raw data Crude oil'!G731</f>
        <v>59.52</v>
      </c>
      <c r="H730">
        <f>'raw data Crude oil'!H731</f>
        <v>59.21</v>
      </c>
      <c r="I730">
        <f>'raw data Crude oil'!I731</f>
        <v>58.95</v>
      </c>
      <c r="J730">
        <f>'raw data Crude oil'!J731</f>
        <v>58.74</v>
      </c>
      <c r="K730">
        <f>'raw data Crude oil'!K731</f>
        <v>58.53</v>
      </c>
      <c r="L730">
        <f>'raw data Crude oil'!L731</f>
        <v>58.32</v>
      </c>
      <c r="M730">
        <f>'raw data Crude oil'!M731</f>
        <v>58.15</v>
      </c>
      <c r="N730">
        <f>'raw data Crude oil'!N731</f>
        <v>55.81</v>
      </c>
      <c r="O730">
        <f>'raw data Crude oil'!O731</f>
        <v>55.9</v>
      </c>
      <c r="P730">
        <f>'raw data Crude oil'!P731</f>
        <v>55.83</v>
      </c>
      <c r="Q730">
        <f>'raw data Crude oil'!Q731</f>
        <v>55.63</v>
      </c>
      <c r="R730">
        <f>'raw data Crude oil'!R731</f>
        <v>55.34</v>
      </c>
      <c r="S730">
        <f>'raw data Crude oil'!S731</f>
        <v>55.01</v>
      </c>
      <c r="T730">
        <f>'raw data Crude oil'!T731</f>
        <v>54.64</v>
      </c>
      <c r="U730">
        <f>'raw data Crude oil'!U731</f>
        <v>54.28</v>
      </c>
      <c r="V730">
        <f>'raw data Crude oil'!V731</f>
        <v>53.93</v>
      </c>
      <c r="W730">
        <f>'raw data Crude oil'!W731</f>
        <v>53.63</v>
      </c>
      <c r="X730">
        <f>'raw data Crude oil'!X731</f>
        <v>53.38</v>
      </c>
      <c r="Y730">
        <f>'raw data Crude oil'!Y731</f>
        <v>53.18</v>
      </c>
      <c r="Z730">
        <f>'raw data Crude oil'!Z731</f>
        <v>59.445999999999998</v>
      </c>
      <c r="AA730">
        <f>'raw data Crude oil'!AA731</f>
        <v>59.904000000000003</v>
      </c>
      <c r="AB730">
        <f>'raw data Crude oil'!AB731</f>
        <v>58.697000000000003</v>
      </c>
      <c r="AC730">
        <f>'raw data Crude oil'!AC731</f>
        <v>57.777000000000001</v>
      </c>
      <c r="AD730">
        <f>'raw data Crude oil'!AD731</f>
        <v>57.155999999999999</v>
      </c>
      <c r="AE730">
        <f>'raw data Crude oil'!AE731</f>
        <v>56.795999999999999</v>
      </c>
      <c r="AF730">
        <f>'raw data Crude oil'!AF731</f>
        <v>56.518000000000001</v>
      </c>
      <c r="AG730">
        <f>'raw data Crude oil'!AG731</f>
        <v>56.28</v>
      </c>
      <c r="AH730">
        <f>'raw data Crude oil'!AH731</f>
        <v>56.08</v>
      </c>
      <c r="AI730">
        <f>'raw data Crude oil'!AI731</f>
        <v>55.860999999999997</v>
      </c>
      <c r="AJ730">
        <f>'raw data Crude oil'!AJ731</f>
        <v>55.654000000000003</v>
      </c>
      <c r="AK730">
        <f>'raw data Crude oil'!AK731</f>
        <v>55.491</v>
      </c>
    </row>
    <row r="731" spans="1:37" x14ac:dyDescent="0.3">
      <c r="A731" s="18">
        <f>'raw data Crude oil'!A732</f>
        <v>43767</v>
      </c>
      <c r="B731">
        <f>'raw data Crude oil'!B732</f>
        <v>61.59</v>
      </c>
      <c r="C731">
        <f>'raw data Crude oil'!C732</f>
        <v>61.23</v>
      </c>
      <c r="D731">
        <f>'raw data Crude oil'!D732</f>
        <v>60.64</v>
      </c>
      <c r="E731">
        <f>'raw data Crude oil'!E732</f>
        <v>60.17</v>
      </c>
      <c r="F731">
        <f>'raw data Crude oil'!F732</f>
        <v>59.77</v>
      </c>
      <c r="G731">
        <f>'raw data Crude oil'!G732</f>
        <v>59.44</v>
      </c>
      <c r="H731">
        <f>'raw data Crude oil'!H732</f>
        <v>59.14</v>
      </c>
      <c r="I731">
        <f>'raw data Crude oil'!I732</f>
        <v>58.88</v>
      </c>
      <c r="J731">
        <f>'raw data Crude oil'!J732</f>
        <v>58.66</v>
      </c>
      <c r="K731">
        <f>'raw data Crude oil'!K732</f>
        <v>58.46</v>
      </c>
      <c r="L731">
        <f>'raw data Crude oil'!L732</f>
        <v>58.26</v>
      </c>
      <c r="M731">
        <f>'raw data Crude oil'!M732</f>
        <v>58.09</v>
      </c>
      <c r="N731">
        <f>'raw data Crude oil'!N732</f>
        <v>55.54</v>
      </c>
      <c r="O731">
        <f>'raw data Crude oil'!O732</f>
        <v>55.68</v>
      </c>
      <c r="P731">
        <f>'raw data Crude oil'!P732</f>
        <v>55.64</v>
      </c>
      <c r="Q731">
        <f>'raw data Crude oil'!Q732</f>
        <v>55.47</v>
      </c>
      <c r="R731">
        <f>'raw data Crude oil'!R732</f>
        <v>55.2</v>
      </c>
      <c r="S731">
        <f>'raw data Crude oil'!S732</f>
        <v>54.89</v>
      </c>
      <c r="T731">
        <f>'raw data Crude oil'!T732</f>
        <v>54.54</v>
      </c>
      <c r="U731">
        <f>'raw data Crude oil'!U732</f>
        <v>54.16</v>
      </c>
      <c r="V731">
        <f>'raw data Crude oil'!V732</f>
        <v>53.86</v>
      </c>
      <c r="W731">
        <f>'raw data Crude oil'!W732</f>
        <v>53.56</v>
      </c>
      <c r="X731">
        <f>'raw data Crude oil'!X732</f>
        <v>53.32</v>
      </c>
      <c r="Y731">
        <f>'raw data Crude oil'!Y732</f>
        <v>53.12</v>
      </c>
      <c r="Z731">
        <f>'raw data Crude oil'!Z732</f>
        <v>59.381999999999998</v>
      </c>
      <c r="AA731">
        <f>'raw data Crude oil'!AA732</f>
        <v>60.012</v>
      </c>
      <c r="AB731">
        <f>'raw data Crude oil'!AB732</f>
        <v>58.755000000000003</v>
      </c>
      <c r="AC731">
        <f>'raw data Crude oil'!AC732</f>
        <v>57.796999999999997</v>
      </c>
      <c r="AD731">
        <f>'raw data Crude oil'!AD732</f>
        <v>57.151000000000003</v>
      </c>
      <c r="AE731">
        <f>'raw data Crude oil'!AE732</f>
        <v>56.756</v>
      </c>
      <c r="AF731">
        <f>'raw data Crude oil'!AF732</f>
        <v>56.478000000000002</v>
      </c>
      <c r="AG731">
        <f>'raw data Crude oil'!AG732</f>
        <v>56.25</v>
      </c>
      <c r="AH731">
        <f>'raw data Crude oil'!AH732</f>
        <v>56.030999999999999</v>
      </c>
      <c r="AI731">
        <f>'raw data Crude oil'!AI732</f>
        <v>55.820999999999998</v>
      </c>
      <c r="AJ731">
        <f>'raw data Crude oil'!AJ732</f>
        <v>55.613999999999997</v>
      </c>
      <c r="AK731">
        <f>'raw data Crude oil'!AK732</f>
        <v>55.432000000000002</v>
      </c>
    </row>
    <row r="732" spans="1:37" x14ac:dyDescent="0.3">
      <c r="A732" s="18">
        <f>'raw data Crude oil'!A733</f>
        <v>43768</v>
      </c>
      <c r="B732">
        <f>'raw data Crude oil'!B733</f>
        <v>60.61</v>
      </c>
      <c r="C732">
        <f>'raw data Crude oil'!C733</f>
        <v>60.24</v>
      </c>
      <c r="D732">
        <f>'raw data Crude oil'!D733</f>
        <v>59.57</v>
      </c>
      <c r="E732">
        <f>'raw data Crude oil'!E733</f>
        <v>59.04</v>
      </c>
      <c r="F732">
        <f>'raw data Crude oil'!F733</f>
        <v>58.62</v>
      </c>
      <c r="G732">
        <f>'raw data Crude oil'!G733</f>
        <v>58.29</v>
      </c>
      <c r="H732">
        <f>'raw data Crude oil'!H733</f>
        <v>57.99</v>
      </c>
      <c r="I732">
        <f>'raw data Crude oil'!I733</f>
        <v>57.72</v>
      </c>
      <c r="J732">
        <f>'raw data Crude oil'!J733</f>
        <v>57.5</v>
      </c>
      <c r="K732">
        <f>'raw data Crude oil'!K733</f>
        <v>57.3</v>
      </c>
      <c r="L732">
        <f>'raw data Crude oil'!L733</f>
        <v>57.1</v>
      </c>
      <c r="M732">
        <f>'raw data Crude oil'!M733</f>
        <v>56.93</v>
      </c>
      <c r="N732">
        <f>'raw data Crude oil'!N733</f>
        <v>55.06</v>
      </c>
      <c r="O732">
        <f>'raw data Crude oil'!O733</f>
        <v>55.1</v>
      </c>
      <c r="P732">
        <f>'raw data Crude oil'!P733</f>
        <v>54.94</v>
      </c>
      <c r="Q732">
        <f>'raw data Crude oil'!Q733</f>
        <v>54.66</v>
      </c>
      <c r="R732">
        <f>'raw data Crude oil'!R733</f>
        <v>54.32</v>
      </c>
      <c r="S732">
        <f>'raw data Crude oil'!S733</f>
        <v>53.95</v>
      </c>
      <c r="T732">
        <f>'raw data Crude oil'!T733</f>
        <v>53.56</v>
      </c>
      <c r="U732">
        <f>'raw data Crude oil'!U733</f>
        <v>53.18</v>
      </c>
      <c r="V732">
        <f>'raw data Crude oil'!V733</f>
        <v>52.82</v>
      </c>
      <c r="W732">
        <f>'raw data Crude oil'!W733</f>
        <v>52.51</v>
      </c>
      <c r="X732">
        <f>'raw data Crude oil'!X733</f>
        <v>52.25</v>
      </c>
      <c r="Y732">
        <f>'raw data Crude oil'!Y733</f>
        <v>52.05</v>
      </c>
      <c r="Z732">
        <f>'raw data Crude oil'!Z733</f>
        <v>59.337000000000003</v>
      </c>
      <c r="AA732">
        <f>'raw data Crude oil'!AA733</f>
        <v>59.018000000000001</v>
      </c>
      <c r="AB732">
        <f>'raw data Crude oil'!AB733</f>
        <v>57.719000000000001</v>
      </c>
      <c r="AC732">
        <f>'raw data Crude oil'!AC733</f>
        <v>56.720999999999997</v>
      </c>
      <c r="AD732">
        <f>'raw data Crude oil'!AD733</f>
        <v>56.033999999999999</v>
      </c>
      <c r="AE732">
        <f>'raw data Crude oil'!AE733</f>
        <v>55.616</v>
      </c>
      <c r="AF732">
        <f>'raw data Crude oil'!AF733</f>
        <v>55.326999999999998</v>
      </c>
      <c r="AG732">
        <f>'raw data Crude oil'!AG733</f>
        <v>55.09</v>
      </c>
      <c r="AH732">
        <f>'raw data Crude oil'!AH733</f>
        <v>54.871000000000002</v>
      </c>
      <c r="AI732">
        <f>'raw data Crude oil'!AI733</f>
        <v>54.661000000000001</v>
      </c>
      <c r="AJ732">
        <f>'raw data Crude oil'!AJ733</f>
        <v>54.454000000000001</v>
      </c>
      <c r="AK732">
        <f>'raw data Crude oil'!AK733</f>
        <v>54.271999999999998</v>
      </c>
    </row>
    <row r="733" spans="1:37" x14ac:dyDescent="0.3">
      <c r="A733" s="18">
        <f>'raw data Crude oil'!A734</f>
        <v>43769</v>
      </c>
      <c r="B733">
        <f>'raw data Crude oil'!B734</f>
        <v>60.23</v>
      </c>
      <c r="C733">
        <f>'raw data Crude oil'!C734</f>
        <v>59.62</v>
      </c>
      <c r="D733">
        <f>'raw data Crude oil'!D734</f>
        <v>58.91</v>
      </c>
      <c r="E733">
        <f>'raw data Crude oil'!E734</f>
        <v>58.34</v>
      </c>
      <c r="F733">
        <f>'raw data Crude oil'!F734</f>
        <v>57.91</v>
      </c>
      <c r="G733">
        <f>'raw data Crude oil'!G734</f>
        <v>57.58</v>
      </c>
      <c r="H733">
        <f>'raw data Crude oil'!H734</f>
        <v>57.3</v>
      </c>
      <c r="I733">
        <f>'raw data Crude oil'!I734</f>
        <v>57.04</v>
      </c>
      <c r="J733">
        <f>'raw data Crude oil'!J734</f>
        <v>56.82</v>
      </c>
      <c r="K733">
        <f>'raw data Crude oil'!K734</f>
        <v>56.63</v>
      </c>
      <c r="L733">
        <f>'raw data Crude oil'!L734</f>
        <v>56.45</v>
      </c>
      <c r="M733">
        <f>'raw data Crude oil'!M734</f>
        <v>56.3</v>
      </c>
      <c r="N733">
        <f>'raw data Crude oil'!N734</f>
        <v>54.18</v>
      </c>
      <c r="O733">
        <f>'raw data Crude oil'!O734</f>
        <v>54.25</v>
      </c>
      <c r="P733">
        <f>'raw data Crude oil'!P734</f>
        <v>54.16</v>
      </c>
      <c r="Q733">
        <f>'raw data Crude oil'!Q734</f>
        <v>53.92</v>
      </c>
      <c r="R733">
        <f>'raw data Crude oil'!R734</f>
        <v>53.63</v>
      </c>
      <c r="S733">
        <f>'raw data Crude oil'!S734</f>
        <v>53.31</v>
      </c>
      <c r="T733">
        <f>'raw data Crude oil'!T734</f>
        <v>52.96</v>
      </c>
      <c r="U733">
        <f>'raw data Crude oil'!U734</f>
        <v>52.61</v>
      </c>
      <c r="V733">
        <f>'raw data Crude oil'!V734</f>
        <v>52.29</v>
      </c>
      <c r="W733">
        <f>'raw data Crude oil'!W734</f>
        <v>52.02</v>
      </c>
      <c r="X733">
        <f>'raw data Crude oil'!X734</f>
        <v>51.77</v>
      </c>
      <c r="Y733">
        <f>'raw data Crude oil'!Y734</f>
        <v>51.59</v>
      </c>
      <c r="Z733">
        <f>'raw data Crude oil'!Z734</f>
        <v>59.369</v>
      </c>
      <c r="AA733">
        <f>'raw data Crude oil'!AA734</f>
        <v>58.445999999999998</v>
      </c>
      <c r="AB733">
        <f>'raw data Crude oil'!AB734</f>
        <v>57.110999999999997</v>
      </c>
      <c r="AC733">
        <f>'raw data Crude oil'!AC734</f>
        <v>56.1</v>
      </c>
      <c r="AD733">
        <f>'raw data Crude oil'!AD734</f>
        <v>55.393999999999998</v>
      </c>
      <c r="AE733">
        <f>'raw data Crude oil'!AE734</f>
        <v>54.957000000000001</v>
      </c>
      <c r="AF733">
        <f>'raw data Crude oil'!AF734</f>
        <v>54.637999999999998</v>
      </c>
      <c r="AG733">
        <f>'raw data Crude oil'!AG734</f>
        <v>54.37</v>
      </c>
      <c r="AH733">
        <f>'raw data Crude oil'!AH734</f>
        <v>54.131</v>
      </c>
      <c r="AI733">
        <f>'raw data Crude oil'!AI734</f>
        <v>53.917000000000002</v>
      </c>
      <c r="AJ733">
        <f>'raw data Crude oil'!AJ734</f>
        <v>53.776000000000003</v>
      </c>
      <c r="AK733">
        <f>'raw data Crude oil'!AK734</f>
        <v>53.633000000000003</v>
      </c>
    </row>
    <row r="734" spans="1:37" x14ac:dyDescent="0.3">
      <c r="A734" s="18">
        <f>'raw data Crude oil'!A735</f>
        <v>43770</v>
      </c>
      <c r="B734">
        <f>'raw data Crude oil'!B735</f>
        <v>61.69</v>
      </c>
      <c r="C734">
        <f>'raw data Crude oil'!C735</f>
        <v>60.97</v>
      </c>
      <c r="D734">
        <f>'raw data Crude oil'!D735</f>
        <v>60.38</v>
      </c>
      <c r="E734">
        <f>'raw data Crude oil'!E735</f>
        <v>59.94</v>
      </c>
      <c r="F734">
        <f>'raw data Crude oil'!F735</f>
        <v>59.6</v>
      </c>
      <c r="G734">
        <f>'raw data Crude oil'!G735</f>
        <v>59.3</v>
      </c>
      <c r="H734">
        <f>'raw data Crude oil'!H735</f>
        <v>59.02</v>
      </c>
      <c r="I734">
        <f>'raw data Crude oil'!I735</f>
        <v>58.79</v>
      </c>
      <c r="J734">
        <f>'raw data Crude oil'!J735</f>
        <v>58.58</v>
      </c>
      <c r="K734">
        <f>'raw data Crude oil'!K735</f>
        <v>58.38</v>
      </c>
      <c r="L734">
        <f>'raw data Crude oil'!L735</f>
        <v>58.21</v>
      </c>
      <c r="M734">
        <f>'raw data Crude oil'!M735</f>
        <v>58.03</v>
      </c>
      <c r="N734">
        <f>'raw data Crude oil'!N735</f>
        <v>56.2</v>
      </c>
      <c r="O734">
        <f>'raw data Crude oil'!O735</f>
        <v>56.27</v>
      </c>
      <c r="P734">
        <f>'raw data Crude oil'!P735</f>
        <v>56.15</v>
      </c>
      <c r="Q734">
        <f>'raw data Crude oil'!Q735</f>
        <v>55.86</v>
      </c>
      <c r="R734">
        <f>'raw data Crude oil'!R735</f>
        <v>55.54</v>
      </c>
      <c r="S734">
        <f>'raw data Crude oil'!S735</f>
        <v>55.2</v>
      </c>
      <c r="T734">
        <f>'raw data Crude oil'!T735</f>
        <v>54.84</v>
      </c>
      <c r="U734">
        <f>'raw data Crude oil'!U735</f>
        <v>54.48</v>
      </c>
      <c r="V734">
        <f>'raw data Crude oil'!V735</f>
        <v>54.14</v>
      </c>
      <c r="W734">
        <f>'raw data Crude oil'!W735</f>
        <v>53.85</v>
      </c>
      <c r="X734">
        <f>'raw data Crude oil'!X735</f>
        <v>53.59</v>
      </c>
      <c r="Y734">
        <f>'raw data Crude oil'!Y735</f>
        <v>53.39</v>
      </c>
      <c r="Z734">
        <f>'raw data Crude oil'!Z735</f>
        <v>59.369</v>
      </c>
      <c r="AA734">
        <f>'raw data Crude oil'!AA735</f>
        <v>60.551000000000002</v>
      </c>
      <c r="AB734">
        <f>'raw data Crude oil'!AB735</f>
        <v>59.194000000000003</v>
      </c>
      <c r="AC734">
        <f>'raw data Crude oil'!AC735</f>
        <v>58.191000000000003</v>
      </c>
      <c r="AD734">
        <f>'raw data Crude oil'!AD735</f>
        <v>57.463000000000001</v>
      </c>
      <c r="AE734">
        <f>'raw data Crude oil'!AE735</f>
        <v>56.985999999999997</v>
      </c>
      <c r="AF734">
        <f>'raw data Crude oil'!AF735</f>
        <v>56.655000000000001</v>
      </c>
      <c r="AG734">
        <f>'raw data Crude oil'!AG735</f>
        <v>56.37</v>
      </c>
      <c r="AH734">
        <f>'raw data Crude oil'!AH735</f>
        <v>56.121000000000002</v>
      </c>
      <c r="AI734">
        <f>'raw data Crude oil'!AI735</f>
        <v>55.881</v>
      </c>
      <c r="AJ734">
        <f>'raw data Crude oil'!AJ735</f>
        <v>55.704000000000001</v>
      </c>
      <c r="AK734">
        <f>'raw data Crude oil'!AK735</f>
        <v>55.531999999999996</v>
      </c>
    </row>
    <row r="735" spans="1:37" x14ac:dyDescent="0.3">
      <c r="A735" s="18">
        <f>'raw data Crude oil'!A736</f>
        <v>43773</v>
      </c>
      <c r="B735">
        <f>'raw data Crude oil'!B736</f>
        <v>62.13</v>
      </c>
      <c r="C735">
        <f>'raw data Crude oil'!C736</f>
        <v>61.35</v>
      </c>
      <c r="D735">
        <f>'raw data Crude oil'!D736</f>
        <v>60.71</v>
      </c>
      <c r="E735">
        <f>'raw data Crude oil'!E736</f>
        <v>60.25</v>
      </c>
      <c r="F735">
        <f>'raw data Crude oil'!F736</f>
        <v>59.89</v>
      </c>
      <c r="G735">
        <f>'raw data Crude oil'!G736</f>
        <v>59.57</v>
      </c>
      <c r="H735">
        <f>'raw data Crude oil'!H736</f>
        <v>59.27</v>
      </c>
      <c r="I735">
        <f>'raw data Crude oil'!I736</f>
        <v>59.03</v>
      </c>
      <c r="J735">
        <f>'raw data Crude oil'!J736</f>
        <v>58.8</v>
      </c>
      <c r="K735">
        <f>'raw data Crude oil'!K736</f>
        <v>58.58</v>
      </c>
      <c r="L735">
        <f>'raw data Crude oil'!L736</f>
        <v>58.39</v>
      </c>
      <c r="M735">
        <f>'raw data Crude oil'!M736</f>
        <v>58.2</v>
      </c>
      <c r="N735">
        <f>'raw data Crude oil'!N736</f>
        <v>56.54</v>
      </c>
      <c r="O735">
        <f>'raw data Crude oil'!O736</f>
        <v>56.6</v>
      </c>
      <c r="P735">
        <f>'raw data Crude oil'!P736</f>
        <v>56.47</v>
      </c>
      <c r="Q735">
        <f>'raw data Crude oil'!Q736</f>
        <v>56.18</v>
      </c>
      <c r="R735">
        <f>'raw data Crude oil'!R736</f>
        <v>55.83</v>
      </c>
      <c r="S735">
        <f>'raw data Crude oil'!S736</f>
        <v>55.45</v>
      </c>
      <c r="T735">
        <f>'raw data Crude oil'!T736</f>
        <v>55.05</v>
      </c>
      <c r="U735">
        <f>'raw data Crude oil'!U736</f>
        <v>54.66</v>
      </c>
      <c r="V735">
        <f>'raw data Crude oil'!V736</f>
        <v>54.28</v>
      </c>
      <c r="W735">
        <f>'raw data Crude oil'!W736</f>
        <v>53.96</v>
      </c>
      <c r="X735">
        <f>'raw data Crude oil'!X736</f>
        <v>53.68</v>
      </c>
      <c r="Y735">
        <f>'raw data Crude oil'!Y736</f>
        <v>53.44</v>
      </c>
      <c r="Z735">
        <f>'raw data Crude oil'!Z736</f>
        <v>60.865000000000002</v>
      </c>
      <c r="AA735">
        <f>'raw data Crude oil'!AA736</f>
        <v>59.537999999999997</v>
      </c>
      <c r="AB735">
        <f>'raw data Crude oil'!AB736</f>
        <v>58.478999999999999</v>
      </c>
      <c r="AC735">
        <f>'raw data Crude oil'!AC736</f>
        <v>57.741999999999997</v>
      </c>
      <c r="AD735">
        <f>'raw data Crude oil'!AD736</f>
        <v>57.223999999999997</v>
      </c>
      <c r="AE735">
        <f>'raw data Crude oil'!AE736</f>
        <v>56.875999999999998</v>
      </c>
      <c r="AF735">
        <f>'raw data Crude oil'!AF736</f>
        <v>56.62</v>
      </c>
      <c r="AG735">
        <f>'raw data Crude oil'!AG736</f>
        <v>56.360999999999997</v>
      </c>
      <c r="AH735">
        <f>'raw data Crude oil'!AH736</f>
        <v>56.1</v>
      </c>
      <c r="AI735">
        <f>'raw data Crude oil'!AI736</f>
        <v>55.902000000000001</v>
      </c>
      <c r="AJ735">
        <f>'raw data Crude oil'!AJ736</f>
        <v>55.710999999999999</v>
      </c>
      <c r="AK735">
        <f>'raw data Crude oil'!AK736</f>
        <v>55.534999999999997</v>
      </c>
    </row>
    <row r="736" spans="1:37" x14ac:dyDescent="0.3">
      <c r="A736" s="18">
        <f>'raw data Crude oil'!A737</f>
        <v>43774</v>
      </c>
      <c r="B736">
        <f>'raw data Crude oil'!B737</f>
        <v>62.96</v>
      </c>
      <c r="C736">
        <f>'raw data Crude oil'!C737</f>
        <v>62.13</v>
      </c>
      <c r="D736">
        <f>'raw data Crude oil'!D737</f>
        <v>61.46</v>
      </c>
      <c r="E736">
        <f>'raw data Crude oil'!E737</f>
        <v>60.96</v>
      </c>
      <c r="F736">
        <f>'raw data Crude oil'!F737</f>
        <v>60.56</v>
      </c>
      <c r="G736">
        <f>'raw data Crude oil'!G737</f>
        <v>60.21</v>
      </c>
      <c r="H736">
        <f>'raw data Crude oil'!H737</f>
        <v>59.89</v>
      </c>
      <c r="I736">
        <f>'raw data Crude oil'!I737</f>
        <v>59.62</v>
      </c>
      <c r="J736">
        <f>'raw data Crude oil'!J737</f>
        <v>59.37</v>
      </c>
      <c r="K736">
        <f>'raw data Crude oil'!K737</f>
        <v>59.13</v>
      </c>
      <c r="L736">
        <f>'raw data Crude oil'!L737</f>
        <v>58.93</v>
      </c>
      <c r="M736">
        <f>'raw data Crude oil'!M737</f>
        <v>58.72</v>
      </c>
      <c r="N736">
        <f>'raw data Crude oil'!N737</f>
        <v>57.23</v>
      </c>
      <c r="O736">
        <f>'raw data Crude oil'!O737</f>
        <v>57.29</v>
      </c>
      <c r="P736">
        <f>'raw data Crude oil'!P737</f>
        <v>57.15</v>
      </c>
      <c r="Q736">
        <f>'raw data Crude oil'!Q737</f>
        <v>56.84</v>
      </c>
      <c r="R736">
        <f>'raw data Crude oil'!R737</f>
        <v>56.45</v>
      </c>
      <c r="S736">
        <f>'raw data Crude oil'!S737</f>
        <v>56.03</v>
      </c>
      <c r="T736">
        <f>'raw data Crude oil'!T737</f>
        <v>55.59</v>
      </c>
      <c r="U736">
        <f>'raw data Crude oil'!U737</f>
        <v>55.16</v>
      </c>
      <c r="V736">
        <f>'raw data Crude oil'!V737</f>
        <v>54.77</v>
      </c>
      <c r="W736">
        <f>'raw data Crude oil'!W737</f>
        <v>54.42</v>
      </c>
      <c r="X736">
        <f>'raw data Crude oil'!X737</f>
        <v>54.12</v>
      </c>
      <c r="Y736">
        <f>'raw data Crude oil'!Y737</f>
        <v>53.88</v>
      </c>
      <c r="Z736">
        <f>'raw data Crude oil'!Z737</f>
        <v>61.53</v>
      </c>
      <c r="AA736">
        <f>'raw data Crude oil'!AA737</f>
        <v>60.286000000000001</v>
      </c>
      <c r="AB736">
        <f>'raw data Crude oil'!AB737</f>
        <v>59.097000000000001</v>
      </c>
      <c r="AC736">
        <f>'raw data Crude oil'!AC737</f>
        <v>58.3</v>
      </c>
      <c r="AD736">
        <f>'raw data Crude oil'!AD737</f>
        <v>57.774000000000001</v>
      </c>
      <c r="AE736">
        <f>'raw data Crude oil'!AE737</f>
        <v>57.395000000000003</v>
      </c>
      <c r="AF736">
        <f>'raw data Crude oil'!AF737</f>
        <v>57.137</v>
      </c>
      <c r="AG736">
        <f>'raw data Crude oil'!AG737</f>
        <v>56.869</v>
      </c>
      <c r="AH736">
        <f>'raw data Crude oil'!AH737</f>
        <v>56.6</v>
      </c>
      <c r="AI736">
        <f>'raw data Crude oil'!AI737</f>
        <v>56.350999999999999</v>
      </c>
      <c r="AJ736">
        <f>'raw data Crude oil'!AJ737</f>
        <v>56.13</v>
      </c>
      <c r="AK736">
        <f>'raw data Crude oil'!AK737</f>
        <v>55.914000000000001</v>
      </c>
    </row>
    <row r="737" spans="1:37" x14ac:dyDescent="0.3">
      <c r="A737" s="18">
        <f>'raw data Crude oil'!A738</f>
        <v>43775</v>
      </c>
      <c r="B737">
        <f>'raw data Crude oil'!B738</f>
        <v>61.74</v>
      </c>
      <c r="C737">
        <f>'raw data Crude oil'!C738</f>
        <v>60.89</v>
      </c>
      <c r="D737">
        <f>'raw data Crude oil'!D738</f>
        <v>60.19</v>
      </c>
      <c r="E737">
        <f>'raw data Crude oil'!E738</f>
        <v>59.66</v>
      </c>
      <c r="F737">
        <f>'raw data Crude oil'!F738</f>
        <v>59.25</v>
      </c>
      <c r="G737">
        <f>'raw data Crude oil'!G738</f>
        <v>58.89</v>
      </c>
      <c r="H737">
        <f>'raw data Crude oil'!H738</f>
        <v>58.58</v>
      </c>
      <c r="I737">
        <f>'raw data Crude oil'!I738</f>
        <v>58.32</v>
      </c>
      <c r="J737">
        <f>'raw data Crude oil'!J738</f>
        <v>58.09</v>
      </c>
      <c r="K737">
        <f>'raw data Crude oil'!K738</f>
        <v>57.86</v>
      </c>
      <c r="L737">
        <f>'raw data Crude oil'!L738</f>
        <v>57.68</v>
      </c>
      <c r="M737">
        <f>'raw data Crude oil'!M738</f>
        <v>57.48</v>
      </c>
      <c r="N737">
        <f>'raw data Crude oil'!N738</f>
        <v>56.35</v>
      </c>
      <c r="O737">
        <f>'raw data Crude oil'!O738</f>
        <v>56.38</v>
      </c>
      <c r="P737">
        <f>'raw data Crude oil'!P738</f>
        <v>56.2</v>
      </c>
      <c r="Q737">
        <f>'raw data Crude oil'!Q738</f>
        <v>55.84</v>
      </c>
      <c r="R737">
        <f>'raw data Crude oil'!R738</f>
        <v>55.41</v>
      </c>
      <c r="S737">
        <f>'raw data Crude oil'!S738</f>
        <v>54.96</v>
      </c>
      <c r="T737">
        <f>'raw data Crude oil'!T738</f>
        <v>54.52</v>
      </c>
      <c r="U737">
        <f>'raw data Crude oil'!U738</f>
        <v>54.07</v>
      </c>
      <c r="V737">
        <f>'raw data Crude oil'!V738</f>
        <v>53.66</v>
      </c>
      <c r="W737">
        <f>'raw data Crude oil'!W738</f>
        <v>53.31</v>
      </c>
      <c r="X737">
        <f>'raw data Crude oil'!X738</f>
        <v>53.03</v>
      </c>
      <c r="Y737">
        <f>'raw data Crude oil'!Y738</f>
        <v>52.81</v>
      </c>
      <c r="Z737">
        <f>'raw data Crude oil'!Z738</f>
        <v>60.537999999999997</v>
      </c>
      <c r="AA737">
        <f>'raw data Crude oil'!AA738</f>
        <v>59.063000000000002</v>
      </c>
      <c r="AB737">
        <f>'raw data Crude oil'!AB738</f>
        <v>57.896000000000001</v>
      </c>
      <c r="AC737">
        <f>'raw data Crude oil'!AC738</f>
        <v>57.08</v>
      </c>
      <c r="AD737">
        <f>'raw data Crude oil'!AD738</f>
        <v>56.53</v>
      </c>
      <c r="AE737">
        <f>'raw data Crude oil'!AE738</f>
        <v>56.134999999999998</v>
      </c>
      <c r="AF737">
        <f>'raw data Crude oil'!AF738</f>
        <v>55.838000000000001</v>
      </c>
      <c r="AG737">
        <f>'raw data Crude oil'!AG738</f>
        <v>55.56</v>
      </c>
      <c r="AH737">
        <f>'raw data Crude oil'!AH738</f>
        <v>55.31</v>
      </c>
      <c r="AI737">
        <f>'raw data Crude oil'!AI738</f>
        <v>55.082999999999998</v>
      </c>
      <c r="AJ737">
        <f>'raw data Crude oil'!AJ738</f>
        <v>54.850999999999999</v>
      </c>
      <c r="AK737">
        <f>'raw data Crude oil'!AK738</f>
        <v>54.664000000000001</v>
      </c>
    </row>
    <row r="738" spans="1:37" x14ac:dyDescent="0.3">
      <c r="A738" s="18">
        <f>'raw data Crude oil'!A739</f>
        <v>43776</v>
      </c>
      <c r="B738">
        <f>'raw data Crude oil'!B739</f>
        <v>62.29</v>
      </c>
      <c r="C738">
        <f>'raw data Crude oil'!C739</f>
        <v>61.41</v>
      </c>
      <c r="D738">
        <f>'raw data Crude oil'!D739</f>
        <v>60.7</v>
      </c>
      <c r="E738">
        <f>'raw data Crude oil'!E739</f>
        <v>60.17</v>
      </c>
      <c r="F738">
        <f>'raw data Crude oil'!F739</f>
        <v>59.78</v>
      </c>
      <c r="G738">
        <f>'raw data Crude oil'!G739</f>
        <v>59.43</v>
      </c>
      <c r="H738">
        <f>'raw data Crude oil'!H739</f>
        <v>59.11</v>
      </c>
      <c r="I738">
        <f>'raw data Crude oil'!I739</f>
        <v>58.85</v>
      </c>
      <c r="J738">
        <f>'raw data Crude oil'!J739</f>
        <v>58.61</v>
      </c>
      <c r="K738">
        <f>'raw data Crude oil'!K739</f>
        <v>58.37</v>
      </c>
      <c r="L738">
        <f>'raw data Crude oil'!L739</f>
        <v>58.18</v>
      </c>
      <c r="M738">
        <f>'raw data Crude oil'!M739</f>
        <v>57.97</v>
      </c>
      <c r="N738">
        <f>'raw data Crude oil'!N739</f>
        <v>57.15</v>
      </c>
      <c r="O738">
        <f>'raw data Crude oil'!O739</f>
        <v>57.15</v>
      </c>
      <c r="P738">
        <f>'raw data Crude oil'!P739</f>
        <v>56.93</v>
      </c>
      <c r="Q738">
        <f>'raw data Crude oil'!Q739</f>
        <v>56.54</v>
      </c>
      <c r="R738">
        <f>'raw data Crude oil'!R739</f>
        <v>56.12</v>
      </c>
      <c r="S738">
        <f>'raw data Crude oil'!S739</f>
        <v>55.67</v>
      </c>
      <c r="T738">
        <f>'raw data Crude oil'!T739</f>
        <v>55.21</v>
      </c>
      <c r="U738">
        <f>'raw data Crude oil'!U739</f>
        <v>54.76</v>
      </c>
      <c r="V738">
        <f>'raw data Crude oil'!V739</f>
        <v>54.34</v>
      </c>
      <c r="W738">
        <f>'raw data Crude oil'!W739</f>
        <v>53.97</v>
      </c>
      <c r="X738">
        <f>'raw data Crude oil'!X739</f>
        <v>53.66</v>
      </c>
      <c r="Y738">
        <f>'raw data Crude oil'!Y739</f>
        <v>53.41</v>
      </c>
      <c r="Z738">
        <f>'raw data Crude oil'!Z739</f>
        <v>61.12</v>
      </c>
      <c r="AA738">
        <f>'raw data Crude oil'!AA739</f>
        <v>59.779000000000003</v>
      </c>
      <c r="AB738">
        <f>'raw data Crude oil'!AB739</f>
        <v>58.521999999999998</v>
      </c>
      <c r="AC738">
        <f>'raw data Crude oil'!AC739</f>
        <v>57.69</v>
      </c>
      <c r="AD738">
        <f>'raw data Crude oil'!AD739</f>
        <v>57.1</v>
      </c>
      <c r="AE738">
        <f>'raw data Crude oil'!AE739</f>
        <v>56.668999999999997</v>
      </c>
      <c r="AF738">
        <f>'raw data Crude oil'!AF739</f>
        <v>56.366999999999997</v>
      </c>
      <c r="AG738">
        <f>'raw data Crude oil'!AG739</f>
        <v>56.078000000000003</v>
      </c>
      <c r="AH738">
        <f>'raw data Crude oil'!AH739</f>
        <v>55.872999999999998</v>
      </c>
      <c r="AI738">
        <f>'raw data Crude oil'!AI739</f>
        <v>55.634999999999998</v>
      </c>
      <c r="AJ738">
        <f>'raw data Crude oil'!AJ739</f>
        <v>55.402999999999999</v>
      </c>
      <c r="AK738">
        <f>'raw data Crude oil'!AK739</f>
        <v>55.234000000000002</v>
      </c>
    </row>
    <row r="739" spans="1:37" x14ac:dyDescent="0.3">
      <c r="A739" s="18">
        <f>'raw data Crude oil'!A740</f>
        <v>43777</v>
      </c>
      <c r="B739">
        <f>'raw data Crude oil'!B740</f>
        <v>62.51</v>
      </c>
      <c r="C739">
        <f>'raw data Crude oil'!C740</f>
        <v>61.62</v>
      </c>
      <c r="D739">
        <f>'raw data Crude oil'!D740</f>
        <v>60.91</v>
      </c>
      <c r="E739">
        <f>'raw data Crude oil'!E740</f>
        <v>60.39</v>
      </c>
      <c r="F739">
        <f>'raw data Crude oil'!F740</f>
        <v>60.03</v>
      </c>
      <c r="G739">
        <f>'raw data Crude oil'!G740</f>
        <v>59.71</v>
      </c>
      <c r="H739">
        <f>'raw data Crude oil'!H740</f>
        <v>59.41</v>
      </c>
      <c r="I739">
        <f>'raw data Crude oil'!I740</f>
        <v>59.16</v>
      </c>
      <c r="J739">
        <f>'raw data Crude oil'!J740</f>
        <v>58.92</v>
      </c>
      <c r="K739">
        <f>'raw data Crude oil'!K740</f>
        <v>58.69</v>
      </c>
      <c r="L739">
        <f>'raw data Crude oil'!L740</f>
        <v>58.49</v>
      </c>
      <c r="M739">
        <f>'raw data Crude oil'!M740</f>
        <v>58.28</v>
      </c>
      <c r="N739">
        <f>'raw data Crude oil'!N740</f>
        <v>57.24</v>
      </c>
      <c r="O739">
        <f>'raw data Crude oil'!O740</f>
        <v>57.26</v>
      </c>
      <c r="P739">
        <f>'raw data Crude oil'!P740</f>
        <v>57.1</v>
      </c>
      <c r="Q739">
        <f>'raw data Crude oil'!Q740</f>
        <v>56.77</v>
      </c>
      <c r="R739">
        <f>'raw data Crude oil'!R740</f>
        <v>56.4</v>
      </c>
      <c r="S739">
        <f>'raw data Crude oil'!S740</f>
        <v>55.99</v>
      </c>
      <c r="T739">
        <f>'raw data Crude oil'!T740</f>
        <v>55.55</v>
      </c>
      <c r="U739">
        <f>'raw data Crude oil'!U740</f>
        <v>55.12</v>
      </c>
      <c r="V739">
        <f>'raw data Crude oil'!V740</f>
        <v>54.7</v>
      </c>
      <c r="W739">
        <f>'raw data Crude oil'!W740</f>
        <v>54.33</v>
      </c>
      <c r="X739">
        <f>'raw data Crude oil'!X740</f>
        <v>54.02</v>
      </c>
      <c r="Y739">
        <f>'raw data Crude oil'!Y740</f>
        <v>53.79</v>
      </c>
      <c r="Z739">
        <f>'raw data Crude oil'!Z740</f>
        <v>61.353000000000002</v>
      </c>
      <c r="AA739">
        <f>'raw data Crude oil'!AA740</f>
        <v>60.112000000000002</v>
      </c>
      <c r="AB739">
        <f>'raw data Crude oil'!AB740</f>
        <v>58.816000000000003</v>
      </c>
      <c r="AC739">
        <f>'raw data Crude oil'!AC740</f>
        <v>57.962000000000003</v>
      </c>
      <c r="AD739">
        <f>'raw data Crude oil'!AD740</f>
        <v>57.375</v>
      </c>
      <c r="AE739">
        <f>'raw data Crude oil'!AE740</f>
        <v>56.956000000000003</v>
      </c>
      <c r="AF739">
        <f>'raw data Crude oil'!AF740</f>
        <v>56.648000000000003</v>
      </c>
      <c r="AG739">
        <f>'raw data Crude oil'!AG740</f>
        <v>56.359000000000002</v>
      </c>
      <c r="AH739">
        <f>'raw data Crude oil'!AH740</f>
        <v>56.13</v>
      </c>
      <c r="AI739">
        <f>'raw data Crude oil'!AI740</f>
        <v>55.911000000000001</v>
      </c>
      <c r="AJ739">
        <f>'raw data Crude oil'!AJ740</f>
        <v>55.72</v>
      </c>
      <c r="AK739">
        <f>'raw data Crude oil'!AK740</f>
        <v>55.524000000000001</v>
      </c>
    </row>
    <row r="740" spans="1:37" x14ac:dyDescent="0.3">
      <c r="A740" s="18">
        <f>'raw data Crude oil'!A741</f>
        <v>43780</v>
      </c>
      <c r="B740">
        <f>'raw data Crude oil'!B741</f>
        <v>62.18</v>
      </c>
      <c r="C740">
        <f>'raw data Crude oil'!C741</f>
        <v>61.3</v>
      </c>
      <c r="D740">
        <f>'raw data Crude oil'!D741</f>
        <v>60.6</v>
      </c>
      <c r="E740">
        <f>'raw data Crude oil'!E741</f>
        <v>60.1</v>
      </c>
      <c r="F740">
        <f>'raw data Crude oil'!F741</f>
        <v>59.75</v>
      </c>
      <c r="G740">
        <f>'raw data Crude oil'!G741</f>
        <v>59.45</v>
      </c>
      <c r="H740">
        <f>'raw data Crude oil'!H741</f>
        <v>59.17</v>
      </c>
      <c r="I740">
        <f>'raw data Crude oil'!I741</f>
        <v>58.94</v>
      </c>
      <c r="J740">
        <f>'raw data Crude oil'!J741</f>
        <v>58.71</v>
      </c>
      <c r="K740">
        <f>'raw data Crude oil'!K741</f>
        <v>58.49</v>
      </c>
      <c r="L740">
        <f>'raw data Crude oil'!L741</f>
        <v>58.31</v>
      </c>
      <c r="M740">
        <f>'raw data Crude oil'!M741</f>
        <v>58.11</v>
      </c>
      <c r="N740">
        <f>'raw data Crude oil'!N741</f>
        <v>56.86</v>
      </c>
      <c r="O740">
        <f>'raw data Crude oil'!O741</f>
        <v>56.9</v>
      </c>
      <c r="P740">
        <f>'raw data Crude oil'!P741</f>
        <v>56.77</v>
      </c>
      <c r="Q740">
        <f>'raw data Crude oil'!Q741</f>
        <v>56.49</v>
      </c>
      <c r="R740">
        <f>'raw data Crude oil'!R741</f>
        <v>56.16</v>
      </c>
      <c r="S740">
        <f>'raw data Crude oil'!S741</f>
        <v>55.78</v>
      </c>
      <c r="T740">
        <f>'raw data Crude oil'!T741</f>
        <v>55.37</v>
      </c>
      <c r="U740">
        <f>'raw data Crude oil'!U741</f>
        <v>54.95</v>
      </c>
      <c r="V740">
        <f>'raw data Crude oil'!V741</f>
        <v>54.55</v>
      </c>
      <c r="W740">
        <f>'raw data Crude oil'!W741</f>
        <v>54.2</v>
      </c>
      <c r="X740">
        <f>'raw data Crude oil'!X741</f>
        <v>53.91</v>
      </c>
      <c r="Y740">
        <f>'raw data Crude oil'!Y741</f>
        <v>53.67</v>
      </c>
      <c r="Z740">
        <f>'raw data Crude oil'!Z741</f>
        <v>61.237000000000002</v>
      </c>
      <c r="AA740">
        <f>'raw data Crude oil'!AA741</f>
        <v>59.972999999999999</v>
      </c>
      <c r="AB740">
        <f>'raw data Crude oil'!AB741</f>
        <v>58.655000000000001</v>
      </c>
      <c r="AC740">
        <f>'raw data Crude oil'!AC741</f>
        <v>57.761000000000003</v>
      </c>
      <c r="AD740">
        <f>'raw data Crude oil'!AD741</f>
        <v>57.198</v>
      </c>
      <c r="AE740">
        <f>'raw data Crude oil'!AE741</f>
        <v>56.795999999999999</v>
      </c>
      <c r="AF740">
        <f>'raw data Crude oil'!AF741</f>
        <v>56.514000000000003</v>
      </c>
      <c r="AG740">
        <f>'raw data Crude oil'!AG741</f>
        <v>56.223999999999997</v>
      </c>
      <c r="AH740">
        <f>'raw data Crude oil'!AH741</f>
        <v>56</v>
      </c>
      <c r="AI740">
        <f>'raw data Crude oil'!AI741</f>
        <v>55.802999999999997</v>
      </c>
      <c r="AJ740">
        <f>'raw data Crude oil'!AJ741</f>
        <v>55.610999999999997</v>
      </c>
      <c r="AK740">
        <f>'raw data Crude oil'!AK741</f>
        <v>55.414000000000001</v>
      </c>
    </row>
    <row r="741" spans="1:37" x14ac:dyDescent="0.3">
      <c r="A741" s="18">
        <f>'raw data Crude oil'!A742</f>
        <v>43781</v>
      </c>
      <c r="B741">
        <f>'raw data Crude oil'!B742</f>
        <v>62.06</v>
      </c>
      <c r="C741">
        <f>'raw data Crude oil'!C742</f>
        <v>61.24</v>
      </c>
      <c r="D741">
        <f>'raw data Crude oil'!D742</f>
        <v>60.6</v>
      </c>
      <c r="E741">
        <f>'raw data Crude oil'!E742</f>
        <v>60.16</v>
      </c>
      <c r="F741">
        <f>'raw data Crude oil'!F742</f>
        <v>59.84</v>
      </c>
      <c r="G741">
        <f>'raw data Crude oil'!G742</f>
        <v>59.55</v>
      </c>
      <c r="H741">
        <f>'raw data Crude oil'!H742</f>
        <v>59.28</v>
      </c>
      <c r="I741">
        <f>'raw data Crude oil'!I742</f>
        <v>59.05</v>
      </c>
      <c r="J741">
        <f>'raw data Crude oil'!J742</f>
        <v>58.84</v>
      </c>
      <c r="K741">
        <f>'raw data Crude oil'!K742</f>
        <v>58.63</v>
      </c>
      <c r="L741">
        <f>'raw data Crude oil'!L742</f>
        <v>58.45</v>
      </c>
      <c r="M741">
        <f>'raw data Crude oil'!M742</f>
        <v>58.26</v>
      </c>
      <c r="N741">
        <f>'raw data Crude oil'!N742</f>
        <v>56.8</v>
      </c>
      <c r="O741">
        <f>'raw data Crude oil'!O742</f>
        <v>56.85</v>
      </c>
      <c r="P741">
        <f>'raw data Crude oil'!P742</f>
        <v>56.74</v>
      </c>
      <c r="Q741">
        <f>'raw data Crude oil'!Q742</f>
        <v>56.48</v>
      </c>
      <c r="R741">
        <f>'raw data Crude oil'!R742</f>
        <v>56.18</v>
      </c>
      <c r="S741">
        <f>'raw data Crude oil'!S742</f>
        <v>55.84</v>
      </c>
      <c r="T741">
        <f>'raw data Crude oil'!T742</f>
        <v>55.45</v>
      </c>
      <c r="U741">
        <f>'raw data Crude oil'!U742</f>
        <v>55.05</v>
      </c>
      <c r="V741">
        <f>'raw data Crude oil'!V742</f>
        <v>54.66</v>
      </c>
      <c r="W741">
        <f>'raw data Crude oil'!W742</f>
        <v>54.3</v>
      </c>
      <c r="X741">
        <f>'raw data Crude oil'!X742</f>
        <v>54.01</v>
      </c>
      <c r="Y741">
        <f>'raw data Crude oil'!Y742</f>
        <v>53.77</v>
      </c>
      <c r="Z741">
        <f>'raw data Crude oil'!Z742</f>
        <v>61.311</v>
      </c>
      <c r="AA741">
        <f>'raw data Crude oil'!AA742</f>
        <v>60.043999999999997</v>
      </c>
      <c r="AB741">
        <f>'raw data Crude oil'!AB742</f>
        <v>58.774999999999999</v>
      </c>
      <c r="AC741">
        <f>'raw data Crude oil'!AC742</f>
        <v>57.981000000000002</v>
      </c>
      <c r="AD741">
        <f>'raw data Crude oil'!AD742</f>
        <v>57.39</v>
      </c>
      <c r="AE741">
        <f>'raw data Crude oil'!AE742</f>
        <v>56.975000000000001</v>
      </c>
      <c r="AF741">
        <f>'raw data Crude oil'!AF742</f>
        <v>56.656999999999996</v>
      </c>
      <c r="AG741">
        <f>'raw data Crude oil'!AG742</f>
        <v>56.338000000000001</v>
      </c>
      <c r="AH741">
        <f>'raw data Crude oil'!AH742</f>
        <v>56.125999999999998</v>
      </c>
      <c r="AI741">
        <f>'raw data Crude oil'!AI742</f>
        <v>55.923999999999999</v>
      </c>
      <c r="AJ741">
        <f>'raw data Crude oil'!AJ742</f>
        <v>55.780999999999999</v>
      </c>
      <c r="AK741">
        <f>'raw data Crude oil'!AK742</f>
        <v>55.62</v>
      </c>
    </row>
    <row r="742" spans="1:37" x14ac:dyDescent="0.3">
      <c r="A742" s="18">
        <f>'raw data Crude oil'!A743</f>
        <v>43782</v>
      </c>
      <c r="B742">
        <f>'raw data Crude oil'!B743</f>
        <v>62.37</v>
      </c>
      <c r="C742">
        <f>'raw data Crude oil'!C743</f>
        <v>61.54</v>
      </c>
      <c r="D742">
        <f>'raw data Crude oil'!D743</f>
        <v>60.89</v>
      </c>
      <c r="E742">
        <f>'raw data Crude oil'!E743</f>
        <v>60.43</v>
      </c>
      <c r="F742">
        <f>'raw data Crude oil'!F743</f>
        <v>60.11</v>
      </c>
      <c r="G742">
        <f>'raw data Crude oil'!G743</f>
        <v>59.82</v>
      </c>
      <c r="H742">
        <f>'raw data Crude oil'!H743</f>
        <v>59.54</v>
      </c>
      <c r="I742">
        <f>'raw data Crude oil'!I743</f>
        <v>59.31</v>
      </c>
      <c r="J742">
        <f>'raw data Crude oil'!J743</f>
        <v>59.1</v>
      </c>
      <c r="K742">
        <f>'raw data Crude oil'!K743</f>
        <v>58.88</v>
      </c>
      <c r="L742">
        <f>'raw data Crude oil'!L743</f>
        <v>58.7</v>
      </c>
      <c r="M742">
        <f>'raw data Crude oil'!M743</f>
        <v>58.52</v>
      </c>
      <c r="N742">
        <f>'raw data Crude oil'!N743</f>
        <v>57.12</v>
      </c>
      <c r="O742">
        <f>'raw data Crude oil'!O743</f>
        <v>57.2</v>
      </c>
      <c r="P742">
        <f>'raw data Crude oil'!P743</f>
        <v>57.09</v>
      </c>
      <c r="Q742">
        <f>'raw data Crude oil'!Q743</f>
        <v>56.82</v>
      </c>
      <c r="R742">
        <f>'raw data Crude oil'!R743</f>
        <v>56.49</v>
      </c>
      <c r="S742">
        <f>'raw data Crude oil'!S743</f>
        <v>56.13</v>
      </c>
      <c r="T742">
        <f>'raw data Crude oil'!T743</f>
        <v>55.73</v>
      </c>
      <c r="U742">
        <f>'raw data Crude oil'!U743</f>
        <v>55.32</v>
      </c>
      <c r="V742">
        <f>'raw data Crude oil'!V743</f>
        <v>54.92</v>
      </c>
      <c r="W742">
        <f>'raw data Crude oil'!W743</f>
        <v>54.55</v>
      </c>
      <c r="X742">
        <f>'raw data Crude oil'!X743</f>
        <v>54.24</v>
      </c>
      <c r="Y742">
        <f>'raw data Crude oil'!Y743</f>
        <v>53.99</v>
      </c>
      <c r="Z742">
        <f>'raw data Crude oil'!Z743</f>
        <v>61.445999999999998</v>
      </c>
      <c r="AA742">
        <f>'raw data Crude oil'!AA743</f>
        <v>60.287999999999997</v>
      </c>
      <c r="AB742">
        <f>'raw data Crude oil'!AB743</f>
        <v>59.079000000000001</v>
      </c>
      <c r="AC742">
        <f>'raw data Crude oil'!AC743</f>
        <v>58.279000000000003</v>
      </c>
      <c r="AD742">
        <f>'raw data Crude oil'!AD743</f>
        <v>57.69</v>
      </c>
      <c r="AE742">
        <f>'raw data Crude oil'!AE743</f>
        <v>57.277000000000001</v>
      </c>
      <c r="AF742">
        <f>'raw data Crude oil'!AF743</f>
        <v>56.959000000000003</v>
      </c>
      <c r="AG742">
        <f>'raw data Crude oil'!AG743</f>
        <v>56.65</v>
      </c>
      <c r="AH742">
        <f>'raw data Crude oil'!AH743</f>
        <v>56.41</v>
      </c>
      <c r="AI742">
        <f>'raw data Crude oil'!AI743</f>
        <v>56.216000000000001</v>
      </c>
      <c r="AJ742">
        <f>'raw data Crude oil'!AJ743</f>
        <v>56.052</v>
      </c>
      <c r="AK742">
        <f>'raw data Crude oil'!AK743</f>
        <v>55.865000000000002</v>
      </c>
    </row>
    <row r="743" spans="1:37" x14ac:dyDescent="0.3">
      <c r="A743" s="18">
        <f>'raw data Crude oil'!A744</f>
        <v>43783</v>
      </c>
      <c r="B743">
        <f>'raw data Crude oil'!B744</f>
        <v>62.28</v>
      </c>
      <c r="C743">
        <f>'raw data Crude oil'!C744</f>
        <v>61.41</v>
      </c>
      <c r="D743">
        <f>'raw data Crude oil'!D744</f>
        <v>60.75</v>
      </c>
      <c r="E743">
        <f>'raw data Crude oil'!E744</f>
        <v>60.28</v>
      </c>
      <c r="F743">
        <f>'raw data Crude oil'!F744</f>
        <v>59.95</v>
      </c>
      <c r="G743">
        <f>'raw data Crude oil'!G744</f>
        <v>59.64</v>
      </c>
      <c r="H743">
        <f>'raw data Crude oil'!H744</f>
        <v>59.34</v>
      </c>
      <c r="I743">
        <f>'raw data Crude oil'!I744</f>
        <v>59.09</v>
      </c>
      <c r="J743">
        <f>'raw data Crude oil'!J744</f>
        <v>58.87</v>
      </c>
      <c r="K743">
        <f>'raw data Crude oil'!K744</f>
        <v>58.64</v>
      </c>
      <c r="L743">
        <f>'raw data Crude oil'!L744</f>
        <v>58.46</v>
      </c>
      <c r="M743">
        <f>'raw data Crude oil'!M744</f>
        <v>58.26</v>
      </c>
      <c r="N743">
        <f>'raw data Crude oil'!N744</f>
        <v>56.77</v>
      </c>
      <c r="O743">
        <f>'raw data Crude oil'!O744</f>
        <v>56.88</v>
      </c>
      <c r="P743">
        <f>'raw data Crude oil'!P744</f>
        <v>56.77</v>
      </c>
      <c r="Q743">
        <f>'raw data Crude oil'!Q744</f>
        <v>56.48</v>
      </c>
      <c r="R743">
        <f>'raw data Crude oil'!R744</f>
        <v>56.14</v>
      </c>
      <c r="S743">
        <f>'raw data Crude oil'!S744</f>
        <v>55.78</v>
      </c>
      <c r="T743">
        <f>'raw data Crude oil'!T744</f>
        <v>55.38</v>
      </c>
      <c r="U743">
        <f>'raw data Crude oil'!U744</f>
        <v>54.96</v>
      </c>
      <c r="V743">
        <f>'raw data Crude oil'!V744</f>
        <v>54.54</v>
      </c>
      <c r="W743">
        <f>'raw data Crude oil'!W744</f>
        <v>54.16</v>
      </c>
      <c r="X743">
        <f>'raw data Crude oil'!X744</f>
        <v>53.84</v>
      </c>
      <c r="Y743">
        <f>'raw data Crude oil'!Y744</f>
        <v>53.58</v>
      </c>
      <c r="Z743">
        <f>'raw data Crude oil'!Z744</f>
        <v>61.514000000000003</v>
      </c>
      <c r="AA743">
        <f>'raw data Crude oil'!AA744</f>
        <v>60.113</v>
      </c>
      <c r="AB743">
        <f>'raw data Crude oil'!AB744</f>
        <v>58.902000000000001</v>
      </c>
      <c r="AC743">
        <f>'raw data Crude oil'!AC744</f>
        <v>58.06</v>
      </c>
      <c r="AD743">
        <f>'raw data Crude oil'!AD744</f>
        <v>57.448999999999998</v>
      </c>
      <c r="AE743">
        <f>'raw data Crude oil'!AE744</f>
        <v>57.026000000000003</v>
      </c>
      <c r="AF743">
        <f>'raw data Crude oil'!AF744</f>
        <v>56.694000000000003</v>
      </c>
      <c r="AG743">
        <f>'raw data Crude oil'!AG744</f>
        <v>56.372999999999998</v>
      </c>
      <c r="AH743">
        <f>'raw data Crude oil'!AH744</f>
        <v>56.131999999999998</v>
      </c>
      <c r="AI743">
        <f>'raw data Crude oil'!AI744</f>
        <v>55.954999999999998</v>
      </c>
      <c r="AJ743">
        <f>'raw data Crude oil'!AJ744</f>
        <v>55.756</v>
      </c>
      <c r="AK743">
        <f>'raw data Crude oil'!AK744</f>
        <v>55.558999999999997</v>
      </c>
    </row>
    <row r="744" spans="1:37" x14ac:dyDescent="0.3">
      <c r="A744" s="18">
        <f>'raw data Crude oil'!A745</f>
        <v>43784</v>
      </c>
      <c r="B744">
        <f>'raw data Crude oil'!B745</f>
        <v>63.3</v>
      </c>
      <c r="C744">
        <f>'raw data Crude oil'!C745</f>
        <v>62.4</v>
      </c>
      <c r="D744">
        <f>'raw data Crude oil'!D745</f>
        <v>61.71</v>
      </c>
      <c r="E744">
        <f>'raw data Crude oil'!E745</f>
        <v>61.21</v>
      </c>
      <c r="F744">
        <f>'raw data Crude oil'!F745</f>
        <v>60.82</v>
      </c>
      <c r="G744">
        <f>'raw data Crude oil'!G745</f>
        <v>60.46</v>
      </c>
      <c r="H744">
        <f>'raw data Crude oil'!H745</f>
        <v>60.12</v>
      </c>
      <c r="I744">
        <f>'raw data Crude oil'!I745</f>
        <v>59.83</v>
      </c>
      <c r="J744">
        <f>'raw data Crude oil'!J745</f>
        <v>59.58</v>
      </c>
      <c r="K744">
        <f>'raw data Crude oil'!K745</f>
        <v>59.33</v>
      </c>
      <c r="L744">
        <f>'raw data Crude oil'!L745</f>
        <v>59.13</v>
      </c>
      <c r="M744">
        <f>'raw data Crude oil'!M745</f>
        <v>58.91</v>
      </c>
      <c r="N744">
        <f>'raw data Crude oil'!N745</f>
        <v>57.72</v>
      </c>
      <c r="O744">
        <f>'raw data Crude oil'!O745</f>
        <v>57.83</v>
      </c>
      <c r="P744">
        <f>'raw data Crude oil'!P745</f>
        <v>57.69</v>
      </c>
      <c r="Q744">
        <f>'raw data Crude oil'!Q745</f>
        <v>57.37</v>
      </c>
      <c r="R744">
        <f>'raw data Crude oil'!R745</f>
        <v>56.98</v>
      </c>
      <c r="S744">
        <f>'raw data Crude oil'!S745</f>
        <v>56.57</v>
      </c>
      <c r="T744">
        <f>'raw data Crude oil'!T745</f>
        <v>56.13</v>
      </c>
      <c r="U744">
        <f>'raw data Crude oil'!U745</f>
        <v>55.67</v>
      </c>
      <c r="V744">
        <f>'raw data Crude oil'!V745</f>
        <v>55.22</v>
      </c>
      <c r="W744">
        <f>'raw data Crude oil'!W745</f>
        <v>54.81</v>
      </c>
      <c r="X744">
        <f>'raw data Crude oil'!X745</f>
        <v>54.47</v>
      </c>
      <c r="Y744">
        <f>'raw data Crude oil'!Y745</f>
        <v>54.19</v>
      </c>
      <c r="Z744">
        <f>'raw data Crude oil'!Z745</f>
        <v>61.956000000000003</v>
      </c>
      <c r="AA744">
        <f>'raw data Crude oil'!AA745</f>
        <v>61.033999999999999</v>
      </c>
      <c r="AB744">
        <f>'raw data Crude oil'!AB745</f>
        <v>59.807000000000002</v>
      </c>
      <c r="AC744">
        <f>'raw data Crude oil'!AC745</f>
        <v>58.970999999999997</v>
      </c>
      <c r="AD744">
        <f>'raw data Crude oil'!AD745</f>
        <v>58.344000000000001</v>
      </c>
      <c r="AE744">
        <f>'raw data Crude oil'!AE745</f>
        <v>57.893999999999998</v>
      </c>
      <c r="AF744">
        <f>'raw data Crude oil'!AF745</f>
        <v>57.526000000000003</v>
      </c>
      <c r="AG744">
        <f>'raw data Crude oil'!AG745</f>
        <v>57.168999999999997</v>
      </c>
      <c r="AH744">
        <f>'raw data Crude oil'!AH745</f>
        <v>56.878999999999998</v>
      </c>
      <c r="AI744">
        <f>'raw data Crude oil'!AI745</f>
        <v>56.643000000000001</v>
      </c>
      <c r="AJ744">
        <f>'raw data Crude oil'!AJ745</f>
        <v>56.424999999999997</v>
      </c>
      <c r="AK744">
        <f>'raw data Crude oil'!AK745</f>
        <v>56.207999999999998</v>
      </c>
    </row>
    <row r="745" spans="1:37" x14ac:dyDescent="0.3">
      <c r="A745" s="18">
        <f>'raw data Crude oil'!A746</f>
        <v>43787</v>
      </c>
      <c r="B745">
        <f>'raw data Crude oil'!B746</f>
        <v>62.44</v>
      </c>
      <c r="C745">
        <f>'raw data Crude oil'!C746</f>
        <v>61.53</v>
      </c>
      <c r="D745">
        <f>'raw data Crude oil'!D746</f>
        <v>60.83</v>
      </c>
      <c r="E745">
        <f>'raw data Crude oil'!E746</f>
        <v>60.33</v>
      </c>
      <c r="F745">
        <f>'raw data Crude oil'!F746</f>
        <v>59.96</v>
      </c>
      <c r="G745">
        <f>'raw data Crude oil'!G746</f>
        <v>59.62</v>
      </c>
      <c r="H745">
        <f>'raw data Crude oil'!H746</f>
        <v>59.3</v>
      </c>
      <c r="I745">
        <f>'raw data Crude oil'!I746</f>
        <v>59.03</v>
      </c>
      <c r="J745">
        <f>'raw data Crude oil'!J746</f>
        <v>58.8</v>
      </c>
      <c r="K745">
        <f>'raw data Crude oil'!K746</f>
        <v>58.56</v>
      </c>
      <c r="L745">
        <f>'raw data Crude oil'!L746</f>
        <v>58.37</v>
      </c>
      <c r="M745">
        <f>'raw data Crude oil'!M746</f>
        <v>58.17</v>
      </c>
      <c r="N745">
        <f>'raw data Crude oil'!N746</f>
        <v>57.05</v>
      </c>
      <c r="O745">
        <f>'raw data Crude oil'!O746</f>
        <v>57.14</v>
      </c>
      <c r="P745">
        <f>'raw data Crude oil'!P746</f>
        <v>57</v>
      </c>
      <c r="Q745">
        <f>'raw data Crude oil'!Q746</f>
        <v>56.67</v>
      </c>
      <c r="R745">
        <f>'raw data Crude oil'!R746</f>
        <v>56.29</v>
      </c>
      <c r="S745">
        <f>'raw data Crude oil'!S746</f>
        <v>55.88</v>
      </c>
      <c r="T745">
        <f>'raw data Crude oil'!T746</f>
        <v>55.46</v>
      </c>
      <c r="U745">
        <f>'raw data Crude oil'!U746</f>
        <v>55.02</v>
      </c>
      <c r="V745">
        <f>'raw data Crude oil'!V746</f>
        <v>54.6</v>
      </c>
      <c r="W745">
        <f>'raw data Crude oil'!W746</f>
        <v>54.21</v>
      </c>
      <c r="X745">
        <f>'raw data Crude oil'!X746</f>
        <v>53.88</v>
      </c>
      <c r="Y745">
        <f>'raw data Crude oil'!Y746</f>
        <v>53.62</v>
      </c>
      <c r="Z745">
        <f>'raw data Crude oil'!Z746</f>
        <v>61.588000000000001</v>
      </c>
      <c r="AA745">
        <f>'raw data Crude oil'!AA746</f>
        <v>60.192999999999998</v>
      </c>
      <c r="AB745">
        <f>'raw data Crude oil'!AB746</f>
        <v>58.936999999999998</v>
      </c>
      <c r="AC745">
        <f>'raw data Crude oil'!AC746</f>
        <v>58.082000000000001</v>
      </c>
      <c r="AD745">
        <f>'raw data Crude oil'!AD746</f>
        <v>57.454999999999998</v>
      </c>
      <c r="AE745">
        <f>'raw data Crude oil'!AE746</f>
        <v>57.005000000000003</v>
      </c>
      <c r="AF745">
        <f>'raw data Crude oil'!AF746</f>
        <v>56.656999999999996</v>
      </c>
      <c r="AG745">
        <f>'raw data Crude oil'!AG746</f>
        <v>56.31</v>
      </c>
      <c r="AH745">
        <f>'raw data Crude oil'!AH746</f>
        <v>56.08</v>
      </c>
      <c r="AI745">
        <f>'raw data Crude oil'!AI746</f>
        <v>55.832000000000001</v>
      </c>
      <c r="AJ745">
        <f>'raw data Crude oil'!AJ746</f>
        <v>55.621000000000002</v>
      </c>
      <c r="AK745">
        <f>'raw data Crude oil'!AK746</f>
        <v>55.444000000000003</v>
      </c>
    </row>
    <row r="746" spans="1:37" x14ac:dyDescent="0.3">
      <c r="A746" s="18">
        <f>'raw data Crude oil'!A747</f>
        <v>43788</v>
      </c>
      <c r="B746">
        <f>'raw data Crude oil'!B747</f>
        <v>60.91</v>
      </c>
      <c r="C746">
        <f>'raw data Crude oil'!C747</f>
        <v>60.02</v>
      </c>
      <c r="D746">
        <f>'raw data Crude oil'!D747</f>
        <v>59.34</v>
      </c>
      <c r="E746">
        <f>'raw data Crude oil'!E747</f>
        <v>58.87</v>
      </c>
      <c r="F746">
        <f>'raw data Crude oil'!F747</f>
        <v>58.54</v>
      </c>
      <c r="G746">
        <f>'raw data Crude oil'!G747</f>
        <v>58.25</v>
      </c>
      <c r="H746">
        <f>'raw data Crude oil'!H747</f>
        <v>57.97</v>
      </c>
      <c r="I746">
        <f>'raw data Crude oil'!I747</f>
        <v>57.74</v>
      </c>
      <c r="J746">
        <f>'raw data Crude oil'!J747</f>
        <v>57.55</v>
      </c>
      <c r="K746">
        <f>'raw data Crude oil'!K747</f>
        <v>57.35</v>
      </c>
      <c r="L746">
        <f>'raw data Crude oil'!L747</f>
        <v>57.2</v>
      </c>
      <c r="M746">
        <f>'raw data Crude oil'!M747</f>
        <v>57.03</v>
      </c>
      <c r="N746">
        <f>'raw data Crude oil'!N747</f>
        <v>55.21</v>
      </c>
      <c r="O746">
        <f>'raw data Crude oil'!O747</f>
        <v>55.35</v>
      </c>
      <c r="P746">
        <f>'raw data Crude oil'!P747</f>
        <v>55.26</v>
      </c>
      <c r="Q746">
        <f>'raw data Crude oil'!Q747</f>
        <v>55</v>
      </c>
      <c r="R746">
        <f>'raw data Crude oil'!R747</f>
        <v>54.69</v>
      </c>
      <c r="S746">
        <f>'raw data Crude oil'!S747</f>
        <v>54.36</v>
      </c>
      <c r="T746">
        <f>'raw data Crude oil'!T747</f>
        <v>53.99</v>
      </c>
      <c r="U746">
        <f>'raw data Crude oil'!U747</f>
        <v>53.62</v>
      </c>
      <c r="V746">
        <f>'raw data Crude oil'!V747</f>
        <v>53.26</v>
      </c>
      <c r="W746">
        <f>'raw data Crude oil'!W747</f>
        <v>52.94</v>
      </c>
      <c r="X746">
        <f>'raw data Crude oil'!X747</f>
        <v>52.67</v>
      </c>
      <c r="Y746">
        <f>'raw data Crude oil'!Y747</f>
        <v>52.45</v>
      </c>
      <c r="Z746">
        <f>'raw data Crude oil'!Z747</f>
        <v>61.115000000000002</v>
      </c>
      <c r="AA746">
        <f>'raw data Crude oil'!AA747</f>
        <v>59.005000000000003</v>
      </c>
      <c r="AB746">
        <f>'raw data Crude oil'!AB747</f>
        <v>57.668999999999997</v>
      </c>
      <c r="AC746">
        <f>'raw data Crude oil'!AC747</f>
        <v>56.783999999999999</v>
      </c>
      <c r="AD746">
        <f>'raw data Crude oil'!AD747</f>
        <v>56.156999999999996</v>
      </c>
      <c r="AE746">
        <f>'raw data Crude oil'!AE747</f>
        <v>55.737000000000002</v>
      </c>
      <c r="AF746">
        <f>'raw data Crude oil'!AF747</f>
        <v>55.396999999999998</v>
      </c>
      <c r="AG746">
        <f>'raw data Crude oil'!AG747</f>
        <v>55.057000000000002</v>
      </c>
      <c r="AH746">
        <f>'raw data Crude oil'!AH747</f>
        <v>54.826999999999998</v>
      </c>
      <c r="AI746">
        <f>'raw data Crude oil'!AI747</f>
        <v>54.646000000000001</v>
      </c>
      <c r="AJ746">
        <f>'raw data Crude oil'!AJ747</f>
        <v>54.475999999999999</v>
      </c>
      <c r="AK746">
        <f>'raw data Crude oil'!AK747</f>
        <v>54.316000000000003</v>
      </c>
    </row>
    <row r="747" spans="1:37" x14ac:dyDescent="0.3">
      <c r="A747" s="18">
        <f>'raw data Crude oil'!A748</f>
        <v>43789</v>
      </c>
      <c r="B747">
        <f>'raw data Crude oil'!B748</f>
        <v>62.4</v>
      </c>
      <c r="C747">
        <f>'raw data Crude oil'!C748</f>
        <v>61.47</v>
      </c>
      <c r="D747">
        <f>'raw data Crude oil'!D748</f>
        <v>60.78</v>
      </c>
      <c r="E747">
        <f>'raw data Crude oil'!E748</f>
        <v>60.29</v>
      </c>
      <c r="F747">
        <f>'raw data Crude oil'!F748</f>
        <v>59.94</v>
      </c>
      <c r="G747">
        <f>'raw data Crude oil'!G748</f>
        <v>59.62</v>
      </c>
      <c r="H747">
        <f>'raw data Crude oil'!H748</f>
        <v>59.31</v>
      </c>
      <c r="I747">
        <f>'raw data Crude oil'!I748</f>
        <v>59.05</v>
      </c>
      <c r="J747">
        <f>'raw data Crude oil'!J748</f>
        <v>58.82</v>
      </c>
      <c r="K747">
        <f>'raw data Crude oil'!K748</f>
        <v>58.6</v>
      </c>
      <c r="L747">
        <f>'raw data Crude oil'!L748</f>
        <v>58.42</v>
      </c>
      <c r="M747">
        <f>'raw data Crude oil'!M748</f>
        <v>58.23</v>
      </c>
      <c r="N747">
        <f>'raw data Crude oil'!N748</f>
        <v>57.11</v>
      </c>
      <c r="O747">
        <f>'raw data Crude oil'!O748</f>
        <v>57.01</v>
      </c>
      <c r="P747">
        <f>'raw data Crude oil'!P748</f>
        <v>56.88</v>
      </c>
      <c r="Q747">
        <f>'raw data Crude oil'!Q748</f>
        <v>56.58</v>
      </c>
      <c r="R747">
        <f>'raw data Crude oil'!R748</f>
        <v>56.23</v>
      </c>
      <c r="S747">
        <f>'raw data Crude oil'!S748</f>
        <v>55.84</v>
      </c>
      <c r="T747">
        <f>'raw data Crude oil'!T748</f>
        <v>55.43</v>
      </c>
      <c r="U747">
        <f>'raw data Crude oil'!U748</f>
        <v>55.02</v>
      </c>
      <c r="V747">
        <f>'raw data Crude oil'!V748</f>
        <v>54.62</v>
      </c>
      <c r="W747">
        <f>'raw data Crude oil'!W748</f>
        <v>54.29</v>
      </c>
      <c r="X747">
        <f>'raw data Crude oil'!X748</f>
        <v>53.99</v>
      </c>
      <c r="Y747">
        <f>'raw data Crude oil'!Y748</f>
        <v>53.75</v>
      </c>
      <c r="Z747">
        <f>'raw data Crude oil'!Z748</f>
        <v>61.618000000000002</v>
      </c>
      <c r="AA747">
        <f>'raw data Crude oil'!AA748</f>
        <v>60.594000000000001</v>
      </c>
      <c r="AB747">
        <f>'raw data Crude oil'!AB748</f>
        <v>59.167999999999999</v>
      </c>
      <c r="AC747">
        <f>'raw data Crude oil'!AC748</f>
        <v>58.253</v>
      </c>
      <c r="AD747">
        <f>'raw data Crude oil'!AD748</f>
        <v>57.573</v>
      </c>
      <c r="AE747">
        <f>'raw data Crude oil'!AE748</f>
        <v>57.133000000000003</v>
      </c>
      <c r="AF747">
        <f>'raw data Crude oil'!AF748</f>
        <v>56.768000000000001</v>
      </c>
      <c r="AG747">
        <f>'raw data Crude oil'!AG748</f>
        <v>56.4</v>
      </c>
      <c r="AH747">
        <f>'raw data Crude oil'!AH748</f>
        <v>56.13</v>
      </c>
      <c r="AI747">
        <f>'raw data Crude oil'!AI748</f>
        <v>55.902999999999999</v>
      </c>
      <c r="AJ747">
        <f>'raw data Crude oil'!AJ748</f>
        <v>55.731000000000002</v>
      </c>
      <c r="AK747">
        <f>'raw data Crude oil'!AK748</f>
        <v>55.554000000000002</v>
      </c>
    </row>
    <row r="748" spans="1:37" x14ac:dyDescent="0.3">
      <c r="A748" s="18">
        <f>'raw data Crude oil'!A749</f>
        <v>43790</v>
      </c>
      <c r="B748">
        <f>'raw data Crude oil'!B749</f>
        <v>63.97</v>
      </c>
      <c r="C748">
        <f>'raw data Crude oil'!C749</f>
        <v>62.94</v>
      </c>
      <c r="D748">
        <f>'raw data Crude oil'!D749</f>
        <v>62.19</v>
      </c>
      <c r="E748">
        <f>'raw data Crude oil'!E749</f>
        <v>61.66</v>
      </c>
      <c r="F748">
        <f>'raw data Crude oil'!F749</f>
        <v>61.26</v>
      </c>
      <c r="G748">
        <f>'raw data Crude oil'!G749</f>
        <v>60.89</v>
      </c>
      <c r="H748">
        <f>'raw data Crude oil'!H749</f>
        <v>60.54</v>
      </c>
      <c r="I748">
        <f>'raw data Crude oil'!I749</f>
        <v>60.24</v>
      </c>
      <c r="J748">
        <f>'raw data Crude oil'!J749</f>
        <v>59.98</v>
      </c>
      <c r="K748">
        <f>'raw data Crude oil'!K749</f>
        <v>59.72</v>
      </c>
      <c r="L748">
        <f>'raw data Crude oil'!L749</f>
        <v>59.5</v>
      </c>
      <c r="M748">
        <f>'raw data Crude oil'!M749</f>
        <v>59.27</v>
      </c>
      <c r="N748">
        <f>'raw data Crude oil'!N749</f>
        <v>58.58</v>
      </c>
      <c r="O748">
        <f>'raw data Crude oil'!O749</f>
        <v>58.41</v>
      </c>
      <c r="P748">
        <f>'raw data Crude oil'!P749</f>
        <v>58.02</v>
      </c>
      <c r="Q748">
        <f>'raw data Crude oil'!Q749</f>
        <v>57.58</v>
      </c>
      <c r="R748">
        <f>'raw data Crude oil'!R749</f>
        <v>57.12</v>
      </c>
      <c r="S748">
        <f>'raw data Crude oil'!S749</f>
        <v>56.64</v>
      </c>
      <c r="T748">
        <f>'raw data Crude oil'!T749</f>
        <v>56.16</v>
      </c>
      <c r="U748">
        <f>'raw data Crude oil'!U749</f>
        <v>55.71</v>
      </c>
      <c r="V748">
        <f>'raw data Crude oil'!V749</f>
        <v>55.31</v>
      </c>
      <c r="W748">
        <f>'raw data Crude oil'!W749</f>
        <v>54.98</v>
      </c>
      <c r="X748">
        <f>'raw data Crude oil'!X749</f>
        <v>54.7</v>
      </c>
      <c r="Y748">
        <f>'raw data Crude oil'!Y749</f>
        <v>54.46</v>
      </c>
      <c r="Z748">
        <f>'raw data Crude oil'!Z749</f>
        <v>62.073999999999998</v>
      </c>
      <c r="AA748">
        <f>'raw data Crude oil'!AA749</f>
        <v>62.279000000000003</v>
      </c>
      <c r="AB748">
        <f>'raw data Crude oil'!AB749</f>
        <v>60.866</v>
      </c>
      <c r="AC748">
        <f>'raw data Crude oil'!AC749</f>
        <v>59.93</v>
      </c>
      <c r="AD748">
        <f>'raw data Crude oil'!AD749</f>
        <v>59.203000000000003</v>
      </c>
      <c r="AE748">
        <f>'raw data Crude oil'!AE749</f>
        <v>58.683</v>
      </c>
      <c r="AF748">
        <f>'raw data Crude oil'!AF749</f>
        <v>58.256</v>
      </c>
      <c r="AG748">
        <f>'raw data Crude oil'!AG749</f>
        <v>57.828000000000003</v>
      </c>
      <c r="AH748">
        <f>'raw data Crude oil'!AH749</f>
        <v>57.499000000000002</v>
      </c>
      <c r="AI748">
        <f>'raw data Crude oil'!AI749</f>
        <v>57.219000000000001</v>
      </c>
      <c r="AJ748">
        <f>'raw data Crude oil'!AJ749</f>
        <v>56.94</v>
      </c>
      <c r="AK748">
        <f>'raw data Crude oil'!AK749</f>
        <v>56.682000000000002</v>
      </c>
    </row>
    <row r="749" spans="1:37" x14ac:dyDescent="0.3">
      <c r="A749" s="18">
        <f>'raw data Crude oil'!A750</f>
        <v>43791</v>
      </c>
      <c r="B749">
        <f>'raw data Crude oil'!B750</f>
        <v>63.39</v>
      </c>
      <c r="C749">
        <f>'raw data Crude oil'!C750</f>
        <v>62.37</v>
      </c>
      <c r="D749">
        <f>'raw data Crude oil'!D750</f>
        <v>61.63</v>
      </c>
      <c r="E749">
        <f>'raw data Crude oil'!E750</f>
        <v>61.13</v>
      </c>
      <c r="F749">
        <f>'raw data Crude oil'!F750</f>
        <v>60.73</v>
      </c>
      <c r="G749">
        <f>'raw data Crude oil'!G750</f>
        <v>60.37</v>
      </c>
      <c r="H749">
        <f>'raw data Crude oil'!H750</f>
        <v>60.03</v>
      </c>
      <c r="I749">
        <f>'raw data Crude oil'!I750</f>
        <v>59.74</v>
      </c>
      <c r="J749">
        <f>'raw data Crude oil'!J750</f>
        <v>59.49</v>
      </c>
      <c r="K749">
        <f>'raw data Crude oil'!K750</f>
        <v>59.25</v>
      </c>
      <c r="L749">
        <f>'raw data Crude oil'!L750</f>
        <v>59.03</v>
      </c>
      <c r="M749">
        <f>'raw data Crude oil'!M750</f>
        <v>58.81</v>
      </c>
      <c r="N749">
        <f>'raw data Crude oil'!N750</f>
        <v>57.77</v>
      </c>
      <c r="O749">
        <f>'raw data Crude oil'!O750</f>
        <v>57.66</v>
      </c>
      <c r="P749">
        <f>'raw data Crude oil'!P750</f>
        <v>57.35</v>
      </c>
      <c r="Q749">
        <f>'raw data Crude oil'!Q750</f>
        <v>56.98</v>
      </c>
      <c r="R749">
        <f>'raw data Crude oil'!R750</f>
        <v>56.57</v>
      </c>
      <c r="S749">
        <f>'raw data Crude oil'!S750</f>
        <v>56.12</v>
      </c>
      <c r="T749">
        <f>'raw data Crude oil'!T750</f>
        <v>55.67</v>
      </c>
      <c r="U749">
        <f>'raw data Crude oil'!U750</f>
        <v>55.25</v>
      </c>
      <c r="V749">
        <f>'raw data Crude oil'!V750</f>
        <v>54.86</v>
      </c>
      <c r="W749">
        <f>'raw data Crude oil'!W750</f>
        <v>54.54</v>
      </c>
      <c r="X749">
        <f>'raw data Crude oil'!X750</f>
        <v>54.28</v>
      </c>
      <c r="Y749">
        <f>'raw data Crude oil'!Y750</f>
        <v>54.06</v>
      </c>
      <c r="Z749">
        <f>'raw data Crude oil'!Z750</f>
        <v>61.970999999999997</v>
      </c>
      <c r="AA749">
        <f>'raw data Crude oil'!AA750</f>
        <v>61.83</v>
      </c>
      <c r="AB749">
        <f>'raw data Crude oil'!AB750</f>
        <v>60.406999999999996</v>
      </c>
      <c r="AC749">
        <f>'raw data Crude oil'!AC750</f>
        <v>59.47</v>
      </c>
      <c r="AD749">
        <f>'raw data Crude oil'!AD750</f>
        <v>58.734000000000002</v>
      </c>
      <c r="AE749">
        <f>'raw data Crude oil'!AE750</f>
        <v>58.213999999999999</v>
      </c>
      <c r="AF749">
        <f>'raw data Crude oil'!AF750</f>
        <v>57.786000000000001</v>
      </c>
      <c r="AG749">
        <f>'raw data Crude oil'!AG750</f>
        <v>57.408999999999999</v>
      </c>
      <c r="AH749">
        <f>'raw data Crude oil'!AH750</f>
        <v>57.06</v>
      </c>
      <c r="AI749">
        <f>'raw data Crude oil'!AI750</f>
        <v>56.759</v>
      </c>
      <c r="AJ749">
        <f>'raw data Crude oil'!AJ750</f>
        <v>56.49</v>
      </c>
      <c r="AK749">
        <f>'raw data Crude oil'!AK750</f>
        <v>56.253</v>
      </c>
    </row>
    <row r="750" spans="1:37" x14ac:dyDescent="0.3">
      <c r="A750" s="18">
        <f>'raw data Crude oil'!A751</f>
        <v>43794</v>
      </c>
      <c r="B750">
        <f>'raw data Crude oil'!B751</f>
        <v>63.65</v>
      </c>
      <c r="C750">
        <f>'raw data Crude oil'!C751</f>
        <v>62.62</v>
      </c>
      <c r="D750">
        <f>'raw data Crude oil'!D751</f>
        <v>61.93</v>
      </c>
      <c r="E750">
        <f>'raw data Crude oil'!E751</f>
        <v>61.44</v>
      </c>
      <c r="F750">
        <f>'raw data Crude oil'!F751</f>
        <v>61.04</v>
      </c>
      <c r="G750">
        <f>'raw data Crude oil'!G751</f>
        <v>60.67</v>
      </c>
      <c r="H750">
        <f>'raw data Crude oil'!H751</f>
        <v>60.31</v>
      </c>
      <c r="I750">
        <f>'raw data Crude oil'!I751</f>
        <v>60.01</v>
      </c>
      <c r="J750">
        <f>'raw data Crude oil'!J751</f>
        <v>59.75</v>
      </c>
      <c r="K750">
        <f>'raw data Crude oil'!K751</f>
        <v>59.49</v>
      </c>
      <c r="L750">
        <f>'raw data Crude oil'!L751</f>
        <v>59.26</v>
      </c>
      <c r="M750">
        <f>'raw data Crude oil'!M751</f>
        <v>59.01</v>
      </c>
      <c r="N750">
        <f>'raw data Crude oil'!N751</f>
        <v>58.01</v>
      </c>
      <c r="O750">
        <f>'raw data Crude oil'!O751</f>
        <v>57.91</v>
      </c>
      <c r="P750">
        <f>'raw data Crude oil'!P751</f>
        <v>57.63</v>
      </c>
      <c r="Q750">
        <f>'raw data Crude oil'!Q751</f>
        <v>57.28</v>
      </c>
      <c r="R750">
        <f>'raw data Crude oil'!R751</f>
        <v>56.88</v>
      </c>
      <c r="S750">
        <f>'raw data Crude oil'!S751</f>
        <v>56.44</v>
      </c>
      <c r="T750">
        <f>'raw data Crude oil'!T751</f>
        <v>55.98</v>
      </c>
      <c r="U750">
        <f>'raw data Crude oil'!U751</f>
        <v>55.54</v>
      </c>
      <c r="V750">
        <f>'raw data Crude oil'!V751</f>
        <v>55.15</v>
      </c>
      <c r="W750">
        <f>'raw data Crude oil'!W751</f>
        <v>54.82</v>
      </c>
      <c r="X750">
        <f>'raw data Crude oil'!X751</f>
        <v>54.55</v>
      </c>
      <c r="Y750">
        <f>'raw data Crude oil'!Y751</f>
        <v>54.31</v>
      </c>
      <c r="Z750">
        <f>'raw data Crude oil'!Z751</f>
        <v>61.948999999999998</v>
      </c>
      <c r="AA750">
        <f>'raw data Crude oil'!AA751</f>
        <v>61.863999999999997</v>
      </c>
      <c r="AB750">
        <f>'raw data Crude oil'!AB751</f>
        <v>60.527999999999999</v>
      </c>
      <c r="AC750">
        <f>'raw data Crude oil'!AC751</f>
        <v>59.67</v>
      </c>
      <c r="AD750">
        <f>'raw data Crude oil'!AD751</f>
        <v>58.92</v>
      </c>
      <c r="AE750">
        <f>'raw data Crude oil'!AE751</f>
        <v>58.402999999999999</v>
      </c>
      <c r="AF750">
        <f>'raw data Crude oil'!AF751</f>
        <v>57.966000000000001</v>
      </c>
      <c r="AG750">
        <f>'raw data Crude oil'!AG751</f>
        <v>57.537999999999997</v>
      </c>
      <c r="AH750">
        <f>'raw data Crude oil'!AH751</f>
        <v>57.238</v>
      </c>
      <c r="AI750">
        <f>'raw data Crude oil'!AI751</f>
        <v>56.938000000000002</v>
      </c>
      <c r="AJ750">
        <f>'raw data Crude oil'!AJ751</f>
        <v>56.628999999999998</v>
      </c>
      <c r="AK750">
        <f>'raw data Crude oil'!AK751</f>
        <v>56.351999999999997</v>
      </c>
    </row>
    <row r="751" spans="1:37" x14ac:dyDescent="0.3">
      <c r="A751" s="18">
        <f>'raw data Crude oil'!A752</f>
        <v>43795</v>
      </c>
      <c r="B751">
        <f>'raw data Crude oil'!B752</f>
        <v>64.27</v>
      </c>
      <c r="C751">
        <f>'raw data Crude oil'!C752</f>
        <v>63.21</v>
      </c>
      <c r="D751">
        <f>'raw data Crude oil'!D752</f>
        <v>62.51</v>
      </c>
      <c r="E751">
        <f>'raw data Crude oil'!E752</f>
        <v>62</v>
      </c>
      <c r="F751">
        <f>'raw data Crude oil'!F752</f>
        <v>61.59</v>
      </c>
      <c r="G751">
        <f>'raw data Crude oil'!G752</f>
        <v>61.21</v>
      </c>
      <c r="H751">
        <f>'raw data Crude oil'!H752</f>
        <v>60.84</v>
      </c>
      <c r="I751">
        <f>'raw data Crude oil'!I752</f>
        <v>60.53</v>
      </c>
      <c r="J751">
        <f>'raw data Crude oil'!J752</f>
        <v>60.27</v>
      </c>
      <c r="K751">
        <f>'raw data Crude oil'!K752</f>
        <v>60</v>
      </c>
      <c r="L751">
        <f>'raw data Crude oil'!L752</f>
        <v>59.76</v>
      </c>
      <c r="M751">
        <f>'raw data Crude oil'!M752</f>
        <v>59.51</v>
      </c>
      <c r="N751">
        <f>'raw data Crude oil'!N752</f>
        <v>58.41</v>
      </c>
      <c r="O751">
        <f>'raw data Crude oil'!O752</f>
        <v>58.32</v>
      </c>
      <c r="P751">
        <f>'raw data Crude oil'!P752</f>
        <v>58.06</v>
      </c>
      <c r="Q751">
        <f>'raw data Crude oil'!Q752</f>
        <v>57.71</v>
      </c>
      <c r="R751">
        <f>'raw data Crude oil'!R752</f>
        <v>57.32</v>
      </c>
      <c r="S751">
        <f>'raw data Crude oil'!S752</f>
        <v>56.87</v>
      </c>
      <c r="T751">
        <f>'raw data Crude oil'!T752</f>
        <v>56.4</v>
      </c>
      <c r="U751">
        <f>'raw data Crude oil'!U752</f>
        <v>55.96</v>
      </c>
      <c r="V751">
        <f>'raw data Crude oil'!V752</f>
        <v>55.56</v>
      </c>
      <c r="W751">
        <f>'raw data Crude oil'!W752</f>
        <v>55.23</v>
      </c>
      <c r="X751">
        <f>'raw data Crude oil'!X752</f>
        <v>54.95</v>
      </c>
      <c r="Y751">
        <f>'raw data Crude oil'!Y752</f>
        <v>54.71</v>
      </c>
      <c r="Z751">
        <f>'raw data Crude oil'!Z752</f>
        <v>62.012</v>
      </c>
      <c r="AA751">
        <f>'raw data Crude oil'!AA752</f>
        <v>62.332999999999998</v>
      </c>
      <c r="AB751">
        <f>'raw data Crude oil'!AB752</f>
        <v>61.046999999999997</v>
      </c>
      <c r="AC751">
        <f>'raw data Crude oil'!AC752</f>
        <v>60.23</v>
      </c>
      <c r="AD751">
        <f>'raw data Crude oil'!AD752</f>
        <v>59.533000000000001</v>
      </c>
      <c r="AE751">
        <f>'raw data Crude oil'!AE752</f>
        <v>58.991999999999997</v>
      </c>
      <c r="AF751">
        <f>'raw data Crude oil'!AF752</f>
        <v>58.515000000000001</v>
      </c>
      <c r="AG751">
        <f>'raw data Crude oil'!AG752</f>
        <v>58.088000000000001</v>
      </c>
      <c r="AH751">
        <f>'raw data Crude oil'!AH752</f>
        <v>57.728000000000002</v>
      </c>
      <c r="AI751">
        <f>'raw data Crude oil'!AI752</f>
        <v>57.427</v>
      </c>
      <c r="AJ751">
        <f>'raw data Crude oil'!AJ752</f>
        <v>57.149000000000001</v>
      </c>
      <c r="AK751">
        <f>'raw data Crude oil'!AK752</f>
        <v>56.881999999999998</v>
      </c>
    </row>
    <row r="752" spans="1:37" x14ac:dyDescent="0.3">
      <c r="A752" s="18">
        <f>'raw data Crude oil'!A753</f>
        <v>43796</v>
      </c>
      <c r="B752">
        <f>'raw data Crude oil'!B753</f>
        <v>64.06</v>
      </c>
      <c r="C752">
        <f>'raw data Crude oil'!C753</f>
        <v>63.01</v>
      </c>
      <c r="D752">
        <f>'raw data Crude oil'!D753</f>
        <v>62.3</v>
      </c>
      <c r="E752">
        <f>'raw data Crude oil'!E753</f>
        <v>61.78</v>
      </c>
      <c r="F752">
        <f>'raw data Crude oil'!F753</f>
        <v>61.36</v>
      </c>
      <c r="G752">
        <f>'raw data Crude oil'!G753</f>
        <v>60.97</v>
      </c>
      <c r="H752">
        <f>'raw data Crude oil'!H753</f>
        <v>60.59</v>
      </c>
      <c r="I752">
        <f>'raw data Crude oil'!I753</f>
        <v>60.28</v>
      </c>
      <c r="J752">
        <f>'raw data Crude oil'!J753</f>
        <v>60.02</v>
      </c>
      <c r="K752">
        <f>'raw data Crude oil'!K753</f>
        <v>59.76</v>
      </c>
      <c r="L752">
        <f>'raw data Crude oil'!L753</f>
        <v>59.52</v>
      </c>
      <c r="M752">
        <f>'raw data Crude oil'!M753</f>
        <v>59.26</v>
      </c>
      <c r="N752">
        <f>'raw data Crude oil'!N753</f>
        <v>58.11</v>
      </c>
      <c r="O752">
        <f>'raw data Crude oil'!O753</f>
        <v>58.05</v>
      </c>
      <c r="P752">
        <f>'raw data Crude oil'!P753</f>
        <v>57.85</v>
      </c>
      <c r="Q752">
        <f>'raw data Crude oil'!Q753</f>
        <v>57.54</v>
      </c>
      <c r="R752">
        <f>'raw data Crude oil'!R753</f>
        <v>57.19</v>
      </c>
      <c r="S752">
        <f>'raw data Crude oil'!S753</f>
        <v>56.77</v>
      </c>
      <c r="T752">
        <f>'raw data Crude oil'!T753</f>
        <v>56.33</v>
      </c>
      <c r="U752">
        <f>'raw data Crude oil'!U753</f>
        <v>55.91</v>
      </c>
      <c r="V752">
        <f>'raw data Crude oil'!V753</f>
        <v>55.52</v>
      </c>
      <c r="W752">
        <f>'raw data Crude oil'!W753</f>
        <v>55.2</v>
      </c>
      <c r="X752">
        <f>'raw data Crude oil'!X753</f>
        <v>54.93</v>
      </c>
      <c r="Y752">
        <f>'raw data Crude oil'!Y753</f>
        <v>54.69</v>
      </c>
      <c r="Z752">
        <f>'raw data Crude oil'!Z753</f>
        <v>61.945999999999998</v>
      </c>
      <c r="AA752">
        <f>'raw data Crude oil'!AA753</f>
        <v>62.262</v>
      </c>
      <c r="AB752">
        <f>'raw data Crude oil'!AB753</f>
        <v>60.915999999999997</v>
      </c>
      <c r="AC752">
        <f>'raw data Crude oil'!AC753</f>
        <v>60.058999999999997</v>
      </c>
      <c r="AD752">
        <f>'raw data Crude oil'!AD753</f>
        <v>59.362000000000002</v>
      </c>
      <c r="AE752">
        <f>'raw data Crude oil'!AE753</f>
        <v>58.802</v>
      </c>
      <c r="AF752">
        <f>'raw data Crude oil'!AF753</f>
        <v>58.344999999999999</v>
      </c>
      <c r="AG752">
        <f>'raw data Crude oil'!AG753</f>
        <v>57.917999999999999</v>
      </c>
      <c r="AH752">
        <f>'raw data Crude oil'!AH753</f>
        <v>57.539000000000001</v>
      </c>
      <c r="AI752">
        <f>'raw data Crude oil'!AI753</f>
        <v>57.207000000000001</v>
      </c>
      <c r="AJ752">
        <f>'raw data Crude oil'!AJ753</f>
        <v>56.908000000000001</v>
      </c>
      <c r="AK752">
        <f>'raw data Crude oil'!AK753</f>
        <v>56.610999999999997</v>
      </c>
    </row>
    <row r="753" spans="1:37" x14ac:dyDescent="0.3">
      <c r="A753" s="18">
        <f>'raw data Crude oil'!A754</f>
        <v>43797</v>
      </c>
      <c r="B753">
        <f>'raw data Crude oil'!B754</f>
        <v>63.87</v>
      </c>
      <c r="C753">
        <f>'raw data Crude oil'!C754</f>
        <v>63.27</v>
      </c>
      <c r="D753">
        <f>'raw data Crude oil'!D754</f>
        <v>62.61</v>
      </c>
      <c r="E753">
        <f>'raw data Crude oil'!E754</f>
        <v>62.1</v>
      </c>
      <c r="F753">
        <f>'raw data Crude oil'!F754</f>
        <v>61.69</v>
      </c>
      <c r="G753">
        <f>'raw data Crude oil'!G754</f>
        <v>61.31</v>
      </c>
      <c r="H753">
        <f>'raw data Crude oil'!H754</f>
        <v>60.93</v>
      </c>
      <c r="I753">
        <f>'raw data Crude oil'!I754</f>
        <v>60.62</v>
      </c>
      <c r="J753">
        <f>'raw data Crude oil'!J754</f>
        <v>60.36</v>
      </c>
      <c r="K753">
        <f>'raw data Crude oil'!K754</f>
        <v>60.1</v>
      </c>
      <c r="L753">
        <f>'raw data Crude oil'!L754</f>
        <v>59.86</v>
      </c>
      <c r="M753">
        <f>'raw data Crude oil'!M754</f>
        <v>59.61</v>
      </c>
      <c r="N753">
        <f>'raw data Crude oil'!N754</f>
        <v>58.11</v>
      </c>
      <c r="O753">
        <f>'raw data Crude oil'!O754</f>
        <v>58.05</v>
      </c>
      <c r="P753">
        <f>'raw data Crude oil'!P754</f>
        <v>57.85</v>
      </c>
      <c r="Q753">
        <f>'raw data Crude oil'!Q754</f>
        <v>57.54</v>
      </c>
      <c r="R753">
        <f>'raw data Crude oil'!R754</f>
        <v>57.19</v>
      </c>
      <c r="S753">
        <f>'raw data Crude oil'!S754</f>
        <v>56.77</v>
      </c>
      <c r="T753">
        <f>'raw data Crude oil'!T754</f>
        <v>56.33</v>
      </c>
      <c r="U753">
        <f>'raw data Crude oil'!U754</f>
        <v>55.91</v>
      </c>
      <c r="V753">
        <f>'raw data Crude oil'!V754</f>
        <v>55.52</v>
      </c>
      <c r="W753">
        <f>'raw data Crude oil'!W754</f>
        <v>55.2</v>
      </c>
      <c r="X753">
        <f>'raw data Crude oil'!X754</f>
        <v>54.93</v>
      </c>
      <c r="Y753">
        <f>'raw data Crude oil'!Y754</f>
        <v>54.69</v>
      </c>
      <c r="Z753">
        <f>'raw data Crude oil'!Z754</f>
        <v>61.975999999999999</v>
      </c>
      <c r="AA753">
        <f>'raw data Crude oil'!AA754</f>
        <v>62.716999999999999</v>
      </c>
      <c r="AB753">
        <f>'raw data Crude oil'!AB754</f>
        <v>61.366999999999997</v>
      </c>
      <c r="AC753">
        <f>'raw data Crude oil'!AC754</f>
        <v>60.52</v>
      </c>
      <c r="AD753">
        <f>'raw data Crude oil'!AD754</f>
        <v>59.823</v>
      </c>
      <c r="AE753">
        <f>'raw data Crude oil'!AE754</f>
        <v>59.302</v>
      </c>
      <c r="AF753">
        <f>'raw data Crude oil'!AF754</f>
        <v>58.835000000000001</v>
      </c>
      <c r="AG753">
        <f>'raw data Crude oil'!AG754</f>
        <v>58.378</v>
      </c>
      <c r="AH753">
        <f>'raw data Crude oil'!AH754</f>
        <v>57.999000000000002</v>
      </c>
      <c r="AI753">
        <f>'raw data Crude oil'!AI754</f>
        <v>57.667000000000002</v>
      </c>
      <c r="AJ753">
        <f>'raw data Crude oil'!AJ754</f>
        <v>57.348999999999997</v>
      </c>
      <c r="AK753">
        <f>'raw data Crude oil'!AK754</f>
        <v>57.072000000000003</v>
      </c>
    </row>
    <row r="754" spans="1:37" x14ac:dyDescent="0.3">
      <c r="A754" s="18">
        <f>'raw data Crude oil'!A755</f>
        <v>43798</v>
      </c>
      <c r="B754">
        <f>'raw data Crude oil'!B755</f>
        <v>62.43</v>
      </c>
      <c r="C754">
        <f>'raw data Crude oil'!C755</f>
        <v>60.49</v>
      </c>
      <c r="D754">
        <f>'raw data Crude oil'!D755</f>
        <v>59.85</v>
      </c>
      <c r="E754">
        <f>'raw data Crude oil'!E755</f>
        <v>59.35</v>
      </c>
      <c r="F754">
        <f>'raw data Crude oil'!F755</f>
        <v>58.95</v>
      </c>
      <c r="G754">
        <f>'raw data Crude oil'!G755</f>
        <v>58.57</v>
      </c>
      <c r="H754">
        <f>'raw data Crude oil'!H755</f>
        <v>58.19</v>
      </c>
      <c r="I754">
        <f>'raw data Crude oil'!I755</f>
        <v>57.88</v>
      </c>
      <c r="J754">
        <f>'raw data Crude oil'!J755</f>
        <v>57.63</v>
      </c>
      <c r="K754">
        <f>'raw data Crude oil'!K755</f>
        <v>57.38</v>
      </c>
      <c r="L754">
        <f>'raw data Crude oil'!L755</f>
        <v>57.16</v>
      </c>
      <c r="M754">
        <f>'raw data Crude oil'!M755</f>
        <v>56.93</v>
      </c>
      <c r="N754">
        <f>'raw data Crude oil'!N755</f>
        <v>55.17</v>
      </c>
      <c r="O754">
        <f>'raw data Crude oil'!O755</f>
        <v>55.14</v>
      </c>
      <c r="P754">
        <f>'raw data Crude oil'!P755</f>
        <v>54.98</v>
      </c>
      <c r="Q754">
        <f>'raw data Crude oil'!Q755</f>
        <v>54.74</v>
      </c>
      <c r="R754">
        <f>'raw data Crude oil'!R755</f>
        <v>54.45</v>
      </c>
      <c r="S754">
        <f>'raw data Crude oil'!S755</f>
        <v>54.1</v>
      </c>
      <c r="T754">
        <f>'raw data Crude oil'!T755</f>
        <v>53.73</v>
      </c>
      <c r="U754">
        <f>'raw data Crude oil'!U755</f>
        <v>53.38</v>
      </c>
      <c r="V754">
        <f>'raw data Crude oil'!V755</f>
        <v>53.05</v>
      </c>
      <c r="W754">
        <f>'raw data Crude oil'!W755</f>
        <v>52.77</v>
      </c>
      <c r="X754">
        <f>'raw data Crude oil'!X755</f>
        <v>52.53</v>
      </c>
      <c r="Y754">
        <f>'raw data Crude oil'!Y755</f>
        <v>52.31</v>
      </c>
      <c r="Z754">
        <f>'raw data Crude oil'!Z755</f>
        <v>61.973999999999997</v>
      </c>
      <c r="AA754">
        <f>'raw data Crude oil'!AA755</f>
        <v>59.859000000000002</v>
      </c>
      <c r="AB754">
        <f>'raw data Crude oil'!AB755</f>
        <v>58.506999999999998</v>
      </c>
      <c r="AC754">
        <f>'raw data Crude oil'!AC755</f>
        <v>57.68</v>
      </c>
      <c r="AD754">
        <f>'raw data Crude oil'!AD755</f>
        <v>56.972999999999999</v>
      </c>
      <c r="AE754">
        <f>'raw data Crude oil'!AE755</f>
        <v>56.472000000000001</v>
      </c>
      <c r="AF754">
        <f>'raw data Crude oil'!AF755</f>
        <v>56.024999999999999</v>
      </c>
      <c r="AG754">
        <f>'raw data Crude oil'!AG755</f>
        <v>55.588999999999999</v>
      </c>
      <c r="AH754">
        <f>'raw data Crude oil'!AH755</f>
        <v>55.259</v>
      </c>
      <c r="AI754">
        <f>'raw data Crude oil'!AI755</f>
        <v>54.959000000000003</v>
      </c>
      <c r="AJ754">
        <f>'raw data Crude oil'!AJ755</f>
        <v>54.7</v>
      </c>
      <c r="AK754">
        <f>'raw data Crude oil'!AK755</f>
        <v>54.453000000000003</v>
      </c>
    </row>
    <row r="755" spans="1:37" x14ac:dyDescent="0.3">
      <c r="A755" s="18">
        <f>'raw data Crude oil'!A756</f>
        <v>43801</v>
      </c>
      <c r="B755">
        <f>'raw data Crude oil'!B756</f>
        <v>60.92</v>
      </c>
      <c r="C755">
        <f>'raw data Crude oil'!C756</f>
        <v>60.23</v>
      </c>
      <c r="D755">
        <f>'raw data Crude oil'!D756</f>
        <v>59.74</v>
      </c>
      <c r="E755">
        <f>'raw data Crude oil'!E756</f>
        <v>59.35</v>
      </c>
      <c r="F755">
        <f>'raw data Crude oil'!F756</f>
        <v>58.99</v>
      </c>
      <c r="G755">
        <f>'raw data Crude oil'!G756</f>
        <v>58.63</v>
      </c>
      <c r="H755">
        <f>'raw data Crude oil'!H756</f>
        <v>58.35</v>
      </c>
      <c r="I755">
        <f>'raw data Crude oil'!I756</f>
        <v>58.13</v>
      </c>
      <c r="J755">
        <f>'raw data Crude oil'!J756</f>
        <v>57.9</v>
      </c>
      <c r="K755">
        <f>'raw data Crude oil'!K756</f>
        <v>57.7</v>
      </c>
      <c r="L755">
        <f>'raw data Crude oil'!L756</f>
        <v>57.5</v>
      </c>
      <c r="M755">
        <f>'raw data Crude oil'!M756</f>
        <v>57.35</v>
      </c>
      <c r="N755">
        <f>'raw data Crude oil'!N756</f>
        <v>55.96</v>
      </c>
      <c r="O755">
        <f>'raw data Crude oil'!O756</f>
        <v>55.91</v>
      </c>
      <c r="P755">
        <f>'raw data Crude oil'!P756</f>
        <v>55.74</v>
      </c>
      <c r="Q755">
        <f>'raw data Crude oil'!Q756</f>
        <v>55.47</v>
      </c>
      <c r="R755">
        <f>'raw data Crude oil'!R756</f>
        <v>55.17</v>
      </c>
      <c r="S755">
        <f>'raw data Crude oil'!S756</f>
        <v>54.84</v>
      </c>
      <c r="T755">
        <f>'raw data Crude oil'!T756</f>
        <v>54.5</v>
      </c>
      <c r="U755">
        <f>'raw data Crude oil'!U756</f>
        <v>54.16</v>
      </c>
      <c r="V755">
        <f>'raw data Crude oil'!V756</f>
        <v>53.85</v>
      </c>
      <c r="W755">
        <f>'raw data Crude oil'!W756</f>
        <v>53.57</v>
      </c>
      <c r="X755">
        <f>'raw data Crude oil'!X756</f>
        <v>53.33</v>
      </c>
      <c r="Y755">
        <f>'raw data Crude oil'!Y756</f>
        <v>53.12</v>
      </c>
      <c r="Z755">
        <f>'raw data Crude oil'!Z756</f>
        <v>61.973999999999997</v>
      </c>
      <c r="AA755">
        <f>'raw data Crude oil'!AA756</f>
        <v>60.445999999999998</v>
      </c>
      <c r="AB755">
        <f>'raw data Crude oil'!AB756</f>
        <v>59.027999999999999</v>
      </c>
      <c r="AC755">
        <f>'raw data Crude oil'!AC756</f>
        <v>58.191000000000003</v>
      </c>
      <c r="AD755">
        <f>'raw data Crude oil'!AD756</f>
        <v>57.494</v>
      </c>
      <c r="AE755">
        <f>'raw data Crude oil'!AE756</f>
        <v>56.972999999999999</v>
      </c>
      <c r="AF755">
        <f>'raw data Crude oil'!AF756</f>
        <v>56.506999999999998</v>
      </c>
      <c r="AG755">
        <f>'raw data Crude oil'!AG756</f>
        <v>56.06</v>
      </c>
      <c r="AH755">
        <f>'raw data Crude oil'!AH756</f>
        <v>55.74</v>
      </c>
      <c r="AI755">
        <f>'raw data Crude oil'!AI756</f>
        <v>55.411000000000001</v>
      </c>
      <c r="AJ755">
        <f>'raw data Crude oil'!AJ756</f>
        <v>55.140999999999998</v>
      </c>
      <c r="AK755">
        <f>'raw data Crude oil'!AK756</f>
        <v>54.942999999999998</v>
      </c>
    </row>
    <row r="756" spans="1:37" x14ac:dyDescent="0.3">
      <c r="A756" s="18">
        <f>'raw data Crude oil'!A757</f>
        <v>43802</v>
      </c>
      <c r="B756">
        <f>'raw data Crude oil'!B757</f>
        <v>60.82</v>
      </c>
      <c r="C756">
        <f>'raw data Crude oil'!C757</f>
        <v>60.11</v>
      </c>
      <c r="D756">
        <f>'raw data Crude oil'!D757</f>
        <v>59.61</v>
      </c>
      <c r="E756">
        <f>'raw data Crude oil'!E757</f>
        <v>59.23</v>
      </c>
      <c r="F756">
        <f>'raw data Crude oil'!F757</f>
        <v>58.87</v>
      </c>
      <c r="G756">
        <f>'raw data Crude oil'!G757</f>
        <v>58.52</v>
      </c>
      <c r="H756">
        <f>'raw data Crude oil'!H757</f>
        <v>58.24</v>
      </c>
      <c r="I756">
        <f>'raw data Crude oil'!I757</f>
        <v>58.02</v>
      </c>
      <c r="J756">
        <f>'raw data Crude oil'!J757</f>
        <v>57.8</v>
      </c>
      <c r="K756">
        <f>'raw data Crude oil'!K757</f>
        <v>57.61</v>
      </c>
      <c r="L756">
        <f>'raw data Crude oil'!L757</f>
        <v>57.42</v>
      </c>
      <c r="M756">
        <f>'raw data Crude oil'!M757</f>
        <v>57.28</v>
      </c>
      <c r="N756">
        <f>'raw data Crude oil'!N757</f>
        <v>56.1</v>
      </c>
      <c r="O756">
        <f>'raw data Crude oil'!O757</f>
        <v>56.03</v>
      </c>
      <c r="P756">
        <f>'raw data Crude oil'!P757</f>
        <v>55.82</v>
      </c>
      <c r="Q756">
        <f>'raw data Crude oil'!Q757</f>
        <v>55.52</v>
      </c>
      <c r="R756">
        <f>'raw data Crude oil'!R757</f>
        <v>55.19</v>
      </c>
      <c r="S756">
        <f>'raw data Crude oil'!S757</f>
        <v>54.86</v>
      </c>
      <c r="T756">
        <f>'raw data Crude oil'!T757</f>
        <v>54.51</v>
      </c>
      <c r="U756">
        <f>'raw data Crude oil'!U757</f>
        <v>54.17</v>
      </c>
      <c r="V756">
        <f>'raw data Crude oil'!V757</f>
        <v>53.85</v>
      </c>
      <c r="W756">
        <f>'raw data Crude oil'!W757</f>
        <v>53.58</v>
      </c>
      <c r="X756">
        <f>'raw data Crude oil'!X757</f>
        <v>53.35</v>
      </c>
      <c r="Y756">
        <f>'raw data Crude oil'!Y757</f>
        <v>53.14</v>
      </c>
      <c r="Z756">
        <f>'raw data Crude oil'!Z757</f>
        <v>60.557000000000002</v>
      </c>
      <c r="AA756">
        <f>'raw data Crude oil'!AA757</f>
        <v>59.070999999999998</v>
      </c>
      <c r="AB756">
        <f>'raw data Crude oil'!AB757</f>
        <v>58.189</v>
      </c>
      <c r="AC756">
        <f>'raw data Crude oil'!AC757</f>
        <v>57.509</v>
      </c>
      <c r="AD756">
        <f>'raw data Crude oil'!AD757</f>
        <v>56.978999999999999</v>
      </c>
      <c r="AE756">
        <f>'raw data Crude oil'!AE757</f>
        <v>56.518000000000001</v>
      </c>
      <c r="AF756">
        <f>'raw data Crude oil'!AF757</f>
        <v>56.066000000000003</v>
      </c>
      <c r="AG756">
        <f>'raw data Crude oil'!AG757</f>
        <v>55.703000000000003</v>
      </c>
      <c r="AH756">
        <f>'raw data Crude oil'!AH757</f>
        <v>55.381999999999998</v>
      </c>
      <c r="AI756">
        <f>'raw data Crude oil'!AI757</f>
        <v>55.140999999999998</v>
      </c>
      <c r="AJ756">
        <f>'raw data Crude oil'!AJ757</f>
        <v>54.945999999999998</v>
      </c>
      <c r="AK756">
        <f>'raw data Crude oil'!AK757</f>
        <v>54.755000000000003</v>
      </c>
    </row>
    <row r="757" spans="1:37" x14ac:dyDescent="0.3">
      <c r="A757" s="18">
        <f>'raw data Crude oil'!A758</f>
        <v>43803</v>
      </c>
      <c r="B757">
        <f>'raw data Crude oil'!B758</f>
        <v>63</v>
      </c>
      <c r="C757">
        <f>'raw data Crude oil'!C758</f>
        <v>62.2</v>
      </c>
      <c r="D757">
        <f>'raw data Crude oil'!D758</f>
        <v>61.6</v>
      </c>
      <c r="E757">
        <f>'raw data Crude oil'!E758</f>
        <v>61.15</v>
      </c>
      <c r="F757">
        <f>'raw data Crude oil'!F758</f>
        <v>60.74</v>
      </c>
      <c r="G757">
        <f>'raw data Crude oil'!G758</f>
        <v>60.33</v>
      </c>
      <c r="H757">
        <f>'raw data Crude oil'!H758</f>
        <v>59.99</v>
      </c>
      <c r="I757">
        <f>'raw data Crude oil'!I758</f>
        <v>59.72</v>
      </c>
      <c r="J757">
        <f>'raw data Crude oil'!J758</f>
        <v>59.46</v>
      </c>
      <c r="K757">
        <f>'raw data Crude oil'!K758</f>
        <v>59.23</v>
      </c>
      <c r="L757">
        <f>'raw data Crude oil'!L758</f>
        <v>58.99</v>
      </c>
      <c r="M757">
        <f>'raw data Crude oil'!M758</f>
        <v>58.81</v>
      </c>
      <c r="N757">
        <f>'raw data Crude oil'!N758</f>
        <v>58.43</v>
      </c>
      <c r="O757">
        <f>'raw data Crude oil'!O758</f>
        <v>58.34</v>
      </c>
      <c r="P757">
        <f>'raw data Crude oil'!P758</f>
        <v>58.04</v>
      </c>
      <c r="Q757">
        <f>'raw data Crude oil'!Q758</f>
        <v>57.64</v>
      </c>
      <c r="R757">
        <f>'raw data Crude oil'!R758</f>
        <v>57.21</v>
      </c>
      <c r="S757">
        <f>'raw data Crude oil'!S758</f>
        <v>56.77</v>
      </c>
      <c r="T757">
        <f>'raw data Crude oil'!T758</f>
        <v>56.32</v>
      </c>
      <c r="U757">
        <f>'raw data Crude oil'!U758</f>
        <v>55.89</v>
      </c>
      <c r="V757">
        <f>'raw data Crude oil'!V758</f>
        <v>55.5</v>
      </c>
      <c r="W757">
        <f>'raw data Crude oil'!W758</f>
        <v>55.14</v>
      </c>
      <c r="X757">
        <f>'raw data Crude oil'!X758</f>
        <v>54.85</v>
      </c>
      <c r="Y757">
        <f>'raw data Crude oil'!Y758</f>
        <v>54.6</v>
      </c>
      <c r="Z757">
        <f>'raw data Crude oil'!Z758</f>
        <v>62.481000000000002</v>
      </c>
      <c r="AA757">
        <f>'raw data Crude oil'!AA758</f>
        <v>61.243000000000002</v>
      </c>
      <c r="AB757">
        <f>'raw data Crude oil'!AB758</f>
        <v>60.258000000000003</v>
      </c>
      <c r="AC757">
        <f>'raw data Crude oil'!AC758</f>
        <v>59.521000000000001</v>
      </c>
      <c r="AD757">
        <f>'raw data Crude oil'!AD758</f>
        <v>58.94</v>
      </c>
      <c r="AE757">
        <f>'raw data Crude oil'!AE758</f>
        <v>58.433999999999997</v>
      </c>
      <c r="AF757">
        <f>'raw data Crude oil'!AF758</f>
        <v>57.968000000000004</v>
      </c>
      <c r="AG757">
        <f>'raw data Crude oil'!AG758</f>
        <v>57.548999999999999</v>
      </c>
      <c r="AH757">
        <f>'raw data Crude oil'!AH758</f>
        <v>57.188000000000002</v>
      </c>
      <c r="AI757">
        <f>'raw data Crude oil'!AI758</f>
        <v>56.859000000000002</v>
      </c>
      <c r="AJ757">
        <f>'raw data Crude oil'!AJ758</f>
        <v>56.582000000000001</v>
      </c>
      <c r="AK757">
        <f>'raw data Crude oil'!AK758</f>
        <v>56.332999999999998</v>
      </c>
    </row>
    <row r="758" spans="1:37" x14ac:dyDescent="0.3">
      <c r="A758" s="18">
        <f>'raw data Crude oil'!A759</f>
        <v>43804</v>
      </c>
      <c r="B758">
        <f>'raw data Crude oil'!B759</f>
        <v>63.39</v>
      </c>
      <c r="C758">
        <f>'raw data Crude oil'!C759</f>
        <v>62.48</v>
      </c>
      <c r="D758">
        <f>'raw data Crude oil'!D759</f>
        <v>61.79</v>
      </c>
      <c r="E758">
        <f>'raw data Crude oil'!E759</f>
        <v>61.31</v>
      </c>
      <c r="F758">
        <f>'raw data Crude oil'!F759</f>
        <v>60.9</v>
      </c>
      <c r="G758">
        <f>'raw data Crude oil'!G759</f>
        <v>60.49</v>
      </c>
      <c r="H758">
        <f>'raw data Crude oil'!H759</f>
        <v>60.14</v>
      </c>
      <c r="I758">
        <f>'raw data Crude oil'!I759</f>
        <v>59.86</v>
      </c>
      <c r="J758">
        <f>'raw data Crude oil'!J759</f>
        <v>59.58</v>
      </c>
      <c r="K758">
        <f>'raw data Crude oil'!K759</f>
        <v>59.34</v>
      </c>
      <c r="L758">
        <f>'raw data Crude oil'!L759</f>
        <v>59.09</v>
      </c>
      <c r="M758">
        <f>'raw data Crude oil'!M759</f>
        <v>58.9</v>
      </c>
      <c r="N758">
        <f>'raw data Crude oil'!N759</f>
        <v>58.43</v>
      </c>
      <c r="O758">
        <f>'raw data Crude oil'!O759</f>
        <v>58.34</v>
      </c>
      <c r="P758">
        <f>'raw data Crude oil'!P759</f>
        <v>58.06</v>
      </c>
      <c r="Q758">
        <f>'raw data Crude oil'!Q759</f>
        <v>57.68</v>
      </c>
      <c r="R758">
        <f>'raw data Crude oil'!R759</f>
        <v>57.26</v>
      </c>
      <c r="S758">
        <f>'raw data Crude oil'!S759</f>
        <v>56.82</v>
      </c>
      <c r="T758">
        <f>'raw data Crude oil'!T759</f>
        <v>56.36</v>
      </c>
      <c r="U758">
        <f>'raw data Crude oil'!U759</f>
        <v>55.92</v>
      </c>
      <c r="V758">
        <f>'raw data Crude oil'!V759</f>
        <v>55.5</v>
      </c>
      <c r="W758">
        <f>'raw data Crude oil'!W759</f>
        <v>55.15</v>
      </c>
      <c r="X758">
        <f>'raw data Crude oil'!X759</f>
        <v>54.85</v>
      </c>
      <c r="Y758">
        <f>'raw data Crude oil'!Y759</f>
        <v>54.58</v>
      </c>
      <c r="Z758">
        <f>'raw data Crude oil'!Z759</f>
        <v>62.816000000000003</v>
      </c>
      <c r="AA758">
        <f>'raw data Crude oil'!AA759</f>
        <v>61.628999999999998</v>
      </c>
      <c r="AB758">
        <f>'raw data Crude oil'!AB759</f>
        <v>60.576000000000001</v>
      </c>
      <c r="AC758">
        <f>'raw data Crude oil'!AC759</f>
        <v>59.780999999999999</v>
      </c>
      <c r="AD758">
        <f>'raw data Crude oil'!AD759</f>
        <v>59.16</v>
      </c>
      <c r="AE758">
        <f>'raw data Crude oil'!AE759</f>
        <v>58.643000000000001</v>
      </c>
      <c r="AF758">
        <f>'raw data Crude oil'!AF759</f>
        <v>58.127000000000002</v>
      </c>
      <c r="AG758">
        <f>'raw data Crude oil'!AG759</f>
        <v>57.728000000000002</v>
      </c>
      <c r="AH758">
        <f>'raw data Crude oil'!AH759</f>
        <v>57.377000000000002</v>
      </c>
      <c r="AI758">
        <f>'raw data Crude oil'!AI759</f>
        <v>57.029000000000003</v>
      </c>
      <c r="AJ758">
        <f>'raw data Crude oil'!AJ759</f>
        <v>56.731000000000002</v>
      </c>
      <c r="AK758">
        <f>'raw data Crude oil'!AK759</f>
        <v>56.511000000000003</v>
      </c>
    </row>
    <row r="759" spans="1:37" x14ac:dyDescent="0.3">
      <c r="A759" s="18">
        <f>'raw data Crude oil'!A760</f>
        <v>43805</v>
      </c>
      <c r="B759">
        <f>'raw data Crude oil'!B760</f>
        <v>64.39</v>
      </c>
      <c r="C759">
        <f>'raw data Crude oil'!C760</f>
        <v>63.39</v>
      </c>
      <c r="D759">
        <f>'raw data Crude oil'!D760</f>
        <v>62.62</v>
      </c>
      <c r="E759">
        <f>'raw data Crude oil'!E760</f>
        <v>62.08</v>
      </c>
      <c r="F759">
        <f>'raw data Crude oil'!F760</f>
        <v>61.62</v>
      </c>
      <c r="G759">
        <f>'raw data Crude oil'!G760</f>
        <v>61.15</v>
      </c>
      <c r="H759">
        <f>'raw data Crude oil'!H760</f>
        <v>60.75</v>
      </c>
      <c r="I759">
        <f>'raw data Crude oil'!I760</f>
        <v>60.42</v>
      </c>
      <c r="J759">
        <f>'raw data Crude oil'!J760</f>
        <v>60.09</v>
      </c>
      <c r="K759">
        <f>'raw data Crude oil'!K760</f>
        <v>59.79</v>
      </c>
      <c r="L759">
        <f>'raw data Crude oil'!L760</f>
        <v>59.5</v>
      </c>
      <c r="M759">
        <f>'raw data Crude oil'!M760</f>
        <v>59.26</v>
      </c>
      <c r="N759">
        <f>'raw data Crude oil'!N760</f>
        <v>59.2</v>
      </c>
      <c r="O759">
        <f>'raw data Crude oil'!O760</f>
        <v>59.1</v>
      </c>
      <c r="P759">
        <f>'raw data Crude oil'!P760</f>
        <v>58.78</v>
      </c>
      <c r="Q759">
        <f>'raw data Crude oil'!Q760</f>
        <v>58.37</v>
      </c>
      <c r="R759">
        <f>'raw data Crude oil'!R760</f>
        <v>57.92</v>
      </c>
      <c r="S759">
        <f>'raw data Crude oil'!S760</f>
        <v>57.43</v>
      </c>
      <c r="T759">
        <f>'raw data Crude oil'!T760</f>
        <v>56.93</v>
      </c>
      <c r="U759">
        <f>'raw data Crude oil'!U760</f>
        <v>56.44</v>
      </c>
      <c r="V759">
        <f>'raw data Crude oil'!V760</f>
        <v>55.98</v>
      </c>
      <c r="W759">
        <f>'raw data Crude oil'!W760</f>
        <v>55.58</v>
      </c>
      <c r="X759">
        <f>'raw data Crude oil'!X760</f>
        <v>55.23</v>
      </c>
      <c r="Y759">
        <f>'raw data Crude oil'!Y760</f>
        <v>54.92</v>
      </c>
      <c r="Z759">
        <f>'raw data Crude oil'!Z760</f>
        <v>63.415999999999997</v>
      </c>
      <c r="AA759">
        <f>'raw data Crude oil'!AA760</f>
        <v>62.375</v>
      </c>
      <c r="AB759">
        <f>'raw data Crude oil'!AB760</f>
        <v>61.243000000000002</v>
      </c>
      <c r="AC759">
        <f>'raw data Crude oil'!AC760</f>
        <v>60.439</v>
      </c>
      <c r="AD759">
        <f>'raw data Crude oil'!AD760</f>
        <v>59.817999999999998</v>
      </c>
      <c r="AE759">
        <f>'raw data Crude oil'!AE760</f>
        <v>59.280999999999999</v>
      </c>
      <c r="AF759">
        <f>'raw data Crude oil'!AF760</f>
        <v>58.774999999999999</v>
      </c>
      <c r="AG759">
        <f>'raw data Crude oil'!AG760</f>
        <v>58.276000000000003</v>
      </c>
      <c r="AH759">
        <f>'raw data Crude oil'!AH760</f>
        <v>57.850999999999999</v>
      </c>
      <c r="AI759">
        <f>'raw data Crude oil'!AI760</f>
        <v>57.427</v>
      </c>
      <c r="AJ759">
        <f>'raw data Crude oil'!AJ760</f>
        <v>57.079000000000001</v>
      </c>
      <c r="AK759">
        <f>'raw data Crude oil'!AK760</f>
        <v>56.8</v>
      </c>
    </row>
    <row r="760" spans="1:37" x14ac:dyDescent="0.3">
      <c r="A760" s="18">
        <f>'raw data Crude oil'!A761</f>
        <v>43808</v>
      </c>
      <c r="B760">
        <f>'raw data Crude oil'!B761</f>
        <v>64.25</v>
      </c>
      <c r="C760">
        <f>'raw data Crude oil'!C761</f>
        <v>63.28</v>
      </c>
      <c r="D760">
        <f>'raw data Crude oil'!D761</f>
        <v>62.54</v>
      </c>
      <c r="E760">
        <f>'raw data Crude oil'!E761</f>
        <v>62.02</v>
      </c>
      <c r="F760">
        <f>'raw data Crude oil'!F761</f>
        <v>61.58</v>
      </c>
      <c r="G760">
        <f>'raw data Crude oil'!G761</f>
        <v>61.13</v>
      </c>
      <c r="H760">
        <f>'raw data Crude oil'!H761</f>
        <v>60.74</v>
      </c>
      <c r="I760">
        <f>'raw data Crude oil'!I761</f>
        <v>60.43</v>
      </c>
      <c r="J760">
        <f>'raw data Crude oil'!J761</f>
        <v>60.11</v>
      </c>
      <c r="K760">
        <f>'raw data Crude oil'!K761</f>
        <v>59.83</v>
      </c>
      <c r="L760">
        <f>'raw data Crude oil'!L761</f>
        <v>59.55</v>
      </c>
      <c r="M760">
        <f>'raw data Crude oil'!M761</f>
        <v>59.32</v>
      </c>
      <c r="N760">
        <f>'raw data Crude oil'!N761</f>
        <v>59.02</v>
      </c>
      <c r="O760">
        <f>'raw data Crude oil'!O761</f>
        <v>58.92</v>
      </c>
      <c r="P760">
        <f>'raw data Crude oil'!P761</f>
        <v>58.64</v>
      </c>
      <c r="Q760">
        <f>'raw data Crude oil'!Q761</f>
        <v>58.28</v>
      </c>
      <c r="R760">
        <f>'raw data Crude oil'!R761</f>
        <v>57.88</v>
      </c>
      <c r="S760">
        <f>'raw data Crude oil'!S761</f>
        <v>57.43</v>
      </c>
      <c r="T760">
        <f>'raw data Crude oil'!T761</f>
        <v>56.95</v>
      </c>
      <c r="U760">
        <f>'raw data Crude oil'!U761</f>
        <v>56.48</v>
      </c>
      <c r="V760">
        <f>'raw data Crude oil'!V761</f>
        <v>56.05</v>
      </c>
      <c r="W760">
        <f>'raw data Crude oil'!W761</f>
        <v>55.66</v>
      </c>
      <c r="X760">
        <f>'raw data Crude oil'!X761</f>
        <v>55.32</v>
      </c>
      <c r="Y760">
        <f>'raw data Crude oil'!Y761</f>
        <v>55</v>
      </c>
      <c r="Z760">
        <f>'raw data Crude oil'!Z761</f>
        <v>63.448</v>
      </c>
      <c r="AA760">
        <f>'raw data Crude oil'!AA761</f>
        <v>62.536000000000001</v>
      </c>
      <c r="AB760">
        <f>'raw data Crude oil'!AB761</f>
        <v>61.374000000000002</v>
      </c>
      <c r="AC760">
        <f>'raw data Crude oil'!AC761</f>
        <v>60.57</v>
      </c>
      <c r="AD760">
        <f>'raw data Crude oil'!AD761</f>
        <v>59.923999999999999</v>
      </c>
      <c r="AE760">
        <f>'raw data Crude oil'!AE761</f>
        <v>59.356999999999999</v>
      </c>
      <c r="AF760">
        <f>'raw data Crude oil'!AF761</f>
        <v>58.832999999999998</v>
      </c>
      <c r="AG760">
        <f>'raw data Crude oil'!AG761</f>
        <v>58.405999999999999</v>
      </c>
      <c r="AH760">
        <f>'raw data Crude oil'!AH761</f>
        <v>58.012999999999998</v>
      </c>
      <c r="AI760">
        <f>'raw data Crude oil'!AI761</f>
        <v>57.616999999999997</v>
      </c>
      <c r="AJ760">
        <f>'raw data Crude oil'!AJ761</f>
        <v>57.23</v>
      </c>
      <c r="AK760">
        <f>'raw data Crude oil'!AK761</f>
        <v>56.91</v>
      </c>
    </row>
    <row r="761" spans="1:37" x14ac:dyDescent="0.3">
      <c r="A761" s="18">
        <f>'raw data Crude oil'!A762</f>
        <v>43809</v>
      </c>
      <c r="B761">
        <f>'raw data Crude oil'!B762</f>
        <v>64.34</v>
      </c>
      <c r="C761">
        <f>'raw data Crude oil'!C762</f>
        <v>63.46</v>
      </c>
      <c r="D761">
        <f>'raw data Crude oil'!D762</f>
        <v>62.76</v>
      </c>
      <c r="E761">
        <f>'raw data Crude oil'!E762</f>
        <v>62.28</v>
      </c>
      <c r="F761">
        <f>'raw data Crude oil'!F762</f>
        <v>61.86</v>
      </c>
      <c r="G761">
        <f>'raw data Crude oil'!G762</f>
        <v>61.42</v>
      </c>
      <c r="H761">
        <f>'raw data Crude oil'!H762</f>
        <v>61.04</v>
      </c>
      <c r="I761">
        <f>'raw data Crude oil'!I762</f>
        <v>60.74</v>
      </c>
      <c r="J761">
        <f>'raw data Crude oil'!J762</f>
        <v>60.42</v>
      </c>
      <c r="K761">
        <f>'raw data Crude oil'!K762</f>
        <v>60.14</v>
      </c>
      <c r="L761">
        <f>'raw data Crude oil'!L762</f>
        <v>59.85</v>
      </c>
      <c r="M761">
        <f>'raw data Crude oil'!M762</f>
        <v>59.61</v>
      </c>
      <c r="N761">
        <f>'raw data Crude oil'!N762</f>
        <v>59.24</v>
      </c>
      <c r="O761">
        <f>'raw data Crude oil'!O762</f>
        <v>59.14</v>
      </c>
      <c r="P761">
        <f>'raw data Crude oil'!P762</f>
        <v>58.88</v>
      </c>
      <c r="Q761">
        <f>'raw data Crude oil'!Q762</f>
        <v>58.53</v>
      </c>
      <c r="R761">
        <f>'raw data Crude oil'!R762</f>
        <v>58.15</v>
      </c>
      <c r="S761">
        <f>'raw data Crude oil'!S762</f>
        <v>57.72</v>
      </c>
      <c r="T761">
        <f>'raw data Crude oil'!T762</f>
        <v>57.27</v>
      </c>
      <c r="U761">
        <f>'raw data Crude oil'!U762</f>
        <v>56.84</v>
      </c>
      <c r="V761">
        <f>'raw data Crude oil'!V762</f>
        <v>56.44</v>
      </c>
      <c r="W761">
        <f>'raw data Crude oil'!W762</f>
        <v>56.07</v>
      </c>
      <c r="X761">
        <f>'raw data Crude oil'!X762</f>
        <v>55.74</v>
      </c>
      <c r="Y761">
        <f>'raw data Crude oil'!Y762</f>
        <v>55.42</v>
      </c>
      <c r="Z761">
        <f>'raw data Crude oil'!Z762</f>
        <v>63.46</v>
      </c>
      <c r="AA761">
        <f>'raw data Crude oil'!AA762</f>
        <v>62.648000000000003</v>
      </c>
      <c r="AB761">
        <f>'raw data Crude oil'!AB762</f>
        <v>61.515999999999998</v>
      </c>
      <c r="AC761">
        <f>'raw data Crude oil'!AC762</f>
        <v>60.756</v>
      </c>
      <c r="AD761">
        <f>'raw data Crude oil'!AD762</f>
        <v>60.149000000000001</v>
      </c>
      <c r="AE761">
        <f>'raw data Crude oil'!AE762</f>
        <v>59.601999999999997</v>
      </c>
      <c r="AF761">
        <f>'raw data Crude oil'!AF762</f>
        <v>59.085999999999999</v>
      </c>
      <c r="AG761">
        <f>'raw data Crude oil'!AG762</f>
        <v>58.655999999999999</v>
      </c>
      <c r="AH761">
        <f>'raw data Crude oil'!AH762</f>
        <v>58.243000000000002</v>
      </c>
      <c r="AI761">
        <f>'raw data Crude oil'!AI762</f>
        <v>57.856999999999999</v>
      </c>
      <c r="AJ761">
        <f>'raw data Crude oil'!AJ762</f>
        <v>57.509</v>
      </c>
      <c r="AK761">
        <f>'raw data Crude oil'!AK762</f>
        <v>57.18</v>
      </c>
    </row>
    <row r="762" spans="1:37" x14ac:dyDescent="0.3">
      <c r="A762" s="18">
        <f>'raw data Crude oil'!A763</f>
        <v>43810</v>
      </c>
      <c r="B762">
        <f>'raw data Crude oil'!B763</f>
        <v>63.72</v>
      </c>
      <c r="C762">
        <f>'raw data Crude oil'!C763</f>
        <v>62.82</v>
      </c>
      <c r="D762">
        <f>'raw data Crude oil'!D763</f>
        <v>62.1</v>
      </c>
      <c r="E762">
        <f>'raw data Crude oil'!E763</f>
        <v>61.61</v>
      </c>
      <c r="F762">
        <f>'raw data Crude oil'!F763</f>
        <v>61.19</v>
      </c>
      <c r="G762">
        <f>'raw data Crude oil'!G763</f>
        <v>60.75</v>
      </c>
      <c r="H762">
        <f>'raw data Crude oil'!H763</f>
        <v>60.38</v>
      </c>
      <c r="I762">
        <f>'raw data Crude oil'!I763</f>
        <v>60.09</v>
      </c>
      <c r="J762">
        <f>'raw data Crude oil'!J763</f>
        <v>59.8</v>
      </c>
      <c r="K762">
        <f>'raw data Crude oil'!K763</f>
        <v>59.53</v>
      </c>
      <c r="L762">
        <f>'raw data Crude oil'!L763</f>
        <v>59.27</v>
      </c>
      <c r="M762">
        <f>'raw data Crude oil'!M763</f>
        <v>59.05</v>
      </c>
      <c r="N762">
        <f>'raw data Crude oil'!N763</f>
        <v>58.76</v>
      </c>
      <c r="O762">
        <f>'raw data Crude oil'!O763</f>
        <v>58.65</v>
      </c>
      <c r="P762">
        <f>'raw data Crude oil'!P763</f>
        <v>58.36</v>
      </c>
      <c r="Q762">
        <f>'raw data Crude oil'!Q763</f>
        <v>57.98</v>
      </c>
      <c r="R762">
        <f>'raw data Crude oil'!R763</f>
        <v>57.58</v>
      </c>
      <c r="S762">
        <f>'raw data Crude oil'!S763</f>
        <v>57.15</v>
      </c>
      <c r="T762">
        <f>'raw data Crude oil'!T763</f>
        <v>56.71</v>
      </c>
      <c r="U762">
        <f>'raw data Crude oil'!U763</f>
        <v>56.28</v>
      </c>
      <c r="V762">
        <f>'raw data Crude oil'!V763</f>
        <v>55.89</v>
      </c>
      <c r="W762">
        <f>'raw data Crude oil'!W763</f>
        <v>55.52</v>
      </c>
      <c r="X762">
        <f>'raw data Crude oil'!X763</f>
        <v>55.19</v>
      </c>
      <c r="Y762">
        <f>'raw data Crude oil'!Y763</f>
        <v>54.89</v>
      </c>
      <c r="Z762">
        <f>'raw data Crude oil'!Z763</f>
        <v>63.122999999999998</v>
      </c>
      <c r="AA762">
        <f>'raw data Crude oil'!AA763</f>
        <v>61.966999999999999</v>
      </c>
      <c r="AB762">
        <f>'raw data Crude oil'!AB763</f>
        <v>60.835999999999999</v>
      </c>
      <c r="AC762">
        <f>'raw data Crude oil'!AC763</f>
        <v>60.070999999999998</v>
      </c>
      <c r="AD762">
        <f>'raw data Crude oil'!AD763</f>
        <v>59.439</v>
      </c>
      <c r="AE762">
        <f>'raw data Crude oil'!AE763</f>
        <v>58.902000000000001</v>
      </c>
      <c r="AF762">
        <f>'raw data Crude oil'!AF763</f>
        <v>58.377000000000002</v>
      </c>
      <c r="AG762">
        <f>'raw data Crude oil'!AG763</f>
        <v>57.936999999999998</v>
      </c>
      <c r="AH762">
        <f>'raw data Crude oil'!AH763</f>
        <v>57.533999999999999</v>
      </c>
      <c r="AI762">
        <f>'raw data Crude oil'!AI763</f>
        <v>57.198</v>
      </c>
      <c r="AJ762">
        <f>'raw data Crude oil'!AJ763</f>
        <v>56.87</v>
      </c>
      <c r="AK762">
        <f>'raw data Crude oil'!AK763</f>
        <v>56.551000000000002</v>
      </c>
    </row>
    <row r="763" spans="1:37" x14ac:dyDescent="0.3">
      <c r="A763" s="18">
        <f>'raw data Crude oil'!A764</f>
        <v>43811</v>
      </c>
      <c r="B763">
        <f>'raw data Crude oil'!B764</f>
        <v>64.2</v>
      </c>
      <c r="C763">
        <f>'raw data Crude oil'!C764</f>
        <v>63.28</v>
      </c>
      <c r="D763">
        <f>'raw data Crude oil'!D764</f>
        <v>62.55</v>
      </c>
      <c r="E763">
        <f>'raw data Crude oil'!E764</f>
        <v>62.05</v>
      </c>
      <c r="F763">
        <f>'raw data Crude oil'!F764</f>
        <v>61.61</v>
      </c>
      <c r="G763">
        <f>'raw data Crude oil'!G764</f>
        <v>61.14</v>
      </c>
      <c r="H763">
        <f>'raw data Crude oil'!H764</f>
        <v>60.76</v>
      </c>
      <c r="I763">
        <f>'raw data Crude oil'!I764</f>
        <v>60.47</v>
      </c>
      <c r="J763">
        <f>'raw data Crude oil'!J764</f>
        <v>60.17</v>
      </c>
      <c r="K763">
        <f>'raw data Crude oil'!K764</f>
        <v>59.91</v>
      </c>
      <c r="L763">
        <f>'raw data Crude oil'!L764</f>
        <v>59.65</v>
      </c>
      <c r="M763">
        <f>'raw data Crude oil'!M764</f>
        <v>59.42</v>
      </c>
      <c r="N763">
        <f>'raw data Crude oil'!N764</f>
        <v>59.18</v>
      </c>
      <c r="O763">
        <f>'raw data Crude oil'!O764</f>
        <v>59.06</v>
      </c>
      <c r="P763">
        <f>'raw data Crude oil'!P764</f>
        <v>58.76</v>
      </c>
      <c r="Q763">
        <f>'raw data Crude oil'!Q764</f>
        <v>58.36</v>
      </c>
      <c r="R763">
        <f>'raw data Crude oil'!R764</f>
        <v>57.95</v>
      </c>
      <c r="S763">
        <f>'raw data Crude oil'!S764</f>
        <v>57.53</v>
      </c>
      <c r="T763">
        <f>'raw data Crude oil'!T764</f>
        <v>57.09</v>
      </c>
      <c r="U763">
        <f>'raw data Crude oil'!U764</f>
        <v>56.67</v>
      </c>
      <c r="V763">
        <f>'raw data Crude oil'!V764</f>
        <v>56.27</v>
      </c>
      <c r="W763">
        <f>'raw data Crude oil'!W764</f>
        <v>55.91</v>
      </c>
      <c r="X763">
        <f>'raw data Crude oil'!X764</f>
        <v>55.59</v>
      </c>
      <c r="Y763">
        <f>'raw data Crude oil'!Y764</f>
        <v>55.28</v>
      </c>
      <c r="Z763">
        <f>'raw data Crude oil'!Z764</f>
        <v>63.499000000000002</v>
      </c>
      <c r="AA763">
        <f>'raw data Crude oil'!AA764</f>
        <v>62.557000000000002</v>
      </c>
      <c r="AB763">
        <f>'raw data Crude oil'!AB764</f>
        <v>61.395000000000003</v>
      </c>
      <c r="AC763">
        <f>'raw data Crude oil'!AC764</f>
        <v>60.570999999999998</v>
      </c>
      <c r="AD763">
        <f>'raw data Crude oil'!AD764</f>
        <v>59.868000000000002</v>
      </c>
      <c r="AE763">
        <f>'raw data Crude oil'!AE764</f>
        <v>59.218000000000004</v>
      </c>
      <c r="AF763">
        <f>'raw data Crude oil'!AF764</f>
        <v>58.622</v>
      </c>
      <c r="AG763">
        <f>'raw data Crude oil'!AG764</f>
        <v>58.197000000000003</v>
      </c>
      <c r="AH763">
        <f>'raw data Crude oil'!AH764</f>
        <v>57.825000000000003</v>
      </c>
      <c r="AI763">
        <f>'raw data Crude oil'!AI764</f>
        <v>57.478000000000002</v>
      </c>
      <c r="AJ763">
        <f>'raw data Crude oil'!AJ764</f>
        <v>57.18</v>
      </c>
      <c r="AK763">
        <f>'raw data Crude oil'!AK764</f>
        <v>56.88</v>
      </c>
    </row>
    <row r="764" spans="1:37" x14ac:dyDescent="0.3">
      <c r="A764" s="18">
        <f>'raw data Crude oil'!A765</f>
        <v>43812</v>
      </c>
      <c r="B764">
        <f>'raw data Crude oil'!B765</f>
        <v>65.22</v>
      </c>
      <c r="C764">
        <f>'raw data Crude oil'!C765</f>
        <v>64.25</v>
      </c>
      <c r="D764">
        <f>'raw data Crude oil'!D765</f>
        <v>63.51</v>
      </c>
      <c r="E764">
        <f>'raw data Crude oil'!E765</f>
        <v>62.98</v>
      </c>
      <c r="F764">
        <f>'raw data Crude oil'!F765</f>
        <v>62.48</v>
      </c>
      <c r="G764">
        <f>'raw data Crude oil'!G765</f>
        <v>61.97</v>
      </c>
      <c r="H764">
        <f>'raw data Crude oil'!H765</f>
        <v>61.53</v>
      </c>
      <c r="I764">
        <f>'raw data Crude oil'!I765</f>
        <v>61.19</v>
      </c>
      <c r="J764">
        <f>'raw data Crude oil'!J765</f>
        <v>60.86</v>
      </c>
      <c r="K764">
        <f>'raw data Crude oil'!K765</f>
        <v>60.57</v>
      </c>
      <c r="L764">
        <f>'raw data Crude oil'!L765</f>
        <v>60.28</v>
      </c>
      <c r="M764">
        <f>'raw data Crude oil'!M765</f>
        <v>60.03</v>
      </c>
      <c r="N764">
        <f>'raw data Crude oil'!N765</f>
        <v>60.07</v>
      </c>
      <c r="O764">
        <f>'raw data Crude oil'!O765</f>
        <v>59.98</v>
      </c>
      <c r="P764">
        <f>'raw data Crude oil'!P765</f>
        <v>59.67</v>
      </c>
      <c r="Q764">
        <f>'raw data Crude oil'!Q765</f>
        <v>59.26</v>
      </c>
      <c r="R764">
        <f>'raw data Crude oil'!R765</f>
        <v>58.8</v>
      </c>
      <c r="S764">
        <f>'raw data Crude oil'!S765</f>
        <v>58.33</v>
      </c>
      <c r="T764">
        <f>'raw data Crude oil'!T765</f>
        <v>57.83</v>
      </c>
      <c r="U764">
        <f>'raw data Crude oil'!U765</f>
        <v>57.35</v>
      </c>
      <c r="V764">
        <f>'raw data Crude oil'!V765</f>
        <v>56.91</v>
      </c>
      <c r="W764">
        <f>'raw data Crude oil'!W765</f>
        <v>56.51</v>
      </c>
      <c r="X764">
        <f>'raw data Crude oil'!X765</f>
        <v>56.13</v>
      </c>
      <c r="Y764">
        <f>'raw data Crude oil'!Y765</f>
        <v>55.8</v>
      </c>
      <c r="Z764">
        <f>'raw data Crude oil'!Z765</f>
        <v>64.167000000000002</v>
      </c>
      <c r="AA764">
        <f>'raw data Crude oil'!AA765</f>
        <v>63.720999999999997</v>
      </c>
      <c r="AB764">
        <f>'raw data Crude oil'!AB765</f>
        <v>62.524999999999999</v>
      </c>
      <c r="AC764">
        <f>'raw data Crude oil'!AC765</f>
        <v>61.646999999999998</v>
      </c>
      <c r="AD764">
        <f>'raw data Crude oil'!AD765</f>
        <v>60.86</v>
      </c>
      <c r="AE764">
        <f>'raw data Crude oil'!AE765</f>
        <v>60.158999999999999</v>
      </c>
      <c r="AF764">
        <f>'raw data Crude oil'!AF765</f>
        <v>59.494999999999997</v>
      </c>
      <c r="AG764">
        <f>'raw data Crude oil'!AG765</f>
        <v>59.015999999999998</v>
      </c>
      <c r="AH764">
        <f>'raw data Crude oil'!AH765</f>
        <v>58.582000000000001</v>
      </c>
      <c r="AI764">
        <f>'raw data Crude oil'!AI765</f>
        <v>58.177</v>
      </c>
      <c r="AJ764">
        <f>'raw data Crude oil'!AJ765</f>
        <v>57.808999999999997</v>
      </c>
      <c r="AK764">
        <f>'raw data Crude oil'!AK765</f>
        <v>57.488</v>
      </c>
    </row>
    <row r="765" spans="1:37" x14ac:dyDescent="0.3">
      <c r="A765" s="18">
        <f>'raw data Crude oil'!A766</f>
        <v>43815</v>
      </c>
      <c r="B765">
        <f>'raw data Crude oil'!B766</f>
        <v>65.34</v>
      </c>
      <c r="C765">
        <f>'raw data Crude oil'!C766</f>
        <v>64.41</v>
      </c>
      <c r="D765">
        <f>'raw data Crude oil'!D766</f>
        <v>63.71</v>
      </c>
      <c r="E765">
        <f>'raw data Crude oil'!E766</f>
        <v>63.19</v>
      </c>
      <c r="F765">
        <f>'raw data Crude oil'!F766</f>
        <v>62.7</v>
      </c>
      <c r="G765">
        <f>'raw data Crude oil'!G766</f>
        <v>62.19</v>
      </c>
      <c r="H765">
        <f>'raw data Crude oil'!H766</f>
        <v>61.76</v>
      </c>
      <c r="I765">
        <f>'raw data Crude oil'!I766</f>
        <v>61.43</v>
      </c>
      <c r="J765">
        <f>'raw data Crude oil'!J766</f>
        <v>61.1</v>
      </c>
      <c r="K765">
        <f>'raw data Crude oil'!K766</f>
        <v>60.8</v>
      </c>
      <c r="L765">
        <f>'raw data Crude oil'!L766</f>
        <v>60.5</v>
      </c>
      <c r="M765">
        <f>'raw data Crude oil'!M766</f>
        <v>60.25</v>
      </c>
      <c r="N765">
        <f>'raw data Crude oil'!N766</f>
        <v>60.21</v>
      </c>
      <c r="O765">
        <f>'raw data Crude oil'!O766</f>
        <v>60.14</v>
      </c>
      <c r="P765">
        <f>'raw data Crude oil'!P766</f>
        <v>59.85</v>
      </c>
      <c r="Q765">
        <f>'raw data Crude oil'!Q766</f>
        <v>59.46</v>
      </c>
      <c r="R765">
        <f>'raw data Crude oil'!R766</f>
        <v>59.02</v>
      </c>
      <c r="S765">
        <f>'raw data Crude oil'!S766</f>
        <v>58.56</v>
      </c>
      <c r="T765">
        <f>'raw data Crude oil'!T766</f>
        <v>58.08</v>
      </c>
      <c r="U765">
        <f>'raw data Crude oil'!U766</f>
        <v>57.6</v>
      </c>
      <c r="V765">
        <f>'raw data Crude oil'!V766</f>
        <v>57.15</v>
      </c>
      <c r="W765">
        <f>'raw data Crude oil'!W766</f>
        <v>56.74</v>
      </c>
      <c r="X765">
        <f>'raw data Crude oil'!X766</f>
        <v>56.37</v>
      </c>
      <c r="Y765">
        <f>'raw data Crude oil'!Y766</f>
        <v>56.02</v>
      </c>
      <c r="Z765">
        <f>'raw data Crude oil'!Z766</f>
        <v>64.296999999999997</v>
      </c>
      <c r="AA765">
        <f>'raw data Crude oil'!AA766</f>
        <v>63.948</v>
      </c>
      <c r="AB765">
        <f>'raw data Crude oil'!AB766</f>
        <v>62.744</v>
      </c>
      <c r="AC765">
        <f>'raw data Crude oil'!AC766</f>
        <v>61.887999999999998</v>
      </c>
      <c r="AD765">
        <f>'raw data Crude oil'!AD766</f>
        <v>61.066000000000003</v>
      </c>
      <c r="AE765">
        <f>'raw data Crude oil'!AE766</f>
        <v>60.41</v>
      </c>
      <c r="AF765">
        <f>'raw data Crude oil'!AF766</f>
        <v>59.795000000000002</v>
      </c>
      <c r="AG765">
        <f>'raw data Crude oil'!AG766</f>
        <v>59.316000000000003</v>
      </c>
      <c r="AH765">
        <f>'raw data Crude oil'!AH766</f>
        <v>58.860999999999997</v>
      </c>
      <c r="AI765">
        <f>'raw data Crude oil'!AI766</f>
        <v>58.445999999999998</v>
      </c>
      <c r="AJ765">
        <f>'raw data Crude oil'!AJ766</f>
        <v>58.069000000000003</v>
      </c>
      <c r="AK765">
        <f>'raw data Crude oil'!AK766</f>
        <v>57.749000000000002</v>
      </c>
    </row>
    <row r="766" spans="1:37" x14ac:dyDescent="0.3">
      <c r="A766" s="18">
        <f>'raw data Crude oil'!A767</f>
        <v>43816</v>
      </c>
      <c r="B766">
        <f>'raw data Crude oil'!B767</f>
        <v>66.099999999999994</v>
      </c>
      <c r="C766">
        <f>'raw data Crude oil'!C767</f>
        <v>65.150000000000006</v>
      </c>
      <c r="D766">
        <f>'raw data Crude oil'!D767</f>
        <v>64.41</v>
      </c>
      <c r="E766">
        <f>'raw data Crude oil'!E767</f>
        <v>63.86</v>
      </c>
      <c r="F766">
        <f>'raw data Crude oil'!F767</f>
        <v>63.33</v>
      </c>
      <c r="G766">
        <f>'raw data Crude oil'!G767</f>
        <v>62.77</v>
      </c>
      <c r="H766">
        <f>'raw data Crude oil'!H767</f>
        <v>62.29</v>
      </c>
      <c r="I766">
        <f>'raw data Crude oil'!I767</f>
        <v>61.91</v>
      </c>
      <c r="J766">
        <f>'raw data Crude oil'!J767</f>
        <v>61.53</v>
      </c>
      <c r="K766">
        <f>'raw data Crude oil'!K767</f>
        <v>61.19</v>
      </c>
      <c r="L766">
        <f>'raw data Crude oil'!L767</f>
        <v>60.87</v>
      </c>
      <c r="M766">
        <f>'raw data Crude oil'!M767</f>
        <v>60.57</v>
      </c>
      <c r="N766">
        <f>'raw data Crude oil'!N767</f>
        <v>60.94</v>
      </c>
      <c r="O766">
        <f>'raw data Crude oil'!O767</f>
        <v>60.87</v>
      </c>
      <c r="P766">
        <f>'raw data Crude oil'!P767</f>
        <v>60.53</v>
      </c>
      <c r="Q766">
        <f>'raw data Crude oil'!Q767</f>
        <v>60.09</v>
      </c>
      <c r="R766">
        <f>'raw data Crude oil'!R767</f>
        <v>59.6</v>
      </c>
      <c r="S766">
        <f>'raw data Crude oil'!S767</f>
        <v>59.09</v>
      </c>
      <c r="T766">
        <f>'raw data Crude oil'!T767</f>
        <v>58.56</v>
      </c>
      <c r="U766">
        <f>'raw data Crude oil'!U767</f>
        <v>58.02</v>
      </c>
      <c r="V766">
        <f>'raw data Crude oil'!V767</f>
        <v>57.53</v>
      </c>
      <c r="W766">
        <f>'raw data Crude oil'!W767</f>
        <v>57.08</v>
      </c>
      <c r="X766">
        <f>'raw data Crude oil'!X767</f>
        <v>56.68</v>
      </c>
      <c r="Y766">
        <f>'raw data Crude oil'!Y767</f>
        <v>56.3</v>
      </c>
      <c r="Z766">
        <f>'raw data Crude oil'!Z767</f>
        <v>64.543000000000006</v>
      </c>
      <c r="AA766">
        <f>'raw data Crude oil'!AA767</f>
        <v>64.465999999999994</v>
      </c>
      <c r="AB766">
        <f>'raw data Crude oil'!AB767</f>
        <v>63.347999999999999</v>
      </c>
      <c r="AC766">
        <f>'raw data Crude oil'!AC767</f>
        <v>62.500999999999998</v>
      </c>
      <c r="AD766">
        <f>'raw data Crude oil'!AD767</f>
        <v>61.692999999999998</v>
      </c>
      <c r="AE766">
        <f>'raw data Crude oil'!AE767</f>
        <v>60.987000000000002</v>
      </c>
      <c r="AF766">
        <f>'raw data Crude oil'!AF767</f>
        <v>60.308999999999997</v>
      </c>
      <c r="AG766">
        <f>'raw data Crude oil'!AG767</f>
        <v>59.783000000000001</v>
      </c>
      <c r="AH766">
        <f>'raw data Crude oil'!AH767</f>
        <v>59.277999999999999</v>
      </c>
      <c r="AI766">
        <f>'raw data Crude oil'!AI767</f>
        <v>58.825000000000003</v>
      </c>
      <c r="AJ766">
        <f>'raw data Crude oil'!AJ767</f>
        <v>58.405999999999999</v>
      </c>
      <c r="AK766">
        <f>'raw data Crude oil'!AK767</f>
        <v>58.017000000000003</v>
      </c>
    </row>
    <row r="767" spans="1:37" x14ac:dyDescent="0.3">
      <c r="A767" s="18">
        <f>'raw data Crude oil'!A768</f>
        <v>43817</v>
      </c>
      <c r="B767">
        <f>'raw data Crude oil'!B768</f>
        <v>66.17</v>
      </c>
      <c r="C767">
        <f>'raw data Crude oil'!C768</f>
        <v>65.23</v>
      </c>
      <c r="D767">
        <f>'raw data Crude oil'!D768</f>
        <v>64.489999999999995</v>
      </c>
      <c r="E767">
        <f>'raw data Crude oil'!E768</f>
        <v>63.93</v>
      </c>
      <c r="F767">
        <f>'raw data Crude oil'!F768</f>
        <v>63.4</v>
      </c>
      <c r="G767">
        <f>'raw data Crude oil'!G768</f>
        <v>62.82</v>
      </c>
      <c r="H767">
        <f>'raw data Crude oil'!H768</f>
        <v>62.33</v>
      </c>
      <c r="I767">
        <f>'raw data Crude oil'!I768</f>
        <v>61.93</v>
      </c>
      <c r="J767">
        <f>'raw data Crude oil'!J768</f>
        <v>61.54</v>
      </c>
      <c r="K767">
        <f>'raw data Crude oil'!K768</f>
        <v>61.19</v>
      </c>
      <c r="L767">
        <f>'raw data Crude oil'!L768</f>
        <v>60.85</v>
      </c>
      <c r="M767">
        <f>'raw data Crude oil'!M768</f>
        <v>60.54</v>
      </c>
      <c r="N767">
        <f>'raw data Crude oil'!N768</f>
        <v>60.93</v>
      </c>
      <c r="O767">
        <f>'raw data Crude oil'!O768</f>
        <v>60.85</v>
      </c>
      <c r="P767">
        <f>'raw data Crude oil'!P768</f>
        <v>60.56</v>
      </c>
      <c r="Q767">
        <f>'raw data Crude oil'!Q768</f>
        <v>60.15</v>
      </c>
      <c r="R767">
        <f>'raw data Crude oil'!R768</f>
        <v>59.69</v>
      </c>
      <c r="S767">
        <f>'raw data Crude oil'!S768</f>
        <v>59.18</v>
      </c>
      <c r="T767">
        <f>'raw data Crude oil'!T768</f>
        <v>58.63</v>
      </c>
      <c r="U767">
        <f>'raw data Crude oil'!U768</f>
        <v>58.08</v>
      </c>
      <c r="V767">
        <f>'raw data Crude oil'!V768</f>
        <v>57.56</v>
      </c>
      <c r="W767">
        <f>'raw data Crude oil'!W768</f>
        <v>57.1</v>
      </c>
      <c r="X767">
        <f>'raw data Crude oil'!X768</f>
        <v>56.69</v>
      </c>
      <c r="Y767">
        <f>'raw data Crude oil'!Y768</f>
        <v>56.3</v>
      </c>
      <c r="Z767">
        <f>'raw data Crude oil'!Z768</f>
        <v>64.539000000000001</v>
      </c>
      <c r="AA767">
        <f>'raw data Crude oil'!AA768</f>
        <v>64.486000000000004</v>
      </c>
      <c r="AB767">
        <f>'raw data Crude oil'!AB768</f>
        <v>63.372</v>
      </c>
      <c r="AC767">
        <f>'raw data Crude oil'!AC768</f>
        <v>62.526000000000003</v>
      </c>
      <c r="AD767">
        <f>'raw data Crude oil'!AD768</f>
        <v>61.722000000000001</v>
      </c>
      <c r="AE767">
        <f>'raw data Crude oil'!AE768</f>
        <v>61.027000000000001</v>
      </c>
      <c r="AF767">
        <f>'raw data Crude oil'!AF768</f>
        <v>60.381999999999998</v>
      </c>
      <c r="AG767">
        <f>'raw data Crude oil'!AG768</f>
        <v>59.872999999999998</v>
      </c>
      <c r="AH767">
        <f>'raw data Crude oil'!AH768</f>
        <v>59.366999999999997</v>
      </c>
      <c r="AI767">
        <f>'raw data Crude oil'!AI768</f>
        <v>58.865000000000002</v>
      </c>
      <c r="AJ767">
        <f>'raw data Crude oil'!AJ768</f>
        <v>58.366</v>
      </c>
      <c r="AK767">
        <f>'raw data Crude oil'!AK768</f>
        <v>57.975999999999999</v>
      </c>
    </row>
    <row r="768" spans="1:37" x14ac:dyDescent="0.3">
      <c r="A768" s="18">
        <f>'raw data Crude oil'!A769</f>
        <v>43818</v>
      </c>
      <c r="B768">
        <f>'raw data Crude oil'!B769</f>
        <v>66.540000000000006</v>
      </c>
      <c r="C768">
        <f>'raw data Crude oil'!C769</f>
        <v>65.59</v>
      </c>
      <c r="D768">
        <f>'raw data Crude oil'!D769</f>
        <v>64.84</v>
      </c>
      <c r="E768">
        <f>'raw data Crude oil'!E769</f>
        <v>64.25</v>
      </c>
      <c r="F768">
        <f>'raw data Crude oil'!F769</f>
        <v>63.68</v>
      </c>
      <c r="G768">
        <f>'raw data Crude oil'!G769</f>
        <v>63.07</v>
      </c>
      <c r="H768">
        <f>'raw data Crude oil'!H769</f>
        <v>62.54</v>
      </c>
      <c r="I768">
        <f>'raw data Crude oil'!I769</f>
        <v>62.12</v>
      </c>
      <c r="J768">
        <f>'raw data Crude oil'!J769</f>
        <v>61.69</v>
      </c>
      <c r="K768">
        <f>'raw data Crude oil'!K769</f>
        <v>61.3</v>
      </c>
      <c r="L768">
        <f>'raw data Crude oil'!L769</f>
        <v>60.93</v>
      </c>
      <c r="M768">
        <f>'raw data Crude oil'!M769</f>
        <v>60.59</v>
      </c>
      <c r="N768">
        <f>'raw data Crude oil'!N769</f>
        <v>61.22</v>
      </c>
      <c r="O768">
        <f>'raw data Crude oil'!O769</f>
        <v>61.18</v>
      </c>
      <c r="P768">
        <f>'raw data Crude oil'!P769</f>
        <v>60.88</v>
      </c>
      <c r="Q768">
        <f>'raw data Crude oil'!Q769</f>
        <v>60.46</v>
      </c>
      <c r="R768">
        <f>'raw data Crude oil'!R769</f>
        <v>59.97</v>
      </c>
      <c r="S768">
        <f>'raw data Crude oil'!S769</f>
        <v>59.43</v>
      </c>
      <c r="T768">
        <f>'raw data Crude oil'!T769</f>
        <v>58.85</v>
      </c>
      <c r="U768">
        <f>'raw data Crude oil'!U769</f>
        <v>58.27</v>
      </c>
      <c r="V768">
        <f>'raw data Crude oil'!V769</f>
        <v>57.73</v>
      </c>
      <c r="W768">
        <f>'raw data Crude oil'!W769</f>
        <v>57.24</v>
      </c>
      <c r="X768">
        <f>'raw data Crude oil'!X769</f>
        <v>56.8</v>
      </c>
      <c r="Y768">
        <f>'raw data Crude oil'!Y769</f>
        <v>56.39</v>
      </c>
      <c r="Z768">
        <f>'raw data Crude oil'!Z769</f>
        <v>64.766999999999996</v>
      </c>
      <c r="AA768">
        <f>'raw data Crude oil'!AA769</f>
        <v>65.055999999999997</v>
      </c>
      <c r="AB768">
        <f>'raw data Crude oil'!AB769</f>
        <v>63.920999999999999</v>
      </c>
      <c r="AC768">
        <f>'raw data Crude oil'!AC769</f>
        <v>63.043999999999997</v>
      </c>
      <c r="AD768">
        <f>'raw data Crude oil'!AD769</f>
        <v>62.220999999999997</v>
      </c>
      <c r="AE768">
        <f>'raw data Crude oil'!AE769</f>
        <v>61.515000000000001</v>
      </c>
      <c r="AF768">
        <f>'raw data Crude oil'!AF769</f>
        <v>60.820999999999998</v>
      </c>
      <c r="AG768">
        <f>'raw data Crude oil'!AG769</f>
        <v>60.231000000000002</v>
      </c>
      <c r="AH768">
        <f>'raw data Crude oil'!AH769</f>
        <v>59.692999999999998</v>
      </c>
      <c r="AI768">
        <f>'raw data Crude oil'!AI769</f>
        <v>59.183</v>
      </c>
      <c r="AJ768">
        <f>'raw data Crude oil'!AJ769</f>
        <v>58.685000000000002</v>
      </c>
      <c r="AK768">
        <f>'raw data Crude oil'!AK769</f>
        <v>58.255000000000003</v>
      </c>
    </row>
    <row r="769" spans="1:37" x14ac:dyDescent="0.3">
      <c r="A769" s="18">
        <f>'raw data Crude oil'!A770</f>
        <v>43819</v>
      </c>
      <c r="B769">
        <f>'raw data Crude oil'!B770</f>
        <v>66.14</v>
      </c>
      <c r="C769">
        <f>'raw data Crude oil'!C770</f>
        <v>65.2</v>
      </c>
      <c r="D769">
        <f>'raw data Crude oil'!D770</f>
        <v>64.510000000000005</v>
      </c>
      <c r="E769">
        <f>'raw data Crude oil'!E770</f>
        <v>63.96</v>
      </c>
      <c r="F769">
        <f>'raw data Crude oil'!F770</f>
        <v>63.42</v>
      </c>
      <c r="G769">
        <f>'raw data Crude oil'!G770</f>
        <v>62.84</v>
      </c>
      <c r="H769">
        <f>'raw data Crude oil'!H770</f>
        <v>62.34</v>
      </c>
      <c r="I769">
        <f>'raw data Crude oil'!I770</f>
        <v>61.94</v>
      </c>
      <c r="J769">
        <f>'raw data Crude oil'!J770</f>
        <v>61.53</v>
      </c>
      <c r="K769">
        <f>'raw data Crude oil'!K770</f>
        <v>61.17</v>
      </c>
      <c r="L769">
        <f>'raw data Crude oil'!L770</f>
        <v>60.81</v>
      </c>
      <c r="M769">
        <f>'raw data Crude oil'!M770</f>
        <v>60.49</v>
      </c>
      <c r="N769">
        <f>'raw data Crude oil'!N770</f>
        <v>60.44</v>
      </c>
      <c r="O769">
        <f>'raw data Crude oil'!O770</f>
        <v>60.25</v>
      </c>
      <c r="P769">
        <f>'raw data Crude oil'!P770</f>
        <v>59.95</v>
      </c>
      <c r="Q769">
        <f>'raw data Crude oil'!Q770</f>
        <v>59.55</v>
      </c>
      <c r="R769">
        <f>'raw data Crude oil'!R770</f>
        <v>59.07</v>
      </c>
      <c r="S769">
        <f>'raw data Crude oil'!S770</f>
        <v>58.54</v>
      </c>
      <c r="T769">
        <f>'raw data Crude oil'!T770</f>
        <v>58</v>
      </c>
      <c r="U769">
        <f>'raw data Crude oil'!U770</f>
        <v>57.49</v>
      </c>
      <c r="V769">
        <f>'raw data Crude oil'!V770</f>
        <v>57.03</v>
      </c>
      <c r="W769">
        <f>'raw data Crude oil'!W770</f>
        <v>56.61</v>
      </c>
      <c r="X769">
        <f>'raw data Crude oil'!X770</f>
        <v>56.23</v>
      </c>
      <c r="Y769">
        <f>'raw data Crude oil'!Y770</f>
        <v>55.83</v>
      </c>
      <c r="Z769">
        <f>'raw data Crude oil'!Z770</f>
        <v>64.677999999999997</v>
      </c>
      <c r="AA769">
        <f>'raw data Crude oil'!AA770</f>
        <v>64.698999999999998</v>
      </c>
      <c r="AB769">
        <f>'raw data Crude oil'!AB770</f>
        <v>63.633000000000003</v>
      </c>
      <c r="AC769">
        <f>'raw data Crude oil'!AC770</f>
        <v>62.784999999999997</v>
      </c>
      <c r="AD769">
        <f>'raw data Crude oil'!AD770</f>
        <v>61.951999999999998</v>
      </c>
      <c r="AE769">
        <f>'raw data Crude oil'!AE770</f>
        <v>61.276000000000003</v>
      </c>
      <c r="AF769">
        <f>'raw data Crude oil'!AF770</f>
        <v>60.642000000000003</v>
      </c>
      <c r="AG769">
        <f>'raw data Crude oil'!AG770</f>
        <v>60.052</v>
      </c>
      <c r="AH769">
        <f>'raw data Crude oil'!AH770</f>
        <v>59.496000000000002</v>
      </c>
      <c r="AI769">
        <f>'raw data Crude oil'!AI770</f>
        <v>59.033999999999999</v>
      </c>
      <c r="AJ769">
        <f>'raw data Crude oil'!AJ770</f>
        <v>58.585000000000001</v>
      </c>
      <c r="AK769">
        <f>'raw data Crude oil'!AK770</f>
        <v>58.155000000000001</v>
      </c>
    </row>
    <row r="770" spans="1:37" x14ac:dyDescent="0.3">
      <c r="A770" s="18">
        <f>'raw data Crude oil'!A771</f>
        <v>43822</v>
      </c>
      <c r="B770">
        <f>'raw data Crude oil'!B771</f>
        <v>66.39</v>
      </c>
      <c r="C770">
        <f>'raw data Crude oil'!C771</f>
        <v>65.42</v>
      </c>
      <c r="D770">
        <f>'raw data Crude oil'!D771</f>
        <v>64.73</v>
      </c>
      <c r="E770">
        <f>'raw data Crude oil'!E771</f>
        <v>64.16</v>
      </c>
      <c r="F770">
        <f>'raw data Crude oil'!F771</f>
        <v>63.61</v>
      </c>
      <c r="G770">
        <f>'raw data Crude oil'!G771</f>
        <v>63.03</v>
      </c>
      <c r="H770">
        <f>'raw data Crude oil'!H771</f>
        <v>62.54</v>
      </c>
      <c r="I770">
        <f>'raw data Crude oil'!I771</f>
        <v>62.14</v>
      </c>
      <c r="J770">
        <f>'raw data Crude oil'!J771</f>
        <v>61.72</v>
      </c>
      <c r="K770">
        <f>'raw data Crude oil'!K771</f>
        <v>61.35</v>
      </c>
      <c r="L770">
        <f>'raw data Crude oil'!L771</f>
        <v>60.99</v>
      </c>
      <c r="M770">
        <f>'raw data Crude oil'!M771</f>
        <v>60.66</v>
      </c>
      <c r="N770">
        <f>'raw data Crude oil'!N771</f>
        <v>60.52</v>
      </c>
      <c r="O770">
        <f>'raw data Crude oil'!O771</f>
        <v>60.35</v>
      </c>
      <c r="P770">
        <f>'raw data Crude oil'!P771</f>
        <v>60.07</v>
      </c>
      <c r="Q770">
        <f>'raw data Crude oil'!Q771</f>
        <v>59.68</v>
      </c>
      <c r="R770">
        <f>'raw data Crude oil'!R771</f>
        <v>59.2</v>
      </c>
      <c r="S770">
        <f>'raw data Crude oil'!S771</f>
        <v>58.67</v>
      </c>
      <c r="T770">
        <f>'raw data Crude oil'!T771</f>
        <v>58.14</v>
      </c>
      <c r="U770">
        <f>'raw data Crude oil'!U771</f>
        <v>57.63</v>
      </c>
      <c r="V770">
        <f>'raw data Crude oil'!V771</f>
        <v>57.18</v>
      </c>
      <c r="W770">
        <f>'raw data Crude oil'!W771</f>
        <v>56.77</v>
      </c>
      <c r="X770">
        <f>'raw data Crude oil'!X771</f>
        <v>56.39</v>
      </c>
      <c r="Y770">
        <f>'raw data Crude oil'!Y771</f>
        <v>55.99</v>
      </c>
      <c r="Z770">
        <f>'raw data Crude oil'!Z771</f>
        <v>64.707999999999998</v>
      </c>
      <c r="AA770">
        <f>'raw data Crude oil'!AA771</f>
        <v>64.948999999999998</v>
      </c>
      <c r="AB770">
        <f>'raw data Crude oil'!AB771</f>
        <v>63.942</v>
      </c>
      <c r="AC770">
        <f>'raw data Crude oil'!AC771</f>
        <v>63.104999999999997</v>
      </c>
      <c r="AD770">
        <f>'raw data Crude oil'!AD771</f>
        <v>62.262</v>
      </c>
      <c r="AE770">
        <f>'raw data Crude oil'!AE771</f>
        <v>61.587000000000003</v>
      </c>
      <c r="AF770">
        <f>'raw data Crude oil'!AF771</f>
        <v>60.942</v>
      </c>
      <c r="AG770">
        <f>'raw data Crude oil'!AG771</f>
        <v>60.322000000000003</v>
      </c>
      <c r="AH770">
        <f>'raw data Crude oil'!AH771</f>
        <v>59.734999999999999</v>
      </c>
      <c r="AI770">
        <f>'raw data Crude oil'!AI771</f>
        <v>59.253999999999998</v>
      </c>
      <c r="AJ770">
        <f>'raw data Crude oil'!AJ771</f>
        <v>58.784999999999997</v>
      </c>
      <c r="AK770">
        <f>'raw data Crude oil'!AK771</f>
        <v>58.365000000000002</v>
      </c>
    </row>
    <row r="771" spans="1:37" x14ac:dyDescent="0.3">
      <c r="A771" s="18">
        <f>'raw data Crude oil'!A772</f>
        <v>43823</v>
      </c>
      <c r="B771">
        <f>'raw data Crude oil'!B772</f>
        <v>67.2</v>
      </c>
      <c r="C771">
        <f>'raw data Crude oil'!C772</f>
        <v>66.16</v>
      </c>
      <c r="D771">
        <f>'raw data Crude oil'!D772</f>
        <v>65.459999999999994</v>
      </c>
      <c r="E771">
        <f>'raw data Crude oil'!E772</f>
        <v>64.88</v>
      </c>
      <c r="F771">
        <f>'raw data Crude oil'!F772</f>
        <v>64.31</v>
      </c>
      <c r="G771">
        <f>'raw data Crude oil'!G772</f>
        <v>63.72</v>
      </c>
      <c r="H771">
        <f>'raw data Crude oil'!H772</f>
        <v>63.21</v>
      </c>
      <c r="I771">
        <f>'raw data Crude oil'!I772</f>
        <v>62.78</v>
      </c>
      <c r="J771">
        <f>'raw data Crude oil'!J772</f>
        <v>62.34</v>
      </c>
      <c r="K771">
        <f>'raw data Crude oil'!K772</f>
        <v>61.95</v>
      </c>
      <c r="L771">
        <f>'raw data Crude oil'!L772</f>
        <v>61.56</v>
      </c>
      <c r="M771">
        <f>'raw data Crude oil'!M772</f>
        <v>61.22</v>
      </c>
      <c r="N771">
        <f>'raw data Crude oil'!N772</f>
        <v>61.11</v>
      </c>
      <c r="O771">
        <f>'raw data Crude oil'!O772</f>
        <v>60.94</v>
      </c>
      <c r="P771">
        <f>'raw data Crude oil'!P772</f>
        <v>60.65</v>
      </c>
      <c r="Q771">
        <f>'raw data Crude oil'!Q772</f>
        <v>60.26</v>
      </c>
      <c r="R771">
        <f>'raw data Crude oil'!R772</f>
        <v>59.78</v>
      </c>
      <c r="S771">
        <f>'raw data Crude oil'!S772</f>
        <v>59.24</v>
      </c>
      <c r="T771">
        <f>'raw data Crude oil'!T772</f>
        <v>58.68</v>
      </c>
      <c r="U771">
        <f>'raw data Crude oil'!U772</f>
        <v>58.16</v>
      </c>
      <c r="V771">
        <f>'raw data Crude oil'!V772</f>
        <v>57.68</v>
      </c>
      <c r="W771">
        <f>'raw data Crude oil'!W772</f>
        <v>57.25</v>
      </c>
      <c r="X771">
        <f>'raw data Crude oil'!X772</f>
        <v>56.85</v>
      </c>
      <c r="Y771">
        <f>'raw data Crude oil'!Y772</f>
        <v>56.44</v>
      </c>
      <c r="Z771">
        <f>'raw data Crude oil'!Z772</f>
        <v>64.846000000000004</v>
      </c>
      <c r="AA771">
        <f>'raw data Crude oil'!AA772</f>
        <v>65.707999999999998</v>
      </c>
      <c r="AB771">
        <f>'raw data Crude oil'!AB772</f>
        <v>64.710999999999999</v>
      </c>
      <c r="AC771">
        <f>'raw data Crude oil'!AC772</f>
        <v>63.834000000000003</v>
      </c>
      <c r="AD771">
        <f>'raw data Crude oil'!AD772</f>
        <v>62.991999999999997</v>
      </c>
      <c r="AE771">
        <f>'raw data Crude oil'!AE772</f>
        <v>62.256</v>
      </c>
      <c r="AF771">
        <f>'raw data Crude oil'!AF772</f>
        <v>61.61</v>
      </c>
      <c r="AG771">
        <f>'raw data Crude oil'!AG772</f>
        <v>60.991</v>
      </c>
      <c r="AH771">
        <f>'raw data Crude oil'!AH772</f>
        <v>60.423000000000002</v>
      </c>
      <c r="AI771">
        <f>'raw data Crude oil'!AI772</f>
        <v>59.911999999999999</v>
      </c>
      <c r="AJ771">
        <f>'raw data Crude oil'!AJ772</f>
        <v>59.445</v>
      </c>
      <c r="AK771">
        <f>'raw data Crude oil'!AK772</f>
        <v>59.003999999999998</v>
      </c>
    </row>
    <row r="772" spans="1:37" x14ac:dyDescent="0.3">
      <c r="A772" s="18">
        <f>'raw data Crude oil'!A773</f>
        <v>43825</v>
      </c>
      <c r="B772">
        <f>'raw data Crude oil'!B773</f>
        <v>67.92</v>
      </c>
      <c r="C772">
        <f>'raw data Crude oil'!C773</f>
        <v>66.760000000000005</v>
      </c>
      <c r="D772">
        <f>'raw data Crude oil'!D773</f>
        <v>66.05</v>
      </c>
      <c r="E772">
        <f>'raw data Crude oil'!E773</f>
        <v>65.45</v>
      </c>
      <c r="F772">
        <f>'raw data Crude oil'!F773</f>
        <v>64.86</v>
      </c>
      <c r="G772">
        <f>'raw data Crude oil'!G773</f>
        <v>64.25</v>
      </c>
      <c r="H772">
        <f>'raw data Crude oil'!H773</f>
        <v>63.71</v>
      </c>
      <c r="I772">
        <f>'raw data Crude oil'!I773</f>
        <v>63.26</v>
      </c>
      <c r="J772">
        <f>'raw data Crude oil'!J773</f>
        <v>62.8</v>
      </c>
      <c r="K772">
        <f>'raw data Crude oil'!K773</f>
        <v>62.37</v>
      </c>
      <c r="L772">
        <f>'raw data Crude oil'!L773</f>
        <v>61.94</v>
      </c>
      <c r="M772">
        <f>'raw data Crude oil'!M773</f>
        <v>61.57</v>
      </c>
      <c r="N772">
        <f>'raw data Crude oil'!N773</f>
        <v>61.68</v>
      </c>
      <c r="O772">
        <f>'raw data Crude oil'!O773</f>
        <v>61.48</v>
      </c>
      <c r="P772">
        <f>'raw data Crude oil'!P773</f>
        <v>61.16</v>
      </c>
      <c r="Q772">
        <f>'raw data Crude oil'!Q773</f>
        <v>60.73</v>
      </c>
      <c r="R772">
        <f>'raw data Crude oil'!R773</f>
        <v>60.21</v>
      </c>
      <c r="S772">
        <f>'raw data Crude oil'!S773</f>
        <v>59.63</v>
      </c>
      <c r="T772">
        <f>'raw data Crude oil'!T773</f>
        <v>59.05</v>
      </c>
      <c r="U772">
        <f>'raw data Crude oil'!U773</f>
        <v>58.48</v>
      </c>
      <c r="V772">
        <f>'raw data Crude oil'!V773</f>
        <v>57.97</v>
      </c>
      <c r="W772">
        <f>'raw data Crude oil'!W773</f>
        <v>57.52</v>
      </c>
      <c r="X772">
        <f>'raw data Crude oil'!X773</f>
        <v>57.09</v>
      </c>
      <c r="Y772">
        <f>'raw data Crude oil'!Y773</f>
        <v>56.66</v>
      </c>
      <c r="Z772">
        <f>'raw data Crude oil'!Z773</f>
        <v>64.921999999999997</v>
      </c>
      <c r="AA772">
        <f>'raw data Crude oil'!AA773</f>
        <v>66.218000000000004</v>
      </c>
      <c r="AB772">
        <f>'raw data Crude oil'!AB773</f>
        <v>65.27</v>
      </c>
      <c r="AC772">
        <f>'raw data Crude oil'!AC773</f>
        <v>64.433000000000007</v>
      </c>
      <c r="AD772">
        <f>'raw data Crude oil'!AD773</f>
        <v>63.591000000000001</v>
      </c>
      <c r="AE772">
        <f>'raw data Crude oil'!AE773</f>
        <v>62.823999999999998</v>
      </c>
      <c r="AF772">
        <f>'raw data Crude oil'!AF773</f>
        <v>62.11</v>
      </c>
      <c r="AG772">
        <f>'raw data Crude oil'!AG773</f>
        <v>61.47</v>
      </c>
      <c r="AH772">
        <f>'raw data Crude oil'!AH773</f>
        <v>60.878999999999998</v>
      </c>
      <c r="AI772">
        <f>'raw data Crude oil'!AI773</f>
        <v>60.33</v>
      </c>
      <c r="AJ772">
        <f>'raw data Crude oil'!AJ773</f>
        <v>59.823</v>
      </c>
      <c r="AK772">
        <f>'raw data Crude oil'!AK773</f>
        <v>59.353000000000002</v>
      </c>
    </row>
    <row r="773" spans="1:37" x14ac:dyDescent="0.3">
      <c r="A773" s="18">
        <f>'raw data Crude oil'!A774</f>
        <v>43826</v>
      </c>
      <c r="B773">
        <f>'raw data Crude oil'!B774</f>
        <v>68.16</v>
      </c>
      <c r="C773">
        <f>'raw data Crude oil'!C774</f>
        <v>66.87</v>
      </c>
      <c r="D773">
        <f>'raw data Crude oil'!D774</f>
        <v>66.14</v>
      </c>
      <c r="E773">
        <f>'raw data Crude oil'!E774</f>
        <v>65.52</v>
      </c>
      <c r="F773">
        <f>'raw data Crude oil'!F774</f>
        <v>64.930000000000007</v>
      </c>
      <c r="G773">
        <f>'raw data Crude oil'!G774</f>
        <v>64.319999999999993</v>
      </c>
      <c r="H773">
        <f>'raw data Crude oil'!H774</f>
        <v>63.78</v>
      </c>
      <c r="I773">
        <f>'raw data Crude oil'!I774</f>
        <v>63.34</v>
      </c>
      <c r="J773">
        <f>'raw data Crude oil'!J774</f>
        <v>62.88</v>
      </c>
      <c r="K773">
        <f>'raw data Crude oil'!K774</f>
        <v>62.47</v>
      </c>
      <c r="L773">
        <f>'raw data Crude oil'!L774</f>
        <v>62.06</v>
      </c>
      <c r="M773">
        <f>'raw data Crude oil'!M774</f>
        <v>61.69</v>
      </c>
      <c r="N773">
        <f>'raw data Crude oil'!N774</f>
        <v>61.72</v>
      </c>
      <c r="O773">
        <f>'raw data Crude oil'!O774</f>
        <v>61.53</v>
      </c>
      <c r="P773">
        <f>'raw data Crude oil'!P774</f>
        <v>61.21</v>
      </c>
      <c r="Q773">
        <f>'raw data Crude oil'!Q774</f>
        <v>60.79</v>
      </c>
      <c r="R773">
        <f>'raw data Crude oil'!R774</f>
        <v>60.28</v>
      </c>
      <c r="S773">
        <f>'raw data Crude oil'!S774</f>
        <v>59.7</v>
      </c>
      <c r="T773">
        <f>'raw data Crude oil'!T774</f>
        <v>59.13</v>
      </c>
      <c r="U773">
        <f>'raw data Crude oil'!U774</f>
        <v>58.58</v>
      </c>
      <c r="V773">
        <f>'raw data Crude oil'!V774</f>
        <v>58.08</v>
      </c>
      <c r="W773">
        <f>'raw data Crude oil'!W774</f>
        <v>57.63</v>
      </c>
      <c r="X773">
        <f>'raw data Crude oil'!X774</f>
        <v>57.21</v>
      </c>
      <c r="Y773">
        <f>'raw data Crude oil'!Y774</f>
        <v>56.78</v>
      </c>
      <c r="Z773">
        <f>'raw data Crude oil'!Z774</f>
        <v>64.914000000000001</v>
      </c>
      <c r="AA773">
        <f>'raw data Crude oil'!AA774</f>
        <v>66.126999999999995</v>
      </c>
      <c r="AB773">
        <f>'raw data Crude oil'!AB774</f>
        <v>65.228999999999999</v>
      </c>
      <c r="AC773">
        <f>'raw data Crude oil'!AC774</f>
        <v>64.403000000000006</v>
      </c>
      <c r="AD773">
        <f>'raw data Crude oil'!AD774</f>
        <v>63.610999999999997</v>
      </c>
      <c r="AE773">
        <f>'raw data Crude oil'!AE774</f>
        <v>62.884</v>
      </c>
      <c r="AF773">
        <f>'raw data Crude oil'!AF774</f>
        <v>62.21</v>
      </c>
      <c r="AG773">
        <f>'raw data Crude oil'!AG774</f>
        <v>61.58</v>
      </c>
      <c r="AH773">
        <f>'raw data Crude oil'!AH774</f>
        <v>61.011000000000003</v>
      </c>
      <c r="AI773">
        <f>'raw data Crude oil'!AI774</f>
        <v>60.470999999999997</v>
      </c>
      <c r="AJ773">
        <f>'raw data Crude oil'!AJ774</f>
        <v>60.003</v>
      </c>
      <c r="AK773">
        <f>'raw data Crude oil'!AK774</f>
        <v>59.563000000000002</v>
      </c>
    </row>
    <row r="774" spans="1:37" x14ac:dyDescent="0.3">
      <c r="A774" s="18">
        <f>'raw data Crude oil'!A775</f>
        <v>43829</v>
      </c>
      <c r="B774">
        <f>'raw data Crude oil'!B775</f>
        <v>68.44</v>
      </c>
      <c r="C774">
        <f>'raw data Crude oil'!C775</f>
        <v>66.67</v>
      </c>
      <c r="D774">
        <f>'raw data Crude oil'!D775</f>
        <v>65.989999999999995</v>
      </c>
      <c r="E774">
        <f>'raw data Crude oil'!E775</f>
        <v>65.38</v>
      </c>
      <c r="F774">
        <f>'raw data Crude oil'!F775</f>
        <v>64.78</v>
      </c>
      <c r="G774">
        <f>'raw data Crude oil'!G775</f>
        <v>64.17</v>
      </c>
      <c r="H774">
        <f>'raw data Crude oil'!H775</f>
        <v>63.63</v>
      </c>
      <c r="I774">
        <f>'raw data Crude oil'!I775</f>
        <v>63.18</v>
      </c>
      <c r="J774">
        <f>'raw data Crude oil'!J775</f>
        <v>62.72</v>
      </c>
      <c r="K774">
        <f>'raw data Crude oil'!K775</f>
        <v>62.3</v>
      </c>
      <c r="L774">
        <f>'raw data Crude oil'!L775</f>
        <v>61.89</v>
      </c>
      <c r="M774">
        <f>'raw data Crude oil'!M775</f>
        <v>61.53</v>
      </c>
      <c r="N774">
        <f>'raw data Crude oil'!N775</f>
        <v>61.68</v>
      </c>
      <c r="O774">
        <f>'raw data Crude oil'!O775</f>
        <v>61.44</v>
      </c>
      <c r="P774">
        <f>'raw data Crude oil'!P775</f>
        <v>61.1</v>
      </c>
      <c r="Q774">
        <f>'raw data Crude oil'!Q775</f>
        <v>60.66</v>
      </c>
      <c r="R774">
        <f>'raw data Crude oil'!R775</f>
        <v>60.14</v>
      </c>
      <c r="S774">
        <f>'raw data Crude oil'!S775</f>
        <v>59.57</v>
      </c>
      <c r="T774">
        <f>'raw data Crude oil'!T775</f>
        <v>58.98</v>
      </c>
      <c r="U774">
        <f>'raw data Crude oil'!U775</f>
        <v>58.44</v>
      </c>
      <c r="V774">
        <f>'raw data Crude oil'!V775</f>
        <v>57.94</v>
      </c>
      <c r="W774">
        <f>'raw data Crude oil'!W775</f>
        <v>57.48</v>
      </c>
      <c r="X774">
        <f>'raw data Crude oil'!X775</f>
        <v>57.05</v>
      </c>
      <c r="Y774">
        <f>'raw data Crude oil'!Y775</f>
        <v>56.62</v>
      </c>
      <c r="Z774">
        <f>'raw data Crude oil'!Z775</f>
        <v>64.897000000000006</v>
      </c>
      <c r="AA774">
        <f>'raw data Crude oil'!AA775</f>
        <v>65.799000000000007</v>
      </c>
      <c r="AB774">
        <f>'raw data Crude oil'!AB775</f>
        <v>64.918000000000006</v>
      </c>
      <c r="AC774">
        <f>'raw data Crude oil'!AC775</f>
        <v>64.105999999999995</v>
      </c>
      <c r="AD774">
        <f>'raw data Crude oil'!AD775</f>
        <v>63.304000000000002</v>
      </c>
      <c r="AE774">
        <f>'raw data Crude oil'!AE775</f>
        <v>62.584000000000003</v>
      </c>
      <c r="AF774">
        <f>'raw data Crude oil'!AF775</f>
        <v>61.96</v>
      </c>
      <c r="AG774">
        <f>'raw data Crude oil'!AG775</f>
        <v>61.36</v>
      </c>
      <c r="AH774">
        <f>'raw data Crude oil'!AH775</f>
        <v>60.79</v>
      </c>
      <c r="AI774">
        <f>'raw data Crude oil'!AI775</f>
        <v>60.250999999999998</v>
      </c>
      <c r="AJ774">
        <f>'raw data Crude oil'!AJ775</f>
        <v>59.793999999999997</v>
      </c>
      <c r="AK774">
        <f>'raw data Crude oil'!AK775</f>
        <v>59.384</v>
      </c>
    </row>
    <row r="775" spans="1:37" x14ac:dyDescent="0.3">
      <c r="A775" s="18">
        <f>'raw data Crude oil'!A776</f>
        <v>43830</v>
      </c>
      <c r="B775">
        <f>'raw data Crude oil'!B776</f>
        <v>66</v>
      </c>
      <c r="C775">
        <f>'raw data Crude oil'!C776</f>
        <v>65.290000000000006</v>
      </c>
      <c r="D775">
        <f>'raw data Crude oil'!D776</f>
        <v>64.680000000000007</v>
      </c>
      <c r="E775">
        <f>'raw data Crude oil'!E776</f>
        <v>64.08</v>
      </c>
      <c r="F775">
        <f>'raw data Crude oil'!F776</f>
        <v>63.46</v>
      </c>
      <c r="G775">
        <f>'raw data Crude oil'!G776</f>
        <v>62.93</v>
      </c>
      <c r="H775">
        <f>'raw data Crude oil'!H776</f>
        <v>62.48</v>
      </c>
      <c r="I775">
        <f>'raw data Crude oil'!I776</f>
        <v>62.03</v>
      </c>
      <c r="J775">
        <f>'raw data Crude oil'!J776</f>
        <v>61.62</v>
      </c>
      <c r="K775">
        <f>'raw data Crude oil'!K776</f>
        <v>61.22</v>
      </c>
      <c r="L775">
        <f>'raw data Crude oil'!L776</f>
        <v>60.87</v>
      </c>
      <c r="M775">
        <f>'raw data Crude oil'!M776</f>
        <v>60.53</v>
      </c>
      <c r="N775">
        <f>'raw data Crude oil'!N776</f>
        <v>61.06</v>
      </c>
      <c r="O775">
        <f>'raw data Crude oil'!O776</f>
        <v>60.77</v>
      </c>
      <c r="P775">
        <f>'raw data Crude oil'!P776</f>
        <v>60.41</v>
      </c>
      <c r="Q775">
        <f>'raw data Crude oil'!Q776</f>
        <v>59.97</v>
      </c>
      <c r="R775">
        <f>'raw data Crude oil'!R776</f>
        <v>59.44</v>
      </c>
      <c r="S775">
        <f>'raw data Crude oil'!S776</f>
        <v>58.87</v>
      </c>
      <c r="T775">
        <f>'raw data Crude oil'!T776</f>
        <v>58.31</v>
      </c>
      <c r="U775">
        <f>'raw data Crude oil'!U776</f>
        <v>57.77</v>
      </c>
      <c r="V775">
        <f>'raw data Crude oil'!V776</f>
        <v>57.29</v>
      </c>
      <c r="W775">
        <f>'raw data Crude oil'!W776</f>
        <v>56.85</v>
      </c>
      <c r="X775">
        <f>'raw data Crude oil'!X776</f>
        <v>56.44</v>
      </c>
      <c r="Y775">
        <f>'raw data Crude oil'!Y776</f>
        <v>56.03</v>
      </c>
      <c r="Z775">
        <f>'raw data Crude oil'!Z776</f>
        <v>64.888999999999996</v>
      </c>
      <c r="AA775">
        <f>'raw data Crude oil'!AA776</f>
        <v>64.988</v>
      </c>
      <c r="AB775">
        <f>'raw data Crude oil'!AB776</f>
        <v>64.069999999999993</v>
      </c>
      <c r="AC775">
        <f>'raw data Crude oil'!AC776</f>
        <v>63.253</v>
      </c>
      <c r="AD775">
        <f>'raw data Crude oil'!AD776</f>
        <v>62.44</v>
      </c>
      <c r="AE775">
        <f>'raw data Crude oil'!AE776</f>
        <v>61.734999999999999</v>
      </c>
      <c r="AF775">
        <f>'raw data Crude oil'!AF776</f>
        <v>61.13</v>
      </c>
      <c r="AG775">
        <f>'raw data Crude oil'!AG776</f>
        <v>60.56</v>
      </c>
      <c r="AH775">
        <f>'raw data Crude oil'!AH776</f>
        <v>60.011000000000003</v>
      </c>
      <c r="AI775">
        <f>'raw data Crude oil'!AI776</f>
        <v>59.502000000000002</v>
      </c>
      <c r="AJ775">
        <f>'raw data Crude oil'!AJ776</f>
        <v>59.033999999999999</v>
      </c>
      <c r="AK775">
        <f>'raw data Crude oil'!AK776</f>
        <v>58.613999999999997</v>
      </c>
    </row>
    <row r="776" spans="1:37" x14ac:dyDescent="0.3">
      <c r="A776" s="18">
        <f>'raw data Crude oil'!A777</f>
        <v>43832</v>
      </c>
      <c r="B776">
        <f>'raw data Crude oil'!B777</f>
        <v>66.25</v>
      </c>
      <c r="C776">
        <f>'raw data Crude oil'!C777</f>
        <v>65.56</v>
      </c>
      <c r="D776">
        <f>'raw data Crude oil'!D777</f>
        <v>64.97</v>
      </c>
      <c r="E776">
        <f>'raw data Crude oil'!E777</f>
        <v>64.400000000000006</v>
      </c>
      <c r="F776">
        <f>'raw data Crude oil'!F777</f>
        <v>63.81</v>
      </c>
      <c r="G776">
        <f>'raw data Crude oil'!G777</f>
        <v>63.29</v>
      </c>
      <c r="H776">
        <f>'raw data Crude oil'!H777</f>
        <v>62.85</v>
      </c>
      <c r="I776">
        <f>'raw data Crude oil'!I777</f>
        <v>62.41</v>
      </c>
      <c r="J776">
        <f>'raw data Crude oil'!J777</f>
        <v>62.01</v>
      </c>
      <c r="K776">
        <f>'raw data Crude oil'!K777</f>
        <v>61.61</v>
      </c>
      <c r="L776">
        <f>'raw data Crude oil'!L777</f>
        <v>61.27</v>
      </c>
      <c r="M776">
        <f>'raw data Crude oil'!M777</f>
        <v>60.94</v>
      </c>
      <c r="N776">
        <f>'raw data Crude oil'!N777</f>
        <v>61.18</v>
      </c>
      <c r="O776">
        <f>'raw data Crude oil'!O777</f>
        <v>60.95</v>
      </c>
      <c r="P776">
        <f>'raw data Crude oil'!P777</f>
        <v>60.64</v>
      </c>
      <c r="Q776">
        <f>'raw data Crude oil'!Q777</f>
        <v>60.24</v>
      </c>
      <c r="R776">
        <f>'raw data Crude oil'!R777</f>
        <v>59.77</v>
      </c>
      <c r="S776">
        <f>'raw data Crude oil'!S777</f>
        <v>59.25</v>
      </c>
      <c r="T776">
        <f>'raw data Crude oil'!T777</f>
        <v>58.72</v>
      </c>
      <c r="U776">
        <f>'raw data Crude oil'!U777</f>
        <v>58.21</v>
      </c>
      <c r="V776">
        <f>'raw data Crude oil'!V777</f>
        <v>57.74</v>
      </c>
      <c r="W776">
        <f>'raw data Crude oil'!W777</f>
        <v>57.31</v>
      </c>
      <c r="X776">
        <f>'raw data Crude oil'!X777</f>
        <v>56.9</v>
      </c>
      <c r="Y776">
        <f>'raw data Crude oil'!Y777</f>
        <v>56.49</v>
      </c>
      <c r="Z776">
        <f>'raw data Crude oil'!Z777</f>
        <v>64.888999999999996</v>
      </c>
      <c r="AA776">
        <f>'raw data Crude oil'!AA777</f>
        <v>65.546999999999997</v>
      </c>
      <c r="AB776">
        <f>'raw data Crude oil'!AB777</f>
        <v>64.570999999999998</v>
      </c>
      <c r="AC776">
        <f>'raw data Crude oil'!AC777</f>
        <v>63.734000000000002</v>
      </c>
      <c r="AD776">
        <f>'raw data Crude oil'!AD777</f>
        <v>62.911999999999999</v>
      </c>
      <c r="AE776">
        <f>'raw data Crude oil'!AE777</f>
        <v>62.204999999999998</v>
      </c>
      <c r="AF776">
        <f>'raw data Crude oil'!AF777</f>
        <v>61.6</v>
      </c>
      <c r="AG776">
        <f>'raw data Crude oil'!AG777</f>
        <v>61.040999999999997</v>
      </c>
      <c r="AH776">
        <f>'raw data Crude oil'!AH777</f>
        <v>60.491999999999997</v>
      </c>
      <c r="AI776">
        <f>'raw data Crude oil'!AI777</f>
        <v>59.991999999999997</v>
      </c>
      <c r="AJ776">
        <f>'raw data Crude oil'!AJ777</f>
        <v>59.515000000000001</v>
      </c>
      <c r="AK776">
        <f>'raw data Crude oil'!AK777</f>
        <v>59.084000000000003</v>
      </c>
    </row>
    <row r="777" spans="1:37" x14ac:dyDescent="0.3">
      <c r="A777" s="18">
        <f>'raw data Crude oil'!A778</f>
        <v>43833</v>
      </c>
      <c r="B777">
        <f>'raw data Crude oil'!B778</f>
        <v>68.599999999999994</v>
      </c>
      <c r="C777">
        <f>'raw data Crude oil'!C778</f>
        <v>67.760000000000005</v>
      </c>
      <c r="D777">
        <f>'raw data Crude oil'!D778</f>
        <v>67.05</v>
      </c>
      <c r="E777">
        <f>'raw data Crude oil'!E778</f>
        <v>66.38</v>
      </c>
      <c r="F777">
        <f>'raw data Crude oil'!F778</f>
        <v>65.66</v>
      </c>
      <c r="G777">
        <f>'raw data Crude oil'!G778</f>
        <v>65.02</v>
      </c>
      <c r="H777">
        <f>'raw data Crude oil'!H778</f>
        <v>64.45</v>
      </c>
      <c r="I777">
        <f>'raw data Crude oil'!I778</f>
        <v>63.89</v>
      </c>
      <c r="J777">
        <f>'raw data Crude oil'!J778</f>
        <v>63.35</v>
      </c>
      <c r="K777">
        <f>'raw data Crude oil'!K778</f>
        <v>62.83</v>
      </c>
      <c r="L777">
        <f>'raw data Crude oil'!L778</f>
        <v>62.38</v>
      </c>
      <c r="M777">
        <f>'raw data Crude oil'!M778</f>
        <v>61.95</v>
      </c>
      <c r="N777">
        <f>'raw data Crude oil'!N778</f>
        <v>63.05</v>
      </c>
      <c r="O777">
        <f>'raw data Crude oil'!O778</f>
        <v>62.82</v>
      </c>
      <c r="P777">
        <f>'raw data Crude oil'!P778</f>
        <v>62.48</v>
      </c>
      <c r="Q777">
        <f>'raw data Crude oil'!Q778</f>
        <v>62.02</v>
      </c>
      <c r="R777">
        <f>'raw data Crude oil'!R778</f>
        <v>61.46</v>
      </c>
      <c r="S777">
        <f>'raw data Crude oil'!S778</f>
        <v>60.83</v>
      </c>
      <c r="T777">
        <f>'raw data Crude oil'!T778</f>
        <v>60.18</v>
      </c>
      <c r="U777">
        <f>'raw data Crude oil'!U778</f>
        <v>59.55</v>
      </c>
      <c r="V777">
        <f>'raw data Crude oil'!V778</f>
        <v>58.98</v>
      </c>
      <c r="W777">
        <f>'raw data Crude oil'!W778</f>
        <v>58.46</v>
      </c>
      <c r="X777">
        <f>'raw data Crude oil'!X778</f>
        <v>57.97</v>
      </c>
      <c r="Y777">
        <f>'raw data Crude oil'!Y778</f>
        <v>57.48</v>
      </c>
      <c r="Z777">
        <f>'raw data Crude oil'!Z778</f>
        <v>67.893000000000001</v>
      </c>
      <c r="AA777">
        <f>'raw data Crude oil'!AA778</f>
        <v>66.965000000000003</v>
      </c>
      <c r="AB777">
        <f>'raw data Crude oil'!AB778</f>
        <v>65.989999999999995</v>
      </c>
      <c r="AC777">
        <f>'raw data Crude oil'!AC778</f>
        <v>65.036000000000001</v>
      </c>
      <c r="AD777">
        <f>'raw data Crude oil'!AD778</f>
        <v>64.23</v>
      </c>
      <c r="AE777">
        <f>'raw data Crude oil'!AE778</f>
        <v>63.514000000000003</v>
      </c>
      <c r="AF777">
        <f>'raw data Crude oil'!AF778</f>
        <v>62.835999999999999</v>
      </c>
      <c r="AG777">
        <f>'raw data Crude oil'!AG778</f>
        <v>62.168999999999997</v>
      </c>
      <c r="AH777">
        <f>'raw data Crude oil'!AH778</f>
        <v>61.536000000000001</v>
      </c>
      <c r="AI777">
        <f>'raw data Crude oil'!AI778</f>
        <v>60.95</v>
      </c>
      <c r="AJ777">
        <f>'raw data Crude oil'!AJ778</f>
        <v>60.4</v>
      </c>
      <c r="AK777">
        <f>'raw data Crude oil'!AK778</f>
        <v>59.905999999999999</v>
      </c>
    </row>
    <row r="778" spans="1:37" x14ac:dyDescent="0.3">
      <c r="A778" s="18">
        <f>'raw data Crude oil'!A779</f>
        <v>43836</v>
      </c>
      <c r="B778">
        <f>'raw data Crude oil'!B779</f>
        <v>68.91</v>
      </c>
      <c r="C778">
        <f>'raw data Crude oil'!C779</f>
        <v>68.069999999999993</v>
      </c>
      <c r="D778">
        <f>'raw data Crude oil'!D779</f>
        <v>67.319999999999993</v>
      </c>
      <c r="E778">
        <f>'raw data Crude oil'!E779</f>
        <v>66.61</v>
      </c>
      <c r="F778">
        <f>'raw data Crude oil'!F779</f>
        <v>65.86</v>
      </c>
      <c r="G778">
        <f>'raw data Crude oil'!G779</f>
        <v>65.2</v>
      </c>
      <c r="H778">
        <f>'raw data Crude oil'!H779</f>
        <v>64.63</v>
      </c>
      <c r="I778">
        <f>'raw data Crude oil'!I779</f>
        <v>64.06</v>
      </c>
      <c r="J778">
        <f>'raw data Crude oil'!J779</f>
        <v>63.53</v>
      </c>
      <c r="K778">
        <f>'raw data Crude oil'!K779</f>
        <v>63</v>
      </c>
      <c r="L778">
        <f>'raw data Crude oil'!L779</f>
        <v>62.54</v>
      </c>
      <c r="M778">
        <f>'raw data Crude oil'!M779</f>
        <v>62.11</v>
      </c>
      <c r="N778">
        <f>'raw data Crude oil'!N779</f>
        <v>63.27</v>
      </c>
      <c r="O778">
        <f>'raw data Crude oil'!O779</f>
        <v>63.04</v>
      </c>
      <c r="P778">
        <f>'raw data Crude oil'!P779</f>
        <v>62.69</v>
      </c>
      <c r="Q778">
        <f>'raw data Crude oil'!Q779</f>
        <v>62.23</v>
      </c>
      <c r="R778">
        <f>'raw data Crude oil'!R779</f>
        <v>61.68</v>
      </c>
      <c r="S778">
        <f>'raw data Crude oil'!S779</f>
        <v>61.06</v>
      </c>
      <c r="T778">
        <f>'raw data Crude oil'!T779</f>
        <v>60.42</v>
      </c>
      <c r="U778">
        <f>'raw data Crude oil'!U779</f>
        <v>59.79</v>
      </c>
      <c r="V778">
        <f>'raw data Crude oil'!V779</f>
        <v>59.21</v>
      </c>
      <c r="W778">
        <f>'raw data Crude oil'!W779</f>
        <v>58.68</v>
      </c>
      <c r="X778">
        <f>'raw data Crude oil'!X779</f>
        <v>58.18</v>
      </c>
      <c r="Y778">
        <f>'raw data Crude oil'!Y779</f>
        <v>57.68</v>
      </c>
      <c r="Z778">
        <f>'raw data Crude oil'!Z779</f>
        <v>68.430000000000007</v>
      </c>
      <c r="AA778">
        <f>'raw data Crude oil'!AA779</f>
        <v>67.462999999999994</v>
      </c>
      <c r="AB778">
        <f>'raw data Crude oil'!AB779</f>
        <v>66.474999999999994</v>
      </c>
      <c r="AC778">
        <f>'raw data Crude oil'!AC779</f>
        <v>65.483999999999995</v>
      </c>
      <c r="AD778">
        <f>'raw data Crude oil'!AD779</f>
        <v>64.629000000000005</v>
      </c>
      <c r="AE778">
        <f>'raw data Crude oil'!AE779</f>
        <v>63.884</v>
      </c>
      <c r="AF778">
        <f>'raw data Crude oil'!AF779</f>
        <v>63.174999999999997</v>
      </c>
      <c r="AG778">
        <f>'raw data Crude oil'!AG779</f>
        <v>62.53</v>
      </c>
      <c r="AH778">
        <f>'raw data Crude oil'!AH779</f>
        <v>61.936</v>
      </c>
      <c r="AI778">
        <f>'raw data Crude oil'!AI779</f>
        <v>61.348999999999997</v>
      </c>
      <c r="AJ778">
        <f>'raw data Crude oil'!AJ779</f>
        <v>60.79</v>
      </c>
      <c r="AK778">
        <f>'raw data Crude oil'!AK779</f>
        <v>60.295999999999999</v>
      </c>
    </row>
    <row r="779" spans="1:37" x14ac:dyDescent="0.3">
      <c r="A779" s="18">
        <f>'raw data Crude oil'!A780</f>
        <v>43837</v>
      </c>
      <c r="B779">
        <f>'raw data Crude oil'!B780</f>
        <v>68.27</v>
      </c>
      <c r="C779">
        <f>'raw data Crude oil'!C780</f>
        <v>67.569999999999993</v>
      </c>
      <c r="D779">
        <f>'raw data Crude oil'!D780</f>
        <v>66.87</v>
      </c>
      <c r="E779">
        <f>'raw data Crude oil'!E780</f>
        <v>66.19</v>
      </c>
      <c r="F779">
        <f>'raw data Crude oil'!F780</f>
        <v>65.48</v>
      </c>
      <c r="G779">
        <f>'raw data Crude oil'!G780</f>
        <v>64.86</v>
      </c>
      <c r="H779">
        <f>'raw data Crude oil'!H780</f>
        <v>64.33</v>
      </c>
      <c r="I779">
        <f>'raw data Crude oil'!I780</f>
        <v>63.79</v>
      </c>
      <c r="J779">
        <f>'raw data Crude oil'!J780</f>
        <v>63.3</v>
      </c>
      <c r="K779">
        <f>'raw data Crude oil'!K780</f>
        <v>62.81</v>
      </c>
      <c r="L779">
        <f>'raw data Crude oil'!L780</f>
        <v>62.39</v>
      </c>
      <c r="M779">
        <f>'raw data Crude oil'!M780</f>
        <v>62</v>
      </c>
      <c r="N779">
        <f>'raw data Crude oil'!N780</f>
        <v>62.7</v>
      </c>
      <c r="O779">
        <f>'raw data Crude oil'!O780</f>
        <v>62.51</v>
      </c>
      <c r="P779">
        <f>'raw data Crude oil'!P780</f>
        <v>62.21</v>
      </c>
      <c r="Q779">
        <f>'raw data Crude oil'!Q780</f>
        <v>61.81</v>
      </c>
      <c r="R779">
        <f>'raw data Crude oil'!R780</f>
        <v>61.32</v>
      </c>
      <c r="S779">
        <f>'raw data Crude oil'!S780</f>
        <v>60.76</v>
      </c>
      <c r="T779">
        <f>'raw data Crude oil'!T780</f>
        <v>60.18</v>
      </c>
      <c r="U779">
        <f>'raw data Crude oil'!U780</f>
        <v>59.61</v>
      </c>
      <c r="V779">
        <f>'raw data Crude oil'!V780</f>
        <v>59.04</v>
      </c>
      <c r="W779">
        <f>'raw data Crude oil'!W780</f>
        <v>58.55</v>
      </c>
      <c r="X779">
        <f>'raw data Crude oil'!X780</f>
        <v>58.07</v>
      </c>
      <c r="Y779">
        <f>'raw data Crude oil'!Y780</f>
        <v>57.59</v>
      </c>
      <c r="Z779">
        <f>'raw data Crude oil'!Z780</f>
        <v>68.031000000000006</v>
      </c>
      <c r="AA779">
        <f>'raw data Crude oil'!AA780</f>
        <v>66.915000000000006</v>
      </c>
      <c r="AB779">
        <f>'raw data Crude oil'!AB780</f>
        <v>65.989000000000004</v>
      </c>
      <c r="AC779">
        <f>'raw data Crude oil'!AC780</f>
        <v>65.055999999999997</v>
      </c>
      <c r="AD779">
        <f>'raw data Crude oil'!AD780</f>
        <v>64.239999999999995</v>
      </c>
      <c r="AE779">
        <f>'raw data Crude oil'!AE780</f>
        <v>63.526000000000003</v>
      </c>
      <c r="AF779">
        <f>'raw data Crude oil'!AF780</f>
        <v>62.887</v>
      </c>
      <c r="AG779">
        <f>'raw data Crude oil'!AG780</f>
        <v>62.283000000000001</v>
      </c>
      <c r="AH779">
        <f>'raw data Crude oil'!AH780</f>
        <v>61.707999999999998</v>
      </c>
      <c r="AI779">
        <f>'raw data Crude oil'!AI780</f>
        <v>61.140999999999998</v>
      </c>
      <c r="AJ779">
        <f>'raw data Crude oil'!AJ780</f>
        <v>60.610999999999997</v>
      </c>
      <c r="AK779">
        <f>'raw data Crude oil'!AK780</f>
        <v>60.149000000000001</v>
      </c>
    </row>
    <row r="780" spans="1:37" x14ac:dyDescent="0.3">
      <c r="A780" s="18">
        <f>'raw data Crude oil'!A781</f>
        <v>43838</v>
      </c>
      <c r="B780">
        <f>'raw data Crude oil'!B781</f>
        <v>65.44</v>
      </c>
      <c r="C780">
        <f>'raw data Crude oil'!C781</f>
        <v>64.790000000000006</v>
      </c>
      <c r="D780">
        <f>'raw data Crude oil'!D781</f>
        <v>64.14</v>
      </c>
      <c r="E780">
        <f>'raw data Crude oil'!E781</f>
        <v>63.5</v>
      </c>
      <c r="F780">
        <f>'raw data Crude oil'!F781</f>
        <v>62.83</v>
      </c>
      <c r="G780">
        <f>'raw data Crude oil'!G781</f>
        <v>62.25</v>
      </c>
      <c r="H780">
        <f>'raw data Crude oil'!H781</f>
        <v>61.77</v>
      </c>
      <c r="I780">
        <f>'raw data Crude oil'!I781</f>
        <v>61.3</v>
      </c>
      <c r="J780">
        <f>'raw data Crude oil'!J781</f>
        <v>60.88</v>
      </c>
      <c r="K780">
        <f>'raw data Crude oil'!K781</f>
        <v>60.48</v>
      </c>
      <c r="L780">
        <f>'raw data Crude oil'!L781</f>
        <v>60.14</v>
      </c>
      <c r="M780">
        <f>'raw data Crude oil'!M781</f>
        <v>59.83</v>
      </c>
      <c r="N780">
        <f>'raw data Crude oil'!N781</f>
        <v>59.61</v>
      </c>
      <c r="O780">
        <f>'raw data Crude oil'!O781</f>
        <v>59.46</v>
      </c>
      <c r="P780">
        <f>'raw data Crude oil'!P781</f>
        <v>59.23</v>
      </c>
      <c r="Q780">
        <f>'raw data Crude oil'!Q781</f>
        <v>58.92</v>
      </c>
      <c r="R780">
        <f>'raw data Crude oil'!R781</f>
        <v>58.52</v>
      </c>
      <c r="S780">
        <f>'raw data Crude oil'!S781</f>
        <v>58.05</v>
      </c>
      <c r="T780">
        <f>'raw data Crude oil'!T781</f>
        <v>57.54</v>
      </c>
      <c r="U780">
        <f>'raw data Crude oil'!U781</f>
        <v>57.04</v>
      </c>
      <c r="V780">
        <f>'raw data Crude oil'!V781</f>
        <v>56.57</v>
      </c>
      <c r="W780">
        <f>'raw data Crude oil'!W781</f>
        <v>56.15</v>
      </c>
      <c r="X780">
        <f>'raw data Crude oil'!X781</f>
        <v>55.75</v>
      </c>
      <c r="Y780">
        <f>'raw data Crude oil'!Y781</f>
        <v>55.35</v>
      </c>
      <c r="Z780">
        <f>'raw data Crude oil'!Z781</f>
        <v>65.546999999999997</v>
      </c>
      <c r="AA780">
        <f>'raw data Crude oil'!AA781</f>
        <v>64.570999999999998</v>
      </c>
      <c r="AB780">
        <f>'raw data Crude oil'!AB781</f>
        <v>63.734000000000002</v>
      </c>
      <c r="AC780">
        <f>'raw data Crude oil'!AC781</f>
        <v>62.911999999999999</v>
      </c>
      <c r="AD780">
        <f>'raw data Crude oil'!AD781</f>
        <v>62.204999999999998</v>
      </c>
      <c r="AE780">
        <f>'raw data Crude oil'!AE781</f>
        <v>61.6</v>
      </c>
      <c r="AF780">
        <f>'raw data Crude oil'!AF781</f>
        <v>61.040999999999997</v>
      </c>
      <c r="AG780">
        <f>'raw data Crude oil'!AG781</f>
        <v>60.491999999999997</v>
      </c>
      <c r="AH780">
        <f>'raw data Crude oil'!AH781</f>
        <v>59.991999999999997</v>
      </c>
      <c r="AI780">
        <f>'raw data Crude oil'!AI781</f>
        <v>59.515000000000001</v>
      </c>
      <c r="AJ780">
        <f>'raw data Crude oil'!AJ781</f>
        <v>59.084000000000003</v>
      </c>
      <c r="AK780">
        <f>'raw data Crude oil'!AK781</f>
        <v>58.692999999999998</v>
      </c>
    </row>
    <row r="781" spans="1:37" x14ac:dyDescent="0.3">
      <c r="A781" s="18">
        <f>'raw data Crude oil'!A782</f>
        <v>43839</v>
      </c>
      <c r="B781">
        <f>'raw data Crude oil'!B782</f>
        <v>65.37</v>
      </c>
      <c r="C781">
        <f>'raw data Crude oil'!C782</f>
        <v>64.66</v>
      </c>
      <c r="D781">
        <f>'raw data Crude oil'!D782</f>
        <v>64.02</v>
      </c>
      <c r="E781">
        <f>'raw data Crude oil'!E782</f>
        <v>63.41</v>
      </c>
      <c r="F781">
        <f>'raw data Crude oil'!F782</f>
        <v>62.77</v>
      </c>
      <c r="G781">
        <f>'raw data Crude oil'!G782</f>
        <v>62.22</v>
      </c>
      <c r="H781">
        <f>'raw data Crude oil'!H782</f>
        <v>61.77</v>
      </c>
      <c r="I781">
        <f>'raw data Crude oil'!I782</f>
        <v>61.33</v>
      </c>
      <c r="J781">
        <f>'raw data Crude oil'!J782</f>
        <v>60.94</v>
      </c>
      <c r="K781">
        <f>'raw data Crude oil'!K782</f>
        <v>60.56</v>
      </c>
      <c r="L781">
        <f>'raw data Crude oil'!L782</f>
        <v>60.24</v>
      </c>
      <c r="M781">
        <f>'raw data Crude oil'!M782</f>
        <v>59.95</v>
      </c>
      <c r="N781">
        <f>'raw data Crude oil'!N782</f>
        <v>59.56</v>
      </c>
      <c r="O781">
        <f>'raw data Crude oil'!O782</f>
        <v>59.44</v>
      </c>
      <c r="P781">
        <f>'raw data Crude oil'!P782</f>
        <v>59.25</v>
      </c>
      <c r="Q781">
        <f>'raw data Crude oil'!Q782</f>
        <v>58.99</v>
      </c>
      <c r="R781">
        <f>'raw data Crude oil'!R782</f>
        <v>58.63</v>
      </c>
      <c r="S781">
        <f>'raw data Crude oil'!S782</f>
        <v>58.19</v>
      </c>
      <c r="T781">
        <f>'raw data Crude oil'!T782</f>
        <v>57.7</v>
      </c>
      <c r="U781">
        <f>'raw data Crude oil'!U782</f>
        <v>57.2</v>
      </c>
      <c r="V781">
        <f>'raw data Crude oil'!V782</f>
        <v>56.74</v>
      </c>
      <c r="W781">
        <f>'raw data Crude oil'!W782</f>
        <v>56.32</v>
      </c>
      <c r="X781">
        <f>'raw data Crude oil'!X782</f>
        <v>55.93</v>
      </c>
      <c r="Y781">
        <f>'raw data Crude oil'!Y782</f>
        <v>55.54</v>
      </c>
      <c r="Z781">
        <f>'raw data Crude oil'!Z782</f>
        <v>66.236000000000004</v>
      </c>
      <c r="AA781">
        <f>'raw data Crude oil'!AA782</f>
        <v>64.308000000000007</v>
      </c>
      <c r="AB781">
        <f>'raw data Crude oil'!AB782</f>
        <v>63.372</v>
      </c>
      <c r="AC781">
        <f>'raw data Crude oil'!AC782</f>
        <v>62.49</v>
      </c>
      <c r="AD781">
        <f>'raw data Crude oil'!AD782</f>
        <v>61.664000000000001</v>
      </c>
      <c r="AE781">
        <f>'raw data Crude oil'!AE782</f>
        <v>60.94</v>
      </c>
      <c r="AF781">
        <f>'raw data Crude oil'!AF782</f>
        <v>60.320999999999998</v>
      </c>
      <c r="AG781">
        <f>'raw data Crude oil'!AG782</f>
        <v>59.802999999999997</v>
      </c>
      <c r="AH781">
        <f>'raw data Crude oil'!AH782</f>
        <v>59.313000000000002</v>
      </c>
      <c r="AI781">
        <f>'raw data Crude oil'!AI782</f>
        <v>58.884999999999998</v>
      </c>
      <c r="AJ781">
        <f>'raw data Crude oil'!AJ782</f>
        <v>58.456000000000003</v>
      </c>
      <c r="AK781">
        <f>'raw data Crude oil'!AK782</f>
        <v>58.046999999999997</v>
      </c>
    </row>
    <row r="782" spans="1:37" x14ac:dyDescent="0.3">
      <c r="A782" s="18">
        <f>'raw data Crude oil'!A783</f>
        <v>43840</v>
      </c>
      <c r="B782">
        <f>'raw data Crude oil'!B783</f>
        <v>64.98</v>
      </c>
      <c r="C782">
        <f>'raw data Crude oil'!C783</f>
        <v>64.25</v>
      </c>
      <c r="D782">
        <f>'raw data Crude oil'!D783</f>
        <v>63.63</v>
      </c>
      <c r="E782">
        <f>'raw data Crude oil'!E783</f>
        <v>63.02</v>
      </c>
      <c r="F782">
        <f>'raw data Crude oil'!F783</f>
        <v>62.39</v>
      </c>
      <c r="G782">
        <f>'raw data Crude oil'!G783</f>
        <v>61.86</v>
      </c>
      <c r="H782">
        <f>'raw data Crude oil'!H783</f>
        <v>61.44</v>
      </c>
      <c r="I782">
        <f>'raw data Crude oil'!I783</f>
        <v>61.02</v>
      </c>
      <c r="J782">
        <f>'raw data Crude oil'!J783</f>
        <v>60.65</v>
      </c>
      <c r="K782">
        <f>'raw data Crude oil'!K783</f>
        <v>60.3</v>
      </c>
      <c r="L782">
        <f>'raw data Crude oil'!L783</f>
        <v>60.01</v>
      </c>
      <c r="M782">
        <f>'raw data Crude oil'!M783</f>
        <v>59.74</v>
      </c>
      <c r="N782">
        <f>'raw data Crude oil'!N783</f>
        <v>59.04</v>
      </c>
      <c r="O782">
        <f>'raw data Crude oil'!O783</f>
        <v>58.99</v>
      </c>
      <c r="P782">
        <f>'raw data Crude oil'!P783</f>
        <v>58.85</v>
      </c>
      <c r="Q782">
        <f>'raw data Crude oil'!Q783</f>
        <v>58.63</v>
      </c>
      <c r="R782">
        <f>'raw data Crude oil'!R783</f>
        <v>58.32</v>
      </c>
      <c r="S782">
        <f>'raw data Crude oil'!S783</f>
        <v>57.92</v>
      </c>
      <c r="T782">
        <f>'raw data Crude oil'!T783</f>
        <v>57.47</v>
      </c>
      <c r="U782">
        <f>'raw data Crude oil'!U783</f>
        <v>57</v>
      </c>
      <c r="V782">
        <f>'raw data Crude oil'!V783</f>
        <v>56.54</v>
      </c>
      <c r="W782">
        <f>'raw data Crude oil'!W783</f>
        <v>56.13</v>
      </c>
      <c r="X782">
        <f>'raw data Crude oil'!X783</f>
        <v>55.74</v>
      </c>
      <c r="Y782">
        <f>'raw data Crude oil'!Y783</f>
        <v>55.36</v>
      </c>
      <c r="Z782">
        <f>'raw data Crude oil'!Z783</f>
        <v>66.162999999999997</v>
      </c>
      <c r="AA782">
        <f>'raw data Crude oil'!AA783</f>
        <v>64.067999999999998</v>
      </c>
      <c r="AB782">
        <f>'raw data Crude oil'!AB783</f>
        <v>63.091999999999999</v>
      </c>
      <c r="AC782">
        <f>'raw data Crude oil'!AC783</f>
        <v>62.16</v>
      </c>
      <c r="AD782">
        <f>'raw data Crude oil'!AD783</f>
        <v>61.314999999999998</v>
      </c>
      <c r="AE782">
        <f>'raw data Crude oil'!AE783</f>
        <v>60.591000000000001</v>
      </c>
      <c r="AF782">
        <f>'raw data Crude oil'!AF783</f>
        <v>59.962000000000003</v>
      </c>
      <c r="AG782">
        <f>'raw data Crude oil'!AG783</f>
        <v>59.465000000000003</v>
      </c>
      <c r="AH782">
        <f>'raw data Crude oil'!AH783</f>
        <v>58.994</v>
      </c>
      <c r="AI782">
        <f>'raw data Crude oil'!AI783</f>
        <v>58.576999999999998</v>
      </c>
      <c r="AJ782">
        <f>'raw data Crude oil'!AJ783</f>
        <v>58.167000000000002</v>
      </c>
      <c r="AK782">
        <f>'raw data Crude oil'!AK783</f>
        <v>57.768000000000001</v>
      </c>
    </row>
    <row r="783" spans="1:37" x14ac:dyDescent="0.3">
      <c r="A783" s="18">
        <f>'raw data Crude oil'!A784</f>
        <v>43843</v>
      </c>
      <c r="B783">
        <f>'raw data Crude oil'!B784</f>
        <v>64.2</v>
      </c>
      <c r="C783">
        <f>'raw data Crude oil'!C784</f>
        <v>63.48</v>
      </c>
      <c r="D783">
        <f>'raw data Crude oil'!D784</f>
        <v>62.89</v>
      </c>
      <c r="E783">
        <f>'raw data Crude oil'!E784</f>
        <v>62.31</v>
      </c>
      <c r="F783">
        <f>'raw data Crude oil'!F784</f>
        <v>61.71</v>
      </c>
      <c r="G783">
        <f>'raw data Crude oil'!G784</f>
        <v>61.2</v>
      </c>
      <c r="H783">
        <f>'raw data Crude oil'!H784</f>
        <v>60.79</v>
      </c>
      <c r="I783">
        <f>'raw data Crude oil'!I784</f>
        <v>60.38</v>
      </c>
      <c r="J783">
        <f>'raw data Crude oil'!J784</f>
        <v>60.04</v>
      </c>
      <c r="K783">
        <f>'raw data Crude oil'!K784</f>
        <v>59.72</v>
      </c>
      <c r="L783">
        <f>'raw data Crude oil'!L784</f>
        <v>59.44</v>
      </c>
      <c r="M783">
        <f>'raw data Crude oil'!M784</f>
        <v>59.2</v>
      </c>
      <c r="N783">
        <f>'raw data Crude oil'!N784</f>
        <v>58.08</v>
      </c>
      <c r="O783">
        <f>'raw data Crude oil'!O784</f>
        <v>58.08</v>
      </c>
      <c r="P783">
        <f>'raw data Crude oil'!P784</f>
        <v>57.99</v>
      </c>
      <c r="Q783">
        <f>'raw data Crude oil'!Q784</f>
        <v>57.82</v>
      </c>
      <c r="R783">
        <f>'raw data Crude oil'!R784</f>
        <v>57.56</v>
      </c>
      <c r="S783">
        <f>'raw data Crude oil'!S784</f>
        <v>57.22</v>
      </c>
      <c r="T783">
        <f>'raw data Crude oil'!T784</f>
        <v>56.8</v>
      </c>
      <c r="U783">
        <f>'raw data Crude oil'!U784</f>
        <v>56.36</v>
      </c>
      <c r="V783">
        <f>'raw data Crude oil'!V784</f>
        <v>55.94</v>
      </c>
      <c r="W783">
        <f>'raw data Crude oil'!W784</f>
        <v>55.55</v>
      </c>
      <c r="X783">
        <f>'raw data Crude oil'!X784</f>
        <v>55.19</v>
      </c>
      <c r="Y783">
        <f>'raw data Crude oil'!Y784</f>
        <v>54.83</v>
      </c>
      <c r="Z783">
        <f>'raw data Crude oil'!Z784</f>
        <v>65.697000000000003</v>
      </c>
      <c r="AA783">
        <f>'raw data Crude oil'!AA784</f>
        <v>63.311</v>
      </c>
      <c r="AB783">
        <f>'raw data Crude oil'!AB784</f>
        <v>62.393999999999998</v>
      </c>
      <c r="AC783">
        <f>'raw data Crude oil'!AC784</f>
        <v>61.491</v>
      </c>
      <c r="AD783">
        <f>'raw data Crude oil'!AD784</f>
        <v>60.676000000000002</v>
      </c>
      <c r="AE783">
        <f>'raw data Crude oil'!AE784</f>
        <v>59.970999999999997</v>
      </c>
      <c r="AF783">
        <f>'raw data Crude oil'!AF784</f>
        <v>59.362000000000002</v>
      </c>
      <c r="AG783">
        <f>'raw data Crude oil'!AG784</f>
        <v>58.878</v>
      </c>
      <c r="AH783">
        <f>'raw data Crude oil'!AH784</f>
        <v>58.435000000000002</v>
      </c>
      <c r="AI783">
        <f>'raw data Crude oil'!AI784</f>
        <v>58.027000000000001</v>
      </c>
      <c r="AJ783">
        <f>'raw data Crude oil'!AJ784</f>
        <v>57.628999999999998</v>
      </c>
      <c r="AK783">
        <f>'raw data Crude oil'!AK784</f>
        <v>57.24</v>
      </c>
    </row>
    <row r="784" spans="1:37" x14ac:dyDescent="0.3">
      <c r="A784" s="18">
        <f>'raw data Crude oil'!A785</f>
        <v>43844</v>
      </c>
      <c r="B784">
        <f>'raw data Crude oil'!B785</f>
        <v>64.489999999999995</v>
      </c>
      <c r="C784">
        <f>'raw data Crude oil'!C785</f>
        <v>63.71</v>
      </c>
      <c r="D784">
        <f>'raw data Crude oil'!D785</f>
        <v>63.1</v>
      </c>
      <c r="E784">
        <f>'raw data Crude oil'!E785</f>
        <v>62.53</v>
      </c>
      <c r="F784">
        <f>'raw data Crude oil'!F785</f>
        <v>61.93</v>
      </c>
      <c r="G784">
        <f>'raw data Crude oil'!G785</f>
        <v>61.42</v>
      </c>
      <c r="H784">
        <f>'raw data Crude oil'!H785</f>
        <v>61.01</v>
      </c>
      <c r="I784">
        <f>'raw data Crude oil'!I785</f>
        <v>60.6</v>
      </c>
      <c r="J784">
        <f>'raw data Crude oil'!J785</f>
        <v>60.24</v>
      </c>
      <c r="K784">
        <f>'raw data Crude oil'!K785</f>
        <v>59.91</v>
      </c>
      <c r="L784">
        <f>'raw data Crude oil'!L785</f>
        <v>59.63</v>
      </c>
      <c r="M784">
        <f>'raw data Crude oil'!M785</f>
        <v>59.38</v>
      </c>
      <c r="N784">
        <f>'raw data Crude oil'!N785</f>
        <v>58.23</v>
      </c>
      <c r="O784">
        <f>'raw data Crude oil'!O785</f>
        <v>58.26</v>
      </c>
      <c r="P784">
        <f>'raw data Crude oil'!P785</f>
        <v>58.19</v>
      </c>
      <c r="Q784">
        <f>'raw data Crude oil'!Q785</f>
        <v>58.02</v>
      </c>
      <c r="R784">
        <f>'raw data Crude oil'!R785</f>
        <v>57.76</v>
      </c>
      <c r="S784">
        <f>'raw data Crude oil'!S785</f>
        <v>57.41</v>
      </c>
      <c r="T784">
        <f>'raw data Crude oil'!T785</f>
        <v>56.99</v>
      </c>
      <c r="U784">
        <f>'raw data Crude oil'!U785</f>
        <v>56.55</v>
      </c>
      <c r="V784">
        <f>'raw data Crude oil'!V785</f>
        <v>56.12</v>
      </c>
      <c r="W784">
        <f>'raw data Crude oil'!W785</f>
        <v>55.74</v>
      </c>
      <c r="X784">
        <f>'raw data Crude oil'!X785</f>
        <v>55.38</v>
      </c>
      <c r="Y784">
        <f>'raw data Crude oil'!Y785</f>
        <v>55.02</v>
      </c>
      <c r="Z784">
        <f>'raw data Crude oil'!Z785</f>
        <v>65.864000000000004</v>
      </c>
      <c r="AA784">
        <f>'raw data Crude oil'!AA785</f>
        <v>63.5</v>
      </c>
      <c r="AB784">
        <f>'raw data Crude oil'!AB785</f>
        <v>62.613999999999997</v>
      </c>
      <c r="AC784">
        <f>'raw data Crude oil'!AC785</f>
        <v>61.731000000000002</v>
      </c>
      <c r="AD784">
        <f>'raw data Crude oil'!AD785</f>
        <v>60.905999999999999</v>
      </c>
      <c r="AE784">
        <f>'raw data Crude oil'!AE785</f>
        <v>60.191000000000003</v>
      </c>
      <c r="AF784">
        <f>'raw data Crude oil'!AF785</f>
        <v>59.561999999999998</v>
      </c>
      <c r="AG784">
        <f>'raw data Crude oil'!AG785</f>
        <v>59.106000000000002</v>
      </c>
      <c r="AH784">
        <f>'raw data Crude oil'!AH785</f>
        <v>58.664999999999999</v>
      </c>
      <c r="AI784">
        <f>'raw data Crude oil'!AI785</f>
        <v>58.216999999999999</v>
      </c>
      <c r="AJ784">
        <f>'raw data Crude oil'!AJ785</f>
        <v>57.798000000000002</v>
      </c>
      <c r="AK784">
        <f>'raw data Crude oil'!AK785</f>
        <v>57.41</v>
      </c>
    </row>
    <row r="785" spans="1:37" x14ac:dyDescent="0.3">
      <c r="A785" s="18">
        <f>'raw data Crude oil'!A786</f>
        <v>43845</v>
      </c>
      <c r="B785">
        <f>'raw data Crude oil'!B786</f>
        <v>64</v>
      </c>
      <c r="C785">
        <f>'raw data Crude oil'!C786</f>
        <v>63.21</v>
      </c>
      <c r="D785">
        <f>'raw data Crude oil'!D786</f>
        <v>62.6</v>
      </c>
      <c r="E785">
        <f>'raw data Crude oil'!E786</f>
        <v>62.04</v>
      </c>
      <c r="F785">
        <f>'raw data Crude oil'!F786</f>
        <v>61.45</v>
      </c>
      <c r="G785">
        <f>'raw data Crude oil'!G786</f>
        <v>60.96</v>
      </c>
      <c r="H785">
        <f>'raw data Crude oil'!H786</f>
        <v>60.57</v>
      </c>
      <c r="I785">
        <f>'raw data Crude oil'!I786</f>
        <v>60.16</v>
      </c>
      <c r="J785">
        <f>'raw data Crude oil'!J786</f>
        <v>59.83</v>
      </c>
      <c r="K785">
        <f>'raw data Crude oil'!K786</f>
        <v>59.52</v>
      </c>
      <c r="L785">
        <f>'raw data Crude oil'!L786</f>
        <v>59.25</v>
      </c>
      <c r="M785">
        <f>'raw data Crude oil'!M786</f>
        <v>59.01</v>
      </c>
      <c r="N785">
        <f>'raw data Crude oil'!N786</f>
        <v>57.81</v>
      </c>
      <c r="O785">
        <f>'raw data Crude oil'!O786</f>
        <v>57.84</v>
      </c>
      <c r="P785">
        <f>'raw data Crude oil'!P786</f>
        <v>57.77</v>
      </c>
      <c r="Q785">
        <f>'raw data Crude oil'!Q786</f>
        <v>57.58</v>
      </c>
      <c r="R785">
        <f>'raw data Crude oil'!R786</f>
        <v>57.3</v>
      </c>
      <c r="S785">
        <f>'raw data Crude oil'!S786</f>
        <v>56.94</v>
      </c>
      <c r="T785">
        <f>'raw data Crude oil'!T786</f>
        <v>56.52</v>
      </c>
      <c r="U785">
        <f>'raw data Crude oil'!U786</f>
        <v>56.09</v>
      </c>
      <c r="V785">
        <f>'raw data Crude oil'!V786</f>
        <v>55.68</v>
      </c>
      <c r="W785">
        <f>'raw data Crude oil'!W786</f>
        <v>55.31</v>
      </c>
      <c r="X785">
        <f>'raw data Crude oil'!X786</f>
        <v>54.98</v>
      </c>
      <c r="Y785">
        <f>'raw data Crude oil'!Y786</f>
        <v>54.64</v>
      </c>
      <c r="Z785">
        <f>'raw data Crude oil'!Z786</f>
        <v>65.450999999999993</v>
      </c>
      <c r="AA785">
        <f>'raw data Crude oil'!AA786</f>
        <v>62.85</v>
      </c>
      <c r="AB785">
        <f>'raw data Crude oil'!AB786</f>
        <v>62.034999999999997</v>
      </c>
      <c r="AC785">
        <f>'raw data Crude oil'!AC786</f>
        <v>61.212000000000003</v>
      </c>
      <c r="AD785">
        <f>'raw data Crude oil'!AD786</f>
        <v>60.417000000000002</v>
      </c>
      <c r="AE785">
        <f>'raw data Crude oil'!AE786</f>
        <v>59.722000000000001</v>
      </c>
      <c r="AF785">
        <f>'raw data Crude oil'!AF786</f>
        <v>59.131999999999998</v>
      </c>
      <c r="AG785">
        <f>'raw data Crude oil'!AG786</f>
        <v>58.679000000000002</v>
      </c>
      <c r="AH785">
        <f>'raw data Crude oil'!AH786</f>
        <v>58.235999999999997</v>
      </c>
      <c r="AI785">
        <f>'raw data Crude oil'!AI786</f>
        <v>57.808</v>
      </c>
      <c r="AJ785">
        <f>'raw data Crude oil'!AJ786</f>
        <v>57.418999999999997</v>
      </c>
      <c r="AK785">
        <f>'raw data Crude oil'!AK786</f>
        <v>57.040999999999997</v>
      </c>
    </row>
    <row r="786" spans="1:37" x14ac:dyDescent="0.3">
      <c r="A786" s="18">
        <f>'raw data Crude oil'!A787</f>
        <v>43846</v>
      </c>
      <c r="B786">
        <f>'raw data Crude oil'!B787</f>
        <v>64.62</v>
      </c>
      <c r="C786">
        <f>'raw data Crude oil'!C787</f>
        <v>63.81</v>
      </c>
      <c r="D786">
        <f>'raw data Crude oil'!D787</f>
        <v>63.17</v>
      </c>
      <c r="E786">
        <f>'raw data Crude oil'!E787</f>
        <v>62.57</v>
      </c>
      <c r="F786">
        <f>'raw data Crude oil'!F787</f>
        <v>61.94</v>
      </c>
      <c r="G786">
        <f>'raw data Crude oil'!G787</f>
        <v>61.42</v>
      </c>
      <c r="H786">
        <f>'raw data Crude oil'!H787</f>
        <v>60.99</v>
      </c>
      <c r="I786">
        <f>'raw data Crude oil'!I787</f>
        <v>60.56</v>
      </c>
      <c r="J786">
        <f>'raw data Crude oil'!J787</f>
        <v>60.21</v>
      </c>
      <c r="K786">
        <f>'raw data Crude oil'!K787</f>
        <v>59.87</v>
      </c>
      <c r="L786">
        <f>'raw data Crude oil'!L787</f>
        <v>59.58</v>
      </c>
      <c r="M786">
        <f>'raw data Crude oil'!M787</f>
        <v>59.32</v>
      </c>
      <c r="N786">
        <f>'raw data Crude oil'!N787</f>
        <v>58.52</v>
      </c>
      <c r="O786">
        <f>'raw data Crude oil'!O787</f>
        <v>58.53</v>
      </c>
      <c r="P786">
        <f>'raw data Crude oil'!P787</f>
        <v>58.43</v>
      </c>
      <c r="Q786">
        <f>'raw data Crude oil'!Q787</f>
        <v>58.21</v>
      </c>
      <c r="R786">
        <f>'raw data Crude oil'!R787</f>
        <v>57.88</v>
      </c>
      <c r="S786">
        <f>'raw data Crude oil'!S787</f>
        <v>57.46</v>
      </c>
      <c r="T786">
        <f>'raw data Crude oil'!T787</f>
        <v>56.99</v>
      </c>
      <c r="U786">
        <f>'raw data Crude oil'!U787</f>
        <v>56.53</v>
      </c>
      <c r="V786">
        <f>'raw data Crude oil'!V787</f>
        <v>56.09</v>
      </c>
      <c r="W786">
        <f>'raw data Crude oil'!W787</f>
        <v>55.7</v>
      </c>
      <c r="X786">
        <f>'raw data Crude oil'!X787</f>
        <v>55.35</v>
      </c>
      <c r="Y786">
        <f>'raw data Crude oil'!Y787</f>
        <v>54.99</v>
      </c>
      <c r="Z786">
        <f>'raw data Crude oil'!Z787</f>
        <v>65.790999999999997</v>
      </c>
      <c r="AA786">
        <f>'raw data Crude oil'!AA787</f>
        <v>63.317999999999998</v>
      </c>
      <c r="AB786">
        <f>'raw data Crude oil'!AB787</f>
        <v>62.533000000000001</v>
      </c>
      <c r="AC786">
        <f>'raw data Crude oil'!AC787</f>
        <v>61.7</v>
      </c>
      <c r="AD786">
        <f>'raw data Crude oil'!AD787</f>
        <v>60.884999999999998</v>
      </c>
      <c r="AE786">
        <f>'raw data Crude oil'!AE787</f>
        <v>60.15</v>
      </c>
      <c r="AF786">
        <f>'raw data Crude oil'!AF787</f>
        <v>59.530999999999999</v>
      </c>
      <c r="AG786">
        <f>'raw data Crude oil'!AG787</f>
        <v>59.057000000000002</v>
      </c>
      <c r="AH786">
        <f>'raw data Crude oil'!AH787</f>
        <v>58.594999999999999</v>
      </c>
      <c r="AI786">
        <f>'raw data Crude oil'!AI787</f>
        <v>58.137</v>
      </c>
      <c r="AJ786">
        <f>'raw data Crude oil'!AJ787</f>
        <v>57.718000000000004</v>
      </c>
      <c r="AK786">
        <f>'raw data Crude oil'!AK787</f>
        <v>57.33</v>
      </c>
    </row>
    <row r="787" spans="1:37" x14ac:dyDescent="0.3">
      <c r="A787" s="18">
        <f>'raw data Crude oil'!A788</f>
        <v>43847</v>
      </c>
      <c r="B787">
        <f>'raw data Crude oil'!B788</f>
        <v>64.849999999999994</v>
      </c>
      <c r="C787">
        <f>'raw data Crude oil'!C788</f>
        <v>64.03</v>
      </c>
      <c r="D787">
        <f>'raw data Crude oil'!D788</f>
        <v>63.32</v>
      </c>
      <c r="E787">
        <f>'raw data Crude oil'!E788</f>
        <v>62.65</v>
      </c>
      <c r="F787">
        <f>'raw data Crude oil'!F788</f>
        <v>61.97</v>
      </c>
      <c r="G787">
        <f>'raw data Crude oil'!G788</f>
        <v>61.43</v>
      </c>
      <c r="H787">
        <f>'raw data Crude oil'!H788</f>
        <v>60.99</v>
      </c>
      <c r="I787">
        <f>'raw data Crude oil'!I788</f>
        <v>60.55</v>
      </c>
      <c r="J787">
        <f>'raw data Crude oil'!J788</f>
        <v>60.19</v>
      </c>
      <c r="K787">
        <f>'raw data Crude oil'!K788</f>
        <v>59.85</v>
      </c>
      <c r="L787">
        <f>'raw data Crude oil'!L788</f>
        <v>59.55</v>
      </c>
      <c r="M787">
        <f>'raw data Crude oil'!M788</f>
        <v>59.29</v>
      </c>
      <c r="N787">
        <f>'raw data Crude oil'!N788</f>
        <v>58.54</v>
      </c>
      <c r="O787">
        <f>'raw data Crude oil'!O788</f>
        <v>58.58</v>
      </c>
      <c r="P787">
        <f>'raw data Crude oil'!P788</f>
        <v>58.51</v>
      </c>
      <c r="Q787">
        <f>'raw data Crude oil'!Q788</f>
        <v>58.3</v>
      </c>
      <c r="R787">
        <f>'raw data Crude oil'!R788</f>
        <v>57.96</v>
      </c>
      <c r="S787">
        <f>'raw data Crude oil'!S788</f>
        <v>57.54</v>
      </c>
      <c r="T787">
        <f>'raw data Crude oil'!T788</f>
        <v>57.06</v>
      </c>
      <c r="U787">
        <f>'raw data Crude oil'!U788</f>
        <v>56.59</v>
      </c>
      <c r="V787">
        <f>'raw data Crude oil'!V788</f>
        <v>56.14</v>
      </c>
      <c r="W787">
        <f>'raw data Crude oil'!W788</f>
        <v>55.73</v>
      </c>
      <c r="X787">
        <f>'raw data Crude oil'!X788</f>
        <v>55.35</v>
      </c>
      <c r="Y787">
        <f>'raw data Crude oil'!Y788</f>
        <v>55</v>
      </c>
      <c r="Z787">
        <f>'raw data Crude oil'!Z788</f>
        <v>65.861000000000004</v>
      </c>
      <c r="AA787">
        <f>'raw data Crude oil'!AA788</f>
        <v>63.408000000000001</v>
      </c>
      <c r="AB787">
        <f>'raw data Crude oil'!AB788</f>
        <v>62.58</v>
      </c>
      <c r="AC787">
        <f>'raw data Crude oil'!AC788</f>
        <v>61.731999999999999</v>
      </c>
      <c r="AD787">
        <f>'raw data Crude oil'!AD788</f>
        <v>60.904000000000003</v>
      </c>
      <c r="AE787">
        <f>'raw data Crude oil'!AE788</f>
        <v>60.16</v>
      </c>
      <c r="AF787">
        <f>'raw data Crude oil'!AF788</f>
        <v>59.500999999999998</v>
      </c>
      <c r="AG787">
        <f>'raw data Crude oil'!AG788</f>
        <v>59.015999999999998</v>
      </c>
      <c r="AH787">
        <f>'raw data Crude oil'!AH788</f>
        <v>58.555</v>
      </c>
      <c r="AI787">
        <f>'raw data Crude oil'!AI788</f>
        <v>58.106000000000002</v>
      </c>
      <c r="AJ787">
        <f>'raw data Crude oil'!AJ788</f>
        <v>57.677999999999997</v>
      </c>
      <c r="AK787">
        <f>'raw data Crude oil'!AK788</f>
        <v>57.289000000000001</v>
      </c>
    </row>
    <row r="788" spans="1:37" x14ac:dyDescent="0.3">
      <c r="A788" s="18">
        <f>'raw data Crude oil'!A789</f>
        <v>43850</v>
      </c>
      <c r="B788">
        <f>'raw data Crude oil'!B789</f>
        <v>65.2</v>
      </c>
      <c r="C788">
        <f>'raw data Crude oil'!C789</f>
        <v>64.34</v>
      </c>
      <c r="D788">
        <f>'raw data Crude oil'!D789</f>
        <v>63.6</v>
      </c>
      <c r="E788">
        <f>'raw data Crude oil'!E789</f>
        <v>62.9</v>
      </c>
      <c r="F788">
        <f>'raw data Crude oil'!F789</f>
        <v>62.2</v>
      </c>
      <c r="G788">
        <f>'raw data Crude oil'!G789</f>
        <v>61.64</v>
      </c>
      <c r="H788">
        <f>'raw data Crude oil'!H789</f>
        <v>61.19</v>
      </c>
      <c r="I788">
        <f>'raw data Crude oil'!I789</f>
        <v>60.75</v>
      </c>
      <c r="J788">
        <f>'raw data Crude oil'!J789</f>
        <v>60.39</v>
      </c>
      <c r="K788">
        <f>'raw data Crude oil'!K789</f>
        <v>60.05</v>
      </c>
      <c r="L788">
        <f>'raw data Crude oil'!L789</f>
        <v>59.75</v>
      </c>
      <c r="M788">
        <f>'raw data Crude oil'!M789</f>
        <v>59.49</v>
      </c>
      <c r="N788">
        <f>'raw data Crude oil'!N789</f>
        <v>58.54</v>
      </c>
      <c r="O788">
        <f>'raw data Crude oil'!O789</f>
        <v>58.58</v>
      </c>
      <c r="P788">
        <f>'raw data Crude oil'!P789</f>
        <v>58.51</v>
      </c>
      <c r="Q788">
        <f>'raw data Crude oil'!Q789</f>
        <v>58.3</v>
      </c>
      <c r="R788">
        <f>'raw data Crude oil'!R789</f>
        <v>57.96</v>
      </c>
      <c r="S788">
        <f>'raw data Crude oil'!S789</f>
        <v>57.54</v>
      </c>
      <c r="T788">
        <f>'raw data Crude oil'!T789</f>
        <v>57.06</v>
      </c>
      <c r="U788">
        <f>'raw data Crude oil'!U789</f>
        <v>56.59</v>
      </c>
      <c r="V788">
        <f>'raw data Crude oil'!V789</f>
        <v>56.14</v>
      </c>
      <c r="W788">
        <f>'raw data Crude oil'!W789</f>
        <v>55.73</v>
      </c>
      <c r="X788">
        <f>'raw data Crude oil'!X789</f>
        <v>55.35</v>
      </c>
      <c r="Y788">
        <f>'raw data Crude oil'!Y789</f>
        <v>55</v>
      </c>
      <c r="Z788">
        <f>'raw data Crude oil'!Z789</f>
        <v>65.838999999999999</v>
      </c>
      <c r="AA788">
        <f>'raw data Crude oil'!AA789</f>
        <v>63.613</v>
      </c>
      <c r="AB788">
        <f>'raw data Crude oil'!AB789</f>
        <v>62.808</v>
      </c>
      <c r="AC788">
        <f>'raw data Crude oil'!AC789</f>
        <v>61.976999999999997</v>
      </c>
      <c r="AD788">
        <f>'raw data Crude oil'!AD789</f>
        <v>61.152999999999999</v>
      </c>
      <c r="AE788">
        <f>'raw data Crude oil'!AE789</f>
        <v>60.41</v>
      </c>
      <c r="AF788">
        <f>'raw data Crude oil'!AF789</f>
        <v>59.750999999999998</v>
      </c>
      <c r="AG788">
        <f>'raw data Crude oil'!AG789</f>
        <v>59.256</v>
      </c>
      <c r="AH788">
        <f>'raw data Crude oil'!AH789</f>
        <v>58.784999999999997</v>
      </c>
      <c r="AI788">
        <f>'raw data Crude oil'!AI789</f>
        <v>58.345999999999997</v>
      </c>
      <c r="AJ788">
        <f>'raw data Crude oil'!AJ789</f>
        <v>57.917999999999999</v>
      </c>
      <c r="AK788">
        <f>'raw data Crude oil'!AK789</f>
        <v>57.518999999999998</v>
      </c>
    </row>
    <row r="789" spans="1:37" x14ac:dyDescent="0.3">
      <c r="A789" s="18">
        <f>'raw data Crude oil'!A790</f>
        <v>43851</v>
      </c>
      <c r="B789">
        <f>'raw data Crude oil'!B790</f>
        <v>64.59</v>
      </c>
      <c r="C789">
        <f>'raw data Crude oil'!C790</f>
        <v>63.83</v>
      </c>
      <c r="D789">
        <f>'raw data Crude oil'!D790</f>
        <v>63.13</v>
      </c>
      <c r="E789">
        <f>'raw data Crude oil'!E790</f>
        <v>62.47</v>
      </c>
      <c r="F789">
        <f>'raw data Crude oil'!F790</f>
        <v>61.8</v>
      </c>
      <c r="G789">
        <f>'raw data Crude oil'!G790</f>
        <v>61.27</v>
      </c>
      <c r="H789">
        <f>'raw data Crude oil'!H790</f>
        <v>60.88</v>
      </c>
      <c r="I789">
        <f>'raw data Crude oil'!I790</f>
        <v>60.48</v>
      </c>
      <c r="J789">
        <f>'raw data Crude oil'!J790</f>
        <v>60.17</v>
      </c>
      <c r="K789">
        <f>'raw data Crude oil'!K790</f>
        <v>59.88</v>
      </c>
      <c r="L789">
        <f>'raw data Crude oil'!L790</f>
        <v>59.62</v>
      </c>
      <c r="M789">
        <f>'raw data Crude oil'!M790</f>
        <v>59.4</v>
      </c>
      <c r="N789">
        <f>'raw data Crude oil'!N790</f>
        <v>58.34</v>
      </c>
      <c r="O789">
        <f>'raw data Crude oil'!O790</f>
        <v>58.38</v>
      </c>
      <c r="P789">
        <f>'raw data Crude oil'!P790</f>
        <v>58.34</v>
      </c>
      <c r="Q789">
        <f>'raw data Crude oil'!Q790</f>
        <v>58.16</v>
      </c>
      <c r="R789">
        <f>'raw data Crude oil'!R790</f>
        <v>57.85</v>
      </c>
      <c r="S789">
        <f>'raw data Crude oil'!S790</f>
        <v>57.47</v>
      </c>
      <c r="T789">
        <f>'raw data Crude oil'!T790</f>
        <v>57.05</v>
      </c>
      <c r="U789">
        <f>'raw data Crude oil'!U790</f>
        <v>56.61</v>
      </c>
      <c r="V789">
        <f>'raw data Crude oil'!V790</f>
        <v>56.19</v>
      </c>
      <c r="W789">
        <f>'raw data Crude oil'!W790</f>
        <v>55.8</v>
      </c>
      <c r="X789">
        <f>'raw data Crude oil'!X790</f>
        <v>55.44</v>
      </c>
      <c r="Y789">
        <f>'raw data Crude oil'!Y790</f>
        <v>55.1</v>
      </c>
      <c r="Z789">
        <f>'raw data Crude oil'!Z790</f>
        <v>65.63</v>
      </c>
      <c r="AA789">
        <f>'raw data Crude oil'!AA790</f>
        <v>63.234999999999999</v>
      </c>
      <c r="AB789">
        <f>'raw data Crude oil'!AB790</f>
        <v>62.43</v>
      </c>
      <c r="AC789">
        <f>'raw data Crude oil'!AC790</f>
        <v>61.618000000000002</v>
      </c>
      <c r="AD789">
        <f>'raw data Crude oil'!AD790</f>
        <v>60.805</v>
      </c>
      <c r="AE789">
        <f>'raw data Crude oil'!AE790</f>
        <v>60.061999999999998</v>
      </c>
      <c r="AF789">
        <f>'raw data Crude oil'!AF790</f>
        <v>59.442999999999998</v>
      </c>
      <c r="AG789">
        <f>'raw data Crude oil'!AG790</f>
        <v>58.97</v>
      </c>
      <c r="AH789">
        <f>'raw data Crude oil'!AH790</f>
        <v>58.546999999999997</v>
      </c>
      <c r="AI789">
        <f>'raw data Crude oil'!AI790</f>
        <v>58.188000000000002</v>
      </c>
      <c r="AJ789">
        <f>'raw data Crude oil'!AJ790</f>
        <v>57.8</v>
      </c>
      <c r="AK789">
        <f>'raw data Crude oil'!AK790</f>
        <v>57.433</v>
      </c>
    </row>
    <row r="790" spans="1:37" x14ac:dyDescent="0.3">
      <c r="A790" s="18">
        <f>'raw data Crude oil'!A791</f>
        <v>43852</v>
      </c>
      <c r="B790">
        <f>'raw data Crude oil'!B791</f>
        <v>63.21</v>
      </c>
      <c r="C790">
        <f>'raw data Crude oil'!C791</f>
        <v>62.45</v>
      </c>
      <c r="D790">
        <f>'raw data Crude oil'!D791</f>
        <v>61.77</v>
      </c>
      <c r="E790">
        <f>'raw data Crude oil'!E791</f>
        <v>61.13</v>
      </c>
      <c r="F790">
        <f>'raw data Crude oil'!F791</f>
        <v>60.48</v>
      </c>
      <c r="G790">
        <f>'raw data Crude oil'!G791</f>
        <v>59.99</v>
      </c>
      <c r="H790">
        <f>'raw data Crude oil'!H791</f>
        <v>59.63</v>
      </c>
      <c r="I790">
        <f>'raw data Crude oil'!I791</f>
        <v>59.26</v>
      </c>
      <c r="J790">
        <f>'raw data Crude oil'!J791</f>
        <v>58.98</v>
      </c>
      <c r="K790">
        <f>'raw data Crude oil'!K791</f>
        <v>58.73</v>
      </c>
      <c r="L790">
        <f>'raw data Crude oil'!L791</f>
        <v>58.51</v>
      </c>
      <c r="M790">
        <f>'raw data Crude oil'!M791</f>
        <v>58.33</v>
      </c>
      <c r="N790">
        <f>'raw data Crude oil'!N791</f>
        <v>56.74</v>
      </c>
      <c r="O790">
        <f>'raw data Crude oil'!O791</f>
        <v>56.76</v>
      </c>
      <c r="P790">
        <f>'raw data Crude oil'!P791</f>
        <v>56.66</v>
      </c>
      <c r="Q790">
        <f>'raw data Crude oil'!Q791</f>
        <v>56.43</v>
      </c>
      <c r="R790">
        <f>'raw data Crude oil'!R791</f>
        <v>56.09</v>
      </c>
      <c r="S790">
        <f>'raw data Crude oil'!S791</f>
        <v>55.71</v>
      </c>
      <c r="T790">
        <f>'raw data Crude oil'!T791</f>
        <v>55.31</v>
      </c>
      <c r="U790">
        <f>'raw data Crude oil'!U791</f>
        <v>54.92</v>
      </c>
      <c r="V790">
        <f>'raw data Crude oil'!V791</f>
        <v>54.57</v>
      </c>
      <c r="W790">
        <f>'raw data Crude oil'!W791</f>
        <v>54.26</v>
      </c>
      <c r="X790">
        <f>'raw data Crude oil'!X791</f>
        <v>53.96</v>
      </c>
      <c r="Y790">
        <f>'raw data Crude oil'!Y791</f>
        <v>53.68</v>
      </c>
      <c r="Z790">
        <f>'raw data Crude oil'!Z791</f>
        <v>65.260999999999996</v>
      </c>
      <c r="AA790">
        <f>'raw data Crude oil'!AA791</f>
        <v>62.076000000000001</v>
      </c>
      <c r="AB790">
        <f>'raw data Crude oil'!AB791</f>
        <v>61.261000000000003</v>
      </c>
      <c r="AC790">
        <f>'raw data Crude oil'!AC791</f>
        <v>60.448999999999998</v>
      </c>
      <c r="AD790">
        <f>'raw data Crude oil'!AD791</f>
        <v>59.646999999999998</v>
      </c>
      <c r="AE790">
        <f>'raw data Crude oil'!AE791</f>
        <v>58.923999999999999</v>
      </c>
      <c r="AF790">
        <f>'raw data Crude oil'!AF791</f>
        <v>58.334000000000003</v>
      </c>
      <c r="AG790">
        <f>'raw data Crude oil'!AG791</f>
        <v>57.893000000000001</v>
      </c>
      <c r="AH790">
        <f>'raw data Crude oil'!AH791</f>
        <v>57.459000000000003</v>
      </c>
      <c r="AI790">
        <f>'raw data Crude oil'!AI791</f>
        <v>57.1</v>
      </c>
      <c r="AJ790">
        <f>'raw data Crude oil'!AJ791</f>
        <v>56.761000000000003</v>
      </c>
      <c r="AK790">
        <f>'raw data Crude oil'!AK791</f>
        <v>56.435000000000002</v>
      </c>
    </row>
    <row r="791" spans="1:37" x14ac:dyDescent="0.3">
      <c r="A791" s="18">
        <f>'raw data Crude oil'!A792</f>
        <v>43853</v>
      </c>
      <c r="B791">
        <f>'raw data Crude oil'!B792</f>
        <v>62.04</v>
      </c>
      <c r="C791">
        <f>'raw data Crude oil'!C792</f>
        <v>61.28</v>
      </c>
      <c r="D791">
        <f>'raw data Crude oil'!D792</f>
        <v>60.61</v>
      </c>
      <c r="E791">
        <f>'raw data Crude oil'!E792</f>
        <v>59.99</v>
      </c>
      <c r="F791">
        <f>'raw data Crude oil'!F792</f>
        <v>59.35</v>
      </c>
      <c r="G791">
        <f>'raw data Crude oil'!G792</f>
        <v>58.87</v>
      </c>
      <c r="H791">
        <f>'raw data Crude oil'!H792</f>
        <v>58.51</v>
      </c>
      <c r="I791">
        <f>'raw data Crude oil'!I792</f>
        <v>58.14</v>
      </c>
      <c r="J791">
        <f>'raw data Crude oil'!J792</f>
        <v>57.86</v>
      </c>
      <c r="K791">
        <f>'raw data Crude oil'!K792</f>
        <v>57.61</v>
      </c>
      <c r="L791">
        <f>'raw data Crude oil'!L792</f>
        <v>57.39</v>
      </c>
      <c r="M791">
        <f>'raw data Crude oil'!M792</f>
        <v>57.21</v>
      </c>
      <c r="N791">
        <f>'raw data Crude oil'!N792</f>
        <v>55.59</v>
      </c>
      <c r="O791">
        <f>'raw data Crude oil'!O792</f>
        <v>55.61</v>
      </c>
      <c r="P791">
        <f>'raw data Crude oil'!P792</f>
        <v>55.54</v>
      </c>
      <c r="Q791">
        <f>'raw data Crude oil'!Q792</f>
        <v>55.34</v>
      </c>
      <c r="R791">
        <f>'raw data Crude oil'!R792</f>
        <v>55.04</v>
      </c>
      <c r="S791">
        <f>'raw data Crude oil'!S792</f>
        <v>54.67</v>
      </c>
      <c r="T791">
        <f>'raw data Crude oil'!T792</f>
        <v>54.27</v>
      </c>
      <c r="U791">
        <f>'raw data Crude oil'!U792</f>
        <v>53.88</v>
      </c>
      <c r="V791">
        <f>'raw data Crude oil'!V792</f>
        <v>53.53</v>
      </c>
      <c r="W791">
        <f>'raw data Crude oil'!W792</f>
        <v>53.21</v>
      </c>
      <c r="X791">
        <f>'raw data Crude oil'!X792</f>
        <v>52.9</v>
      </c>
      <c r="Y791">
        <f>'raw data Crude oil'!Y792</f>
        <v>52.63</v>
      </c>
      <c r="Z791">
        <f>'raw data Crude oil'!Z792</f>
        <v>64.921000000000006</v>
      </c>
      <c r="AA791">
        <f>'raw data Crude oil'!AA792</f>
        <v>60.747</v>
      </c>
      <c r="AB791">
        <f>'raw data Crude oil'!AB792</f>
        <v>59.911999999999999</v>
      </c>
      <c r="AC791">
        <f>'raw data Crude oil'!AC792</f>
        <v>59.09</v>
      </c>
      <c r="AD791">
        <f>'raw data Crude oil'!AD792</f>
        <v>58.296999999999997</v>
      </c>
      <c r="AE791">
        <f>'raw data Crude oil'!AE792</f>
        <v>57.584000000000003</v>
      </c>
      <c r="AF791">
        <f>'raw data Crude oil'!AF792</f>
        <v>56.984000000000002</v>
      </c>
      <c r="AG791">
        <f>'raw data Crude oil'!AG792</f>
        <v>56.582999999999998</v>
      </c>
      <c r="AH791">
        <f>'raw data Crude oil'!AH792</f>
        <v>56.209000000000003</v>
      </c>
      <c r="AI791">
        <f>'raw data Crude oil'!AI792</f>
        <v>55.85</v>
      </c>
      <c r="AJ791">
        <f>'raw data Crude oil'!AJ792</f>
        <v>55.511000000000003</v>
      </c>
      <c r="AK791">
        <f>'raw data Crude oil'!AK792</f>
        <v>55.185000000000002</v>
      </c>
    </row>
    <row r="792" spans="1:37" x14ac:dyDescent="0.3">
      <c r="A792" s="18">
        <f>'raw data Crude oil'!A793</f>
        <v>43854</v>
      </c>
      <c r="B792">
        <f>'raw data Crude oil'!B793</f>
        <v>60.69</v>
      </c>
      <c r="C792">
        <f>'raw data Crude oil'!C793</f>
        <v>59.89</v>
      </c>
      <c r="D792">
        <f>'raw data Crude oil'!D793</f>
        <v>59.19</v>
      </c>
      <c r="E792">
        <f>'raw data Crude oil'!E793</f>
        <v>58.58</v>
      </c>
      <c r="F792">
        <f>'raw data Crude oil'!F793</f>
        <v>57.96</v>
      </c>
      <c r="G792">
        <f>'raw data Crude oil'!G793</f>
        <v>57.51</v>
      </c>
      <c r="H792">
        <f>'raw data Crude oil'!H793</f>
        <v>57.17</v>
      </c>
      <c r="I792">
        <f>'raw data Crude oil'!I793</f>
        <v>56.81</v>
      </c>
      <c r="J792">
        <f>'raw data Crude oil'!J793</f>
        <v>56.54</v>
      </c>
      <c r="K792">
        <f>'raw data Crude oil'!K793</f>
        <v>56.29</v>
      </c>
      <c r="L792">
        <f>'raw data Crude oil'!L793</f>
        <v>56.09</v>
      </c>
      <c r="M792">
        <f>'raw data Crude oil'!M793</f>
        <v>55.92</v>
      </c>
      <c r="N792">
        <f>'raw data Crude oil'!N793</f>
        <v>54.19</v>
      </c>
      <c r="O792">
        <f>'raw data Crude oil'!O793</f>
        <v>54.2</v>
      </c>
      <c r="P792">
        <f>'raw data Crude oil'!P793</f>
        <v>54.12</v>
      </c>
      <c r="Q792">
        <f>'raw data Crude oil'!Q793</f>
        <v>53.91</v>
      </c>
      <c r="R792">
        <f>'raw data Crude oil'!R793</f>
        <v>53.61</v>
      </c>
      <c r="S792">
        <f>'raw data Crude oil'!S793</f>
        <v>53.24</v>
      </c>
      <c r="T792">
        <f>'raw data Crude oil'!T793</f>
        <v>52.85</v>
      </c>
      <c r="U792">
        <f>'raw data Crude oil'!U793</f>
        <v>52.48</v>
      </c>
      <c r="V792">
        <f>'raw data Crude oil'!V793</f>
        <v>52.15</v>
      </c>
      <c r="W792">
        <f>'raw data Crude oil'!W793</f>
        <v>51.85</v>
      </c>
      <c r="X792">
        <f>'raw data Crude oil'!X793</f>
        <v>51.56</v>
      </c>
      <c r="Y792">
        <f>'raw data Crude oil'!Y793</f>
        <v>51.31</v>
      </c>
      <c r="Z792">
        <f>'raw data Crude oil'!Z793</f>
        <v>64.650000000000006</v>
      </c>
      <c r="AA792">
        <f>'raw data Crude oil'!AA793</f>
        <v>59.265000000000001</v>
      </c>
      <c r="AB792">
        <f>'raw data Crude oil'!AB793</f>
        <v>58.432000000000002</v>
      </c>
      <c r="AC792">
        <f>'raw data Crude oil'!AC793</f>
        <v>57.62</v>
      </c>
      <c r="AD792">
        <f>'raw data Crude oil'!AD793</f>
        <v>56.848999999999997</v>
      </c>
      <c r="AE792">
        <f>'raw data Crude oil'!AE793</f>
        <v>56.164999999999999</v>
      </c>
      <c r="AF792">
        <f>'raw data Crude oil'!AF793</f>
        <v>55.594000000000001</v>
      </c>
      <c r="AG792">
        <f>'raw data Crude oil'!AG793</f>
        <v>55.204000000000001</v>
      </c>
      <c r="AH792">
        <f>'raw data Crude oil'!AH793</f>
        <v>54.838999999999999</v>
      </c>
      <c r="AI792">
        <f>'raw data Crude oil'!AI793</f>
        <v>54.481000000000002</v>
      </c>
      <c r="AJ792">
        <f>'raw data Crude oil'!AJ793</f>
        <v>54.161999999999999</v>
      </c>
      <c r="AK792">
        <f>'raw data Crude oil'!AK793</f>
        <v>53.845999999999997</v>
      </c>
    </row>
    <row r="793" spans="1:37" x14ac:dyDescent="0.3">
      <c r="A793" s="18">
        <f>'raw data Crude oil'!A794</f>
        <v>43857</v>
      </c>
      <c r="B793">
        <f>'raw data Crude oil'!B794</f>
        <v>59.32</v>
      </c>
      <c r="C793">
        <f>'raw data Crude oil'!C794</f>
        <v>58.58</v>
      </c>
      <c r="D793">
        <f>'raw data Crude oil'!D794</f>
        <v>58</v>
      </c>
      <c r="E793">
        <f>'raw data Crude oil'!E794</f>
        <v>57.51</v>
      </c>
      <c r="F793">
        <f>'raw data Crude oil'!F794</f>
        <v>56.99</v>
      </c>
      <c r="G793">
        <f>'raw data Crude oil'!G794</f>
        <v>56.62</v>
      </c>
      <c r="H793">
        <f>'raw data Crude oil'!H794</f>
        <v>56.33</v>
      </c>
      <c r="I793">
        <f>'raw data Crude oil'!I794</f>
        <v>56.02</v>
      </c>
      <c r="J793">
        <f>'raw data Crude oil'!J794</f>
        <v>55.79</v>
      </c>
      <c r="K793">
        <f>'raw data Crude oil'!K794</f>
        <v>55.57</v>
      </c>
      <c r="L793">
        <f>'raw data Crude oil'!L794</f>
        <v>55.41</v>
      </c>
      <c r="M793">
        <f>'raw data Crude oil'!M794</f>
        <v>55.28</v>
      </c>
      <c r="N793">
        <f>'raw data Crude oil'!N794</f>
        <v>53.14</v>
      </c>
      <c r="O793">
        <f>'raw data Crude oil'!O794</f>
        <v>53.18</v>
      </c>
      <c r="P793">
        <f>'raw data Crude oil'!P794</f>
        <v>53.13</v>
      </c>
      <c r="Q793">
        <f>'raw data Crude oil'!Q794</f>
        <v>52.97</v>
      </c>
      <c r="R793">
        <f>'raw data Crude oil'!R794</f>
        <v>52.73</v>
      </c>
      <c r="S793">
        <f>'raw data Crude oil'!S794</f>
        <v>52.44</v>
      </c>
      <c r="T793">
        <f>'raw data Crude oil'!T794</f>
        <v>52.11</v>
      </c>
      <c r="U793">
        <f>'raw data Crude oil'!U794</f>
        <v>51.8</v>
      </c>
      <c r="V793">
        <f>'raw data Crude oil'!V794</f>
        <v>51.53</v>
      </c>
      <c r="W793">
        <f>'raw data Crude oil'!W794</f>
        <v>51.27</v>
      </c>
      <c r="X793">
        <f>'raw data Crude oil'!X794</f>
        <v>51.05</v>
      </c>
      <c r="Y793">
        <f>'raw data Crude oil'!Y794</f>
        <v>50.84</v>
      </c>
      <c r="Z793">
        <f>'raw data Crude oil'!Z794</f>
        <v>64.403999999999996</v>
      </c>
      <c r="AA793">
        <f>'raw data Crude oil'!AA794</f>
        <v>57.970999999999997</v>
      </c>
      <c r="AB793">
        <f>'raw data Crude oil'!AB794</f>
        <v>57.17</v>
      </c>
      <c r="AC793">
        <f>'raw data Crude oil'!AC794</f>
        <v>56.445</v>
      </c>
      <c r="AD793">
        <f>'raw data Crude oil'!AD794</f>
        <v>55.741999999999997</v>
      </c>
      <c r="AE793">
        <f>'raw data Crude oil'!AE794</f>
        <v>55.106999999999999</v>
      </c>
      <c r="AF793">
        <f>'raw data Crude oil'!AF794</f>
        <v>54.627000000000002</v>
      </c>
      <c r="AG793">
        <f>'raw data Crude oil'!AG794</f>
        <v>54.317</v>
      </c>
      <c r="AH793">
        <f>'raw data Crude oil'!AH794</f>
        <v>54</v>
      </c>
      <c r="AI793">
        <f>'raw data Crude oil'!AI794</f>
        <v>53.743000000000002</v>
      </c>
      <c r="AJ793">
        <f>'raw data Crude oil'!AJ794</f>
        <v>53.494</v>
      </c>
      <c r="AK793">
        <f>'raw data Crude oil'!AK794</f>
        <v>53.21</v>
      </c>
    </row>
    <row r="794" spans="1:37" x14ac:dyDescent="0.3">
      <c r="A794" s="18">
        <f>'raw data Crude oil'!A795</f>
        <v>43858</v>
      </c>
      <c r="B794">
        <f>'raw data Crude oil'!B795</f>
        <v>59.51</v>
      </c>
      <c r="C794">
        <f>'raw data Crude oil'!C795</f>
        <v>58.81</v>
      </c>
      <c r="D794">
        <f>'raw data Crude oil'!D795</f>
        <v>58.26</v>
      </c>
      <c r="E794">
        <f>'raw data Crude oil'!E795</f>
        <v>57.79</v>
      </c>
      <c r="F794">
        <f>'raw data Crude oil'!F795</f>
        <v>57.28</v>
      </c>
      <c r="G794">
        <f>'raw data Crude oil'!G795</f>
        <v>56.91</v>
      </c>
      <c r="H794">
        <f>'raw data Crude oil'!H795</f>
        <v>56.63</v>
      </c>
      <c r="I794">
        <f>'raw data Crude oil'!I795</f>
        <v>56.33</v>
      </c>
      <c r="J794">
        <f>'raw data Crude oil'!J795</f>
        <v>56.1</v>
      </c>
      <c r="K794">
        <f>'raw data Crude oil'!K795</f>
        <v>55.87</v>
      </c>
      <c r="L794">
        <f>'raw data Crude oil'!L795</f>
        <v>55.69</v>
      </c>
      <c r="M794">
        <f>'raw data Crude oil'!M795</f>
        <v>55.55</v>
      </c>
      <c r="N794">
        <f>'raw data Crude oil'!N795</f>
        <v>53.48</v>
      </c>
      <c r="O794">
        <f>'raw data Crude oil'!O795</f>
        <v>53.52</v>
      </c>
      <c r="P794">
        <f>'raw data Crude oil'!P795</f>
        <v>53.48</v>
      </c>
      <c r="Q794">
        <f>'raw data Crude oil'!Q795</f>
        <v>53.33</v>
      </c>
      <c r="R794">
        <f>'raw data Crude oil'!R795</f>
        <v>53.08</v>
      </c>
      <c r="S794">
        <f>'raw data Crude oil'!S795</f>
        <v>52.78</v>
      </c>
      <c r="T794">
        <f>'raw data Crude oil'!T795</f>
        <v>52.45</v>
      </c>
      <c r="U794">
        <f>'raw data Crude oil'!U795</f>
        <v>52.12</v>
      </c>
      <c r="V794">
        <f>'raw data Crude oil'!V795</f>
        <v>51.83</v>
      </c>
      <c r="W794">
        <f>'raw data Crude oil'!W795</f>
        <v>51.58</v>
      </c>
      <c r="X794">
        <f>'raw data Crude oil'!X795</f>
        <v>51.33</v>
      </c>
      <c r="Y794">
        <f>'raw data Crude oil'!Y795</f>
        <v>51.11</v>
      </c>
      <c r="Z794">
        <f>'raw data Crude oil'!Z795</f>
        <v>64.361999999999995</v>
      </c>
      <c r="AA794">
        <f>'raw data Crude oil'!AA795</f>
        <v>57.893000000000001</v>
      </c>
      <c r="AB794">
        <f>'raw data Crude oil'!AB795</f>
        <v>57.238999999999997</v>
      </c>
      <c r="AC794">
        <f>'raw data Crude oil'!AC795</f>
        <v>56.585999999999999</v>
      </c>
      <c r="AD794">
        <f>'raw data Crude oil'!AD795</f>
        <v>55.951999999999998</v>
      </c>
      <c r="AE794">
        <f>'raw data Crude oil'!AE795</f>
        <v>55.377000000000002</v>
      </c>
      <c r="AF794">
        <f>'raw data Crude oil'!AF795</f>
        <v>54.917000000000002</v>
      </c>
      <c r="AG794">
        <f>'raw data Crude oil'!AG795</f>
        <v>54.597999999999999</v>
      </c>
      <c r="AH794">
        <f>'raw data Crude oil'!AH795</f>
        <v>54.32</v>
      </c>
      <c r="AI794">
        <f>'raw data Crude oil'!AI795</f>
        <v>54.052</v>
      </c>
      <c r="AJ794">
        <f>'raw data Crude oil'!AJ795</f>
        <v>53.802999999999997</v>
      </c>
      <c r="AK794">
        <f>'raw data Crude oil'!AK795</f>
        <v>53.558999999999997</v>
      </c>
    </row>
    <row r="795" spans="1:37" x14ac:dyDescent="0.3">
      <c r="A795" s="18">
        <f>'raw data Crude oil'!A796</f>
        <v>43859</v>
      </c>
      <c r="B795">
        <f>'raw data Crude oil'!B796</f>
        <v>59.81</v>
      </c>
      <c r="C795">
        <f>'raw data Crude oil'!C796</f>
        <v>58.91</v>
      </c>
      <c r="D795">
        <f>'raw data Crude oil'!D796</f>
        <v>58.35</v>
      </c>
      <c r="E795">
        <f>'raw data Crude oil'!E796</f>
        <v>57.9</v>
      </c>
      <c r="F795">
        <f>'raw data Crude oil'!F796</f>
        <v>57.42</v>
      </c>
      <c r="G795">
        <f>'raw data Crude oil'!G796</f>
        <v>57.04</v>
      </c>
      <c r="H795">
        <f>'raw data Crude oil'!H796</f>
        <v>56.73</v>
      </c>
      <c r="I795">
        <f>'raw data Crude oil'!I796</f>
        <v>56.41</v>
      </c>
      <c r="J795">
        <f>'raw data Crude oil'!J796</f>
        <v>56.14</v>
      </c>
      <c r="K795">
        <f>'raw data Crude oil'!K796</f>
        <v>55.87</v>
      </c>
      <c r="L795">
        <f>'raw data Crude oil'!L796</f>
        <v>55.68</v>
      </c>
      <c r="M795">
        <f>'raw data Crude oil'!M796</f>
        <v>55.52</v>
      </c>
      <c r="N795">
        <f>'raw data Crude oil'!N796</f>
        <v>53.33</v>
      </c>
      <c r="O795">
        <f>'raw data Crude oil'!O796</f>
        <v>53.41</v>
      </c>
      <c r="P795">
        <f>'raw data Crude oil'!P796</f>
        <v>53.42</v>
      </c>
      <c r="Q795">
        <f>'raw data Crude oil'!Q796</f>
        <v>53.31</v>
      </c>
      <c r="R795">
        <f>'raw data Crude oil'!R796</f>
        <v>53.1</v>
      </c>
      <c r="S795">
        <f>'raw data Crude oil'!S796</f>
        <v>52.81</v>
      </c>
      <c r="T795">
        <f>'raw data Crude oil'!T796</f>
        <v>52.48</v>
      </c>
      <c r="U795">
        <f>'raw data Crude oil'!U796</f>
        <v>52.15</v>
      </c>
      <c r="V795">
        <f>'raw data Crude oil'!V796</f>
        <v>51.86</v>
      </c>
      <c r="W795">
        <f>'raw data Crude oil'!W796</f>
        <v>51.61</v>
      </c>
      <c r="X795">
        <f>'raw data Crude oil'!X796</f>
        <v>51.37</v>
      </c>
      <c r="Y795">
        <f>'raw data Crude oil'!Y796</f>
        <v>51.15</v>
      </c>
      <c r="Z795">
        <f>'raw data Crude oil'!Z796</f>
        <v>64.346000000000004</v>
      </c>
      <c r="AA795">
        <f>'raw data Crude oil'!AA796</f>
        <v>57.927</v>
      </c>
      <c r="AB795">
        <f>'raw data Crude oil'!AB796</f>
        <v>57.317999999999998</v>
      </c>
      <c r="AC795">
        <f>'raw data Crude oil'!AC796</f>
        <v>56.716999999999999</v>
      </c>
      <c r="AD795">
        <f>'raw data Crude oil'!AD796</f>
        <v>56.116999999999997</v>
      </c>
      <c r="AE795">
        <f>'raw data Crude oil'!AE796</f>
        <v>55.515999999999998</v>
      </c>
      <c r="AF795">
        <f>'raw data Crude oil'!AF796</f>
        <v>55.085999999999999</v>
      </c>
      <c r="AG795">
        <f>'raw data Crude oil'!AG796</f>
        <v>54.694000000000003</v>
      </c>
      <c r="AH795">
        <f>'raw data Crude oil'!AH796</f>
        <v>54.357999999999997</v>
      </c>
      <c r="AI795">
        <f>'raw data Crude oil'!AI796</f>
        <v>54.051000000000002</v>
      </c>
      <c r="AJ795">
        <f>'raw data Crude oil'!AJ796</f>
        <v>53.781999999999996</v>
      </c>
      <c r="AK795">
        <f>'raw data Crude oil'!AK796</f>
        <v>53.527000000000001</v>
      </c>
    </row>
    <row r="796" spans="1:37" x14ac:dyDescent="0.3">
      <c r="A796" s="18">
        <f>'raw data Crude oil'!A797</f>
        <v>43860</v>
      </c>
      <c r="B796">
        <f>'raw data Crude oil'!B797</f>
        <v>58.29</v>
      </c>
      <c r="C796">
        <f>'raw data Crude oil'!C797</f>
        <v>57.33</v>
      </c>
      <c r="D796">
        <f>'raw data Crude oil'!D797</f>
        <v>57</v>
      </c>
      <c r="E796">
        <f>'raw data Crude oil'!E797</f>
        <v>56.7</v>
      </c>
      <c r="F796">
        <f>'raw data Crude oil'!F797</f>
        <v>56.33</v>
      </c>
      <c r="G796">
        <f>'raw data Crude oil'!G797</f>
        <v>56.08</v>
      </c>
      <c r="H796">
        <f>'raw data Crude oil'!H797</f>
        <v>55.87</v>
      </c>
      <c r="I796">
        <f>'raw data Crude oil'!I797</f>
        <v>55.63</v>
      </c>
      <c r="J796">
        <f>'raw data Crude oil'!J797</f>
        <v>55.45</v>
      </c>
      <c r="K796">
        <f>'raw data Crude oil'!K797</f>
        <v>55.25</v>
      </c>
      <c r="L796">
        <f>'raw data Crude oil'!L797</f>
        <v>55.13</v>
      </c>
      <c r="M796">
        <f>'raw data Crude oil'!M797</f>
        <v>55.03</v>
      </c>
      <c r="N796">
        <f>'raw data Crude oil'!N797</f>
        <v>52.14</v>
      </c>
      <c r="O796">
        <f>'raw data Crude oil'!O797</f>
        <v>52.23</v>
      </c>
      <c r="P796">
        <f>'raw data Crude oil'!P797</f>
        <v>52.27</v>
      </c>
      <c r="Q796">
        <f>'raw data Crude oil'!Q797</f>
        <v>52.23</v>
      </c>
      <c r="R796">
        <f>'raw data Crude oil'!R797</f>
        <v>52.1</v>
      </c>
      <c r="S796">
        <f>'raw data Crude oil'!S797</f>
        <v>51.89</v>
      </c>
      <c r="T796">
        <f>'raw data Crude oil'!T797</f>
        <v>51.65</v>
      </c>
      <c r="U796">
        <f>'raw data Crude oil'!U797</f>
        <v>51.4</v>
      </c>
      <c r="V796">
        <f>'raw data Crude oil'!V797</f>
        <v>51.17</v>
      </c>
      <c r="W796">
        <f>'raw data Crude oil'!W797</f>
        <v>50.98</v>
      </c>
      <c r="X796">
        <f>'raw data Crude oil'!X797</f>
        <v>50.79</v>
      </c>
      <c r="Y796">
        <f>'raw data Crude oil'!Y797</f>
        <v>50.63</v>
      </c>
      <c r="Z796">
        <f>'raw data Crude oil'!Z797</f>
        <v>64.234999999999999</v>
      </c>
      <c r="AA796">
        <f>'raw data Crude oil'!AA797</f>
        <v>56.363999999999997</v>
      </c>
      <c r="AB796">
        <f>'raw data Crude oil'!AB797</f>
        <v>55.956000000000003</v>
      </c>
      <c r="AC796">
        <f>'raw data Crude oil'!AC797</f>
        <v>55.531999999999996</v>
      </c>
      <c r="AD796">
        <f>'raw data Crude oil'!AD797</f>
        <v>55.058</v>
      </c>
      <c r="AE796">
        <f>'raw data Crude oil'!AE797</f>
        <v>54.63</v>
      </c>
      <c r="AF796">
        <f>'raw data Crude oil'!AF797</f>
        <v>54.25</v>
      </c>
      <c r="AG796">
        <f>'raw data Crude oil'!AG797</f>
        <v>53.942999999999998</v>
      </c>
      <c r="AH796">
        <f>'raw data Crude oil'!AH797</f>
        <v>53.656999999999996</v>
      </c>
      <c r="AI796">
        <f>'raw data Crude oil'!AI797</f>
        <v>53.414999999999999</v>
      </c>
      <c r="AJ796">
        <f>'raw data Crude oil'!AJ797</f>
        <v>53.195</v>
      </c>
      <c r="AK796">
        <f>'raw data Crude oil'!AK797</f>
        <v>52.972999999999999</v>
      </c>
    </row>
    <row r="797" spans="1:37" x14ac:dyDescent="0.3">
      <c r="A797" s="18">
        <f>'raw data Crude oil'!A798</f>
        <v>43861</v>
      </c>
      <c r="B797">
        <f>'raw data Crude oil'!B798</f>
        <v>58.16</v>
      </c>
      <c r="C797">
        <f>'raw data Crude oil'!C798</f>
        <v>56.62</v>
      </c>
      <c r="D797">
        <f>'raw data Crude oil'!D798</f>
        <v>56.42</v>
      </c>
      <c r="E797">
        <f>'raw data Crude oil'!E798</f>
        <v>56.24</v>
      </c>
      <c r="F797">
        <f>'raw data Crude oil'!F798</f>
        <v>55.98</v>
      </c>
      <c r="G797">
        <f>'raw data Crude oil'!G798</f>
        <v>55.79</v>
      </c>
      <c r="H797">
        <f>'raw data Crude oil'!H798</f>
        <v>55.61</v>
      </c>
      <c r="I797">
        <f>'raw data Crude oil'!I798</f>
        <v>55.41</v>
      </c>
      <c r="J797">
        <f>'raw data Crude oil'!J798</f>
        <v>55.25</v>
      </c>
      <c r="K797">
        <f>'raw data Crude oil'!K798</f>
        <v>55.07</v>
      </c>
      <c r="L797">
        <f>'raw data Crude oil'!L798</f>
        <v>54.96</v>
      </c>
      <c r="M797">
        <f>'raw data Crude oil'!M798</f>
        <v>54.89</v>
      </c>
      <c r="N797">
        <f>'raw data Crude oil'!N798</f>
        <v>51.56</v>
      </c>
      <c r="O797">
        <f>'raw data Crude oil'!O798</f>
        <v>51.68</v>
      </c>
      <c r="P797">
        <f>'raw data Crude oil'!P798</f>
        <v>51.77</v>
      </c>
      <c r="Q797">
        <f>'raw data Crude oil'!Q798</f>
        <v>51.8</v>
      </c>
      <c r="R797">
        <f>'raw data Crude oil'!R798</f>
        <v>51.74</v>
      </c>
      <c r="S797">
        <f>'raw data Crude oil'!S798</f>
        <v>51.59</v>
      </c>
      <c r="T797">
        <f>'raw data Crude oil'!T798</f>
        <v>51.39</v>
      </c>
      <c r="U797">
        <f>'raw data Crude oil'!U798</f>
        <v>51.17</v>
      </c>
      <c r="V797">
        <f>'raw data Crude oil'!V798</f>
        <v>50.98</v>
      </c>
      <c r="W797">
        <f>'raw data Crude oil'!W798</f>
        <v>50.8</v>
      </c>
      <c r="X797">
        <f>'raw data Crude oil'!X798</f>
        <v>50.63</v>
      </c>
      <c r="Y797">
        <f>'raw data Crude oil'!Y798</f>
        <v>50.48</v>
      </c>
      <c r="Z797">
        <f>'raw data Crude oil'!Z798</f>
        <v>64.286000000000001</v>
      </c>
      <c r="AA797">
        <f>'raw data Crude oil'!AA798</f>
        <v>55.6</v>
      </c>
      <c r="AB797">
        <f>'raw data Crude oil'!AB798</f>
        <v>55.262</v>
      </c>
      <c r="AC797">
        <f>'raw data Crude oil'!AC798</f>
        <v>54.868000000000002</v>
      </c>
      <c r="AD797">
        <f>'raw data Crude oil'!AD798</f>
        <v>54.551000000000002</v>
      </c>
      <c r="AE797">
        <f>'raw data Crude oil'!AE798</f>
        <v>54.241999999999997</v>
      </c>
      <c r="AF797">
        <f>'raw data Crude oil'!AF798</f>
        <v>53.960999999999999</v>
      </c>
      <c r="AG797">
        <f>'raw data Crude oil'!AG798</f>
        <v>53.685000000000002</v>
      </c>
      <c r="AH797">
        <f>'raw data Crude oil'!AH798</f>
        <v>53.411999999999999</v>
      </c>
      <c r="AI797">
        <f>'raw data Crude oil'!AI798</f>
        <v>53.185000000000002</v>
      </c>
      <c r="AJ797">
        <f>'raw data Crude oil'!AJ798</f>
        <v>52.976999999999997</v>
      </c>
      <c r="AK797">
        <f>'raw data Crude oil'!AK798</f>
        <v>52.774999999999999</v>
      </c>
    </row>
    <row r="798" spans="1:37" x14ac:dyDescent="0.3">
      <c r="A798" s="18">
        <f>'raw data Crude oil'!A799</f>
        <v>43864</v>
      </c>
      <c r="B798">
        <f>'raw data Crude oil'!B799</f>
        <v>54.45</v>
      </c>
      <c r="C798">
        <f>'raw data Crude oil'!C799</f>
        <v>54.61</v>
      </c>
      <c r="D798">
        <f>'raw data Crude oil'!D799</f>
        <v>54.73</v>
      </c>
      <c r="E798">
        <f>'raw data Crude oil'!E799</f>
        <v>54.67</v>
      </c>
      <c r="F798">
        <f>'raw data Crude oil'!F799</f>
        <v>54.62</v>
      </c>
      <c r="G798">
        <f>'raw data Crude oil'!G799</f>
        <v>54.56</v>
      </c>
      <c r="H798">
        <f>'raw data Crude oil'!H799</f>
        <v>54.48</v>
      </c>
      <c r="I798">
        <f>'raw data Crude oil'!I799</f>
        <v>54.42</v>
      </c>
      <c r="J798">
        <f>'raw data Crude oil'!J799</f>
        <v>54.34</v>
      </c>
      <c r="K798">
        <f>'raw data Crude oil'!K799</f>
        <v>54.3</v>
      </c>
      <c r="L798">
        <f>'raw data Crude oil'!L799</f>
        <v>54.3</v>
      </c>
      <c r="M798">
        <f>'raw data Crude oil'!M799</f>
        <v>54.32</v>
      </c>
      <c r="N798">
        <f>'raw data Crude oil'!N799</f>
        <v>50.11</v>
      </c>
      <c r="O798">
        <f>'raw data Crude oil'!O799</f>
        <v>50.28</v>
      </c>
      <c r="P798">
        <f>'raw data Crude oil'!P799</f>
        <v>50.45</v>
      </c>
      <c r="Q798">
        <f>'raw data Crude oil'!Q799</f>
        <v>50.58</v>
      </c>
      <c r="R798">
        <f>'raw data Crude oil'!R799</f>
        <v>50.6</v>
      </c>
      <c r="S798">
        <f>'raw data Crude oil'!S799</f>
        <v>50.53</v>
      </c>
      <c r="T798">
        <f>'raw data Crude oil'!T799</f>
        <v>50.4</v>
      </c>
      <c r="U798">
        <f>'raw data Crude oil'!U799</f>
        <v>50.28</v>
      </c>
      <c r="V798">
        <f>'raw data Crude oil'!V799</f>
        <v>50.18</v>
      </c>
      <c r="W798">
        <f>'raw data Crude oil'!W799</f>
        <v>50.08</v>
      </c>
      <c r="X798">
        <f>'raw data Crude oil'!X799</f>
        <v>49.99</v>
      </c>
      <c r="Y798">
        <f>'raw data Crude oil'!Y799</f>
        <v>49.92</v>
      </c>
      <c r="Z798">
        <f>'raw data Crude oil'!Z799</f>
        <v>64.286000000000001</v>
      </c>
      <c r="AA798">
        <f>'raw data Crude oil'!AA799</f>
        <v>53.694000000000003</v>
      </c>
      <c r="AB798">
        <f>'raw data Crude oil'!AB799</f>
        <v>53.265000000000001</v>
      </c>
      <c r="AC798">
        <f>'raw data Crude oil'!AC799</f>
        <v>53.087000000000003</v>
      </c>
      <c r="AD798">
        <f>'raw data Crude oil'!AD799</f>
        <v>52.978000000000002</v>
      </c>
      <c r="AE798">
        <f>'raw data Crude oil'!AE799</f>
        <v>52.856999999999999</v>
      </c>
      <c r="AF798">
        <f>'raw data Crude oil'!AF799</f>
        <v>52.697000000000003</v>
      </c>
      <c r="AG798">
        <f>'raw data Crude oil'!AG799</f>
        <v>52.564</v>
      </c>
      <c r="AH798">
        <f>'raw data Crude oil'!AH799</f>
        <v>52.426000000000002</v>
      </c>
      <c r="AI798">
        <f>'raw data Crude oil'!AI799</f>
        <v>52.308</v>
      </c>
      <c r="AJ798">
        <f>'raw data Crude oil'!AJ799</f>
        <v>52.12</v>
      </c>
      <c r="AK798">
        <f>'raw data Crude oil'!AK799</f>
        <v>51.932000000000002</v>
      </c>
    </row>
    <row r="799" spans="1:37" x14ac:dyDescent="0.3">
      <c r="A799" s="18">
        <f>'raw data Crude oil'!A800</f>
        <v>43865</v>
      </c>
      <c r="B799">
        <f>'raw data Crude oil'!B800</f>
        <v>53.96</v>
      </c>
      <c r="C799">
        <f>'raw data Crude oil'!C800</f>
        <v>54.13</v>
      </c>
      <c r="D799">
        <f>'raw data Crude oil'!D800</f>
        <v>54.26</v>
      </c>
      <c r="E799">
        <f>'raw data Crude oil'!E800</f>
        <v>54.22</v>
      </c>
      <c r="F799">
        <f>'raw data Crude oil'!F800</f>
        <v>54.22</v>
      </c>
      <c r="G799">
        <f>'raw data Crude oil'!G800</f>
        <v>54.2</v>
      </c>
      <c r="H799">
        <f>'raw data Crude oil'!H800</f>
        <v>54.15</v>
      </c>
      <c r="I799">
        <f>'raw data Crude oil'!I800</f>
        <v>54.12</v>
      </c>
      <c r="J799">
        <f>'raw data Crude oil'!J800</f>
        <v>54.07</v>
      </c>
      <c r="K799">
        <f>'raw data Crude oil'!K800</f>
        <v>54.05</v>
      </c>
      <c r="L799">
        <f>'raw data Crude oil'!L800</f>
        <v>54.04</v>
      </c>
      <c r="M799">
        <f>'raw data Crude oil'!M800</f>
        <v>54.05</v>
      </c>
      <c r="N799">
        <f>'raw data Crude oil'!N800</f>
        <v>49.61</v>
      </c>
      <c r="O799">
        <f>'raw data Crude oil'!O800</f>
        <v>49.8</v>
      </c>
      <c r="P799">
        <f>'raw data Crude oil'!P800</f>
        <v>50.01</v>
      </c>
      <c r="Q799">
        <f>'raw data Crude oil'!Q800</f>
        <v>50.19</v>
      </c>
      <c r="R799">
        <f>'raw data Crude oil'!R800</f>
        <v>50.28</v>
      </c>
      <c r="S799">
        <f>'raw data Crude oil'!S800</f>
        <v>50.26</v>
      </c>
      <c r="T799">
        <f>'raw data Crude oil'!T800</f>
        <v>50.17</v>
      </c>
      <c r="U799">
        <f>'raw data Crude oil'!U800</f>
        <v>50.06</v>
      </c>
      <c r="V799">
        <f>'raw data Crude oil'!V800</f>
        <v>49.97</v>
      </c>
      <c r="W799">
        <f>'raw data Crude oil'!W800</f>
        <v>49.9</v>
      </c>
      <c r="X799">
        <f>'raw data Crude oil'!X800</f>
        <v>49.82</v>
      </c>
      <c r="Y799">
        <f>'raw data Crude oil'!Y800</f>
        <v>49.76</v>
      </c>
      <c r="Z799">
        <f>'raw data Crude oil'!Z800</f>
        <v>53.253</v>
      </c>
      <c r="AA799">
        <f>'raw data Crude oil'!AA800</f>
        <v>52.665999999999997</v>
      </c>
      <c r="AB799">
        <f>'raw data Crude oil'!AB800</f>
        <v>52.527000000000001</v>
      </c>
      <c r="AC799">
        <f>'raw data Crude oil'!AC800</f>
        <v>52.427</v>
      </c>
      <c r="AD799">
        <f>'raw data Crude oil'!AD800</f>
        <v>52.331000000000003</v>
      </c>
      <c r="AE799">
        <f>'raw data Crude oil'!AE800</f>
        <v>52.228000000000002</v>
      </c>
      <c r="AF799">
        <f>'raw data Crude oil'!AF800</f>
        <v>52.127000000000002</v>
      </c>
      <c r="AG799">
        <f>'raw data Crude oil'!AG800</f>
        <v>52.042999999999999</v>
      </c>
      <c r="AH799">
        <f>'raw data Crude oil'!AH800</f>
        <v>51.932000000000002</v>
      </c>
      <c r="AI799">
        <f>'raw data Crude oil'!AI800</f>
        <v>51.832000000000001</v>
      </c>
      <c r="AJ799">
        <f>'raw data Crude oil'!AJ800</f>
        <v>51.679000000000002</v>
      </c>
      <c r="AK799">
        <f>'raw data Crude oil'!AK800</f>
        <v>51.581000000000003</v>
      </c>
    </row>
    <row r="800" spans="1:37" x14ac:dyDescent="0.3">
      <c r="A800" s="18">
        <f>'raw data Crude oil'!A801</f>
        <v>43866</v>
      </c>
      <c r="B800">
        <f>'raw data Crude oil'!B801</f>
        <v>55.28</v>
      </c>
      <c r="C800">
        <f>'raw data Crude oil'!C801</f>
        <v>55.43</v>
      </c>
      <c r="D800">
        <f>'raw data Crude oil'!D801</f>
        <v>55.56</v>
      </c>
      <c r="E800">
        <f>'raw data Crude oil'!E801</f>
        <v>55.5</v>
      </c>
      <c r="F800">
        <f>'raw data Crude oil'!F801</f>
        <v>55.46</v>
      </c>
      <c r="G800">
        <f>'raw data Crude oil'!G801</f>
        <v>55.4</v>
      </c>
      <c r="H800">
        <f>'raw data Crude oil'!H801</f>
        <v>55.3</v>
      </c>
      <c r="I800">
        <f>'raw data Crude oil'!I801</f>
        <v>55.2</v>
      </c>
      <c r="J800">
        <f>'raw data Crude oil'!J801</f>
        <v>55.09</v>
      </c>
      <c r="K800">
        <f>'raw data Crude oil'!K801</f>
        <v>55.04</v>
      </c>
      <c r="L800">
        <f>'raw data Crude oil'!L801</f>
        <v>54.99</v>
      </c>
      <c r="M800">
        <f>'raw data Crude oil'!M801</f>
        <v>54.97</v>
      </c>
      <c r="N800">
        <f>'raw data Crude oil'!N801</f>
        <v>50.75</v>
      </c>
      <c r="O800">
        <f>'raw data Crude oil'!O801</f>
        <v>50.92</v>
      </c>
      <c r="P800">
        <f>'raw data Crude oil'!P801</f>
        <v>51.13</v>
      </c>
      <c r="Q800">
        <f>'raw data Crude oil'!Q801</f>
        <v>51.31</v>
      </c>
      <c r="R800">
        <f>'raw data Crude oil'!R801</f>
        <v>51.39</v>
      </c>
      <c r="S800">
        <f>'raw data Crude oil'!S801</f>
        <v>51.36</v>
      </c>
      <c r="T800">
        <f>'raw data Crude oil'!T801</f>
        <v>51.26</v>
      </c>
      <c r="U800">
        <f>'raw data Crude oil'!U801</f>
        <v>51.12</v>
      </c>
      <c r="V800">
        <f>'raw data Crude oil'!V801</f>
        <v>50.99</v>
      </c>
      <c r="W800">
        <f>'raw data Crude oil'!W801</f>
        <v>50.86</v>
      </c>
      <c r="X800">
        <f>'raw data Crude oil'!X801</f>
        <v>50.73</v>
      </c>
      <c r="Y800">
        <f>'raw data Crude oil'!Y801</f>
        <v>50.62</v>
      </c>
      <c r="Z800">
        <f>'raw data Crude oil'!Z801</f>
        <v>54.834000000000003</v>
      </c>
      <c r="AA800">
        <f>'raw data Crude oil'!AA801</f>
        <v>54.436</v>
      </c>
      <c r="AB800">
        <f>'raw data Crude oil'!AB801</f>
        <v>54.216999999999999</v>
      </c>
      <c r="AC800">
        <f>'raw data Crude oil'!AC801</f>
        <v>54.008000000000003</v>
      </c>
      <c r="AD800">
        <f>'raw data Crude oil'!AD801</f>
        <v>53.826999999999998</v>
      </c>
      <c r="AE800">
        <f>'raw data Crude oil'!AE801</f>
        <v>53.636000000000003</v>
      </c>
      <c r="AF800">
        <f>'raw data Crude oil'!AF801</f>
        <v>53.45</v>
      </c>
      <c r="AG800">
        <f>'raw data Crude oil'!AG801</f>
        <v>53.274999999999999</v>
      </c>
      <c r="AH800">
        <f>'raw data Crude oil'!AH801</f>
        <v>53.137999999999998</v>
      </c>
      <c r="AI800">
        <f>'raw data Crude oil'!AI801</f>
        <v>53.018000000000001</v>
      </c>
      <c r="AJ800">
        <f>'raw data Crude oil'!AJ801</f>
        <v>52.875999999999998</v>
      </c>
      <c r="AK800">
        <f>'raw data Crude oil'!AK801</f>
        <v>52.707999999999998</v>
      </c>
    </row>
    <row r="801" spans="1:37" x14ac:dyDescent="0.3">
      <c r="A801" s="18">
        <f>'raw data Crude oil'!A802</f>
        <v>43867</v>
      </c>
      <c r="B801">
        <f>'raw data Crude oil'!B802</f>
        <v>54.93</v>
      </c>
      <c r="C801">
        <f>'raw data Crude oil'!C802</f>
        <v>55.26</v>
      </c>
      <c r="D801">
        <f>'raw data Crude oil'!D802</f>
        <v>55.58</v>
      </c>
      <c r="E801">
        <f>'raw data Crude oil'!E802</f>
        <v>55.64</v>
      </c>
      <c r="F801">
        <f>'raw data Crude oil'!F802</f>
        <v>55.69</v>
      </c>
      <c r="G801">
        <f>'raw data Crude oil'!G802</f>
        <v>55.7</v>
      </c>
      <c r="H801">
        <f>'raw data Crude oil'!H802</f>
        <v>55.65</v>
      </c>
      <c r="I801">
        <f>'raw data Crude oil'!I802</f>
        <v>55.58</v>
      </c>
      <c r="J801">
        <f>'raw data Crude oil'!J802</f>
        <v>55.48</v>
      </c>
      <c r="K801">
        <f>'raw data Crude oil'!K802</f>
        <v>55.43</v>
      </c>
      <c r="L801">
        <f>'raw data Crude oil'!L802</f>
        <v>55.39</v>
      </c>
      <c r="M801">
        <f>'raw data Crude oil'!M802</f>
        <v>55.38</v>
      </c>
      <c r="N801">
        <f>'raw data Crude oil'!N802</f>
        <v>50.95</v>
      </c>
      <c r="O801">
        <f>'raw data Crude oil'!O802</f>
        <v>51.14</v>
      </c>
      <c r="P801">
        <f>'raw data Crude oil'!P802</f>
        <v>51.37</v>
      </c>
      <c r="Q801">
        <f>'raw data Crude oil'!Q802</f>
        <v>51.58</v>
      </c>
      <c r="R801">
        <f>'raw data Crude oil'!R802</f>
        <v>51.73</v>
      </c>
      <c r="S801">
        <f>'raw data Crude oil'!S802</f>
        <v>51.77</v>
      </c>
      <c r="T801">
        <f>'raw data Crude oil'!T802</f>
        <v>51.73</v>
      </c>
      <c r="U801">
        <f>'raw data Crude oil'!U802</f>
        <v>51.65</v>
      </c>
      <c r="V801">
        <f>'raw data Crude oil'!V802</f>
        <v>51.55</v>
      </c>
      <c r="W801">
        <f>'raw data Crude oil'!W802</f>
        <v>51.44</v>
      </c>
      <c r="X801">
        <f>'raw data Crude oil'!X802</f>
        <v>51.33</v>
      </c>
      <c r="Y801">
        <f>'raw data Crude oil'!Y802</f>
        <v>51.24</v>
      </c>
      <c r="Z801">
        <f>'raw data Crude oil'!Z802</f>
        <v>54.661999999999999</v>
      </c>
      <c r="AA801">
        <f>'raw data Crude oil'!AA802</f>
        <v>54.255000000000003</v>
      </c>
      <c r="AB801">
        <f>'raw data Crude oil'!AB802</f>
        <v>54.292999999999999</v>
      </c>
      <c r="AC801">
        <f>'raw data Crude oil'!AC802</f>
        <v>54.252000000000002</v>
      </c>
      <c r="AD801">
        <f>'raw data Crude oil'!AD802</f>
        <v>54.17</v>
      </c>
      <c r="AE801">
        <f>'raw data Crude oil'!AE802</f>
        <v>54.078000000000003</v>
      </c>
      <c r="AF801">
        <f>'raw data Crude oil'!AF802</f>
        <v>53.972999999999999</v>
      </c>
      <c r="AG801">
        <f>'raw data Crude oil'!AG802</f>
        <v>53.854999999999997</v>
      </c>
      <c r="AH801">
        <f>'raw data Crude oil'!AH802</f>
        <v>53.707999999999998</v>
      </c>
      <c r="AI801">
        <f>'raw data Crude oil'!AI802</f>
        <v>53.558</v>
      </c>
      <c r="AJ801">
        <f>'raw data Crude oil'!AJ802</f>
        <v>53.399000000000001</v>
      </c>
      <c r="AK801">
        <f>'raw data Crude oil'!AK802</f>
        <v>53.241</v>
      </c>
    </row>
    <row r="802" spans="1:37" x14ac:dyDescent="0.3">
      <c r="A802" s="18">
        <f>'raw data Crude oil'!A803</f>
        <v>43868</v>
      </c>
      <c r="B802">
        <f>'raw data Crude oil'!B803</f>
        <v>54.47</v>
      </c>
      <c r="C802">
        <f>'raw data Crude oil'!C803</f>
        <v>54.8</v>
      </c>
      <c r="D802">
        <f>'raw data Crude oil'!D803</f>
        <v>55.16</v>
      </c>
      <c r="E802">
        <f>'raw data Crude oil'!E803</f>
        <v>55.26</v>
      </c>
      <c r="F802">
        <f>'raw data Crude oil'!F803</f>
        <v>55.37</v>
      </c>
      <c r="G802">
        <f>'raw data Crude oil'!G803</f>
        <v>55.42</v>
      </c>
      <c r="H802">
        <f>'raw data Crude oil'!H803</f>
        <v>55.4</v>
      </c>
      <c r="I802">
        <f>'raw data Crude oil'!I803</f>
        <v>55.38</v>
      </c>
      <c r="J802">
        <f>'raw data Crude oil'!J803</f>
        <v>55.32</v>
      </c>
      <c r="K802">
        <f>'raw data Crude oil'!K803</f>
        <v>55.28</v>
      </c>
      <c r="L802">
        <f>'raw data Crude oil'!L803</f>
        <v>55.26</v>
      </c>
      <c r="M802">
        <f>'raw data Crude oil'!M803</f>
        <v>55.26</v>
      </c>
      <c r="N802">
        <f>'raw data Crude oil'!N803</f>
        <v>50.32</v>
      </c>
      <c r="O802">
        <f>'raw data Crude oil'!O803</f>
        <v>50.55</v>
      </c>
      <c r="P802">
        <f>'raw data Crude oil'!P803</f>
        <v>50.82</v>
      </c>
      <c r="Q802">
        <f>'raw data Crude oil'!Q803</f>
        <v>51.04</v>
      </c>
      <c r="R802">
        <f>'raw data Crude oil'!R803</f>
        <v>51.22</v>
      </c>
      <c r="S802">
        <f>'raw data Crude oil'!S803</f>
        <v>51.31</v>
      </c>
      <c r="T802">
        <f>'raw data Crude oil'!T803</f>
        <v>51.33</v>
      </c>
      <c r="U802">
        <f>'raw data Crude oil'!U803</f>
        <v>51.31</v>
      </c>
      <c r="V802">
        <f>'raw data Crude oil'!V803</f>
        <v>51.28</v>
      </c>
      <c r="W802">
        <f>'raw data Crude oil'!W803</f>
        <v>51.22</v>
      </c>
      <c r="X802">
        <f>'raw data Crude oil'!X803</f>
        <v>51.14</v>
      </c>
      <c r="Y802">
        <f>'raw data Crude oil'!Y803</f>
        <v>51.07</v>
      </c>
      <c r="Z802">
        <f>'raw data Crude oil'!Z803</f>
        <v>54.021999999999998</v>
      </c>
      <c r="AA802">
        <f>'raw data Crude oil'!AA803</f>
        <v>53.545999999999999</v>
      </c>
      <c r="AB802">
        <f>'raw data Crude oil'!AB803</f>
        <v>53.774999999999999</v>
      </c>
      <c r="AC802">
        <f>'raw data Crude oil'!AC803</f>
        <v>53.875</v>
      </c>
      <c r="AD802">
        <f>'raw data Crude oil'!AD803</f>
        <v>53.892000000000003</v>
      </c>
      <c r="AE802">
        <f>'raw data Crude oil'!AE803</f>
        <v>53.819000000000003</v>
      </c>
      <c r="AF802">
        <f>'raw data Crude oil'!AF803</f>
        <v>53.747999999999998</v>
      </c>
      <c r="AG802">
        <f>'raw data Crude oil'!AG803</f>
        <v>53.667000000000002</v>
      </c>
      <c r="AH802">
        <f>'raw data Crude oil'!AH803</f>
        <v>53.548000000000002</v>
      </c>
      <c r="AI802">
        <f>'raw data Crude oil'!AI803</f>
        <v>53.408999999999999</v>
      </c>
      <c r="AJ802">
        <f>'raw data Crude oil'!AJ803</f>
        <v>53.28</v>
      </c>
      <c r="AK802">
        <f>'raw data Crude oil'!AK803</f>
        <v>53.161000000000001</v>
      </c>
    </row>
    <row r="803" spans="1:37" x14ac:dyDescent="0.3">
      <c r="A803" s="18">
        <f>'raw data Crude oil'!A804</f>
        <v>43871</v>
      </c>
      <c r="B803">
        <f>'raw data Crude oil'!B804</f>
        <v>53.27</v>
      </c>
      <c r="C803">
        <f>'raw data Crude oil'!C804</f>
        <v>53.57</v>
      </c>
      <c r="D803">
        <f>'raw data Crude oil'!D804</f>
        <v>53.95</v>
      </c>
      <c r="E803">
        <f>'raw data Crude oil'!E804</f>
        <v>54.12</v>
      </c>
      <c r="F803">
        <f>'raw data Crude oil'!F804</f>
        <v>54.34</v>
      </c>
      <c r="G803">
        <f>'raw data Crude oil'!G804</f>
        <v>54.51</v>
      </c>
      <c r="H803">
        <f>'raw data Crude oil'!H804</f>
        <v>54.59</v>
      </c>
      <c r="I803">
        <f>'raw data Crude oil'!I804</f>
        <v>54.66</v>
      </c>
      <c r="J803">
        <f>'raw data Crude oil'!J804</f>
        <v>54.67</v>
      </c>
      <c r="K803">
        <f>'raw data Crude oil'!K804</f>
        <v>54.7</v>
      </c>
      <c r="L803">
        <f>'raw data Crude oil'!L804</f>
        <v>54.72</v>
      </c>
      <c r="M803">
        <f>'raw data Crude oil'!M804</f>
        <v>54.76</v>
      </c>
      <c r="N803">
        <f>'raw data Crude oil'!N804</f>
        <v>49.57</v>
      </c>
      <c r="O803">
        <f>'raw data Crude oil'!O804</f>
        <v>49.78</v>
      </c>
      <c r="P803">
        <f>'raw data Crude oil'!P804</f>
        <v>50.03</v>
      </c>
      <c r="Q803">
        <f>'raw data Crude oil'!Q804</f>
        <v>50.25</v>
      </c>
      <c r="R803">
        <f>'raw data Crude oil'!R804</f>
        <v>50.46</v>
      </c>
      <c r="S803">
        <f>'raw data Crude oil'!S804</f>
        <v>50.6</v>
      </c>
      <c r="T803">
        <f>'raw data Crude oil'!T804</f>
        <v>50.69</v>
      </c>
      <c r="U803">
        <f>'raw data Crude oil'!U804</f>
        <v>50.75</v>
      </c>
      <c r="V803">
        <f>'raw data Crude oil'!V804</f>
        <v>50.8</v>
      </c>
      <c r="W803">
        <f>'raw data Crude oil'!W804</f>
        <v>50.8</v>
      </c>
      <c r="X803">
        <f>'raw data Crude oil'!X804</f>
        <v>50.79</v>
      </c>
      <c r="Y803">
        <f>'raw data Crude oil'!Y804</f>
        <v>50.75</v>
      </c>
      <c r="Z803">
        <f>'raw data Crude oil'!Z804</f>
        <v>53.033000000000001</v>
      </c>
      <c r="AA803">
        <f>'raw data Crude oil'!AA804</f>
        <v>52.255000000000003</v>
      </c>
      <c r="AB803">
        <f>'raw data Crude oil'!AB804</f>
        <v>52.518000000000001</v>
      </c>
      <c r="AC803">
        <f>'raw data Crude oil'!AC804</f>
        <v>52.737000000000002</v>
      </c>
      <c r="AD803">
        <f>'raw data Crude oil'!AD804</f>
        <v>52.914999999999999</v>
      </c>
      <c r="AE803">
        <f>'raw data Crude oil'!AE804</f>
        <v>52.97</v>
      </c>
      <c r="AF803">
        <f>'raw data Crude oil'!AF804</f>
        <v>53.036999999999999</v>
      </c>
      <c r="AG803">
        <f>'raw data Crude oil'!AG804</f>
        <v>53.095999999999997</v>
      </c>
      <c r="AH803">
        <f>'raw data Crude oil'!AH804</f>
        <v>52.981000000000002</v>
      </c>
      <c r="AI803">
        <f>'raw data Crude oil'!AI804</f>
        <v>52.831000000000003</v>
      </c>
      <c r="AJ803">
        <f>'raw data Crude oil'!AJ804</f>
        <v>52.713999999999999</v>
      </c>
      <c r="AK803">
        <f>'raw data Crude oil'!AK804</f>
        <v>52.703000000000003</v>
      </c>
    </row>
    <row r="804" spans="1:37" x14ac:dyDescent="0.3">
      <c r="A804" s="18">
        <f>'raw data Crude oil'!A805</f>
        <v>43872</v>
      </c>
      <c r="B804">
        <f>'raw data Crude oil'!B805</f>
        <v>54.01</v>
      </c>
      <c r="C804">
        <f>'raw data Crude oil'!C805</f>
        <v>54.21</v>
      </c>
      <c r="D804">
        <f>'raw data Crude oil'!D805</f>
        <v>54.5</v>
      </c>
      <c r="E804">
        <f>'raw data Crude oil'!E805</f>
        <v>54.62</v>
      </c>
      <c r="F804">
        <f>'raw data Crude oil'!F805</f>
        <v>54.8</v>
      </c>
      <c r="G804">
        <f>'raw data Crude oil'!G805</f>
        <v>54.93</v>
      </c>
      <c r="H804">
        <f>'raw data Crude oil'!H805</f>
        <v>54.97</v>
      </c>
      <c r="I804">
        <f>'raw data Crude oil'!I805</f>
        <v>55</v>
      </c>
      <c r="J804">
        <f>'raw data Crude oil'!J805</f>
        <v>54.97</v>
      </c>
      <c r="K804">
        <f>'raw data Crude oil'!K805</f>
        <v>54.96</v>
      </c>
      <c r="L804">
        <f>'raw data Crude oil'!L805</f>
        <v>54.95</v>
      </c>
      <c r="M804">
        <f>'raw data Crude oil'!M805</f>
        <v>54.95</v>
      </c>
      <c r="N804">
        <f>'raw data Crude oil'!N805</f>
        <v>49.94</v>
      </c>
      <c r="O804">
        <f>'raw data Crude oil'!O805</f>
        <v>50.17</v>
      </c>
      <c r="P804">
        <f>'raw data Crude oil'!P805</f>
        <v>50.45</v>
      </c>
      <c r="Q804">
        <f>'raw data Crude oil'!Q805</f>
        <v>50.68</v>
      </c>
      <c r="R804">
        <f>'raw data Crude oil'!R805</f>
        <v>50.88</v>
      </c>
      <c r="S804">
        <f>'raw data Crude oil'!S805</f>
        <v>51.01</v>
      </c>
      <c r="T804">
        <f>'raw data Crude oil'!T805</f>
        <v>51.07</v>
      </c>
      <c r="U804">
        <f>'raw data Crude oil'!U805</f>
        <v>51.11</v>
      </c>
      <c r="V804">
        <f>'raw data Crude oil'!V805</f>
        <v>51.14</v>
      </c>
      <c r="W804">
        <f>'raw data Crude oil'!W805</f>
        <v>51.11</v>
      </c>
      <c r="X804">
        <f>'raw data Crude oil'!X805</f>
        <v>51.06</v>
      </c>
      <c r="Y804">
        <f>'raw data Crude oil'!Y805</f>
        <v>51</v>
      </c>
      <c r="Z804">
        <f>'raw data Crude oil'!Z805</f>
        <v>53.466999999999999</v>
      </c>
      <c r="AA804">
        <f>'raw data Crude oil'!AA805</f>
        <v>52.930999999999997</v>
      </c>
      <c r="AB804">
        <f>'raw data Crude oil'!AB805</f>
        <v>53.125999999999998</v>
      </c>
      <c r="AC804">
        <f>'raw data Crude oil'!AC805</f>
        <v>53.259</v>
      </c>
      <c r="AD804">
        <f>'raw data Crude oil'!AD805</f>
        <v>53.356000000000002</v>
      </c>
      <c r="AE804">
        <f>'raw data Crude oil'!AE805</f>
        <v>53.378</v>
      </c>
      <c r="AF804">
        <f>'raw data Crude oil'!AF805</f>
        <v>53.372999999999998</v>
      </c>
      <c r="AG804">
        <f>'raw data Crude oil'!AG805</f>
        <v>53.378999999999998</v>
      </c>
      <c r="AH804">
        <f>'raw data Crude oil'!AH805</f>
        <v>53.26</v>
      </c>
      <c r="AI804">
        <f>'raw data Crude oil'!AI805</f>
        <v>53.13</v>
      </c>
      <c r="AJ804">
        <f>'raw data Crude oil'!AJ805</f>
        <v>52.99</v>
      </c>
      <c r="AK804">
        <f>'raw data Crude oil'!AK805</f>
        <v>52.911000000000001</v>
      </c>
    </row>
    <row r="805" spans="1:37" x14ac:dyDescent="0.3">
      <c r="A805" s="18">
        <f>'raw data Crude oil'!A806</f>
        <v>43873</v>
      </c>
      <c r="B805">
        <f>'raw data Crude oil'!B806</f>
        <v>55.79</v>
      </c>
      <c r="C805">
        <f>'raw data Crude oil'!C806</f>
        <v>55.91</v>
      </c>
      <c r="D805">
        <f>'raw data Crude oil'!D806</f>
        <v>56.11</v>
      </c>
      <c r="E805">
        <f>'raw data Crude oil'!E806</f>
        <v>56.14</v>
      </c>
      <c r="F805">
        <f>'raw data Crude oil'!F806</f>
        <v>56.24</v>
      </c>
      <c r="G805">
        <f>'raw data Crude oil'!G806</f>
        <v>56.29</v>
      </c>
      <c r="H805">
        <f>'raw data Crude oil'!H806</f>
        <v>56.26</v>
      </c>
      <c r="I805">
        <f>'raw data Crude oil'!I806</f>
        <v>56.23</v>
      </c>
      <c r="J805">
        <f>'raw data Crude oil'!J806</f>
        <v>56.13</v>
      </c>
      <c r="K805">
        <f>'raw data Crude oil'!K806</f>
        <v>56.06</v>
      </c>
      <c r="L805">
        <f>'raw data Crude oil'!L806</f>
        <v>56</v>
      </c>
      <c r="M805">
        <f>'raw data Crude oil'!M806</f>
        <v>55.94</v>
      </c>
      <c r="N805">
        <f>'raw data Crude oil'!N806</f>
        <v>51.17</v>
      </c>
      <c r="O805">
        <f>'raw data Crude oil'!O806</f>
        <v>51.41</v>
      </c>
      <c r="P805">
        <f>'raw data Crude oil'!P806</f>
        <v>51.68</v>
      </c>
      <c r="Q805">
        <f>'raw data Crude oil'!Q806</f>
        <v>51.91</v>
      </c>
      <c r="R805">
        <f>'raw data Crude oil'!R806</f>
        <v>52.05</v>
      </c>
      <c r="S805">
        <f>'raw data Crude oil'!S806</f>
        <v>52.11</v>
      </c>
      <c r="T805">
        <f>'raw data Crude oil'!T806</f>
        <v>52.09</v>
      </c>
      <c r="U805">
        <f>'raw data Crude oil'!U806</f>
        <v>52.06</v>
      </c>
      <c r="V805">
        <f>'raw data Crude oil'!V806</f>
        <v>52.01</v>
      </c>
      <c r="W805">
        <f>'raw data Crude oil'!W806</f>
        <v>51.94</v>
      </c>
      <c r="X805">
        <f>'raw data Crude oil'!X806</f>
        <v>51.84</v>
      </c>
      <c r="Y805">
        <f>'raw data Crude oil'!Y806</f>
        <v>51.73</v>
      </c>
      <c r="Z805">
        <f>'raw data Crude oil'!Z806</f>
        <v>54.752000000000002</v>
      </c>
      <c r="AA805">
        <f>'raw data Crude oil'!AA806</f>
        <v>54.948999999999998</v>
      </c>
      <c r="AB805">
        <f>'raw data Crude oil'!AB806</f>
        <v>55.011000000000003</v>
      </c>
      <c r="AC805">
        <f>'raw data Crude oil'!AC806</f>
        <v>54.984999999999999</v>
      </c>
      <c r="AD805">
        <f>'raw data Crude oil'!AD806</f>
        <v>54.951999999999998</v>
      </c>
      <c r="AE805">
        <f>'raw data Crude oil'!AE806</f>
        <v>54.889000000000003</v>
      </c>
      <c r="AF805">
        <f>'raw data Crude oil'!AF806</f>
        <v>54.837000000000003</v>
      </c>
      <c r="AG805">
        <f>'raw data Crude oil'!AG806</f>
        <v>54.765000000000001</v>
      </c>
      <c r="AH805">
        <f>'raw data Crude oil'!AH806</f>
        <v>54.587000000000003</v>
      </c>
      <c r="AI805">
        <f>'raw data Crude oil'!AI806</f>
        <v>54.387</v>
      </c>
      <c r="AJ805">
        <f>'raw data Crude oil'!AJ806</f>
        <v>54.185000000000002</v>
      </c>
      <c r="AK805">
        <f>'raw data Crude oil'!AK806</f>
        <v>54.009</v>
      </c>
    </row>
    <row r="806" spans="1:37" x14ac:dyDescent="0.3">
      <c r="A806" s="18">
        <f>'raw data Crude oil'!A807</f>
        <v>43874</v>
      </c>
      <c r="B806">
        <f>'raw data Crude oil'!B807</f>
        <v>56.34</v>
      </c>
      <c r="C806">
        <f>'raw data Crude oil'!C807</f>
        <v>56.38</v>
      </c>
      <c r="D806">
        <f>'raw data Crude oil'!D807</f>
        <v>56.54</v>
      </c>
      <c r="E806">
        <f>'raw data Crude oil'!E807</f>
        <v>56.55</v>
      </c>
      <c r="F806">
        <f>'raw data Crude oil'!F807</f>
        <v>56.63</v>
      </c>
      <c r="G806">
        <f>'raw data Crude oil'!G807</f>
        <v>56.66</v>
      </c>
      <c r="H806">
        <f>'raw data Crude oil'!H807</f>
        <v>56.6</v>
      </c>
      <c r="I806">
        <f>'raw data Crude oil'!I807</f>
        <v>56.54</v>
      </c>
      <c r="J806">
        <f>'raw data Crude oil'!J807</f>
        <v>56.42</v>
      </c>
      <c r="K806">
        <f>'raw data Crude oil'!K807</f>
        <v>56.33</v>
      </c>
      <c r="L806">
        <f>'raw data Crude oil'!L807</f>
        <v>56.26</v>
      </c>
      <c r="M806">
        <f>'raw data Crude oil'!M807</f>
        <v>56.19</v>
      </c>
      <c r="N806">
        <f>'raw data Crude oil'!N807</f>
        <v>51.42</v>
      </c>
      <c r="O806">
        <f>'raw data Crude oil'!O807</f>
        <v>51.66</v>
      </c>
      <c r="P806">
        <f>'raw data Crude oil'!P807</f>
        <v>51.93</v>
      </c>
      <c r="Q806">
        <f>'raw data Crude oil'!Q807</f>
        <v>52.15</v>
      </c>
      <c r="R806">
        <f>'raw data Crude oil'!R807</f>
        <v>52.28</v>
      </c>
      <c r="S806">
        <f>'raw data Crude oil'!S807</f>
        <v>52.31</v>
      </c>
      <c r="T806">
        <f>'raw data Crude oil'!T807</f>
        <v>52.27</v>
      </c>
      <c r="U806">
        <f>'raw data Crude oil'!U807</f>
        <v>52.22</v>
      </c>
      <c r="V806">
        <f>'raw data Crude oil'!V807</f>
        <v>52.16</v>
      </c>
      <c r="W806">
        <f>'raw data Crude oil'!W807</f>
        <v>52.07</v>
      </c>
      <c r="X806">
        <f>'raw data Crude oil'!X807</f>
        <v>51.96</v>
      </c>
      <c r="Y806">
        <f>'raw data Crude oil'!Y807</f>
        <v>51.83</v>
      </c>
      <c r="Z806">
        <f>'raw data Crude oil'!Z807</f>
        <v>54.932000000000002</v>
      </c>
      <c r="AA806">
        <f>'raw data Crude oil'!AA807</f>
        <v>55.317</v>
      </c>
      <c r="AB806">
        <f>'raw data Crude oil'!AB807</f>
        <v>55.42</v>
      </c>
      <c r="AC806">
        <f>'raw data Crude oil'!AC807</f>
        <v>55.423999999999999</v>
      </c>
      <c r="AD806">
        <f>'raw data Crude oil'!AD807</f>
        <v>55.381</v>
      </c>
      <c r="AE806">
        <f>'raw data Crude oil'!AE807</f>
        <v>55.326999999999998</v>
      </c>
      <c r="AF806">
        <f>'raw data Crude oil'!AF807</f>
        <v>55.264000000000003</v>
      </c>
      <c r="AG806">
        <f>'raw data Crude oil'!AG807</f>
        <v>55.174999999999997</v>
      </c>
      <c r="AH806">
        <f>'raw data Crude oil'!AH807</f>
        <v>54.975999999999999</v>
      </c>
      <c r="AI806">
        <f>'raw data Crude oil'!AI807</f>
        <v>54.777000000000001</v>
      </c>
      <c r="AJ806">
        <f>'raw data Crude oil'!AJ807</f>
        <v>54.564</v>
      </c>
      <c r="AK806">
        <f>'raw data Crude oil'!AK807</f>
        <v>54.378</v>
      </c>
    </row>
    <row r="807" spans="1:37" x14ac:dyDescent="0.3">
      <c r="A807" s="18">
        <f>'raw data Crude oil'!A808</f>
        <v>43875</v>
      </c>
      <c r="B807">
        <f>'raw data Crude oil'!B808</f>
        <v>57.32</v>
      </c>
      <c r="C807">
        <f>'raw data Crude oil'!C808</f>
        <v>57.2</v>
      </c>
      <c r="D807">
        <f>'raw data Crude oil'!D808</f>
        <v>57.25</v>
      </c>
      <c r="E807">
        <f>'raw data Crude oil'!E808</f>
        <v>57.19</v>
      </c>
      <c r="F807">
        <f>'raw data Crude oil'!F808</f>
        <v>57.19</v>
      </c>
      <c r="G807">
        <f>'raw data Crude oil'!G808</f>
        <v>57.15</v>
      </c>
      <c r="H807">
        <f>'raw data Crude oil'!H808</f>
        <v>57.04</v>
      </c>
      <c r="I807">
        <f>'raw data Crude oil'!I808</f>
        <v>56.93</v>
      </c>
      <c r="J807">
        <f>'raw data Crude oil'!J808</f>
        <v>56.78</v>
      </c>
      <c r="K807">
        <f>'raw data Crude oil'!K808</f>
        <v>56.67</v>
      </c>
      <c r="L807">
        <f>'raw data Crude oil'!L808</f>
        <v>56.58</v>
      </c>
      <c r="M807">
        <f>'raw data Crude oil'!M808</f>
        <v>56.5</v>
      </c>
      <c r="N807">
        <f>'raw data Crude oil'!N808</f>
        <v>52.05</v>
      </c>
      <c r="O807">
        <f>'raw data Crude oil'!O808</f>
        <v>52.32</v>
      </c>
      <c r="P807">
        <f>'raw data Crude oil'!P808</f>
        <v>52.6</v>
      </c>
      <c r="Q807">
        <f>'raw data Crude oil'!Q808</f>
        <v>52.79</v>
      </c>
      <c r="R807">
        <f>'raw data Crude oil'!R808</f>
        <v>52.87</v>
      </c>
      <c r="S807">
        <f>'raw data Crude oil'!S808</f>
        <v>52.85</v>
      </c>
      <c r="T807">
        <f>'raw data Crude oil'!T808</f>
        <v>52.77</v>
      </c>
      <c r="U807">
        <f>'raw data Crude oil'!U808</f>
        <v>52.67</v>
      </c>
      <c r="V807">
        <f>'raw data Crude oil'!V808</f>
        <v>52.57</v>
      </c>
      <c r="W807">
        <f>'raw data Crude oil'!W808</f>
        <v>52.45</v>
      </c>
      <c r="X807">
        <f>'raw data Crude oil'!X808</f>
        <v>52.31</v>
      </c>
      <c r="Y807">
        <f>'raw data Crude oil'!Y808</f>
        <v>52.16</v>
      </c>
      <c r="Z807">
        <f>'raw data Crude oil'!Z808</f>
        <v>55.058999999999997</v>
      </c>
      <c r="AA807">
        <f>'raw data Crude oil'!AA808</f>
        <v>55.851999999999997</v>
      </c>
      <c r="AB807">
        <f>'raw data Crude oil'!AB808</f>
        <v>55.976999999999997</v>
      </c>
      <c r="AC807">
        <f>'raw data Crude oil'!AC808</f>
        <v>55.99</v>
      </c>
      <c r="AD807">
        <f>'raw data Crude oil'!AD808</f>
        <v>55.917999999999999</v>
      </c>
      <c r="AE807">
        <f>'raw data Crude oil'!AE808</f>
        <v>55.784999999999997</v>
      </c>
      <c r="AF807">
        <f>'raw data Crude oil'!AF808</f>
        <v>55.65</v>
      </c>
      <c r="AG807">
        <f>'raw data Crude oil'!AG808</f>
        <v>55.493000000000002</v>
      </c>
      <c r="AH807">
        <f>'raw data Crude oil'!AH808</f>
        <v>55.295000000000002</v>
      </c>
      <c r="AI807">
        <f>'raw data Crude oil'!AI808</f>
        <v>55.085999999999999</v>
      </c>
      <c r="AJ807">
        <f>'raw data Crude oil'!AJ808</f>
        <v>54.872999999999998</v>
      </c>
      <c r="AK807">
        <f>'raw data Crude oil'!AK808</f>
        <v>54.686999999999998</v>
      </c>
    </row>
    <row r="808" spans="1:37" x14ac:dyDescent="0.3">
      <c r="A808" s="18">
        <f>'raw data Crude oil'!A809</f>
        <v>43878</v>
      </c>
      <c r="B808">
        <f>'raw data Crude oil'!B809</f>
        <v>57.67</v>
      </c>
      <c r="C808">
        <f>'raw data Crude oil'!C809</f>
        <v>57.49</v>
      </c>
      <c r="D808">
        <f>'raw data Crude oil'!D809</f>
        <v>57.5</v>
      </c>
      <c r="E808">
        <f>'raw data Crude oil'!E809</f>
        <v>57.4</v>
      </c>
      <c r="F808">
        <f>'raw data Crude oil'!F809</f>
        <v>57.37</v>
      </c>
      <c r="G808">
        <f>'raw data Crude oil'!G809</f>
        <v>57.31</v>
      </c>
      <c r="H808">
        <f>'raw data Crude oil'!H809</f>
        <v>57.21</v>
      </c>
      <c r="I808">
        <f>'raw data Crude oil'!I809</f>
        <v>57.09</v>
      </c>
      <c r="J808">
        <f>'raw data Crude oil'!J809</f>
        <v>56.95</v>
      </c>
      <c r="K808">
        <f>'raw data Crude oil'!K809</f>
        <v>56.84</v>
      </c>
      <c r="L808">
        <f>'raw data Crude oil'!L809</f>
        <v>56.75</v>
      </c>
      <c r="M808">
        <f>'raw data Crude oil'!M809</f>
        <v>56.68</v>
      </c>
      <c r="N808">
        <f>'raw data Crude oil'!N809</f>
        <v>52.05</v>
      </c>
      <c r="O808">
        <f>'raw data Crude oil'!O809</f>
        <v>52.32</v>
      </c>
      <c r="P808">
        <f>'raw data Crude oil'!P809</f>
        <v>52.6</v>
      </c>
      <c r="Q808">
        <f>'raw data Crude oil'!Q809</f>
        <v>52.79</v>
      </c>
      <c r="R808">
        <f>'raw data Crude oil'!R809</f>
        <v>52.87</v>
      </c>
      <c r="S808">
        <f>'raw data Crude oil'!S809</f>
        <v>52.85</v>
      </c>
      <c r="T808">
        <f>'raw data Crude oil'!T809</f>
        <v>52.77</v>
      </c>
      <c r="U808">
        <f>'raw data Crude oil'!U809</f>
        <v>52.67</v>
      </c>
      <c r="V808">
        <f>'raw data Crude oil'!V809</f>
        <v>52.57</v>
      </c>
      <c r="W808">
        <f>'raw data Crude oil'!W809</f>
        <v>52.45</v>
      </c>
      <c r="X808">
        <f>'raw data Crude oil'!X809</f>
        <v>52.31</v>
      </c>
      <c r="Y808">
        <f>'raw data Crude oil'!Y809</f>
        <v>52.16</v>
      </c>
      <c r="Z808">
        <f>'raw data Crude oil'!Z809</f>
        <v>55.279000000000003</v>
      </c>
      <c r="AA808">
        <f>'raw data Crude oil'!AA809</f>
        <v>56.18</v>
      </c>
      <c r="AB808">
        <f>'raw data Crude oil'!AB809</f>
        <v>56.305</v>
      </c>
      <c r="AC808">
        <f>'raw data Crude oil'!AC809</f>
        <v>56.289000000000001</v>
      </c>
      <c r="AD808">
        <f>'raw data Crude oil'!AD809</f>
        <v>56.186999999999998</v>
      </c>
      <c r="AE808">
        <f>'raw data Crude oil'!AE809</f>
        <v>56.045999999999999</v>
      </c>
      <c r="AF808">
        <f>'raw data Crude oil'!AF809</f>
        <v>55.899000000000001</v>
      </c>
      <c r="AG808">
        <f>'raw data Crude oil'!AG809</f>
        <v>55.753999999999998</v>
      </c>
      <c r="AH808">
        <f>'raw data Crude oil'!AH809</f>
        <v>55.555</v>
      </c>
      <c r="AI808">
        <f>'raw data Crude oil'!AI809</f>
        <v>55.326000000000001</v>
      </c>
      <c r="AJ808">
        <f>'raw data Crude oil'!AJ809</f>
        <v>55.094000000000001</v>
      </c>
      <c r="AK808">
        <f>'raw data Crude oil'!AK809</f>
        <v>54.917000000000002</v>
      </c>
    </row>
    <row r="809" spans="1:37" x14ac:dyDescent="0.3">
      <c r="A809" s="18">
        <f>'raw data Crude oil'!A810</f>
        <v>43879</v>
      </c>
      <c r="B809">
        <f>'raw data Crude oil'!B810</f>
        <v>57.75</v>
      </c>
      <c r="C809">
        <f>'raw data Crude oil'!C810</f>
        <v>57.51</v>
      </c>
      <c r="D809">
        <f>'raw data Crude oil'!D810</f>
        <v>57.52</v>
      </c>
      <c r="E809">
        <f>'raw data Crude oil'!E810</f>
        <v>57.41</v>
      </c>
      <c r="F809">
        <f>'raw data Crude oil'!F810</f>
        <v>57.37</v>
      </c>
      <c r="G809">
        <f>'raw data Crude oil'!G810</f>
        <v>57.3</v>
      </c>
      <c r="H809">
        <f>'raw data Crude oil'!H810</f>
        <v>57.2</v>
      </c>
      <c r="I809">
        <f>'raw data Crude oil'!I810</f>
        <v>57.09</v>
      </c>
      <c r="J809">
        <f>'raw data Crude oil'!J810</f>
        <v>56.96</v>
      </c>
      <c r="K809">
        <f>'raw data Crude oil'!K810</f>
        <v>56.86</v>
      </c>
      <c r="L809">
        <f>'raw data Crude oil'!L810</f>
        <v>56.78</v>
      </c>
      <c r="M809">
        <f>'raw data Crude oil'!M810</f>
        <v>56.72</v>
      </c>
      <c r="N809">
        <f>'raw data Crude oil'!N810</f>
        <v>52.05</v>
      </c>
      <c r="O809">
        <f>'raw data Crude oil'!O810</f>
        <v>52.29</v>
      </c>
      <c r="P809">
        <f>'raw data Crude oil'!P810</f>
        <v>52.58</v>
      </c>
      <c r="Q809">
        <f>'raw data Crude oil'!Q810</f>
        <v>52.82</v>
      </c>
      <c r="R809">
        <f>'raw data Crude oil'!R810</f>
        <v>52.94</v>
      </c>
      <c r="S809">
        <f>'raw data Crude oil'!S810</f>
        <v>52.94</v>
      </c>
      <c r="T809">
        <f>'raw data Crude oil'!T810</f>
        <v>52.87</v>
      </c>
      <c r="U809">
        <f>'raw data Crude oil'!U810</f>
        <v>52.77</v>
      </c>
      <c r="V809">
        <f>'raw data Crude oil'!V810</f>
        <v>52.69</v>
      </c>
      <c r="W809">
        <f>'raw data Crude oil'!W810</f>
        <v>52.58</v>
      </c>
      <c r="X809">
        <f>'raw data Crude oil'!X810</f>
        <v>52.46</v>
      </c>
      <c r="Y809">
        <f>'raw data Crude oil'!Y810</f>
        <v>52.33</v>
      </c>
      <c r="Z809">
        <f>'raw data Crude oil'!Z810</f>
        <v>55.128999999999998</v>
      </c>
      <c r="AA809">
        <f>'raw data Crude oil'!AA810</f>
        <v>56.01</v>
      </c>
      <c r="AB809">
        <f>'raw data Crude oil'!AB810</f>
        <v>56.148000000000003</v>
      </c>
      <c r="AC809">
        <f>'raw data Crude oil'!AC810</f>
        <v>56.155999999999999</v>
      </c>
      <c r="AD809">
        <f>'raw data Crude oil'!AD810</f>
        <v>56.103999999999999</v>
      </c>
      <c r="AE809">
        <f>'raw data Crude oil'!AE810</f>
        <v>55.996000000000002</v>
      </c>
      <c r="AF809">
        <f>'raw data Crude oil'!AF810</f>
        <v>55.88</v>
      </c>
      <c r="AG809">
        <f>'raw data Crude oil'!AG810</f>
        <v>55.723999999999997</v>
      </c>
      <c r="AH809">
        <f>'raw data Crude oil'!AH810</f>
        <v>55.555</v>
      </c>
      <c r="AI809">
        <f>'raw data Crude oil'!AI810</f>
        <v>55.366</v>
      </c>
      <c r="AJ809">
        <f>'raw data Crude oil'!AJ810</f>
        <v>55.174999999999997</v>
      </c>
      <c r="AK809">
        <f>'raw data Crude oil'!AK810</f>
        <v>54.978000000000002</v>
      </c>
    </row>
    <row r="810" spans="1:37" x14ac:dyDescent="0.3">
      <c r="A810" s="18">
        <f>'raw data Crude oil'!A811</f>
        <v>43880</v>
      </c>
      <c r="B810">
        <f>'raw data Crude oil'!B811</f>
        <v>59.12</v>
      </c>
      <c r="C810">
        <f>'raw data Crude oil'!C811</f>
        <v>58.72</v>
      </c>
      <c r="D810">
        <f>'raw data Crude oil'!D811</f>
        <v>58.58</v>
      </c>
      <c r="E810">
        <f>'raw data Crude oil'!E811</f>
        <v>58.35</v>
      </c>
      <c r="F810">
        <f>'raw data Crude oil'!F811</f>
        <v>58.24</v>
      </c>
      <c r="G810">
        <f>'raw data Crude oil'!G811</f>
        <v>58.14</v>
      </c>
      <c r="H810">
        <f>'raw data Crude oil'!H811</f>
        <v>58.02</v>
      </c>
      <c r="I810">
        <f>'raw data Crude oil'!I811</f>
        <v>57.88</v>
      </c>
      <c r="J810">
        <f>'raw data Crude oil'!J811</f>
        <v>57.73</v>
      </c>
      <c r="K810">
        <f>'raw data Crude oil'!K811</f>
        <v>57.61</v>
      </c>
      <c r="L810">
        <f>'raw data Crude oil'!L811</f>
        <v>57.51</v>
      </c>
      <c r="M810">
        <f>'raw data Crude oil'!M811</f>
        <v>57.43</v>
      </c>
      <c r="N810">
        <f>'raw data Crude oil'!N811</f>
        <v>53.29</v>
      </c>
      <c r="O810">
        <f>'raw data Crude oil'!O811</f>
        <v>53.49</v>
      </c>
      <c r="P810">
        <f>'raw data Crude oil'!P811</f>
        <v>53.74</v>
      </c>
      <c r="Q810">
        <f>'raw data Crude oil'!Q811</f>
        <v>53.9</v>
      </c>
      <c r="R810">
        <f>'raw data Crude oil'!R811</f>
        <v>53.95</v>
      </c>
      <c r="S810">
        <f>'raw data Crude oil'!S811</f>
        <v>53.9</v>
      </c>
      <c r="T810">
        <f>'raw data Crude oil'!T811</f>
        <v>53.78</v>
      </c>
      <c r="U810">
        <f>'raw data Crude oil'!U811</f>
        <v>53.63</v>
      </c>
      <c r="V810">
        <f>'raw data Crude oil'!V811</f>
        <v>53.5</v>
      </c>
      <c r="W810">
        <f>'raw data Crude oil'!W811</f>
        <v>53.36</v>
      </c>
      <c r="X810">
        <f>'raw data Crude oil'!X811</f>
        <v>53.2</v>
      </c>
      <c r="Y810">
        <f>'raw data Crude oil'!Y811</f>
        <v>53.04</v>
      </c>
      <c r="Z810">
        <f>'raw data Crude oil'!Z811</f>
        <v>55.554000000000002</v>
      </c>
      <c r="AA810">
        <f>'raw data Crude oil'!AA811</f>
        <v>57.454000000000001</v>
      </c>
      <c r="AB810">
        <f>'raw data Crude oil'!AB811</f>
        <v>57.539000000000001</v>
      </c>
      <c r="AC810">
        <f>'raw data Crude oil'!AC811</f>
        <v>57.344999999999999</v>
      </c>
      <c r="AD810">
        <f>'raw data Crude oil'!AD811</f>
        <v>57.140999999999998</v>
      </c>
      <c r="AE810">
        <f>'raw data Crude oil'!AE811</f>
        <v>56.935000000000002</v>
      </c>
      <c r="AF810">
        <f>'raw data Crude oil'!AF811</f>
        <v>56.726999999999997</v>
      </c>
      <c r="AG810">
        <f>'raw data Crude oil'!AG811</f>
        <v>56.512999999999998</v>
      </c>
      <c r="AH810">
        <f>'raw data Crude oil'!AH811</f>
        <v>56.295000000000002</v>
      </c>
      <c r="AI810">
        <f>'raw data Crude oil'!AI811</f>
        <v>56.064999999999998</v>
      </c>
      <c r="AJ810">
        <f>'raw data Crude oil'!AJ811</f>
        <v>55.832999999999998</v>
      </c>
      <c r="AK810">
        <f>'raw data Crude oil'!AK811</f>
        <v>55.656999999999996</v>
      </c>
    </row>
    <row r="811" spans="1:37" x14ac:dyDescent="0.3">
      <c r="A811" s="18">
        <f>'raw data Crude oil'!A812</f>
        <v>43881</v>
      </c>
      <c r="B811">
        <f>'raw data Crude oil'!B812</f>
        <v>59.31</v>
      </c>
      <c r="C811">
        <f>'raw data Crude oil'!C812</f>
        <v>58.8</v>
      </c>
      <c r="D811">
        <f>'raw data Crude oil'!D812</f>
        <v>58.57</v>
      </c>
      <c r="E811">
        <f>'raw data Crude oil'!E812</f>
        <v>58.27</v>
      </c>
      <c r="F811">
        <f>'raw data Crude oil'!F812</f>
        <v>58.1</v>
      </c>
      <c r="G811">
        <f>'raw data Crude oil'!G812</f>
        <v>57.98</v>
      </c>
      <c r="H811">
        <f>'raw data Crude oil'!H812</f>
        <v>57.86</v>
      </c>
      <c r="I811">
        <f>'raw data Crude oil'!I812</f>
        <v>57.74</v>
      </c>
      <c r="J811">
        <f>'raw data Crude oil'!J812</f>
        <v>57.61</v>
      </c>
      <c r="K811">
        <f>'raw data Crude oil'!K812</f>
        <v>57.5</v>
      </c>
      <c r="L811">
        <f>'raw data Crude oil'!L812</f>
        <v>57.41</v>
      </c>
      <c r="M811">
        <f>'raw data Crude oil'!M812</f>
        <v>57.33</v>
      </c>
      <c r="N811">
        <f>'raw data Crude oil'!N812</f>
        <v>53.78</v>
      </c>
      <c r="O811">
        <f>'raw data Crude oil'!O812</f>
        <v>53.88</v>
      </c>
      <c r="P811">
        <f>'raw data Crude oil'!P812</f>
        <v>54.06</v>
      </c>
      <c r="Q811">
        <f>'raw data Crude oil'!Q812</f>
        <v>54.13</v>
      </c>
      <c r="R811">
        <f>'raw data Crude oil'!R812</f>
        <v>54.1</v>
      </c>
      <c r="S811">
        <f>'raw data Crude oil'!S812</f>
        <v>53.98</v>
      </c>
      <c r="T811">
        <f>'raw data Crude oil'!T812</f>
        <v>53.81</v>
      </c>
      <c r="U811">
        <f>'raw data Crude oil'!U812</f>
        <v>53.63</v>
      </c>
      <c r="V811">
        <f>'raw data Crude oil'!V812</f>
        <v>53.48</v>
      </c>
      <c r="W811">
        <f>'raw data Crude oil'!W812</f>
        <v>53.32</v>
      </c>
      <c r="X811">
        <f>'raw data Crude oil'!X812</f>
        <v>53.15</v>
      </c>
      <c r="Y811">
        <f>'raw data Crude oil'!Y812</f>
        <v>52.97</v>
      </c>
      <c r="Z811">
        <f>'raw data Crude oil'!Z812</f>
        <v>55.527999999999999</v>
      </c>
      <c r="AA811">
        <f>'raw data Crude oil'!AA812</f>
        <v>57.41</v>
      </c>
      <c r="AB811">
        <f>'raw data Crude oil'!AB812</f>
        <v>57.526000000000003</v>
      </c>
      <c r="AC811">
        <f>'raw data Crude oil'!AC812</f>
        <v>57.31</v>
      </c>
      <c r="AD811">
        <f>'raw data Crude oil'!AD812</f>
        <v>57.03</v>
      </c>
      <c r="AE811">
        <f>'raw data Crude oil'!AE812</f>
        <v>56.765999999999998</v>
      </c>
      <c r="AF811">
        <f>'raw data Crude oil'!AF812</f>
        <v>56.555999999999997</v>
      </c>
      <c r="AG811">
        <f>'raw data Crude oil'!AG812</f>
        <v>56.363999999999997</v>
      </c>
      <c r="AH811">
        <f>'raw data Crude oil'!AH812</f>
        <v>56.167000000000002</v>
      </c>
      <c r="AI811">
        <f>'raw data Crude oil'!AI812</f>
        <v>55.966000000000001</v>
      </c>
      <c r="AJ811">
        <f>'raw data Crude oil'!AJ812</f>
        <v>55.753</v>
      </c>
      <c r="AK811">
        <f>'raw data Crude oil'!AK812</f>
        <v>55.585999999999999</v>
      </c>
    </row>
    <row r="812" spans="1:37" x14ac:dyDescent="0.3">
      <c r="A812" s="18">
        <f>'raw data Crude oil'!A813</f>
        <v>43882</v>
      </c>
      <c r="B812">
        <f>'raw data Crude oil'!B813</f>
        <v>58.5</v>
      </c>
      <c r="C812">
        <f>'raw data Crude oil'!C813</f>
        <v>57.94</v>
      </c>
      <c r="D812">
        <f>'raw data Crude oil'!D813</f>
        <v>57.72</v>
      </c>
      <c r="E812">
        <f>'raw data Crude oil'!E813</f>
        <v>57.45</v>
      </c>
      <c r="F812">
        <f>'raw data Crude oil'!F813</f>
        <v>57.33</v>
      </c>
      <c r="G812">
        <f>'raw data Crude oil'!G813</f>
        <v>57.24</v>
      </c>
      <c r="H812">
        <f>'raw data Crude oil'!H813</f>
        <v>57.14</v>
      </c>
      <c r="I812">
        <f>'raw data Crude oil'!I813</f>
        <v>57.05</v>
      </c>
      <c r="J812">
        <f>'raw data Crude oil'!J813</f>
        <v>56.95</v>
      </c>
      <c r="K812">
        <f>'raw data Crude oil'!K813</f>
        <v>56.87</v>
      </c>
      <c r="L812">
        <f>'raw data Crude oil'!L813</f>
        <v>56.81</v>
      </c>
      <c r="M812">
        <f>'raw data Crude oil'!M813</f>
        <v>56.75</v>
      </c>
      <c r="N812">
        <f>'raw data Crude oil'!N813</f>
        <v>53.38</v>
      </c>
      <c r="O812">
        <f>'raw data Crude oil'!O813</f>
        <v>53.5</v>
      </c>
      <c r="P812">
        <f>'raw data Crude oil'!P813</f>
        <v>53.54</v>
      </c>
      <c r="Q812">
        <f>'raw data Crude oil'!Q813</f>
        <v>53.5</v>
      </c>
      <c r="R812">
        <f>'raw data Crude oil'!R813</f>
        <v>53.37</v>
      </c>
      <c r="S812">
        <f>'raw data Crude oil'!S813</f>
        <v>53.2</v>
      </c>
      <c r="T812">
        <f>'raw data Crude oil'!T813</f>
        <v>53.04</v>
      </c>
      <c r="U812">
        <f>'raw data Crude oil'!U813</f>
        <v>52.89</v>
      </c>
      <c r="V812">
        <f>'raw data Crude oil'!V813</f>
        <v>52.75</v>
      </c>
      <c r="W812">
        <f>'raw data Crude oil'!W813</f>
        <v>52.6</v>
      </c>
      <c r="X812">
        <f>'raw data Crude oil'!X813</f>
        <v>52.44</v>
      </c>
      <c r="Y812">
        <f>'raw data Crude oil'!Y813</f>
        <v>52.31</v>
      </c>
      <c r="Z812">
        <f>'raw data Crude oil'!Z813</f>
        <v>55.222999999999999</v>
      </c>
      <c r="AA812">
        <f>'raw data Crude oil'!AA813</f>
        <v>56.52</v>
      </c>
      <c r="AB812">
        <f>'raw data Crude oil'!AB813</f>
        <v>56.697000000000003</v>
      </c>
      <c r="AC812">
        <f>'raw data Crude oil'!AC813</f>
        <v>56.473999999999997</v>
      </c>
      <c r="AD812">
        <f>'raw data Crude oil'!AD813</f>
        <v>56.206000000000003</v>
      </c>
      <c r="AE812">
        <f>'raw data Crude oil'!AE813</f>
        <v>55.956000000000003</v>
      </c>
      <c r="AF812">
        <f>'raw data Crude oil'!AF813</f>
        <v>55.790999999999997</v>
      </c>
      <c r="AG812">
        <f>'raw data Crude oil'!AG813</f>
        <v>55.628</v>
      </c>
      <c r="AH812">
        <f>'raw data Crude oil'!AH813</f>
        <v>55.445999999999998</v>
      </c>
      <c r="AI812">
        <f>'raw data Crude oil'!AI813</f>
        <v>55.256999999999998</v>
      </c>
      <c r="AJ812">
        <f>'raw data Crude oil'!AJ813</f>
        <v>55.064999999999998</v>
      </c>
      <c r="AK812">
        <f>'raw data Crude oil'!AK813</f>
        <v>54.927999999999997</v>
      </c>
    </row>
    <row r="813" spans="1:37" x14ac:dyDescent="0.3">
      <c r="A813" s="18">
        <f>'raw data Crude oil'!A814</f>
        <v>43885</v>
      </c>
      <c r="B813">
        <f>'raw data Crude oil'!B814</f>
        <v>56.3</v>
      </c>
      <c r="C813">
        <f>'raw data Crude oil'!C814</f>
        <v>55.77</v>
      </c>
      <c r="D813">
        <f>'raw data Crude oil'!D814</f>
        <v>55.75</v>
      </c>
      <c r="E813">
        <f>'raw data Crude oil'!E814</f>
        <v>55.67</v>
      </c>
      <c r="F813">
        <f>'raw data Crude oil'!F814</f>
        <v>55.71</v>
      </c>
      <c r="G813">
        <f>'raw data Crude oil'!G814</f>
        <v>55.77</v>
      </c>
      <c r="H813">
        <f>'raw data Crude oil'!H814</f>
        <v>55.78</v>
      </c>
      <c r="I813">
        <f>'raw data Crude oil'!I814</f>
        <v>55.78</v>
      </c>
      <c r="J813">
        <f>'raw data Crude oil'!J814</f>
        <v>55.76</v>
      </c>
      <c r="K813">
        <f>'raw data Crude oil'!K814</f>
        <v>55.75</v>
      </c>
      <c r="L813">
        <f>'raw data Crude oil'!L814</f>
        <v>55.74</v>
      </c>
      <c r="M813">
        <f>'raw data Crude oil'!M814</f>
        <v>55.75</v>
      </c>
      <c r="N813">
        <f>'raw data Crude oil'!N814</f>
        <v>51.43</v>
      </c>
      <c r="O813">
        <f>'raw data Crude oil'!O814</f>
        <v>51.58</v>
      </c>
      <c r="P813">
        <f>'raw data Crude oil'!P814</f>
        <v>51.67</v>
      </c>
      <c r="Q813">
        <f>'raw data Crude oil'!Q814</f>
        <v>51.72</v>
      </c>
      <c r="R813">
        <f>'raw data Crude oil'!R814</f>
        <v>51.71</v>
      </c>
      <c r="S813">
        <f>'raw data Crude oil'!S814</f>
        <v>51.66</v>
      </c>
      <c r="T813">
        <f>'raw data Crude oil'!T814</f>
        <v>51.61</v>
      </c>
      <c r="U813">
        <f>'raw data Crude oil'!U814</f>
        <v>51.59</v>
      </c>
      <c r="V813">
        <f>'raw data Crude oil'!V814</f>
        <v>51.56</v>
      </c>
      <c r="W813">
        <f>'raw data Crude oil'!W814</f>
        <v>51.5</v>
      </c>
      <c r="X813">
        <f>'raw data Crude oil'!X814</f>
        <v>51.43</v>
      </c>
      <c r="Y813">
        <f>'raw data Crude oil'!Y814</f>
        <v>51.36</v>
      </c>
      <c r="Z813">
        <f>'raw data Crude oil'!Z814</f>
        <v>54.802</v>
      </c>
      <c r="AA813">
        <f>'raw data Crude oil'!AA814</f>
        <v>54.469000000000001</v>
      </c>
      <c r="AB813">
        <f>'raw data Crude oil'!AB814</f>
        <v>54.725999999999999</v>
      </c>
      <c r="AC813">
        <f>'raw data Crude oil'!AC814</f>
        <v>54.646999999999998</v>
      </c>
      <c r="AD813">
        <f>'raw data Crude oil'!AD814</f>
        <v>54.563000000000002</v>
      </c>
      <c r="AE813">
        <f>'raw data Crude oil'!AE814</f>
        <v>54.48</v>
      </c>
      <c r="AF813">
        <f>'raw data Crude oil'!AF814</f>
        <v>54.41</v>
      </c>
      <c r="AG813">
        <f>'raw data Crude oil'!AG814</f>
        <v>54.289000000000001</v>
      </c>
      <c r="AH813">
        <f>'raw data Crude oil'!AH814</f>
        <v>54.17</v>
      </c>
      <c r="AI813">
        <f>'raw data Crude oil'!AI814</f>
        <v>54.05</v>
      </c>
      <c r="AJ813">
        <f>'raw data Crude oil'!AJ814</f>
        <v>53.911000000000001</v>
      </c>
      <c r="AK813">
        <f>'raw data Crude oil'!AK814</f>
        <v>53.83</v>
      </c>
    </row>
    <row r="814" spans="1:37" x14ac:dyDescent="0.3">
      <c r="A814" s="18">
        <f>'raw data Crude oil'!A815</f>
        <v>43886</v>
      </c>
      <c r="B814">
        <f>'raw data Crude oil'!B815</f>
        <v>54.95</v>
      </c>
      <c r="C814">
        <f>'raw data Crude oil'!C815</f>
        <v>54.26</v>
      </c>
      <c r="D814">
        <f>'raw data Crude oil'!D815</f>
        <v>54.23</v>
      </c>
      <c r="E814">
        <f>'raw data Crude oil'!E815</f>
        <v>54.16</v>
      </c>
      <c r="F814">
        <f>'raw data Crude oil'!F815</f>
        <v>54.19</v>
      </c>
      <c r="G814">
        <f>'raw data Crude oil'!G815</f>
        <v>54.24</v>
      </c>
      <c r="H814">
        <f>'raw data Crude oil'!H815</f>
        <v>54.25</v>
      </c>
      <c r="I814">
        <f>'raw data Crude oil'!I815</f>
        <v>54.24</v>
      </c>
      <c r="J814">
        <f>'raw data Crude oil'!J815</f>
        <v>54.22</v>
      </c>
      <c r="K814">
        <f>'raw data Crude oil'!K815</f>
        <v>54.22</v>
      </c>
      <c r="L814">
        <f>'raw data Crude oil'!L815</f>
        <v>54.22</v>
      </c>
      <c r="M814">
        <f>'raw data Crude oil'!M815</f>
        <v>54.23</v>
      </c>
      <c r="N814">
        <f>'raw data Crude oil'!N815</f>
        <v>49.9</v>
      </c>
      <c r="O814">
        <f>'raw data Crude oil'!O815</f>
        <v>50.06</v>
      </c>
      <c r="P814">
        <f>'raw data Crude oil'!P815</f>
        <v>50.13</v>
      </c>
      <c r="Q814">
        <f>'raw data Crude oil'!Q815</f>
        <v>50.14</v>
      </c>
      <c r="R814">
        <f>'raw data Crude oil'!R815</f>
        <v>50.11</v>
      </c>
      <c r="S814">
        <f>'raw data Crude oil'!S815</f>
        <v>50.06</v>
      </c>
      <c r="T814">
        <f>'raw data Crude oil'!T815</f>
        <v>50</v>
      </c>
      <c r="U814">
        <f>'raw data Crude oil'!U815</f>
        <v>49.98</v>
      </c>
      <c r="V814">
        <f>'raw data Crude oil'!V815</f>
        <v>49.96</v>
      </c>
      <c r="W814">
        <f>'raw data Crude oil'!W815</f>
        <v>49.91</v>
      </c>
      <c r="X814">
        <f>'raw data Crude oil'!X815</f>
        <v>49.85</v>
      </c>
      <c r="Y814">
        <f>'raw data Crude oil'!Y815</f>
        <v>49.79</v>
      </c>
      <c r="Z814">
        <f>'raw data Crude oil'!Z815</f>
        <v>54.552</v>
      </c>
      <c r="AA814">
        <f>'raw data Crude oil'!AA815</f>
        <v>52.908000000000001</v>
      </c>
      <c r="AB814">
        <f>'raw data Crude oil'!AB815</f>
        <v>53.204000000000001</v>
      </c>
      <c r="AC814">
        <f>'raw data Crude oil'!AC815</f>
        <v>53.136000000000003</v>
      </c>
      <c r="AD814">
        <f>'raw data Crude oil'!AD815</f>
        <v>53.061999999999998</v>
      </c>
      <c r="AE814">
        <f>'raw data Crude oil'!AE815</f>
        <v>52.98</v>
      </c>
      <c r="AF814">
        <f>'raw data Crude oil'!AF815</f>
        <v>52.899000000000001</v>
      </c>
      <c r="AG814">
        <f>'raw data Crude oil'!AG815</f>
        <v>52.798999999999999</v>
      </c>
      <c r="AH814">
        <f>'raw data Crude oil'!AH815</f>
        <v>52.68</v>
      </c>
      <c r="AI814">
        <f>'raw data Crude oil'!AI815</f>
        <v>52.55</v>
      </c>
      <c r="AJ814">
        <f>'raw data Crude oil'!AJ815</f>
        <v>52.430999999999997</v>
      </c>
      <c r="AK814">
        <f>'raw data Crude oil'!AK815</f>
        <v>52.331000000000003</v>
      </c>
    </row>
    <row r="815" spans="1:37" x14ac:dyDescent="0.3">
      <c r="A815" s="18">
        <f>'raw data Crude oil'!A816</f>
        <v>43887</v>
      </c>
      <c r="B815">
        <f>'raw data Crude oil'!B816</f>
        <v>53.43</v>
      </c>
      <c r="C815">
        <f>'raw data Crude oil'!C816</f>
        <v>52.81</v>
      </c>
      <c r="D815">
        <f>'raw data Crude oil'!D816</f>
        <v>52.8</v>
      </c>
      <c r="E815">
        <f>'raw data Crude oil'!E816</f>
        <v>52.8</v>
      </c>
      <c r="F815">
        <f>'raw data Crude oil'!F816</f>
        <v>52.9</v>
      </c>
      <c r="G815">
        <f>'raw data Crude oil'!G816</f>
        <v>53.01</v>
      </c>
      <c r="H815">
        <f>'raw data Crude oil'!H816</f>
        <v>53.09</v>
      </c>
      <c r="I815">
        <f>'raw data Crude oil'!I816</f>
        <v>53.15</v>
      </c>
      <c r="J815">
        <f>'raw data Crude oil'!J816</f>
        <v>53.19</v>
      </c>
      <c r="K815">
        <f>'raw data Crude oil'!K816</f>
        <v>53.24</v>
      </c>
      <c r="L815">
        <f>'raw data Crude oil'!L816</f>
        <v>53.3</v>
      </c>
      <c r="M815">
        <f>'raw data Crude oil'!M816</f>
        <v>53.36</v>
      </c>
      <c r="N815">
        <f>'raw data Crude oil'!N816</f>
        <v>48.73</v>
      </c>
      <c r="O815">
        <f>'raw data Crude oil'!O816</f>
        <v>48.88</v>
      </c>
      <c r="P815">
        <f>'raw data Crude oil'!P816</f>
        <v>48.96</v>
      </c>
      <c r="Q815">
        <f>'raw data Crude oil'!Q816</f>
        <v>48.99</v>
      </c>
      <c r="R815">
        <f>'raw data Crude oil'!R816</f>
        <v>49</v>
      </c>
      <c r="S815">
        <f>'raw data Crude oil'!S816</f>
        <v>48.99</v>
      </c>
      <c r="T815">
        <f>'raw data Crude oil'!T816</f>
        <v>48.99</v>
      </c>
      <c r="U815">
        <f>'raw data Crude oil'!U816</f>
        <v>49.03</v>
      </c>
      <c r="V815">
        <f>'raw data Crude oil'!V816</f>
        <v>49.06</v>
      </c>
      <c r="W815">
        <f>'raw data Crude oil'!W816</f>
        <v>49.06</v>
      </c>
      <c r="X815">
        <f>'raw data Crude oil'!X816</f>
        <v>49.04</v>
      </c>
      <c r="Y815">
        <f>'raw data Crude oil'!Y816</f>
        <v>49.01</v>
      </c>
      <c r="Z815">
        <f>'raw data Crude oil'!Z816</f>
        <v>54.374000000000002</v>
      </c>
      <c r="AA815">
        <f>'raw data Crude oil'!AA816</f>
        <v>51.4</v>
      </c>
      <c r="AB815">
        <f>'raw data Crude oil'!AB816</f>
        <v>51.759</v>
      </c>
      <c r="AC815">
        <f>'raw data Crude oil'!AC816</f>
        <v>51.765999999999998</v>
      </c>
      <c r="AD815">
        <f>'raw data Crude oil'!AD816</f>
        <v>51.738999999999997</v>
      </c>
      <c r="AE815">
        <f>'raw data Crude oil'!AE816</f>
        <v>51.692999999999998</v>
      </c>
      <c r="AF815">
        <f>'raw data Crude oil'!AF816</f>
        <v>51.665999999999997</v>
      </c>
      <c r="AG815">
        <f>'raw data Crude oil'!AG816</f>
        <v>51.648000000000003</v>
      </c>
      <c r="AH815">
        <f>'raw data Crude oil'!AH816</f>
        <v>51.597000000000001</v>
      </c>
      <c r="AI815">
        <f>'raw data Crude oil'!AI816</f>
        <v>51.496000000000002</v>
      </c>
      <c r="AJ815">
        <f>'raw data Crude oil'!AJ816</f>
        <v>51.338000000000001</v>
      </c>
      <c r="AK815">
        <f>'raw data Crude oil'!AK816</f>
        <v>51.383000000000003</v>
      </c>
    </row>
    <row r="816" spans="1:37" x14ac:dyDescent="0.3">
      <c r="A816" s="18">
        <f>'raw data Crude oil'!A817</f>
        <v>43888</v>
      </c>
      <c r="B816">
        <f>'raw data Crude oil'!B817</f>
        <v>52.18</v>
      </c>
      <c r="C816">
        <f>'raw data Crude oil'!C817</f>
        <v>51.73</v>
      </c>
      <c r="D816">
        <f>'raw data Crude oil'!D817</f>
        <v>51.67</v>
      </c>
      <c r="E816">
        <f>'raw data Crude oil'!E817</f>
        <v>51.69</v>
      </c>
      <c r="F816">
        <f>'raw data Crude oil'!F817</f>
        <v>51.82</v>
      </c>
      <c r="G816">
        <f>'raw data Crude oil'!G817</f>
        <v>51.96</v>
      </c>
      <c r="H816">
        <f>'raw data Crude oil'!H817</f>
        <v>52.07</v>
      </c>
      <c r="I816">
        <f>'raw data Crude oil'!I817</f>
        <v>52.18</v>
      </c>
      <c r="J816">
        <f>'raw data Crude oil'!J817</f>
        <v>52.26</v>
      </c>
      <c r="K816">
        <f>'raw data Crude oil'!K817</f>
        <v>52.36</v>
      </c>
      <c r="L816">
        <f>'raw data Crude oil'!L817</f>
        <v>52.46</v>
      </c>
      <c r="M816">
        <f>'raw data Crude oil'!M817</f>
        <v>52.58</v>
      </c>
      <c r="N816">
        <f>'raw data Crude oil'!N817</f>
        <v>47.09</v>
      </c>
      <c r="O816">
        <f>'raw data Crude oil'!O817</f>
        <v>47.29</v>
      </c>
      <c r="P816">
        <f>'raw data Crude oil'!P817</f>
        <v>47.44</v>
      </c>
      <c r="Q816">
        <f>'raw data Crude oil'!Q817</f>
        <v>47.55</v>
      </c>
      <c r="R816">
        <f>'raw data Crude oil'!R817</f>
        <v>47.64</v>
      </c>
      <c r="S816">
        <f>'raw data Crude oil'!S817</f>
        <v>47.72</v>
      </c>
      <c r="T816">
        <f>'raw data Crude oil'!T817</f>
        <v>47.8</v>
      </c>
      <c r="U816">
        <f>'raw data Crude oil'!U817</f>
        <v>47.9</v>
      </c>
      <c r="V816">
        <f>'raw data Crude oil'!V817</f>
        <v>48</v>
      </c>
      <c r="W816">
        <f>'raw data Crude oil'!W817</f>
        <v>48.06</v>
      </c>
      <c r="X816">
        <f>'raw data Crude oil'!X817</f>
        <v>48.1</v>
      </c>
      <c r="Y816">
        <f>'raw data Crude oil'!Y817</f>
        <v>48.12</v>
      </c>
      <c r="Z816">
        <f>'raw data Crude oil'!Z817</f>
        <v>54.265999999999998</v>
      </c>
      <c r="AA816">
        <f>'raw data Crude oil'!AA817</f>
        <v>50.137</v>
      </c>
      <c r="AB816">
        <f>'raw data Crude oil'!AB817</f>
        <v>50.491</v>
      </c>
      <c r="AC816">
        <f>'raw data Crude oil'!AC817</f>
        <v>50.585999999999999</v>
      </c>
      <c r="AD816">
        <f>'raw data Crude oil'!AD817</f>
        <v>50.625999999999998</v>
      </c>
      <c r="AE816">
        <f>'raw data Crude oil'!AE817</f>
        <v>50.655000000000001</v>
      </c>
      <c r="AF816">
        <f>'raw data Crude oil'!AF817</f>
        <v>50.68</v>
      </c>
      <c r="AG816">
        <f>'raw data Crude oil'!AG817</f>
        <v>50.694000000000003</v>
      </c>
      <c r="AH816">
        <f>'raw data Crude oil'!AH817</f>
        <v>50.674999999999997</v>
      </c>
      <c r="AI816">
        <f>'raw data Crude oil'!AI817</f>
        <v>50.625</v>
      </c>
      <c r="AJ816">
        <f>'raw data Crude oil'!AJ817</f>
        <v>50.551000000000002</v>
      </c>
      <c r="AK816">
        <f>'raw data Crude oil'!AK817</f>
        <v>50.604999999999997</v>
      </c>
    </row>
    <row r="817" spans="1:37" x14ac:dyDescent="0.3">
      <c r="A817" s="18">
        <f>'raw data Crude oil'!A818</f>
        <v>43889</v>
      </c>
      <c r="B817">
        <f>'raw data Crude oil'!B818</f>
        <v>50.52</v>
      </c>
      <c r="C817">
        <f>'raw data Crude oil'!C818</f>
        <v>49.67</v>
      </c>
      <c r="D817">
        <f>'raw data Crude oil'!D818</f>
        <v>49.59</v>
      </c>
      <c r="E817">
        <f>'raw data Crude oil'!E818</f>
        <v>49.58</v>
      </c>
      <c r="F817">
        <f>'raw data Crude oil'!F818</f>
        <v>49.7</v>
      </c>
      <c r="G817">
        <f>'raw data Crude oil'!G818</f>
        <v>49.85</v>
      </c>
      <c r="H817">
        <f>'raw data Crude oil'!H818</f>
        <v>49.98</v>
      </c>
      <c r="I817">
        <f>'raw data Crude oil'!I818</f>
        <v>50.14</v>
      </c>
      <c r="J817">
        <f>'raw data Crude oil'!J818</f>
        <v>50.28</v>
      </c>
      <c r="K817">
        <f>'raw data Crude oil'!K818</f>
        <v>50.41</v>
      </c>
      <c r="L817">
        <f>'raw data Crude oil'!L818</f>
        <v>50.55</v>
      </c>
      <c r="M817">
        <f>'raw data Crude oil'!M818</f>
        <v>50.71</v>
      </c>
      <c r="N817">
        <f>'raw data Crude oil'!N818</f>
        <v>44.76</v>
      </c>
      <c r="O817">
        <f>'raw data Crude oil'!O818</f>
        <v>44.94</v>
      </c>
      <c r="P817">
        <f>'raw data Crude oil'!P818</f>
        <v>45.1</v>
      </c>
      <c r="Q817">
        <f>'raw data Crude oil'!Q818</f>
        <v>45.23</v>
      </c>
      <c r="R817">
        <f>'raw data Crude oil'!R818</f>
        <v>45.35</v>
      </c>
      <c r="S817">
        <f>'raw data Crude oil'!S818</f>
        <v>45.46</v>
      </c>
      <c r="T817">
        <f>'raw data Crude oil'!T818</f>
        <v>45.58</v>
      </c>
      <c r="U817">
        <f>'raw data Crude oil'!U818</f>
        <v>45.73</v>
      </c>
      <c r="V817">
        <f>'raw data Crude oil'!V818</f>
        <v>45.89</v>
      </c>
      <c r="W817">
        <f>'raw data Crude oil'!W818</f>
        <v>46</v>
      </c>
      <c r="X817">
        <f>'raw data Crude oil'!X818</f>
        <v>46.09</v>
      </c>
      <c r="Y817">
        <f>'raw data Crude oil'!Y818</f>
        <v>46.17</v>
      </c>
      <c r="Z817">
        <f>'raw data Crude oil'!Z818</f>
        <v>54.219000000000001</v>
      </c>
      <c r="AA817">
        <f>'raw data Crude oil'!AA818</f>
        <v>48.466000000000001</v>
      </c>
      <c r="AB817">
        <f>'raw data Crude oil'!AB818</f>
        <v>48.7</v>
      </c>
      <c r="AC817">
        <f>'raw data Crude oil'!AC818</f>
        <v>48.686</v>
      </c>
      <c r="AD817">
        <f>'raw data Crude oil'!AD818</f>
        <v>48.697000000000003</v>
      </c>
      <c r="AE817">
        <f>'raw data Crude oil'!AE818</f>
        <v>48.686</v>
      </c>
      <c r="AF817">
        <f>'raw data Crude oil'!AF818</f>
        <v>48.715000000000003</v>
      </c>
      <c r="AG817">
        <f>'raw data Crude oil'!AG818</f>
        <v>48.746000000000002</v>
      </c>
      <c r="AH817">
        <f>'raw data Crude oil'!AH818</f>
        <v>48.786000000000001</v>
      </c>
      <c r="AI817">
        <f>'raw data Crude oil'!AI818</f>
        <v>48.756999999999998</v>
      </c>
      <c r="AJ817">
        <f>'raw data Crude oil'!AJ818</f>
        <v>48.715000000000003</v>
      </c>
      <c r="AK817">
        <f>'raw data Crude oil'!AK818</f>
        <v>48.798000000000002</v>
      </c>
    </row>
    <row r="818" spans="1:37" x14ac:dyDescent="0.3">
      <c r="A818" s="18">
        <f>'raw data Crude oil'!A819</f>
        <v>43892</v>
      </c>
      <c r="B818">
        <f>'raw data Crude oil'!B819</f>
        <v>51.9</v>
      </c>
      <c r="C818">
        <f>'raw data Crude oil'!C819</f>
        <v>51.75</v>
      </c>
      <c r="D818">
        <f>'raw data Crude oil'!D819</f>
        <v>51.65</v>
      </c>
      <c r="E818">
        <f>'raw data Crude oil'!E819</f>
        <v>51.66</v>
      </c>
      <c r="F818">
        <f>'raw data Crude oil'!F819</f>
        <v>51.7</v>
      </c>
      <c r="G818">
        <f>'raw data Crude oil'!G819</f>
        <v>51.75</v>
      </c>
      <c r="H818">
        <f>'raw data Crude oil'!H819</f>
        <v>51.83</v>
      </c>
      <c r="I818">
        <f>'raw data Crude oil'!I819</f>
        <v>51.89</v>
      </c>
      <c r="J818">
        <f>'raw data Crude oil'!J819</f>
        <v>51.96</v>
      </c>
      <c r="K818">
        <f>'raw data Crude oil'!K819</f>
        <v>52.05</v>
      </c>
      <c r="L818">
        <f>'raw data Crude oil'!L819</f>
        <v>52.16</v>
      </c>
      <c r="M818">
        <f>'raw data Crude oil'!M819</f>
        <v>52.27</v>
      </c>
      <c r="N818">
        <f>'raw data Crude oil'!N819</f>
        <v>46.75</v>
      </c>
      <c r="O818">
        <f>'raw data Crude oil'!O819</f>
        <v>46.92</v>
      </c>
      <c r="P818">
        <f>'raw data Crude oil'!P819</f>
        <v>47.05</v>
      </c>
      <c r="Q818">
        <f>'raw data Crude oil'!Q819</f>
        <v>47.14</v>
      </c>
      <c r="R818">
        <f>'raw data Crude oil'!R819</f>
        <v>47.2</v>
      </c>
      <c r="S818">
        <f>'raw data Crude oil'!S819</f>
        <v>47.25</v>
      </c>
      <c r="T818">
        <f>'raw data Crude oil'!T819</f>
        <v>47.31</v>
      </c>
      <c r="U818">
        <f>'raw data Crude oil'!U819</f>
        <v>47.4</v>
      </c>
      <c r="V818">
        <f>'raw data Crude oil'!V819</f>
        <v>47.49</v>
      </c>
      <c r="W818">
        <f>'raw data Crude oil'!W819</f>
        <v>47.55</v>
      </c>
      <c r="X818">
        <f>'raw data Crude oil'!X819</f>
        <v>47.59</v>
      </c>
      <c r="Y818">
        <f>'raw data Crude oil'!Y819</f>
        <v>47.63</v>
      </c>
      <c r="Z818">
        <f>'raw data Crude oil'!Z819</f>
        <v>54.219000000000001</v>
      </c>
      <c r="AA818">
        <f>'raw data Crude oil'!AA819</f>
        <v>50.936999999999998</v>
      </c>
      <c r="AB818">
        <f>'raw data Crude oil'!AB819</f>
        <v>51.155000000000001</v>
      </c>
      <c r="AC818">
        <f>'raw data Crude oil'!AC819</f>
        <v>51.09</v>
      </c>
      <c r="AD818">
        <f>'raw data Crude oil'!AD819</f>
        <v>50.991999999999997</v>
      </c>
      <c r="AE818">
        <f>'raw data Crude oil'!AE819</f>
        <v>50.902000000000001</v>
      </c>
      <c r="AF818">
        <f>'raw data Crude oil'!AF819</f>
        <v>50.838000000000001</v>
      </c>
      <c r="AG818">
        <f>'raw data Crude oil'!AG819</f>
        <v>50.792999999999999</v>
      </c>
      <c r="AH818">
        <f>'raw data Crude oil'!AH819</f>
        <v>50.743000000000002</v>
      </c>
      <c r="AI818">
        <f>'raw data Crude oil'!AI819</f>
        <v>50.673999999999999</v>
      </c>
      <c r="AJ818">
        <f>'raw data Crude oil'!AJ819</f>
        <v>50.6</v>
      </c>
      <c r="AK818">
        <f>'raw data Crude oil'!AK819</f>
        <v>50.536000000000001</v>
      </c>
    </row>
    <row r="819" spans="1:37" x14ac:dyDescent="0.3">
      <c r="A819" s="18">
        <f>'raw data Crude oil'!A820</f>
        <v>43893</v>
      </c>
      <c r="B819">
        <f>'raw data Crude oil'!B820</f>
        <v>51.86</v>
      </c>
      <c r="C819">
        <f>'raw data Crude oil'!C820</f>
        <v>51.77</v>
      </c>
      <c r="D819">
        <f>'raw data Crude oil'!D820</f>
        <v>51.67</v>
      </c>
      <c r="E819">
        <f>'raw data Crude oil'!E820</f>
        <v>51.68</v>
      </c>
      <c r="F819">
        <f>'raw data Crude oil'!F820</f>
        <v>51.76</v>
      </c>
      <c r="G819">
        <f>'raw data Crude oil'!G820</f>
        <v>51.82</v>
      </c>
      <c r="H819">
        <f>'raw data Crude oil'!H820</f>
        <v>51.92</v>
      </c>
      <c r="I819">
        <f>'raw data Crude oil'!I820</f>
        <v>51.99</v>
      </c>
      <c r="J819">
        <f>'raw data Crude oil'!J820</f>
        <v>52.07</v>
      </c>
      <c r="K819">
        <f>'raw data Crude oil'!K820</f>
        <v>52.18</v>
      </c>
      <c r="L819">
        <f>'raw data Crude oil'!L820</f>
        <v>52.29</v>
      </c>
      <c r="M819">
        <f>'raw data Crude oil'!M820</f>
        <v>52.41</v>
      </c>
      <c r="N819">
        <f>'raw data Crude oil'!N820</f>
        <v>47.18</v>
      </c>
      <c r="O819">
        <f>'raw data Crude oil'!O820</f>
        <v>47.33</v>
      </c>
      <c r="P819">
        <f>'raw data Crude oil'!P820</f>
        <v>47.45</v>
      </c>
      <c r="Q819">
        <f>'raw data Crude oil'!Q820</f>
        <v>47.52</v>
      </c>
      <c r="R819">
        <f>'raw data Crude oil'!R820</f>
        <v>47.56</v>
      </c>
      <c r="S819">
        <f>'raw data Crude oil'!S820</f>
        <v>47.57</v>
      </c>
      <c r="T819">
        <f>'raw data Crude oil'!T820</f>
        <v>47.59</v>
      </c>
      <c r="U819">
        <f>'raw data Crude oil'!U820</f>
        <v>47.65</v>
      </c>
      <c r="V819">
        <f>'raw data Crude oil'!V820</f>
        <v>47.72</v>
      </c>
      <c r="W819">
        <f>'raw data Crude oil'!W820</f>
        <v>47.76</v>
      </c>
      <c r="X819">
        <f>'raw data Crude oil'!X820</f>
        <v>47.79</v>
      </c>
      <c r="Y819">
        <f>'raw data Crude oil'!Y820</f>
        <v>47.83</v>
      </c>
      <c r="Z819">
        <f>'raw data Crude oil'!Z820</f>
        <v>51.128</v>
      </c>
      <c r="AA819">
        <f>'raw data Crude oil'!AA820</f>
        <v>51.274999999999999</v>
      </c>
      <c r="AB819">
        <f>'raw data Crude oil'!AB820</f>
        <v>51.17</v>
      </c>
      <c r="AC819">
        <f>'raw data Crude oil'!AC820</f>
        <v>51.054000000000002</v>
      </c>
      <c r="AD819">
        <f>'raw data Crude oil'!AD820</f>
        <v>50.972999999999999</v>
      </c>
      <c r="AE819">
        <f>'raw data Crude oil'!AE820</f>
        <v>50.91</v>
      </c>
      <c r="AF819">
        <f>'raw data Crude oil'!AF820</f>
        <v>50.843000000000004</v>
      </c>
      <c r="AG819">
        <f>'raw data Crude oil'!AG820</f>
        <v>50.783999999999999</v>
      </c>
      <c r="AH819">
        <f>'raw data Crude oil'!AH820</f>
        <v>50.715000000000003</v>
      </c>
      <c r="AI819">
        <f>'raw data Crude oil'!AI820</f>
        <v>50.66</v>
      </c>
      <c r="AJ819">
        <f>'raw data Crude oil'!AJ820</f>
        <v>50.625999999999998</v>
      </c>
      <c r="AK819">
        <f>'raw data Crude oil'!AK820</f>
        <v>50.634999999999998</v>
      </c>
    </row>
    <row r="820" spans="1:37" x14ac:dyDescent="0.3">
      <c r="A820" s="18">
        <f>'raw data Crude oil'!A821</f>
        <v>43894</v>
      </c>
      <c r="B820">
        <f>'raw data Crude oil'!B821</f>
        <v>51.13</v>
      </c>
      <c r="C820">
        <f>'raw data Crude oil'!C821</f>
        <v>51.25</v>
      </c>
      <c r="D820">
        <f>'raw data Crude oil'!D821</f>
        <v>51.29</v>
      </c>
      <c r="E820">
        <f>'raw data Crude oil'!E821</f>
        <v>51.38</v>
      </c>
      <c r="F820">
        <f>'raw data Crude oil'!F821</f>
        <v>51.51</v>
      </c>
      <c r="G820">
        <f>'raw data Crude oil'!G821</f>
        <v>51.61</v>
      </c>
      <c r="H820">
        <f>'raw data Crude oil'!H821</f>
        <v>51.75</v>
      </c>
      <c r="I820">
        <f>'raw data Crude oil'!I821</f>
        <v>51.85</v>
      </c>
      <c r="J820">
        <f>'raw data Crude oil'!J821</f>
        <v>51.96</v>
      </c>
      <c r="K820">
        <f>'raw data Crude oil'!K821</f>
        <v>52.08</v>
      </c>
      <c r="L820">
        <f>'raw data Crude oil'!L821</f>
        <v>52.21</v>
      </c>
      <c r="M820">
        <f>'raw data Crude oil'!M821</f>
        <v>52.34</v>
      </c>
      <c r="N820">
        <f>'raw data Crude oil'!N821</f>
        <v>46.78</v>
      </c>
      <c r="O820">
        <f>'raw data Crude oil'!O821</f>
        <v>46.95</v>
      </c>
      <c r="P820">
        <f>'raw data Crude oil'!P821</f>
        <v>47.11</v>
      </c>
      <c r="Q820">
        <f>'raw data Crude oil'!Q821</f>
        <v>47.22</v>
      </c>
      <c r="R820">
        <f>'raw data Crude oil'!R821</f>
        <v>47.31</v>
      </c>
      <c r="S820">
        <f>'raw data Crude oil'!S821</f>
        <v>47.36</v>
      </c>
      <c r="T820">
        <f>'raw data Crude oil'!T821</f>
        <v>47.41</v>
      </c>
      <c r="U820">
        <f>'raw data Crude oil'!U821</f>
        <v>47.49</v>
      </c>
      <c r="V820">
        <f>'raw data Crude oil'!V821</f>
        <v>47.59</v>
      </c>
      <c r="W820">
        <f>'raw data Crude oil'!W821</f>
        <v>47.64</v>
      </c>
      <c r="X820">
        <f>'raw data Crude oil'!X821</f>
        <v>47.69</v>
      </c>
      <c r="Y820">
        <f>'raw data Crude oil'!Y821</f>
        <v>47.74</v>
      </c>
      <c r="Z820">
        <f>'raw data Crude oil'!Z821</f>
        <v>50.68</v>
      </c>
      <c r="AA820">
        <f>'raw data Crude oil'!AA821</f>
        <v>50.822000000000003</v>
      </c>
      <c r="AB820">
        <f>'raw data Crude oil'!AB821</f>
        <v>50.774000000000001</v>
      </c>
      <c r="AC820">
        <f>'raw data Crude oil'!AC821</f>
        <v>50.725999999999999</v>
      </c>
      <c r="AD820">
        <f>'raw data Crude oil'!AD821</f>
        <v>50.683999999999997</v>
      </c>
      <c r="AE820">
        <f>'raw data Crude oil'!AE821</f>
        <v>50.662999999999997</v>
      </c>
      <c r="AF820">
        <f>'raw data Crude oil'!AF821</f>
        <v>50.634999999999998</v>
      </c>
      <c r="AG820">
        <f>'raw data Crude oil'!AG821</f>
        <v>50.604999999999997</v>
      </c>
      <c r="AH820">
        <f>'raw data Crude oil'!AH821</f>
        <v>50.576000000000001</v>
      </c>
      <c r="AI820">
        <f>'raw data Crude oil'!AI821</f>
        <v>50.561999999999998</v>
      </c>
      <c r="AJ820">
        <f>'raw data Crude oil'!AJ821</f>
        <v>50.546999999999997</v>
      </c>
      <c r="AK820">
        <f>'raw data Crude oil'!AK821</f>
        <v>50.566000000000003</v>
      </c>
    </row>
    <row r="821" spans="1:37" x14ac:dyDescent="0.3">
      <c r="A821" s="18">
        <f>'raw data Crude oil'!A822</f>
        <v>43895</v>
      </c>
      <c r="B821">
        <f>'raw data Crude oil'!B822</f>
        <v>49.99</v>
      </c>
      <c r="C821">
        <f>'raw data Crude oil'!C822</f>
        <v>50.17</v>
      </c>
      <c r="D821">
        <f>'raw data Crude oil'!D822</f>
        <v>50.28</v>
      </c>
      <c r="E821">
        <f>'raw data Crude oil'!E822</f>
        <v>50.43</v>
      </c>
      <c r="F821">
        <f>'raw data Crude oil'!F822</f>
        <v>50.61</v>
      </c>
      <c r="G821">
        <f>'raw data Crude oil'!G822</f>
        <v>50.75</v>
      </c>
      <c r="H821">
        <f>'raw data Crude oil'!H822</f>
        <v>50.89</v>
      </c>
      <c r="I821">
        <f>'raw data Crude oil'!I822</f>
        <v>51.01</v>
      </c>
      <c r="J821">
        <f>'raw data Crude oil'!J822</f>
        <v>51.13</v>
      </c>
      <c r="K821">
        <f>'raw data Crude oil'!K822</f>
        <v>51.26</v>
      </c>
      <c r="L821">
        <f>'raw data Crude oil'!L822</f>
        <v>51.41</v>
      </c>
      <c r="M821">
        <f>'raw data Crude oil'!M822</f>
        <v>51.56</v>
      </c>
      <c r="N821">
        <f>'raw data Crude oil'!N822</f>
        <v>45.9</v>
      </c>
      <c r="O821">
        <f>'raw data Crude oil'!O822</f>
        <v>46.06</v>
      </c>
      <c r="P821">
        <f>'raw data Crude oil'!P822</f>
        <v>46.21</v>
      </c>
      <c r="Q821">
        <f>'raw data Crude oil'!Q822</f>
        <v>46.34</v>
      </c>
      <c r="R821">
        <f>'raw data Crude oil'!R822</f>
        <v>46.45</v>
      </c>
      <c r="S821">
        <f>'raw data Crude oil'!S822</f>
        <v>46.54</v>
      </c>
      <c r="T821">
        <f>'raw data Crude oil'!T822</f>
        <v>46.61</v>
      </c>
      <c r="U821">
        <f>'raw data Crude oil'!U822</f>
        <v>46.72</v>
      </c>
      <c r="V821">
        <f>'raw data Crude oil'!V822</f>
        <v>46.84</v>
      </c>
      <c r="W821">
        <f>'raw data Crude oil'!W822</f>
        <v>46.92</v>
      </c>
      <c r="X821">
        <f>'raw data Crude oil'!X822</f>
        <v>46.98</v>
      </c>
      <c r="Y821">
        <f>'raw data Crude oil'!Y822</f>
        <v>47.05</v>
      </c>
      <c r="Z821">
        <f>'raw data Crude oil'!Z822</f>
        <v>49.756</v>
      </c>
      <c r="AA821">
        <f>'raw data Crude oil'!AA822</f>
        <v>49.832000000000001</v>
      </c>
      <c r="AB821">
        <f>'raw data Crude oil'!AB822</f>
        <v>49.822000000000003</v>
      </c>
      <c r="AC821">
        <f>'raw data Crude oil'!AC822</f>
        <v>49.808</v>
      </c>
      <c r="AD821">
        <f>'raw data Crude oil'!AD822</f>
        <v>49.805999999999997</v>
      </c>
      <c r="AE821">
        <f>'raw data Crude oil'!AE822</f>
        <v>49.813000000000002</v>
      </c>
      <c r="AF821">
        <f>'raw data Crude oil'!AF822</f>
        <v>49.825000000000003</v>
      </c>
      <c r="AG821">
        <f>'raw data Crude oil'!AG822</f>
        <v>49.814999999999998</v>
      </c>
      <c r="AH821">
        <f>'raw data Crude oil'!AH822</f>
        <v>49.795999999999999</v>
      </c>
      <c r="AI821">
        <f>'raw data Crude oil'!AI822</f>
        <v>49.774000000000001</v>
      </c>
      <c r="AJ821">
        <f>'raw data Crude oil'!AJ822</f>
        <v>49.787999999999997</v>
      </c>
      <c r="AK821">
        <f>'raw data Crude oil'!AK822</f>
        <v>49.835999999999999</v>
      </c>
    </row>
    <row r="822" spans="1:37" x14ac:dyDescent="0.3">
      <c r="A822" s="18">
        <f>'raw data Crude oil'!A823</f>
        <v>43896</v>
      </c>
      <c r="B822">
        <f>'raw data Crude oil'!B823</f>
        <v>45.27</v>
      </c>
      <c r="C822">
        <f>'raw data Crude oil'!C823</f>
        <v>45.52</v>
      </c>
      <c r="D822">
        <f>'raw data Crude oil'!D823</f>
        <v>45.8</v>
      </c>
      <c r="E822">
        <f>'raw data Crude oil'!E823</f>
        <v>46.14</v>
      </c>
      <c r="F822">
        <f>'raw data Crude oil'!F823</f>
        <v>46.5</v>
      </c>
      <c r="G822">
        <f>'raw data Crude oil'!G823</f>
        <v>46.84</v>
      </c>
      <c r="H822">
        <f>'raw data Crude oil'!H823</f>
        <v>47.19</v>
      </c>
      <c r="I822">
        <f>'raw data Crude oil'!I823</f>
        <v>47.53</v>
      </c>
      <c r="J822">
        <f>'raw data Crude oil'!J823</f>
        <v>47.86</v>
      </c>
      <c r="K822">
        <f>'raw data Crude oil'!K823</f>
        <v>48.18</v>
      </c>
      <c r="L822">
        <f>'raw data Crude oil'!L823</f>
        <v>48.48</v>
      </c>
      <c r="M822">
        <f>'raw data Crude oil'!M823</f>
        <v>48.79</v>
      </c>
      <c r="N822">
        <f>'raw data Crude oil'!N823</f>
        <v>41.28</v>
      </c>
      <c r="O822">
        <f>'raw data Crude oil'!O823</f>
        <v>41.51</v>
      </c>
      <c r="P822">
        <f>'raw data Crude oil'!P823</f>
        <v>41.77</v>
      </c>
      <c r="Q822">
        <f>'raw data Crude oil'!Q823</f>
        <v>42.04</v>
      </c>
      <c r="R822">
        <f>'raw data Crude oil'!R823</f>
        <v>42.33</v>
      </c>
      <c r="S822">
        <f>'raw data Crude oil'!S823</f>
        <v>42.64</v>
      </c>
      <c r="T822">
        <f>'raw data Crude oil'!T823</f>
        <v>42.92</v>
      </c>
      <c r="U822">
        <f>'raw data Crude oil'!U823</f>
        <v>43.24</v>
      </c>
      <c r="V822">
        <f>'raw data Crude oil'!V823</f>
        <v>43.56</v>
      </c>
      <c r="W822">
        <f>'raw data Crude oil'!W823</f>
        <v>43.83</v>
      </c>
      <c r="X822">
        <f>'raw data Crude oil'!X823</f>
        <v>44.07</v>
      </c>
      <c r="Y822">
        <f>'raw data Crude oil'!Y823</f>
        <v>44.31</v>
      </c>
      <c r="Z822">
        <f>'raw data Crude oil'!Z823</f>
        <v>45.564999999999998</v>
      </c>
      <c r="AA822">
        <f>'raw data Crude oil'!AA823</f>
        <v>44.613</v>
      </c>
      <c r="AB822">
        <f>'raw data Crude oil'!AB823</f>
        <v>44.845999999999997</v>
      </c>
      <c r="AC822">
        <f>'raw data Crude oil'!AC823</f>
        <v>45.116</v>
      </c>
      <c r="AD822">
        <f>'raw data Crude oil'!AD823</f>
        <v>45.405000000000001</v>
      </c>
      <c r="AE822">
        <f>'raw data Crude oil'!AE823</f>
        <v>45.692999999999998</v>
      </c>
      <c r="AF822">
        <f>'raw data Crude oil'!AF823</f>
        <v>45.965000000000003</v>
      </c>
      <c r="AG822">
        <f>'raw data Crude oil'!AG823</f>
        <v>46.104999999999997</v>
      </c>
      <c r="AH822">
        <f>'raw data Crude oil'!AH823</f>
        <v>46.244999999999997</v>
      </c>
      <c r="AI822">
        <f>'raw data Crude oil'!AI823</f>
        <v>46.406999999999996</v>
      </c>
      <c r="AJ822">
        <f>'raw data Crude oil'!AJ823</f>
        <v>46.606000000000002</v>
      </c>
      <c r="AK822">
        <f>'raw data Crude oil'!AK823</f>
        <v>46.823</v>
      </c>
    </row>
    <row r="823" spans="1:37" x14ac:dyDescent="0.3">
      <c r="A823" s="18">
        <f>'raw data Crude oil'!A824</f>
        <v>43899</v>
      </c>
      <c r="B823">
        <f>'raw data Crude oil'!B824</f>
        <v>34.36</v>
      </c>
      <c r="C823">
        <f>'raw data Crude oil'!C824</f>
        <v>35.1</v>
      </c>
      <c r="D823">
        <f>'raw data Crude oil'!D824</f>
        <v>35.78</v>
      </c>
      <c r="E823">
        <f>'raw data Crude oil'!E824</f>
        <v>36.44</v>
      </c>
      <c r="F823">
        <f>'raw data Crude oil'!F824</f>
        <v>37.06</v>
      </c>
      <c r="G823">
        <f>'raw data Crude oil'!G824</f>
        <v>37.659999999999997</v>
      </c>
      <c r="H823">
        <f>'raw data Crude oil'!H824</f>
        <v>38.26</v>
      </c>
      <c r="I823">
        <f>'raw data Crude oil'!I824</f>
        <v>38.840000000000003</v>
      </c>
      <c r="J823">
        <f>'raw data Crude oil'!J824</f>
        <v>39.409999999999997</v>
      </c>
      <c r="K823">
        <f>'raw data Crude oil'!K824</f>
        <v>39.950000000000003</v>
      </c>
      <c r="L823">
        <f>'raw data Crude oil'!L824</f>
        <v>40.5</v>
      </c>
      <c r="M823">
        <f>'raw data Crude oil'!M824</f>
        <v>41.05</v>
      </c>
      <c r="N823">
        <f>'raw data Crude oil'!N824</f>
        <v>31.13</v>
      </c>
      <c r="O823">
        <f>'raw data Crude oil'!O824</f>
        <v>31.47</v>
      </c>
      <c r="P823">
        <f>'raw data Crude oil'!P824</f>
        <v>31.94</v>
      </c>
      <c r="Q823">
        <f>'raw data Crude oil'!Q824</f>
        <v>32.46</v>
      </c>
      <c r="R823">
        <f>'raw data Crude oil'!R824</f>
        <v>33.04</v>
      </c>
      <c r="S823">
        <f>'raw data Crude oil'!S824</f>
        <v>33.659999999999997</v>
      </c>
      <c r="T823">
        <f>'raw data Crude oil'!T824</f>
        <v>34.25</v>
      </c>
      <c r="U823">
        <f>'raw data Crude oil'!U824</f>
        <v>34.86</v>
      </c>
      <c r="V823">
        <f>'raw data Crude oil'!V824</f>
        <v>35.47</v>
      </c>
      <c r="W823">
        <f>'raw data Crude oil'!W824</f>
        <v>36</v>
      </c>
      <c r="X823">
        <f>'raw data Crude oil'!X824</f>
        <v>36.5</v>
      </c>
      <c r="Y823">
        <f>'raw data Crude oil'!Y824</f>
        <v>37</v>
      </c>
      <c r="Z823">
        <f>'raw data Crude oil'!Z824</f>
        <v>36.411999999999999</v>
      </c>
      <c r="AA823">
        <f>'raw data Crude oil'!AA824</f>
        <v>33.231999999999999</v>
      </c>
      <c r="AB823">
        <f>'raw data Crude oil'!AB824</f>
        <v>34.000999999999998</v>
      </c>
      <c r="AC823">
        <f>'raw data Crude oil'!AC824</f>
        <v>34.718000000000004</v>
      </c>
      <c r="AD823">
        <f>'raw data Crude oil'!AD824</f>
        <v>35.415999999999997</v>
      </c>
      <c r="AE823">
        <f>'raw data Crude oil'!AE824</f>
        <v>36.137</v>
      </c>
      <c r="AF823">
        <f>'raw data Crude oil'!AF824</f>
        <v>36.756</v>
      </c>
      <c r="AG823">
        <f>'raw data Crude oil'!AG824</f>
        <v>37.305999999999997</v>
      </c>
      <c r="AH823">
        <f>'raw data Crude oil'!AH824</f>
        <v>37.706000000000003</v>
      </c>
      <c r="AI823">
        <f>'raw data Crude oil'!AI824</f>
        <v>38.1</v>
      </c>
      <c r="AJ823">
        <f>'raw data Crude oil'!AJ824</f>
        <v>38.537999999999997</v>
      </c>
      <c r="AK823">
        <f>'raw data Crude oil'!AK824</f>
        <v>39.015000000000001</v>
      </c>
    </row>
    <row r="824" spans="1:37" x14ac:dyDescent="0.3">
      <c r="A824" s="18">
        <f>'raw data Crude oil'!A825</f>
        <v>43900</v>
      </c>
      <c r="B824">
        <f>'raw data Crude oil'!B825</f>
        <v>37.22</v>
      </c>
      <c r="C824">
        <f>'raw data Crude oil'!C825</f>
        <v>38.090000000000003</v>
      </c>
      <c r="D824">
        <f>'raw data Crude oil'!D825</f>
        <v>38.82</v>
      </c>
      <c r="E824">
        <f>'raw data Crude oil'!E825</f>
        <v>39.479999999999997</v>
      </c>
      <c r="F824">
        <f>'raw data Crude oil'!F825</f>
        <v>40.090000000000003</v>
      </c>
      <c r="G824">
        <f>'raw data Crude oil'!G825</f>
        <v>40.630000000000003</v>
      </c>
      <c r="H824">
        <f>'raw data Crude oil'!H825</f>
        <v>41.15</v>
      </c>
      <c r="I824">
        <f>'raw data Crude oil'!I825</f>
        <v>41.63</v>
      </c>
      <c r="J824">
        <f>'raw data Crude oil'!J825</f>
        <v>42.12</v>
      </c>
      <c r="K824">
        <f>'raw data Crude oil'!K825</f>
        <v>42.6</v>
      </c>
      <c r="L824">
        <f>'raw data Crude oil'!L825</f>
        <v>43.08</v>
      </c>
      <c r="M824">
        <f>'raw data Crude oil'!M825</f>
        <v>43.55</v>
      </c>
      <c r="N824">
        <f>'raw data Crude oil'!N825</f>
        <v>34.36</v>
      </c>
      <c r="O824">
        <f>'raw data Crude oil'!O825</f>
        <v>34.729999999999997</v>
      </c>
      <c r="P824">
        <f>'raw data Crude oil'!P825</f>
        <v>35.14</v>
      </c>
      <c r="Q824">
        <f>'raw data Crude oil'!Q825</f>
        <v>35.58</v>
      </c>
      <c r="R824">
        <f>'raw data Crude oil'!R825</f>
        <v>36.049999999999997</v>
      </c>
      <c r="S824">
        <f>'raw data Crude oil'!S825</f>
        <v>36.56</v>
      </c>
      <c r="T824">
        <f>'raw data Crude oil'!T825</f>
        <v>37.049999999999997</v>
      </c>
      <c r="U824">
        <f>'raw data Crude oil'!U825</f>
        <v>37.56</v>
      </c>
      <c r="V824">
        <f>'raw data Crude oil'!V825</f>
        <v>38.08</v>
      </c>
      <c r="W824">
        <f>'raw data Crude oil'!W825</f>
        <v>38.56</v>
      </c>
      <c r="X824">
        <f>'raw data Crude oil'!X825</f>
        <v>39.020000000000003</v>
      </c>
      <c r="Y824">
        <f>'raw data Crude oil'!Y825</f>
        <v>39.46</v>
      </c>
      <c r="Z824">
        <f>'raw data Crude oil'!Z825</f>
        <v>38.432000000000002</v>
      </c>
      <c r="AA824">
        <f>'raw data Crude oil'!AA825</f>
        <v>36.395000000000003</v>
      </c>
      <c r="AB824">
        <f>'raw data Crude oil'!AB825</f>
        <v>37.161000000000001</v>
      </c>
      <c r="AC824">
        <f>'raw data Crude oil'!AC825</f>
        <v>37.887999999999998</v>
      </c>
      <c r="AD824">
        <f>'raw data Crude oil'!AD825</f>
        <v>38.533000000000001</v>
      </c>
      <c r="AE824">
        <f>'raw data Crude oil'!AE825</f>
        <v>39.159999999999997</v>
      </c>
      <c r="AF824">
        <f>'raw data Crude oil'!AF825</f>
        <v>39.771999999999998</v>
      </c>
      <c r="AG824">
        <f>'raw data Crude oil'!AG825</f>
        <v>40.281999999999996</v>
      </c>
      <c r="AH824">
        <f>'raw data Crude oil'!AH825</f>
        <v>40.633000000000003</v>
      </c>
      <c r="AI824">
        <f>'raw data Crude oil'!AI825</f>
        <v>40.963999999999999</v>
      </c>
      <c r="AJ824">
        <f>'raw data Crude oil'!AJ825</f>
        <v>41.274000000000001</v>
      </c>
      <c r="AK824">
        <f>'raw data Crude oil'!AK825</f>
        <v>41.582000000000001</v>
      </c>
    </row>
    <row r="825" spans="1:37" x14ac:dyDescent="0.3">
      <c r="A825" s="18">
        <f>'raw data Crude oil'!A826</f>
        <v>43901</v>
      </c>
      <c r="B825">
        <f>'raw data Crude oil'!B826</f>
        <v>35.79</v>
      </c>
      <c r="C825">
        <f>'raw data Crude oil'!C826</f>
        <v>37.229999999999997</v>
      </c>
      <c r="D825">
        <f>'raw data Crude oil'!D826</f>
        <v>38.229999999999997</v>
      </c>
      <c r="E825">
        <f>'raw data Crude oil'!E826</f>
        <v>39.06</v>
      </c>
      <c r="F825">
        <f>'raw data Crude oil'!F826</f>
        <v>39.78</v>
      </c>
      <c r="G825">
        <f>'raw data Crude oil'!G826</f>
        <v>40.42</v>
      </c>
      <c r="H825">
        <f>'raw data Crude oil'!H826</f>
        <v>41.03</v>
      </c>
      <c r="I825">
        <f>'raw data Crude oil'!I826</f>
        <v>41.57</v>
      </c>
      <c r="J825">
        <f>'raw data Crude oil'!J826</f>
        <v>42.08</v>
      </c>
      <c r="K825">
        <f>'raw data Crude oil'!K826</f>
        <v>42.57</v>
      </c>
      <c r="L825">
        <f>'raw data Crude oil'!L826</f>
        <v>43.04</v>
      </c>
      <c r="M825">
        <f>'raw data Crude oil'!M826</f>
        <v>43.51</v>
      </c>
      <c r="N825">
        <f>'raw data Crude oil'!N826</f>
        <v>32.979999999999997</v>
      </c>
      <c r="O825">
        <f>'raw data Crude oil'!O826</f>
        <v>33.39</v>
      </c>
      <c r="P825">
        <f>'raw data Crude oil'!P826</f>
        <v>33.86</v>
      </c>
      <c r="Q825">
        <f>'raw data Crude oil'!Q826</f>
        <v>34.39</v>
      </c>
      <c r="R825">
        <f>'raw data Crude oil'!R826</f>
        <v>34.96</v>
      </c>
      <c r="S825">
        <f>'raw data Crude oil'!S826</f>
        <v>35.56</v>
      </c>
      <c r="T825">
        <f>'raw data Crude oil'!T826</f>
        <v>36.14</v>
      </c>
      <c r="U825">
        <f>'raw data Crude oil'!U826</f>
        <v>36.729999999999997</v>
      </c>
      <c r="V825">
        <f>'raw data Crude oil'!V826</f>
        <v>37.32</v>
      </c>
      <c r="W825">
        <f>'raw data Crude oil'!W826</f>
        <v>37.840000000000003</v>
      </c>
      <c r="X825">
        <f>'raw data Crude oil'!X826</f>
        <v>38.33</v>
      </c>
      <c r="Y825">
        <f>'raw data Crude oil'!Y826</f>
        <v>38.79</v>
      </c>
      <c r="Z825">
        <f>'raw data Crude oil'!Z826</f>
        <v>37.747999999999998</v>
      </c>
      <c r="AA825">
        <f>'raw data Crude oil'!AA826</f>
        <v>35.677999999999997</v>
      </c>
      <c r="AB825">
        <f>'raw data Crude oil'!AB826</f>
        <v>36.659999999999997</v>
      </c>
      <c r="AC825">
        <f>'raw data Crude oil'!AC826</f>
        <v>37.563000000000002</v>
      </c>
      <c r="AD825">
        <f>'raw data Crude oil'!AD826</f>
        <v>38.387999999999998</v>
      </c>
      <c r="AE825">
        <f>'raw data Crude oil'!AE826</f>
        <v>39.137999999999998</v>
      </c>
      <c r="AF825">
        <f>'raw data Crude oil'!AF826</f>
        <v>39.825000000000003</v>
      </c>
      <c r="AG825">
        <f>'raw data Crude oil'!AG826</f>
        <v>40.372999999999998</v>
      </c>
      <c r="AH825">
        <f>'raw data Crude oil'!AH826</f>
        <v>40.832999999999998</v>
      </c>
      <c r="AI825">
        <f>'raw data Crude oil'!AI826</f>
        <v>41.262999999999998</v>
      </c>
      <c r="AJ825">
        <f>'raw data Crude oil'!AJ826</f>
        <v>41.613999999999997</v>
      </c>
      <c r="AK825">
        <f>'raw data Crude oil'!AK826</f>
        <v>41.970999999999997</v>
      </c>
    </row>
    <row r="826" spans="1:37" x14ac:dyDescent="0.3">
      <c r="A826" s="18">
        <f>'raw data Crude oil'!A827</f>
        <v>43902</v>
      </c>
      <c r="B826">
        <f>'raw data Crude oil'!B827</f>
        <v>33.22</v>
      </c>
      <c r="C826">
        <f>'raw data Crude oil'!C827</f>
        <v>35.200000000000003</v>
      </c>
      <c r="D826">
        <f>'raw data Crude oil'!D827</f>
        <v>36.67</v>
      </c>
      <c r="E826">
        <f>'raw data Crude oil'!E827</f>
        <v>37.840000000000003</v>
      </c>
      <c r="F826">
        <f>'raw data Crude oil'!F827</f>
        <v>38.79</v>
      </c>
      <c r="G826">
        <f>'raw data Crude oil'!G827</f>
        <v>39.54</v>
      </c>
      <c r="H826">
        <f>'raw data Crude oil'!H827</f>
        <v>40.19</v>
      </c>
      <c r="I826">
        <f>'raw data Crude oil'!I827</f>
        <v>40.76</v>
      </c>
      <c r="J826">
        <f>'raw data Crude oil'!J827</f>
        <v>41.3</v>
      </c>
      <c r="K826">
        <f>'raw data Crude oil'!K827</f>
        <v>41.8</v>
      </c>
      <c r="L826">
        <f>'raw data Crude oil'!L827</f>
        <v>42.29</v>
      </c>
      <c r="M826">
        <f>'raw data Crude oil'!M827</f>
        <v>42.76</v>
      </c>
      <c r="N826">
        <f>'raw data Crude oil'!N827</f>
        <v>31.5</v>
      </c>
      <c r="O826">
        <f>'raw data Crude oil'!O827</f>
        <v>31.98</v>
      </c>
      <c r="P826">
        <f>'raw data Crude oil'!P827</f>
        <v>32.51</v>
      </c>
      <c r="Q826">
        <f>'raw data Crude oil'!Q827</f>
        <v>33.11</v>
      </c>
      <c r="R826">
        <f>'raw data Crude oil'!R827</f>
        <v>33.75</v>
      </c>
      <c r="S826">
        <f>'raw data Crude oil'!S827</f>
        <v>34.43</v>
      </c>
      <c r="T826">
        <f>'raw data Crude oil'!T827</f>
        <v>35.1</v>
      </c>
      <c r="U826">
        <f>'raw data Crude oil'!U827</f>
        <v>35.799999999999997</v>
      </c>
      <c r="V826">
        <f>'raw data Crude oil'!V827</f>
        <v>36.47</v>
      </c>
      <c r="W826">
        <f>'raw data Crude oil'!W827</f>
        <v>37.06</v>
      </c>
      <c r="X826">
        <f>'raw data Crude oil'!X827</f>
        <v>37.57</v>
      </c>
      <c r="Y826">
        <f>'raw data Crude oil'!Y827</f>
        <v>38.01</v>
      </c>
      <c r="Z826">
        <f>'raw data Crude oil'!Z827</f>
        <v>36.517000000000003</v>
      </c>
      <c r="AA826">
        <f>'raw data Crude oil'!AA827</f>
        <v>33.75</v>
      </c>
      <c r="AB826">
        <f>'raw data Crude oil'!AB827</f>
        <v>35.076000000000001</v>
      </c>
      <c r="AC826">
        <f>'raw data Crude oil'!AC827</f>
        <v>36.383000000000003</v>
      </c>
      <c r="AD826">
        <f>'raw data Crude oil'!AD827</f>
        <v>37.482999999999997</v>
      </c>
      <c r="AE826">
        <f>'raw data Crude oil'!AE827</f>
        <v>38.392000000000003</v>
      </c>
      <c r="AF826">
        <f>'raw data Crude oil'!AF827</f>
        <v>39.055999999999997</v>
      </c>
      <c r="AG826">
        <f>'raw data Crude oil'!AG827</f>
        <v>39.585000000000001</v>
      </c>
      <c r="AH826">
        <f>'raw data Crude oil'!AH827</f>
        <v>40.084000000000003</v>
      </c>
      <c r="AI826">
        <f>'raw data Crude oil'!AI827</f>
        <v>40.494999999999997</v>
      </c>
      <c r="AJ826">
        <f>'raw data Crude oil'!AJ827</f>
        <v>40.914000000000001</v>
      </c>
      <c r="AK826">
        <f>'raw data Crude oil'!AK827</f>
        <v>41.271999999999998</v>
      </c>
    </row>
    <row r="827" spans="1:37" x14ac:dyDescent="0.3">
      <c r="A827" s="18">
        <f>'raw data Crude oil'!A828</f>
        <v>43903</v>
      </c>
      <c r="B827">
        <f>'raw data Crude oil'!B828</f>
        <v>33.85</v>
      </c>
      <c r="C827">
        <f>'raw data Crude oil'!C828</f>
        <v>35.44</v>
      </c>
      <c r="D827">
        <f>'raw data Crude oil'!D828</f>
        <v>36.770000000000003</v>
      </c>
      <c r="E827">
        <f>'raw data Crude oil'!E828</f>
        <v>37.85</v>
      </c>
      <c r="F827">
        <f>'raw data Crude oil'!F828</f>
        <v>38.71</v>
      </c>
      <c r="G827">
        <f>'raw data Crude oil'!G828</f>
        <v>39.380000000000003</v>
      </c>
      <c r="H827">
        <f>'raw data Crude oil'!H828</f>
        <v>39.97</v>
      </c>
      <c r="I827">
        <f>'raw data Crude oil'!I828</f>
        <v>40.479999999999997</v>
      </c>
      <c r="J827">
        <f>'raw data Crude oil'!J828</f>
        <v>40.96</v>
      </c>
      <c r="K827">
        <f>'raw data Crude oil'!K828</f>
        <v>41.42</v>
      </c>
      <c r="L827">
        <f>'raw data Crude oil'!L828</f>
        <v>41.85</v>
      </c>
      <c r="M827">
        <f>'raw data Crude oil'!M828</f>
        <v>42.27</v>
      </c>
      <c r="N827">
        <f>'raw data Crude oil'!N828</f>
        <v>31.73</v>
      </c>
      <c r="O827">
        <f>'raw data Crude oil'!O828</f>
        <v>32.11</v>
      </c>
      <c r="P827">
        <f>'raw data Crude oil'!P828</f>
        <v>32.590000000000003</v>
      </c>
      <c r="Q827">
        <f>'raw data Crude oil'!Q828</f>
        <v>33.15</v>
      </c>
      <c r="R827">
        <f>'raw data Crude oil'!R828</f>
        <v>33.74</v>
      </c>
      <c r="S827">
        <f>'raw data Crude oil'!S828</f>
        <v>34.36</v>
      </c>
      <c r="T827">
        <f>'raw data Crude oil'!T828</f>
        <v>34.96</v>
      </c>
      <c r="U827">
        <f>'raw data Crude oil'!U828</f>
        <v>35.58</v>
      </c>
      <c r="V827">
        <f>'raw data Crude oil'!V828</f>
        <v>36.17</v>
      </c>
      <c r="W827">
        <f>'raw data Crude oil'!W828</f>
        <v>36.67</v>
      </c>
      <c r="X827">
        <f>'raw data Crude oil'!X828</f>
        <v>37.1</v>
      </c>
      <c r="Y827">
        <f>'raw data Crude oil'!Y828</f>
        <v>37.47</v>
      </c>
      <c r="Z827">
        <f>'raw data Crude oil'!Z828</f>
        <v>37.265000000000001</v>
      </c>
      <c r="AA827">
        <f>'raw data Crude oil'!AA828</f>
        <v>34.463000000000001</v>
      </c>
      <c r="AB827">
        <f>'raw data Crude oil'!AB828</f>
        <v>35.670999999999999</v>
      </c>
      <c r="AC827">
        <f>'raw data Crude oil'!AC828</f>
        <v>36.838999999999999</v>
      </c>
      <c r="AD827">
        <f>'raw data Crude oil'!AD828</f>
        <v>37.619</v>
      </c>
      <c r="AE827">
        <f>'raw data Crude oil'!AE828</f>
        <v>38.335999999999999</v>
      </c>
      <c r="AF827">
        <f>'raw data Crude oil'!AF828</f>
        <v>38.902999999999999</v>
      </c>
      <c r="AG827">
        <f>'raw data Crude oil'!AG828</f>
        <v>39.381999999999998</v>
      </c>
      <c r="AH827">
        <f>'raw data Crude oil'!AH828</f>
        <v>39.841999999999999</v>
      </c>
      <c r="AI827">
        <f>'raw data Crude oil'!AI828</f>
        <v>40.209000000000003</v>
      </c>
      <c r="AJ827">
        <f>'raw data Crude oil'!AJ828</f>
        <v>40.530999999999999</v>
      </c>
      <c r="AK827">
        <f>'raw data Crude oil'!AK828</f>
        <v>40.85</v>
      </c>
    </row>
    <row r="828" spans="1:37" x14ac:dyDescent="0.3">
      <c r="A828" s="18">
        <f>'raw data Crude oil'!A829</f>
        <v>43906</v>
      </c>
      <c r="B828">
        <f>'raw data Crude oil'!B829</f>
        <v>30.05</v>
      </c>
      <c r="C828">
        <f>'raw data Crude oil'!C829</f>
        <v>31.69</v>
      </c>
      <c r="D828">
        <f>'raw data Crude oil'!D829</f>
        <v>33.159999999999997</v>
      </c>
      <c r="E828">
        <f>'raw data Crude oil'!E829</f>
        <v>34.4</v>
      </c>
      <c r="F828">
        <f>'raw data Crude oil'!F829</f>
        <v>35.42</v>
      </c>
      <c r="G828">
        <f>'raw data Crude oil'!G829</f>
        <v>36.200000000000003</v>
      </c>
      <c r="H828">
        <f>'raw data Crude oil'!H829</f>
        <v>36.909999999999997</v>
      </c>
      <c r="I828">
        <f>'raw data Crude oil'!I829</f>
        <v>37.549999999999997</v>
      </c>
      <c r="J828">
        <f>'raw data Crude oil'!J829</f>
        <v>38.14</v>
      </c>
      <c r="K828">
        <f>'raw data Crude oil'!K829</f>
        <v>38.69</v>
      </c>
      <c r="L828">
        <f>'raw data Crude oil'!L829</f>
        <v>39.21</v>
      </c>
      <c r="M828">
        <f>'raw data Crude oil'!M829</f>
        <v>39.700000000000003</v>
      </c>
      <c r="N828">
        <f>'raw data Crude oil'!N829</f>
        <v>28.7</v>
      </c>
      <c r="O828">
        <f>'raw data Crude oil'!O829</f>
        <v>29</v>
      </c>
      <c r="P828">
        <f>'raw data Crude oil'!P829</f>
        <v>29.55</v>
      </c>
      <c r="Q828">
        <f>'raw data Crude oil'!Q829</f>
        <v>30.22</v>
      </c>
      <c r="R828">
        <f>'raw data Crude oil'!R829</f>
        <v>30.9</v>
      </c>
      <c r="S828">
        <f>'raw data Crude oil'!S829</f>
        <v>31.6</v>
      </c>
      <c r="T828">
        <f>'raw data Crude oil'!T829</f>
        <v>32.28</v>
      </c>
      <c r="U828">
        <f>'raw data Crude oil'!U829</f>
        <v>32.950000000000003</v>
      </c>
      <c r="V828">
        <f>'raw data Crude oil'!V829</f>
        <v>33.590000000000003</v>
      </c>
      <c r="W828">
        <f>'raw data Crude oil'!W829</f>
        <v>34.14</v>
      </c>
      <c r="X828">
        <f>'raw data Crude oil'!X829</f>
        <v>34.619999999999997</v>
      </c>
      <c r="Y828">
        <f>'raw data Crude oil'!Y829</f>
        <v>35.03</v>
      </c>
      <c r="Z828">
        <f>'raw data Crude oil'!Z829</f>
        <v>35.640999999999998</v>
      </c>
      <c r="AA828">
        <f>'raw data Crude oil'!AA829</f>
        <v>31.51</v>
      </c>
      <c r="AB828">
        <f>'raw data Crude oil'!AB829</f>
        <v>32.829000000000001</v>
      </c>
      <c r="AC828">
        <f>'raw data Crude oil'!AC829</f>
        <v>34.026000000000003</v>
      </c>
      <c r="AD828">
        <f>'raw data Crude oil'!AD829</f>
        <v>34.834000000000003</v>
      </c>
      <c r="AE828">
        <f>'raw data Crude oil'!AE829</f>
        <v>35.527999999999999</v>
      </c>
      <c r="AF828">
        <f>'raw data Crude oil'!AF829</f>
        <v>36.158999999999999</v>
      </c>
      <c r="AG828">
        <f>'raw data Crude oil'!AG829</f>
        <v>36.716999999999999</v>
      </c>
      <c r="AH828">
        <f>'raw data Crude oil'!AH829</f>
        <v>37.246000000000002</v>
      </c>
      <c r="AI828">
        <f>'raw data Crude oil'!AI829</f>
        <v>37.686999999999998</v>
      </c>
      <c r="AJ828">
        <f>'raw data Crude oil'!AJ829</f>
        <v>38.094999999999999</v>
      </c>
      <c r="AK828">
        <f>'raw data Crude oil'!AK829</f>
        <v>38.482999999999997</v>
      </c>
    </row>
    <row r="829" spans="1:37" x14ac:dyDescent="0.3">
      <c r="A829" s="18">
        <f>'raw data Crude oil'!A830</f>
        <v>43907</v>
      </c>
      <c r="B829">
        <f>'raw data Crude oil'!B830</f>
        <v>28.73</v>
      </c>
      <c r="C829">
        <f>'raw data Crude oil'!C830</f>
        <v>30.41</v>
      </c>
      <c r="D829">
        <f>'raw data Crude oil'!D830</f>
        <v>31.93</v>
      </c>
      <c r="E829">
        <f>'raw data Crude oil'!E830</f>
        <v>33.25</v>
      </c>
      <c r="F829">
        <f>'raw data Crude oil'!F830</f>
        <v>34.369999999999997</v>
      </c>
      <c r="G829">
        <f>'raw data Crude oil'!G830</f>
        <v>35.24</v>
      </c>
      <c r="H829">
        <f>'raw data Crude oil'!H830</f>
        <v>36.01</v>
      </c>
      <c r="I829">
        <f>'raw data Crude oil'!I830</f>
        <v>36.69</v>
      </c>
      <c r="J829">
        <f>'raw data Crude oil'!J830</f>
        <v>37.299999999999997</v>
      </c>
      <c r="K829">
        <f>'raw data Crude oil'!K830</f>
        <v>37.869999999999997</v>
      </c>
      <c r="L829">
        <f>'raw data Crude oil'!L830</f>
        <v>38.409999999999997</v>
      </c>
      <c r="M829">
        <f>'raw data Crude oil'!M830</f>
        <v>38.92</v>
      </c>
      <c r="N829">
        <f>'raw data Crude oil'!N830</f>
        <v>26.95</v>
      </c>
      <c r="O829">
        <f>'raw data Crude oil'!O830</f>
        <v>27.33</v>
      </c>
      <c r="P829">
        <f>'raw data Crude oil'!P830</f>
        <v>28.05</v>
      </c>
      <c r="Q829">
        <f>'raw data Crude oil'!Q830</f>
        <v>28.96</v>
      </c>
      <c r="R829">
        <f>'raw data Crude oil'!R830</f>
        <v>29.86</v>
      </c>
      <c r="S829">
        <f>'raw data Crude oil'!S830</f>
        <v>30.71</v>
      </c>
      <c r="T829">
        <f>'raw data Crude oil'!T830</f>
        <v>31.49</v>
      </c>
      <c r="U829">
        <f>'raw data Crude oil'!U830</f>
        <v>32.25</v>
      </c>
      <c r="V829">
        <f>'raw data Crude oil'!V830</f>
        <v>32.93</v>
      </c>
      <c r="W829">
        <f>'raw data Crude oil'!W830</f>
        <v>33.520000000000003</v>
      </c>
      <c r="X829">
        <f>'raw data Crude oil'!X830</f>
        <v>34.049999999999997</v>
      </c>
      <c r="Y829">
        <f>'raw data Crude oil'!Y830</f>
        <v>34.53</v>
      </c>
      <c r="Z829">
        <f>'raw data Crude oil'!Z830</f>
        <v>35.277000000000001</v>
      </c>
      <c r="AA829">
        <f>'raw data Crude oil'!AA830</f>
        <v>30.762</v>
      </c>
      <c r="AB829">
        <f>'raw data Crude oil'!AB830</f>
        <v>32.033000000000001</v>
      </c>
      <c r="AC829">
        <f>'raw data Crude oil'!AC830</f>
        <v>33.201000000000001</v>
      </c>
      <c r="AD829">
        <f>'raw data Crude oil'!AD830</f>
        <v>34.078000000000003</v>
      </c>
      <c r="AE829">
        <f>'raw data Crude oil'!AE830</f>
        <v>34.863</v>
      </c>
      <c r="AF829">
        <f>'raw data Crude oil'!AF830</f>
        <v>35.511000000000003</v>
      </c>
      <c r="AG829">
        <f>'raw data Crude oil'!AG830</f>
        <v>36.118000000000002</v>
      </c>
      <c r="AH829">
        <f>'raw data Crude oil'!AH830</f>
        <v>36.576999999999998</v>
      </c>
      <c r="AI829">
        <f>'raw data Crude oil'!AI830</f>
        <v>36.988999999999997</v>
      </c>
      <c r="AJ829">
        <f>'raw data Crude oil'!AJ830</f>
        <v>37.415999999999997</v>
      </c>
      <c r="AK829">
        <f>'raw data Crude oil'!AK830</f>
        <v>37.814</v>
      </c>
    </row>
    <row r="830" spans="1:37" x14ac:dyDescent="0.3">
      <c r="A830" s="18">
        <f>'raw data Crude oil'!A831</f>
        <v>43908</v>
      </c>
      <c r="B830">
        <f>'raw data Crude oil'!B831</f>
        <v>24.88</v>
      </c>
      <c r="C830">
        <f>'raw data Crude oil'!C831</f>
        <v>26.69</v>
      </c>
      <c r="D830">
        <f>'raw data Crude oil'!D831</f>
        <v>28.31</v>
      </c>
      <c r="E830">
        <f>'raw data Crude oil'!E831</f>
        <v>29.7</v>
      </c>
      <c r="F830">
        <f>'raw data Crude oil'!F831</f>
        <v>30.89</v>
      </c>
      <c r="G830">
        <f>'raw data Crude oil'!G831</f>
        <v>31.84</v>
      </c>
      <c r="H830">
        <f>'raw data Crude oil'!H831</f>
        <v>32.68</v>
      </c>
      <c r="I830">
        <f>'raw data Crude oil'!I831</f>
        <v>33.4</v>
      </c>
      <c r="J830">
        <f>'raw data Crude oil'!J831</f>
        <v>34.04</v>
      </c>
      <c r="K830">
        <f>'raw data Crude oil'!K831</f>
        <v>34.630000000000003</v>
      </c>
      <c r="L830">
        <f>'raw data Crude oil'!L831</f>
        <v>35.19</v>
      </c>
      <c r="M830">
        <f>'raw data Crude oil'!M831</f>
        <v>35.71</v>
      </c>
      <c r="N830">
        <f>'raw data Crude oil'!N831</f>
        <v>20.37</v>
      </c>
      <c r="O830">
        <f>'raw data Crude oil'!O831</f>
        <v>20.83</v>
      </c>
      <c r="P830">
        <f>'raw data Crude oil'!P831</f>
        <v>21.93</v>
      </c>
      <c r="Q830">
        <f>'raw data Crude oil'!Q831</f>
        <v>23.22</v>
      </c>
      <c r="R830">
        <f>'raw data Crude oil'!R831</f>
        <v>24.44</v>
      </c>
      <c r="S830">
        <f>'raw data Crude oil'!S831</f>
        <v>25.57</v>
      </c>
      <c r="T830">
        <f>'raw data Crude oil'!T831</f>
        <v>26.56</v>
      </c>
      <c r="U830">
        <f>'raw data Crude oil'!U831</f>
        <v>27.46</v>
      </c>
      <c r="V830">
        <f>'raw data Crude oil'!V831</f>
        <v>28.27</v>
      </c>
      <c r="W830">
        <f>'raw data Crude oil'!W831</f>
        <v>28.96</v>
      </c>
      <c r="X830">
        <f>'raw data Crude oil'!X831</f>
        <v>29.59</v>
      </c>
      <c r="Y830">
        <f>'raw data Crude oil'!Y831</f>
        <v>30.17</v>
      </c>
      <c r="Z830">
        <f>'raw data Crude oil'!Z831</f>
        <v>33.584000000000003</v>
      </c>
      <c r="AA830">
        <f>'raw data Crude oil'!AA831</f>
        <v>27.187000000000001</v>
      </c>
      <c r="AB830">
        <f>'raw data Crude oil'!AB831</f>
        <v>28.565999999999999</v>
      </c>
      <c r="AC830">
        <f>'raw data Crude oil'!AC831</f>
        <v>29.963999999999999</v>
      </c>
      <c r="AD830">
        <f>'raw data Crude oil'!AD831</f>
        <v>31.030999999999999</v>
      </c>
      <c r="AE830">
        <f>'raw data Crude oil'!AE831</f>
        <v>31.9</v>
      </c>
      <c r="AF830">
        <f>'raw data Crude oil'!AF831</f>
        <v>32.512999999999998</v>
      </c>
      <c r="AG830">
        <f>'raw data Crude oil'!AG831</f>
        <v>33.088999999999999</v>
      </c>
      <c r="AH830">
        <f>'raw data Crude oil'!AH831</f>
        <v>33.658000000000001</v>
      </c>
      <c r="AI830">
        <f>'raw data Crude oil'!AI831</f>
        <v>34.201000000000001</v>
      </c>
      <c r="AJ830">
        <f>'raw data Crude oil'!AJ831</f>
        <v>34.665999999999997</v>
      </c>
      <c r="AK830">
        <f>'raw data Crude oil'!AK831</f>
        <v>35.033999999999999</v>
      </c>
    </row>
    <row r="831" spans="1:37" x14ac:dyDescent="0.3">
      <c r="A831" s="18">
        <f>'raw data Crude oil'!A832</f>
        <v>43909</v>
      </c>
      <c r="B831">
        <f>'raw data Crude oil'!B832</f>
        <v>28.47</v>
      </c>
      <c r="C831">
        <f>'raw data Crude oil'!C832</f>
        <v>30.3</v>
      </c>
      <c r="D831">
        <f>'raw data Crude oil'!D832</f>
        <v>31.81</v>
      </c>
      <c r="E831">
        <f>'raw data Crude oil'!E832</f>
        <v>33.1</v>
      </c>
      <c r="F831">
        <f>'raw data Crude oil'!F832</f>
        <v>34.200000000000003</v>
      </c>
      <c r="G831">
        <f>'raw data Crude oil'!G832</f>
        <v>35.020000000000003</v>
      </c>
      <c r="H831">
        <f>'raw data Crude oil'!H832</f>
        <v>35.71</v>
      </c>
      <c r="I831">
        <f>'raw data Crude oil'!I832</f>
        <v>36.299999999999997</v>
      </c>
      <c r="J831">
        <f>'raw data Crude oil'!J832</f>
        <v>36.840000000000003</v>
      </c>
      <c r="K831">
        <f>'raw data Crude oil'!K832</f>
        <v>37.31</v>
      </c>
      <c r="L831">
        <f>'raw data Crude oil'!L832</f>
        <v>37.76</v>
      </c>
      <c r="M831">
        <f>'raw data Crude oil'!M832</f>
        <v>38.15</v>
      </c>
      <c r="N831">
        <f>'raw data Crude oil'!N832</f>
        <v>25.22</v>
      </c>
      <c r="O831">
        <f>'raw data Crude oil'!O832</f>
        <v>25.91</v>
      </c>
      <c r="P831">
        <f>'raw data Crude oil'!P832</f>
        <v>26.79</v>
      </c>
      <c r="Q831">
        <f>'raw data Crude oil'!Q832</f>
        <v>27.96</v>
      </c>
      <c r="R831">
        <f>'raw data Crude oil'!R832</f>
        <v>29.01</v>
      </c>
      <c r="S831">
        <f>'raw data Crude oil'!S832</f>
        <v>29.9</v>
      </c>
      <c r="T831">
        <f>'raw data Crude oil'!T832</f>
        <v>30.65</v>
      </c>
      <c r="U831">
        <f>'raw data Crude oil'!U832</f>
        <v>31.33</v>
      </c>
      <c r="V831">
        <f>'raw data Crude oil'!V832</f>
        <v>31.92</v>
      </c>
      <c r="W831">
        <f>'raw data Crude oil'!W832</f>
        <v>32.42</v>
      </c>
      <c r="X831">
        <f>'raw data Crude oil'!X832</f>
        <v>32.89</v>
      </c>
      <c r="Y831">
        <f>'raw data Crude oil'!Y832</f>
        <v>33.32</v>
      </c>
      <c r="Z831">
        <f>'raw data Crude oil'!Z832</f>
        <v>34.406999999999996</v>
      </c>
      <c r="AA831">
        <f>'raw data Crude oil'!AA832</f>
        <v>30.132000000000001</v>
      </c>
      <c r="AB831">
        <f>'raw data Crude oil'!AB832</f>
        <v>31.800999999999998</v>
      </c>
      <c r="AC831">
        <f>'raw data Crude oil'!AC832</f>
        <v>33.43</v>
      </c>
      <c r="AD831">
        <f>'raw data Crude oil'!AD832</f>
        <v>34.695999999999998</v>
      </c>
      <c r="AE831">
        <f>'raw data Crude oil'!AE832</f>
        <v>35.566000000000003</v>
      </c>
      <c r="AF831">
        <f>'raw data Crude oil'!AF832</f>
        <v>35.966999999999999</v>
      </c>
      <c r="AG831">
        <f>'raw data Crude oil'!AG832</f>
        <v>36.255000000000003</v>
      </c>
      <c r="AH831">
        <f>'raw data Crude oil'!AH832</f>
        <v>36.811999999999998</v>
      </c>
      <c r="AI831">
        <f>'raw data Crude oil'!AI832</f>
        <v>37.420999999999999</v>
      </c>
      <c r="AJ831">
        <f>'raw data Crude oil'!AJ832</f>
        <v>37.64</v>
      </c>
      <c r="AK831">
        <f>'raw data Crude oil'!AK832</f>
        <v>37.786999999999999</v>
      </c>
    </row>
    <row r="832" spans="1:37" x14ac:dyDescent="0.3">
      <c r="A832" s="18">
        <f>'raw data Crude oil'!A833</f>
        <v>43910</v>
      </c>
      <c r="B832">
        <f>'raw data Crude oil'!B833</f>
        <v>26.98</v>
      </c>
      <c r="C832">
        <f>'raw data Crude oil'!C833</f>
        <v>29</v>
      </c>
      <c r="D832">
        <f>'raw data Crude oil'!D833</f>
        <v>30.63</v>
      </c>
      <c r="E832">
        <f>'raw data Crude oil'!E833</f>
        <v>31.98</v>
      </c>
      <c r="F832">
        <f>'raw data Crude oil'!F833</f>
        <v>33.08</v>
      </c>
      <c r="G832">
        <f>'raw data Crude oil'!G833</f>
        <v>33.869999999999997</v>
      </c>
      <c r="H832">
        <f>'raw data Crude oil'!H833</f>
        <v>34.53</v>
      </c>
      <c r="I832">
        <f>'raw data Crude oil'!I833</f>
        <v>35.090000000000003</v>
      </c>
      <c r="J832">
        <f>'raw data Crude oil'!J833</f>
        <v>35.57</v>
      </c>
      <c r="K832">
        <f>'raw data Crude oil'!K833</f>
        <v>36</v>
      </c>
      <c r="L832">
        <f>'raw data Crude oil'!L833</f>
        <v>36.43</v>
      </c>
      <c r="M832">
        <f>'raw data Crude oil'!M833</f>
        <v>36.81</v>
      </c>
      <c r="N832">
        <f>'raw data Crude oil'!N833</f>
        <v>22.43</v>
      </c>
      <c r="O832">
        <f>'raw data Crude oil'!O833</f>
        <v>22.63</v>
      </c>
      <c r="P832">
        <f>'raw data Crude oil'!P833</f>
        <v>24.36</v>
      </c>
      <c r="Q832">
        <f>'raw data Crude oil'!Q833</f>
        <v>25.93</v>
      </c>
      <c r="R832">
        <f>'raw data Crude oil'!R833</f>
        <v>27.1</v>
      </c>
      <c r="S832">
        <f>'raw data Crude oil'!S833</f>
        <v>28.02</v>
      </c>
      <c r="T832">
        <f>'raw data Crude oil'!T833</f>
        <v>28.8</v>
      </c>
      <c r="U832">
        <f>'raw data Crude oil'!U833</f>
        <v>29.52</v>
      </c>
      <c r="V832">
        <f>'raw data Crude oil'!V833</f>
        <v>30.16</v>
      </c>
      <c r="W832">
        <f>'raw data Crude oil'!W833</f>
        <v>30.7</v>
      </c>
      <c r="X832">
        <f>'raw data Crude oil'!X833</f>
        <v>31.19</v>
      </c>
      <c r="Y832">
        <f>'raw data Crude oil'!Y833</f>
        <v>31.65</v>
      </c>
      <c r="Z832">
        <f>'raw data Crude oil'!Z833</f>
        <v>33.905000000000001</v>
      </c>
      <c r="AA832">
        <f>'raw data Crude oil'!AA833</f>
        <v>28.628</v>
      </c>
      <c r="AB832">
        <f>'raw data Crude oil'!AB833</f>
        <v>30.474</v>
      </c>
      <c r="AC832">
        <f>'raw data Crude oil'!AC833</f>
        <v>32.21</v>
      </c>
      <c r="AD832">
        <f>'raw data Crude oil'!AD833</f>
        <v>33.344000000000001</v>
      </c>
      <c r="AE832">
        <f>'raw data Crude oil'!AE833</f>
        <v>34.122999999999998</v>
      </c>
      <c r="AF832">
        <f>'raw data Crude oil'!AF833</f>
        <v>34.704999999999998</v>
      </c>
      <c r="AG832">
        <f>'raw data Crude oil'!AG833</f>
        <v>35.161999999999999</v>
      </c>
      <c r="AH832">
        <f>'raw data Crude oil'!AH833</f>
        <v>35.53</v>
      </c>
      <c r="AI832">
        <f>'raw data Crude oil'!AI833</f>
        <v>35.838999999999999</v>
      </c>
      <c r="AJ832">
        <f>'raw data Crude oil'!AJ833</f>
        <v>36.139000000000003</v>
      </c>
      <c r="AK832">
        <f>'raw data Crude oil'!AK833</f>
        <v>36.396999999999998</v>
      </c>
    </row>
    <row r="833" spans="1:37" x14ac:dyDescent="0.3">
      <c r="A833" s="18">
        <f>'raw data Crude oil'!A834</f>
        <v>43913</v>
      </c>
      <c r="B833">
        <f>'raw data Crude oil'!B834</f>
        <v>27.03</v>
      </c>
      <c r="C833">
        <f>'raw data Crude oil'!C834</f>
        <v>29.29</v>
      </c>
      <c r="D833">
        <f>'raw data Crude oil'!D834</f>
        <v>31.21</v>
      </c>
      <c r="E833">
        <f>'raw data Crude oil'!E834</f>
        <v>32.75</v>
      </c>
      <c r="F833">
        <f>'raw data Crude oil'!F834</f>
        <v>33.97</v>
      </c>
      <c r="G833">
        <f>'raw data Crude oil'!G834</f>
        <v>34.83</v>
      </c>
      <c r="H833">
        <f>'raw data Crude oil'!H834</f>
        <v>35.5</v>
      </c>
      <c r="I833">
        <f>'raw data Crude oil'!I834</f>
        <v>36.06</v>
      </c>
      <c r="J833">
        <f>'raw data Crude oil'!J834</f>
        <v>36.53</v>
      </c>
      <c r="K833">
        <f>'raw data Crude oil'!K834</f>
        <v>36.96</v>
      </c>
      <c r="L833">
        <f>'raw data Crude oil'!L834</f>
        <v>37.380000000000003</v>
      </c>
      <c r="M833">
        <f>'raw data Crude oil'!M834</f>
        <v>37.770000000000003</v>
      </c>
      <c r="N833">
        <f>'raw data Crude oil'!N834</f>
        <v>23.36</v>
      </c>
      <c r="O833">
        <f>'raw data Crude oil'!O834</f>
        <v>25.48</v>
      </c>
      <c r="P833">
        <f>'raw data Crude oil'!P834</f>
        <v>27.23</v>
      </c>
      <c r="Q833">
        <f>'raw data Crude oil'!Q834</f>
        <v>28.44</v>
      </c>
      <c r="R833">
        <f>'raw data Crude oil'!R834</f>
        <v>29.39</v>
      </c>
      <c r="S833">
        <f>'raw data Crude oil'!S834</f>
        <v>30.17</v>
      </c>
      <c r="T833">
        <f>'raw data Crude oil'!T834</f>
        <v>30.88</v>
      </c>
      <c r="U833">
        <f>'raw data Crude oil'!U834</f>
        <v>31.5</v>
      </c>
      <c r="V833">
        <f>'raw data Crude oil'!V834</f>
        <v>32.020000000000003</v>
      </c>
      <c r="W833">
        <f>'raw data Crude oil'!W834</f>
        <v>32.49</v>
      </c>
      <c r="X833">
        <f>'raw data Crude oil'!X834</f>
        <v>32.93</v>
      </c>
      <c r="Y833">
        <f>'raw data Crude oil'!Y834</f>
        <v>33.33</v>
      </c>
      <c r="Z833">
        <f>'raw data Crude oil'!Z834</f>
        <v>33.771000000000001</v>
      </c>
      <c r="AA833">
        <f>'raw data Crude oil'!AA834</f>
        <v>28.631</v>
      </c>
      <c r="AB833">
        <f>'raw data Crude oil'!AB834</f>
        <v>30.632999999999999</v>
      </c>
      <c r="AC833">
        <f>'raw data Crude oil'!AC834</f>
        <v>32.645000000000003</v>
      </c>
      <c r="AD833">
        <f>'raw data Crude oil'!AD834</f>
        <v>34.186999999999998</v>
      </c>
      <c r="AE833">
        <f>'raw data Crude oil'!AE834</f>
        <v>35.204000000000001</v>
      </c>
      <c r="AF833">
        <f>'raw data Crude oil'!AF834</f>
        <v>35.734999999999999</v>
      </c>
      <c r="AG833">
        <f>'raw data Crude oil'!AG834</f>
        <v>36.151000000000003</v>
      </c>
      <c r="AH833">
        <f>'raw data Crude oil'!AH834</f>
        <v>36.61</v>
      </c>
      <c r="AI833">
        <f>'raw data Crude oil'!AI834</f>
        <v>36.838000000000001</v>
      </c>
      <c r="AJ833">
        <f>'raw data Crude oil'!AJ834</f>
        <v>36.950000000000003</v>
      </c>
      <c r="AK833">
        <f>'raw data Crude oil'!AK834</f>
        <v>37.139000000000003</v>
      </c>
    </row>
    <row r="834" spans="1:37" x14ac:dyDescent="0.3">
      <c r="A834" s="18">
        <f>'raw data Crude oil'!A835</f>
        <v>43914</v>
      </c>
      <c r="B834">
        <f>'raw data Crude oil'!B835</f>
        <v>27.15</v>
      </c>
      <c r="C834">
        <f>'raw data Crude oil'!C835</f>
        <v>29.74</v>
      </c>
      <c r="D834">
        <f>'raw data Crude oil'!D835</f>
        <v>31.94</v>
      </c>
      <c r="E834">
        <f>'raw data Crude oil'!E835</f>
        <v>33.630000000000003</v>
      </c>
      <c r="F834">
        <f>'raw data Crude oil'!F835</f>
        <v>34.869999999999997</v>
      </c>
      <c r="G834">
        <f>'raw data Crude oil'!G835</f>
        <v>35.72</v>
      </c>
      <c r="H834">
        <f>'raw data Crude oil'!H835</f>
        <v>36.369999999999997</v>
      </c>
      <c r="I834">
        <f>'raw data Crude oil'!I835</f>
        <v>36.909999999999997</v>
      </c>
      <c r="J834">
        <f>'raw data Crude oil'!J835</f>
        <v>37.35</v>
      </c>
      <c r="K834">
        <f>'raw data Crude oil'!K835</f>
        <v>37.76</v>
      </c>
      <c r="L834">
        <f>'raw data Crude oil'!L835</f>
        <v>38.18</v>
      </c>
      <c r="M834">
        <f>'raw data Crude oil'!M835</f>
        <v>38.56</v>
      </c>
      <c r="N834">
        <f>'raw data Crude oil'!N835</f>
        <v>24.01</v>
      </c>
      <c r="O834">
        <f>'raw data Crude oil'!O835</f>
        <v>26.2</v>
      </c>
      <c r="P834">
        <f>'raw data Crude oil'!P835</f>
        <v>28.05</v>
      </c>
      <c r="Q834">
        <f>'raw data Crude oil'!Q835</f>
        <v>29.3</v>
      </c>
      <c r="R834">
        <f>'raw data Crude oil'!R835</f>
        <v>30.2</v>
      </c>
      <c r="S834">
        <f>'raw data Crude oil'!S835</f>
        <v>30.94</v>
      </c>
      <c r="T834">
        <f>'raw data Crude oil'!T835</f>
        <v>31.62</v>
      </c>
      <c r="U834">
        <f>'raw data Crude oil'!U835</f>
        <v>32.21</v>
      </c>
      <c r="V834">
        <f>'raw data Crude oil'!V835</f>
        <v>32.700000000000003</v>
      </c>
      <c r="W834">
        <f>'raw data Crude oil'!W835</f>
        <v>33.14</v>
      </c>
      <c r="X834">
        <f>'raw data Crude oil'!X835</f>
        <v>33.549999999999997</v>
      </c>
      <c r="Y834">
        <f>'raw data Crude oil'!Y835</f>
        <v>33.94</v>
      </c>
      <c r="Z834">
        <f>'raw data Crude oil'!Z835</f>
        <v>34.026000000000003</v>
      </c>
      <c r="AA834">
        <f>'raw data Crude oil'!AA835</f>
        <v>29.215</v>
      </c>
      <c r="AB834">
        <f>'raw data Crude oil'!AB835</f>
        <v>31.5</v>
      </c>
      <c r="AC834">
        <f>'raw data Crude oil'!AC835</f>
        <v>33.636000000000003</v>
      </c>
      <c r="AD834">
        <f>'raw data Crude oil'!AD835</f>
        <v>35.237000000000002</v>
      </c>
      <c r="AE834">
        <f>'raw data Crude oil'!AE835</f>
        <v>36.292000000000002</v>
      </c>
      <c r="AF834">
        <f>'raw data Crude oil'!AF835</f>
        <v>36.884999999999998</v>
      </c>
      <c r="AG834">
        <f>'raw data Crude oil'!AG835</f>
        <v>37.17</v>
      </c>
      <c r="AH834">
        <f>'raw data Crude oil'!AH835</f>
        <v>37.39</v>
      </c>
      <c r="AI834">
        <f>'raw data Crude oil'!AI835</f>
        <v>37.597999999999999</v>
      </c>
      <c r="AJ834">
        <f>'raw data Crude oil'!AJ835</f>
        <v>37.848999999999997</v>
      </c>
      <c r="AK834">
        <f>'raw data Crude oil'!AK835</f>
        <v>37.997999999999998</v>
      </c>
    </row>
    <row r="835" spans="1:37" x14ac:dyDescent="0.3">
      <c r="A835" s="18">
        <f>'raw data Crude oil'!A836</f>
        <v>43915</v>
      </c>
      <c r="B835">
        <f>'raw data Crude oil'!B836</f>
        <v>27.39</v>
      </c>
      <c r="C835">
        <f>'raw data Crude oil'!C836</f>
        <v>29.99</v>
      </c>
      <c r="D835">
        <f>'raw data Crude oil'!D836</f>
        <v>32.56</v>
      </c>
      <c r="E835">
        <f>'raw data Crude oil'!E836</f>
        <v>34.49</v>
      </c>
      <c r="F835">
        <f>'raw data Crude oil'!F836</f>
        <v>35.840000000000003</v>
      </c>
      <c r="G835">
        <f>'raw data Crude oil'!G836</f>
        <v>36.75</v>
      </c>
      <c r="H835">
        <f>'raw data Crude oil'!H836</f>
        <v>37.44</v>
      </c>
      <c r="I835">
        <f>'raw data Crude oil'!I836</f>
        <v>38</v>
      </c>
      <c r="J835">
        <f>'raw data Crude oil'!J836</f>
        <v>38.450000000000003</v>
      </c>
      <c r="K835">
        <f>'raw data Crude oil'!K836</f>
        <v>38.86</v>
      </c>
      <c r="L835">
        <f>'raw data Crude oil'!L836</f>
        <v>39.28</v>
      </c>
      <c r="M835">
        <f>'raw data Crude oil'!M836</f>
        <v>39.64</v>
      </c>
      <c r="N835">
        <f>'raw data Crude oil'!N836</f>
        <v>24.49</v>
      </c>
      <c r="O835">
        <f>'raw data Crude oil'!O836</f>
        <v>27.16</v>
      </c>
      <c r="P835">
        <f>'raw data Crude oil'!P836</f>
        <v>29.19</v>
      </c>
      <c r="Q835">
        <f>'raw data Crude oil'!Q836</f>
        <v>30.46</v>
      </c>
      <c r="R835">
        <f>'raw data Crude oil'!R836</f>
        <v>31.4</v>
      </c>
      <c r="S835">
        <f>'raw data Crude oil'!S836</f>
        <v>32.14</v>
      </c>
      <c r="T835">
        <f>'raw data Crude oil'!T836</f>
        <v>32.83</v>
      </c>
      <c r="U835">
        <f>'raw data Crude oil'!U836</f>
        <v>33.43</v>
      </c>
      <c r="V835">
        <f>'raw data Crude oil'!V836</f>
        <v>33.92</v>
      </c>
      <c r="W835">
        <f>'raw data Crude oil'!W836</f>
        <v>34.340000000000003</v>
      </c>
      <c r="X835">
        <f>'raw data Crude oil'!X836</f>
        <v>34.75</v>
      </c>
      <c r="Y835">
        <f>'raw data Crude oil'!Y836</f>
        <v>35.14</v>
      </c>
      <c r="Z835">
        <f>'raw data Crude oil'!Z836</f>
        <v>34.183999999999997</v>
      </c>
      <c r="AA835">
        <f>'raw data Crude oil'!AA836</f>
        <v>29.312000000000001</v>
      </c>
      <c r="AB835">
        <f>'raw data Crude oil'!AB836</f>
        <v>32.031999999999996</v>
      </c>
      <c r="AC835">
        <f>'raw data Crude oil'!AC836</f>
        <v>34.241</v>
      </c>
      <c r="AD835">
        <f>'raw data Crude oil'!AD836</f>
        <v>36.090000000000003</v>
      </c>
      <c r="AE835">
        <f>'raw data Crude oil'!AE836</f>
        <v>37.386000000000003</v>
      </c>
      <c r="AF835">
        <f>'raw data Crude oil'!AF836</f>
        <v>38.094999999999999</v>
      </c>
      <c r="AG835">
        <f>'raw data Crude oil'!AG836</f>
        <v>38.47</v>
      </c>
      <c r="AH835">
        <f>'raw data Crude oil'!AH836</f>
        <v>38.729999999999997</v>
      </c>
      <c r="AI835">
        <f>'raw data Crude oil'!AI836</f>
        <v>38.938000000000002</v>
      </c>
      <c r="AJ835">
        <f>'raw data Crude oil'!AJ836</f>
        <v>39.198</v>
      </c>
      <c r="AK835">
        <f>'raw data Crude oil'!AK836</f>
        <v>39.398000000000003</v>
      </c>
    </row>
    <row r="836" spans="1:37" x14ac:dyDescent="0.3">
      <c r="A836" s="18">
        <f>'raw data Crude oil'!A837</f>
        <v>43916</v>
      </c>
      <c r="B836">
        <f>'raw data Crude oil'!B837</f>
        <v>26.34</v>
      </c>
      <c r="C836">
        <f>'raw data Crude oil'!C837</f>
        <v>28.65</v>
      </c>
      <c r="D836">
        <f>'raw data Crude oil'!D837</f>
        <v>31.29</v>
      </c>
      <c r="E836">
        <f>'raw data Crude oil'!E837</f>
        <v>33.369999999999997</v>
      </c>
      <c r="F836">
        <f>'raw data Crude oil'!F837</f>
        <v>34.79</v>
      </c>
      <c r="G836">
        <f>'raw data Crude oil'!G837</f>
        <v>35.75</v>
      </c>
      <c r="H836">
        <f>'raw data Crude oil'!H837</f>
        <v>36.44</v>
      </c>
      <c r="I836">
        <f>'raw data Crude oil'!I837</f>
        <v>36.99</v>
      </c>
      <c r="J836">
        <f>'raw data Crude oil'!J837</f>
        <v>37.44</v>
      </c>
      <c r="K836">
        <f>'raw data Crude oil'!K837</f>
        <v>37.86</v>
      </c>
      <c r="L836">
        <f>'raw data Crude oil'!L837</f>
        <v>38.29</v>
      </c>
      <c r="M836">
        <f>'raw data Crude oil'!M837</f>
        <v>38.64</v>
      </c>
      <c r="N836">
        <f>'raw data Crude oil'!N837</f>
        <v>22.6</v>
      </c>
      <c r="O836">
        <f>'raw data Crude oil'!O837</f>
        <v>25.71</v>
      </c>
      <c r="P836">
        <f>'raw data Crude oil'!P837</f>
        <v>28.27</v>
      </c>
      <c r="Q836">
        <f>'raw data Crude oil'!Q837</f>
        <v>29.85</v>
      </c>
      <c r="R836">
        <f>'raw data Crude oil'!R837</f>
        <v>30.87</v>
      </c>
      <c r="S836">
        <f>'raw data Crude oil'!S837</f>
        <v>31.62</v>
      </c>
      <c r="T836">
        <f>'raw data Crude oil'!T837</f>
        <v>32.26</v>
      </c>
      <c r="U836">
        <f>'raw data Crude oil'!U837</f>
        <v>32.79</v>
      </c>
      <c r="V836">
        <f>'raw data Crude oil'!V837</f>
        <v>33.229999999999997</v>
      </c>
      <c r="W836">
        <f>'raw data Crude oil'!W837</f>
        <v>33.64</v>
      </c>
      <c r="X836">
        <f>'raw data Crude oil'!X837</f>
        <v>34.04</v>
      </c>
      <c r="Y836">
        <f>'raw data Crude oil'!Y837</f>
        <v>34.42</v>
      </c>
      <c r="Z836">
        <f>'raw data Crude oil'!Z837</f>
        <v>33.927</v>
      </c>
      <c r="AA836">
        <f>'raw data Crude oil'!AA837</f>
        <v>28.126000000000001</v>
      </c>
      <c r="AB836">
        <f>'raw data Crude oil'!AB837</f>
        <v>30.838999999999999</v>
      </c>
      <c r="AC836">
        <f>'raw data Crude oil'!AC837</f>
        <v>32.984999999999999</v>
      </c>
      <c r="AD836">
        <f>'raw data Crude oil'!AD837</f>
        <v>34.682000000000002</v>
      </c>
      <c r="AE836">
        <f>'raw data Crude oil'!AE837</f>
        <v>35.845999999999997</v>
      </c>
      <c r="AF836">
        <f>'raw data Crude oil'!AF837</f>
        <v>36.585000000000001</v>
      </c>
      <c r="AG836">
        <f>'raw data Crude oil'!AG837</f>
        <v>37</v>
      </c>
      <c r="AH836">
        <f>'raw data Crude oil'!AH837</f>
        <v>37.26</v>
      </c>
      <c r="AI836">
        <f>'raw data Crude oil'!AI837</f>
        <v>37.499000000000002</v>
      </c>
      <c r="AJ836">
        <f>'raw data Crude oil'!AJ837</f>
        <v>37.738</v>
      </c>
      <c r="AK836">
        <f>'raw data Crude oil'!AK837</f>
        <v>38.027999999999999</v>
      </c>
    </row>
    <row r="837" spans="1:37" x14ac:dyDescent="0.3">
      <c r="A837" s="18">
        <f>'raw data Crude oil'!A838</f>
        <v>43917</v>
      </c>
      <c r="B837">
        <f>'raw data Crude oil'!B838</f>
        <v>24.93</v>
      </c>
      <c r="C837">
        <f>'raw data Crude oil'!C838</f>
        <v>27.95</v>
      </c>
      <c r="D837">
        <f>'raw data Crude oil'!D838</f>
        <v>30.91</v>
      </c>
      <c r="E837">
        <f>'raw data Crude oil'!E838</f>
        <v>33.29</v>
      </c>
      <c r="F837">
        <f>'raw data Crude oil'!F838</f>
        <v>34.909999999999997</v>
      </c>
      <c r="G837">
        <f>'raw data Crude oil'!G838</f>
        <v>36.03</v>
      </c>
      <c r="H837">
        <f>'raw data Crude oil'!H838</f>
        <v>36.799999999999997</v>
      </c>
      <c r="I837">
        <f>'raw data Crude oil'!I838</f>
        <v>37.409999999999997</v>
      </c>
      <c r="J837">
        <f>'raw data Crude oil'!J838</f>
        <v>37.880000000000003</v>
      </c>
      <c r="K837">
        <f>'raw data Crude oil'!K838</f>
        <v>38.31</v>
      </c>
      <c r="L837">
        <f>'raw data Crude oil'!L838</f>
        <v>38.76</v>
      </c>
      <c r="M837">
        <f>'raw data Crude oil'!M838</f>
        <v>39.119999999999997</v>
      </c>
      <c r="N837">
        <f>'raw data Crude oil'!N838</f>
        <v>21.51</v>
      </c>
      <c r="O837">
        <f>'raw data Crude oil'!O838</f>
        <v>25.15</v>
      </c>
      <c r="P837">
        <f>'raw data Crude oil'!P838</f>
        <v>28.13</v>
      </c>
      <c r="Q837">
        <f>'raw data Crude oil'!Q838</f>
        <v>30.05</v>
      </c>
      <c r="R837">
        <f>'raw data Crude oil'!R838</f>
        <v>31.3</v>
      </c>
      <c r="S837">
        <f>'raw data Crude oil'!S838</f>
        <v>32.14</v>
      </c>
      <c r="T837">
        <f>'raw data Crude oil'!T838</f>
        <v>32.85</v>
      </c>
      <c r="U837">
        <f>'raw data Crude oil'!U838</f>
        <v>33.450000000000003</v>
      </c>
      <c r="V837">
        <f>'raw data Crude oil'!V838</f>
        <v>33.94</v>
      </c>
      <c r="W837">
        <f>'raw data Crude oil'!W838</f>
        <v>34.380000000000003</v>
      </c>
      <c r="X837">
        <f>'raw data Crude oil'!X838</f>
        <v>34.799999999999997</v>
      </c>
      <c r="Y837">
        <f>'raw data Crude oil'!Y838</f>
        <v>35.19</v>
      </c>
      <c r="Z837">
        <f>'raw data Crude oil'!Z838</f>
        <v>33.847999999999999</v>
      </c>
      <c r="AA837">
        <f>'raw data Crude oil'!AA838</f>
        <v>27.471</v>
      </c>
      <c r="AB837">
        <f>'raw data Crude oil'!AB838</f>
        <v>30.343</v>
      </c>
      <c r="AC837">
        <f>'raw data Crude oil'!AC838</f>
        <v>32.584000000000003</v>
      </c>
      <c r="AD837">
        <f>'raw data Crude oil'!AD838</f>
        <v>34.319000000000003</v>
      </c>
      <c r="AE837">
        <f>'raw data Crude oil'!AE838</f>
        <v>35.493000000000002</v>
      </c>
      <c r="AF837">
        <f>'raw data Crude oil'!AF838</f>
        <v>36.268000000000001</v>
      </c>
      <c r="AG837">
        <f>'raw data Crude oil'!AG838</f>
        <v>36.750999999999998</v>
      </c>
      <c r="AH837">
        <f>'raw data Crude oil'!AH838</f>
        <v>37.08</v>
      </c>
      <c r="AI837">
        <f>'raw data Crude oil'!AI838</f>
        <v>37.381</v>
      </c>
      <c r="AJ837">
        <f>'raw data Crude oil'!AJ838</f>
        <v>37.667999999999999</v>
      </c>
      <c r="AK837">
        <f>'raw data Crude oil'!AK838</f>
        <v>37.987000000000002</v>
      </c>
    </row>
    <row r="838" spans="1:37" x14ac:dyDescent="0.3">
      <c r="A838" s="18">
        <f>'raw data Crude oil'!A839</f>
        <v>43920</v>
      </c>
      <c r="B838">
        <f>'raw data Crude oil'!B839</f>
        <v>22.76</v>
      </c>
      <c r="C838">
        <f>'raw data Crude oil'!C839</f>
        <v>26.42</v>
      </c>
      <c r="D838">
        <f>'raw data Crude oil'!D839</f>
        <v>29.78</v>
      </c>
      <c r="E838">
        <f>'raw data Crude oil'!E839</f>
        <v>32.409999999999997</v>
      </c>
      <c r="F838">
        <f>'raw data Crude oil'!F839</f>
        <v>34.380000000000003</v>
      </c>
      <c r="G838">
        <f>'raw data Crude oil'!G839</f>
        <v>35.770000000000003</v>
      </c>
      <c r="H838">
        <f>'raw data Crude oil'!H839</f>
        <v>36.71</v>
      </c>
      <c r="I838">
        <f>'raw data Crude oil'!I839</f>
        <v>37.4</v>
      </c>
      <c r="J838">
        <f>'raw data Crude oil'!J839</f>
        <v>37.93</v>
      </c>
      <c r="K838">
        <f>'raw data Crude oil'!K839</f>
        <v>38.4</v>
      </c>
      <c r="L838">
        <f>'raw data Crude oil'!L839</f>
        <v>38.85</v>
      </c>
      <c r="M838">
        <f>'raw data Crude oil'!M839</f>
        <v>39.22</v>
      </c>
      <c r="N838">
        <f>'raw data Crude oil'!N839</f>
        <v>20.09</v>
      </c>
      <c r="O838">
        <f>'raw data Crude oil'!O839</f>
        <v>24.09</v>
      </c>
      <c r="P838">
        <f>'raw data Crude oil'!P839</f>
        <v>27.4</v>
      </c>
      <c r="Q838">
        <f>'raw data Crude oil'!Q839</f>
        <v>29.56</v>
      </c>
      <c r="R838">
        <f>'raw data Crude oil'!R839</f>
        <v>31</v>
      </c>
      <c r="S838">
        <f>'raw data Crude oil'!S839</f>
        <v>32.03</v>
      </c>
      <c r="T838">
        <f>'raw data Crude oil'!T839</f>
        <v>32.9</v>
      </c>
      <c r="U838">
        <f>'raw data Crude oil'!U839</f>
        <v>33.58</v>
      </c>
      <c r="V838">
        <f>'raw data Crude oil'!V839</f>
        <v>34.14</v>
      </c>
      <c r="W838">
        <f>'raw data Crude oil'!W839</f>
        <v>34.61</v>
      </c>
      <c r="X838">
        <f>'raw data Crude oil'!X839</f>
        <v>35.03</v>
      </c>
      <c r="Y838">
        <f>'raw data Crude oil'!Y839</f>
        <v>35.409999999999997</v>
      </c>
      <c r="Z838">
        <f>'raw data Crude oil'!Z839</f>
        <v>33.694000000000003</v>
      </c>
      <c r="AA838">
        <f>'raw data Crude oil'!AA839</f>
        <v>26.24</v>
      </c>
      <c r="AB838">
        <f>'raw data Crude oil'!AB839</f>
        <v>29.225000000000001</v>
      </c>
      <c r="AC838">
        <f>'raw data Crude oil'!AC839</f>
        <v>31.7</v>
      </c>
      <c r="AD838">
        <f>'raw data Crude oil'!AD839</f>
        <v>33.619999999999997</v>
      </c>
      <c r="AE838">
        <f>'raw data Crude oil'!AE839</f>
        <v>35.08</v>
      </c>
      <c r="AF838">
        <f>'raw data Crude oil'!AF839</f>
        <v>35.941000000000003</v>
      </c>
      <c r="AG838">
        <f>'raw data Crude oil'!AG839</f>
        <v>36.573999999999998</v>
      </c>
      <c r="AH838">
        <f>'raw data Crude oil'!AH839</f>
        <v>37.021999999999998</v>
      </c>
      <c r="AI838">
        <f>'raw data Crude oil'!AI839</f>
        <v>37.451000000000001</v>
      </c>
      <c r="AJ838">
        <f>'raw data Crude oil'!AJ839</f>
        <v>37.738999999999997</v>
      </c>
      <c r="AK838">
        <f>'raw data Crude oil'!AK839</f>
        <v>38.067999999999998</v>
      </c>
    </row>
    <row r="839" spans="1:37" x14ac:dyDescent="0.3">
      <c r="A839" s="18">
        <f>'raw data Crude oil'!A840</f>
        <v>43921</v>
      </c>
      <c r="B839">
        <f>'raw data Crude oil'!B840</f>
        <v>22.74</v>
      </c>
      <c r="C839">
        <f>'raw data Crude oil'!C840</f>
        <v>26.35</v>
      </c>
      <c r="D839">
        <f>'raw data Crude oil'!D840</f>
        <v>29.66</v>
      </c>
      <c r="E839">
        <f>'raw data Crude oil'!E840</f>
        <v>32.24</v>
      </c>
      <c r="F839">
        <f>'raw data Crude oil'!F840</f>
        <v>34.130000000000003</v>
      </c>
      <c r="G839">
        <f>'raw data Crude oil'!G840</f>
        <v>35.49</v>
      </c>
      <c r="H839">
        <f>'raw data Crude oil'!H840</f>
        <v>36.4</v>
      </c>
      <c r="I839">
        <f>'raw data Crude oil'!I840</f>
        <v>37.07</v>
      </c>
      <c r="J839">
        <f>'raw data Crude oil'!J840</f>
        <v>37.58</v>
      </c>
      <c r="K839">
        <f>'raw data Crude oil'!K840</f>
        <v>38.03</v>
      </c>
      <c r="L839">
        <f>'raw data Crude oil'!L840</f>
        <v>38.51</v>
      </c>
      <c r="M839">
        <f>'raw data Crude oil'!M840</f>
        <v>38.909999999999997</v>
      </c>
      <c r="N839">
        <f>'raw data Crude oil'!N840</f>
        <v>20.48</v>
      </c>
      <c r="O839">
        <f>'raw data Crude oil'!O840</f>
        <v>24.51</v>
      </c>
      <c r="P839">
        <f>'raw data Crude oil'!P840</f>
        <v>27.69</v>
      </c>
      <c r="Q839">
        <f>'raw data Crude oil'!Q840</f>
        <v>29.79</v>
      </c>
      <c r="R839">
        <f>'raw data Crude oil'!R840</f>
        <v>31.12</v>
      </c>
      <c r="S839">
        <f>'raw data Crude oil'!S840</f>
        <v>32.08</v>
      </c>
      <c r="T839">
        <f>'raw data Crude oil'!T840</f>
        <v>32.909999999999997</v>
      </c>
      <c r="U839">
        <f>'raw data Crude oil'!U840</f>
        <v>33.58</v>
      </c>
      <c r="V839">
        <f>'raw data Crude oil'!V840</f>
        <v>34.15</v>
      </c>
      <c r="W839">
        <f>'raw data Crude oil'!W840</f>
        <v>34.64</v>
      </c>
      <c r="X839">
        <f>'raw data Crude oil'!X840</f>
        <v>35.1</v>
      </c>
      <c r="Y839">
        <f>'raw data Crude oil'!Y840</f>
        <v>35.520000000000003</v>
      </c>
      <c r="Z839">
        <f>'raw data Crude oil'!Z840</f>
        <v>33.700000000000003</v>
      </c>
      <c r="AA839">
        <f>'raw data Crude oil'!AA840</f>
        <v>25.777999999999999</v>
      </c>
      <c r="AB839">
        <f>'raw data Crude oil'!AB840</f>
        <v>28.902999999999999</v>
      </c>
      <c r="AC839">
        <f>'raw data Crude oil'!AC840</f>
        <v>31.475999999999999</v>
      </c>
      <c r="AD839">
        <f>'raw data Crude oil'!AD840</f>
        <v>33.469000000000001</v>
      </c>
      <c r="AE839">
        <f>'raw data Crude oil'!AE840</f>
        <v>34.896999999999998</v>
      </c>
      <c r="AF839">
        <f>'raw data Crude oil'!AF840</f>
        <v>35.76</v>
      </c>
      <c r="AG839">
        <f>'raw data Crude oil'!AG840</f>
        <v>36.393000000000001</v>
      </c>
      <c r="AH839">
        <f>'raw data Crude oil'!AH840</f>
        <v>36.820999999999998</v>
      </c>
      <c r="AI839">
        <f>'raw data Crude oil'!AI840</f>
        <v>37.234000000000002</v>
      </c>
      <c r="AJ839">
        <f>'raw data Crude oil'!AJ840</f>
        <v>37.6</v>
      </c>
      <c r="AK839">
        <f>'raw data Crude oil'!AK840</f>
        <v>37.94</v>
      </c>
    </row>
    <row r="840" spans="1:37" x14ac:dyDescent="0.3">
      <c r="A840" s="18">
        <f>'raw data Crude oil'!A841</f>
        <v>43922</v>
      </c>
      <c r="B840">
        <f>'raw data Crude oil'!B841</f>
        <v>24.74</v>
      </c>
      <c r="C840">
        <f>'raw data Crude oil'!C841</f>
        <v>28.04</v>
      </c>
      <c r="D840">
        <f>'raw data Crude oil'!D841</f>
        <v>30.56</v>
      </c>
      <c r="E840">
        <f>'raw data Crude oil'!E841</f>
        <v>32.44</v>
      </c>
      <c r="F840">
        <f>'raw data Crude oil'!F841</f>
        <v>33.85</v>
      </c>
      <c r="G840">
        <f>'raw data Crude oil'!G841</f>
        <v>34.81</v>
      </c>
      <c r="H840">
        <f>'raw data Crude oil'!H841</f>
        <v>35.51</v>
      </c>
      <c r="I840">
        <f>'raw data Crude oil'!I841</f>
        <v>36.07</v>
      </c>
      <c r="J840">
        <f>'raw data Crude oil'!J841</f>
        <v>36.58</v>
      </c>
      <c r="K840">
        <f>'raw data Crude oil'!K841</f>
        <v>37.1</v>
      </c>
      <c r="L840">
        <f>'raw data Crude oil'!L841</f>
        <v>37.53</v>
      </c>
      <c r="M840">
        <f>'raw data Crude oil'!M841</f>
        <v>37.96</v>
      </c>
      <c r="N840">
        <f>'raw data Crude oil'!N841</f>
        <v>20.309999999999999</v>
      </c>
      <c r="O840">
        <f>'raw data Crude oil'!O841</f>
        <v>23.74</v>
      </c>
      <c r="P840">
        <f>'raw data Crude oil'!P841</f>
        <v>26.42</v>
      </c>
      <c r="Q840">
        <f>'raw data Crude oil'!Q841</f>
        <v>28.31</v>
      </c>
      <c r="R840">
        <f>'raw data Crude oil'!R841</f>
        <v>29.55</v>
      </c>
      <c r="S840">
        <f>'raw data Crude oil'!S841</f>
        <v>30.52</v>
      </c>
      <c r="T840">
        <f>'raw data Crude oil'!T841</f>
        <v>31.4</v>
      </c>
      <c r="U840">
        <f>'raw data Crude oil'!U841</f>
        <v>32.14</v>
      </c>
      <c r="V840">
        <f>'raw data Crude oil'!V841</f>
        <v>32.75</v>
      </c>
      <c r="W840">
        <f>'raw data Crude oil'!W841</f>
        <v>33.270000000000003</v>
      </c>
      <c r="X840">
        <f>'raw data Crude oil'!X841</f>
        <v>33.74</v>
      </c>
      <c r="Y840">
        <f>'raw data Crude oil'!Y841</f>
        <v>34.18</v>
      </c>
      <c r="Z840">
        <f>'raw data Crude oil'!Z841</f>
        <v>33.700000000000003</v>
      </c>
      <c r="AA840">
        <f>'raw data Crude oil'!AA841</f>
        <v>21.923999999999999</v>
      </c>
      <c r="AB840">
        <f>'raw data Crude oil'!AB841</f>
        <v>25.86</v>
      </c>
      <c r="AC840">
        <f>'raw data Crude oil'!AC841</f>
        <v>28.754999999999999</v>
      </c>
      <c r="AD840">
        <f>'raw data Crude oil'!AD841</f>
        <v>30.850999999999999</v>
      </c>
      <c r="AE840">
        <f>'raw data Crude oil'!AE841</f>
        <v>32.600999999999999</v>
      </c>
      <c r="AF840">
        <f>'raw data Crude oil'!AF841</f>
        <v>33.712000000000003</v>
      </c>
      <c r="AG840">
        <f>'raw data Crude oil'!AG841</f>
        <v>34.375</v>
      </c>
      <c r="AH840">
        <f>'raw data Crude oil'!AH841</f>
        <v>34.874000000000002</v>
      </c>
      <c r="AI840">
        <f>'raw data Crude oil'!AI841</f>
        <v>35.326999999999998</v>
      </c>
      <c r="AJ840">
        <f>'raw data Crude oil'!AJ841</f>
        <v>35.661999999999999</v>
      </c>
      <c r="AK840">
        <f>'raw data Crude oil'!AK841</f>
        <v>36.052</v>
      </c>
    </row>
    <row r="841" spans="1:37" x14ac:dyDescent="0.3">
      <c r="A841" s="18">
        <f>'raw data Crude oil'!A842</f>
        <v>43923</v>
      </c>
      <c r="B841">
        <f>'raw data Crude oil'!B842</f>
        <v>29.94</v>
      </c>
      <c r="C841">
        <f>'raw data Crude oil'!C842</f>
        <v>32.1</v>
      </c>
      <c r="D841">
        <f>'raw data Crude oil'!D842</f>
        <v>33.659999999999997</v>
      </c>
      <c r="E841">
        <f>'raw data Crude oil'!E842</f>
        <v>34.909999999999997</v>
      </c>
      <c r="F841">
        <f>'raw data Crude oil'!F842</f>
        <v>35.78</v>
      </c>
      <c r="G841">
        <f>'raw data Crude oil'!G842</f>
        <v>36.43</v>
      </c>
      <c r="H841">
        <f>'raw data Crude oil'!H842</f>
        <v>36.9</v>
      </c>
      <c r="I841">
        <f>'raw data Crude oil'!I842</f>
        <v>37.31</v>
      </c>
      <c r="J841">
        <f>'raw data Crude oil'!J842</f>
        <v>37.700000000000003</v>
      </c>
      <c r="K841">
        <f>'raw data Crude oil'!K842</f>
        <v>38.14</v>
      </c>
      <c r="L841">
        <f>'raw data Crude oil'!L842</f>
        <v>38.479999999999997</v>
      </c>
      <c r="M841">
        <f>'raw data Crude oil'!M842</f>
        <v>38.83</v>
      </c>
      <c r="N841">
        <f>'raw data Crude oil'!N842</f>
        <v>25.32</v>
      </c>
      <c r="O841">
        <f>'raw data Crude oil'!O842</f>
        <v>28.05</v>
      </c>
      <c r="P841">
        <f>'raw data Crude oil'!P842</f>
        <v>29.92</v>
      </c>
      <c r="Q841">
        <f>'raw data Crude oil'!Q842</f>
        <v>30.91</v>
      </c>
      <c r="R841">
        <f>'raw data Crude oil'!R842</f>
        <v>31.5</v>
      </c>
      <c r="S841">
        <f>'raw data Crude oil'!S842</f>
        <v>32</v>
      </c>
      <c r="T841">
        <f>'raw data Crude oil'!T842</f>
        <v>32.54</v>
      </c>
      <c r="U841">
        <f>'raw data Crude oil'!U842</f>
        <v>33.049999999999997</v>
      </c>
      <c r="V841">
        <f>'raw data Crude oil'!V842</f>
        <v>33.49</v>
      </c>
      <c r="W841">
        <f>'raw data Crude oil'!W842</f>
        <v>33.880000000000003</v>
      </c>
      <c r="X841">
        <f>'raw data Crude oil'!X842</f>
        <v>34.25</v>
      </c>
      <c r="Y841">
        <f>'raw data Crude oil'!Y842</f>
        <v>34.6</v>
      </c>
      <c r="Z841">
        <f>'raw data Crude oil'!Z842</f>
        <v>26.375</v>
      </c>
      <c r="AA841">
        <f>'raw data Crude oil'!AA842</f>
        <v>30.704000000000001</v>
      </c>
      <c r="AB841">
        <f>'raw data Crude oil'!AB842</f>
        <v>32.466999999999999</v>
      </c>
      <c r="AC841">
        <f>'raw data Crude oil'!AC842</f>
        <v>33.658000000000001</v>
      </c>
      <c r="AD841">
        <f>'raw data Crude oil'!AD842</f>
        <v>34.591999999999999</v>
      </c>
      <c r="AE841">
        <f>'raw data Crude oil'!AE842</f>
        <v>35.320999999999998</v>
      </c>
      <c r="AF841">
        <f>'raw data Crude oil'!AF842</f>
        <v>35.628999999999998</v>
      </c>
      <c r="AG841">
        <f>'raw data Crude oil'!AG842</f>
        <v>35.929000000000002</v>
      </c>
      <c r="AH841">
        <f>'raw data Crude oil'!AH842</f>
        <v>36.25</v>
      </c>
      <c r="AI841">
        <f>'raw data Crude oil'!AI842</f>
        <v>36.597000000000001</v>
      </c>
      <c r="AJ841">
        <f>'raw data Crude oil'!AJ842</f>
        <v>36.902999999999999</v>
      </c>
      <c r="AK841">
        <f>'raw data Crude oil'!AK842</f>
        <v>37.167999999999999</v>
      </c>
    </row>
    <row r="842" spans="1:37" x14ac:dyDescent="0.3">
      <c r="A842" s="18">
        <f>'raw data Crude oil'!A843</f>
        <v>43924</v>
      </c>
      <c r="B842">
        <f>'raw data Crude oil'!B843</f>
        <v>34.11</v>
      </c>
      <c r="C842">
        <f>'raw data Crude oil'!C843</f>
        <v>35.479999999999997</v>
      </c>
      <c r="D842">
        <f>'raw data Crude oil'!D843</f>
        <v>36.39</v>
      </c>
      <c r="E842">
        <f>'raw data Crude oil'!E843</f>
        <v>37.020000000000003</v>
      </c>
      <c r="F842">
        <f>'raw data Crude oil'!F843</f>
        <v>37.49</v>
      </c>
      <c r="G842">
        <f>'raw data Crude oil'!G843</f>
        <v>37.83</v>
      </c>
      <c r="H842">
        <f>'raw data Crude oil'!H843</f>
        <v>38.07</v>
      </c>
      <c r="I842">
        <f>'raw data Crude oil'!I843</f>
        <v>38.29</v>
      </c>
      <c r="J842">
        <f>'raw data Crude oil'!J843</f>
        <v>38.54</v>
      </c>
      <c r="K842">
        <f>'raw data Crude oil'!K843</f>
        <v>38.86</v>
      </c>
      <c r="L842">
        <f>'raw data Crude oil'!L843</f>
        <v>39.15</v>
      </c>
      <c r="M842">
        <f>'raw data Crude oil'!M843</f>
        <v>39.450000000000003</v>
      </c>
      <c r="N842">
        <f>'raw data Crude oil'!N843</f>
        <v>28.34</v>
      </c>
      <c r="O842">
        <f>'raw data Crude oil'!O843</f>
        <v>30.9</v>
      </c>
      <c r="P842">
        <f>'raw data Crude oil'!P843</f>
        <v>32.33</v>
      </c>
      <c r="Q842">
        <f>'raw data Crude oil'!Q843</f>
        <v>33</v>
      </c>
      <c r="R842">
        <f>'raw data Crude oil'!R843</f>
        <v>33.369999999999997</v>
      </c>
      <c r="S842">
        <f>'raw data Crude oil'!S843</f>
        <v>33.619999999999997</v>
      </c>
      <c r="T842">
        <f>'raw data Crude oil'!T843</f>
        <v>33.9</v>
      </c>
      <c r="U842">
        <f>'raw data Crude oil'!U843</f>
        <v>34.159999999999997</v>
      </c>
      <c r="V842">
        <f>'raw data Crude oil'!V843</f>
        <v>34.369999999999997</v>
      </c>
      <c r="W842">
        <f>'raw data Crude oil'!W843</f>
        <v>34.590000000000003</v>
      </c>
      <c r="X842">
        <f>'raw data Crude oil'!X843</f>
        <v>34.82</v>
      </c>
      <c r="Y842">
        <f>'raw data Crude oil'!Y843</f>
        <v>35.06</v>
      </c>
      <c r="Z842">
        <f>'raw data Crude oil'!Z843</f>
        <v>28.771000000000001</v>
      </c>
      <c r="AA842">
        <f>'raw data Crude oil'!AA843</f>
        <v>34.533000000000001</v>
      </c>
      <c r="AB842">
        <f>'raw data Crude oil'!AB843</f>
        <v>35.198999999999998</v>
      </c>
      <c r="AC842">
        <f>'raw data Crude oil'!AC843</f>
        <v>35.74</v>
      </c>
      <c r="AD842">
        <f>'raw data Crude oil'!AD843</f>
        <v>36.201999999999998</v>
      </c>
      <c r="AE842">
        <f>'raw data Crude oil'!AE843</f>
        <v>36.401000000000003</v>
      </c>
      <c r="AF842">
        <f>'raw data Crude oil'!AF843</f>
        <v>36.590000000000003</v>
      </c>
      <c r="AG842">
        <f>'raw data Crude oil'!AG843</f>
        <v>36.792000000000002</v>
      </c>
      <c r="AH842">
        <f>'raw data Crude oil'!AH843</f>
        <v>37.009</v>
      </c>
      <c r="AI842">
        <f>'raw data Crude oil'!AI843</f>
        <v>37.185000000000002</v>
      </c>
      <c r="AJ842">
        <f>'raw data Crude oil'!AJ843</f>
        <v>37.365000000000002</v>
      </c>
      <c r="AK842">
        <f>'raw data Crude oil'!AK843</f>
        <v>37.631</v>
      </c>
    </row>
    <row r="843" spans="1:37" x14ac:dyDescent="0.3">
      <c r="A843" s="18">
        <f>'raw data Crude oil'!A844</f>
        <v>43927</v>
      </c>
      <c r="B843">
        <f>'raw data Crude oil'!B844</f>
        <v>33.049999999999997</v>
      </c>
      <c r="C843">
        <f>'raw data Crude oil'!C844</f>
        <v>34.89</v>
      </c>
      <c r="D843">
        <f>'raw data Crude oil'!D844</f>
        <v>36.11</v>
      </c>
      <c r="E843">
        <f>'raw data Crude oil'!E844</f>
        <v>36.950000000000003</v>
      </c>
      <c r="F843">
        <f>'raw data Crude oil'!F844</f>
        <v>37.520000000000003</v>
      </c>
      <c r="G843">
        <f>'raw data Crude oil'!G844</f>
        <v>37.9</v>
      </c>
      <c r="H843">
        <f>'raw data Crude oil'!H844</f>
        <v>38.17</v>
      </c>
      <c r="I843">
        <f>'raw data Crude oil'!I844</f>
        <v>38.44</v>
      </c>
      <c r="J843">
        <f>'raw data Crude oil'!J844</f>
        <v>38.74</v>
      </c>
      <c r="K843">
        <f>'raw data Crude oil'!K844</f>
        <v>39.090000000000003</v>
      </c>
      <c r="L843">
        <f>'raw data Crude oil'!L844</f>
        <v>39.39</v>
      </c>
      <c r="M843">
        <f>'raw data Crude oil'!M844</f>
        <v>39.700000000000003</v>
      </c>
      <c r="N843">
        <f>'raw data Crude oil'!N844</f>
        <v>26.08</v>
      </c>
      <c r="O843">
        <f>'raw data Crude oil'!O844</f>
        <v>29.98</v>
      </c>
      <c r="P843">
        <f>'raw data Crude oil'!P844</f>
        <v>32.04</v>
      </c>
      <c r="Q843">
        <f>'raw data Crude oil'!Q844</f>
        <v>32.93</v>
      </c>
      <c r="R843">
        <f>'raw data Crude oil'!R844</f>
        <v>33.43</v>
      </c>
      <c r="S843">
        <f>'raw data Crude oil'!S844</f>
        <v>33.770000000000003</v>
      </c>
      <c r="T843">
        <f>'raw data Crude oil'!T844</f>
        <v>34.08</v>
      </c>
      <c r="U843">
        <f>'raw data Crude oil'!U844</f>
        <v>34.36</v>
      </c>
      <c r="V843">
        <f>'raw data Crude oil'!V844</f>
        <v>34.57</v>
      </c>
      <c r="W843">
        <f>'raw data Crude oil'!W844</f>
        <v>34.79</v>
      </c>
      <c r="X843">
        <f>'raw data Crude oil'!X844</f>
        <v>35.04</v>
      </c>
      <c r="Y843">
        <f>'raw data Crude oil'!Y844</f>
        <v>35.29</v>
      </c>
      <c r="Z843">
        <f>'raw data Crude oil'!Z844</f>
        <v>27.616</v>
      </c>
      <c r="AA843">
        <f>'raw data Crude oil'!AA844</f>
        <v>33.597999999999999</v>
      </c>
      <c r="AB843">
        <f>'raw data Crude oil'!AB844</f>
        <v>34.847999999999999</v>
      </c>
      <c r="AC843">
        <f>'raw data Crude oil'!AC844</f>
        <v>35.744999999999997</v>
      </c>
      <c r="AD843">
        <f>'raw data Crude oil'!AD844</f>
        <v>36.305999999999997</v>
      </c>
      <c r="AE843">
        <f>'raw data Crude oil'!AE844</f>
        <v>36.572000000000003</v>
      </c>
      <c r="AF843">
        <f>'raw data Crude oil'!AF844</f>
        <v>36.781999999999996</v>
      </c>
      <c r="AG843">
        <f>'raw data Crude oil'!AG844</f>
        <v>37.003999999999998</v>
      </c>
      <c r="AH843">
        <f>'raw data Crude oil'!AH844</f>
        <v>37.222000000000001</v>
      </c>
      <c r="AI843">
        <f>'raw data Crude oil'!AI844</f>
        <v>37.424999999999997</v>
      </c>
      <c r="AJ843">
        <f>'raw data Crude oil'!AJ844</f>
        <v>37.636000000000003</v>
      </c>
      <c r="AK843">
        <f>'raw data Crude oil'!AK844</f>
        <v>37.871000000000002</v>
      </c>
    </row>
    <row r="844" spans="1:37" x14ac:dyDescent="0.3">
      <c r="A844" s="18">
        <f>'raw data Crude oil'!A845</f>
        <v>43928</v>
      </c>
      <c r="B844">
        <f>'raw data Crude oil'!B845</f>
        <v>31.87</v>
      </c>
      <c r="C844">
        <f>'raw data Crude oil'!C845</f>
        <v>34.49</v>
      </c>
      <c r="D844">
        <f>'raw data Crude oil'!D845</f>
        <v>36.04</v>
      </c>
      <c r="E844">
        <f>'raw data Crude oil'!E845</f>
        <v>37.049999999999997</v>
      </c>
      <c r="F844">
        <f>'raw data Crude oil'!F845</f>
        <v>37.75</v>
      </c>
      <c r="G844">
        <f>'raw data Crude oil'!G845</f>
        <v>38.24</v>
      </c>
      <c r="H844">
        <f>'raw data Crude oil'!H845</f>
        <v>38.590000000000003</v>
      </c>
      <c r="I844">
        <f>'raw data Crude oil'!I845</f>
        <v>38.93</v>
      </c>
      <c r="J844">
        <f>'raw data Crude oil'!J845</f>
        <v>39.26</v>
      </c>
      <c r="K844">
        <f>'raw data Crude oil'!K845</f>
        <v>39.64</v>
      </c>
      <c r="L844">
        <f>'raw data Crude oil'!L845</f>
        <v>39.96</v>
      </c>
      <c r="M844">
        <f>'raw data Crude oil'!M845</f>
        <v>40.270000000000003</v>
      </c>
      <c r="N844">
        <f>'raw data Crude oil'!N845</f>
        <v>23.63</v>
      </c>
      <c r="O844">
        <f>'raw data Crude oil'!O845</f>
        <v>28.69</v>
      </c>
      <c r="P844">
        <f>'raw data Crude oil'!P845</f>
        <v>31.84</v>
      </c>
      <c r="Q844">
        <f>'raw data Crude oil'!Q845</f>
        <v>32.92</v>
      </c>
      <c r="R844">
        <f>'raw data Crude oil'!R845</f>
        <v>33.479999999999997</v>
      </c>
      <c r="S844">
        <f>'raw data Crude oil'!S845</f>
        <v>33.9</v>
      </c>
      <c r="T844">
        <f>'raw data Crude oil'!T845</f>
        <v>34.299999999999997</v>
      </c>
      <c r="U844">
        <f>'raw data Crude oil'!U845</f>
        <v>34.67</v>
      </c>
      <c r="V844">
        <f>'raw data Crude oil'!V845</f>
        <v>34.99</v>
      </c>
      <c r="W844">
        <f>'raw data Crude oil'!W845</f>
        <v>35.26</v>
      </c>
      <c r="X844">
        <f>'raw data Crude oil'!X845</f>
        <v>35.51</v>
      </c>
      <c r="Y844">
        <f>'raw data Crude oil'!Y845</f>
        <v>35.770000000000003</v>
      </c>
      <c r="Z844">
        <f>'raw data Crude oil'!Z845</f>
        <v>26.419</v>
      </c>
      <c r="AA844">
        <f>'raw data Crude oil'!AA845</f>
        <v>32.664000000000001</v>
      </c>
      <c r="AB844">
        <f>'raw data Crude oil'!AB845</f>
        <v>34.345999999999997</v>
      </c>
      <c r="AC844">
        <f>'raw data Crude oil'!AC845</f>
        <v>35.46</v>
      </c>
      <c r="AD844">
        <f>'raw data Crude oil'!AD845</f>
        <v>36.156999999999996</v>
      </c>
      <c r="AE844">
        <f>'raw data Crude oil'!AE845</f>
        <v>36.64</v>
      </c>
      <c r="AF844">
        <f>'raw data Crude oil'!AF845</f>
        <v>37.015000000000001</v>
      </c>
      <c r="AG844">
        <f>'raw data Crude oil'!AG845</f>
        <v>37.326000000000001</v>
      </c>
      <c r="AH844">
        <f>'raw data Crude oil'!AH845</f>
        <v>37.625</v>
      </c>
      <c r="AI844">
        <f>'raw data Crude oil'!AI845</f>
        <v>37.945999999999998</v>
      </c>
      <c r="AJ844">
        <f>'raw data Crude oil'!AJ845</f>
        <v>38.235999999999997</v>
      </c>
      <c r="AK844">
        <f>'raw data Crude oil'!AK845</f>
        <v>38.503</v>
      </c>
    </row>
    <row r="845" spans="1:37" x14ac:dyDescent="0.3">
      <c r="A845" s="18">
        <f>'raw data Crude oil'!A846</f>
        <v>43929</v>
      </c>
      <c r="B845">
        <f>'raw data Crude oil'!B846</f>
        <v>32.840000000000003</v>
      </c>
      <c r="C845">
        <f>'raw data Crude oil'!C846</f>
        <v>35.119999999999997</v>
      </c>
      <c r="D845">
        <f>'raw data Crude oil'!D846</f>
        <v>36.32</v>
      </c>
      <c r="E845">
        <f>'raw data Crude oil'!E846</f>
        <v>37.11</v>
      </c>
      <c r="F845">
        <f>'raw data Crude oil'!F846</f>
        <v>37.729999999999997</v>
      </c>
      <c r="G845">
        <f>'raw data Crude oil'!G846</f>
        <v>38.19</v>
      </c>
      <c r="H845">
        <f>'raw data Crude oil'!H846</f>
        <v>38.53</v>
      </c>
      <c r="I845">
        <f>'raw data Crude oil'!I846</f>
        <v>38.85</v>
      </c>
      <c r="J845">
        <f>'raw data Crude oil'!J846</f>
        <v>39.15</v>
      </c>
      <c r="K845">
        <f>'raw data Crude oil'!K846</f>
        <v>39.5</v>
      </c>
      <c r="L845">
        <f>'raw data Crude oil'!L846</f>
        <v>39.78</v>
      </c>
      <c r="M845">
        <f>'raw data Crude oil'!M846</f>
        <v>40.06</v>
      </c>
      <c r="N845">
        <f>'raw data Crude oil'!N846</f>
        <v>25.09</v>
      </c>
      <c r="O845">
        <f>'raw data Crude oil'!O846</f>
        <v>30.17</v>
      </c>
      <c r="P845">
        <f>'raw data Crude oil'!P846</f>
        <v>32.92</v>
      </c>
      <c r="Q845">
        <f>'raw data Crude oil'!Q846</f>
        <v>33.65</v>
      </c>
      <c r="R845">
        <f>'raw data Crude oil'!R846</f>
        <v>34</v>
      </c>
      <c r="S845">
        <f>'raw data Crude oil'!S846</f>
        <v>34.299999999999997</v>
      </c>
      <c r="T845">
        <f>'raw data Crude oil'!T846</f>
        <v>34.619999999999997</v>
      </c>
      <c r="U845">
        <f>'raw data Crude oil'!U846</f>
        <v>34.94</v>
      </c>
      <c r="V845">
        <f>'raw data Crude oil'!V846</f>
        <v>35.22</v>
      </c>
      <c r="W845">
        <f>'raw data Crude oil'!W846</f>
        <v>35.450000000000003</v>
      </c>
      <c r="X845">
        <f>'raw data Crude oil'!X846</f>
        <v>35.67</v>
      </c>
      <c r="Y845">
        <f>'raw data Crude oil'!Y846</f>
        <v>35.89</v>
      </c>
      <c r="Z845">
        <f>'raw data Crude oil'!Z846</f>
        <v>25.352</v>
      </c>
      <c r="AA845">
        <f>'raw data Crude oil'!AA846</f>
        <v>31.876999999999999</v>
      </c>
      <c r="AB845">
        <f>'raw data Crude oil'!AB846</f>
        <v>33.756</v>
      </c>
      <c r="AC845">
        <f>'raw data Crude oil'!AC846</f>
        <v>34.837000000000003</v>
      </c>
      <c r="AD845">
        <f>'raw data Crude oil'!AD846</f>
        <v>35.723999999999997</v>
      </c>
      <c r="AE845">
        <f>'raw data Crude oil'!AE846</f>
        <v>36.365000000000002</v>
      </c>
      <c r="AF845">
        <f>'raw data Crude oil'!AF846</f>
        <v>36.774999999999999</v>
      </c>
      <c r="AG845">
        <f>'raw data Crude oil'!AG846</f>
        <v>37.103999999999999</v>
      </c>
      <c r="AH845">
        <f>'raw data Crude oil'!AH846</f>
        <v>37.432000000000002</v>
      </c>
      <c r="AI845">
        <f>'raw data Crude oil'!AI846</f>
        <v>37.753999999999998</v>
      </c>
      <c r="AJ845">
        <f>'raw data Crude oil'!AJ846</f>
        <v>38.054000000000002</v>
      </c>
      <c r="AK845">
        <f>'raw data Crude oil'!AK846</f>
        <v>38.290999999999997</v>
      </c>
    </row>
    <row r="846" spans="1:37" x14ac:dyDescent="0.3">
      <c r="A846" s="18">
        <f>'raw data Crude oil'!A847</f>
        <v>43930</v>
      </c>
      <c r="B846">
        <f>'raw data Crude oil'!B847</f>
        <v>31.48</v>
      </c>
      <c r="C846">
        <f>'raw data Crude oil'!C847</f>
        <v>34.18</v>
      </c>
      <c r="D846">
        <f>'raw data Crude oil'!D847</f>
        <v>35.659999999999997</v>
      </c>
      <c r="E846">
        <f>'raw data Crude oil'!E847</f>
        <v>36.659999999999997</v>
      </c>
      <c r="F846">
        <f>'raw data Crude oil'!F847</f>
        <v>37.44</v>
      </c>
      <c r="G846">
        <f>'raw data Crude oil'!G847</f>
        <v>38</v>
      </c>
      <c r="H846">
        <f>'raw data Crude oil'!H847</f>
        <v>38.4</v>
      </c>
      <c r="I846">
        <f>'raw data Crude oil'!I847</f>
        <v>38.770000000000003</v>
      </c>
      <c r="J846">
        <f>'raw data Crude oil'!J847</f>
        <v>39.1</v>
      </c>
      <c r="K846">
        <f>'raw data Crude oil'!K847</f>
        <v>39.46</v>
      </c>
      <c r="L846">
        <f>'raw data Crude oil'!L847</f>
        <v>39.74</v>
      </c>
      <c r="M846">
        <f>'raw data Crude oil'!M847</f>
        <v>40.01</v>
      </c>
      <c r="N846">
        <f>'raw data Crude oil'!N847</f>
        <v>22.76</v>
      </c>
      <c r="O846">
        <f>'raw data Crude oil'!O847</f>
        <v>28.82</v>
      </c>
      <c r="P846">
        <f>'raw data Crude oil'!P847</f>
        <v>32</v>
      </c>
      <c r="Q846">
        <f>'raw data Crude oil'!Q847</f>
        <v>33.119999999999997</v>
      </c>
      <c r="R846">
        <f>'raw data Crude oil'!R847</f>
        <v>33.58</v>
      </c>
      <c r="S846">
        <f>'raw data Crude oil'!S847</f>
        <v>33.96</v>
      </c>
      <c r="T846">
        <f>'raw data Crude oil'!T847</f>
        <v>34.35</v>
      </c>
      <c r="U846">
        <f>'raw data Crude oil'!U847</f>
        <v>34.72</v>
      </c>
      <c r="V846">
        <f>'raw data Crude oil'!V847</f>
        <v>35.04</v>
      </c>
      <c r="W846">
        <f>'raw data Crude oil'!W847</f>
        <v>35.29</v>
      </c>
      <c r="X846">
        <f>'raw data Crude oil'!X847</f>
        <v>35.51</v>
      </c>
      <c r="Y846">
        <f>'raw data Crude oil'!Y847</f>
        <v>35.729999999999997</v>
      </c>
      <c r="Z846">
        <f>'raw data Crude oil'!Z847</f>
        <v>24.468</v>
      </c>
      <c r="AA846">
        <f>'raw data Crude oil'!AA847</f>
        <v>30.75</v>
      </c>
      <c r="AB846">
        <f>'raw data Crude oil'!AB847</f>
        <v>32.755000000000003</v>
      </c>
      <c r="AC846">
        <f>'raw data Crude oil'!AC847</f>
        <v>34.143999999999998</v>
      </c>
      <c r="AD846">
        <f>'raw data Crude oil'!AD847</f>
        <v>35.113</v>
      </c>
      <c r="AE846">
        <f>'raw data Crude oil'!AE847</f>
        <v>35.887999999999998</v>
      </c>
      <c r="AF846">
        <f>'raw data Crude oil'!AF847</f>
        <v>36.317</v>
      </c>
      <c r="AG846">
        <f>'raw data Crude oil'!AG847</f>
        <v>36.665999999999997</v>
      </c>
      <c r="AH846">
        <f>'raw data Crude oil'!AH847</f>
        <v>36.982999999999997</v>
      </c>
      <c r="AI846">
        <f>'raw data Crude oil'!AI847</f>
        <v>37.304000000000002</v>
      </c>
      <c r="AJ846">
        <f>'raw data Crude oil'!AJ847</f>
        <v>37.634</v>
      </c>
      <c r="AK846">
        <f>'raw data Crude oil'!AK847</f>
        <v>37.960999999999999</v>
      </c>
    </row>
    <row r="847" spans="1:37" x14ac:dyDescent="0.3">
      <c r="A847" s="18">
        <f>'raw data Crude oil'!A848</f>
        <v>43934</v>
      </c>
      <c r="B847">
        <f>'raw data Crude oil'!B848</f>
        <v>31.74</v>
      </c>
      <c r="C847">
        <f>'raw data Crude oil'!C848</f>
        <v>34.909999999999997</v>
      </c>
      <c r="D847">
        <f>'raw data Crude oil'!D848</f>
        <v>36.700000000000003</v>
      </c>
      <c r="E847">
        <f>'raw data Crude oil'!E848</f>
        <v>37.89</v>
      </c>
      <c r="F847">
        <f>'raw data Crude oil'!F848</f>
        <v>38.78</v>
      </c>
      <c r="G847">
        <f>'raw data Crude oil'!G848</f>
        <v>39.380000000000003</v>
      </c>
      <c r="H847">
        <f>'raw data Crude oil'!H848</f>
        <v>39.770000000000003</v>
      </c>
      <c r="I847">
        <f>'raw data Crude oil'!I848</f>
        <v>40.1</v>
      </c>
      <c r="J847">
        <f>'raw data Crude oil'!J848</f>
        <v>40.369999999999997</v>
      </c>
      <c r="K847">
        <f>'raw data Crude oil'!K848</f>
        <v>40.67</v>
      </c>
      <c r="L847">
        <f>'raw data Crude oil'!L848</f>
        <v>40.9</v>
      </c>
      <c r="M847">
        <f>'raw data Crude oil'!M848</f>
        <v>41.14</v>
      </c>
      <c r="N847">
        <f>'raw data Crude oil'!N848</f>
        <v>22.41</v>
      </c>
      <c r="O847">
        <f>'raw data Crude oil'!O848</f>
        <v>29.26</v>
      </c>
      <c r="P847">
        <f>'raw data Crude oil'!P848</f>
        <v>32.96</v>
      </c>
      <c r="Q847">
        <f>'raw data Crude oil'!Q848</f>
        <v>34.42</v>
      </c>
      <c r="R847">
        <f>'raw data Crude oil'!R848</f>
        <v>35.06</v>
      </c>
      <c r="S847">
        <f>'raw data Crude oil'!S848</f>
        <v>35.53</v>
      </c>
      <c r="T847">
        <f>'raw data Crude oil'!T848</f>
        <v>35.94</v>
      </c>
      <c r="U847">
        <f>'raw data Crude oil'!U848</f>
        <v>36.29</v>
      </c>
      <c r="V847">
        <f>'raw data Crude oil'!V848</f>
        <v>36.57</v>
      </c>
      <c r="W847">
        <f>'raw data Crude oil'!W848</f>
        <v>36.78</v>
      </c>
      <c r="X847">
        <f>'raw data Crude oil'!X848</f>
        <v>36.97</v>
      </c>
      <c r="Y847">
        <f>'raw data Crude oil'!Y848</f>
        <v>37.14</v>
      </c>
      <c r="Z847">
        <f>'raw data Crude oil'!Z848</f>
        <v>24.419</v>
      </c>
      <c r="AA847">
        <f>'raw data Crude oil'!AA848</f>
        <v>30.875</v>
      </c>
      <c r="AB847">
        <f>'raw data Crude oil'!AB848</f>
        <v>33.594000000000001</v>
      </c>
      <c r="AC847">
        <f>'raw data Crude oil'!AC848</f>
        <v>35.259</v>
      </c>
      <c r="AD847">
        <f>'raw data Crude oil'!AD848</f>
        <v>36.427</v>
      </c>
      <c r="AE847">
        <f>'raw data Crude oil'!AE848</f>
        <v>37.268000000000001</v>
      </c>
      <c r="AF847">
        <f>'raw data Crude oil'!AF848</f>
        <v>37.704999999999998</v>
      </c>
      <c r="AG847">
        <f>'raw data Crude oil'!AG848</f>
        <v>38.012999999999998</v>
      </c>
      <c r="AH847">
        <f>'raw data Crude oil'!AH848</f>
        <v>38.267000000000003</v>
      </c>
      <c r="AI847">
        <f>'raw data Crude oil'!AI848</f>
        <v>38.512</v>
      </c>
      <c r="AJ847">
        <f>'raw data Crude oil'!AJ848</f>
        <v>38.792000000000002</v>
      </c>
      <c r="AK847">
        <f>'raw data Crude oil'!AK848</f>
        <v>39.090000000000003</v>
      </c>
    </row>
    <row r="848" spans="1:37" x14ac:dyDescent="0.3">
      <c r="A848" s="18">
        <f>'raw data Crude oil'!A849</f>
        <v>43935</v>
      </c>
      <c r="B848">
        <f>'raw data Crude oil'!B849</f>
        <v>29.6</v>
      </c>
      <c r="C848">
        <f>'raw data Crude oil'!C849</f>
        <v>33.57</v>
      </c>
      <c r="D848">
        <f>'raw data Crude oil'!D849</f>
        <v>35.76</v>
      </c>
      <c r="E848">
        <f>'raw data Crude oil'!E849</f>
        <v>37.29</v>
      </c>
      <c r="F848">
        <f>'raw data Crude oil'!F849</f>
        <v>38.409999999999997</v>
      </c>
      <c r="G848">
        <f>'raw data Crude oil'!G849</f>
        <v>39.119999999999997</v>
      </c>
      <c r="H848">
        <f>'raw data Crude oil'!H849</f>
        <v>39.57</v>
      </c>
      <c r="I848">
        <f>'raw data Crude oil'!I849</f>
        <v>39.96</v>
      </c>
      <c r="J848">
        <f>'raw data Crude oil'!J849</f>
        <v>40.31</v>
      </c>
      <c r="K848">
        <f>'raw data Crude oil'!K849</f>
        <v>40.67</v>
      </c>
      <c r="L848">
        <f>'raw data Crude oil'!L849</f>
        <v>40.94</v>
      </c>
      <c r="M848">
        <f>'raw data Crude oil'!M849</f>
        <v>41.21</v>
      </c>
      <c r="N848">
        <f>'raw data Crude oil'!N849</f>
        <v>20.11</v>
      </c>
      <c r="O848">
        <f>'raw data Crude oil'!O849</f>
        <v>27.4</v>
      </c>
      <c r="P848">
        <f>'raw data Crude oil'!P849</f>
        <v>31.87</v>
      </c>
      <c r="Q848">
        <f>'raw data Crude oil'!Q849</f>
        <v>33.65</v>
      </c>
      <c r="R848">
        <f>'raw data Crude oil'!R849</f>
        <v>34.56</v>
      </c>
      <c r="S848">
        <f>'raw data Crude oil'!S849</f>
        <v>35.18</v>
      </c>
      <c r="T848">
        <f>'raw data Crude oil'!T849</f>
        <v>35.71</v>
      </c>
      <c r="U848">
        <f>'raw data Crude oil'!U849</f>
        <v>36.159999999999997</v>
      </c>
      <c r="V848">
        <f>'raw data Crude oil'!V849</f>
        <v>36.54</v>
      </c>
      <c r="W848">
        <f>'raw data Crude oil'!W849</f>
        <v>36.85</v>
      </c>
      <c r="X848">
        <f>'raw data Crude oil'!X849</f>
        <v>37.119999999999997</v>
      </c>
      <c r="Y848">
        <f>'raw data Crude oil'!Y849</f>
        <v>37.36</v>
      </c>
      <c r="Z848">
        <f>'raw data Crude oil'!Z849</f>
        <v>22.847000000000001</v>
      </c>
      <c r="AA848">
        <f>'raw data Crude oil'!AA849</f>
        <v>28.564</v>
      </c>
      <c r="AB848">
        <f>'raw data Crude oil'!AB849</f>
        <v>32.130000000000003</v>
      </c>
      <c r="AC848">
        <f>'raw data Crude oil'!AC849</f>
        <v>34.289000000000001</v>
      </c>
      <c r="AD848">
        <f>'raw data Crude oil'!AD849</f>
        <v>35.677999999999997</v>
      </c>
      <c r="AE848">
        <f>'raw data Crude oil'!AE849</f>
        <v>36.71</v>
      </c>
      <c r="AF848">
        <f>'raw data Crude oil'!AF849</f>
        <v>37.238</v>
      </c>
      <c r="AG848">
        <f>'raw data Crude oil'!AG849</f>
        <v>37.637</v>
      </c>
      <c r="AH848">
        <f>'raw data Crude oil'!AH849</f>
        <v>38.023000000000003</v>
      </c>
      <c r="AI848">
        <f>'raw data Crude oil'!AI849</f>
        <v>38.393999999999998</v>
      </c>
      <c r="AJ848">
        <f>'raw data Crude oil'!AJ849</f>
        <v>38.744</v>
      </c>
      <c r="AK848">
        <f>'raw data Crude oil'!AK849</f>
        <v>39.090000000000003</v>
      </c>
    </row>
    <row r="849" spans="1:37" x14ac:dyDescent="0.3">
      <c r="A849" s="18">
        <f>'raw data Crude oil'!A850</f>
        <v>43936</v>
      </c>
      <c r="B849">
        <f>'raw data Crude oil'!B850</f>
        <v>27.69</v>
      </c>
      <c r="C849">
        <f>'raw data Crude oil'!C850</f>
        <v>31.44</v>
      </c>
      <c r="D849">
        <f>'raw data Crude oil'!D850</f>
        <v>33.53</v>
      </c>
      <c r="E849">
        <f>'raw data Crude oil'!E850</f>
        <v>35</v>
      </c>
      <c r="F849">
        <f>'raw data Crude oil'!F850</f>
        <v>36.07</v>
      </c>
      <c r="G849">
        <f>'raw data Crude oil'!G850</f>
        <v>36.770000000000003</v>
      </c>
      <c r="H849">
        <f>'raw data Crude oil'!H850</f>
        <v>37.22</v>
      </c>
      <c r="I849">
        <f>'raw data Crude oil'!I850</f>
        <v>37.630000000000003</v>
      </c>
      <c r="J849">
        <f>'raw data Crude oil'!J850</f>
        <v>38.01</v>
      </c>
      <c r="K849">
        <f>'raw data Crude oil'!K850</f>
        <v>38.4</v>
      </c>
      <c r="L849">
        <f>'raw data Crude oil'!L850</f>
        <v>38.700000000000003</v>
      </c>
      <c r="M849">
        <f>'raw data Crude oil'!M850</f>
        <v>39.020000000000003</v>
      </c>
      <c r="N849">
        <f>'raw data Crude oil'!N850</f>
        <v>19.87</v>
      </c>
      <c r="O849">
        <f>'raw data Crude oil'!O850</f>
        <v>26.04</v>
      </c>
      <c r="P849">
        <f>'raw data Crude oil'!P850</f>
        <v>29.96</v>
      </c>
      <c r="Q849">
        <f>'raw data Crude oil'!Q850</f>
        <v>31.49</v>
      </c>
      <c r="R849">
        <f>'raw data Crude oil'!R850</f>
        <v>32.33</v>
      </c>
      <c r="S849">
        <f>'raw data Crude oil'!S850</f>
        <v>32.89</v>
      </c>
      <c r="T849">
        <f>'raw data Crude oil'!T850</f>
        <v>33.409999999999997</v>
      </c>
      <c r="U849">
        <f>'raw data Crude oil'!U850</f>
        <v>33.869999999999997</v>
      </c>
      <c r="V849">
        <f>'raw data Crude oil'!V850</f>
        <v>34.26</v>
      </c>
      <c r="W849">
        <f>'raw data Crude oil'!W850</f>
        <v>34.61</v>
      </c>
      <c r="X849">
        <f>'raw data Crude oil'!X850</f>
        <v>34.92</v>
      </c>
      <c r="Y849">
        <f>'raw data Crude oil'!Y850</f>
        <v>35.21</v>
      </c>
      <c r="Z849">
        <f>'raw data Crude oil'!Z850</f>
        <v>21.731000000000002</v>
      </c>
      <c r="AA849">
        <f>'raw data Crude oil'!AA850</f>
        <v>26.81</v>
      </c>
      <c r="AB849">
        <f>'raw data Crude oil'!AB850</f>
        <v>30.515000000000001</v>
      </c>
      <c r="AC849">
        <f>'raw data Crude oil'!AC850</f>
        <v>32.677</v>
      </c>
      <c r="AD849">
        <f>'raw data Crude oil'!AD850</f>
        <v>34.091999999999999</v>
      </c>
      <c r="AE849">
        <f>'raw data Crude oil'!AE850</f>
        <v>34.976999999999997</v>
      </c>
      <c r="AF849">
        <f>'raw data Crude oil'!AF850</f>
        <v>35.459000000000003</v>
      </c>
      <c r="AG849">
        <f>'raw data Crude oil'!AG850</f>
        <v>35.578000000000003</v>
      </c>
      <c r="AH849">
        <f>'raw data Crude oil'!AH850</f>
        <v>36.005000000000003</v>
      </c>
      <c r="AI849">
        <f>'raw data Crude oil'!AI850</f>
        <v>36.314999999999998</v>
      </c>
      <c r="AJ849">
        <f>'raw data Crude oil'!AJ850</f>
        <v>36.655999999999999</v>
      </c>
      <c r="AK849">
        <f>'raw data Crude oil'!AK850</f>
        <v>37.003</v>
      </c>
    </row>
    <row r="850" spans="1:37" x14ac:dyDescent="0.3">
      <c r="A850" s="18">
        <f>'raw data Crude oil'!A851</f>
        <v>43937</v>
      </c>
      <c r="B850">
        <f>'raw data Crude oil'!B851</f>
        <v>27.82</v>
      </c>
      <c r="C850">
        <f>'raw data Crude oil'!C851</f>
        <v>31.55</v>
      </c>
      <c r="D850">
        <f>'raw data Crude oil'!D851</f>
        <v>33.54</v>
      </c>
      <c r="E850">
        <f>'raw data Crude oil'!E851</f>
        <v>34.950000000000003</v>
      </c>
      <c r="F850">
        <f>'raw data Crude oil'!F851</f>
        <v>36.01</v>
      </c>
      <c r="G850">
        <f>'raw data Crude oil'!G851</f>
        <v>36.71</v>
      </c>
      <c r="H850">
        <f>'raw data Crude oil'!H851</f>
        <v>37.19</v>
      </c>
      <c r="I850">
        <f>'raw data Crude oil'!I851</f>
        <v>37.630000000000003</v>
      </c>
      <c r="J850">
        <f>'raw data Crude oil'!J851</f>
        <v>38.04</v>
      </c>
      <c r="K850">
        <f>'raw data Crude oil'!K851</f>
        <v>38.44</v>
      </c>
      <c r="L850">
        <f>'raw data Crude oil'!L851</f>
        <v>38.76</v>
      </c>
      <c r="M850">
        <f>'raw data Crude oil'!M851</f>
        <v>39.08</v>
      </c>
      <c r="N850">
        <f>'raw data Crude oil'!N851</f>
        <v>19.87</v>
      </c>
      <c r="O850">
        <f>'raw data Crude oil'!O851</f>
        <v>25.53</v>
      </c>
      <c r="P850">
        <f>'raw data Crude oil'!P851</f>
        <v>29.55</v>
      </c>
      <c r="Q850">
        <f>'raw data Crude oil'!Q851</f>
        <v>31.09</v>
      </c>
      <c r="R850">
        <f>'raw data Crude oil'!R851</f>
        <v>31.94</v>
      </c>
      <c r="S850">
        <f>'raw data Crude oil'!S851</f>
        <v>32.520000000000003</v>
      </c>
      <c r="T850">
        <f>'raw data Crude oil'!T851</f>
        <v>33.07</v>
      </c>
      <c r="U850">
        <f>'raw data Crude oil'!U851</f>
        <v>33.56</v>
      </c>
      <c r="V850">
        <f>'raw data Crude oil'!V851</f>
        <v>33.979999999999997</v>
      </c>
      <c r="W850">
        <f>'raw data Crude oil'!W851</f>
        <v>34.340000000000003</v>
      </c>
      <c r="X850">
        <f>'raw data Crude oil'!X851</f>
        <v>34.67</v>
      </c>
      <c r="Y850">
        <f>'raw data Crude oil'!Y851</f>
        <v>34.97</v>
      </c>
      <c r="Z850">
        <f>'raw data Crude oil'!Z851</f>
        <v>21.908999999999999</v>
      </c>
      <c r="AA850">
        <f>'raw data Crude oil'!AA851</f>
        <v>27.645</v>
      </c>
      <c r="AB850">
        <f>'raw data Crude oil'!AB851</f>
        <v>31.213999999999999</v>
      </c>
      <c r="AC850">
        <f>'raw data Crude oil'!AC851</f>
        <v>33.006</v>
      </c>
      <c r="AD850">
        <f>'raw data Crude oil'!AD851</f>
        <v>34.247</v>
      </c>
      <c r="AE850">
        <f>'raw data Crude oil'!AE851</f>
        <v>35.021999999999998</v>
      </c>
      <c r="AF850">
        <f>'raw data Crude oil'!AF851</f>
        <v>35.57</v>
      </c>
      <c r="AG850">
        <f>'raw data Crude oil'!AG851</f>
        <v>35.880000000000003</v>
      </c>
      <c r="AH850">
        <f>'raw data Crude oil'!AH851</f>
        <v>36.206000000000003</v>
      </c>
      <c r="AI850">
        <f>'raw data Crude oil'!AI851</f>
        <v>36.566000000000003</v>
      </c>
      <c r="AJ850">
        <f>'raw data Crude oil'!AJ851</f>
        <v>36.936</v>
      </c>
      <c r="AK850">
        <f>'raw data Crude oil'!AK851</f>
        <v>37.302999999999997</v>
      </c>
    </row>
    <row r="851" spans="1:37" x14ac:dyDescent="0.3">
      <c r="A851" s="18">
        <f>'raw data Crude oil'!A852</f>
        <v>43938</v>
      </c>
      <c r="B851">
        <f>'raw data Crude oil'!B852</f>
        <v>28.08</v>
      </c>
      <c r="C851">
        <f>'raw data Crude oil'!C852</f>
        <v>31.58</v>
      </c>
      <c r="D851">
        <f>'raw data Crude oil'!D852</f>
        <v>33.47</v>
      </c>
      <c r="E851">
        <f>'raw data Crude oil'!E852</f>
        <v>34.869999999999997</v>
      </c>
      <c r="F851">
        <f>'raw data Crude oil'!F852</f>
        <v>35.950000000000003</v>
      </c>
      <c r="G851">
        <f>'raw data Crude oil'!G852</f>
        <v>36.67</v>
      </c>
      <c r="H851">
        <f>'raw data Crude oil'!H852</f>
        <v>37.17</v>
      </c>
      <c r="I851">
        <f>'raw data Crude oil'!I852</f>
        <v>37.630000000000003</v>
      </c>
      <c r="J851">
        <f>'raw data Crude oil'!J852</f>
        <v>38.06</v>
      </c>
      <c r="K851">
        <f>'raw data Crude oil'!K852</f>
        <v>38.49</v>
      </c>
      <c r="L851">
        <f>'raw data Crude oil'!L852</f>
        <v>38.82</v>
      </c>
      <c r="M851">
        <f>'raw data Crude oil'!M852</f>
        <v>39.130000000000003</v>
      </c>
      <c r="N851">
        <f>'raw data Crude oil'!N852</f>
        <v>18.27</v>
      </c>
      <c r="O851">
        <f>'raw data Crude oil'!O852</f>
        <v>25.03</v>
      </c>
      <c r="P851">
        <f>'raw data Crude oil'!P852</f>
        <v>29.42</v>
      </c>
      <c r="Q851">
        <f>'raw data Crude oil'!Q852</f>
        <v>31.2</v>
      </c>
      <c r="R851">
        <f>'raw data Crude oil'!R852</f>
        <v>32.08</v>
      </c>
      <c r="S851">
        <f>'raw data Crude oil'!S852</f>
        <v>32.71</v>
      </c>
      <c r="T851">
        <f>'raw data Crude oil'!T852</f>
        <v>33.299999999999997</v>
      </c>
      <c r="U851">
        <f>'raw data Crude oil'!U852</f>
        <v>33.82</v>
      </c>
      <c r="V851">
        <f>'raw data Crude oil'!V852</f>
        <v>34.270000000000003</v>
      </c>
      <c r="W851">
        <f>'raw data Crude oil'!W852</f>
        <v>34.65</v>
      </c>
      <c r="X851">
        <f>'raw data Crude oil'!X852</f>
        <v>34.950000000000003</v>
      </c>
      <c r="Y851">
        <f>'raw data Crude oil'!Y852</f>
        <v>35.26</v>
      </c>
      <c r="Z851">
        <f>'raw data Crude oil'!Z852</f>
        <v>22.335999999999999</v>
      </c>
      <c r="AA851">
        <f>'raw data Crude oil'!AA852</f>
        <v>28.72</v>
      </c>
      <c r="AB851">
        <f>'raw data Crude oil'!AB852</f>
        <v>31.984000000000002</v>
      </c>
      <c r="AC851">
        <f>'raw data Crude oil'!AC852</f>
        <v>33.606999999999999</v>
      </c>
      <c r="AD851">
        <f>'raw data Crude oil'!AD852</f>
        <v>34.689</v>
      </c>
      <c r="AE851">
        <f>'raw data Crude oil'!AE852</f>
        <v>35.393000000000001</v>
      </c>
      <c r="AF851">
        <f>'raw data Crude oil'!AF852</f>
        <v>35.860999999999997</v>
      </c>
      <c r="AG851">
        <f>'raw data Crude oil'!AG852</f>
        <v>36.19</v>
      </c>
      <c r="AH851">
        <f>'raw data Crude oil'!AH852</f>
        <v>36.539000000000001</v>
      </c>
      <c r="AI851">
        <f>'raw data Crude oil'!AI852</f>
        <v>36.856999999999999</v>
      </c>
      <c r="AJ851">
        <f>'raw data Crude oil'!AJ852</f>
        <v>37.176000000000002</v>
      </c>
      <c r="AK851">
        <f>'raw data Crude oil'!AK852</f>
        <v>37.493000000000002</v>
      </c>
    </row>
    <row r="852" spans="1:37" x14ac:dyDescent="0.3">
      <c r="A852" s="18">
        <f>'raw data Crude oil'!A853</f>
        <v>43941</v>
      </c>
      <c r="B852">
        <f>'raw data Crude oil'!B853</f>
        <v>25.57</v>
      </c>
      <c r="C852">
        <f>'raw data Crude oil'!C853</f>
        <v>29.21</v>
      </c>
      <c r="D852">
        <f>'raw data Crude oil'!D853</f>
        <v>31.51</v>
      </c>
      <c r="E852">
        <f>'raw data Crude oil'!E853</f>
        <v>33.33</v>
      </c>
      <c r="F852">
        <f>'raw data Crude oil'!F853</f>
        <v>34.75</v>
      </c>
      <c r="G852">
        <f>'raw data Crude oil'!G853</f>
        <v>35.71</v>
      </c>
      <c r="H852">
        <f>'raw data Crude oil'!H853</f>
        <v>36.39</v>
      </c>
      <c r="I852">
        <f>'raw data Crude oil'!I853</f>
        <v>37</v>
      </c>
      <c r="J852">
        <f>'raw data Crude oil'!J853</f>
        <v>37.549999999999997</v>
      </c>
      <c r="K852">
        <f>'raw data Crude oil'!K853</f>
        <v>38.07</v>
      </c>
      <c r="L852">
        <f>'raw data Crude oil'!L853</f>
        <v>38.450000000000003</v>
      </c>
      <c r="M852">
        <f>'raw data Crude oil'!M853</f>
        <v>38.81</v>
      </c>
      <c r="N852">
        <f>'raw data Crude oil'!N853</f>
        <v>-37.630000000000003</v>
      </c>
      <c r="O852">
        <f>'raw data Crude oil'!O853</f>
        <v>20.43</v>
      </c>
      <c r="P852">
        <f>'raw data Crude oil'!P853</f>
        <v>26.28</v>
      </c>
      <c r="Q852">
        <f>'raw data Crude oil'!Q853</f>
        <v>28.51</v>
      </c>
      <c r="R852">
        <f>'raw data Crude oil'!R853</f>
        <v>29.84</v>
      </c>
      <c r="S852">
        <f>'raw data Crude oil'!S853</f>
        <v>30.81</v>
      </c>
      <c r="T852">
        <f>'raw data Crude oil'!T853</f>
        <v>31.66</v>
      </c>
      <c r="U852">
        <f>'raw data Crude oil'!U853</f>
        <v>32.409999999999997</v>
      </c>
      <c r="V852">
        <f>'raw data Crude oil'!V853</f>
        <v>33.020000000000003</v>
      </c>
      <c r="W852">
        <f>'raw data Crude oil'!W853</f>
        <v>33.53</v>
      </c>
      <c r="X852">
        <f>'raw data Crude oil'!X853</f>
        <v>33.979999999999997</v>
      </c>
      <c r="Y852">
        <f>'raw data Crude oil'!Y853</f>
        <v>34.35</v>
      </c>
      <c r="Z852">
        <f>'raw data Crude oil'!Z853</f>
        <v>21.126000000000001</v>
      </c>
      <c r="AA852">
        <f>'raw data Crude oil'!AA853</f>
        <v>26.27</v>
      </c>
      <c r="AB852">
        <f>'raw data Crude oil'!AB853</f>
        <v>29.893000000000001</v>
      </c>
      <c r="AC852">
        <f>'raw data Crude oil'!AC853</f>
        <v>31.661999999999999</v>
      </c>
      <c r="AD852">
        <f>'raw data Crude oil'!AD853</f>
        <v>32.970999999999997</v>
      </c>
      <c r="AE852">
        <f>'raw data Crude oil'!AE853</f>
        <v>33.820999999999998</v>
      </c>
      <c r="AF852">
        <f>'raw data Crude oil'!AF853</f>
        <v>34.597999999999999</v>
      </c>
      <c r="AG852">
        <f>'raw data Crude oil'!AG853</f>
        <v>35.265999999999998</v>
      </c>
      <c r="AH852">
        <f>'raw data Crude oil'!AH853</f>
        <v>35.796999999999997</v>
      </c>
      <c r="AI852">
        <f>'raw data Crude oil'!AI853</f>
        <v>36.268999999999998</v>
      </c>
      <c r="AJ852">
        <f>'raw data Crude oil'!AJ853</f>
        <v>36.738</v>
      </c>
      <c r="AK852">
        <f>'raw data Crude oil'!AK853</f>
        <v>37.143999999999998</v>
      </c>
    </row>
    <row r="853" spans="1:37" x14ac:dyDescent="0.3">
      <c r="A853" s="18">
        <f>'raw data Crude oil'!A854</f>
        <v>43942</v>
      </c>
      <c r="B853">
        <f>'raw data Crude oil'!B854</f>
        <v>19.329999999999998</v>
      </c>
      <c r="C853">
        <f>'raw data Crude oil'!C854</f>
        <v>23.12</v>
      </c>
      <c r="D853">
        <f>'raw data Crude oil'!D854</f>
        <v>25.66</v>
      </c>
      <c r="E853">
        <f>'raw data Crude oil'!E854</f>
        <v>27.66</v>
      </c>
      <c r="F853">
        <f>'raw data Crude oil'!F854</f>
        <v>29.25</v>
      </c>
      <c r="G853">
        <f>'raw data Crude oil'!G854</f>
        <v>30.46</v>
      </c>
      <c r="H853">
        <f>'raw data Crude oil'!H854</f>
        <v>31.38</v>
      </c>
      <c r="I853">
        <f>'raw data Crude oil'!I854</f>
        <v>32.22</v>
      </c>
      <c r="J853">
        <f>'raw data Crude oil'!J854</f>
        <v>32.979999999999997</v>
      </c>
      <c r="K853">
        <f>'raw data Crude oil'!K854</f>
        <v>33.68</v>
      </c>
      <c r="L853">
        <f>'raw data Crude oil'!L854</f>
        <v>34.22</v>
      </c>
      <c r="M853">
        <f>'raw data Crude oil'!M854</f>
        <v>34.700000000000003</v>
      </c>
      <c r="N853">
        <f>'raw data Crude oil'!N854</f>
        <v>10.01</v>
      </c>
      <c r="O853">
        <f>'raw data Crude oil'!O854</f>
        <v>11.57</v>
      </c>
      <c r="P853">
        <f>'raw data Crude oil'!P854</f>
        <v>18.690000000000001</v>
      </c>
      <c r="Q853">
        <f>'raw data Crude oil'!Q854</f>
        <v>21.61</v>
      </c>
      <c r="R853">
        <f>'raw data Crude oil'!R854</f>
        <v>23.43</v>
      </c>
      <c r="S853">
        <f>'raw data Crude oil'!S854</f>
        <v>24.73</v>
      </c>
      <c r="T853">
        <f>'raw data Crude oil'!T854</f>
        <v>25.86</v>
      </c>
      <c r="U853">
        <f>'raw data Crude oil'!U854</f>
        <v>26.86</v>
      </c>
      <c r="V853">
        <f>'raw data Crude oil'!V854</f>
        <v>27.67</v>
      </c>
      <c r="W853">
        <f>'raw data Crude oil'!W854</f>
        <v>28.39</v>
      </c>
      <c r="X853">
        <f>'raw data Crude oil'!X854</f>
        <v>29.05</v>
      </c>
      <c r="Y853">
        <f>'raw data Crude oil'!Y854</f>
        <v>29.63</v>
      </c>
      <c r="Z853">
        <f>'raw data Crude oil'!Z854</f>
        <v>19.465</v>
      </c>
      <c r="AA853">
        <f>'raw data Crude oil'!AA854</f>
        <v>20.350999999999999</v>
      </c>
      <c r="AB853">
        <f>'raw data Crude oil'!AB854</f>
        <v>24.311</v>
      </c>
      <c r="AC853">
        <f>'raw data Crude oil'!AC854</f>
        <v>26.178999999999998</v>
      </c>
      <c r="AD853">
        <f>'raw data Crude oil'!AD854</f>
        <v>27.645</v>
      </c>
      <c r="AE853">
        <f>'raw data Crude oil'!AE854</f>
        <v>28.762</v>
      </c>
      <c r="AF853">
        <f>'raw data Crude oil'!AF854</f>
        <v>29.648</v>
      </c>
      <c r="AG853">
        <f>'raw data Crude oil'!AG854</f>
        <v>30.446000000000002</v>
      </c>
      <c r="AH853">
        <f>'raw data Crude oil'!AH854</f>
        <v>31.184000000000001</v>
      </c>
      <c r="AI853">
        <f>'raw data Crude oil'!AI854</f>
        <v>31.806999999999999</v>
      </c>
      <c r="AJ853">
        <f>'raw data Crude oil'!AJ854</f>
        <v>32.433999999999997</v>
      </c>
      <c r="AK853">
        <f>'raw data Crude oil'!AK854</f>
        <v>32.969000000000001</v>
      </c>
    </row>
    <row r="854" spans="1:37" x14ac:dyDescent="0.3">
      <c r="A854" s="18">
        <f>'raw data Crude oil'!A855</f>
        <v>43943</v>
      </c>
      <c r="B854">
        <f>'raw data Crude oil'!B855</f>
        <v>20.37</v>
      </c>
      <c r="C854">
        <f>'raw data Crude oil'!C855</f>
        <v>24.06</v>
      </c>
      <c r="D854">
        <f>'raw data Crude oil'!D855</f>
        <v>26.68</v>
      </c>
      <c r="E854">
        <f>'raw data Crude oil'!E855</f>
        <v>28.75</v>
      </c>
      <c r="F854">
        <f>'raw data Crude oil'!F855</f>
        <v>30.35</v>
      </c>
      <c r="G854">
        <f>'raw data Crude oil'!G855</f>
        <v>31.55</v>
      </c>
      <c r="H854">
        <f>'raw data Crude oil'!H855</f>
        <v>32.44</v>
      </c>
      <c r="I854">
        <f>'raw data Crude oil'!I855</f>
        <v>33.24</v>
      </c>
      <c r="J854">
        <f>'raw data Crude oil'!J855</f>
        <v>33.97</v>
      </c>
      <c r="K854">
        <f>'raw data Crude oil'!K855</f>
        <v>34.65</v>
      </c>
      <c r="L854">
        <f>'raw data Crude oil'!L855</f>
        <v>35.18</v>
      </c>
      <c r="M854">
        <f>'raw data Crude oil'!M855</f>
        <v>35.68</v>
      </c>
      <c r="N854">
        <f>'raw data Crude oil'!N855</f>
        <v>13.78</v>
      </c>
      <c r="O854">
        <f>'raw data Crude oil'!O855</f>
        <v>20.69</v>
      </c>
      <c r="P854">
        <f>'raw data Crude oil'!P855</f>
        <v>23.76</v>
      </c>
      <c r="Q854">
        <f>'raw data Crude oil'!Q855</f>
        <v>25.77</v>
      </c>
      <c r="R854">
        <f>'raw data Crude oil'!R855</f>
        <v>27.01</v>
      </c>
      <c r="S854">
        <f>'raw data Crude oil'!S855</f>
        <v>28.07</v>
      </c>
      <c r="T854">
        <f>'raw data Crude oil'!T855</f>
        <v>28.98</v>
      </c>
      <c r="U854">
        <f>'raw data Crude oil'!U855</f>
        <v>29.77</v>
      </c>
      <c r="V854">
        <f>'raw data Crude oil'!V855</f>
        <v>30.44</v>
      </c>
      <c r="W854">
        <f>'raw data Crude oil'!W855</f>
        <v>31.04</v>
      </c>
      <c r="X854">
        <f>'raw data Crude oil'!X855</f>
        <v>31.55</v>
      </c>
      <c r="Y854">
        <f>'raw data Crude oil'!Y855</f>
        <v>31.99</v>
      </c>
      <c r="Z854">
        <f>'raw data Crude oil'!Z855</f>
        <v>19.922999999999998</v>
      </c>
      <c r="AA854">
        <f>'raw data Crude oil'!AA855</f>
        <v>22.035</v>
      </c>
      <c r="AB854">
        <f>'raw data Crude oil'!AB855</f>
        <v>25.603999999999999</v>
      </c>
      <c r="AC854">
        <f>'raw data Crude oil'!AC855</f>
        <v>27.16</v>
      </c>
      <c r="AD854">
        <f>'raw data Crude oil'!AD855</f>
        <v>28.294</v>
      </c>
      <c r="AE854">
        <f>'raw data Crude oil'!AE855</f>
        <v>29.19</v>
      </c>
      <c r="AF854">
        <f>'raw data Crude oil'!AF855</f>
        <v>30.045999999999999</v>
      </c>
      <c r="AG854">
        <f>'raw data Crude oil'!AG855</f>
        <v>30.875</v>
      </c>
      <c r="AH854">
        <f>'raw data Crude oil'!AH855</f>
        <v>31.692</v>
      </c>
      <c r="AI854">
        <f>'raw data Crude oil'!AI855</f>
        <v>32.497</v>
      </c>
      <c r="AJ854">
        <f>'raw data Crude oil'!AJ855</f>
        <v>33.295000000000002</v>
      </c>
      <c r="AK854">
        <f>'raw data Crude oil'!AK855</f>
        <v>33.950000000000003</v>
      </c>
    </row>
    <row r="855" spans="1:37" x14ac:dyDescent="0.3">
      <c r="A855" s="18">
        <f>'raw data Crude oil'!A856</f>
        <v>43944</v>
      </c>
      <c r="B855">
        <f>'raw data Crude oil'!B856</f>
        <v>21.33</v>
      </c>
      <c r="C855">
        <f>'raw data Crude oil'!C856</f>
        <v>24.79</v>
      </c>
      <c r="D855">
        <f>'raw data Crude oil'!D856</f>
        <v>27.2</v>
      </c>
      <c r="E855">
        <f>'raw data Crude oil'!E856</f>
        <v>29.01</v>
      </c>
      <c r="F855">
        <f>'raw data Crude oil'!F856</f>
        <v>30.43</v>
      </c>
      <c r="G855">
        <f>'raw data Crude oil'!G856</f>
        <v>31.54</v>
      </c>
      <c r="H855">
        <f>'raw data Crude oil'!H856</f>
        <v>32.35</v>
      </c>
      <c r="I855">
        <f>'raw data Crude oil'!I856</f>
        <v>33.08</v>
      </c>
      <c r="J855">
        <f>'raw data Crude oil'!J856</f>
        <v>33.74</v>
      </c>
      <c r="K855">
        <f>'raw data Crude oil'!K856</f>
        <v>34.380000000000003</v>
      </c>
      <c r="L855">
        <f>'raw data Crude oil'!L856</f>
        <v>34.89</v>
      </c>
      <c r="M855">
        <f>'raw data Crude oil'!M856</f>
        <v>35.36</v>
      </c>
      <c r="N855">
        <f>'raw data Crude oil'!N856</f>
        <v>16.5</v>
      </c>
      <c r="O855">
        <f>'raw data Crude oil'!O856</f>
        <v>21.44</v>
      </c>
      <c r="P855">
        <f>'raw data Crude oil'!P856</f>
        <v>24.12</v>
      </c>
      <c r="Q855">
        <f>'raw data Crude oil'!Q856</f>
        <v>25.89</v>
      </c>
      <c r="R855">
        <f>'raw data Crude oil'!R856</f>
        <v>26.93</v>
      </c>
      <c r="S855">
        <f>'raw data Crude oil'!S856</f>
        <v>27.85</v>
      </c>
      <c r="T855">
        <f>'raw data Crude oil'!T856</f>
        <v>28.66</v>
      </c>
      <c r="U855">
        <f>'raw data Crude oil'!U856</f>
        <v>29.36</v>
      </c>
      <c r="V855">
        <f>'raw data Crude oil'!V856</f>
        <v>29.97</v>
      </c>
      <c r="W855">
        <f>'raw data Crude oil'!W856</f>
        <v>30.52</v>
      </c>
      <c r="X855">
        <f>'raw data Crude oil'!X856</f>
        <v>31.01</v>
      </c>
      <c r="Y855">
        <f>'raw data Crude oil'!Y856</f>
        <v>31.43</v>
      </c>
      <c r="Z855">
        <f>'raw data Crude oil'!Z856</f>
        <v>20.193000000000001</v>
      </c>
      <c r="AA855">
        <f>'raw data Crude oil'!AA856</f>
        <v>23.285</v>
      </c>
      <c r="AB855">
        <f>'raw data Crude oil'!AB856</f>
        <v>26.512</v>
      </c>
      <c r="AC855">
        <f>'raw data Crude oil'!AC856</f>
        <v>27.972000000000001</v>
      </c>
      <c r="AD855">
        <f>'raw data Crude oil'!AD856</f>
        <v>29.135999999999999</v>
      </c>
      <c r="AE855">
        <f>'raw data Crude oil'!AE856</f>
        <v>29.966999999999999</v>
      </c>
      <c r="AF855">
        <f>'raw data Crude oil'!AF856</f>
        <v>30.672999999999998</v>
      </c>
      <c r="AG855">
        <f>'raw data Crude oil'!AG856</f>
        <v>31.331</v>
      </c>
      <c r="AH855">
        <f>'raw data Crude oil'!AH856</f>
        <v>31.957999999999998</v>
      </c>
      <c r="AI855">
        <f>'raw data Crude oil'!AI856</f>
        <v>32.585999999999999</v>
      </c>
      <c r="AJ855">
        <f>'raw data Crude oil'!AJ856</f>
        <v>33.204000000000001</v>
      </c>
      <c r="AK855">
        <f>'raw data Crude oil'!AK856</f>
        <v>33.728999999999999</v>
      </c>
    </row>
    <row r="856" spans="1:37" x14ac:dyDescent="0.3">
      <c r="A856" s="18">
        <f>'raw data Crude oil'!A857</f>
        <v>43945</v>
      </c>
      <c r="B856">
        <f>'raw data Crude oil'!B857</f>
        <v>21.44</v>
      </c>
      <c r="C856">
        <f>'raw data Crude oil'!C857</f>
        <v>24.81</v>
      </c>
      <c r="D856">
        <f>'raw data Crude oil'!D857</f>
        <v>27.11</v>
      </c>
      <c r="E856">
        <f>'raw data Crude oil'!E857</f>
        <v>28.88</v>
      </c>
      <c r="F856">
        <f>'raw data Crude oil'!F857</f>
        <v>30.26</v>
      </c>
      <c r="G856">
        <f>'raw data Crude oil'!G857</f>
        <v>31.32</v>
      </c>
      <c r="H856">
        <f>'raw data Crude oil'!H857</f>
        <v>32.119999999999997</v>
      </c>
      <c r="I856">
        <f>'raw data Crude oil'!I857</f>
        <v>32.840000000000003</v>
      </c>
      <c r="J856">
        <f>'raw data Crude oil'!J857</f>
        <v>33.5</v>
      </c>
      <c r="K856">
        <f>'raw data Crude oil'!K857</f>
        <v>34.130000000000003</v>
      </c>
      <c r="L856">
        <f>'raw data Crude oil'!L857</f>
        <v>34.619999999999997</v>
      </c>
      <c r="M856">
        <f>'raw data Crude oil'!M857</f>
        <v>35.090000000000003</v>
      </c>
      <c r="N856">
        <f>'raw data Crude oil'!N857</f>
        <v>16.940000000000001</v>
      </c>
      <c r="O856">
        <f>'raw data Crude oil'!O857</f>
        <v>21.22</v>
      </c>
      <c r="P856">
        <f>'raw data Crude oil'!P857</f>
        <v>23.86</v>
      </c>
      <c r="Q856">
        <f>'raw data Crude oil'!Q857</f>
        <v>25.71</v>
      </c>
      <c r="R856">
        <f>'raw data Crude oil'!R857</f>
        <v>26.77</v>
      </c>
      <c r="S856">
        <f>'raw data Crude oil'!S857</f>
        <v>27.67</v>
      </c>
      <c r="T856">
        <f>'raw data Crude oil'!T857</f>
        <v>28.47</v>
      </c>
      <c r="U856">
        <f>'raw data Crude oil'!U857</f>
        <v>29.13</v>
      </c>
      <c r="V856">
        <f>'raw data Crude oil'!V857</f>
        <v>29.74</v>
      </c>
      <c r="W856">
        <f>'raw data Crude oil'!W857</f>
        <v>30.26</v>
      </c>
      <c r="X856">
        <f>'raw data Crude oil'!X857</f>
        <v>30.72</v>
      </c>
      <c r="Y856">
        <f>'raw data Crude oil'!Y857</f>
        <v>31.17</v>
      </c>
      <c r="Z856">
        <f>'raw data Crude oil'!Z857</f>
        <v>20.466000000000001</v>
      </c>
      <c r="AA856">
        <f>'raw data Crude oil'!AA857</f>
        <v>23.645</v>
      </c>
      <c r="AB856">
        <f>'raw data Crude oil'!AB857</f>
        <v>26.632000000000001</v>
      </c>
      <c r="AC856">
        <f>'raw data Crude oil'!AC857</f>
        <v>27.972000000000001</v>
      </c>
      <c r="AD856">
        <f>'raw data Crude oil'!AD857</f>
        <v>29.065999999999999</v>
      </c>
      <c r="AE856">
        <f>'raw data Crude oil'!AE857</f>
        <v>29.876999999999999</v>
      </c>
      <c r="AF856">
        <f>'raw data Crude oil'!AF857</f>
        <v>30.663</v>
      </c>
      <c r="AG856">
        <f>'raw data Crude oil'!AG857</f>
        <v>31.321000000000002</v>
      </c>
      <c r="AH856">
        <f>'raw data Crude oil'!AH857</f>
        <v>31.937999999999999</v>
      </c>
      <c r="AI856">
        <f>'raw data Crude oil'!AI857</f>
        <v>32.606000000000002</v>
      </c>
      <c r="AJ856">
        <f>'raw data Crude oil'!AJ857</f>
        <v>33.223999999999997</v>
      </c>
      <c r="AK856">
        <f>'raw data Crude oil'!AK857</f>
        <v>33.749000000000002</v>
      </c>
    </row>
    <row r="857" spans="1:37" x14ac:dyDescent="0.3">
      <c r="A857" s="18">
        <f>'raw data Crude oil'!A858</f>
        <v>43948</v>
      </c>
      <c r="B857">
        <f>'raw data Crude oil'!B858</f>
        <v>19.989999999999998</v>
      </c>
      <c r="C857">
        <f>'raw data Crude oil'!C858</f>
        <v>23.07</v>
      </c>
      <c r="D857">
        <f>'raw data Crude oil'!D858</f>
        <v>25.62</v>
      </c>
      <c r="E857">
        <f>'raw data Crude oil'!E858</f>
        <v>27.59</v>
      </c>
      <c r="F857">
        <f>'raw data Crude oil'!F858</f>
        <v>29.14</v>
      </c>
      <c r="G857">
        <f>'raw data Crude oil'!G858</f>
        <v>30.38</v>
      </c>
      <c r="H857">
        <f>'raw data Crude oil'!H858</f>
        <v>31.33</v>
      </c>
      <c r="I857">
        <f>'raw data Crude oil'!I858</f>
        <v>32.15</v>
      </c>
      <c r="J857">
        <f>'raw data Crude oil'!J858</f>
        <v>32.880000000000003</v>
      </c>
      <c r="K857">
        <f>'raw data Crude oil'!K858</f>
        <v>33.53</v>
      </c>
      <c r="L857">
        <f>'raw data Crude oil'!L858</f>
        <v>34.04</v>
      </c>
      <c r="M857">
        <f>'raw data Crude oil'!M858</f>
        <v>34.54</v>
      </c>
      <c r="N857">
        <f>'raw data Crude oil'!N858</f>
        <v>12.78</v>
      </c>
      <c r="O857">
        <f>'raw data Crude oil'!O858</f>
        <v>18.079999999999998</v>
      </c>
      <c r="P857">
        <f>'raw data Crude oil'!P858</f>
        <v>21.42</v>
      </c>
      <c r="Q857">
        <f>'raw data Crude oil'!Q858</f>
        <v>23.84</v>
      </c>
      <c r="R857">
        <f>'raw data Crude oil'!R858</f>
        <v>25.28</v>
      </c>
      <c r="S857">
        <f>'raw data Crude oil'!S858</f>
        <v>26.47</v>
      </c>
      <c r="T857">
        <f>'raw data Crude oil'!T858</f>
        <v>27.46</v>
      </c>
      <c r="U857">
        <f>'raw data Crude oil'!U858</f>
        <v>28.29</v>
      </c>
      <c r="V857">
        <f>'raw data Crude oil'!V858</f>
        <v>29</v>
      </c>
      <c r="W857">
        <f>'raw data Crude oil'!W858</f>
        <v>29.62</v>
      </c>
      <c r="X857">
        <f>'raw data Crude oil'!X858</f>
        <v>30.15</v>
      </c>
      <c r="Y857">
        <f>'raw data Crude oil'!Y858</f>
        <v>30.63</v>
      </c>
      <c r="Z857">
        <f>'raw data Crude oil'!Z858</f>
        <v>20.288</v>
      </c>
      <c r="AA857">
        <f>'raw data Crude oil'!AA858</f>
        <v>22.390999999999998</v>
      </c>
      <c r="AB857">
        <f>'raw data Crude oil'!AB858</f>
        <v>25.19</v>
      </c>
      <c r="AC857">
        <f>'raw data Crude oil'!AC858</f>
        <v>26.516999999999999</v>
      </c>
      <c r="AD857">
        <f>'raw data Crude oil'!AD858</f>
        <v>27.748000000000001</v>
      </c>
      <c r="AE857">
        <f>'raw data Crude oil'!AE858</f>
        <v>28.683</v>
      </c>
      <c r="AF857">
        <f>'raw data Crude oil'!AF858</f>
        <v>29.556999999999999</v>
      </c>
      <c r="AG857">
        <f>'raw data Crude oil'!AG858</f>
        <v>30.305</v>
      </c>
      <c r="AH857">
        <f>'raw data Crude oil'!AH858</f>
        <v>30.989000000000001</v>
      </c>
      <c r="AI857">
        <f>'raw data Crude oil'!AI858</f>
        <v>31.706</v>
      </c>
      <c r="AJ857">
        <f>'raw data Crude oil'!AJ858</f>
        <v>32.335000000000001</v>
      </c>
      <c r="AK857">
        <f>'raw data Crude oil'!AK858</f>
        <v>32.89</v>
      </c>
    </row>
    <row r="858" spans="1:37" x14ac:dyDescent="0.3">
      <c r="A858" s="18">
        <f>'raw data Crude oil'!A859</f>
        <v>43949</v>
      </c>
      <c r="B858">
        <f>'raw data Crude oil'!B859</f>
        <v>20.46</v>
      </c>
      <c r="C858">
        <f>'raw data Crude oil'!C859</f>
        <v>22.74</v>
      </c>
      <c r="D858">
        <f>'raw data Crude oil'!D859</f>
        <v>25.16</v>
      </c>
      <c r="E858">
        <f>'raw data Crude oil'!E859</f>
        <v>27.05</v>
      </c>
      <c r="F858">
        <f>'raw data Crude oil'!F859</f>
        <v>28.57</v>
      </c>
      <c r="G858">
        <f>'raw data Crude oil'!G859</f>
        <v>29.86</v>
      </c>
      <c r="H858">
        <f>'raw data Crude oil'!H859</f>
        <v>30.88</v>
      </c>
      <c r="I858">
        <f>'raw data Crude oil'!I859</f>
        <v>31.73</v>
      </c>
      <c r="J858">
        <f>'raw data Crude oil'!J859</f>
        <v>32.479999999999997</v>
      </c>
      <c r="K858">
        <f>'raw data Crude oil'!K859</f>
        <v>33.159999999999997</v>
      </c>
      <c r="L858">
        <f>'raw data Crude oil'!L859</f>
        <v>33.71</v>
      </c>
      <c r="M858">
        <f>'raw data Crude oil'!M859</f>
        <v>34.25</v>
      </c>
      <c r="N858">
        <f>'raw data Crude oil'!N859</f>
        <v>12.34</v>
      </c>
      <c r="O858">
        <f>'raw data Crude oil'!O859</f>
        <v>17.600000000000001</v>
      </c>
      <c r="P858">
        <f>'raw data Crude oil'!P859</f>
        <v>21.17</v>
      </c>
      <c r="Q858">
        <f>'raw data Crude oil'!Q859</f>
        <v>23.77</v>
      </c>
      <c r="R858">
        <f>'raw data Crude oil'!R859</f>
        <v>25.29</v>
      </c>
      <c r="S858">
        <f>'raw data Crude oil'!S859</f>
        <v>26.48</v>
      </c>
      <c r="T858">
        <f>'raw data Crude oil'!T859</f>
        <v>27.47</v>
      </c>
      <c r="U858">
        <f>'raw data Crude oil'!U859</f>
        <v>28.32</v>
      </c>
      <c r="V858">
        <f>'raw data Crude oil'!V859</f>
        <v>29.07</v>
      </c>
      <c r="W858">
        <f>'raw data Crude oil'!W859</f>
        <v>29.72</v>
      </c>
      <c r="X858">
        <f>'raw data Crude oil'!X859</f>
        <v>30.28</v>
      </c>
      <c r="Y858">
        <f>'raw data Crude oil'!Y859</f>
        <v>30.77</v>
      </c>
      <c r="Z858">
        <f>'raw data Crude oil'!Z859</f>
        <v>20.273</v>
      </c>
      <c r="AA858">
        <f>'raw data Crude oil'!AA859</f>
        <v>22.664999999999999</v>
      </c>
      <c r="AB858">
        <f>'raw data Crude oil'!AB859</f>
        <v>24.795999999999999</v>
      </c>
      <c r="AC858">
        <f>'raw data Crude oil'!AC859</f>
        <v>25.946000000000002</v>
      </c>
      <c r="AD858">
        <f>'raw data Crude oil'!AD859</f>
        <v>27.013000000000002</v>
      </c>
      <c r="AE858">
        <f>'raw data Crude oil'!AE859</f>
        <v>28.006</v>
      </c>
      <c r="AF858">
        <f>'raw data Crude oil'!AF859</f>
        <v>28.919</v>
      </c>
      <c r="AG858">
        <f>'raw data Crude oil'!AG859</f>
        <v>29.756</v>
      </c>
      <c r="AH858">
        <f>'raw data Crude oil'!AH859</f>
        <v>30.492000000000001</v>
      </c>
      <c r="AI858">
        <f>'raw data Crude oil'!AI859</f>
        <v>31.178000000000001</v>
      </c>
      <c r="AJ858">
        <f>'raw data Crude oil'!AJ859</f>
        <v>31.856999999999999</v>
      </c>
      <c r="AK858">
        <f>'raw data Crude oil'!AK859</f>
        <v>32.521000000000001</v>
      </c>
    </row>
    <row r="859" spans="1:37" x14ac:dyDescent="0.3">
      <c r="A859" s="18">
        <f>'raw data Crude oil'!A860</f>
        <v>43950</v>
      </c>
      <c r="B859">
        <f>'raw data Crude oil'!B860</f>
        <v>22.54</v>
      </c>
      <c r="C859">
        <f>'raw data Crude oil'!C860</f>
        <v>24.23</v>
      </c>
      <c r="D859">
        <f>'raw data Crude oil'!D860</f>
        <v>26.36</v>
      </c>
      <c r="E859">
        <f>'raw data Crude oil'!E860</f>
        <v>28.03</v>
      </c>
      <c r="F859">
        <f>'raw data Crude oil'!F860</f>
        <v>29.38</v>
      </c>
      <c r="G859">
        <f>'raw data Crude oil'!G860</f>
        <v>30.54</v>
      </c>
      <c r="H859">
        <f>'raw data Crude oil'!H860</f>
        <v>31.45</v>
      </c>
      <c r="I859">
        <f>'raw data Crude oil'!I860</f>
        <v>32.19</v>
      </c>
      <c r="J859">
        <f>'raw data Crude oil'!J860</f>
        <v>32.86</v>
      </c>
      <c r="K859">
        <f>'raw data Crude oil'!K860</f>
        <v>33.49</v>
      </c>
      <c r="L859">
        <f>'raw data Crude oil'!L860</f>
        <v>34</v>
      </c>
      <c r="M859">
        <f>'raw data Crude oil'!M860</f>
        <v>34.53</v>
      </c>
      <c r="N859">
        <f>'raw data Crude oil'!N860</f>
        <v>15.06</v>
      </c>
      <c r="O859">
        <f>'raw data Crude oil'!O860</f>
        <v>19.12</v>
      </c>
      <c r="P859">
        <f>'raw data Crude oil'!P860</f>
        <v>22.19</v>
      </c>
      <c r="Q859">
        <f>'raw data Crude oil'!Q860</f>
        <v>24.5</v>
      </c>
      <c r="R859">
        <f>'raw data Crude oil'!R860</f>
        <v>25.9</v>
      </c>
      <c r="S859">
        <f>'raw data Crude oil'!S860</f>
        <v>27.01</v>
      </c>
      <c r="T859">
        <f>'raw data Crude oil'!T860</f>
        <v>27.95</v>
      </c>
      <c r="U859">
        <f>'raw data Crude oil'!U860</f>
        <v>28.73</v>
      </c>
      <c r="V859">
        <f>'raw data Crude oil'!V860</f>
        <v>29.43</v>
      </c>
      <c r="W859">
        <f>'raw data Crude oil'!W860</f>
        <v>30.04</v>
      </c>
      <c r="X859">
        <f>'raw data Crude oil'!X860</f>
        <v>30.57</v>
      </c>
      <c r="Y859">
        <f>'raw data Crude oil'!Y860</f>
        <v>31.03</v>
      </c>
      <c r="Z859">
        <f>'raw data Crude oil'!Z860</f>
        <v>20.285</v>
      </c>
      <c r="AA859">
        <f>'raw data Crude oil'!AA860</f>
        <v>23.771000000000001</v>
      </c>
      <c r="AB859">
        <f>'raw data Crude oil'!AB860</f>
        <v>26.126000000000001</v>
      </c>
      <c r="AC859">
        <f>'raw data Crude oil'!AC860</f>
        <v>27.138999999999999</v>
      </c>
      <c r="AD859">
        <f>'raw data Crude oil'!AD860</f>
        <v>28.04</v>
      </c>
      <c r="AE859">
        <f>'raw data Crude oil'!AE860</f>
        <v>28.901</v>
      </c>
      <c r="AF859">
        <f>'raw data Crude oil'!AF860</f>
        <v>29.713999999999999</v>
      </c>
      <c r="AG859">
        <f>'raw data Crude oil'!AG860</f>
        <v>30.402000000000001</v>
      </c>
      <c r="AH859">
        <f>'raw data Crude oil'!AH860</f>
        <v>31.056999999999999</v>
      </c>
      <c r="AI859">
        <f>'raw data Crude oil'!AI860</f>
        <v>31.706</v>
      </c>
      <c r="AJ859">
        <f>'raw data Crude oil'!AJ860</f>
        <v>32.326999999999998</v>
      </c>
      <c r="AK859">
        <f>'raw data Crude oil'!AK860</f>
        <v>32.881</v>
      </c>
    </row>
    <row r="860" spans="1:37" x14ac:dyDescent="0.3">
      <c r="A860" s="18">
        <f>'raw data Crude oil'!A861</f>
        <v>43951</v>
      </c>
      <c r="B860">
        <f>'raw data Crude oil'!B861</f>
        <v>25.27</v>
      </c>
      <c r="C860">
        <f>'raw data Crude oil'!C861</f>
        <v>26.48</v>
      </c>
      <c r="D860">
        <f>'raw data Crude oil'!D861</f>
        <v>28.31</v>
      </c>
      <c r="E860">
        <f>'raw data Crude oil'!E861</f>
        <v>29.78</v>
      </c>
      <c r="F860">
        <f>'raw data Crude oil'!F861</f>
        <v>31.02</v>
      </c>
      <c r="G860">
        <f>'raw data Crude oil'!G861</f>
        <v>32.1</v>
      </c>
      <c r="H860">
        <f>'raw data Crude oil'!H861</f>
        <v>32.950000000000003</v>
      </c>
      <c r="I860">
        <f>'raw data Crude oil'!I861</f>
        <v>33.65</v>
      </c>
      <c r="J860">
        <f>'raw data Crude oil'!J861</f>
        <v>34.28</v>
      </c>
      <c r="K860">
        <f>'raw data Crude oil'!K861</f>
        <v>34.89</v>
      </c>
      <c r="L860">
        <f>'raw data Crude oil'!L861</f>
        <v>35.39</v>
      </c>
      <c r="M860">
        <f>'raw data Crude oil'!M861</f>
        <v>35.89</v>
      </c>
      <c r="N860">
        <f>'raw data Crude oil'!N861</f>
        <v>18.84</v>
      </c>
      <c r="O860">
        <f>'raw data Crude oil'!O861</f>
        <v>21.85</v>
      </c>
      <c r="P860">
        <f>'raw data Crude oil'!P861</f>
        <v>24.37</v>
      </c>
      <c r="Q860">
        <f>'raw data Crude oil'!Q861</f>
        <v>26.37</v>
      </c>
      <c r="R860">
        <f>'raw data Crude oil'!R861</f>
        <v>27.67</v>
      </c>
      <c r="S860">
        <f>'raw data Crude oil'!S861</f>
        <v>28.72</v>
      </c>
      <c r="T860">
        <f>'raw data Crude oil'!T861</f>
        <v>29.62</v>
      </c>
      <c r="U860">
        <f>'raw data Crude oil'!U861</f>
        <v>30.38</v>
      </c>
      <c r="V860">
        <f>'raw data Crude oil'!V861</f>
        <v>31.07</v>
      </c>
      <c r="W860">
        <f>'raw data Crude oil'!W861</f>
        <v>31.66</v>
      </c>
      <c r="X860">
        <f>'raw data Crude oil'!X861</f>
        <v>32.17</v>
      </c>
      <c r="Y860">
        <f>'raw data Crude oil'!Y861</f>
        <v>32.61</v>
      </c>
      <c r="Z860">
        <f>'raw data Crude oil'!Z861</f>
        <v>20.387</v>
      </c>
      <c r="AA860">
        <f>'raw data Crude oil'!AA861</f>
        <v>25.516999999999999</v>
      </c>
      <c r="AB860">
        <f>'raw data Crude oil'!AB861</f>
        <v>28.087</v>
      </c>
      <c r="AC860">
        <f>'raw data Crude oil'!AC861</f>
        <v>29.033999999999999</v>
      </c>
      <c r="AD860">
        <f>'raw data Crude oil'!AD861</f>
        <v>29.893000000000001</v>
      </c>
      <c r="AE860">
        <f>'raw data Crude oil'!AE861</f>
        <v>30.709</v>
      </c>
      <c r="AF860">
        <f>'raw data Crude oil'!AF861</f>
        <v>31.481999999999999</v>
      </c>
      <c r="AG860">
        <f>'raw data Crude oil'!AG861</f>
        <v>32.11</v>
      </c>
      <c r="AH860">
        <f>'raw data Crude oil'!AH861</f>
        <v>32.695</v>
      </c>
      <c r="AI860">
        <f>'raw data Crude oil'!AI861</f>
        <v>33.274999999999999</v>
      </c>
      <c r="AJ860">
        <f>'raw data Crude oil'!AJ861</f>
        <v>33.835000000000001</v>
      </c>
      <c r="AK860">
        <f>'raw data Crude oil'!AK861</f>
        <v>34.360999999999997</v>
      </c>
    </row>
    <row r="861" spans="1:37" x14ac:dyDescent="0.3">
      <c r="A861" s="18">
        <f>'raw data Crude oil'!A862</f>
        <v>43952</v>
      </c>
      <c r="B861">
        <f>'raw data Crude oil'!B862</f>
        <v>26.44</v>
      </c>
      <c r="C861">
        <f>'raw data Crude oil'!C862</f>
        <v>28.07</v>
      </c>
      <c r="D861">
        <f>'raw data Crude oil'!D862</f>
        <v>29.36</v>
      </c>
      <c r="E861">
        <f>'raw data Crude oil'!E862</f>
        <v>30.44</v>
      </c>
      <c r="F861">
        <f>'raw data Crude oil'!F862</f>
        <v>31.4</v>
      </c>
      <c r="G861">
        <f>'raw data Crude oil'!G862</f>
        <v>32.18</v>
      </c>
      <c r="H861">
        <f>'raw data Crude oil'!H862</f>
        <v>32.85</v>
      </c>
      <c r="I861">
        <f>'raw data Crude oil'!I862</f>
        <v>33.44</v>
      </c>
      <c r="J861">
        <f>'raw data Crude oil'!J862</f>
        <v>34.03</v>
      </c>
      <c r="K861">
        <f>'raw data Crude oil'!K862</f>
        <v>34.51</v>
      </c>
      <c r="L861">
        <f>'raw data Crude oil'!L862</f>
        <v>35</v>
      </c>
      <c r="M861">
        <f>'raw data Crude oil'!M862</f>
        <v>35.479999999999997</v>
      </c>
      <c r="N861">
        <f>'raw data Crude oil'!N862</f>
        <v>19.78</v>
      </c>
      <c r="O861">
        <f>'raw data Crude oil'!O862</f>
        <v>22.29</v>
      </c>
      <c r="P861">
        <f>'raw data Crude oil'!P862</f>
        <v>24.2</v>
      </c>
      <c r="Q861">
        <f>'raw data Crude oil'!Q862</f>
        <v>25.69</v>
      </c>
      <c r="R861">
        <f>'raw data Crude oil'!R862</f>
        <v>26.79</v>
      </c>
      <c r="S861">
        <f>'raw data Crude oil'!S862</f>
        <v>27.74</v>
      </c>
      <c r="T861">
        <f>'raw data Crude oil'!T862</f>
        <v>28.59</v>
      </c>
      <c r="U861">
        <f>'raw data Crude oil'!U862</f>
        <v>29.32</v>
      </c>
      <c r="V861">
        <f>'raw data Crude oil'!V862</f>
        <v>29.98</v>
      </c>
      <c r="W861">
        <f>'raw data Crude oil'!W862</f>
        <v>30.55</v>
      </c>
      <c r="X861">
        <f>'raw data Crude oil'!X862</f>
        <v>31.05</v>
      </c>
      <c r="Y861">
        <f>'raw data Crude oil'!Y862</f>
        <v>31.49</v>
      </c>
      <c r="Z861">
        <f>'raw data Crude oil'!Z862</f>
        <v>20.387</v>
      </c>
      <c r="AA861">
        <f>'raw data Crude oil'!AA862</f>
        <v>25.568999999999999</v>
      </c>
      <c r="AB861">
        <f>'raw data Crude oil'!AB862</f>
        <v>27.949000000000002</v>
      </c>
      <c r="AC861">
        <f>'raw data Crude oil'!AC862</f>
        <v>28.837</v>
      </c>
      <c r="AD861">
        <f>'raw data Crude oil'!AD862</f>
        <v>29.561</v>
      </c>
      <c r="AE861">
        <f>'raw data Crude oil'!AE862</f>
        <v>30.225000000000001</v>
      </c>
      <c r="AF861">
        <f>'raw data Crude oil'!AF862</f>
        <v>30.89</v>
      </c>
      <c r="AG861">
        <f>'raw data Crude oil'!AG862</f>
        <v>31.468</v>
      </c>
      <c r="AH861">
        <f>'raw data Crude oil'!AH862</f>
        <v>31.994</v>
      </c>
      <c r="AI861">
        <f>'raw data Crude oil'!AI862</f>
        <v>32.473999999999997</v>
      </c>
      <c r="AJ861">
        <f>'raw data Crude oil'!AJ862</f>
        <v>33.015000000000001</v>
      </c>
      <c r="AK861">
        <f>'raw data Crude oil'!AK862</f>
        <v>33.530999999999999</v>
      </c>
    </row>
    <row r="862" spans="1:37" x14ac:dyDescent="0.3">
      <c r="A862" s="18">
        <f>'raw data Crude oil'!A863</f>
        <v>43955</v>
      </c>
      <c r="B862">
        <f>'raw data Crude oil'!B863</f>
        <v>27.2</v>
      </c>
      <c r="C862">
        <f>'raw data Crude oil'!C863</f>
        <v>28.68</v>
      </c>
      <c r="D862">
        <f>'raw data Crude oil'!D863</f>
        <v>29.87</v>
      </c>
      <c r="E862">
        <f>'raw data Crude oil'!E863</f>
        <v>30.88</v>
      </c>
      <c r="F862">
        <f>'raw data Crude oil'!F863</f>
        <v>31.78</v>
      </c>
      <c r="G862">
        <f>'raw data Crude oil'!G863</f>
        <v>32.5</v>
      </c>
      <c r="H862">
        <f>'raw data Crude oil'!H863</f>
        <v>33.090000000000003</v>
      </c>
      <c r="I862">
        <f>'raw data Crude oil'!I863</f>
        <v>33.61</v>
      </c>
      <c r="J862">
        <f>'raw data Crude oil'!J863</f>
        <v>34.119999999999997</v>
      </c>
      <c r="K862">
        <f>'raw data Crude oil'!K863</f>
        <v>34.520000000000003</v>
      </c>
      <c r="L862">
        <f>'raw data Crude oil'!L863</f>
        <v>34.96</v>
      </c>
      <c r="M862">
        <f>'raw data Crude oil'!M863</f>
        <v>35.369999999999997</v>
      </c>
      <c r="N862">
        <f>'raw data Crude oil'!N863</f>
        <v>20.39</v>
      </c>
      <c r="O862">
        <f>'raw data Crude oil'!O863</f>
        <v>22.78</v>
      </c>
      <c r="P862">
        <f>'raw data Crude oil'!P863</f>
        <v>24.63</v>
      </c>
      <c r="Q862">
        <f>'raw data Crude oil'!Q863</f>
        <v>26.08</v>
      </c>
      <c r="R862">
        <f>'raw data Crude oil'!R863</f>
        <v>27.2</v>
      </c>
      <c r="S862">
        <f>'raw data Crude oil'!S863</f>
        <v>28.19</v>
      </c>
      <c r="T862">
        <f>'raw data Crude oil'!T863</f>
        <v>29.08</v>
      </c>
      <c r="U862">
        <f>'raw data Crude oil'!U863</f>
        <v>29.82</v>
      </c>
      <c r="V862">
        <f>'raw data Crude oil'!V863</f>
        <v>30.46</v>
      </c>
      <c r="W862">
        <f>'raw data Crude oil'!W863</f>
        <v>31.01</v>
      </c>
      <c r="X862">
        <f>'raw data Crude oil'!X863</f>
        <v>31.47</v>
      </c>
      <c r="Y862">
        <f>'raw data Crude oil'!Y863</f>
        <v>31.86</v>
      </c>
      <c r="Z862">
        <f>'raw data Crude oil'!Z863</f>
        <v>25.72</v>
      </c>
      <c r="AA862">
        <f>'raw data Crude oil'!AA863</f>
        <v>28.353999999999999</v>
      </c>
      <c r="AB862">
        <f>'raw data Crude oil'!AB863</f>
        <v>29.244</v>
      </c>
      <c r="AC862">
        <f>'raw data Crude oil'!AC863</f>
        <v>29.995999999999999</v>
      </c>
      <c r="AD862">
        <f>'raw data Crude oil'!AD863</f>
        <v>30.593</v>
      </c>
      <c r="AE862">
        <f>'raw data Crude oil'!AE863</f>
        <v>31.177</v>
      </c>
      <c r="AF862">
        <f>'raw data Crude oil'!AF863</f>
        <v>31.655000000000001</v>
      </c>
      <c r="AG862">
        <f>'raw data Crude oil'!AG863</f>
        <v>32.106000000000002</v>
      </c>
      <c r="AH862">
        <f>'raw data Crude oil'!AH863</f>
        <v>32.51</v>
      </c>
      <c r="AI862">
        <f>'raw data Crude oil'!AI863</f>
        <v>32.921999999999997</v>
      </c>
      <c r="AJ862">
        <f>'raw data Crude oil'!AJ863</f>
        <v>33.347999999999999</v>
      </c>
      <c r="AK862">
        <f>'raw data Crude oil'!AK863</f>
        <v>33.767000000000003</v>
      </c>
    </row>
    <row r="863" spans="1:37" x14ac:dyDescent="0.3">
      <c r="A863" s="18">
        <f>'raw data Crude oil'!A864</f>
        <v>43956</v>
      </c>
      <c r="B863">
        <f>'raw data Crude oil'!B864</f>
        <v>30.97</v>
      </c>
      <c r="C863">
        <f>'raw data Crude oil'!C864</f>
        <v>31.91</v>
      </c>
      <c r="D863">
        <f>'raw data Crude oil'!D864</f>
        <v>32.85</v>
      </c>
      <c r="E863">
        <f>'raw data Crude oil'!E864</f>
        <v>33.69</v>
      </c>
      <c r="F863">
        <f>'raw data Crude oil'!F864</f>
        <v>34.46</v>
      </c>
      <c r="G863">
        <f>'raw data Crude oil'!G864</f>
        <v>35.08</v>
      </c>
      <c r="H863">
        <f>'raw data Crude oil'!H864</f>
        <v>35.56</v>
      </c>
      <c r="I863">
        <f>'raw data Crude oil'!I864</f>
        <v>35.97</v>
      </c>
      <c r="J863">
        <f>'raw data Crude oil'!J864</f>
        <v>36.39</v>
      </c>
      <c r="K863">
        <f>'raw data Crude oil'!K864</f>
        <v>36.700000000000003</v>
      </c>
      <c r="L863">
        <f>'raw data Crude oil'!L864</f>
        <v>37.049999999999997</v>
      </c>
      <c r="M863">
        <f>'raw data Crude oil'!M864</f>
        <v>37.39</v>
      </c>
      <c r="N863">
        <f>'raw data Crude oil'!N864</f>
        <v>24.56</v>
      </c>
      <c r="O863">
        <f>'raw data Crude oil'!O864</f>
        <v>26.49</v>
      </c>
      <c r="P863">
        <f>'raw data Crude oil'!P864</f>
        <v>28.09</v>
      </c>
      <c r="Q863">
        <f>'raw data Crude oil'!Q864</f>
        <v>29.26</v>
      </c>
      <c r="R863">
        <f>'raw data Crude oil'!R864</f>
        <v>30.14</v>
      </c>
      <c r="S863">
        <f>'raw data Crude oil'!S864</f>
        <v>30.95</v>
      </c>
      <c r="T863">
        <f>'raw data Crude oil'!T864</f>
        <v>31.65</v>
      </c>
      <c r="U863">
        <f>'raw data Crude oil'!U864</f>
        <v>32.229999999999997</v>
      </c>
      <c r="V863">
        <f>'raw data Crude oil'!V864</f>
        <v>32.729999999999997</v>
      </c>
      <c r="W863">
        <f>'raw data Crude oil'!W864</f>
        <v>33.159999999999997</v>
      </c>
      <c r="X863">
        <f>'raw data Crude oil'!X864</f>
        <v>33.520000000000003</v>
      </c>
      <c r="Y863">
        <f>'raw data Crude oil'!Y864</f>
        <v>33.83</v>
      </c>
      <c r="Z863">
        <f>'raw data Crude oil'!Z864</f>
        <v>28.599</v>
      </c>
      <c r="AA863">
        <f>'raw data Crude oil'!AA864</f>
        <v>31.632999999999999</v>
      </c>
      <c r="AB863">
        <f>'raw data Crude oil'!AB864</f>
        <v>32.296999999999997</v>
      </c>
      <c r="AC863">
        <f>'raw data Crude oil'!AC864</f>
        <v>32.792999999999999</v>
      </c>
      <c r="AD863">
        <f>'raw data Crude oil'!AD864</f>
        <v>33.277999999999999</v>
      </c>
      <c r="AE863">
        <f>'raw data Crude oil'!AE864</f>
        <v>33.701999999999998</v>
      </c>
      <c r="AF863">
        <f>'raw data Crude oil'!AF864</f>
        <v>34.04</v>
      </c>
      <c r="AG863">
        <f>'raw data Crude oil'!AG864</f>
        <v>34.378</v>
      </c>
      <c r="AH863">
        <f>'raw data Crude oil'!AH864</f>
        <v>34.756</v>
      </c>
      <c r="AI863">
        <f>'raw data Crude oil'!AI864</f>
        <v>35.097999999999999</v>
      </c>
      <c r="AJ863">
        <f>'raw data Crude oil'!AJ864</f>
        <v>35.435000000000002</v>
      </c>
      <c r="AK863">
        <f>'raw data Crude oil'!AK864</f>
        <v>35.783000000000001</v>
      </c>
    </row>
    <row r="864" spans="1:37" x14ac:dyDescent="0.3">
      <c r="A864" s="18">
        <f>'raw data Crude oil'!A865</f>
        <v>43957</v>
      </c>
      <c r="B864">
        <f>'raw data Crude oil'!B865</f>
        <v>29.72</v>
      </c>
      <c r="C864">
        <f>'raw data Crude oil'!C865</f>
        <v>30.6</v>
      </c>
      <c r="D864">
        <f>'raw data Crude oil'!D865</f>
        <v>31.49</v>
      </c>
      <c r="E864">
        <f>'raw data Crude oil'!E865</f>
        <v>32.31</v>
      </c>
      <c r="F864">
        <f>'raw data Crude oil'!F865</f>
        <v>33.11</v>
      </c>
      <c r="G864">
        <f>'raw data Crude oil'!G865</f>
        <v>33.78</v>
      </c>
      <c r="H864">
        <f>'raw data Crude oil'!H865</f>
        <v>34.31</v>
      </c>
      <c r="I864">
        <f>'raw data Crude oil'!I865</f>
        <v>34.75</v>
      </c>
      <c r="J864">
        <f>'raw data Crude oil'!J865</f>
        <v>35.19</v>
      </c>
      <c r="K864">
        <f>'raw data Crude oil'!K865</f>
        <v>35.520000000000003</v>
      </c>
      <c r="L864">
        <f>'raw data Crude oil'!L865</f>
        <v>35.9</v>
      </c>
      <c r="M864">
        <f>'raw data Crude oil'!M865</f>
        <v>36.26</v>
      </c>
      <c r="N864">
        <f>'raw data Crude oil'!N865</f>
        <v>23.99</v>
      </c>
      <c r="O864">
        <f>'raw data Crude oil'!O865</f>
        <v>25.62</v>
      </c>
      <c r="P864">
        <f>'raw data Crude oil'!P865</f>
        <v>27.04</v>
      </c>
      <c r="Q864">
        <f>'raw data Crude oil'!Q865</f>
        <v>28.19</v>
      </c>
      <c r="R864">
        <f>'raw data Crude oil'!R865</f>
        <v>29.03</v>
      </c>
      <c r="S864">
        <f>'raw data Crude oil'!S865</f>
        <v>29.78</v>
      </c>
      <c r="T864">
        <f>'raw data Crude oil'!T865</f>
        <v>30.47</v>
      </c>
      <c r="U864">
        <f>'raw data Crude oil'!U865</f>
        <v>31.03</v>
      </c>
      <c r="V864">
        <f>'raw data Crude oil'!V865</f>
        <v>31.51</v>
      </c>
      <c r="W864">
        <f>'raw data Crude oil'!W865</f>
        <v>31.94</v>
      </c>
      <c r="X864">
        <f>'raw data Crude oil'!X865</f>
        <v>32.32</v>
      </c>
      <c r="Y864">
        <f>'raw data Crude oil'!Y865</f>
        <v>32.65</v>
      </c>
      <c r="Z864">
        <f>'raw data Crude oil'!Z865</f>
        <v>26.859000000000002</v>
      </c>
      <c r="AA864">
        <f>'raw data Crude oil'!AA865</f>
        <v>29.99</v>
      </c>
      <c r="AB864">
        <f>'raw data Crude oil'!AB865</f>
        <v>30.776</v>
      </c>
      <c r="AC864">
        <f>'raw data Crude oil'!AC865</f>
        <v>31.436</v>
      </c>
      <c r="AD864">
        <f>'raw data Crude oil'!AD865</f>
        <v>32.01</v>
      </c>
      <c r="AE864">
        <f>'raw data Crude oil'!AE865</f>
        <v>32.494</v>
      </c>
      <c r="AF864">
        <f>'raw data Crude oil'!AF865</f>
        <v>32.881</v>
      </c>
      <c r="AG864">
        <f>'raw data Crude oil'!AG865</f>
        <v>33.26</v>
      </c>
      <c r="AH864">
        <f>'raw data Crude oil'!AH865</f>
        <v>33.637</v>
      </c>
      <c r="AI864">
        <f>'raw data Crude oil'!AI865</f>
        <v>33.999000000000002</v>
      </c>
      <c r="AJ864">
        <f>'raw data Crude oil'!AJ865</f>
        <v>34.366</v>
      </c>
      <c r="AK864">
        <f>'raw data Crude oil'!AK865</f>
        <v>34.734000000000002</v>
      </c>
    </row>
    <row r="865" spans="1:37" x14ac:dyDescent="0.3">
      <c r="A865" s="18">
        <f>'raw data Crude oil'!A866</f>
        <v>43958</v>
      </c>
      <c r="B865">
        <f>'raw data Crude oil'!B866</f>
        <v>29.46</v>
      </c>
      <c r="C865">
        <f>'raw data Crude oil'!C866</f>
        <v>30.4</v>
      </c>
      <c r="D865">
        <f>'raw data Crude oil'!D866</f>
        <v>31.23</v>
      </c>
      <c r="E865">
        <f>'raw data Crude oil'!E866</f>
        <v>32.01</v>
      </c>
      <c r="F865">
        <f>'raw data Crude oil'!F866</f>
        <v>32.79</v>
      </c>
      <c r="G865">
        <f>'raw data Crude oil'!G866</f>
        <v>33.49</v>
      </c>
      <c r="H865">
        <f>'raw data Crude oil'!H866</f>
        <v>34.049999999999997</v>
      </c>
      <c r="I865">
        <f>'raw data Crude oil'!I866</f>
        <v>34.53</v>
      </c>
      <c r="J865">
        <f>'raw data Crude oil'!J866</f>
        <v>35</v>
      </c>
      <c r="K865">
        <f>'raw data Crude oil'!K866</f>
        <v>35.35</v>
      </c>
      <c r="L865">
        <f>'raw data Crude oil'!L866</f>
        <v>35.74</v>
      </c>
      <c r="M865">
        <f>'raw data Crude oil'!M866</f>
        <v>36.11</v>
      </c>
      <c r="N865">
        <f>'raw data Crude oil'!N866</f>
        <v>23.55</v>
      </c>
      <c r="O865">
        <f>'raw data Crude oil'!O866</f>
        <v>24.83</v>
      </c>
      <c r="P865">
        <f>'raw data Crude oil'!P866</f>
        <v>26.49</v>
      </c>
      <c r="Q865">
        <f>'raw data Crude oil'!Q866</f>
        <v>27.81</v>
      </c>
      <c r="R865">
        <f>'raw data Crude oil'!R866</f>
        <v>28.68</v>
      </c>
      <c r="S865">
        <f>'raw data Crude oil'!S866</f>
        <v>29.45</v>
      </c>
      <c r="T865">
        <f>'raw data Crude oil'!T866</f>
        <v>30.12</v>
      </c>
      <c r="U865">
        <f>'raw data Crude oil'!U866</f>
        <v>30.69</v>
      </c>
      <c r="V865">
        <f>'raw data Crude oil'!V866</f>
        <v>31.18</v>
      </c>
      <c r="W865">
        <f>'raw data Crude oil'!W866</f>
        <v>31.62</v>
      </c>
      <c r="X865">
        <f>'raw data Crude oil'!X866</f>
        <v>32</v>
      </c>
      <c r="Y865">
        <f>'raw data Crude oil'!Y866</f>
        <v>32.340000000000003</v>
      </c>
      <c r="Z865">
        <f>'raw data Crude oil'!Z866</f>
        <v>27.44</v>
      </c>
      <c r="AA865">
        <f>'raw data Crude oil'!AA866</f>
        <v>30.288</v>
      </c>
      <c r="AB865">
        <f>'raw data Crude oil'!AB866</f>
        <v>30.834</v>
      </c>
      <c r="AC865">
        <f>'raw data Crude oil'!AC866</f>
        <v>31.474</v>
      </c>
      <c r="AD865">
        <f>'raw data Crude oil'!AD866</f>
        <v>31.962</v>
      </c>
      <c r="AE865">
        <f>'raw data Crude oil'!AE866</f>
        <v>32.445</v>
      </c>
      <c r="AF865">
        <f>'raw data Crude oil'!AF866</f>
        <v>32.813000000000002</v>
      </c>
      <c r="AG865">
        <f>'raw data Crude oil'!AG866</f>
        <v>33.152999999999999</v>
      </c>
      <c r="AH865">
        <f>'raw data Crude oil'!AH866</f>
        <v>33.518000000000001</v>
      </c>
      <c r="AI865">
        <f>'raw data Crude oil'!AI866</f>
        <v>33.880000000000003</v>
      </c>
      <c r="AJ865">
        <f>'raw data Crude oil'!AJ866</f>
        <v>34.256</v>
      </c>
      <c r="AK865">
        <f>'raw data Crude oil'!AK866</f>
        <v>34.634999999999998</v>
      </c>
    </row>
    <row r="866" spans="1:37" x14ac:dyDescent="0.3">
      <c r="A866" s="18">
        <f>'raw data Crude oil'!A867</f>
        <v>43959</v>
      </c>
      <c r="B866">
        <f>'raw data Crude oil'!B867</f>
        <v>30.97</v>
      </c>
      <c r="C866">
        <f>'raw data Crude oil'!C867</f>
        <v>32.08</v>
      </c>
      <c r="D866">
        <f>'raw data Crude oil'!D867</f>
        <v>33.06</v>
      </c>
      <c r="E866">
        <f>'raw data Crude oil'!E867</f>
        <v>33.880000000000003</v>
      </c>
      <c r="F866">
        <f>'raw data Crude oil'!F867</f>
        <v>34.659999999999997</v>
      </c>
      <c r="G866">
        <f>'raw data Crude oil'!G867</f>
        <v>35.33</v>
      </c>
      <c r="H866">
        <f>'raw data Crude oil'!H867</f>
        <v>35.869999999999997</v>
      </c>
      <c r="I866">
        <f>'raw data Crude oil'!I867</f>
        <v>36.35</v>
      </c>
      <c r="J866">
        <f>'raw data Crude oil'!J867</f>
        <v>36.81</v>
      </c>
      <c r="K866">
        <f>'raw data Crude oil'!K867</f>
        <v>37.17</v>
      </c>
      <c r="L866">
        <f>'raw data Crude oil'!L867</f>
        <v>37.549999999999997</v>
      </c>
      <c r="M866">
        <f>'raw data Crude oil'!M867</f>
        <v>37.909999999999997</v>
      </c>
      <c r="N866">
        <f>'raw data Crude oil'!N867</f>
        <v>24.74</v>
      </c>
      <c r="O866">
        <f>'raw data Crude oil'!O867</f>
        <v>26.17</v>
      </c>
      <c r="P866">
        <f>'raw data Crude oil'!P867</f>
        <v>28.05</v>
      </c>
      <c r="Q866">
        <f>'raw data Crude oil'!Q867</f>
        <v>29.51</v>
      </c>
      <c r="R866">
        <f>'raw data Crude oil'!R867</f>
        <v>30.48</v>
      </c>
      <c r="S866">
        <f>'raw data Crude oil'!S867</f>
        <v>31.27</v>
      </c>
      <c r="T866">
        <f>'raw data Crude oil'!T867</f>
        <v>31.94</v>
      </c>
      <c r="U866">
        <f>'raw data Crude oil'!U867</f>
        <v>32.5</v>
      </c>
      <c r="V866">
        <f>'raw data Crude oil'!V867</f>
        <v>32.979999999999997</v>
      </c>
      <c r="W866">
        <f>'raw data Crude oil'!W867</f>
        <v>33.39</v>
      </c>
      <c r="X866">
        <f>'raw data Crude oil'!X867</f>
        <v>33.74</v>
      </c>
      <c r="Y866">
        <f>'raw data Crude oil'!Y867</f>
        <v>34.07</v>
      </c>
      <c r="Z866">
        <f>'raw data Crude oil'!Z867</f>
        <v>28.585000000000001</v>
      </c>
      <c r="AA866">
        <f>'raw data Crude oil'!AA867</f>
        <v>31.895</v>
      </c>
      <c r="AB866">
        <f>'raw data Crude oil'!AB867</f>
        <v>32.606000000000002</v>
      </c>
      <c r="AC866">
        <f>'raw data Crude oil'!AC867</f>
        <v>33.264000000000003</v>
      </c>
      <c r="AD866">
        <f>'raw data Crude oil'!AD867</f>
        <v>33.840000000000003</v>
      </c>
      <c r="AE866">
        <f>'raw data Crude oil'!AE867</f>
        <v>34.375</v>
      </c>
      <c r="AF866">
        <f>'raw data Crude oil'!AF867</f>
        <v>34.753</v>
      </c>
      <c r="AG866">
        <f>'raw data Crude oil'!AG867</f>
        <v>35.112000000000002</v>
      </c>
      <c r="AH866">
        <f>'raw data Crude oil'!AH867</f>
        <v>35.468000000000004</v>
      </c>
      <c r="AI866">
        <f>'raw data Crude oil'!AI867</f>
        <v>35.798999999999999</v>
      </c>
      <c r="AJ866">
        <f>'raw data Crude oil'!AJ867</f>
        <v>36.125999999999998</v>
      </c>
      <c r="AK866">
        <f>'raw data Crude oil'!AK867</f>
        <v>36.454000000000001</v>
      </c>
    </row>
    <row r="867" spans="1:37" x14ac:dyDescent="0.3">
      <c r="A867" s="18">
        <f>'raw data Crude oil'!A868</f>
        <v>43962</v>
      </c>
      <c r="B867">
        <f>'raw data Crude oil'!B868</f>
        <v>29.63</v>
      </c>
      <c r="C867">
        <f>'raw data Crude oil'!C868</f>
        <v>30.65</v>
      </c>
      <c r="D867">
        <f>'raw data Crude oil'!D868</f>
        <v>31.57</v>
      </c>
      <c r="E867">
        <f>'raw data Crude oil'!E868</f>
        <v>32.4</v>
      </c>
      <c r="F867">
        <f>'raw data Crude oil'!F868</f>
        <v>33.21</v>
      </c>
      <c r="G867">
        <f>'raw data Crude oil'!G868</f>
        <v>33.93</v>
      </c>
      <c r="H867">
        <f>'raw data Crude oil'!H868</f>
        <v>34.51</v>
      </c>
      <c r="I867">
        <f>'raw data Crude oil'!I868</f>
        <v>35.01</v>
      </c>
      <c r="J867">
        <f>'raw data Crude oil'!J868</f>
        <v>35.51</v>
      </c>
      <c r="K867">
        <f>'raw data Crude oil'!K868</f>
        <v>35.880000000000003</v>
      </c>
      <c r="L867">
        <f>'raw data Crude oil'!L868</f>
        <v>36.28</v>
      </c>
      <c r="M867">
        <f>'raw data Crude oil'!M868</f>
        <v>36.65</v>
      </c>
      <c r="N867">
        <f>'raw data Crude oil'!N868</f>
        <v>24.14</v>
      </c>
      <c r="O867">
        <f>'raw data Crude oil'!O868</f>
        <v>25.08</v>
      </c>
      <c r="P867">
        <f>'raw data Crude oil'!P868</f>
        <v>26.76</v>
      </c>
      <c r="Q867">
        <f>'raw data Crude oil'!Q868</f>
        <v>28.1</v>
      </c>
      <c r="R867">
        <f>'raw data Crude oil'!R868</f>
        <v>29.05</v>
      </c>
      <c r="S867">
        <f>'raw data Crude oil'!S868</f>
        <v>29.87</v>
      </c>
      <c r="T867">
        <f>'raw data Crude oil'!T868</f>
        <v>30.57</v>
      </c>
      <c r="U867">
        <f>'raw data Crude oil'!U868</f>
        <v>31.15</v>
      </c>
      <c r="V867">
        <f>'raw data Crude oil'!V868</f>
        <v>31.64</v>
      </c>
      <c r="W867">
        <f>'raw data Crude oil'!W868</f>
        <v>32.06</v>
      </c>
      <c r="X867">
        <f>'raw data Crude oil'!X868</f>
        <v>32.42</v>
      </c>
      <c r="Y867">
        <f>'raw data Crude oil'!Y868</f>
        <v>32.75</v>
      </c>
      <c r="Z867">
        <f>'raw data Crude oil'!Z868</f>
        <v>26.652000000000001</v>
      </c>
      <c r="AA867">
        <f>'raw data Crude oil'!AA868</f>
        <v>30.321999999999999</v>
      </c>
      <c r="AB867">
        <f>'raw data Crude oil'!AB868</f>
        <v>31.015999999999998</v>
      </c>
      <c r="AC867">
        <f>'raw data Crude oil'!AC868</f>
        <v>31.696999999999999</v>
      </c>
      <c r="AD867">
        <f>'raw data Crude oil'!AD868</f>
        <v>32.343000000000004</v>
      </c>
      <c r="AE867">
        <f>'raw data Crude oil'!AE868</f>
        <v>32.915999999999997</v>
      </c>
      <c r="AF867">
        <f>'raw data Crude oil'!AF868</f>
        <v>33.323999999999998</v>
      </c>
      <c r="AG867">
        <f>'raw data Crude oil'!AG868</f>
        <v>33.704999999999998</v>
      </c>
      <c r="AH867">
        <f>'raw data Crude oil'!AH868</f>
        <v>34.098999999999997</v>
      </c>
      <c r="AI867">
        <f>'raw data Crude oil'!AI868</f>
        <v>34.479999999999997</v>
      </c>
      <c r="AJ867">
        <f>'raw data Crude oil'!AJ868</f>
        <v>34.856000000000002</v>
      </c>
      <c r="AK867">
        <f>'raw data Crude oil'!AK868</f>
        <v>35.204999999999998</v>
      </c>
    </row>
    <row r="868" spans="1:37" x14ac:dyDescent="0.3">
      <c r="A868" s="18">
        <f>'raw data Crude oil'!A869</f>
        <v>43963</v>
      </c>
      <c r="B868">
        <f>'raw data Crude oil'!B869</f>
        <v>29.98</v>
      </c>
      <c r="C868">
        <f>'raw data Crude oil'!C869</f>
        <v>30.81</v>
      </c>
      <c r="D868">
        <f>'raw data Crude oil'!D869</f>
        <v>31.6</v>
      </c>
      <c r="E868">
        <f>'raw data Crude oil'!E869</f>
        <v>32.35</v>
      </c>
      <c r="F868">
        <f>'raw data Crude oil'!F869</f>
        <v>33.11</v>
      </c>
      <c r="G868">
        <f>'raw data Crude oil'!G869</f>
        <v>33.799999999999997</v>
      </c>
      <c r="H868">
        <f>'raw data Crude oil'!H869</f>
        <v>34.35</v>
      </c>
      <c r="I868">
        <f>'raw data Crude oil'!I869</f>
        <v>34.83</v>
      </c>
      <c r="J868">
        <f>'raw data Crude oil'!J869</f>
        <v>35.299999999999997</v>
      </c>
      <c r="K868">
        <f>'raw data Crude oil'!K869</f>
        <v>35.67</v>
      </c>
      <c r="L868">
        <f>'raw data Crude oil'!L869</f>
        <v>36.04</v>
      </c>
      <c r="M868">
        <f>'raw data Crude oil'!M869</f>
        <v>36.39</v>
      </c>
      <c r="N868">
        <f>'raw data Crude oil'!N869</f>
        <v>25.78</v>
      </c>
      <c r="O868">
        <f>'raw data Crude oil'!O869</f>
        <v>26.33</v>
      </c>
      <c r="P868">
        <f>'raw data Crude oil'!P869</f>
        <v>27.43</v>
      </c>
      <c r="Q868">
        <f>'raw data Crude oil'!Q869</f>
        <v>28.49</v>
      </c>
      <c r="R868">
        <f>'raw data Crude oil'!R869</f>
        <v>29.26</v>
      </c>
      <c r="S868">
        <f>'raw data Crude oil'!S869</f>
        <v>29.97</v>
      </c>
      <c r="T868">
        <f>'raw data Crude oil'!T869</f>
        <v>30.6</v>
      </c>
      <c r="U868">
        <f>'raw data Crude oil'!U869</f>
        <v>31.11</v>
      </c>
      <c r="V868">
        <f>'raw data Crude oil'!V869</f>
        <v>31.54</v>
      </c>
      <c r="W868">
        <f>'raw data Crude oil'!W869</f>
        <v>31.92</v>
      </c>
      <c r="X868">
        <f>'raw data Crude oil'!X869</f>
        <v>32.26</v>
      </c>
      <c r="Y868">
        <f>'raw data Crude oil'!Y869</f>
        <v>32.57</v>
      </c>
      <c r="Z868">
        <f>'raw data Crude oil'!Z869</f>
        <v>27.08</v>
      </c>
      <c r="AA868">
        <f>'raw data Crude oil'!AA869</f>
        <v>30.565999999999999</v>
      </c>
      <c r="AB868">
        <f>'raw data Crude oil'!AB869</f>
        <v>31.093</v>
      </c>
      <c r="AC868">
        <f>'raw data Crude oil'!AC869</f>
        <v>31.611999999999998</v>
      </c>
      <c r="AD868">
        <f>'raw data Crude oil'!AD869</f>
        <v>32.121000000000002</v>
      </c>
      <c r="AE868">
        <f>'raw data Crude oil'!AE869</f>
        <v>32.615000000000002</v>
      </c>
      <c r="AF868">
        <f>'raw data Crude oil'!AF869</f>
        <v>32.993000000000002</v>
      </c>
      <c r="AG868">
        <f>'raw data Crude oil'!AG869</f>
        <v>33.332999999999998</v>
      </c>
      <c r="AH868">
        <f>'raw data Crude oil'!AH869</f>
        <v>33.698999999999998</v>
      </c>
      <c r="AI868">
        <f>'raw data Crude oil'!AI869</f>
        <v>34.088999999999999</v>
      </c>
      <c r="AJ868">
        <f>'raw data Crude oil'!AJ869</f>
        <v>34.494999999999997</v>
      </c>
      <c r="AK868">
        <f>'raw data Crude oil'!AK869</f>
        <v>34.865000000000002</v>
      </c>
    </row>
    <row r="869" spans="1:37" x14ac:dyDescent="0.3">
      <c r="A869" s="18">
        <f>'raw data Crude oil'!A870</f>
        <v>43964</v>
      </c>
      <c r="B869">
        <f>'raw data Crude oil'!B870</f>
        <v>29.19</v>
      </c>
      <c r="C869">
        <f>'raw data Crude oil'!C870</f>
        <v>29.96</v>
      </c>
      <c r="D869">
        <f>'raw data Crude oil'!D870</f>
        <v>30.73</v>
      </c>
      <c r="E869">
        <f>'raw data Crude oil'!E870</f>
        <v>31.55</v>
      </c>
      <c r="F869">
        <f>'raw data Crude oil'!F870</f>
        <v>32.4</v>
      </c>
      <c r="G869">
        <f>'raw data Crude oil'!G870</f>
        <v>33.17</v>
      </c>
      <c r="H869">
        <f>'raw data Crude oil'!H870</f>
        <v>33.799999999999997</v>
      </c>
      <c r="I869">
        <f>'raw data Crude oil'!I870</f>
        <v>34.380000000000003</v>
      </c>
      <c r="J869">
        <f>'raw data Crude oil'!J870</f>
        <v>34.92</v>
      </c>
      <c r="K869">
        <f>'raw data Crude oil'!K870</f>
        <v>35.35</v>
      </c>
      <c r="L869">
        <f>'raw data Crude oil'!L870</f>
        <v>35.78</v>
      </c>
      <c r="M869">
        <f>'raw data Crude oil'!M870</f>
        <v>36.200000000000003</v>
      </c>
      <c r="N869">
        <f>'raw data Crude oil'!N870</f>
        <v>25.29</v>
      </c>
      <c r="O869">
        <f>'raw data Crude oil'!O870</f>
        <v>25.68</v>
      </c>
      <c r="P869">
        <f>'raw data Crude oil'!P870</f>
        <v>26.8</v>
      </c>
      <c r="Q869">
        <f>'raw data Crude oil'!Q870</f>
        <v>27.84</v>
      </c>
      <c r="R869">
        <f>'raw data Crude oil'!R870</f>
        <v>28.62</v>
      </c>
      <c r="S869">
        <f>'raw data Crude oil'!S870</f>
        <v>29.37</v>
      </c>
      <c r="T869">
        <f>'raw data Crude oil'!T870</f>
        <v>30.06</v>
      </c>
      <c r="U869">
        <f>'raw data Crude oil'!U870</f>
        <v>30.65</v>
      </c>
      <c r="V869">
        <f>'raw data Crude oil'!V870</f>
        <v>31.16</v>
      </c>
      <c r="W869">
        <f>'raw data Crude oil'!W870</f>
        <v>31.6</v>
      </c>
      <c r="X869">
        <f>'raw data Crude oil'!X870</f>
        <v>31.98</v>
      </c>
      <c r="Y869">
        <f>'raw data Crude oil'!Y870</f>
        <v>32.340000000000003</v>
      </c>
      <c r="Z869">
        <f>'raw data Crude oil'!Z870</f>
        <v>27.027999999999999</v>
      </c>
      <c r="AA869">
        <f>'raw data Crude oil'!AA870</f>
        <v>30.295000000000002</v>
      </c>
      <c r="AB869">
        <f>'raw data Crude oil'!AB870</f>
        <v>30.635999999999999</v>
      </c>
      <c r="AC869">
        <f>'raw data Crude oil'!AC870</f>
        <v>31.111000000000001</v>
      </c>
      <c r="AD869">
        <f>'raw data Crude oil'!AD870</f>
        <v>31.684999999999999</v>
      </c>
      <c r="AE869">
        <f>'raw data Crude oil'!AE870</f>
        <v>32.198999999999998</v>
      </c>
      <c r="AF869">
        <f>'raw data Crude oil'!AF870</f>
        <v>32.588000000000001</v>
      </c>
      <c r="AG869">
        <f>'raw data Crude oil'!AG870</f>
        <v>32.929000000000002</v>
      </c>
      <c r="AH869">
        <f>'raw data Crude oil'!AH870</f>
        <v>33.351999999999997</v>
      </c>
      <c r="AI869">
        <f>'raw data Crude oil'!AI870</f>
        <v>33.781999999999996</v>
      </c>
      <c r="AJ869">
        <f>'raw data Crude oil'!AJ870</f>
        <v>34.218000000000004</v>
      </c>
      <c r="AK869">
        <f>'raw data Crude oil'!AK870</f>
        <v>34.646999999999998</v>
      </c>
    </row>
    <row r="870" spans="1:37" x14ac:dyDescent="0.3">
      <c r="A870" s="18">
        <f>'raw data Crude oil'!A871</f>
        <v>43965</v>
      </c>
      <c r="B870">
        <f>'raw data Crude oil'!B871</f>
        <v>31.13</v>
      </c>
      <c r="C870">
        <f>'raw data Crude oil'!C871</f>
        <v>31.64</v>
      </c>
      <c r="D870">
        <f>'raw data Crude oil'!D871</f>
        <v>32.22</v>
      </c>
      <c r="E870">
        <f>'raw data Crude oil'!E871</f>
        <v>32.869999999999997</v>
      </c>
      <c r="F870">
        <f>'raw data Crude oil'!F871</f>
        <v>33.590000000000003</v>
      </c>
      <c r="G870">
        <f>'raw data Crude oil'!G871</f>
        <v>34.26</v>
      </c>
      <c r="H870">
        <f>'raw data Crude oil'!H871</f>
        <v>34.81</v>
      </c>
      <c r="I870">
        <f>'raw data Crude oil'!I871</f>
        <v>35.299999999999997</v>
      </c>
      <c r="J870">
        <f>'raw data Crude oil'!J871</f>
        <v>35.78</v>
      </c>
      <c r="K870">
        <f>'raw data Crude oil'!K871</f>
        <v>36.18</v>
      </c>
      <c r="L870">
        <f>'raw data Crude oil'!L871</f>
        <v>36.590000000000003</v>
      </c>
      <c r="M870">
        <f>'raw data Crude oil'!M871</f>
        <v>36.979999999999997</v>
      </c>
      <c r="N870">
        <f>'raw data Crude oil'!N871</f>
        <v>27.56</v>
      </c>
      <c r="O870">
        <f>'raw data Crude oil'!O871</f>
        <v>27.88</v>
      </c>
      <c r="P870">
        <f>'raw data Crude oil'!P871</f>
        <v>28.66</v>
      </c>
      <c r="Q870">
        <f>'raw data Crude oil'!Q871</f>
        <v>29.42</v>
      </c>
      <c r="R870">
        <f>'raw data Crude oil'!R871</f>
        <v>30</v>
      </c>
      <c r="S870">
        <f>'raw data Crude oil'!S871</f>
        <v>30.57</v>
      </c>
      <c r="T870">
        <f>'raw data Crude oil'!T871</f>
        <v>31.11</v>
      </c>
      <c r="U870">
        <f>'raw data Crude oil'!U871</f>
        <v>31.58</v>
      </c>
      <c r="V870">
        <f>'raw data Crude oil'!V871</f>
        <v>32.01</v>
      </c>
      <c r="W870">
        <f>'raw data Crude oil'!W871</f>
        <v>32.409999999999997</v>
      </c>
      <c r="X870">
        <f>'raw data Crude oil'!X871</f>
        <v>32.770000000000003</v>
      </c>
      <c r="Y870">
        <f>'raw data Crude oil'!Y871</f>
        <v>33.1</v>
      </c>
      <c r="Z870">
        <f>'raw data Crude oil'!Z871</f>
        <v>29.13</v>
      </c>
      <c r="AA870">
        <f>'raw data Crude oil'!AA871</f>
        <v>32.496000000000002</v>
      </c>
      <c r="AB870">
        <f>'raw data Crude oil'!AB871</f>
        <v>32.438000000000002</v>
      </c>
      <c r="AC870">
        <f>'raw data Crude oil'!AC871</f>
        <v>32.609000000000002</v>
      </c>
      <c r="AD870">
        <f>'raw data Crude oil'!AD871</f>
        <v>32.81</v>
      </c>
      <c r="AE870">
        <f>'raw data Crude oil'!AE871</f>
        <v>33.145000000000003</v>
      </c>
      <c r="AF870">
        <f>'raw data Crude oil'!AF871</f>
        <v>33.463000000000001</v>
      </c>
      <c r="AG870">
        <f>'raw data Crude oil'!AG871</f>
        <v>33.764000000000003</v>
      </c>
      <c r="AH870">
        <f>'raw data Crude oil'!AH871</f>
        <v>34.119999999999997</v>
      </c>
      <c r="AI870">
        <f>'raw data Crude oil'!AI871</f>
        <v>34.521000000000001</v>
      </c>
      <c r="AJ870">
        <f>'raw data Crude oil'!AJ871</f>
        <v>34.927</v>
      </c>
      <c r="AK870">
        <f>'raw data Crude oil'!AK871</f>
        <v>35.286000000000001</v>
      </c>
    </row>
    <row r="871" spans="1:37" x14ac:dyDescent="0.3">
      <c r="A871" s="18">
        <f>'raw data Crude oil'!A872</f>
        <v>43966</v>
      </c>
      <c r="B871">
        <f>'raw data Crude oil'!B872</f>
        <v>32.5</v>
      </c>
      <c r="C871">
        <f>'raw data Crude oil'!C872</f>
        <v>32.799999999999997</v>
      </c>
      <c r="D871">
        <f>'raw data Crude oil'!D872</f>
        <v>33.28</v>
      </c>
      <c r="E871">
        <f>'raw data Crude oil'!E872</f>
        <v>33.840000000000003</v>
      </c>
      <c r="F871">
        <f>'raw data Crude oil'!F872</f>
        <v>34.49</v>
      </c>
      <c r="G871">
        <f>'raw data Crude oil'!G872</f>
        <v>35.11</v>
      </c>
      <c r="H871">
        <f>'raw data Crude oil'!H872</f>
        <v>35.61</v>
      </c>
      <c r="I871">
        <f>'raw data Crude oil'!I872</f>
        <v>36.049999999999997</v>
      </c>
      <c r="J871">
        <f>'raw data Crude oil'!J872</f>
        <v>36.47</v>
      </c>
      <c r="K871">
        <f>'raw data Crude oil'!K872</f>
        <v>36.83</v>
      </c>
      <c r="L871">
        <f>'raw data Crude oil'!L872</f>
        <v>37.19</v>
      </c>
      <c r="M871">
        <f>'raw data Crude oil'!M872</f>
        <v>37.549999999999997</v>
      </c>
      <c r="N871">
        <f>'raw data Crude oil'!N872</f>
        <v>29.43</v>
      </c>
      <c r="O871">
        <f>'raw data Crude oil'!O872</f>
        <v>29.52</v>
      </c>
      <c r="P871">
        <f>'raw data Crude oil'!P872</f>
        <v>30.12</v>
      </c>
      <c r="Q871">
        <f>'raw data Crude oil'!Q872</f>
        <v>30.69</v>
      </c>
      <c r="R871">
        <f>'raw data Crude oil'!R872</f>
        <v>31.11</v>
      </c>
      <c r="S871">
        <f>'raw data Crude oil'!S872</f>
        <v>31.56</v>
      </c>
      <c r="T871">
        <f>'raw data Crude oil'!T872</f>
        <v>32.01</v>
      </c>
      <c r="U871">
        <f>'raw data Crude oil'!U872</f>
        <v>32.4</v>
      </c>
      <c r="V871">
        <f>'raw data Crude oil'!V872</f>
        <v>32.76</v>
      </c>
      <c r="W871">
        <f>'raw data Crude oil'!W872</f>
        <v>33.1</v>
      </c>
      <c r="X871">
        <f>'raw data Crude oil'!X872</f>
        <v>33.42</v>
      </c>
      <c r="Y871">
        <f>'raw data Crude oil'!Y872</f>
        <v>33.72</v>
      </c>
      <c r="Z871">
        <f>'raw data Crude oil'!Z872</f>
        <v>29.675999999999998</v>
      </c>
      <c r="AA871">
        <f>'raw data Crude oil'!AA872</f>
        <v>32.981999999999999</v>
      </c>
      <c r="AB871">
        <f>'raw data Crude oil'!AB872</f>
        <v>33.103999999999999</v>
      </c>
      <c r="AC871">
        <f>'raw data Crude oil'!AC872</f>
        <v>33.341999999999999</v>
      </c>
      <c r="AD871">
        <f>'raw data Crude oil'!AD872</f>
        <v>33.637999999999998</v>
      </c>
      <c r="AE871">
        <f>'raw data Crude oil'!AE872</f>
        <v>34.012999999999998</v>
      </c>
      <c r="AF871">
        <f>'raw data Crude oil'!AF872</f>
        <v>34.331000000000003</v>
      </c>
      <c r="AG871">
        <f>'raw data Crude oil'!AG872</f>
        <v>34.658000000000001</v>
      </c>
      <c r="AH871">
        <f>'raw data Crude oil'!AH872</f>
        <v>34.978000000000002</v>
      </c>
      <c r="AI871">
        <f>'raw data Crude oil'!AI872</f>
        <v>35.308</v>
      </c>
      <c r="AJ871">
        <f>'raw data Crude oil'!AJ872</f>
        <v>35.646000000000001</v>
      </c>
      <c r="AK871">
        <f>'raw data Crude oil'!AK872</f>
        <v>36.003999999999998</v>
      </c>
    </row>
    <row r="872" spans="1:37" x14ac:dyDescent="0.3">
      <c r="A872" s="18">
        <f>'raw data Crude oil'!A873</f>
        <v>43969</v>
      </c>
      <c r="B872">
        <f>'raw data Crude oil'!B873</f>
        <v>34.81</v>
      </c>
      <c r="C872">
        <f>'raw data Crude oil'!C873</f>
        <v>35.049999999999997</v>
      </c>
      <c r="D872">
        <f>'raw data Crude oil'!D873</f>
        <v>35.49</v>
      </c>
      <c r="E872">
        <f>'raw data Crude oil'!E873</f>
        <v>36</v>
      </c>
      <c r="F872">
        <f>'raw data Crude oil'!F873</f>
        <v>36.56</v>
      </c>
      <c r="G872">
        <f>'raw data Crude oil'!G873</f>
        <v>37.11</v>
      </c>
      <c r="H872">
        <f>'raw data Crude oil'!H873</f>
        <v>37.57</v>
      </c>
      <c r="I872">
        <f>'raw data Crude oil'!I873</f>
        <v>37.99</v>
      </c>
      <c r="J872">
        <f>'raw data Crude oil'!J873</f>
        <v>38.39</v>
      </c>
      <c r="K872">
        <f>'raw data Crude oil'!K873</f>
        <v>38.74</v>
      </c>
      <c r="L872">
        <f>'raw data Crude oil'!L873</f>
        <v>39.090000000000003</v>
      </c>
      <c r="M872">
        <f>'raw data Crude oil'!M873</f>
        <v>39.43</v>
      </c>
      <c r="N872">
        <f>'raw data Crude oil'!N873</f>
        <v>31.82</v>
      </c>
      <c r="O872">
        <f>'raw data Crude oil'!O873</f>
        <v>31.65</v>
      </c>
      <c r="P872">
        <f>'raw data Crude oil'!P873</f>
        <v>32.270000000000003</v>
      </c>
      <c r="Q872">
        <f>'raw data Crude oil'!Q873</f>
        <v>32.869999999999997</v>
      </c>
      <c r="R872">
        <f>'raw data Crude oil'!R873</f>
        <v>33.25</v>
      </c>
      <c r="S872">
        <f>'raw data Crude oil'!S873</f>
        <v>33.659999999999997</v>
      </c>
      <c r="T872">
        <f>'raw data Crude oil'!T873</f>
        <v>34.07</v>
      </c>
      <c r="U872">
        <f>'raw data Crude oil'!U873</f>
        <v>34.43</v>
      </c>
      <c r="V872">
        <f>'raw data Crude oil'!V873</f>
        <v>34.770000000000003</v>
      </c>
      <c r="W872">
        <f>'raw data Crude oil'!W873</f>
        <v>35.08</v>
      </c>
      <c r="X872">
        <f>'raw data Crude oil'!X873</f>
        <v>35.39</v>
      </c>
      <c r="Y872">
        <f>'raw data Crude oil'!Y873</f>
        <v>35.67</v>
      </c>
      <c r="Z872">
        <f>'raw data Crude oil'!Z873</f>
        <v>30.581</v>
      </c>
      <c r="AA872">
        <f>'raw data Crude oil'!AA873</f>
        <v>34.869999999999997</v>
      </c>
      <c r="AB872">
        <f>'raw data Crude oil'!AB873</f>
        <v>35.072000000000003</v>
      </c>
      <c r="AC872">
        <f>'raw data Crude oil'!AC873</f>
        <v>35.393000000000001</v>
      </c>
      <c r="AD872">
        <f>'raw data Crude oil'!AD873</f>
        <v>35.674999999999997</v>
      </c>
      <c r="AE872">
        <f>'raw data Crude oil'!AE873</f>
        <v>35.970999999999997</v>
      </c>
      <c r="AF872">
        <f>'raw data Crude oil'!AF873</f>
        <v>36.26</v>
      </c>
      <c r="AG872">
        <f>'raw data Crude oil'!AG873</f>
        <v>36.545999999999999</v>
      </c>
      <c r="AH872">
        <f>'raw data Crude oil'!AH873</f>
        <v>36.857999999999997</v>
      </c>
      <c r="AI872">
        <f>'raw data Crude oil'!AI873</f>
        <v>37.167999999999999</v>
      </c>
      <c r="AJ872">
        <f>'raw data Crude oil'!AJ873</f>
        <v>37.484999999999999</v>
      </c>
      <c r="AK872">
        <f>'raw data Crude oil'!AK873</f>
        <v>37.844000000000001</v>
      </c>
    </row>
    <row r="873" spans="1:37" x14ac:dyDescent="0.3">
      <c r="A873" s="18">
        <f>'raw data Crude oil'!A874</f>
        <v>43970</v>
      </c>
      <c r="B873">
        <f>'raw data Crude oil'!B874</f>
        <v>34.65</v>
      </c>
      <c r="C873">
        <f>'raw data Crude oil'!C874</f>
        <v>34.94</v>
      </c>
      <c r="D873">
        <f>'raw data Crude oil'!D874</f>
        <v>35.42</v>
      </c>
      <c r="E873">
        <f>'raw data Crude oil'!E874</f>
        <v>35.92</v>
      </c>
      <c r="F873">
        <f>'raw data Crude oil'!F874</f>
        <v>36.47</v>
      </c>
      <c r="G873">
        <f>'raw data Crude oil'!G874</f>
        <v>37.01</v>
      </c>
      <c r="H873">
        <f>'raw data Crude oil'!H874</f>
        <v>37.46</v>
      </c>
      <c r="I873">
        <f>'raw data Crude oil'!I874</f>
        <v>37.869999999999997</v>
      </c>
      <c r="J873">
        <f>'raw data Crude oil'!J874</f>
        <v>38.28</v>
      </c>
      <c r="K873">
        <f>'raw data Crude oil'!K874</f>
        <v>38.619999999999997</v>
      </c>
      <c r="L873">
        <f>'raw data Crude oil'!L874</f>
        <v>38.979999999999997</v>
      </c>
      <c r="M873">
        <f>'raw data Crude oil'!M874</f>
        <v>39.32</v>
      </c>
      <c r="N873">
        <f>'raw data Crude oil'!N874</f>
        <v>32.5</v>
      </c>
      <c r="O873">
        <f>'raw data Crude oil'!O874</f>
        <v>31.96</v>
      </c>
      <c r="P873">
        <f>'raw data Crude oil'!P874</f>
        <v>32.47</v>
      </c>
      <c r="Q873">
        <f>'raw data Crude oil'!Q874</f>
        <v>33.01</v>
      </c>
      <c r="R873">
        <f>'raw data Crude oil'!R874</f>
        <v>33.380000000000003</v>
      </c>
      <c r="S873">
        <f>'raw data Crude oil'!S874</f>
        <v>33.770000000000003</v>
      </c>
      <c r="T873">
        <f>'raw data Crude oil'!T874</f>
        <v>34.17</v>
      </c>
      <c r="U873">
        <f>'raw data Crude oil'!U874</f>
        <v>34.51</v>
      </c>
      <c r="V873">
        <f>'raw data Crude oil'!V874</f>
        <v>34.83</v>
      </c>
      <c r="W873">
        <f>'raw data Crude oil'!W874</f>
        <v>35.130000000000003</v>
      </c>
      <c r="X873">
        <f>'raw data Crude oil'!X874</f>
        <v>35.409999999999997</v>
      </c>
      <c r="Y873">
        <f>'raw data Crude oil'!Y874</f>
        <v>35.68</v>
      </c>
      <c r="Z873">
        <f>'raw data Crude oil'!Z874</f>
        <v>30.265000000000001</v>
      </c>
      <c r="AA873">
        <f>'raw data Crude oil'!AA874</f>
        <v>34.582000000000001</v>
      </c>
      <c r="AB873">
        <f>'raw data Crude oil'!AB874</f>
        <v>34.902000000000001</v>
      </c>
      <c r="AC873">
        <f>'raw data Crude oil'!AC874</f>
        <v>35.271999999999998</v>
      </c>
      <c r="AD873">
        <f>'raw data Crude oil'!AD874</f>
        <v>35.664999999999999</v>
      </c>
      <c r="AE873">
        <f>'raw data Crude oil'!AE874</f>
        <v>36</v>
      </c>
      <c r="AF873">
        <f>'raw data Crude oil'!AF874</f>
        <v>36.270000000000003</v>
      </c>
      <c r="AG873">
        <f>'raw data Crude oil'!AG874</f>
        <v>36.517000000000003</v>
      </c>
      <c r="AH873">
        <f>'raw data Crude oil'!AH874</f>
        <v>36.807000000000002</v>
      </c>
      <c r="AI873">
        <f>'raw data Crude oil'!AI874</f>
        <v>37.118000000000002</v>
      </c>
      <c r="AJ873">
        <f>'raw data Crude oil'!AJ874</f>
        <v>37.454999999999998</v>
      </c>
      <c r="AK873">
        <f>'raw data Crude oil'!AK874</f>
        <v>37.813000000000002</v>
      </c>
    </row>
    <row r="874" spans="1:37" x14ac:dyDescent="0.3">
      <c r="A874" s="18">
        <f>'raw data Crude oil'!A875</f>
        <v>43971</v>
      </c>
      <c r="B874">
        <f>'raw data Crude oil'!B875</f>
        <v>35.75</v>
      </c>
      <c r="C874">
        <f>'raw data Crude oil'!C875</f>
        <v>36.020000000000003</v>
      </c>
      <c r="D874">
        <f>'raw data Crude oil'!D875</f>
        <v>36.47</v>
      </c>
      <c r="E874">
        <f>'raw data Crude oil'!E875</f>
        <v>36.909999999999997</v>
      </c>
      <c r="F874">
        <f>'raw data Crude oil'!F875</f>
        <v>37.4</v>
      </c>
      <c r="G874">
        <f>'raw data Crude oil'!G875</f>
        <v>37.880000000000003</v>
      </c>
      <c r="H874">
        <f>'raw data Crude oil'!H875</f>
        <v>38.270000000000003</v>
      </c>
      <c r="I874">
        <f>'raw data Crude oil'!I875</f>
        <v>38.630000000000003</v>
      </c>
      <c r="J874">
        <f>'raw data Crude oil'!J875</f>
        <v>39</v>
      </c>
      <c r="K874">
        <f>'raw data Crude oil'!K875</f>
        <v>39.31</v>
      </c>
      <c r="L874">
        <f>'raw data Crude oil'!L875</f>
        <v>39.64</v>
      </c>
      <c r="M874">
        <f>'raw data Crude oil'!M875</f>
        <v>39.950000000000003</v>
      </c>
      <c r="N874">
        <f>'raw data Crude oil'!N875</f>
        <v>33.49</v>
      </c>
      <c r="O874">
        <f>'raw data Crude oil'!O875</f>
        <v>33.94</v>
      </c>
      <c r="P874">
        <f>'raw data Crude oil'!P875</f>
        <v>34.380000000000003</v>
      </c>
      <c r="Q874">
        <f>'raw data Crude oil'!Q875</f>
        <v>34.65</v>
      </c>
      <c r="R874">
        <f>'raw data Crude oil'!R875</f>
        <v>34.94</v>
      </c>
      <c r="S874">
        <f>'raw data Crude oil'!S875</f>
        <v>35.229999999999997</v>
      </c>
      <c r="T874">
        <f>'raw data Crude oil'!T875</f>
        <v>35.479999999999997</v>
      </c>
      <c r="U874">
        <f>'raw data Crude oil'!U875</f>
        <v>35.72</v>
      </c>
      <c r="V874">
        <f>'raw data Crude oil'!V875</f>
        <v>35.96</v>
      </c>
      <c r="W874">
        <f>'raw data Crude oil'!W875</f>
        <v>36.19</v>
      </c>
      <c r="X874">
        <f>'raw data Crude oil'!X875</f>
        <v>36.42</v>
      </c>
      <c r="Y874">
        <f>'raw data Crude oil'!Y875</f>
        <v>36.65</v>
      </c>
      <c r="Z874">
        <f>'raw data Crude oil'!Z875</f>
        <v>30.529</v>
      </c>
      <c r="AA874">
        <f>'raw data Crude oil'!AA875</f>
        <v>35.64</v>
      </c>
      <c r="AB874">
        <f>'raw data Crude oil'!AB875</f>
        <v>35.908999999999999</v>
      </c>
      <c r="AC874">
        <f>'raw data Crude oil'!AC875</f>
        <v>36.277000000000001</v>
      </c>
      <c r="AD874">
        <f>'raw data Crude oil'!AD875</f>
        <v>36.642000000000003</v>
      </c>
      <c r="AE874">
        <f>'raw data Crude oil'!AE875</f>
        <v>36.957999999999998</v>
      </c>
      <c r="AF874">
        <f>'raw data Crude oil'!AF875</f>
        <v>37.186999999999998</v>
      </c>
      <c r="AG874">
        <f>'raw data Crude oil'!AG875</f>
        <v>37.384</v>
      </c>
      <c r="AH874">
        <f>'raw data Crude oil'!AH875</f>
        <v>37.616</v>
      </c>
      <c r="AI874">
        <f>'raw data Crude oil'!AI875</f>
        <v>37.866999999999997</v>
      </c>
      <c r="AJ874">
        <f>'raw data Crude oil'!AJ875</f>
        <v>38.143000000000001</v>
      </c>
      <c r="AK874">
        <f>'raw data Crude oil'!AK875</f>
        <v>38.463000000000001</v>
      </c>
    </row>
    <row r="875" spans="1:37" x14ac:dyDescent="0.3">
      <c r="A875" s="18">
        <f>'raw data Crude oil'!A876</f>
        <v>43972</v>
      </c>
      <c r="B875">
        <f>'raw data Crude oil'!B876</f>
        <v>36.06</v>
      </c>
      <c r="C875">
        <f>'raw data Crude oil'!C876</f>
        <v>36.409999999999997</v>
      </c>
      <c r="D875">
        <f>'raw data Crude oil'!D876</f>
        <v>36.83</v>
      </c>
      <c r="E875">
        <f>'raw data Crude oil'!E876</f>
        <v>37.25</v>
      </c>
      <c r="F875">
        <f>'raw data Crude oil'!F876</f>
        <v>37.72</v>
      </c>
      <c r="G875">
        <f>'raw data Crude oil'!G876</f>
        <v>38.18</v>
      </c>
      <c r="H875">
        <f>'raw data Crude oil'!H876</f>
        <v>38.54</v>
      </c>
      <c r="I875">
        <f>'raw data Crude oil'!I876</f>
        <v>38.869999999999997</v>
      </c>
      <c r="J875">
        <f>'raw data Crude oil'!J876</f>
        <v>39.22</v>
      </c>
      <c r="K875">
        <f>'raw data Crude oil'!K876</f>
        <v>39.5</v>
      </c>
      <c r="L875">
        <f>'raw data Crude oil'!L876</f>
        <v>39.81</v>
      </c>
      <c r="M875">
        <f>'raw data Crude oil'!M876</f>
        <v>40.1</v>
      </c>
      <c r="N875">
        <f>'raw data Crude oil'!N876</f>
        <v>33.92</v>
      </c>
      <c r="O875">
        <f>'raw data Crude oil'!O876</f>
        <v>34.340000000000003</v>
      </c>
      <c r="P875">
        <f>'raw data Crude oil'!P876</f>
        <v>34.81</v>
      </c>
      <c r="Q875">
        <f>'raw data Crude oil'!Q876</f>
        <v>35.119999999999997</v>
      </c>
      <c r="R875">
        <f>'raw data Crude oil'!R876</f>
        <v>35.42</v>
      </c>
      <c r="S875">
        <f>'raw data Crude oil'!S876</f>
        <v>35.700000000000003</v>
      </c>
      <c r="T875">
        <f>'raw data Crude oil'!T876</f>
        <v>35.94</v>
      </c>
      <c r="U875">
        <f>'raw data Crude oil'!U876</f>
        <v>36.159999999999997</v>
      </c>
      <c r="V875">
        <f>'raw data Crude oil'!V876</f>
        <v>36.369999999999997</v>
      </c>
      <c r="W875">
        <f>'raw data Crude oil'!W876</f>
        <v>36.57</v>
      </c>
      <c r="X875">
        <f>'raw data Crude oil'!X876</f>
        <v>36.770000000000003</v>
      </c>
      <c r="Y875">
        <f>'raw data Crude oil'!Y876</f>
        <v>36.979999999999997</v>
      </c>
      <c r="Z875">
        <f>'raw data Crude oil'!Z876</f>
        <v>30.548999999999999</v>
      </c>
      <c r="AA875">
        <f>'raw data Crude oil'!AA876</f>
        <v>36.209000000000003</v>
      </c>
      <c r="AB875">
        <f>'raw data Crude oil'!AB876</f>
        <v>36.417999999999999</v>
      </c>
      <c r="AC875">
        <f>'raw data Crude oil'!AC876</f>
        <v>36.725000000000001</v>
      </c>
      <c r="AD875">
        <f>'raw data Crude oil'!AD876</f>
        <v>37.030999999999999</v>
      </c>
      <c r="AE875">
        <f>'raw data Crude oil'!AE876</f>
        <v>37.286000000000001</v>
      </c>
      <c r="AF875">
        <f>'raw data Crude oil'!AF876</f>
        <v>37.466000000000001</v>
      </c>
      <c r="AG875">
        <f>'raw data Crude oil'!AG876</f>
        <v>37.631999999999998</v>
      </c>
      <c r="AH875">
        <f>'raw data Crude oil'!AH876</f>
        <v>37.834000000000003</v>
      </c>
      <c r="AI875">
        <f>'raw data Crude oil'!AI876</f>
        <v>38.055999999999997</v>
      </c>
      <c r="AJ875">
        <f>'raw data Crude oil'!AJ876</f>
        <v>38.332999999999998</v>
      </c>
      <c r="AK875">
        <f>'raw data Crude oil'!AK876</f>
        <v>38.642000000000003</v>
      </c>
    </row>
    <row r="876" spans="1:37" x14ac:dyDescent="0.3">
      <c r="A876" s="18">
        <f>'raw data Crude oil'!A877</f>
        <v>43973</v>
      </c>
      <c r="B876">
        <f>'raw data Crude oil'!B877</f>
        <v>35.130000000000003</v>
      </c>
      <c r="C876">
        <f>'raw data Crude oil'!C877</f>
        <v>35.659999999999997</v>
      </c>
      <c r="D876">
        <f>'raw data Crude oil'!D877</f>
        <v>36.14</v>
      </c>
      <c r="E876">
        <f>'raw data Crude oil'!E877</f>
        <v>36.64</v>
      </c>
      <c r="F876">
        <f>'raw data Crude oil'!F877</f>
        <v>37.159999999999997</v>
      </c>
      <c r="G876">
        <f>'raw data Crude oil'!G877</f>
        <v>37.659999999999997</v>
      </c>
      <c r="H876">
        <f>'raw data Crude oil'!H877</f>
        <v>38.04</v>
      </c>
      <c r="I876">
        <f>'raw data Crude oil'!I877</f>
        <v>38.39</v>
      </c>
      <c r="J876">
        <f>'raw data Crude oil'!J877</f>
        <v>38.76</v>
      </c>
      <c r="K876">
        <f>'raw data Crude oil'!K877</f>
        <v>39.07</v>
      </c>
      <c r="L876">
        <f>'raw data Crude oil'!L877</f>
        <v>39.39</v>
      </c>
      <c r="M876">
        <f>'raw data Crude oil'!M877</f>
        <v>39.700000000000003</v>
      </c>
      <c r="N876">
        <f>'raw data Crude oil'!N877</f>
        <v>33.25</v>
      </c>
      <c r="O876">
        <f>'raw data Crude oil'!O877</f>
        <v>33.65</v>
      </c>
      <c r="P876">
        <f>'raw data Crude oil'!P877</f>
        <v>34.14</v>
      </c>
      <c r="Q876">
        <f>'raw data Crude oil'!Q877</f>
        <v>34.49</v>
      </c>
      <c r="R876">
        <f>'raw data Crude oil'!R877</f>
        <v>34.840000000000003</v>
      </c>
      <c r="S876">
        <f>'raw data Crude oil'!S877</f>
        <v>35.18</v>
      </c>
      <c r="T876">
        <f>'raw data Crude oil'!T877</f>
        <v>35.479999999999997</v>
      </c>
      <c r="U876">
        <f>'raw data Crude oil'!U877</f>
        <v>35.75</v>
      </c>
      <c r="V876">
        <f>'raw data Crude oil'!V877</f>
        <v>35.99</v>
      </c>
      <c r="W876">
        <f>'raw data Crude oil'!W877</f>
        <v>36.22</v>
      </c>
      <c r="X876">
        <f>'raw data Crude oil'!X877</f>
        <v>36.44</v>
      </c>
      <c r="Y876">
        <f>'raw data Crude oil'!Y877</f>
        <v>36.65</v>
      </c>
      <c r="Z876">
        <f>'raw data Crude oil'!Z877</f>
        <v>30.350999999999999</v>
      </c>
      <c r="AA876">
        <f>'raw data Crude oil'!AA877</f>
        <v>35.692</v>
      </c>
      <c r="AB876">
        <f>'raw data Crude oil'!AB877</f>
        <v>35.781999999999996</v>
      </c>
      <c r="AC876">
        <f>'raw data Crude oil'!AC877</f>
        <v>36.11</v>
      </c>
      <c r="AD876">
        <f>'raw data Crude oil'!AD877</f>
        <v>36.442999999999998</v>
      </c>
      <c r="AE876">
        <f>'raw data Crude oil'!AE877</f>
        <v>36.767000000000003</v>
      </c>
      <c r="AF876">
        <f>'raw data Crude oil'!AF877</f>
        <v>36.976999999999997</v>
      </c>
      <c r="AG876">
        <f>'raw data Crude oil'!AG877</f>
        <v>37.154000000000003</v>
      </c>
      <c r="AH876">
        <f>'raw data Crude oil'!AH877</f>
        <v>37.345999999999997</v>
      </c>
      <c r="AI876">
        <f>'raw data Crude oil'!AI877</f>
        <v>37.595999999999997</v>
      </c>
      <c r="AJ876">
        <f>'raw data Crude oil'!AJ877</f>
        <v>37.912999999999997</v>
      </c>
      <c r="AK876">
        <f>'raw data Crude oil'!AK877</f>
        <v>38.244</v>
      </c>
    </row>
    <row r="877" spans="1:37" x14ac:dyDescent="0.3">
      <c r="A877" s="18">
        <f>'raw data Crude oil'!A878</f>
        <v>43976</v>
      </c>
      <c r="B877">
        <f>'raw data Crude oil'!B878</f>
        <v>35.53</v>
      </c>
      <c r="C877">
        <f>'raw data Crude oil'!C878</f>
        <v>36.119999999999997</v>
      </c>
      <c r="D877">
        <f>'raw data Crude oil'!D878</f>
        <v>36.58</v>
      </c>
      <c r="E877">
        <f>'raw data Crude oil'!E878</f>
        <v>37.090000000000003</v>
      </c>
      <c r="F877">
        <f>'raw data Crude oil'!F878</f>
        <v>37.630000000000003</v>
      </c>
      <c r="G877">
        <f>'raw data Crude oil'!G878</f>
        <v>38.15</v>
      </c>
      <c r="H877">
        <f>'raw data Crude oil'!H878</f>
        <v>38.549999999999997</v>
      </c>
      <c r="I877">
        <f>'raw data Crude oil'!I878</f>
        <v>38.9</v>
      </c>
      <c r="J877">
        <f>'raw data Crude oil'!J878</f>
        <v>39.28</v>
      </c>
      <c r="K877">
        <f>'raw data Crude oil'!K878</f>
        <v>39.6</v>
      </c>
      <c r="L877">
        <f>'raw data Crude oil'!L878</f>
        <v>39.94</v>
      </c>
      <c r="M877">
        <f>'raw data Crude oil'!M878</f>
        <v>40.26</v>
      </c>
      <c r="N877">
        <f>'raw data Crude oil'!N878</f>
        <v>33.25</v>
      </c>
      <c r="O877">
        <f>'raw data Crude oil'!O878</f>
        <v>33.65</v>
      </c>
      <c r="P877">
        <f>'raw data Crude oil'!P878</f>
        <v>34.14</v>
      </c>
      <c r="Q877">
        <f>'raw data Crude oil'!Q878</f>
        <v>34.49</v>
      </c>
      <c r="R877">
        <f>'raw data Crude oil'!R878</f>
        <v>34.840000000000003</v>
      </c>
      <c r="S877">
        <f>'raw data Crude oil'!S878</f>
        <v>35.18</v>
      </c>
      <c r="T877">
        <f>'raw data Crude oil'!T878</f>
        <v>35.479999999999997</v>
      </c>
      <c r="U877">
        <f>'raw data Crude oil'!U878</f>
        <v>35.75</v>
      </c>
      <c r="V877">
        <f>'raw data Crude oil'!V878</f>
        <v>35.99</v>
      </c>
      <c r="W877">
        <f>'raw data Crude oil'!W878</f>
        <v>36.22</v>
      </c>
      <c r="X877">
        <f>'raw data Crude oil'!X878</f>
        <v>36.44</v>
      </c>
      <c r="Y877">
        <f>'raw data Crude oil'!Y878</f>
        <v>36.65</v>
      </c>
      <c r="Z877">
        <f>'raw data Crude oil'!Z878</f>
        <v>30.442</v>
      </c>
      <c r="AA877">
        <f>'raw data Crude oil'!AA878</f>
        <v>36.100999999999999</v>
      </c>
      <c r="AB877">
        <f>'raw data Crude oil'!AB878</f>
        <v>36.241999999999997</v>
      </c>
      <c r="AC877">
        <f>'raw data Crude oil'!AC878</f>
        <v>36.591000000000001</v>
      </c>
      <c r="AD877">
        <f>'raw data Crude oil'!AD878</f>
        <v>36.954000000000001</v>
      </c>
      <c r="AE877">
        <f>'raw data Crude oil'!AE878</f>
        <v>37.323999999999998</v>
      </c>
      <c r="AF877">
        <f>'raw data Crude oil'!AF878</f>
        <v>37.557000000000002</v>
      </c>
      <c r="AG877">
        <f>'raw data Crude oil'!AG878</f>
        <v>37.765000000000001</v>
      </c>
      <c r="AH877">
        <f>'raw data Crude oil'!AH878</f>
        <v>37.966000000000001</v>
      </c>
      <c r="AI877">
        <f>'raw data Crude oil'!AI878</f>
        <v>38.226999999999997</v>
      </c>
      <c r="AJ877">
        <f>'raw data Crude oil'!AJ878</f>
        <v>38.564</v>
      </c>
      <c r="AK877">
        <f>'raw data Crude oil'!AK878</f>
        <v>38.904000000000003</v>
      </c>
    </row>
    <row r="878" spans="1:37" x14ac:dyDescent="0.3">
      <c r="A878" s="18">
        <f>'raw data Crude oil'!A879</f>
        <v>43977</v>
      </c>
      <c r="B878">
        <f>'raw data Crude oil'!B879</f>
        <v>36.17</v>
      </c>
      <c r="C878">
        <f>'raw data Crude oil'!C879</f>
        <v>36.74</v>
      </c>
      <c r="D878">
        <f>'raw data Crude oil'!D879</f>
        <v>37.19</v>
      </c>
      <c r="E878">
        <f>'raw data Crude oil'!E879</f>
        <v>37.67</v>
      </c>
      <c r="F878">
        <f>'raw data Crude oil'!F879</f>
        <v>38.159999999999997</v>
      </c>
      <c r="G878">
        <f>'raw data Crude oil'!G879</f>
        <v>38.659999999999997</v>
      </c>
      <c r="H878">
        <f>'raw data Crude oil'!H879</f>
        <v>39.06</v>
      </c>
      <c r="I878">
        <f>'raw data Crude oil'!I879</f>
        <v>39.409999999999997</v>
      </c>
      <c r="J878">
        <f>'raw data Crude oil'!J879</f>
        <v>39.81</v>
      </c>
      <c r="K878">
        <f>'raw data Crude oil'!K879</f>
        <v>40.14</v>
      </c>
      <c r="L878">
        <f>'raw data Crude oil'!L879</f>
        <v>40.49</v>
      </c>
      <c r="M878">
        <f>'raw data Crude oil'!M879</f>
        <v>40.83</v>
      </c>
      <c r="N878">
        <f>'raw data Crude oil'!N879</f>
        <v>34.35</v>
      </c>
      <c r="O878">
        <f>'raw data Crude oil'!O879</f>
        <v>34.770000000000003</v>
      </c>
      <c r="P878">
        <f>'raw data Crude oil'!P879</f>
        <v>35.24</v>
      </c>
      <c r="Q878">
        <f>'raw data Crude oil'!Q879</f>
        <v>35.56</v>
      </c>
      <c r="R878">
        <f>'raw data Crude oil'!R879</f>
        <v>35.880000000000003</v>
      </c>
      <c r="S878">
        <f>'raw data Crude oil'!S879</f>
        <v>36.21</v>
      </c>
      <c r="T878">
        <f>'raw data Crude oil'!T879</f>
        <v>36.51</v>
      </c>
      <c r="U878">
        <f>'raw data Crude oil'!U879</f>
        <v>36.78</v>
      </c>
      <c r="V878">
        <f>'raw data Crude oil'!V879</f>
        <v>37.04</v>
      </c>
      <c r="W878">
        <f>'raw data Crude oil'!W879</f>
        <v>37.28</v>
      </c>
      <c r="X878">
        <f>'raw data Crude oil'!X879</f>
        <v>37.51</v>
      </c>
      <c r="Y878">
        <f>'raw data Crude oil'!Y879</f>
        <v>37.72</v>
      </c>
      <c r="Z878">
        <f>'raw data Crude oil'!Z879</f>
        <v>30.597999999999999</v>
      </c>
      <c r="AA878">
        <f>'raw data Crude oil'!AA879</f>
        <v>36.630000000000003</v>
      </c>
      <c r="AB878">
        <f>'raw data Crude oil'!AB879</f>
        <v>36.741</v>
      </c>
      <c r="AC878">
        <f>'raw data Crude oil'!AC879</f>
        <v>37.116999999999997</v>
      </c>
      <c r="AD878">
        <f>'raw data Crude oil'!AD879</f>
        <v>37.472999999999999</v>
      </c>
      <c r="AE878">
        <f>'raw data Crude oil'!AE879</f>
        <v>37.787999999999997</v>
      </c>
      <c r="AF878">
        <f>'raw data Crude oil'!AF879</f>
        <v>37.997</v>
      </c>
      <c r="AG878">
        <f>'raw data Crude oil'!AG879</f>
        <v>38.186</v>
      </c>
      <c r="AH878">
        <f>'raw data Crude oil'!AH879</f>
        <v>38.427</v>
      </c>
      <c r="AI878">
        <f>'raw data Crude oil'!AI879</f>
        <v>38.747999999999998</v>
      </c>
      <c r="AJ878">
        <f>'raw data Crude oil'!AJ879</f>
        <v>39.085000000000001</v>
      </c>
      <c r="AK878">
        <f>'raw data Crude oil'!AK879</f>
        <v>39.395000000000003</v>
      </c>
    </row>
    <row r="879" spans="1:37" x14ac:dyDescent="0.3">
      <c r="A879" s="18">
        <f>'raw data Crude oil'!A880</f>
        <v>43978</v>
      </c>
      <c r="B879">
        <f>'raw data Crude oil'!B880</f>
        <v>34.74</v>
      </c>
      <c r="C879">
        <f>'raw data Crude oil'!C880</f>
        <v>35.450000000000003</v>
      </c>
      <c r="D879">
        <f>'raw data Crude oil'!D880</f>
        <v>35.94</v>
      </c>
      <c r="E879">
        <f>'raw data Crude oil'!E880</f>
        <v>36.46</v>
      </c>
      <c r="F879">
        <f>'raw data Crude oil'!F880</f>
        <v>37</v>
      </c>
      <c r="G879">
        <f>'raw data Crude oil'!G880</f>
        <v>37.57</v>
      </c>
      <c r="H879">
        <f>'raw data Crude oil'!H880</f>
        <v>38.049999999999997</v>
      </c>
      <c r="I879">
        <f>'raw data Crude oil'!I880</f>
        <v>38.47</v>
      </c>
      <c r="J879">
        <f>'raw data Crude oil'!J880</f>
        <v>38.94</v>
      </c>
      <c r="K879">
        <f>'raw data Crude oil'!K880</f>
        <v>39.340000000000003</v>
      </c>
      <c r="L879">
        <f>'raw data Crude oil'!L880</f>
        <v>39.74</v>
      </c>
      <c r="M879">
        <f>'raw data Crude oil'!M880</f>
        <v>40.119999999999997</v>
      </c>
      <c r="N879">
        <f>'raw data Crude oil'!N880</f>
        <v>32.81</v>
      </c>
      <c r="O879">
        <f>'raw data Crude oil'!O880</f>
        <v>33.229999999999997</v>
      </c>
      <c r="P879">
        <f>'raw data Crude oil'!P880</f>
        <v>33.69</v>
      </c>
      <c r="Q879">
        <f>'raw data Crude oil'!Q880</f>
        <v>34.04</v>
      </c>
      <c r="R879">
        <f>'raw data Crude oil'!R880</f>
        <v>34.42</v>
      </c>
      <c r="S879">
        <f>'raw data Crude oil'!S880</f>
        <v>34.81</v>
      </c>
      <c r="T879">
        <f>'raw data Crude oil'!T880</f>
        <v>35.17</v>
      </c>
      <c r="U879">
        <f>'raw data Crude oil'!U880</f>
        <v>35.5</v>
      </c>
      <c r="V879">
        <f>'raw data Crude oil'!V880</f>
        <v>35.840000000000003</v>
      </c>
      <c r="W879">
        <f>'raw data Crude oil'!W880</f>
        <v>36.14</v>
      </c>
      <c r="X879">
        <f>'raw data Crude oil'!X880</f>
        <v>36.43</v>
      </c>
      <c r="Y879">
        <f>'raw data Crude oil'!Y880</f>
        <v>36.71</v>
      </c>
      <c r="Z879">
        <f>'raw data Crude oil'!Z880</f>
        <v>30.477</v>
      </c>
      <c r="AA879">
        <f>'raw data Crude oil'!AA880</f>
        <v>35.392000000000003</v>
      </c>
      <c r="AB879">
        <f>'raw data Crude oil'!AB880</f>
        <v>35.372999999999998</v>
      </c>
      <c r="AC879">
        <f>'raw data Crude oil'!AC880</f>
        <v>35.831000000000003</v>
      </c>
      <c r="AD879">
        <f>'raw data Crude oil'!AD880</f>
        <v>36.265999999999998</v>
      </c>
      <c r="AE879">
        <f>'raw data Crude oil'!AE880</f>
        <v>36.622</v>
      </c>
      <c r="AF879">
        <f>'raw data Crude oil'!AF880</f>
        <v>36.92</v>
      </c>
      <c r="AG879">
        <f>'raw data Crude oil'!AG880</f>
        <v>37.183</v>
      </c>
      <c r="AH879">
        <f>'raw data Crude oil'!AH880</f>
        <v>37.47</v>
      </c>
      <c r="AI879">
        <f>'raw data Crude oil'!AI880</f>
        <v>37.86</v>
      </c>
      <c r="AJ879">
        <f>'raw data Crude oil'!AJ880</f>
        <v>38.247</v>
      </c>
      <c r="AK879">
        <f>'raw data Crude oil'!AK880</f>
        <v>38.597999999999999</v>
      </c>
    </row>
    <row r="880" spans="1:37" x14ac:dyDescent="0.3">
      <c r="A880" s="18">
        <f>'raw data Crude oil'!A881</f>
        <v>43979</v>
      </c>
      <c r="B880">
        <f>'raw data Crude oil'!B881</f>
        <v>35.29</v>
      </c>
      <c r="C880">
        <f>'raw data Crude oil'!C881</f>
        <v>36.03</v>
      </c>
      <c r="D880">
        <f>'raw data Crude oil'!D881</f>
        <v>36.5</v>
      </c>
      <c r="E880">
        <f>'raw data Crude oil'!E881</f>
        <v>36.979999999999997</v>
      </c>
      <c r="F880">
        <f>'raw data Crude oil'!F881</f>
        <v>37.5</v>
      </c>
      <c r="G880">
        <f>'raw data Crude oil'!G881</f>
        <v>38.049999999999997</v>
      </c>
      <c r="H880">
        <f>'raw data Crude oil'!H881</f>
        <v>38.5</v>
      </c>
      <c r="I880">
        <f>'raw data Crude oil'!I881</f>
        <v>38.909999999999997</v>
      </c>
      <c r="J880">
        <f>'raw data Crude oil'!J881</f>
        <v>39.380000000000003</v>
      </c>
      <c r="K880">
        <f>'raw data Crude oil'!K881</f>
        <v>39.78</v>
      </c>
      <c r="L880">
        <f>'raw data Crude oil'!L881</f>
        <v>40.21</v>
      </c>
      <c r="M880">
        <f>'raw data Crude oil'!M881</f>
        <v>40.6</v>
      </c>
      <c r="N880">
        <f>'raw data Crude oil'!N881</f>
        <v>33.71</v>
      </c>
      <c r="O880">
        <f>'raw data Crude oil'!O881</f>
        <v>34.06</v>
      </c>
      <c r="P880">
        <f>'raw data Crude oil'!P881</f>
        <v>34.49</v>
      </c>
      <c r="Q880">
        <f>'raw data Crude oil'!Q881</f>
        <v>34.81</v>
      </c>
      <c r="R880">
        <f>'raw data Crude oil'!R881</f>
        <v>35.15</v>
      </c>
      <c r="S880">
        <f>'raw data Crude oil'!S881</f>
        <v>35.49</v>
      </c>
      <c r="T880">
        <f>'raw data Crude oil'!T881</f>
        <v>35.799999999999997</v>
      </c>
      <c r="U880">
        <f>'raw data Crude oil'!U881</f>
        <v>36.1</v>
      </c>
      <c r="V880">
        <f>'raw data Crude oil'!V881</f>
        <v>36.4</v>
      </c>
      <c r="W880">
        <f>'raw data Crude oil'!W881</f>
        <v>36.69</v>
      </c>
      <c r="X880">
        <f>'raw data Crude oil'!X881</f>
        <v>36.97</v>
      </c>
      <c r="Y880">
        <f>'raw data Crude oil'!Y881</f>
        <v>37.24</v>
      </c>
      <c r="Z880">
        <f>'raw data Crude oil'!Z881</f>
        <v>30.547000000000001</v>
      </c>
      <c r="AA880">
        <f>'raw data Crude oil'!AA881</f>
        <v>36.241</v>
      </c>
      <c r="AB880">
        <f>'raw data Crude oil'!AB881</f>
        <v>36.081000000000003</v>
      </c>
      <c r="AC880">
        <f>'raw data Crude oil'!AC881</f>
        <v>36.32</v>
      </c>
      <c r="AD880">
        <f>'raw data Crude oil'!AD881</f>
        <v>36.715000000000003</v>
      </c>
      <c r="AE880">
        <f>'raw data Crude oil'!AE881</f>
        <v>37.06</v>
      </c>
      <c r="AF880">
        <f>'raw data Crude oil'!AF881</f>
        <v>37.340000000000003</v>
      </c>
      <c r="AG880">
        <f>'raw data Crude oil'!AG881</f>
        <v>37.582999999999998</v>
      </c>
      <c r="AH880">
        <f>'raw data Crude oil'!AH881</f>
        <v>37.840000000000003</v>
      </c>
      <c r="AI880">
        <f>'raw data Crude oil'!AI881</f>
        <v>38.231999999999999</v>
      </c>
      <c r="AJ880">
        <f>'raw data Crude oil'!AJ881</f>
        <v>38.646999999999998</v>
      </c>
      <c r="AK880">
        <f>'raw data Crude oil'!AK881</f>
        <v>39.006999999999998</v>
      </c>
    </row>
    <row r="881" spans="1:37" x14ac:dyDescent="0.3">
      <c r="A881" s="18">
        <f>'raw data Crude oil'!A882</f>
        <v>43980</v>
      </c>
      <c r="B881">
        <f>'raw data Crude oil'!B882</f>
        <v>35.33</v>
      </c>
      <c r="C881">
        <f>'raw data Crude oil'!C882</f>
        <v>37.840000000000003</v>
      </c>
      <c r="D881">
        <f>'raw data Crude oil'!D882</f>
        <v>38.17</v>
      </c>
      <c r="E881">
        <f>'raw data Crude oil'!E882</f>
        <v>38.5</v>
      </c>
      <c r="F881">
        <f>'raw data Crude oil'!F882</f>
        <v>38.93</v>
      </c>
      <c r="G881">
        <f>'raw data Crude oil'!G882</f>
        <v>39.409999999999997</v>
      </c>
      <c r="H881">
        <f>'raw data Crude oil'!H882</f>
        <v>39.81</v>
      </c>
      <c r="I881">
        <f>'raw data Crude oil'!I882</f>
        <v>40.17</v>
      </c>
      <c r="J881">
        <f>'raw data Crude oil'!J882</f>
        <v>40.6</v>
      </c>
      <c r="K881">
        <f>'raw data Crude oil'!K882</f>
        <v>40.98</v>
      </c>
      <c r="L881">
        <f>'raw data Crude oil'!L882</f>
        <v>41.39</v>
      </c>
      <c r="M881">
        <f>'raw data Crude oil'!M882</f>
        <v>41.76</v>
      </c>
      <c r="N881">
        <f>'raw data Crude oil'!N882</f>
        <v>35.49</v>
      </c>
      <c r="O881">
        <f>'raw data Crude oil'!O882</f>
        <v>35.840000000000003</v>
      </c>
      <c r="P881">
        <f>'raw data Crude oil'!P882</f>
        <v>36.200000000000003</v>
      </c>
      <c r="Q881">
        <f>'raw data Crude oil'!Q882</f>
        <v>36.43</v>
      </c>
      <c r="R881">
        <f>'raw data Crude oil'!R882</f>
        <v>36.67</v>
      </c>
      <c r="S881">
        <f>'raw data Crude oil'!S882</f>
        <v>36.92</v>
      </c>
      <c r="T881">
        <f>'raw data Crude oil'!T882</f>
        <v>37.159999999999997</v>
      </c>
      <c r="U881">
        <f>'raw data Crude oil'!U882</f>
        <v>37.409999999999997</v>
      </c>
      <c r="V881">
        <f>'raw data Crude oil'!V882</f>
        <v>37.67</v>
      </c>
      <c r="W881">
        <f>'raw data Crude oil'!W882</f>
        <v>37.93</v>
      </c>
      <c r="X881">
        <f>'raw data Crude oil'!X882</f>
        <v>38.21</v>
      </c>
      <c r="Y881">
        <f>'raw data Crude oil'!Y882</f>
        <v>38.46</v>
      </c>
      <c r="Z881">
        <f>'raw data Crude oil'!Z882</f>
        <v>30.466999999999999</v>
      </c>
      <c r="AA881">
        <f>'raw data Crude oil'!AA882</f>
        <v>37.715000000000003</v>
      </c>
      <c r="AB881">
        <f>'raw data Crude oil'!AB882</f>
        <v>37.514000000000003</v>
      </c>
      <c r="AC881">
        <f>'raw data Crude oil'!AC882</f>
        <v>37.701000000000001</v>
      </c>
      <c r="AD881">
        <f>'raw data Crude oil'!AD882</f>
        <v>38.072000000000003</v>
      </c>
      <c r="AE881">
        <f>'raw data Crude oil'!AE882</f>
        <v>38.378</v>
      </c>
      <c r="AF881">
        <f>'raw data Crude oil'!AF882</f>
        <v>38.637</v>
      </c>
      <c r="AG881">
        <f>'raw data Crude oil'!AG882</f>
        <v>38.838999999999999</v>
      </c>
      <c r="AH881">
        <f>'raw data Crude oil'!AH882</f>
        <v>39.069000000000003</v>
      </c>
      <c r="AI881">
        <f>'raw data Crude oil'!AI882</f>
        <v>39.371000000000002</v>
      </c>
      <c r="AJ881">
        <f>'raw data Crude oil'!AJ882</f>
        <v>39.746000000000002</v>
      </c>
      <c r="AK881">
        <f>'raw data Crude oil'!AK882</f>
        <v>40.106000000000002</v>
      </c>
    </row>
    <row r="882" spans="1:37" x14ac:dyDescent="0.3">
      <c r="A882" s="18">
        <f>'raw data Crude oil'!A883</f>
        <v>43983</v>
      </c>
      <c r="B882">
        <f>'raw data Crude oil'!B883</f>
        <v>38.32</v>
      </c>
      <c r="C882">
        <f>'raw data Crude oil'!C883</f>
        <v>38.43</v>
      </c>
      <c r="D882">
        <f>'raw data Crude oil'!D883</f>
        <v>38.630000000000003</v>
      </c>
      <c r="E882">
        <f>'raw data Crude oil'!E883</f>
        <v>38.950000000000003</v>
      </c>
      <c r="F882">
        <f>'raw data Crude oil'!F883</f>
        <v>39.35</v>
      </c>
      <c r="G882">
        <f>'raw data Crude oil'!G883</f>
        <v>39.71</v>
      </c>
      <c r="H882">
        <f>'raw data Crude oil'!H883</f>
        <v>40.049999999999997</v>
      </c>
      <c r="I882">
        <f>'raw data Crude oil'!I883</f>
        <v>40.450000000000003</v>
      </c>
      <c r="J882">
        <f>'raw data Crude oil'!J883</f>
        <v>40.81</v>
      </c>
      <c r="K882">
        <f>'raw data Crude oil'!K883</f>
        <v>41.2</v>
      </c>
      <c r="L882">
        <f>'raw data Crude oil'!L883</f>
        <v>41.56</v>
      </c>
      <c r="M882">
        <f>'raw data Crude oil'!M883</f>
        <v>41.91</v>
      </c>
      <c r="N882">
        <f>'raw data Crude oil'!N883</f>
        <v>35.44</v>
      </c>
      <c r="O882">
        <f>'raw data Crude oil'!O883</f>
        <v>35.79</v>
      </c>
      <c r="P882">
        <f>'raw data Crude oil'!P883</f>
        <v>36.17</v>
      </c>
      <c r="Q882">
        <f>'raw data Crude oil'!Q883</f>
        <v>36.4</v>
      </c>
      <c r="R882">
        <f>'raw data Crude oil'!R883</f>
        <v>36.65</v>
      </c>
      <c r="S882">
        <f>'raw data Crude oil'!S883</f>
        <v>36.9</v>
      </c>
      <c r="T882">
        <f>'raw data Crude oil'!T883</f>
        <v>37.15</v>
      </c>
      <c r="U882">
        <f>'raw data Crude oil'!U883</f>
        <v>37.39</v>
      </c>
      <c r="V882">
        <f>'raw data Crude oil'!V883</f>
        <v>37.630000000000003</v>
      </c>
      <c r="W882">
        <f>'raw data Crude oil'!W883</f>
        <v>37.880000000000003</v>
      </c>
      <c r="X882">
        <f>'raw data Crude oil'!X883</f>
        <v>38.130000000000003</v>
      </c>
      <c r="Y882">
        <f>'raw data Crude oil'!Y883</f>
        <v>38.36</v>
      </c>
      <c r="Z882">
        <f>'raw data Crude oil'!Z883</f>
        <v>30.466999999999999</v>
      </c>
      <c r="AA882">
        <f>'raw data Crude oil'!AA883</f>
        <v>38.134999999999998</v>
      </c>
      <c r="AB882">
        <f>'raw data Crude oil'!AB883</f>
        <v>37.890999999999998</v>
      </c>
      <c r="AC882">
        <f>'raw data Crude oil'!AC883</f>
        <v>37.902999999999999</v>
      </c>
      <c r="AD882">
        <f>'raw data Crude oil'!AD883</f>
        <v>38.113</v>
      </c>
      <c r="AE882">
        <f>'raw data Crude oil'!AE883</f>
        <v>38.326000000000001</v>
      </c>
      <c r="AF882">
        <f>'raw data Crude oil'!AF883</f>
        <v>38.536000000000001</v>
      </c>
      <c r="AG882">
        <f>'raw data Crude oil'!AG883</f>
        <v>38.695999999999998</v>
      </c>
      <c r="AH882">
        <f>'raw data Crude oil'!AH883</f>
        <v>38.908000000000001</v>
      </c>
      <c r="AI882">
        <f>'raw data Crude oil'!AI883</f>
        <v>39.19</v>
      </c>
      <c r="AJ882">
        <f>'raw data Crude oil'!AJ883</f>
        <v>39.526000000000003</v>
      </c>
      <c r="AK882">
        <f>'raw data Crude oil'!AK883</f>
        <v>39.927</v>
      </c>
    </row>
    <row r="883" spans="1:37" x14ac:dyDescent="0.3">
      <c r="A883" s="18">
        <f>'raw data Crude oil'!A884</f>
        <v>43984</v>
      </c>
      <c r="B883">
        <f>'raw data Crude oil'!B884</f>
        <v>39.57</v>
      </c>
      <c r="C883">
        <f>'raw data Crude oil'!C884</f>
        <v>39.659999999999997</v>
      </c>
      <c r="D883">
        <f>'raw data Crude oil'!D884</f>
        <v>39.85</v>
      </c>
      <c r="E883">
        <f>'raw data Crude oil'!E884</f>
        <v>40.130000000000003</v>
      </c>
      <c r="F883">
        <f>'raw data Crude oil'!F884</f>
        <v>40.479999999999997</v>
      </c>
      <c r="G883">
        <f>'raw data Crude oil'!G884</f>
        <v>40.799999999999997</v>
      </c>
      <c r="H883">
        <f>'raw data Crude oil'!H884</f>
        <v>41.1</v>
      </c>
      <c r="I883">
        <f>'raw data Crude oil'!I884</f>
        <v>41.45</v>
      </c>
      <c r="J883">
        <f>'raw data Crude oil'!J884</f>
        <v>41.76</v>
      </c>
      <c r="K883">
        <f>'raw data Crude oil'!K884</f>
        <v>42.08</v>
      </c>
      <c r="L883">
        <f>'raw data Crude oil'!L884</f>
        <v>42.39</v>
      </c>
      <c r="M883">
        <f>'raw data Crude oil'!M884</f>
        <v>42.7</v>
      </c>
      <c r="N883">
        <f>'raw data Crude oil'!N884</f>
        <v>36.81</v>
      </c>
      <c r="O883">
        <f>'raw data Crude oil'!O884</f>
        <v>37.06</v>
      </c>
      <c r="P883">
        <f>'raw data Crude oil'!P884</f>
        <v>37.35</v>
      </c>
      <c r="Q883">
        <f>'raw data Crude oil'!Q884</f>
        <v>37.53</v>
      </c>
      <c r="R883">
        <f>'raw data Crude oil'!R884</f>
        <v>37.71</v>
      </c>
      <c r="S883">
        <f>'raw data Crude oil'!S884</f>
        <v>37.909999999999997</v>
      </c>
      <c r="T883">
        <f>'raw data Crude oil'!T884</f>
        <v>38.1</v>
      </c>
      <c r="U883">
        <f>'raw data Crude oil'!U884</f>
        <v>38.28</v>
      </c>
      <c r="V883">
        <f>'raw data Crude oil'!V884</f>
        <v>38.47</v>
      </c>
      <c r="W883">
        <f>'raw data Crude oil'!W884</f>
        <v>38.67</v>
      </c>
      <c r="X883">
        <f>'raw data Crude oil'!X884</f>
        <v>38.869999999999997</v>
      </c>
      <c r="Y883">
        <f>'raw data Crude oil'!Y884</f>
        <v>39.04</v>
      </c>
      <c r="Z883">
        <f>'raw data Crude oil'!Z884</f>
        <v>39.286999999999999</v>
      </c>
      <c r="AA883">
        <f>'raw data Crude oil'!AA884</f>
        <v>39.067999999999998</v>
      </c>
      <c r="AB883">
        <f>'raw data Crude oil'!AB884</f>
        <v>39.106999999999999</v>
      </c>
      <c r="AC883">
        <f>'raw data Crude oil'!AC884</f>
        <v>39.276000000000003</v>
      </c>
      <c r="AD883">
        <f>'raw data Crude oil'!AD884</f>
        <v>39.424999999999997</v>
      </c>
      <c r="AE883">
        <f>'raw data Crude oil'!AE884</f>
        <v>39.613999999999997</v>
      </c>
      <c r="AF883">
        <f>'raw data Crude oil'!AF884</f>
        <v>39.771999999999998</v>
      </c>
      <c r="AG883">
        <f>'raw data Crude oil'!AG884</f>
        <v>39.936</v>
      </c>
      <c r="AH883">
        <f>'raw data Crude oil'!AH884</f>
        <v>40.176000000000002</v>
      </c>
      <c r="AI883">
        <f>'raw data Crude oil'!AI884</f>
        <v>40.423000000000002</v>
      </c>
      <c r="AJ883">
        <f>'raw data Crude oil'!AJ884</f>
        <v>40.744999999999997</v>
      </c>
      <c r="AK883">
        <f>'raw data Crude oil'!AK884</f>
        <v>41.073</v>
      </c>
    </row>
    <row r="884" spans="1:37" x14ac:dyDescent="0.3">
      <c r="A884" s="18">
        <f>'raw data Crude oil'!A885</f>
        <v>43985</v>
      </c>
      <c r="B884">
        <f>'raw data Crude oil'!B885</f>
        <v>39.79</v>
      </c>
      <c r="C884">
        <f>'raw data Crude oil'!C885</f>
        <v>39.97</v>
      </c>
      <c r="D884">
        <f>'raw data Crude oil'!D885</f>
        <v>40.24</v>
      </c>
      <c r="E884">
        <f>'raw data Crude oil'!E885</f>
        <v>40.56</v>
      </c>
      <c r="F884">
        <f>'raw data Crude oil'!F885</f>
        <v>40.92</v>
      </c>
      <c r="G884">
        <f>'raw data Crude oil'!G885</f>
        <v>41.25</v>
      </c>
      <c r="H884">
        <f>'raw data Crude oil'!H885</f>
        <v>41.57</v>
      </c>
      <c r="I884">
        <f>'raw data Crude oil'!I885</f>
        <v>41.92</v>
      </c>
      <c r="J884">
        <f>'raw data Crude oil'!J885</f>
        <v>42.22</v>
      </c>
      <c r="K884">
        <f>'raw data Crude oil'!K885</f>
        <v>42.53</v>
      </c>
      <c r="L884">
        <f>'raw data Crude oil'!L885</f>
        <v>42.82</v>
      </c>
      <c r="M884">
        <f>'raw data Crude oil'!M885</f>
        <v>43.13</v>
      </c>
      <c r="N884">
        <f>'raw data Crude oil'!N885</f>
        <v>37.29</v>
      </c>
      <c r="O884">
        <f>'raw data Crude oil'!O885</f>
        <v>37.590000000000003</v>
      </c>
      <c r="P884">
        <f>'raw data Crude oil'!P885</f>
        <v>37.869999999999997</v>
      </c>
      <c r="Q884">
        <f>'raw data Crude oil'!Q885</f>
        <v>38.049999999999997</v>
      </c>
      <c r="R884">
        <f>'raw data Crude oil'!R885</f>
        <v>38.24</v>
      </c>
      <c r="S884">
        <f>'raw data Crude oil'!S885</f>
        <v>38.44</v>
      </c>
      <c r="T884">
        <f>'raw data Crude oil'!T885</f>
        <v>38.64</v>
      </c>
      <c r="U884">
        <f>'raw data Crude oil'!U885</f>
        <v>38.83</v>
      </c>
      <c r="V884">
        <f>'raw data Crude oil'!V885</f>
        <v>39.020000000000003</v>
      </c>
      <c r="W884">
        <f>'raw data Crude oil'!W885</f>
        <v>39.21</v>
      </c>
      <c r="X884">
        <f>'raw data Crude oil'!X885</f>
        <v>39.409999999999997</v>
      </c>
      <c r="Y884">
        <f>'raw data Crude oil'!Y885</f>
        <v>39.61</v>
      </c>
      <c r="Z884">
        <f>'raw data Crude oil'!Z885</f>
        <v>39.073</v>
      </c>
      <c r="AA884">
        <f>'raw data Crude oil'!AA885</f>
        <v>38.841999999999999</v>
      </c>
      <c r="AB884">
        <f>'raw data Crude oil'!AB885</f>
        <v>39.17</v>
      </c>
      <c r="AC884">
        <f>'raw data Crude oil'!AC885</f>
        <v>39.466000000000001</v>
      </c>
      <c r="AD884">
        <f>'raw data Crude oil'!AD885</f>
        <v>39.734999999999999</v>
      </c>
      <c r="AE884">
        <f>'raw data Crude oil'!AE885</f>
        <v>39.965000000000003</v>
      </c>
      <c r="AF884">
        <f>'raw data Crude oil'!AF885</f>
        <v>40.171999999999997</v>
      </c>
      <c r="AG884">
        <f>'raw data Crude oil'!AG885</f>
        <v>40.365000000000002</v>
      </c>
      <c r="AH884">
        <f>'raw data Crude oil'!AH885</f>
        <v>40.595999999999997</v>
      </c>
      <c r="AI884">
        <f>'raw data Crude oil'!AI885</f>
        <v>40.832999999999998</v>
      </c>
      <c r="AJ884">
        <f>'raw data Crude oil'!AJ885</f>
        <v>41.155000000000001</v>
      </c>
      <c r="AK884">
        <f>'raw data Crude oil'!AK885</f>
        <v>41.494</v>
      </c>
    </row>
    <row r="885" spans="1:37" x14ac:dyDescent="0.3">
      <c r="A885" s="18">
        <f>'raw data Crude oil'!A886</f>
        <v>43986</v>
      </c>
      <c r="B885">
        <f>'raw data Crude oil'!B886</f>
        <v>39.99</v>
      </c>
      <c r="C885">
        <f>'raw data Crude oil'!C886</f>
        <v>40.17</v>
      </c>
      <c r="D885">
        <f>'raw data Crude oil'!D886</f>
        <v>40.49</v>
      </c>
      <c r="E885">
        <f>'raw data Crude oil'!E886</f>
        <v>40.85</v>
      </c>
      <c r="F885">
        <f>'raw data Crude oil'!F886</f>
        <v>41.22</v>
      </c>
      <c r="G885">
        <f>'raw data Crude oil'!G886</f>
        <v>41.57</v>
      </c>
      <c r="H885">
        <f>'raw data Crude oil'!H886</f>
        <v>41.9</v>
      </c>
      <c r="I885">
        <f>'raw data Crude oil'!I886</f>
        <v>42.26</v>
      </c>
      <c r="J885">
        <f>'raw data Crude oil'!J886</f>
        <v>42.57</v>
      </c>
      <c r="K885">
        <f>'raw data Crude oil'!K886</f>
        <v>42.89</v>
      </c>
      <c r="L885">
        <f>'raw data Crude oil'!L886</f>
        <v>43.18</v>
      </c>
      <c r="M885">
        <f>'raw data Crude oil'!M886</f>
        <v>43.49</v>
      </c>
      <c r="N885">
        <f>'raw data Crude oil'!N886</f>
        <v>37.409999999999997</v>
      </c>
      <c r="O885">
        <f>'raw data Crude oil'!O886</f>
        <v>37.72</v>
      </c>
      <c r="P885">
        <f>'raw data Crude oil'!P886</f>
        <v>38</v>
      </c>
      <c r="Q885">
        <f>'raw data Crude oil'!Q886</f>
        <v>38.21</v>
      </c>
      <c r="R885">
        <f>'raw data Crude oil'!R886</f>
        <v>38.44</v>
      </c>
      <c r="S885">
        <f>'raw data Crude oil'!S886</f>
        <v>38.68</v>
      </c>
      <c r="T885">
        <f>'raw data Crude oil'!T886</f>
        <v>38.9</v>
      </c>
      <c r="U885">
        <f>'raw data Crude oil'!U886</f>
        <v>39.1</v>
      </c>
      <c r="V885">
        <f>'raw data Crude oil'!V886</f>
        <v>39.299999999999997</v>
      </c>
      <c r="W885">
        <f>'raw data Crude oil'!W886</f>
        <v>39.49</v>
      </c>
      <c r="X885">
        <f>'raw data Crude oil'!X886</f>
        <v>39.69</v>
      </c>
      <c r="Y885">
        <f>'raw data Crude oil'!Y886</f>
        <v>39.89</v>
      </c>
      <c r="Z885">
        <f>'raw data Crude oil'!Z886</f>
        <v>39.628</v>
      </c>
      <c r="AA885">
        <f>'raw data Crude oil'!AA886</f>
        <v>39.433999999999997</v>
      </c>
      <c r="AB885">
        <f>'raw data Crude oil'!AB886</f>
        <v>39.654000000000003</v>
      </c>
      <c r="AC885">
        <f>'raw data Crude oil'!AC886</f>
        <v>39.927</v>
      </c>
      <c r="AD885">
        <f>'raw data Crude oil'!AD886</f>
        <v>40.195999999999998</v>
      </c>
      <c r="AE885">
        <f>'raw data Crude oil'!AE886</f>
        <v>40.485999999999997</v>
      </c>
      <c r="AF885">
        <f>'raw data Crude oil'!AF886</f>
        <v>40.683</v>
      </c>
      <c r="AG885">
        <f>'raw data Crude oil'!AG886</f>
        <v>40.875999999999998</v>
      </c>
      <c r="AH885">
        <f>'raw data Crude oil'!AH886</f>
        <v>41.085999999999999</v>
      </c>
      <c r="AI885">
        <f>'raw data Crude oil'!AI886</f>
        <v>41.313000000000002</v>
      </c>
      <c r="AJ885">
        <f>'raw data Crude oil'!AJ886</f>
        <v>41.645000000000003</v>
      </c>
      <c r="AK885">
        <f>'raw data Crude oil'!AK886</f>
        <v>41.963999999999999</v>
      </c>
    </row>
    <row r="886" spans="1:37" x14ac:dyDescent="0.3">
      <c r="A886" s="18">
        <f>'raw data Crude oil'!A887</f>
        <v>43987</v>
      </c>
      <c r="B886">
        <f>'raw data Crude oil'!B887</f>
        <v>42.3</v>
      </c>
      <c r="C886">
        <f>'raw data Crude oil'!C887</f>
        <v>42.42</v>
      </c>
      <c r="D886">
        <f>'raw data Crude oil'!D887</f>
        <v>42.62</v>
      </c>
      <c r="E886">
        <f>'raw data Crude oil'!E887</f>
        <v>42.86</v>
      </c>
      <c r="F886">
        <f>'raw data Crude oil'!F887</f>
        <v>43.11</v>
      </c>
      <c r="G886">
        <f>'raw data Crude oil'!G887</f>
        <v>43.34</v>
      </c>
      <c r="H886">
        <f>'raw data Crude oil'!H887</f>
        <v>43.56</v>
      </c>
      <c r="I886">
        <f>'raw data Crude oil'!I887</f>
        <v>43.83</v>
      </c>
      <c r="J886">
        <f>'raw data Crude oil'!J887</f>
        <v>44.08</v>
      </c>
      <c r="K886">
        <f>'raw data Crude oil'!K887</f>
        <v>44.35</v>
      </c>
      <c r="L886">
        <f>'raw data Crude oil'!L887</f>
        <v>44.61</v>
      </c>
      <c r="M886">
        <f>'raw data Crude oil'!M887</f>
        <v>44.85</v>
      </c>
      <c r="N886">
        <f>'raw data Crude oil'!N887</f>
        <v>39.549999999999997</v>
      </c>
      <c r="O886">
        <f>'raw data Crude oil'!O887</f>
        <v>39.799999999999997</v>
      </c>
      <c r="P886">
        <f>'raw data Crude oil'!P887</f>
        <v>40.03</v>
      </c>
      <c r="Q886">
        <f>'raw data Crude oil'!Q887</f>
        <v>40.15</v>
      </c>
      <c r="R886">
        <f>'raw data Crude oil'!R887</f>
        <v>40.28</v>
      </c>
      <c r="S886">
        <f>'raw data Crude oil'!S887</f>
        <v>40.42</v>
      </c>
      <c r="T886">
        <f>'raw data Crude oil'!T887</f>
        <v>40.520000000000003</v>
      </c>
      <c r="U886">
        <f>'raw data Crude oil'!U887</f>
        <v>40.64</v>
      </c>
      <c r="V886">
        <f>'raw data Crude oil'!V887</f>
        <v>40.770000000000003</v>
      </c>
      <c r="W886">
        <f>'raw data Crude oil'!W887</f>
        <v>40.9</v>
      </c>
      <c r="X886">
        <f>'raw data Crude oil'!X887</f>
        <v>41.03</v>
      </c>
      <c r="Y886">
        <f>'raw data Crude oil'!Y887</f>
        <v>41.17</v>
      </c>
      <c r="Z886">
        <f>'raw data Crude oil'!Z887</f>
        <v>41.378999999999998</v>
      </c>
      <c r="AA886">
        <f>'raw data Crude oil'!AA887</f>
        <v>41.598999999999997</v>
      </c>
      <c r="AB886">
        <f>'raw data Crude oil'!AB887</f>
        <v>41.643000000000001</v>
      </c>
      <c r="AC886">
        <f>'raw data Crude oil'!AC887</f>
        <v>41.841000000000001</v>
      </c>
      <c r="AD886">
        <f>'raw data Crude oil'!AD887</f>
        <v>42.01</v>
      </c>
      <c r="AE886">
        <f>'raw data Crude oil'!AE887</f>
        <v>42.22</v>
      </c>
      <c r="AF886">
        <f>'raw data Crude oil'!AF887</f>
        <v>42.365000000000002</v>
      </c>
      <c r="AG886">
        <f>'raw data Crude oil'!AG887</f>
        <v>42.493000000000002</v>
      </c>
      <c r="AH886">
        <f>'raw data Crude oil'!AH887</f>
        <v>42.624000000000002</v>
      </c>
      <c r="AI886">
        <f>'raw data Crude oil'!AI887</f>
        <v>42.831000000000003</v>
      </c>
      <c r="AJ886">
        <f>'raw data Crude oil'!AJ887</f>
        <v>43.070999999999998</v>
      </c>
      <c r="AK886">
        <f>'raw data Crude oil'!AK887</f>
        <v>43.341000000000001</v>
      </c>
    </row>
    <row r="887" spans="1:37" x14ac:dyDescent="0.3">
      <c r="A887" s="18">
        <f>'raw data Crude oil'!A888</f>
        <v>43990</v>
      </c>
      <c r="B887">
        <f>'raw data Crude oil'!B888</f>
        <v>40.799999999999997</v>
      </c>
      <c r="C887">
        <f>'raw data Crude oil'!C888</f>
        <v>41</v>
      </c>
      <c r="D887">
        <f>'raw data Crude oil'!D888</f>
        <v>41.24</v>
      </c>
      <c r="E887">
        <f>'raw data Crude oil'!E888</f>
        <v>41.51</v>
      </c>
      <c r="F887">
        <f>'raw data Crude oil'!F888</f>
        <v>41.78</v>
      </c>
      <c r="G887">
        <f>'raw data Crude oil'!G888</f>
        <v>42.03</v>
      </c>
      <c r="H887">
        <f>'raw data Crude oil'!H888</f>
        <v>42.27</v>
      </c>
      <c r="I887">
        <f>'raw data Crude oil'!I888</f>
        <v>42.56</v>
      </c>
      <c r="J887">
        <f>'raw data Crude oil'!J888</f>
        <v>42.83</v>
      </c>
      <c r="K887">
        <f>'raw data Crude oil'!K888</f>
        <v>43.11</v>
      </c>
      <c r="L887">
        <f>'raw data Crude oil'!L888</f>
        <v>43.37</v>
      </c>
      <c r="M887">
        <f>'raw data Crude oil'!M888</f>
        <v>43.62</v>
      </c>
      <c r="N887">
        <f>'raw data Crude oil'!N888</f>
        <v>38.19</v>
      </c>
      <c r="O887">
        <f>'raw data Crude oil'!O888</f>
        <v>38.43</v>
      </c>
      <c r="P887">
        <f>'raw data Crude oil'!P888</f>
        <v>38.65</v>
      </c>
      <c r="Q887">
        <f>'raw data Crude oil'!Q888</f>
        <v>38.799999999999997</v>
      </c>
      <c r="R887">
        <f>'raw data Crude oil'!R888</f>
        <v>38.94</v>
      </c>
      <c r="S887">
        <f>'raw data Crude oil'!S888</f>
        <v>39.1</v>
      </c>
      <c r="T887">
        <f>'raw data Crude oil'!T888</f>
        <v>39.229999999999997</v>
      </c>
      <c r="U887">
        <f>'raw data Crude oil'!U888</f>
        <v>39.380000000000003</v>
      </c>
      <c r="V887">
        <f>'raw data Crude oil'!V888</f>
        <v>39.53</v>
      </c>
      <c r="W887">
        <f>'raw data Crude oil'!W888</f>
        <v>39.68</v>
      </c>
      <c r="X887">
        <f>'raw data Crude oil'!X888</f>
        <v>39.82</v>
      </c>
      <c r="Y887">
        <f>'raw data Crude oil'!Y888</f>
        <v>39.99</v>
      </c>
      <c r="Z887">
        <f>'raw data Crude oil'!Z888</f>
        <v>40.591999999999999</v>
      </c>
      <c r="AA887">
        <f>'raw data Crude oil'!AA888</f>
        <v>40.380000000000003</v>
      </c>
      <c r="AB887">
        <f>'raw data Crude oil'!AB888</f>
        <v>40.345999999999997</v>
      </c>
      <c r="AC887">
        <f>'raw data Crude oil'!AC888</f>
        <v>40.512</v>
      </c>
      <c r="AD887">
        <f>'raw data Crude oil'!AD888</f>
        <v>40.710999999999999</v>
      </c>
      <c r="AE887">
        <f>'raw data Crude oil'!AE888</f>
        <v>40.920999999999999</v>
      </c>
      <c r="AF887">
        <f>'raw data Crude oil'!AF888</f>
        <v>41.095999999999997</v>
      </c>
      <c r="AG887">
        <f>'raw data Crude oil'!AG888</f>
        <v>41.223999999999997</v>
      </c>
      <c r="AH887">
        <f>'raw data Crude oil'!AH888</f>
        <v>41.374000000000002</v>
      </c>
      <c r="AI887">
        <f>'raw data Crude oil'!AI888</f>
        <v>41.591000000000001</v>
      </c>
      <c r="AJ887">
        <f>'raw data Crude oil'!AJ888</f>
        <v>41.832000000000001</v>
      </c>
      <c r="AK887">
        <f>'raw data Crude oil'!AK888</f>
        <v>42.112000000000002</v>
      </c>
    </row>
    <row r="888" spans="1:37" x14ac:dyDescent="0.3">
      <c r="A888" s="18">
        <f>'raw data Crude oil'!A889</f>
        <v>43991</v>
      </c>
      <c r="B888">
        <f>'raw data Crude oil'!B889</f>
        <v>41.18</v>
      </c>
      <c r="C888">
        <f>'raw data Crude oil'!C889</f>
        <v>41.51</v>
      </c>
      <c r="D888">
        <f>'raw data Crude oil'!D889</f>
        <v>41.8</v>
      </c>
      <c r="E888">
        <f>'raw data Crude oil'!E889</f>
        <v>42.09</v>
      </c>
      <c r="F888">
        <f>'raw data Crude oil'!F889</f>
        <v>42.38</v>
      </c>
      <c r="G888">
        <f>'raw data Crude oil'!G889</f>
        <v>42.65</v>
      </c>
      <c r="H888">
        <f>'raw data Crude oil'!H889</f>
        <v>42.9</v>
      </c>
      <c r="I888">
        <f>'raw data Crude oil'!I889</f>
        <v>43.2</v>
      </c>
      <c r="J888">
        <f>'raw data Crude oil'!J889</f>
        <v>43.46</v>
      </c>
      <c r="K888">
        <f>'raw data Crude oil'!K889</f>
        <v>43.74</v>
      </c>
      <c r="L888">
        <f>'raw data Crude oil'!L889</f>
        <v>44</v>
      </c>
      <c r="M888">
        <f>'raw data Crude oil'!M889</f>
        <v>44.25</v>
      </c>
      <c r="N888">
        <f>'raw data Crude oil'!N889</f>
        <v>38.94</v>
      </c>
      <c r="O888">
        <f>'raw data Crude oil'!O889</f>
        <v>39.159999999999997</v>
      </c>
      <c r="P888">
        <f>'raw data Crude oil'!P889</f>
        <v>39.380000000000003</v>
      </c>
      <c r="Q888">
        <f>'raw data Crude oil'!Q889</f>
        <v>39.53</v>
      </c>
      <c r="R888">
        <f>'raw data Crude oil'!R889</f>
        <v>39.67</v>
      </c>
      <c r="S888">
        <f>'raw data Crude oil'!S889</f>
        <v>39.82</v>
      </c>
      <c r="T888">
        <f>'raw data Crude oil'!T889</f>
        <v>39.950000000000003</v>
      </c>
      <c r="U888">
        <f>'raw data Crude oil'!U889</f>
        <v>40.090000000000003</v>
      </c>
      <c r="V888">
        <f>'raw data Crude oil'!V889</f>
        <v>40.22</v>
      </c>
      <c r="W888">
        <f>'raw data Crude oil'!W889</f>
        <v>40.36</v>
      </c>
      <c r="X888">
        <f>'raw data Crude oil'!X889</f>
        <v>40.5</v>
      </c>
      <c r="Y888">
        <f>'raw data Crude oil'!Y889</f>
        <v>40.65</v>
      </c>
      <c r="Z888">
        <f>'raw data Crude oil'!Z889</f>
        <v>41.177999999999997</v>
      </c>
      <c r="AA888">
        <f>'raw data Crude oil'!AA889</f>
        <v>40.743000000000002</v>
      </c>
      <c r="AB888">
        <f>'raw data Crude oil'!AB889</f>
        <v>40.688000000000002</v>
      </c>
      <c r="AC888">
        <f>'raw data Crude oil'!AC889</f>
        <v>40.972999999999999</v>
      </c>
      <c r="AD888">
        <f>'raw data Crude oil'!AD889</f>
        <v>41.225000000000001</v>
      </c>
      <c r="AE888">
        <f>'raw data Crude oil'!AE889</f>
        <v>41.481999999999999</v>
      </c>
      <c r="AF888">
        <f>'raw data Crude oil'!AF889</f>
        <v>41.677</v>
      </c>
      <c r="AG888">
        <f>'raw data Crude oil'!AG889</f>
        <v>41.863</v>
      </c>
      <c r="AH888">
        <f>'raw data Crude oil'!AH889</f>
        <v>42.054000000000002</v>
      </c>
      <c r="AI888">
        <f>'raw data Crude oil'!AI889</f>
        <v>42.290999999999997</v>
      </c>
      <c r="AJ888">
        <f>'raw data Crude oil'!AJ889</f>
        <v>42.542000000000002</v>
      </c>
      <c r="AK888">
        <f>'raw data Crude oil'!AK889</f>
        <v>42.801000000000002</v>
      </c>
    </row>
    <row r="889" spans="1:37" x14ac:dyDescent="0.3">
      <c r="A889" s="18">
        <f>'raw data Crude oil'!A890</f>
        <v>43992</v>
      </c>
      <c r="B889">
        <f>'raw data Crude oil'!B890</f>
        <v>41.73</v>
      </c>
      <c r="C889">
        <f>'raw data Crude oil'!C890</f>
        <v>41.94</v>
      </c>
      <c r="D889">
        <f>'raw data Crude oil'!D890</f>
        <v>42.14</v>
      </c>
      <c r="E889">
        <f>'raw data Crude oil'!E890</f>
        <v>42.39</v>
      </c>
      <c r="F889">
        <f>'raw data Crude oil'!F890</f>
        <v>42.64</v>
      </c>
      <c r="G889">
        <f>'raw data Crude oil'!G890</f>
        <v>42.86</v>
      </c>
      <c r="H889">
        <f>'raw data Crude oil'!H890</f>
        <v>43.07</v>
      </c>
      <c r="I889">
        <f>'raw data Crude oil'!I890</f>
        <v>43.32</v>
      </c>
      <c r="J889">
        <f>'raw data Crude oil'!J890</f>
        <v>43.55</v>
      </c>
      <c r="K889">
        <f>'raw data Crude oil'!K890</f>
        <v>43.81</v>
      </c>
      <c r="L889">
        <f>'raw data Crude oil'!L890</f>
        <v>44.06</v>
      </c>
      <c r="M889">
        <f>'raw data Crude oil'!M890</f>
        <v>44.29</v>
      </c>
      <c r="N889">
        <f>'raw data Crude oil'!N890</f>
        <v>39.6</v>
      </c>
      <c r="O889">
        <f>'raw data Crude oil'!O890</f>
        <v>39.78</v>
      </c>
      <c r="P889">
        <f>'raw data Crude oil'!P890</f>
        <v>39.97</v>
      </c>
      <c r="Q889">
        <f>'raw data Crude oil'!Q890</f>
        <v>40.090000000000003</v>
      </c>
      <c r="R889">
        <f>'raw data Crude oil'!R890</f>
        <v>40.21</v>
      </c>
      <c r="S889">
        <f>'raw data Crude oil'!S890</f>
        <v>40.33</v>
      </c>
      <c r="T889">
        <f>'raw data Crude oil'!T890</f>
        <v>40.44</v>
      </c>
      <c r="U889">
        <f>'raw data Crude oil'!U890</f>
        <v>40.549999999999997</v>
      </c>
      <c r="V889">
        <f>'raw data Crude oil'!V890</f>
        <v>40.659999999999997</v>
      </c>
      <c r="W889">
        <f>'raw data Crude oil'!W890</f>
        <v>40.78</v>
      </c>
      <c r="X889">
        <f>'raw data Crude oil'!X890</f>
        <v>40.9</v>
      </c>
      <c r="Y889">
        <f>'raw data Crude oil'!Y890</f>
        <v>41.02</v>
      </c>
      <c r="Z889">
        <f>'raw data Crude oil'!Z890</f>
        <v>41.365000000000002</v>
      </c>
      <c r="AA889">
        <f>'raw data Crude oil'!AA890</f>
        <v>41.279000000000003</v>
      </c>
      <c r="AB889">
        <f>'raw data Crude oil'!AB890</f>
        <v>41.259</v>
      </c>
      <c r="AC889">
        <f>'raw data Crude oil'!AC890</f>
        <v>41.48</v>
      </c>
      <c r="AD889">
        <f>'raw data Crude oil'!AD890</f>
        <v>41.688000000000002</v>
      </c>
      <c r="AE889">
        <f>'raw data Crude oil'!AE890</f>
        <v>41.918999999999997</v>
      </c>
      <c r="AF889">
        <f>'raw data Crude oil'!AF890</f>
        <v>42.091000000000001</v>
      </c>
      <c r="AG889">
        <f>'raw data Crude oil'!AG890</f>
        <v>42.281999999999996</v>
      </c>
      <c r="AH889">
        <f>'raw data Crude oil'!AH890</f>
        <v>42.472999999999999</v>
      </c>
      <c r="AI889">
        <f>'raw data Crude oil'!AI890</f>
        <v>42.661000000000001</v>
      </c>
      <c r="AJ889">
        <f>'raw data Crude oil'!AJ890</f>
        <v>42.901000000000003</v>
      </c>
      <c r="AK889">
        <f>'raw data Crude oil'!AK890</f>
        <v>43.11</v>
      </c>
    </row>
    <row r="890" spans="1:37" x14ac:dyDescent="0.3">
      <c r="A890" s="18">
        <f>'raw data Crude oil'!A891</f>
        <v>43993</v>
      </c>
      <c r="B890">
        <f>'raw data Crude oil'!B891</f>
        <v>38.549999999999997</v>
      </c>
      <c r="C890">
        <f>'raw data Crude oil'!C891</f>
        <v>38.880000000000003</v>
      </c>
      <c r="D890">
        <f>'raw data Crude oil'!D891</f>
        <v>39.18</v>
      </c>
      <c r="E890">
        <f>'raw data Crude oil'!E891</f>
        <v>39.49</v>
      </c>
      <c r="F890">
        <f>'raw data Crude oil'!F891</f>
        <v>39.79</v>
      </c>
      <c r="G890">
        <f>'raw data Crude oil'!G891</f>
        <v>40.07</v>
      </c>
      <c r="H890">
        <f>'raw data Crude oil'!H891</f>
        <v>40.340000000000003</v>
      </c>
      <c r="I890">
        <f>'raw data Crude oil'!I891</f>
        <v>40.65</v>
      </c>
      <c r="J890">
        <f>'raw data Crude oil'!J891</f>
        <v>40.93</v>
      </c>
      <c r="K890">
        <f>'raw data Crude oil'!K891</f>
        <v>41.25</v>
      </c>
      <c r="L890">
        <f>'raw data Crude oil'!L891</f>
        <v>41.54</v>
      </c>
      <c r="M890">
        <f>'raw data Crude oil'!M891</f>
        <v>41.82</v>
      </c>
      <c r="N890">
        <f>'raw data Crude oil'!N891</f>
        <v>36.340000000000003</v>
      </c>
      <c r="O890">
        <f>'raw data Crude oil'!O891</f>
        <v>36.57</v>
      </c>
      <c r="P890">
        <f>'raw data Crude oil'!P891</f>
        <v>36.81</v>
      </c>
      <c r="Q890">
        <f>'raw data Crude oil'!Q891</f>
        <v>37</v>
      </c>
      <c r="R890">
        <f>'raw data Crude oil'!R891</f>
        <v>37.200000000000003</v>
      </c>
      <c r="S890">
        <f>'raw data Crude oil'!S891</f>
        <v>37.4</v>
      </c>
      <c r="T890">
        <f>'raw data Crude oil'!T891</f>
        <v>37.590000000000003</v>
      </c>
      <c r="U890">
        <f>'raw data Crude oil'!U891</f>
        <v>37.79</v>
      </c>
      <c r="V890">
        <f>'raw data Crude oil'!V891</f>
        <v>37.99</v>
      </c>
      <c r="W890">
        <f>'raw data Crude oil'!W891</f>
        <v>38.19</v>
      </c>
      <c r="X890">
        <f>'raw data Crude oil'!X891</f>
        <v>38.39</v>
      </c>
      <c r="Y890">
        <f>'raw data Crude oil'!Y891</f>
        <v>38.58</v>
      </c>
      <c r="Z890">
        <f>'raw data Crude oil'!Z891</f>
        <v>39.435000000000002</v>
      </c>
      <c r="AA890">
        <f>'raw data Crude oil'!AA891</f>
        <v>38.243000000000002</v>
      </c>
      <c r="AB890">
        <f>'raw data Crude oil'!AB891</f>
        <v>38.21</v>
      </c>
      <c r="AC890">
        <f>'raw data Crude oil'!AC891</f>
        <v>38.463999999999999</v>
      </c>
      <c r="AD890">
        <f>'raw data Crude oil'!AD891</f>
        <v>38.703000000000003</v>
      </c>
      <c r="AE890">
        <f>'raw data Crude oil'!AE891</f>
        <v>38.972999999999999</v>
      </c>
      <c r="AF890">
        <f>'raw data Crude oil'!AF891</f>
        <v>39.207999999999998</v>
      </c>
      <c r="AG890">
        <f>'raw data Crude oil'!AG891</f>
        <v>39.454000000000001</v>
      </c>
      <c r="AH890">
        <f>'raw data Crude oil'!AH891</f>
        <v>39.655999999999999</v>
      </c>
      <c r="AI890">
        <f>'raw data Crude oil'!AI891</f>
        <v>39.912999999999997</v>
      </c>
      <c r="AJ890">
        <f>'raw data Crude oil'!AJ891</f>
        <v>40.183</v>
      </c>
      <c r="AK890">
        <f>'raw data Crude oil'!AK891</f>
        <v>40.444000000000003</v>
      </c>
    </row>
    <row r="891" spans="1:37" x14ac:dyDescent="0.3">
      <c r="A891" s="18">
        <f>'raw data Crude oil'!A892</f>
        <v>43994</v>
      </c>
      <c r="B891">
        <f>'raw data Crude oil'!B892</f>
        <v>38.729999999999997</v>
      </c>
      <c r="C891">
        <f>'raw data Crude oil'!C892</f>
        <v>38.979999999999997</v>
      </c>
      <c r="D891">
        <f>'raw data Crude oil'!D892</f>
        <v>39.28</v>
      </c>
      <c r="E891">
        <f>'raw data Crude oil'!E892</f>
        <v>39.6</v>
      </c>
      <c r="F891">
        <f>'raw data Crude oil'!F892</f>
        <v>39.9</v>
      </c>
      <c r="G891">
        <f>'raw data Crude oil'!G892</f>
        <v>40.200000000000003</v>
      </c>
      <c r="H891">
        <f>'raw data Crude oil'!H892</f>
        <v>40.479999999999997</v>
      </c>
      <c r="I891">
        <f>'raw data Crude oil'!I892</f>
        <v>40.79</v>
      </c>
      <c r="J891">
        <f>'raw data Crude oil'!J892</f>
        <v>41.06</v>
      </c>
      <c r="K891">
        <f>'raw data Crude oil'!K892</f>
        <v>41.36</v>
      </c>
      <c r="L891">
        <f>'raw data Crude oil'!L892</f>
        <v>41.65</v>
      </c>
      <c r="M891">
        <f>'raw data Crude oil'!M892</f>
        <v>41.91</v>
      </c>
      <c r="N891">
        <f>'raw data Crude oil'!N892</f>
        <v>36.26</v>
      </c>
      <c r="O891">
        <f>'raw data Crude oil'!O892</f>
        <v>36.51</v>
      </c>
      <c r="P891">
        <f>'raw data Crude oil'!P892</f>
        <v>36.78</v>
      </c>
      <c r="Q891">
        <f>'raw data Crude oil'!Q892</f>
        <v>37</v>
      </c>
      <c r="R891">
        <f>'raw data Crude oil'!R892</f>
        <v>37.21</v>
      </c>
      <c r="S891">
        <f>'raw data Crude oil'!S892</f>
        <v>37.42</v>
      </c>
      <c r="T891">
        <f>'raw data Crude oil'!T892</f>
        <v>37.619999999999997</v>
      </c>
      <c r="U891">
        <f>'raw data Crude oil'!U892</f>
        <v>37.81</v>
      </c>
      <c r="V891">
        <f>'raw data Crude oil'!V892</f>
        <v>38.01</v>
      </c>
      <c r="W891">
        <f>'raw data Crude oil'!W892</f>
        <v>38.21</v>
      </c>
      <c r="X891">
        <f>'raw data Crude oil'!X892</f>
        <v>38.409999999999997</v>
      </c>
      <c r="Y891">
        <f>'raw data Crude oil'!Y892</f>
        <v>38.6</v>
      </c>
      <c r="Z891">
        <f>'raw data Crude oil'!Z892</f>
        <v>39.418999999999997</v>
      </c>
      <c r="AA891">
        <f>'raw data Crude oil'!AA892</f>
        <v>38.343000000000004</v>
      </c>
      <c r="AB891">
        <f>'raw data Crude oil'!AB892</f>
        <v>38.32</v>
      </c>
      <c r="AC891">
        <f>'raw data Crude oil'!AC892</f>
        <v>38.514000000000003</v>
      </c>
      <c r="AD891">
        <f>'raw data Crude oil'!AD892</f>
        <v>38.734000000000002</v>
      </c>
      <c r="AE891">
        <f>'raw data Crude oil'!AE892</f>
        <v>39.003</v>
      </c>
      <c r="AF891">
        <f>'raw data Crude oil'!AF892</f>
        <v>39.207999999999998</v>
      </c>
      <c r="AG891">
        <f>'raw data Crude oil'!AG892</f>
        <v>39.444000000000003</v>
      </c>
      <c r="AH891">
        <f>'raw data Crude oil'!AH892</f>
        <v>39.695</v>
      </c>
      <c r="AI891">
        <f>'raw data Crude oil'!AI892</f>
        <v>39.972999999999999</v>
      </c>
      <c r="AJ891">
        <f>'raw data Crude oil'!AJ892</f>
        <v>40.241999999999997</v>
      </c>
      <c r="AK891">
        <f>'raw data Crude oil'!AK892</f>
        <v>40.503</v>
      </c>
    </row>
    <row r="892" spans="1:37" x14ac:dyDescent="0.3">
      <c r="A892" s="18">
        <f>'raw data Crude oil'!A893</f>
        <v>43997</v>
      </c>
      <c r="B892">
        <f>'raw data Crude oil'!B893</f>
        <v>39.72</v>
      </c>
      <c r="C892">
        <f>'raw data Crude oil'!C893</f>
        <v>39.93</v>
      </c>
      <c r="D892">
        <f>'raw data Crude oil'!D893</f>
        <v>40.200000000000003</v>
      </c>
      <c r="E892">
        <f>'raw data Crude oil'!E893</f>
        <v>40.54</v>
      </c>
      <c r="F892">
        <f>'raw data Crude oil'!F893</f>
        <v>40.85</v>
      </c>
      <c r="G892">
        <f>'raw data Crude oil'!G893</f>
        <v>41.16</v>
      </c>
      <c r="H892">
        <f>'raw data Crude oil'!H893</f>
        <v>41.45</v>
      </c>
      <c r="I892">
        <f>'raw data Crude oil'!I893</f>
        <v>41.75</v>
      </c>
      <c r="J892">
        <f>'raw data Crude oil'!J893</f>
        <v>42.02</v>
      </c>
      <c r="K892">
        <f>'raw data Crude oil'!K893</f>
        <v>42.32</v>
      </c>
      <c r="L892">
        <f>'raw data Crude oil'!L893</f>
        <v>42.59</v>
      </c>
      <c r="M892">
        <f>'raw data Crude oil'!M893</f>
        <v>42.85</v>
      </c>
      <c r="N892">
        <f>'raw data Crude oil'!N893</f>
        <v>37.119999999999997</v>
      </c>
      <c r="O892">
        <f>'raw data Crude oil'!O893</f>
        <v>37.43</v>
      </c>
      <c r="P892">
        <f>'raw data Crude oil'!P893</f>
        <v>37.71</v>
      </c>
      <c r="Q892">
        <f>'raw data Crude oil'!Q893</f>
        <v>37.96</v>
      </c>
      <c r="R892">
        <f>'raw data Crude oil'!R893</f>
        <v>38.19</v>
      </c>
      <c r="S892">
        <f>'raw data Crude oil'!S893</f>
        <v>38.43</v>
      </c>
      <c r="T892">
        <f>'raw data Crude oil'!T893</f>
        <v>38.64</v>
      </c>
      <c r="U892">
        <f>'raw data Crude oil'!U893</f>
        <v>38.840000000000003</v>
      </c>
      <c r="V892">
        <f>'raw data Crude oil'!V893</f>
        <v>39.04</v>
      </c>
      <c r="W892">
        <f>'raw data Crude oil'!W893</f>
        <v>39.229999999999997</v>
      </c>
      <c r="X892">
        <f>'raw data Crude oil'!X893</f>
        <v>39.42</v>
      </c>
      <c r="Y892">
        <f>'raw data Crude oil'!Y893</f>
        <v>39.61</v>
      </c>
      <c r="Z892">
        <f>'raw data Crude oil'!Z893</f>
        <v>39.704999999999998</v>
      </c>
      <c r="AA892">
        <f>'raw data Crude oil'!AA893</f>
        <v>38.972000000000001</v>
      </c>
      <c r="AB892">
        <f>'raw data Crude oil'!AB893</f>
        <v>38.981999999999999</v>
      </c>
      <c r="AC892">
        <f>'raw data Crude oil'!AC893</f>
        <v>39.264000000000003</v>
      </c>
      <c r="AD892">
        <f>'raw data Crude oil'!AD893</f>
        <v>39.524000000000001</v>
      </c>
      <c r="AE892">
        <f>'raw data Crude oil'!AE893</f>
        <v>39.783999999999999</v>
      </c>
      <c r="AF892">
        <f>'raw data Crude oil'!AF893</f>
        <v>40.036999999999999</v>
      </c>
      <c r="AG892">
        <f>'raw data Crude oil'!AG893</f>
        <v>40.283999999999999</v>
      </c>
      <c r="AH892">
        <f>'raw data Crude oil'!AH893</f>
        <v>40.524999999999999</v>
      </c>
      <c r="AI892">
        <f>'raw data Crude oil'!AI893</f>
        <v>40.792000000000002</v>
      </c>
      <c r="AJ892">
        <f>'raw data Crude oil'!AJ893</f>
        <v>41.091999999999999</v>
      </c>
      <c r="AK892">
        <f>'raw data Crude oil'!AK893</f>
        <v>41.383000000000003</v>
      </c>
    </row>
    <row r="893" spans="1:37" x14ac:dyDescent="0.3">
      <c r="A893" s="18">
        <f>'raw data Crude oil'!A894</f>
        <v>43998</v>
      </c>
      <c r="B893">
        <f>'raw data Crude oil'!B894</f>
        <v>40.96</v>
      </c>
      <c r="C893">
        <f>'raw data Crude oil'!C894</f>
        <v>41.13</v>
      </c>
      <c r="D893">
        <f>'raw data Crude oil'!D894</f>
        <v>41.35</v>
      </c>
      <c r="E893">
        <f>'raw data Crude oil'!E894</f>
        <v>41.65</v>
      </c>
      <c r="F893">
        <f>'raw data Crude oil'!F894</f>
        <v>41.93</v>
      </c>
      <c r="G893">
        <f>'raw data Crude oil'!G894</f>
        <v>42.21</v>
      </c>
      <c r="H893">
        <f>'raw data Crude oil'!H894</f>
        <v>42.47</v>
      </c>
      <c r="I893">
        <f>'raw data Crude oil'!I894</f>
        <v>42.75</v>
      </c>
      <c r="J893">
        <f>'raw data Crude oil'!J894</f>
        <v>43</v>
      </c>
      <c r="K893">
        <f>'raw data Crude oil'!K894</f>
        <v>43.27</v>
      </c>
      <c r="L893">
        <f>'raw data Crude oil'!L894</f>
        <v>43.53</v>
      </c>
      <c r="M893">
        <f>'raw data Crude oil'!M894</f>
        <v>43.76</v>
      </c>
      <c r="N893">
        <f>'raw data Crude oil'!N894</f>
        <v>38.380000000000003</v>
      </c>
      <c r="O893">
        <f>'raw data Crude oil'!O894</f>
        <v>38.65</v>
      </c>
      <c r="P893">
        <f>'raw data Crude oil'!P894</f>
        <v>38.869999999999997</v>
      </c>
      <c r="Q893">
        <f>'raw data Crude oil'!Q894</f>
        <v>39.090000000000003</v>
      </c>
      <c r="R893">
        <f>'raw data Crude oil'!R894</f>
        <v>39.299999999999997</v>
      </c>
      <c r="S893">
        <f>'raw data Crude oil'!S894</f>
        <v>39.51</v>
      </c>
      <c r="T893">
        <f>'raw data Crude oil'!T894</f>
        <v>39.69</v>
      </c>
      <c r="U893">
        <f>'raw data Crude oil'!U894</f>
        <v>39.869999999999997</v>
      </c>
      <c r="V893">
        <f>'raw data Crude oil'!V894</f>
        <v>40.020000000000003</v>
      </c>
      <c r="W893">
        <f>'raw data Crude oil'!W894</f>
        <v>40.18</v>
      </c>
      <c r="X893">
        <f>'raw data Crude oil'!X894</f>
        <v>40.36</v>
      </c>
      <c r="Y893">
        <f>'raw data Crude oil'!Y894</f>
        <v>40.520000000000003</v>
      </c>
      <c r="Z893">
        <f>'raw data Crude oil'!Z894</f>
        <v>40.229999999999997</v>
      </c>
      <c r="AA893">
        <f>'raw data Crude oil'!AA894</f>
        <v>40.049999999999997</v>
      </c>
      <c r="AB893">
        <f>'raw data Crude oil'!AB894</f>
        <v>40.039000000000001</v>
      </c>
      <c r="AC893">
        <f>'raw data Crude oil'!AC894</f>
        <v>40.283000000000001</v>
      </c>
      <c r="AD893">
        <f>'raw data Crude oil'!AD894</f>
        <v>40.523000000000003</v>
      </c>
      <c r="AE893">
        <f>'raw data Crude oil'!AE894</f>
        <v>40.771999999999998</v>
      </c>
      <c r="AF893">
        <f>'raw data Crude oil'!AF894</f>
        <v>41.005000000000003</v>
      </c>
      <c r="AG893">
        <f>'raw data Crude oil'!AG894</f>
        <v>41.253</v>
      </c>
      <c r="AH893">
        <f>'raw data Crude oil'!AH894</f>
        <v>41.503999999999998</v>
      </c>
      <c r="AI893">
        <f>'raw data Crude oil'!AI894</f>
        <v>41.741</v>
      </c>
      <c r="AJ893">
        <f>'raw data Crude oil'!AJ894</f>
        <v>42.000999999999998</v>
      </c>
      <c r="AK893">
        <f>'raw data Crude oil'!AK894</f>
        <v>42.280999999999999</v>
      </c>
    </row>
    <row r="894" spans="1:37" x14ac:dyDescent="0.3">
      <c r="A894" s="18">
        <f>'raw data Crude oil'!A895</f>
        <v>43999</v>
      </c>
      <c r="B894">
        <f>'raw data Crude oil'!B895</f>
        <v>40.71</v>
      </c>
      <c r="C894">
        <f>'raw data Crude oil'!C895</f>
        <v>40.770000000000003</v>
      </c>
      <c r="D894">
        <f>'raw data Crude oil'!D895</f>
        <v>40.909999999999997</v>
      </c>
      <c r="E894">
        <f>'raw data Crude oil'!E895</f>
        <v>41.12</v>
      </c>
      <c r="F894">
        <f>'raw data Crude oil'!F895</f>
        <v>41.34</v>
      </c>
      <c r="G894">
        <f>'raw data Crude oil'!G895</f>
        <v>41.58</v>
      </c>
      <c r="H894">
        <f>'raw data Crude oil'!H895</f>
        <v>41.8</v>
      </c>
      <c r="I894">
        <f>'raw data Crude oil'!I895</f>
        <v>42.05</v>
      </c>
      <c r="J894">
        <f>'raw data Crude oil'!J895</f>
        <v>42.28</v>
      </c>
      <c r="K894">
        <f>'raw data Crude oil'!K895</f>
        <v>42.53</v>
      </c>
      <c r="L894">
        <f>'raw data Crude oil'!L895</f>
        <v>42.78</v>
      </c>
      <c r="M894">
        <f>'raw data Crude oil'!M895</f>
        <v>43.02</v>
      </c>
      <c r="N894">
        <f>'raw data Crude oil'!N895</f>
        <v>37.96</v>
      </c>
      <c r="O894">
        <f>'raw data Crude oil'!O895</f>
        <v>38.21</v>
      </c>
      <c r="P894">
        <f>'raw data Crude oil'!P895</f>
        <v>38.4</v>
      </c>
      <c r="Q894">
        <f>'raw data Crude oil'!Q895</f>
        <v>38.58</v>
      </c>
      <c r="R894">
        <f>'raw data Crude oil'!R895</f>
        <v>38.74</v>
      </c>
      <c r="S894">
        <f>'raw data Crude oil'!S895</f>
        <v>38.9</v>
      </c>
      <c r="T894">
        <f>'raw data Crude oil'!T895</f>
        <v>39.06</v>
      </c>
      <c r="U894">
        <f>'raw data Crude oil'!U895</f>
        <v>39.21</v>
      </c>
      <c r="V894">
        <f>'raw data Crude oil'!V895</f>
        <v>39.369999999999997</v>
      </c>
      <c r="W894">
        <f>'raw data Crude oil'!W895</f>
        <v>39.520000000000003</v>
      </c>
      <c r="X894">
        <f>'raw data Crude oil'!X895</f>
        <v>39.67</v>
      </c>
      <c r="Y894">
        <f>'raw data Crude oil'!Y895</f>
        <v>39.82</v>
      </c>
      <c r="Z894">
        <f>'raw data Crude oil'!Z895</f>
        <v>40.218000000000004</v>
      </c>
      <c r="AA894">
        <f>'raw data Crude oil'!AA895</f>
        <v>39.625999999999998</v>
      </c>
      <c r="AB894">
        <f>'raw data Crude oil'!AB895</f>
        <v>39.56</v>
      </c>
      <c r="AC894">
        <f>'raw data Crude oil'!AC895</f>
        <v>39.75</v>
      </c>
      <c r="AD894">
        <f>'raw data Crude oil'!AD895</f>
        <v>39.951000000000001</v>
      </c>
      <c r="AE894">
        <f>'raw data Crude oil'!AE895</f>
        <v>40.159999999999997</v>
      </c>
      <c r="AF894">
        <f>'raw data Crude oil'!AF895</f>
        <v>40.363</v>
      </c>
      <c r="AG894">
        <f>'raw data Crude oil'!AG895</f>
        <v>40.582000000000001</v>
      </c>
      <c r="AH894">
        <f>'raw data Crude oil'!AH895</f>
        <v>40.792999999999999</v>
      </c>
      <c r="AI894">
        <f>'raw data Crude oil'!AI895</f>
        <v>41.051000000000002</v>
      </c>
      <c r="AJ894">
        <f>'raw data Crude oil'!AJ895</f>
        <v>41.290999999999997</v>
      </c>
      <c r="AK894">
        <f>'raw data Crude oil'!AK895</f>
        <v>41.53</v>
      </c>
    </row>
    <row r="895" spans="1:37" x14ac:dyDescent="0.3">
      <c r="A895" s="18">
        <f>'raw data Crude oil'!A896</f>
        <v>44000</v>
      </c>
      <c r="B895">
        <f>'raw data Crude oil'!B896</f>
        <v>41.51</v>
      </c>
      <c r="C895">
        <f>'raw data Crude oil'!C896</f>
        <v>41.47</v>
      </c>
      <c r="D895">
        <f>'raw data Crude oil'!D896</f>
        <v>41.51</v>
      </c>
      <c r="E895">
        <f>'raw data Crude oil'!E896</f>
        <v>41.64</v>
      </c>
      <c r="F895">
        <f>'raw data Crude oil'!F896</f>
        <v>41.79</v>
      </c>
      <c r="G895">
        <f>'raw data Crude oil'!G896</f>
        <v>41.95</v>
      </c>
      <c r="H895">
        <f>'raw data Crude oil'!H896</f>
        <v>42.12</v>
      </c>
      <c r="I895">
        <f>'raw data Crude oil'!I896</f>
        <v>42.34</v>
      </c>
      <c r="J895">
        <f>'raw data Crude oil'!J896</f>
        <v>42.54</v>
      </c>
      <c r="K895">
        <f>'raw data Crude oil'!K896</f>
        <v>42.76</v>
      </c>
      <c r="L895">
        <f>'raw data Crude oil'!L896</f>
        <v>42.98</v>
      </c>
      <c r="M895">
        <f>'raw data Crude oil'!M896</f>
        <v>43.18</v>
      </c>
      <c r="N895">
        <f>'raw data Crude oil'!N896</f>
        <v>38.840000000000003</v>
      </c>
      <c r="O895">
        <f>'raw data Crude oil'!O896</f>
        <v>39.049999999999997</v>
      </c>
      <c r="P895">
        <f>'raw data Crude oil'!P896</f>
        <v>39.229999999999997</v>
      </c>
      <c r="Q895">
        <f>'raw data Crude oil'!Q896</f>
        <v>39.380000000000003</v>
      </c>
      <c r="R895">
        <f>'raw data Crude oil'!R896</f>
        <v>39.51</v>
      </c>
      <c r="S895">
        <f>'raw data Crude oil'!S896</f>
        <v>39.630000000000003</v>
      </c>
      <c r="T895">
        <f>'raw data Crude oil'!T896</f>
        <v>39.75</v>
      </c>
      <c r="U895">
        <f>'raw data Crude oil'!U896</f>
        <v>39.86</v>
      </c>
      <c r="V895">
        <f>'raw data Crude oil'!V896</f>
        <v>39.979999999999997</v>
      </c>
      <c r="W895">
        <f>'raw data Crude oil'!W896</f>
        <v>40.1</v>
      </c>
      <c r="X895">
        <f>'raw data Crude oil'!X896</f>
        <v>40.229999999999997</v>
      </c>
      <c r="Y895">
        <f>'raw data Crude oil'!Y896</f>
        <v>40.35</v>
      </c>
      <c r="Z895">
        <f>'raw data Crude oil'!Z896</f>
        <v>40.683999999999997</v>
      </c>
      <c r="AA895">
        <f>'raw data Crude oil'!AA896</f>
        <v>40.841999999999999</v>
      </c>
      <c r="AB895">
        <f>'raw data Crude oil'!AB896</f>
        <v>40.561999999999998</v>
      </c>
      <c r="AC895">
        <f>'raw data Crude oil'!AC896</f>
        <v>40.527000000000001</v>
      </c>
      <c r="AD895">
        <f>'raw data Crude oil'!AD896</f>
        <v>40.612000000000002</v>
      </c>
      <c r="AE895">
        <f>'raw data Crude oil'!AE896</f>
        <v>40.728000000000002</v>
      </c>
      <c r="AF895">
        <f>'raw data Crude oil'!AF896</f>
        <v>40.840000000000003</v>
      </c>
      <c r="AG895">
        <f>'raw data Crude oil'!AG896</f>
        <v>40.950000000000003</v>
      </c>
      <c r="AH895">
        <f>'raw data Crude oil'!AH896</f>
        <v>41.110999999999997</v>
      </c>
      <c r="AI895">
        <f>'raw data Crude oil'!AI896</f>
        <v>41.28</v>
      </c>
      <c r="AJ895">
        <f>'raw data Crude oil'!AJ896</f>
        <v>41.49</v>
      </c>
      <c r="AK895">
        <f>'raw data Crude oil'!AK896</f>
        <v>41.688000000000002</v>
      </c>
    </row>
    <row r="896" spans="1:37" x14ac:dyDescent="0.3">
      <c r="A896" s="18">
        <f>'raw data Crude oil'!A897</f>
        <v>44001</v>
      </c>
      <c r="B896">
        <f>'raw data Crude oil'!B897</f>
        <v>42.19</v>
      </c>
      <c r="C896">
        <f>'raw data Crude oil'!C897</f>
        <v>42.14</v>
      </c>
      <c r="D896">
        <f>'raw data Crude oil'!D897</f>
        <v>42.15</v>
      </c>
      <c r="E896">
        <f>'raw data Crude oil'!E897</f>
        <v>42.25</v>
      </c>
      <c r="F896">
        <f>'raw data Crude oil'!F897</f>
        <v>42.38</v>
      </c>
      <c r="G896">
        <f>'raw data Crude oil'!G897</f>
        <v>42.53</v>
      </c>
      <c r="H896">
        <f>'raw data Crude oil'!H897</f>
        <v>42.67</v>
      </c>
      <c r="I896">
        <f>'raw data Crude oil'!I897</f>
        <v>42.86</v>
      </c>
      <c r="J896">
        <f>'raw data Crude oil'!J897</f>
        <v>43.03</v>
      </c>
      <c r="K896">
        <f>'raw data Crude oil'!K897</f>
        <v>43.23</v>
      </c>
      <c r="L896">
        <f>'raw data Crude oil'!L897</f>
        <v>43.42</v>
      </c>
      <c r="M896">
        <f>'raw data Crude oil'!M897</f>
        <v>43.59</v>
      </c>
      <c r="N896">
        <f>'raw data Crude oil'!N897</f>
        <v>39.75</v>
      </c>
      <c r="O896">
        <f>'raw data Crude oil'!O897</f>
        <v>39.83</v>
      </c>
      <c r="P896">
        <f>'raw data Crude oil'!P897</f>
        <v>39.93</v>
      </c>
      <c r="Q896">
        <f>'raw data Crude oil'!Q897</f>
        <v>40.020000000000003</v>
      </c>
      <c r="R896">
        <f>'raw data Crude oil'!R897</f>
        <v>40.1</v>
      </c>
      <c r="S896">
        <f>'raw data Crude oil'!S897</f>
        <v>40.19</v>
      </c>
      <c r="T896">
        <f>'raw data Crude oil'!T897</f>
        <v>40.270000000000003</v>
      </c>
      <c r="U896">
        <f>'raw data Crude oil'!U897</f>
        <v>40.35</v>
      </c>
      <c r="V896">
        <f>'raw data Crude oil'!V897</f>
        <v>40.43</v>
      </c>
      <c r="W896">
        <f>'raw data Crude oil'!W897</f>
        <v>40.520000000000003</v>
      </c>
      <c r="X896">
        <f>'raw data Crude oil'!X897</f>
        <v>40.619999999999997</v>
      </c>
      <c r="Y896">
        <f>'raw data Crude oil'!Y897</f>
        <v>40.71</v>
      </c>
      <c r="Z896">
        <f>'raw data Crude oil'!Z897</f>
        <v>40.893999999999998</v>
      </c>
      <c r="AA896">
        <f>'raw data Crude oil'!AA897</f>
        <v>41.54</v>
      </c>
      <c r="AB896">
        <f>'raw data Crude oil'!AB897</f>
        <v>41.29</v>
      </c>
      <c r="AC896">
        <f>'raw data Crude oil'!AC897</f>
        <v>41.235999999999997</v>
      </c>
      <c r="AD896">
        <f>'raw data Crude oil'!AD897</f>
        <v>41.256999999999998</v>
      </c>
      <c r="AE896">
        <f>'raw data Crude oil'!AE897</f>
        <v>41.307000000000002</v>
      </c>
      <c r="AF896">
        <f>'raw data Crude oil'!AF897</f>
        <v>41.356999999999999</v>
      </c>
      <c r="AG896">
        <f>'raw data Crude oil'!AG897</f>
        <v>41.478999999999999</v>
      </c>
      <c r="AH896">
        <f>'raw data Crude oil'!AH897</f>
        <v>41.64</v>
      </c>
      <c r="AI896">
        <f>'raw data Crude oil'!AI897</f>
        <v>41.817999999999998</v>
      </c>
      <c r="AJ896">
        <f>'raw data Crude oil'!AJ897</f>
        <v>41.997999999999998</v>
      </c>
      <c r="AK896">
        <f>'raw data Crude oil'!AK897</f>
        <v>42.186999999999998</v>
      </c>
    </row>
    <row r="897" spans="1:37" x14ac:dyDescent="0.3">
      <c r="A897" s="18">
        <f>'raw data Crude oil'!A898</f>
        <v>44004</v>
      </c>
      <c r="B897">
        <f>'raw data Crude oil'!B898</f>
        <v>43.08</v>
      </c>
      <c r="C897">
        <f>'raw data Crude oil'!C898</f>
        <v>43.07</v>
      </c>
      <c r="D897">
        <f>'raw data Crude oil'!D898</f>
        <v>43.08</v>
      </c>
      <c r="E897">
        <f>'raw data Crude oil'!E898</f>
        <v>43.19</v>
      </c>
      <c r="F897">
        <f>'raw data Crude oil'!F898</f>
        <v>43.33</v>
      </c>
      <c r="G897">
        <f>'raw data Crude oil'!G898</f>
        <v>43.48</v>
      </c>
      <c r="H897">
        <f>'raw data Crude oil'!H898</f>
        <v>43.63</v>
      </c>
      <c r="I897">
        <f>'raw data Crude oil'!I898</f>
        <v>43.81</v>
      </c>
      <c r="J897">
        <f>'raw data Crude oil'!J898</f>
        <v>43.97</v>
      </c>
      <c r="K897">
        <f>'raw data Crude oil'!K898</f>
        <v>44.14</v>
      </c>
      <c r="L897">
        <f>'raw data Crude oil'!L898</f>
        <v>44.31</v>
      </c>
      <c r="M897">
        <f>'raw data Crude oil'!M898</f>
        <v>44.46</v>
      </c>
      <c r="N897">
        <f>'raw data Crude oil'!N898</f>
        <v>40.46</v>
      </c>
      <c r="O897">
        <f>'raw data Crude oil'!O898</f>
        <v>40.729999999999997</v>
      </c>
      <c r="P897">
        <f>'raw data Crude oil'!P898</f>
        <v>40.85</v>
      </c>
      <c r="Q897">
        <f>'raw data Crude oil'!Q898</f>
        <v>40.950000000000003</v>
      </c>
      <c r="R897">
        <f>'raw data Crude oil'!R898</f>
        <v>41.04</v>
      </c>
      <c r="S897">
        <f>'raw data Crude oil'!S898</f>
        <v>41.12</v>
      </c>
      <c r="T897">
        <f>'raw data Crude oil'!T898</f>
        <v>41.18</v>
      </c>
      <c r="U897">
        <f>'raw data Crude oil'!U898</f>
        <v>41.24</v>
      </c>
      <c r="V897">
        <f>'raw data Crude oil'!V898</f>
        <v>41.3</v>
      </c>
      <c r="W897">
        <f>'raw data Crude oil'!W898</f>
        <v>41.36</v>
      </c>
      <c r="X897">
        <f>'raw data Crude oil'!X898</f>
        <v>41.44</v>
      </c>
      <c r="Y897">
        <f>'raw data Crude oil'!Y898</f>
        <v>41.52</v>
      </c>
      <c r="Z897">
        <f>'raw data Crude oil'!Z898</f>
        <v>41.148000000000003</v>
      </c>
      <c r="AA897">
        <f>'raw data Crude oil'!AA898</f>
        <v>42.33</v>
      </c>
      <c r="AB897">
        <f>'raw data Crude oil'!AB898</f>
        <v>42.15</v>
      </c>
      <c r="AC897">
        <f>'raw data Crude oil'!AC898</f>
        <v>42.136000000000003</v>
      </c>
      <c r="AD897">
        <f>'raw data Crude oil'!AD898</f>
        <v>42.177</v>
      </c>
      <c r="AE897">
        <f>'raw data Crude oil'!AE898</f>
        <v>42.247</v>
      </c>
      <c r="AF897">
        <f>'raw data Crude oil'!AF898</f>
        <v>42.326000000000001</v>
      </c>
      <c r="AG897">
        <f>'raw data Crude oil'!AG898</f>
        <v>42.427999999999997</v>
      </c>
      <c r="AH897">
        <f>'raw data Crude oil'!AH898</f>
        <v>42.579000000000001</v>
      </c>
      <c r="AI897">
        <f>'raw data Crude oil'!AI898</f>
        <v>42.726999999999997</v>
      </c>
      <c r="AJ897">
        <f>'raw data Crude oil'!AJ898</f>
        <v>42.887</v>
      </c>
      <c r="AK897">
        <f>'raw data Crude oil'!AK898</f>
        <v>43.054000000000002</v>
      </c>
    </row>
    <row r="898" spans="1:37" x14ac:dyDescent="0.3">
      <c r="A898" s="18">
        <f>'raw data Crude oil'!A899</f>
        <v>44005</v>
      </c>
      <c r="B898">
        <f>'raw data Crude oil'!B899</f>
        <v>42.63</v>
      </c>
      <c r="C898">
        <f>'raw data Crude oil'!C899</f>
        <v>42.73</v>
      </c>
      <c r="D898">
        <f>'raw data Crude oil'!D899</f>
        <v>42.8</v>
      </c>
      <c r="E898">
        <f>'raw data Crude oil'!E899</f>
        <v>42.95</v>
      </c>
      <c r="F898">
        <f>'raw data Crude oil'!F899</f>
        <v>43.11</v>
      </c>
      <c r="G898">
        <f>'raw data Crude oil'!G899</f>
        <v>43.27</v>
      </c>
      <c r="H898">
        <f>'raw data Crude oil'!H899</f>
        <v>43.42</v>
      </c>
      <c r="I898">
        <f>'raw data Crude oil'!I899</f>
        <v>43.61</v>
      </c>
      <c r="J898">
        <f>'raw data Crude oil'!J899</f>
        <v>43.77</v>
      </c>
      <c r="K898">
        <f>'raw data Crude oil'!K899</f>
        <v>43.95</v>
      </c>
      <c r="L898">
        <f>'raw data Crude oil'!L899</f>
        <v>44.12</v>
      </c>
      <c r="M898">
        <f>'raw data Crude oil'!M899</f>
        <v>44.26</v>
      </c>
      <c r="N898">
        <f>'raw data Crude oil'!N899</f>
        <v>40.369999999999997</v>
      </c>
      <c r="O898">
        <f>'raw data Crude oil'!O899</f>
        <v>40.51</v>
      </c>
      <c r="P898">
        <f>'raw data Crude oil'!P899</f>
        <v>40.630000000000003</v>
      </c>
      <c r="Q898">
        <f>'raw data Crude oil'!Q899</f>
        <v>40.729999999999997</v>
      </c>
      <c r="R898">
        <f>'raw data Crude oil'!R899</f>
        <v>40.82</v>
      </c>
      <c r="S898">
        <f>'raw data Crude oil'!S899</f>
        <v>40.89</v>
      </c>
      <c r="T898">
        <f>'raw data Crude oil'!T899</f>
        <v>40.950000000000003</v>
      </c>
      <c r="U898">
        <f>'raw data Crude oil'!U899</f>
        <v>41.01</v>
      </c>
      <c r="V898">
        <f>'raw data Crude oil'!V899</f>
        <v>41.07</v>
      </c>
      <c r="W898">
        <f>'raw data Crude oil'!W899</f>
        <v>41.14</v>
      </c>
      <c r="X898">
        <f>'raw data Crude oil'!X899</f>
        <v>41.21</v>
      </c>
      <c r="Y898">
        <f>'raw data Crude oil'!Y899</f>
        <v>41.26</v>
      </c>
      <c r="Z898">
        <f>'raw data Crude oil'!Z899</f>
        <v>41.033000000000001</v>
      </c>
      <c r="AA898">
        <f>'raw data Crude oil'!AA899</f>
        <v>41.942999999999998</v>
      </c>
      <c r="AB898">
        <f>'raw data Crude oil'!AB899</f>
        <v>41.753999999999998</v>
      </c>
      <c r="AC898">
        <f>'raw data Crude oil'!AC899</f>
        <v>41.777000000000001</v>
      </c>
      <c r="AD898">
        <f>'raw data Crude oil'!AD899</f>
        <v>41.847000000000001</v>
      </c>
      <c r="AE898">
        <f>'raw data Crude oil'!AE899</f>
        <v>41.936999999999998</v>
      </c>
      <c r="AF898">
        <f>'raw data Crude oil'!AF899</f>
        <v>42.057000000000002</v>
      </c>
      <c r="AG898">
        <f>'raw data Crude oil'!AG899</f>
        <v>42.207999999999998</v>
      </c>
      <c r="AH898">
        <f>'raw data Crude oil'!AH899</f>
        <v>42.378999999999998</v>
      </c>
      <c r="AI898">
        <f>'raw data Crude oil'!AI899</f>
        <v>42.536999999999999</v>
      </c>
      <c r="AJ898">
        <f>'raw data Crude oil'!AJ899</f>
        <v>42.697000000000003</v>
      </c>
      <c r="AK898">
        <f>'raw data Crude oil'!AK899</f>
        <v>42.854999999999997</v>
      </c>
    </row>
    <row r="899" spans="1:37" x14ac:dyDescent="0.3">
      <c r="A899" s="18">
        <f>'raw data Crude oil'!A900</f>
        <v>44006</v>
      </c>
      <c r="B899">
        <f>'raw data Crude oil'!B900</f>
        <v>40.31</v>
      </c>
      <c r="C899">
        <f>'raw data Crude oil'!C900</f>
        <v>40.53</v>
      </c>
      <c r="D899">
        <f>'raw data Crude oil'!D900</f>
        <v>40.72</v>
      </c>
      <c r="E899">
        <f>'raw data Crude oil'!E900</f>
        <v>40.93</v>
      </c>
      <c r="F899">
        <f>'raw data Crude oil'!F900</f>
        <v>41.15</v>
      </c>
      <c r="G899">
        <f>'raw data Crude oil'!G900</f>
        <v>41.36</v>
      </c>
      <c r="H899">
        <f>'raw data Crude oil'!H900</f>
        <v>41.57</v>
      </c>
      <c r="I899">
        <f>'raw data Crude oil'!I900</f>
        <v>41.81</v>
      </c>
      <c r="J899">
        <f>'raw data Crude oil'!J900</f>
        <v>42.02</v>
      </c>
      <c r="K899">
        <f>'raw data Crude oil'!K900</f>
        <v>42.23</v>
      </c>
      <c r="L899">
        <f>'raw data Crude oil'!L900</f>
        <v>42.46</v>
      </c>
      <c r="M899">
        <f>'raw data Crude oil'!M900</f>
        <v>42.64</v>
      </c>
      <c r="N899">
        <f>'raw data Crude oil'!N900</f>
        <v>38.01</v>
      </c>
      <c r="O899">
        <f>'raw data Crude oil'!O900</f>
        <v>38.21</v>
      </c>
      <c r="P899">
        <f>'raw data Crude oil'!P900</f>
        <v>38.39</v>
      </c>
      <c r="Q899">
        <f>'raw data Crude oil'!Q900</f>
        <v>38.56</v>
      </c>
      <c r="R899">
        <f>'raw data Crude oil'!R900</f>
        <v>38.729999999999997</v>
      </c>
      <c r="S899">
        <f>'raw data Crude oil'!S900</f>
        <v>38.869999999999997</v>
      </c>
      <c r="T899">
        <f>'raw data Crude oil'!T900</f>
        <v>39</v>
      </c>
      <c r="U899">
        <f>'raw data Crude oil'!U900</f>
        <v>39.130000000000003</v>
      </c>
      <c r="V899">
        <f>'raw data Crude oil'!V900</f>
        <v>39.26</v>
      </c>
      <c r="W899">
        <f>'raw data Crude oil'!W900</f>
        <v>39.380000000000003</v>
      </c>
      <c r="X899">
        <f>'raw data Crude oil'!X900</f>
        <v>39.5</v>
      </c>
      <c r="Y899">
        <f>'raw data Crude oil'!Y900</f>
        <v>39.6</v>
      </c>
      <c r="Z899">
        <f>'raw data Crude oil'!Z900</f>
        <v>40.680999999999997</v>
      </c>
      <c r="AA899">
        <f>'raw data Crude oil'!AA900</f>
        <v>39.957999999999998</v>
      </c>
      <c r="AB899">
        <f>'raw data Crude oil'!AB900</f>
        <v>39.68</v>
      </c>
      <c r="AC899">
        <f>'raw data Crude oil'!AC900</f>
        <v>39.700000000000003</v>
      </c>
      <c r="AD899">
        <f>'raw data Crude oil'!AD900</f>
        <v>39.82</v>
      </c>
      <c r="AE899">
        <f>'raw data Crude oil'!AE900</f>
        <v>39.950000000000003</v>
      </c>
      <c r="AF899">
        <f>'raw data Crude oil'!AF900</f>
        <v>40.101999999999997</v>
      </c>
      <c r="AG899">
        <f>'raw data Crude oil'!AG900</f>
        <v>40.311</v>
      </c>
      <c r="AH899">
        <f>'raw data Crude oil'!AH900</f>
        <v>40.530999999999999</v>
      </c>
      <c r="AI899">
        <f>'raw data Crude oil'!AI900</f>
        <v>40.74</v>
      </c>
      <c r="AJ899">
        <f>'raw data Crude oil'!AJ900</f>
        <v>40.948999999999998</v>
      </c>
      <c r="AK899">
        <f>'raw data Crude oil'!AK900</f>
        <v>41.149000000000001</v>
      </c>
    </row>
    <row r="900" spans="1:37" x14ac:dyDescent="0.3">
      <c r="A900" s="18">
        <f>'raw data Crude oil'!A901</f>
        <v>44007</v>
      </c>
      <c r="B900">
        <f>'raw data Crude oil'!B901</f>
        <v>41.05</v>
      </c>
      <c r="C900">
        <f>'raw data Crude oil'!C901</f>
        <v>41.12</v>
      </c>
      <c r="D900">
        <f>'raw data Crude oil'!D901</f>
        <v>41.23</v>
      </c>
      <c r="E900">
        <f>'raw data Crude oil'!E901</f>
        <v>41.43</v>
      </c>
      <c r="F900">
        <f>'raw data Crude oil'!F901</f>
        <v>41.65</v>
      </c>
      <c r="G900">
        <f>'raw data Crude oil'!G901</f>
        <v>41.86</v>
      </c>
      <c r="H900">
        <f>'raw data Crude oil'!H901</f>
        <v>42.09</v>
      </c>
      <c r="I900">
        <f>'raw data Crude oil'!I901</f>
        <v>42.33</v>
      </c>
      <c r="J900">
        <f>'raw data Crude oil'!J901</f>
        <v>42.54</v>
      </c>
      <c r="K900">
        <f>'raw data Crude oil'!K901</f>
        <v>42.76</v>
      </c>
      <c r="L900">
        <f>'raw data Crude oil'!L901</f>
        <v>42.97</v>
      </c>
      <c r="M900">
        <f>'raw data Crude oil'!M901</f>
        <v>43.15</v>
      </c>
      <c r="N900">
        <f>'raw data Crude oil'!N901</f>
        <v>38.72</v>
      </c>
      <c r="O900">
        <f>'raw data Crude oil'!O901</f>
        <v>38.909999999999997</v>
      </c>
      <c r="P900">
        <f>'raw data Crude oil'!P901</f>
        <v>39.08</v>
      </c>
      <c r="Q900">
        <f>'raw data Crude oil'!Q901</f>
        <v>39.26</v>
      </c>
      <c r="R900">
        <f>'raw data Crude oil'!R901</f>
        <v>39.43</v>
      </c>
      <c r="S900">
        <f>'raw data Crude oil'!S901</f>
        <v>39.57</v>
      </c>
      <c r="T900">
        <f>'raw data Crude oil'!T901</f>
        <v>39.700000000000003</v>
      </c>
      <c r="U900">
        <f>'raw data Crude oil'!U901</f>
        <v>39.83</v>
      </c>
      <c r="V900">
        <f>'raw data Crude oil'!V901</f>
        <v>39.950000000000003</v>
      </c>
      <c r="W900">
        <f>'raw data Crude oil'!W901</f>
        <v>40.06</v>
      </c>
      <c r="X900">
        <f>'raw data Crude oil'!X901</f>
        <v>40.18</v>
      </c>
      <c r="Y900">
        <f>'raw data Crude oil'!Y901</f>
        <v>40.26</v>
      </c>
      <c r="Z900">
        <f>'raw data Crude oil'!Z901</f>
        <v>40.777999999999999</v>
      </c>
      <c r="AA900">
        <f>'raw data Crude oil'!AA901</f>
        <v>40.645000000000003</v>
      </c>
      <c r="AB900">
        <f>'raw data Crude oil'!AB901</f>
        <v>40.279000000000003</v>
      </c>
      <c r="AC900">
        <f>'raw data Crude oil'!AC901</f>
        <v>40.22</v>
      </c>
      <c r="AD900">
        <f>'raw data Crude oil'!AD901</f>
        <v>40.29</v>
      </c>
      <c r="AE900">
        <f>'raw data Crude oil'!AE901</f>
        <v>40.430999999999997</v>
      </c>
      <c r="AF900">
        <f>'raw data Crude oil'!AF901</f>
        <v>40.601999999999997</v>
      </c>
      <c r="AG900">
        <f>'raw data Crude oil'!AG901</f>
        <v>40.771000000000001</v>
      </c>
      <c r="AH900">
        <f>'raw data Crude oil'!AH901</f>
        <v>40.970999999999997</v>
      </c>
      <c r="AI900">
        <f>'raw data Crude oil'!AI901</f>
        <v>41.209000000000003</v>
      </c>
      <c r="AJ900">
        <f>'raw data Crude oil'!AJ901</f>
        <v>41.439</v>
      </c>
      <c r="AK900">
        <f>'raw data Crude oil'!AK901</f>
        <v>41.649000000000001</v>
      </c>
    </row>
    <row r="901" spans="1:37" x14ac:dyDescent="0.3">
      <c r="A901" s="18">
        <f>'raw data Crude oil'!A902</f>
        <v>44008</v>
      </c>
      <c r="B901">
        <f>'raw data Crude oil'!B902</f>
        <v>41.02</v>
      </c>
      <c r="C901">
        <f>'raw data Crude oil'!C902</f>
        <v>40.93</v>
      </c>
      <c r="D901">
        <f>'raw data Crude oil'!D902</f>
        <v>40.97</v>
      </c>
      <c r="E901">
        <f>'raw data Crude oil'!E902</f>
        <v>41.1</v>
      </c>
      <c r="F901">
        <f>'raw data Crude oil'!F902</f>
        <v>41.26</v>
      </c>
      <c r="G901">
        <f>'raw data Crude oil'!G902</f>
        <v>41.44</v>
      </c>
      <c r="H901">
        <f>'raw data Crude oil'!H902</f>
        <v>41.64</v>
      </c>
      <c r="I901">
        <f>'raw data Crude oil'!I902</f>
        <v>41.87</v>
      </c>
      <c r="J901">
        <f>'raw data Crude oil'!J902</f>
        <v>42.07</v>
      </c>
      <c r="K901">
        <f>'raw data Crude oil'!K902</f>
        <v>42.31</v>
      </c>
      <c r="L901">
        <f>'raw data Crude oil'!L902</f>
        <v>42.54</v>
      </c>
      <c r="M901">
        <f>'raw data Crude oil'!M902</f>
        <v>42.74</v>
      </c>
      <c r="N901">
        <f>'raw data Crude oil'!N902</f>
        <v>38.49</v>
      </c>
      <c r="O901">
        <f>'raw data Crude oil'!O902</f>
        <v>38.65</v>
      </c>
      <c r="P901">
        <f>'raw data Crude oil'!P902</f>
        <v>38.799999999999997</v>
      </c>
      <c r="Q901">
        <f>'raw data Crude oil'!Q902</f>
        <v>38.94</v>
      </c>
      <c r="R901">
        <f>'raw data Crude oil'!R902</f>
        <v>39.07</v>
      </c>
      <c r="S901">
        <f>'raw data Crude oil'!S902</f>
        <v>39.19</v>
      </c>
      <c r="T901">
        <f>'raw data Crude oil'!T902</f>
        <v>39.31</v>
      </c>
      <c r="U901">
        <f>'raw data Crude oil'!U902</f>
        <v>39.450000000000003</v>
      </c>
      <c r="V901">
        <f>'raw data Crude oil'!V902</f>
        <v>39.590000000000003</v>
      </c>
      <c r="W901">
        <f>'raw data Crude oil'!W902</f>
        <v>39.72</v>
      </c>
      <c r="X901">
        <f>'raw data Crude oil'!X902</f>
        <v>39.840000000000003</v>
      </c>
      <c r="Y901">
        <f>'raw data Crude oil'!Y902</f>
        <v>39.950000000000003</v>
      </c>
      <c r="Z901">
        <f>'raw data Crude oil'!Z902</f>
        <v>40.783000000000001</v>
      </c>
      <c r="AA901">
        <f>'raw data Crude oil'!AA902</f>
        <v>40.491999999999997</v>
      </c>
      <c r="AB901">
        <f>'raw data Crude oil'!AB902</f>
        <v>39.962000000000003</v>
      </c>
      <c r="AC901">
        <f>'raw data Crude oil'!AC902</f>
        <v>39.887</v>
      </c>
      <c r="AD901">
        <f>'raw data Crude oil'!AD902</f>
        <v>39.828000000000003</v>
      </c>
      <c r="AE901">
        <f>'raw data Crude oil'!AE902</f>
        <v>39.93</v>
      </c>
      <c r="AF901">
        <f>'raw data Crude oil'!AF902</f>
        <v>40.061</v>
      </c>
      <c r="AG901">
        <f>'raw data Crude oil'!AG902</f>
        <v>40.26</v>
      </c>
      <c r="AH901">
        <f>'raw data Crude oil'!AH902</f>
        <v>40.451999999999998</v>
      </c>
      <c r="AI901">
        <f>'raw data Crude oil'!AI902</f>
        <v>40.71</v>
      </c>
      <c r="AJ901">
        <f>'raw data Crude oil'!AJ902</f>
        <v>40.96</v>
      </c>
      <c r="AK901">
        <f>'raw data Crude oil'!AK902</f>
        <v>41.191000000000003</v>
      </c>
    </row>
    <row r="902" spans="1:37" x14ac:dyDescent="0.3">
      <c r="A902" s="18">
        <f>'raw data Crude oil'!A903</f>
        <v>44011</v>
      </c>
      <c r="B902">
        <f>'raw data Crude oil'!B903</f>
        <v>41.71</v>
      </c>
      <c r="C902">
        <f>'raw data Crude oil'!C903</f>
        <v>41.85</v>
      </c>
      <c r="D902">
        <f>'raw data Crude oil'!D903</f>
        <v>41.95</v>
      </c>
      <c r="E902">
        <f>'raw data Crude oil'!E903</f>
        <v>42.12</v>
      </c>
      <c r="F902">
        <f>'raw data Crude oil'!F903</f>
        <v>42.31</v>
      </c>
      <c r="G902">
        <f>'raw data Crude oil'!G903</f>
        <v>42.5</v>
      </c>
      <c r="H902">
        <f>'raw data Crude oil'!H903</f>
        <v>42.72</v>
      </c>
      <c r="I902">
        <f>'raw data Crude oil'!I903</f>
        <v>42.95</v>
      </c>
      <c r="J902">
        <f>'raw data Crude oil'!J903</f>
        <v>43.17</v>
      </c>
      <c r="K902">
        <f>'raw data Crude oil'!K903</f>
        <v>43.4</v>
      </c>
      <c r="L902">
        <f>'raw data Crude oil'!L903</f>
        <v>43.63</v>
      </c>
      <c r="M902">
        <f>'raw data Crude oil'!M903</f>
        <v>43.82</v>
      </c>
      <c r="N902">
        <f>'raw data Crude oil'!N903</f>
        <v>39.700000000000003</v>
      </c>
      <c r="O902">
        <f>'raw data Crude oil'!O903</f>
        <v>39.81</v>
      </c>
      <c r="P902">
        <f>'raw data Crude oil'!P903</f>
        <v>39.92</v>
      </c>
      <c r="Q902">
        <f>'raw data Crude oil'!Q903</f>
        <v>40.04</v>
      </c>
      <c r="R902">
        <f>'raw data Crude oil'!R903</f>
        <v>40.17</v>
      </c>
      <c r="S902">
        <f>'raw data Crude oil'!S903</f>
        <v>40.28</v>
      </c>
      <c r="T902">
        <f>'raw data Crude oil'!T903</f>
        <v>40.4</v>
      </c>
      <c r="U902">
        <f>'raw data Crude oil'!U903</f>
        <v>40.520000000000003</v>
      </c>
      <c r="V902">
        <f>'raw data Crude oil'!V903</f>
        <v>40.64</v>
      </c>
      <c r="W902">
        <f>'raw data Crude oil'!W903</f>
        <v>40.75</v>
      </c>
      <c r="X902">
        <f>'raw data Crude oil'!X903</f>
        <v>40.869999999999997</v>
      </c>
      <c r="Y902">
        <f>'raw data Crude oil'!Y903</f>
        <v>40.97</v>
      </c>
      <c r="Z902">
        <f>'raw data Crude oil'!Z903</f>
        <v>40.795000000000002</v>
      </c>
      <c r="AA902">
        <f>'raw data Crude oil'!AA903</f>
        <v>41.374000000000002</v>
      </c>
      <c r="AB902">
        <f>'raw data Crude oil'!AB903</f>
        <v>40.915999999999997</v>
      </c>
      <c r="AC902">
        <f>'raw data Crude oil'!AC903</f>
        <v>40.859000000000002</v>
      </c>
      <c r="AD902">
        <f>'raw data Crude oil'!AD903</f>
        <v>40.848999999999997</v>
      </c>
      <c r="AE902">
        <f>'raw data Crude oil'!AE903</f>
        <v>40.96</v>
      </c>
      <c r="AF902">
        <f>'raw data Crude oil'!AF903</f>
        <v>41.121000000000002</v>
      </c>
      <c r="AG902">
        <f>'raw data Crude oil'!AG903</f>
        <v>41.271000000000001</v>
      </c>
      <c r="AH902">
        <f>'raw data Crude oil'!AH903</f>
        <v>41.481999999999999</v>
      </c>
      <c r="AI902">
        <f>'raw data Crude oil'!AI903</f>
        <v>41.73</v>
      </c>
      <c r="AJ902">
        <f>'raw data Crude oil'!AJ903</f>
        <v>41.929000000000002</v>
      </c>
      <c r="AK902">
        <f>'raw data Crude oil'!AK903</f>
        <v>42.151000000000003</v>
      </c>
    </row>
    <row r="903" spans="1:37" x14ac:dyDescent="0.3">
      <c r="A903" s="18">
        <f>'raw data Crude oil'!A904</f>
        <v>44012</v>
      </c>
      <c r="B903">
        <f>'raw data Crude oil'!B904</f>
        <v>41.15</v>
      </c>
      <c r="C903">
        <f>'raw data Crude oil'!C904</f>
        <v>41.27</v>
      </c>
      <c r="D903">
        <f>'raw data Crude oil'!D904</f>
        <v>41.39</v>
      </c>
      <c r="E903">
        <f>'raw data Crude oil'!E904</f>
        <v>41.56</v>
      </c>
      <c r="F903">
        <f>'raw data Crude oil'!F904</f>
        <v>41.76</v>
      </c>
      <c r="G903">
        <f>'raw data Crude oil'!G904</f>
        <v>41.95</v>
      </c>
      <c r="H903">
        <f>'raw data Crude oil'!H904</f>
        <v>42.16</v>
      </c>
      <c r="I903">
        <f>'raw data Crude oil'!I904</f>
        <v>42.4</v>
      </c>
      <c r="J903">
        <f>'raw data Crude oil'!J904</f>
        <v>42.61</v>
      </c>
      <c r="K903">
        <f>'raw data Crude oil'!K904</f>
        <v>42.84</v>
      </c>
      <c r="L903">
        <f>'raw data Crude oil'!L904</f>
        <v>43.06</v>
      </c>
      <c r="M903">
        <f>'raw data Crude oil'!M904</f>
        <v>43.25</v>
      </c>
      <c r="N903">
        <f>'raw data Crude oil'!N904</f>
        <v>39.270000000000003</v>
      </c>
      <c r="O903">
        <f>'raw data Crude oil'!O904</f>
        <v>39.340000000000003</v>
      </c>
      <c r="P903">
        <f>'raw data Crude oil'!P904</f>
        <v>39.479999999999997</v>
      </c>
      <c r="Q903">
        <f>'raw data Crude oil'!Q904</f>
        <v>39.58</v>
      </c>
      <c r="R903">
        <f>'raw data Crude oil'!R904</f>
        <v>39.68</v>
      </c>
      <c r="S903">
        <f>'raw data Crude oil'!S904</f>
        <v>39.78</v>
      </c>
      <c r="T903">
        <f>'raw data Crude oil'!T904</f>
        <v>39.869999999999997</v>
      </c>
      <c r="U903">
        <f>'raw data Crude oil'!U904</f>
        <v>39.97</v>
      </c>
      <c r="V903">
        <f>'raw data Crude oil'!V904</f>
        <v>40.08</v>
      </c>
      <c r="W903">
        <f>'raw data Crude oil'!W904</f>
        <v>40.18</v>
      </c>
      <c r="X903">
        <f>'raw data Crude oil'!X904</f>
        <v>40.29</v>
      </c>
      <c r="Y903">
        <f>'raw data Crude oil'!Y904</f>
        <v>40.36</v>
      </c>
      <c r="Z903">
        <f>'raw data Crude oil'!Z904</f>
        <v>40.790999999999997</v>
      </c>
      <c r="AA903">
        <f>'raw data Crude oil'!AA904</f>
        <v>40.975000000000001</v>
      </c>
      <c r="AB903">
        <f>'raw data Crude oil'!AB904</f>
        <v>40.555999999999997</v>
      </c>
      <c r="AC903">
        <f>'raw data Crude oil'!AC904</f>
        <v>40.399000000000001</v>
      </c>
      <c r="AD903">
        <f>'raw data Crude oil'!AD904</f>
        <v>40.348999999999997</v>
      </c>
      <c r="AE903">
        <f>'raw data Crude oil'!AE904</f>
        <v>40.46</v>
      </c>
      <c r="AF903">
        <f>'raw data Crude oil'!AF904</f>
        <v>40.601999999999997</v>
      </c>
      <c r="AG903">
        <f>'raw data Crude oil'!AG904</f>
        <v>40.801000000000002</v>
      </c>
      <c r="AH903">
        <f>'raw data Crude oil'!AH904</f>
        <v>41.012</v>
      </c>
      <c r="AI903">
        <f>'raw data Crude oil'!AI904</f>
        <v>41.24</v>
      </c>
      <c r="AJ903">
        <f>'raw data Crude oil'!AJ904</f>
        <v>41.469000000000001</v>
      </c>
      <c r="AK903">
        <f>'raw data Crude oil'!AK904</f>
        <v>41.68</v>
      </c>
    </row>
    <row r="904" spans="1:37" x14ac:dyDescent="0.3">
      <c r="A904" s="18">
        <f>'raw data Crude oil'!A905</f>
        <v>44013</v>
      </c>
      <c r="B904">
        <f>'raw data Crude oil'!B905</f>
        <v>42.03</v>
      </c>
      <c r="C904">
        <f>'raw data Crude oil'!C905</f>
        <v>42.11</v>
      </c>
      <c r="D904">
        <f>'raw data Crude oil'!D905</f>
        <v>42.24</v>
      </c>
      <c r="E904">
        <f>'raw data Crude oil'!E905</f>
        <v>42.4</v>
      </c>
      <c r="F904">
        <f>'raw data Crude oil'!F905</f>
        <v>42.55</v>
      </c>
      <c r="G904">
        <f>'raw data Crude oil'!G905</f>
        <v>42.74</v>
      </c>
      <c r="H904">
        <f>'raw data Crude oil'!H905</f>
        <v>42.96</v>
      </c>
      <c r="I904">
        <f>'raw data Crude oil'!I905</f>
        <v>43.16</v>
      </c>
      <c r="J904">
        <f>'raw data Crude oil'!J905</f>
        <v>43.37</v>
      </c>
      <c r="K904">
        <f>'raw data Crude oil'!K905</f>
        <v>43.59</v>
      </c>
      <c r="L904">
        <f>'raw data Crude oil'!L905</f>
        <v>43.77</v>
      </c>
      <c r="M904">
        <f>'raw data Crude oil'!M905</f>
        <v>43.97</v>
      </c>
      <c r="N904">
        <f>'raw data Crude oil'!N905</f>
        <v>39.82</v>
      </c>
      <c r="O904">
        <f>'raw data Crude oil'!O905</f>
        <v>39.92</v>
      </c>
      <c r="P904">
        <f>'raw data Crude oil'!P905</f>
        <v>40.090000000000003</v>
      </c>
      <c r="Q904">
        <f>'raw data Crude oil'!Q905</f>
        <v>40.229999999999997</v>
      </c>
      <c r="R904">
        <f>'raw data Crude oil'!R905</f>
        <v>40.340000000000003</v>
      </c>
      <c r="S904">
        <f>'raw data Crude oil'!S905</f>
        <v>40.44</v>
      </c>
      <c r="T904">
        <f>'raw data Crude oil'!T905</f>
        <v>40.54</v>
      </c>
      <c r="U904">
        <f>'raw data Crude oil'!U905</f>
        <v>40.64</v>
      </c>
      <c r="V904">
        <f>'raw data Crude oil'!V905</f>
        <v>40.72</v>
      </c>
      <c r="W904">
        <f>'raw data Crude oil'!W905</f>
        <v>40.82</v>
      </c>
      <c r="X904">
        <f>'raw data Crude oil'!X905</f>
        <v>40.9</v>
      </c>
      <c r="Y904">
        <f>'raw data Crude oil'!Y905</f>
        <v>40.97</v>
      </c>
      <c r="Z904">
        <f>'raw data Crude oil'!Z905</f>
        <v>40.790999999999997</v>
      </c>
      <c r="AA904">
        <f>'raw data Crude oil'!AA905</f>
        <v>42.11</v>
      </c>
      <c r="AB904">
        <f>'raw data Crude oil'!AB905</f>
        <v>41.411999999999999</v>
      </c>
      <c r="AC904">
        <f>'raw data Crude oil'!AC905</f>
        <v>41.127000000000002</v>
      </c>
      <c r="AD904">
        <f>'raw data Crude oil'!AD905</f>
        <v>41.057000000000002</v>
      </c>
      <c r="AE904">
        <f>'raw data Crude oil'!AE905</f>
        <v>41.119</v>
      </c>
      <c r="AF904">
        <f>'raw data Crude oil'!AF905</f>
        <v>41.25</v>
      </c>
      <c r="AG904">
        <f>'raw data Crude oil'!AG905</f>
        <v>41.44</v>
      </c>
      <c r="AH904">
        <f>'raw data Crude oil'!AH905</f>
        <v>41.670999999999999</v>
      </c>
      <c r="AI904">
        <f>'raw data Crude oil'!AI905</f>
        <v>41.89</v>
      </c>
      <c r="AJ904">
        <f>'raw data Crude oil'!AJ905</f>
        <v>42.109000000000002</v>
      </c>
      <c r="AK904">
        <f>'raw data Crude oil'!AK905</f>
        <v>42.308999999999997</v>
      </c>
    </row>
    <row r="905" spans="1:37" x14ac:dyDescent="0.3">
      <c r="A905" s="18">
        <f>'raw data Crude oil'!A906</f>
        <v>44014</v>
      </c>
      <c r="B905">
        <f>'raw data Crude oil'!B906</f>
        <v>43.14</v>
      </c>
      <c r="C905">
        <f>'raw data Crude oil'!C906</f>
        <v>43.19</v>
      </c>
      <c r="D905">
        <f>'raw data Crude oil'!D906</f>
        <v>43.26</v>
      </c>
      <c r="E905">
        <f>'raw data Crude oil'!E906</f>
        <v>43.37</v>
      </c>
      <c r="F905">
        <f>'raw data Crude oil'!F906</f>
        <v>43.47</v>
      </c>
      <c r="G905">
        <f>'raw data Crude oil'!G906</f>
        <v>43.63</v>
      </c>
      <c r="H905">
        <f>'raw data Crude oil'!H906</f>
        <v>43.83</v>
      </c>
      <c r="I905">
        <f>'raw data Crude oil'!I906</f>
        <v>44.01</v>
      </c>
      <c r="J905">
        <f>'raw data Crude oil'!J906</f>
        <v>44.2</v>
      </c>
      <c r="K905">
        <f>'raw data Crude oil'!K906</f>
        <v>44.41</v>
      </c>
      <c r="L905">
        <f>'raw data Crude oil'!L906</f>
        <v>44.57</v>
      </c>
      <c r="M905">
        <f>'raw data Crude oil'!M906</f>
        <v>44.75</v>
      </c>
      <c r="N905">
        <f>'raw data Crude oil'!N906</f>
        <v>40.65</v>
      </c>
      <c r="O905">
        <f>'raw data Crude oil'!O906</f>
        <v>40.76</v>
      </c>
      <c r="P905">
        <f>'raw data Crude oil'!P906</f>
        <v>40.909999999999997</v>
      </c>
      <c r="Q905">
        <f>'raw data Crude oil'!Q906</f>
        <v>41.02</v>
      </c>
      <c r="R905">
        <f>'raw data Crude oil'!R906</f>
        <v>41.11</v>
      </c>
      <c r="S905">
        <f>'raw data Crude oil'!S906</f>
        <v>41.18</v>
      </c>
      <c r="T905">
        <f>'raw data Crude oil'!T906</f>
        <v>41.26</v>
      </c>
      <c r="U905">
        <f>'raw data Crude oil'!U906</f>
        <v>41.34</v>
      </c>
      <c r="V905">
        <f>'raw data Crude oil'!V906</f>
        <v>41.42</v>
      </c>
      <c r="W905">
        <f>'raw data Crude oil'!W906</f>
        <v>41.49</v>
      </c>
      <c r="X905">
        <f>'raw data Crude oil'!X906</f>
        <v>41.59</v>
      </c>
      <c r="Y905">
        <f>'raw data Crude oil'!Y906</f>
        <v>41.66</v>
      </c>
      <c r="Z905">
        <f>'raw data Crude oil'!Z906</f>
        <v>43.098999999999997</v>
      </c>
      <c r="AA905">
        <f>'raw data Crude oil'!AA906</f>
        <v>42.487000000000002</v>
      </c>
      <c r="AB905">
        <f>'raw data Crude oil'!AB906</f>
        <v>42.195</v>
      </c>
      <c r="AC905">
        <f>'raw data Crude oil'!AC906</f>
        <v>42.075000000000003</v>
      </c>
      <c r="AD905">
        <f>'raw data Crude oil'!AD906</f>
        <v>42.118000000000002</v>
      </c>
      <c r="AE905">
        <f>'raw data Crude oil'!AE906</f>
        <v>42.238</v>
      </c>
      <c r="AF905">
        <f>'raw data Crude oil'!AF906</f>
        <v>42.408999999999999</v>
      </c>
      <c r="AG905">
        <f>'raw data Crude oil'!AG906</f>
        <v>42.58</v>
      </c>
      <c r="AH905">
        <f>'raw data Crude oil'!AH906</f>
        <v>42.749000000000002</v>
      </c>
      <c r="AI905">
        <f>'raw data Crude oil'!AI906</f>
        <v>42.938000000000002</v>
      </c>
      <c r="AJ905">
        <f>'raw data Crude oil'!AJ906</f>
        <v>43.116999999999997</v>
      </c>
      <c r="AK905">
        <f>'raw data Crude oil'!AK906</f>
        <v>43.287999999999997</v>
      </c>
    </row>
    <row r="906" spans="1:37" x14ac:dyDescent="0.3">
      <c r="A906" s="18">
        <f>'raw data Crude oil'!A907</f>
        <v>44015</v>
      </c>
      <c r="B906">
        <f>'raw data Crude oil'!B907</f>
        <v>42.8</v>
      </c>
      <c r="C906">
        <f>'raw data Crude oil'!C907</f>
        <v>42.91</v>
      </c>
      <c r="D906">
        <f>'raw data Crude oil'!D907</f>
        <v>43.03</v>
      </c>
      <c r="E906">
        <f>'raw data Crude oil'!E907</f>
        <v>43.18</v>
      </c>
      <c r="F906">
        <f>'raw data Crude oil'!F907</f>
        <v>43.31</v>
      </c>
      <c r="G906">
        <f>'raw data Crude oil'!G907</f>
        <v>43.48</v>
      </c>
      <c r="H906">
        <f>'raw data Crude oil'!H907</f>
        <v>43.7</v>
      </c>
      <c r="I906">
        <f>'raw data Crude oil'!I907</f>
        <v>43.9</v>
      </c>
      <c r="J906">
        <f>'raw data Crude oil'!J907</f>
        <v>44.11</v>
      </c>
      <c r="K906">
        <f>'raw data Crude oil'!K907</f>
        <v>44.34</v>
      </c>
      <c r="L906">
        <f>'raw data Crude oil'!L907</f>
        <v>44.51</v>
      </c>
      <c r="M906">
        <f>'raw data Crude oil'!M907</f>
        <v>44.71</v>
      </c>
      <c r="N906">
        <f>'raw data Crude oil'!N907</f>
        <v>40.65</v>
      </c>
      <c r="O906">
        <f>'raw data Crude oil'!O907</f>
        <v>40.76</v>
      </c>
      <c r="P906">
        <f>'raw data Crude oil'!P907</f>
        <v>40.909999999999997</v>
      </c>
      <c r="Q906">
        <f>'raw data Crude oil'!Q907</f>
        <v>41.02</v>
      </c>
      <c r="R906">
        <f>'raw data Crude oil'!R907</f>
        <v>41.11</v>
      </c>
      <c r="S906">
        <f>'raw data Crude oil'!S907</f>
        <v>41.18</v>
      </c>
      <c r="T906">
        <f>'raw data Crude oil'!T907</f>
        <v>41.26</v>
      </c>
      <c r="U906">
        <f>'raw data Crude oil'!U907</f>
        <v>41.34</v>
      </c>
      <c r="V906">
        <f>'raw data Crude oil'!V907</f>
        <v>41.42</v>
      </c>
      <c r="W906">
        <f>'raw data Crude oil'!W907</f>
        <v>41.49</v>
      </c>
      <c r="X906">
        <f>'raw data Crude oil'!X907</f>
        <v>41.59</v>
      </c>
      <c r="Y906">
        <f>'raw data Crude oil'!Y907</f>
        <v>41.66</v>
      </c>
      <c r="Z906">
        <f>'raw data Crude oil'!Z907</f>
        <v>42.661000000000001</v>
      </c>
      <c r="AA906">
        <f>'raw data Crude oil'!AA907</f>
        <v>42.051000000000002</v>
      </c>
      <c r="AB906">
        <f>'raw data Crude oil'!AB907</f>
        <v>41.887</v>
      </c>
      <c r="AC906">
        <f>'raw data Crude oil'!AC907</f>
        <v>41.816000000000003</v>
      </c>
      <c r="AD906">
        <f>'raw data Crude oil'!AD907</f>
        <v>41.917999999999999</v>
      </c>
      <c r="AE906">
        <f>'raw data Crude oil'!AE907</f>
        <v>42.07</v>
      </c>
      <c r="AF906">
        <f>'raw data Crude oil'!AF907</f>
        <v>42.26</v>
      </c>
      <c r="AG906">
        <f>'raw data Crude oil'!AG907</f>
        <v>42.460999999999999</v>
      </c>
      <c r="AH906">
        <f>'raw data Crude oil'!AH907</f>
        <v>42.66</v>
      </c>
      <c r="AI906">
        <f>'raw data Crude oil'!AI907</f>
        <v>42.898000000000003</v>
      </c>
      <c r="AJ906">
        <f>'raw data Crude oil'!AJ907</f>
        <v>43.079000000000001</v>
      </c>
      <c r="AK906">
        <f>'raw data Crude oil'!AK907</f>
        <v>43.277999999999999</v>
      </c>
    </row>
    <row r="907" spans="1:37" x14ac:dyDescent="0.3">
      <c r="A907" s="18">
        <f>'raw data Crude oil'!A908</f>
        <v>44018</v>
      </c>
      <c r="B907">
        <f>'raw data Crude oil'!B908</f>
        <v>43.1</v>
      </c>
      <c r="C907">
        <f>'raw data Crude oil'!C908</f>
        <v>43.24</v>
      </c>
      <c r="D907">
        <f>'raw data Crude oil'!D908</f>
        <v>43.39</v>
      </c>
      <c r="E907">
        <f>'raw data Crude oil'!E908</f>
        <v>43.55</v>
      </c>
      <c r="F907">
        <f>'raw data Crude oil'!F908</f>
        <v>43.69</v>
      </c>
      <c r="G907">
        <f>'raw data Crude oil'!G908</f>
        <v>43.85</v>
      </c>
      <c r="H907">
        <f>'raw data Crude oil'!H908</f>
        <v>44.06</v>
      </c>
      <c r="I907">
        <f>'raw data Crude oil'!I908</f>
        <v>44.24</v>
      </c>
      <c r="J907">
        <f>'raw data Crude oil'!J908</f>
        <v>44.43</v>
      </c>
      <c r="K907">
        <f>'raw data Crude oil'!K908</f>
        <v>44.64</v>
      </c>
      <c r="L907">
        <f>'raw data Crude oil'!L908</f>
        <v>44.79</v>
      </c>
      <c r="M907">
        <f>'raw data Crude oil'!M908</f>
        <v>44.97</v>
      </c>
      <c r="N907">
        <f>'raw data Crude oil'!N908</f>
        <v>40.630000000000003</v>
      </c>
      <c r="O907">
        <f>'raw data Crude oil'!O908</f>
        <v>40.729999999999997</v>
      </c>
      <c r="P907">
        <f>'raw data Crude oil'!P908</f>
        <v>40.880000000000003</v>
      </c>
      <c r="Q907">
        <f>'raw data Crude oil'!Q908</f>
        <v>40.99</v>
      </c>
      <c r="R907">
        <f>'raw data Crude oil'!R908</f>
        <v>41.1</v>
      </c>
      <c r="S907">
        <f>'raw data Crude oil'!S908</f>
        <v>41.2</v>
      </c>
      <c r="T907">
        <f>'raw data Crude oil'!T908</f>
        <v>41.3</v>
      </c>
      <c r="U907">
        <f>'raw data Crude oil'!U908</f>
        <v>41.4</v>
      </c>
      <c r="V907">
        <f>'raw data Crude oil'!V908</f>
        <v>41.49</v>
      </c>
      <c r="W907">
        <f>'raw data Crude oil'!W908</f>
        <v>41.6</v>
      </c>
      <c r="X907">
        <f>'raw data Crude oil'!X908</f>
        <v>41.69</v>
      </c>
      <c r="Y907">
        <f>'raw data Crude oil'!Y908</f>
        <v>41.76</v>
      </c>
      <c r="Z907">
        <f>'raw data Crude oil'!Z908</f>
        <v>43.061</v>
      </c>
      <c r="AA907">
        <f>'raw data Crude oil'!AA908</f>
        <v>42.334000000000003</v>
      </c>
      <c r="AB907">
        <f>'raw data Crude oil'!AB908</f>
        <v>42.167000000000002</v>
      </c>
      <c r="AC907">
        <f>'raw data Crude oil'!AC908</f>
        <v>42.136000000000003</v>
      </c>
      <c r="AD907">
        <f>'raw data Crude oil'!AD908</f>
        <v>42.247999999999998</v>
      </c>
      <c r="AE907">
        <f>'raw data Crude oil'!AE908</f>
        <v>42.429000000000002</v>
      </c>
      <c r="AF907">
        <f>'raw data Crude oil'!AF908</f>
        <v>42.619</v>
      </c>
      <c r="AG907">
        <f>'raw data Crude oil'!AG908</f>
        <v>42.82</v>
      </c>
      <c r="AH907">
        <f>'raw data Crude oil'!AH908</f>
        <v>42.999000000000002</v>
      </c>
      <c r="AI907">
        <f>'raw data Crude oil'!AI908</f>
        <v>43.207000000000001</v>
      </c>
      <c r="AJ907">
        <f>'raw data Crude oil'!AJ908</f>
        <v>43.387</v>
      </c>
      <c r="AK907">
        <f>'raw data Crude oil'!AK908</f>
        <v>43.557000000000002</v>
      </c>
    </row>
    <row r="908" spans="1:37" x14ac:dyDescent="0.3">
      <c r="A908" s="18">
        <f>'raw data Crude oil'!A909</f>
        <v>44019</v>
      </c>
      <c r="B908">
        <f>'raw data Crude oil'!B909</f>
        <v>43.08</v>
      </c>
      <c r="C908">
        <f>'raw data Crude oil'!C909</f>
        <v>43.26</v>
      </c>
      <c r="D908">
        <f>'raw data Crude oil'!D909</f>
        <v>43.45</v>
      </c>
      <c r="E908">
        <f>'raw data Crude oil'!E909</f>
        <v>43.64</v>
      </c>
      <c r="F908">
        <f>'raw data Crude oil'!F909</f>
        <v>43.81</v>
      </c>
      <c r="G908">
        <f>'raw data Crude oil'!G909</f>
        <v>43.99</v>
      </c>
      <c r="H908">
        <f>'raw data Crude oil'!H909</f>
        <v>44.2</v>
      </c>
      <c r="I908">
        <f>'raw data Crude oil'!I909</f>
        <v>44.39</v>
      </c>
      <c r="J908">
        <f>'raw data Crude oil'!J909</f>
        <v>44.58</v>
      </c>
      <c r="K908">
        <f>'raw data Crude oil'!K909</f>
        <v>44.77</v>
      </c>
      <c r="L908">
        <f>'raw data Crude oil'!L909</f>
        <v>44.93</v>
      </c>
      <c r="M908">
        <f>'raw data Crude oil'!M909</f>
        <v>45.11</v>
      </c>
      <c r="N908">
        <f>'raw data Crude oil'!N909</f>
        <v>40.619999999999997</v>
      </c>
      <c r="O908">
        <f>'raw data Crude oil'!O909</f>
        <v>40.700000000000003</v>
      </c>
      <c r="P908">
        <f>'raw data Crude oil'!P909</f>
        <v>40.840000000000003</v>
      </c>
      <c r="Q908">
        <f>'raw data Crude oil'!Q909</f>
        <v>40.94</v>
      </c>
      <c r="R908">
        <f>'raw data Crude oil'!R909</f>
        <v>41.06</v>
      </c>
      <c r="S908">
        <f>'raw data Crude oil'!S909</f>
        <v>41.17</v>
      </c>
      <c r="T908">
        <f>'raw data Crude oil'!T909</f>
        <v>41.29</v>
      </c>
      <c r="U908">
        <f>'raw data Crude oil'!U909</f>
        <v>41.41</v>
      </c>
      <c r="V908">
        <f>'raw data Crude oil'!V909</f>
        <v>41.53</v>
      </c>
      <c r="W908">
        <f>'raw data Crude oil'!W909</f>
        <v>41.64</v>
      </c>
      <c r="X908">
        <f>'raw data Crude oil'!X909</f>
        <v>41.75</v>
      </c>
      <c r="Y908">
        <f>'raw data Crude oil'!Y909</f>
        <v>41.84</v>
      </c>
      <c r="Z908">
        <f>'raw data Crude oil'!Z909</f>
        <v>43.054000000000002</v>
      </c>
      <c r="AA908">
        <f>'raw data Crude oil'!AA909</f>
        <v>42.387999999999998</v>
      </c>
      <c r="AB908">
        <f>'raw data Crude oil'!AB909</f>
        <v>42.189</v>
      </c>
      <c r="AC908">
        <f>'raw data Crude oil'!AC909</f>
        <v>42.148000000000003</v>
      </c>
      <c r="AD908">
        <f>'raw data Crude oil'!AD909</f>
        <v>42.268999999999998</v>
      </c>
      <c r="AE908">
        <f>'raw data Crude oil'!AE909</f>
        <v>42.459000000000003</v>
      </c>
      <c r="AF908">
        <f>'raw data Crude oil'!AF909</f>
        <v>42.65</v>
      </c>
      <c r="AG908">
        <f>'raw data Crude oil'!AG909</f>
        <v>42.84</v>
      </c>
      <c r="AH908">
        <f>'raw data Crude oil'!AH909</f>
        <v>43.027999999999999</v>
      </c>
      <c r="AI908">
        <f>'raw data Crude oil'!AI909</f>
        <v>43.218000000000004</v>
      </c>
      <c r="AJ908">
        <f>'raw data Crude oil'!AJ909</f>
        <v>43.406999999999996</v>
      </c>
      <c r="AK908">
        <f>'raw data Crude oil'!AK909</f>
        <v>43.576999999999998</v>
      </c>
    </row>
    <row r="909" spans="1:37" x14ac:dyDescent="0.3">
      <c r="A909" s="18">
        <f>'raw data Crude oil'!A910</f>
        <v>44020</v>
      </c>
      <c r="B909">
        <f>'raw data Crude oil'!B910</f>
        <v>43.29</v>
      </c>
      <c r="C909">
        <f>'raw data Crude oil'!C910</f>
        <v>43.46</v>
      </c>
      <c r="D909">
        <f>'raw data Crude oil'!D910</f>
        <v>43.65</v>
      </c>
      <c r="E909">
        <f>'raw data Crude oil'!E910</f>
        <v>43.85</v>
      </c>
      <c r="F909">
        <f>'raw data Crude oil'!F910</f>
        <v>44.04</v>
      </c>
      <c r="G909">
        <f>'raw data Crude oil'!G910</f>
        <v>44.22</v>
      </c>
      <c r="H909">
        <f>'raw data Crude oil'!H910</f>
        <v>44.43</v>
      </c>
      <c r="I909">
        <f>'raw data Crude oil'!I910</f>
        <v>44.63</v>
      </c>
      <c r="J909">
        <f>'raw data Crude oil'!J910</f>
        <v>44.84</v>
      </c>
      <c r="K909">
        <f>'raw data Crude oil'!K910</f>
        <v>45.05</v>
      </c>
      <c r="L909">
        <f>'raw data Crude oil'!L910</f>
        <v>45.23</v>
      </c>
      <c r="M909">
        <f>'raw data Crude oil'!M910</f>
        <v>45.42</v>
      </c>
      <c r="N909">
        <f>'raw data Crude oil'!N910</f>
        <v>40.9</v>
      </c>
      <c r="O909">
        <f>'raw data Crude oil'!O910</f>
        <v>41.04</v>
      </c>
      <c r="P909">
        <f>'raw data Crude oil'!P910</f>
        <v>41.18</v>
      </c>
      <c r="Q909">
        <f>'raw data Crude oil'!Q910</f>
        <v>41.29</v>
      </c>
      <c r="R909">
        <f>'raw data Crude oil'!R910</f>
        <v>41.41</v>
      </c>
      <c r="S909">
        <f>'raw data Crude oil'!S910</f>
        <v>41.54</v>
      </c>
      <c r="T909">
        <f>'raw data Crude oil'!T910</f>
        <v>41.66</v>
      </c>
      <c r="U909">
        <f>'raw data Crude oil'!U910</f>
        <v>41.79</v>
      </c>
      <c r="V909">
        <f>'raw data Crude oil'!V910</f>
        <v>41.92</v>
      </c>
      <c r="W909">
        <f>'raw data Crude oil'!W910</f>
        <v>42.05</v>
      </c>
      <c r="X909">
        <f>'raw data Crude oil'!X910</f>
        <v>42.18</v>
      </c>
      <c r="Y909">
        <f>'raw data Crude oil'!Y910</f>
        <v>42.28</v>
      </c>
      <c r="Z909">
        <f>'raw data Crude oil'!Z910</f>
        <v>43.292999999999999</v>
      </c>
      <c r="AA909">
        <f>'raw data Crude oil'!AA910</f>
        <v>42.698</v>
      </c>
      <c r="AB909">
        <f>'raw data Crude oil'!AB910</f>
        <v>42.459000000000003</v>
      </c>
      <c r="AC909">
        <f>'raw data Crude oil'!AC910</f>
        <v>42.389000000000003</v>
      </c>
      <c r="AD909">
        <f>'raw data Crude oil'!AD910</f>
        <v>42.509</v>
      </c>
      <c r="AE909">
        <f>'raw data Crude oil'!AE910</f>
        <v>42.689</v>
      </c>
      <c r="AF909">
        <f>'raw data Crude oil'!AF910</f>
        <v>42.87</v>
      </c>
      <c r="AG909">
        <f>'raw data Crude oil'!AG910</f>
        <v>43.070999999999998</v>
      </c>
      <c r="AH909">
        <f>'raw data Crude oil'!AH910</f>
        <v>43.249000000000002</v>
      </c>
      <c r="AI909">
        <f>'raw data Crude oil'!AI910</f>
        <v>43.448999999999998</v>
      </c>
      <c r="AJ909">
        <f>'raw data Crude oil'!AJ910</f>
        <v>43.637999999999998</v>
      </c>
      <c r="AK909">
        <f>'raw data Crude oil'!AK910</f>
        <v>43.808</v>
      </c>
    </row>
    <row r="910" spans="1:37" x14ac:dyDescent="0.3">
      <c r="A910" s="18">
        <f>'raw data Crude oil'!A911</f>
        <v>44021</v>
      </c>
      <c r="B910">
        <f>'raw data Crude oil'!B911</f>
        <v>42.35</v>
      </c>
      <c r="C910">
        <f>'raw data Crude oil'!C911</f>
        <v>42.55</v>
      </c>
      <c r="D910">
        <f>'raw data Crude oil'!D911</f>
        <v>42.76</v>
      </c>
      <c r="E910">
        <f>'raw data Crude oil'!E911</f>
        <v>42.98</v>
      </c>
      <c r="F910">
        <f>'raw data Crude oil'!F911</f>
        <v>43.19</v>
      </c>
      <c r="G910">
        <f>'raw data Crude oil'!G911</f>
        <v>43.41</v>
      </c>
      <c r="H910">
        <f>'raw data Crude oil'!H911</f>
        <v>43.64</v>
      </c>
      <c r="I910">
        <f>'raw data Crude oil'!I911</f>
        <v>43.86</v>
      </c>
      <c r="J910">
        <f>'raw data Crude oil'!J911</f>
        <v>44.09</v>
      </c>
      <c r="K910">
        <f>'raw data Crude oil'!K911</f>
        <v>44.33</v>
      </c>
      <c r="L910">
        <f>'raw data Crude oil'!L911</f>
        <v>44.53</v>
      </c>
      <c r="M910">
        <f>'raw data Crude oil'!M911</f>
        <v>44.74</v>
      </c>
      <c r="N910">
        <f>'raw data Crude oil'!N911</f>
        <v>39.619999999999997</v>
      </c>
      <c r="O910">
        <f>'raw data Crude oil'!O911</f>
        <v>39.83</v>
      </c>
      <c r="P910">
        <f>'raw data Crude oil'!P911</f>
        <v>40.020000000000003</v>
      </c>
      <c r="Q910">
        <f>'raw data Crude oil'!Q911</f>
        <v>40.200000000000003</v>
      </c>
      <c r="R910">
        <f>'raw data Crude oil'!R911</f>
        <v>40.39</v>
      </c>
      <c r="S910">
        <f>'raw data Crude oil'!S911</f>
        <v>40.57</v>
      </c>
      <c r="T910">
        <f>'raw data Crude oil'!T911</f>
        <v>40.75</v>
      </c>
      <c r="U910">
        <f>'raw data Crude oil'!U911</f>
        <v>40.92</v>
      </c>
      <c r="V910">
        <f>'raw data Crude oil'!V911</f>
        <v>41.09</v>
      </c>
      <c r="W910">
        <f>'raw data Crude oil'!W911</f>
        <v>41.25</v>
      </c>
      <c r="X910">
        <f>'raw data Crude oil'!X911</f>
        <v>41.41</v>
      </c>
      <c r="Y910">
        <f>'raw data Crude oil'!Y911</f>
        <v>41.55</v>
      </c>
      <c r="Z910">
        <f>'raw data Crude oil'!Z911</f>
        <v>42.805999999999997</v>
      </c>
      <c r="AA910">
        <f>'raw data Crude oil'!AA911</f>
        <v>41.96</v>
      </c>
      <c r="AB910">
        <f>'raw data Crude oil'!AB911</f>
        <v>41.68</v>
      </c>
      <c r="AC910">
        <f>'raw data Crude oil'!AC911</f>
        <v>41.59</v>
      </c>
      <c r="AD910">
        <f>'raw data Crude oil'!AD911</f>
        <v>41.71</v>
      </c>
      <c r="AE910">
        <f>'raw data Crude oil'!AE911</f>
        <v>41.881</v>
      </c>
      <c r="AF910">
        <f>'raw data Crude oil'!AF911</f>
        <v>42.070999999999998</v>
      </c>
      <c r="AG910">
        <f>'raw data Crude oil'!AG911</f>
        <v>42.262</v>
      </c>
      <c r="AH910">
        <f>'raw data Crude oil'!AH911</f>
        <v>42.47</v>
      </c>
      <c r="AI910">
        <f>'raw data Crude oil'!AI911</f>
        <v>42.69</v>
      </c>
      <c r="AJ910">
        <f>'raw data Crude oil'!AJ911</f>
        <v>42.89</v>
      </c>
      <c r="AK910">
        <f>'raw data Crude oil'!AK911</f>
        <v>43.029000000000003</v>
      </c>
    </row>
    <row r="911" spans="1:37" x14ac:dyDescent="0.3">
      <c r="A911" s="18">
        <f>'raw data Crude oil'!A912</f>
        <v>44022</v>
      </c>
      <c r="B911">
        <f>'raw data Crude oil'!B912</f>
        <v>43.24</v>
      </c>
      <c r="C911">
        <f>'raw data Crude oil'!C912</f>
        <v>43.46</v>
      </c>
      <c r="D911">
        <f>'raw data Crude oil'!D912</f>
        <v>43.68</v>
      </c>
      <c r="E911">
        <f>'raw data Crude oil'!E912</f>
        <v>43.88</v>
      </c>
      <c r="F911">
        <f>'raw data Crude oil'!F912</f>
        <v>44.08</v>
      </c>
      <c r="G911">
        <f>'raw data Crude oil'!G912</f>
        <v>44.28</v>
      </c>
      <c r="H911">
        <f>'raw data Crude oil'!H912</f>
        <v>44.5</v>
      </c>
      <c r="I911">
        <f>'raw data Crude oil'!I912</f>
        <v>44.7</v>
      </c>
      <c r="J911">
        <f>'raw data Crude oil'!J912</f>
        <v>44.92</v>
      </c>
      <c r="K911">
        <f>'raw data Crude oil'!K912</f>
        <v>45.14</v>
      </c>
      <c r="L911">
        <f>'raw data Crude oil'!L912</f>
        <v>45.33</v>
      </c>
      <c r="M911">
        <f>'raw data Crude oil'!M912</f>
        <v>45.54</v>
      </c>
      <c r="N911">
        <f>'raw data Crude oil'!N912</f>
        <v>40.549999999999997</v>
      </c>
      <c r="O911">
        <f>'raw data Crude oil'!O912</f>
        <v>40.76</v>
      </c>
      <c r="P911">
        <f>'raw data Crude oil'!P912</f>
        <v>40.94</v>
      </c>
      <c r="Q911">
        <f>'raw data Crude oil'!Q912</f>
        <v>41.1</v>
      </c>
      <c r="R911">
        <f>'raw data Crude oil'!R912</f>
        <v>41.25</v>
      </c>
      <c r="S911">
        <f>'raw data Crude oil'!S912</f>
        <v>41.4</v>
      </c>
      <c r="T911">
        <f>'raw data Crude oil'!T912</f>
        <v>41.54</v>
      </c>
      <c r="U911">
        <f>'raw data Crude oil'!U912</f>
        <v>41.69</v>
      </c>
      <c r="V911">
        <f>'raw data Crude oil'!V912</f>
        <v>41.83</v>
      </c>
      <c r="W911">
        <f>'raw data Crude oil'!W912</f>
        <v>41.98</v>
      </c>
      <c r="X911">
        <f>'raw data Crude oil'!X912</f>
        <v>42.13</v>
      </c>
      <c r="Y911">
        <f>'raw data Crude oil'!Y912</f>
        <v>42.25</v>
      </c>
      <c r="Z911">
        <f>'raw data Crude oil'!Z912</f>
        <v>43.412999999999997</v>
      </c>
      <c r="AA911">
        <f>'raw data Crude oil'!AA912</f>
        <v>42.871000000000002</v>
      </c>
      <c r="AB911">
        <f>'raw data Crude oil'!AB912</f>
        <v>42.609000000000002</v>
      </c>
      <c r="AC911">
        <f>'raw data Crude oil'!AC912</f>
        <v>42.509</v>
      </c>
      <c r="AD911">
        <f>'raw data Crude oil'!AD912</f>
        <v>42.58</v>
      </c>
      <c r="AE911">
        <f>'raw data Crude oil'!AE912</f>
        <v>42.75</v>
      </c>
      <c r="AF911">
        <f>'raw data Crude oil'!AF912</f>
        <v>42.93</v>
      </c>
      <c r="AG911">
        <f>'raw data Crude oil'!AG912</f>
        <v>43.100999999999999</v>
      </c>
      <c r="AH911">
        <f>'raw data Crude oil'!AH912</f>
        <v>43.3</v>
      </c>
      <c r="AI911">
        <f>'raw data Crude oil'!AI912</f>
        <v>43.499000000000002</v>
      </c>
      <c r="AJ911">
        <f>'raw data Crude oil'!AJ912</f>
        <v>43.69</v>
      </c>
      <c r="AK911">
        <f>'raw data Crude oil'!AK912</f>
        <v>43.889000000000003</v>
      </c>
    </row>
    <row r="912" spans="1:37" x14ac:dyDescent="0.3">
      <c r="A912" s="18">
        <f>'raw data Crude oil'!A913</f>
        <v>44025</v>
      </c>
      <c r="B912">
        <f>'raw data Crude oil'!B913</f>
        <v>42.72</v>
      </c>
      <c r="C912">
        <f>'raw data Crude oil'!C913</f>
        <v>42.96</v>
      </c>
      <c r="D912">
        <f>'raw data Crude oil'!D913</f>
        <v>43.2</v>
      </c>
      <c r="E912">
        <f>'raw data Crude oil'!E913</f>
        <v>43.42</v>
      </c>
      <c r="F912">
        <f>'raw data Crude oil'!F913</f>
        <v>43.64</v>
      </c>
      <c r="G912">
        <f>'raw data Crude oil'!G913</f>
        <v>43.85</v>
      </c>
      <c r="H912">
        <f>'raw data Crude oil'!H913</f>
        <v>44.06</v>
      </c>
      <c r="I912">
        <f>'raw data Crude oil'!I913</f>
        <v>44.27</v>
      </c>
      <c r="J912">
        <f>'raw data Crude oil'!J913</f>
        <v>44.5</v>
      </c>
      <c r="K912">
        <f>'raw data Crude oil'!K913</f>
        <v>44.73</v>
      </c>
      <c r="L912">
        <f>'raw data Crude oil'!L913</f>
        <v>44.92</v>
      </c>
      <c r="M912">
        <f>'raw data Crude oil'!M913</f>
        <v>45.12</v>
      </c>
      <c r="N912">
        <f>'raw data Crude oil'!N913</f>
        <v>40.1</v>
      </c>
      <c r="O912">
        <f>'raw data Crude oil'!O913</f>
        <v>40.32</v>
      </c>
      <c r="P912">
        <f>'raw data Crude oil'!P913</f>
        <v>40.49</v>
      </c>
      <c r="Q912">
        <f>'raw data Crude oil'!Q913</f>
        <v>40.64</v>
      </c>
      <c r="R912">
        <f>'raw data Crude oil'!R913</f>
        <v>40.78</v>
      </c>
      <c r="S912">
        <f>'raw data Crude oil'!S913</f>
        <v>40.93</v>
      </c>
      <c r="T912">
        <f>'raw data Crude oil'!T913</f>
        <v>41.09</v>
      </c>
      <c r="U912">
        <f>'raw data Crude oil'!U913</f>
        <v>41.25</v>
      </c>
      <c r="V912">
        <f>'raw data Crude oil'!V913</f>
        <v>41.41</v>
      </c>
      <c r="W912">
        <f>'raw data Crude oil'!W913</f>
        <v>41.57</v>
      </c>
      <c r="X912">
        <f>'raw data Crude oil'!X913</f>
        <v>41.73</v>
      </c>
      <c r="Y912">
        <f>'raw data Crude oil'!Y913</f>
        <v>41.86</v>
      </c>
      <c r="Z912">
        <f>'raw data Crude oil'!Z913</f>
        <v>43.125</v>
      </c>
      <c r="AA912">
        <f>'raw data Crude oil'!AA913</f>
        <v>42.372999999999998</v>
      </c>
      <c r="AB912">
        <f>'raw data Crude oil'!AB913</f>
        <v>42.13</v>
      </c>
      <c r="AC912">
        <f>'raw data Crude oil'!AC913</f>
        <v>42.05</v>
      </c>
      <c r="AD912">
        <f>'raw data Crude oil'!AD913</f>
        <v>42.14</v>
      </c>
      <c r="AE912">
        <f>'raw data Crude oil'!AE913</f>
        <v>42.308999999999997</v>
      </c>
      <c r="AF912">
        <f>'raw data Crude oil'!AF913</f>
        <v>42.491</v>
      </c>
      <c r="AG912">
        <f>'raw data Crude oil'!AG913</f>
        <v>42.682000000000002</v>
      </c>
      <c r="AH912">
        <f>'raw data Crude oil'!AH913</f>
        <v>42.88</v>
      </c>
      <c r="AI912">
        <f>'raw data Crude oil'!AI913</f>
        <v>43.088999999999999</v>
      </c>
      <c r="AJ912">
        <f>'raw data Crude oil'!AJ913</f>
        <v>43.279000000000003</v>
      </c>
      <c r="AK912">
        <f>'raw data Crude oil'!AK913</f>
        <v>43.469000000000001</v>
      </c>
    </row>
    <row r="913" spans="1:37" x14ac:dyDescent="0.3">
      <c r="A913" s="18">
        <f>'raw data Crude oil'!A914</f>
        <v>44026</v>
      </c>
      <c r="B913">
        <f>'raw data Crude oil'!B914</f>
        <v>42.9</v>
      </c>
      <c r="C913">
        <f>'raw data Crude oil'!C914</f>
        <v>43.13</v>
      </c>
      <c r="D913">
        <f>'raw data Crude oil'!D914</f>
        <v>43.37</v>
      </c>
      <c r="E913">
        <f>'raw data Crude oil'!E914</f>
        <v>43.59</v>
      </c>
      <c r="F913">
        <f>'raw data Crude oil'!F914</f>
        <v>43.82</v>
      </c>
      <c r="G913">
        <f>'raw data Crude oil'!G914</f>
        <v>44.04</v>
      </c>
      <c r="H913">
        <f>'raw data Crude oil'!H914</f>
        <v>44.27</v>
      </c>
      <c r="I913">
        <f>'raw data Crude oil'!I914</f>
        <v>44.49</v>
      </c>
      <c r="J913">
        <f>'raw data Crude oil'!J914</f>
        <v>44.73</v>
      </c>
      <c r="K913">
        <f>'raw data Crude oil'!K914</f>
        <v>44.96</v>
      </c>
      <c r="L913">
        <f>'raw data Crude oil'!L914</f>
        <v>45.16</v>
      </c>
      <c r="M913">
        <f>'raw data Crude oil'!M914</f>
        <v>45.37</v>
      </c>
      <c r="N913">
        <f>'raw data Crude oil'!N914</f>
        <v>40.29</v>
      </c>
      <c r="O913">
        <f>'raw data Crude oil'!O914</f>
        <v>40.549999999999997</v>
      </c>
      <c r="P913">
        <f>'raw data Crude oil'!P914</f>
        <v>40.729999999999997</v>
      </c>
      <c r="Q913">
        <f>'raw data Crude oil'!Q914</f>
        <v>40.880000000000003</v>
      </c>
      <c r="R913">
        <f>'raw data Crude oil'!R914</f>
        <v>41.02</v>
      </c>
      <c r="S913">
        <f>'raw data Crude oil'!S914</f>
        <v>41.16</v>
      </c>
      <c r="T913">
        <f>'raw data Crude oil'!T914</f>
        <v>41.31</v>
      </c>
      <c r="U913">
        <f>'raw data Crude oil'!U914</f>
        <v>41.48</v>
      </c>
      <c r="V913">
        <f>'raw data Crude oil'!V914</f>
        <v>41.63</v>
      </c>
      <c r="W913">
        <f>'raw data Crude oil'!W914</f>
        <v>41.78</v>
      </c>
      <c r="X913">
        <f>'raw data Crude oil'!X914</f>
        <v>41.94</v>
      </c>
      <c r="Y913">
        <f>'raw data Crude oil'!Y914</f>
        <v>42.06</v>
      </c>
      <c r="Z913">
        <f>'raw data Crude oil'!Z914</f>
        <v>43.216000000000001</v>
      </c>
      <c r="AA913">
        <f>'raw data Crude oil'!AA914</f>
        <v>42.563000000000002</v>
      </c>
      <c r="AB913">
        <f>'raw data Crude oil'!AB914</f>
        <v>42.34</v>
      </c>
      <c r="AC913">
        <f>'raw data Crude oil'!AC914</f>
        <v>42.31</v>
      </c>
      <c r="AD913">
        <f>'raw data Crude oil'!AD914</f>
        <v>42.41</v>
      </c>
      <c r="AE913">
        <f>'raw data Crude oil'!AE914</f>
        <v>42.581000000000003</v>
      </c>
      <c r="AF913">
        <f>'raw data Crude oil'!AF914</f>
        <v>42.771000000000001</v>
      </c>
      <c r="AG913">
        <f>'raw data Crude oil'!AG914</f>
        <v>42.972000000000001</v>
      </c>
      <c r="AH913">
        <f>'raw data Crude oil'!AH914</f>
        <v>43.17</v>
      </c>
      <c r="AI913">
        <f>'raw data Crude oil'!AI914</f>
        <v>43.37</v>
      </c>
      <c r="AJ913">
        <f>'raw data Crude oil'!AJ914</f>
        <v>43.57</v>
      </c>
      <c r="AK913">
        <f>'raw data Crude oil'!AK914</f>
        <v>43.759</v>
      </c>
    </row>
    <row r="914" spans="1:37" x14ac:dyDescent="0.3">
      <c r="A914" s="18">
        <f>'raw data Crude oil'!A915</f>
        <v>44027</v>
      </c>
      <c r="B914">
        <f>'raw data Crude oil'!B915</f>
        <v>43.79</v>
      </c>
      <c r="C914">
        <f>'raw data Crude oil'!C915</f>
        <v>43.93</v>
      </c>
      <c r="D914">
        <f>'raw data Crude oil'!D915</f>
        <v>44.08</v>
      </c>
      <c r="E914">
        <f>'raw data Crude oil'!E915</f>
        <v>44.24</v>
      </c>
      <c r="F914">
        <f>'raw data Crude oil'!F915</f>
        <v>44.41</v>
      </c>
      <c r="G914">
        <f>'raw data Crude oil'!G915</f>
        <v>44.58</v>
      </c>
      <c r="H914">
        <f>'raw data Crude oil'!H915</f>
        <v>44.76</v>
      </c>
      <c r="I914">
        <f>'raw data Crude oil'!I915</f>
        <v>44.95</v>
      </c>
      <c r="J914">
        <f>'raw data Crude oil'!J915</f>
        <v>45.15</v>
      </c>
      <c r="K914">
        <f>'raw data Crude oil'!K915</f>
        <v>45.35</v>
      </c>
      <c r="L914">
        <f>'raw data Crude oil'!L915</f>
        <v>45.52</v>
      </c>
      <c r="M914">
        <f>'raw data Crude oil'!M915</f>
        <v>45.7</v>
      </c>
      <c r="N914">
        <f>'raw data Crude oil'!N915</f>
        <v>41.2</v>
      </c>
      <c r="O914">
        <f>'raw data Crude oil'!O915</f>
        <v>41.4</v>
      </c>
      <c r="P914">
        <f>'raw data Crude oil'!P915</f>
        <v>41.57</v>
      </c>
      <c r="Q914">
        <f>'raw data Crude oil'!Q915</f>
        <v>41.69</v>
      </c>
      <c r="R914">
        <f>'raw data Crude oil'!R915</f>
        <v>41.8</v>
      </c>
      <c r="S914">
        <f>'raw data Crude oil'!S915</f>
        <v>41.91</v>
      </c>
      <c r="T914">
        <f>'raw data Crude oil'!T915</f>
        <v>42.03</v>
      </c>
      <c r="U914">
        <f>'raw data Crude oil'!U915</f>
        <v>42.16</v>
      </c>
      <c r="V914">
        <f>'raw data Crude oil'!V915</f>
        <v>42.27</v>
      </c>
      <c r="W914">
        <f>'raw data Crude oil'!W915</f>
        <v>42.39</v>
      </c>
      <c r="X914">
        <f>'raw data Crude oil'!X915</f>
        <v>42.5</v>
      </c>
      <c r="Y914">
        <f>'raw data Crude oil'!Y915</f>
        <v>42.61</v>
      </c>
      <c r="Z914">
        <f>'raw data Crude oil'!Z915</f>
        <v>43.655000000000001</v>
      </c>
      <c r="AA914">
        <f>'raw data Crude oil'!AA915</f>
        <v>43.323999999999998</v>
      </c>
      <c r="AB914">
        <f>'raw data Crude oil'!AB915</f>
        <v>43.097000000000001</v>
      </c>
      <c r="AC914">
        <f>'raw data Crude oil'!AC915</f>
        <v>42.997999999999998</v>
      </c>
      <c r="AD914">
        <f>'raw data Crude oil'!AD915</f>
        <v>43.048000000000002</v>
      </c>
      <c r="AE914">
        <f>'raw data Crude oil'!AE915</f>
        <v>43.176000000000002</v>
      </c>
      <c r="AF914">
        <f>'raw data Crude oil'!AF915</f>
        <v>43.34</v>
      </c>
      <c r="AG914">
        <f>'raw data Crude oil'!AG915</f>
        <v>43.47</v>
      </c>
      <c r="AH914">
        <f>'raw data Crude oil'!AH915</f>
        <v>43.628999999999998</v>
      </c>
      <c r="AI914">
        <f>'raw data Crude oil'!AI915</f>
        <v>43.798000000000002</v>
      </c>
      <c r="AJ914">
        <f>'raw data Crude oil'!AJ915</f>
        <v>43.966999999999999</v>
      </c>
      <c r="AK914">
        <f>'raw data Crude oil'!AK915</f>
        <v>44.128</v>
      </c>
    </row>
    <row r="915" spans="1:37" x14ac:dyDescent="0.3">
      <c r="A915" s="18">
        <f>'raw data Crude oil'!A916</f>
        <v>44028</v>
      </c>
      <c r="B915">
        <f>'raw data Crude oil'!B916</f>
        <v>43.37</v>
      </c>
      <c r="C915">
        <f>'raw data Crude oil'!C916</f>
        <v>43.5</v>
      </c>
      <c r="D915">
        <f>'raw data Crude oil'!D916</f>
        <v>43.68</v>
      </c>
      <c r="E915">
        <f>'raw data Crude oil'!E916</f>
        <v>43.86</v>
      </c>
      <c r="F915">
        <f>'raw data Crude oil'!F916</f>
        <v>44.05</v>
      </c>
      <c r="G915">
        <f>'raw data Crude oil'!G916</f>
        <v>44.25</v>
      </c>
      <c r="H915">
        <f>'raw data Crude oil'!H916</f>
        <v>44.45</v>
      </c>
      <c r="I915">
        <f>'raw data Crude oil'!I916</f>
        <v>44.64</v>
      </c>
      <c r="J915">
        <f>'raw data Crude oil'!J916</f>
        <v>44.85</v>
      </c>
      <c r="K915">
        <f>'raw data Crude oil'!K916</f>
        <v>45.06</v>
      </c>
      <c r="L915">
        <f>'raw data Crude oil'!L916</f>
        <v>45.24</v>
      </c>
      <c r="M915">
        <f>'raw data Crude oil'!M916</f>
        <v>45.43</v>
      </c>
      <c r="N915">
        <f>'raw data Crude oil'!N916</f>
        <v>40.75</v>
      </c>
      <c r="O915">
        <f>'raw data Crude oil'!O916</f>
        <v>40.93</v>
      </c>
      <c r="P915">
        <f>'raw data Crude oil'!P916</f>
        <v>41.1</v>
      </c>
      <c r="Q915">
        <f>'raw data Crude oil'!Q916</f>
        <v>41.24</v>
      </c>
      <c r="R915">
        <f>'raw data Crude oil'!R916</f>
        <v>41.37</v>
      </c>
      <c r="S915">
        <f>'raw data Crude oil'!S916</f>
        <v>41.51</v>
      </c>
      <c r="T915">
        <f>'raw data Crude oil'!T916</f>
        <v>41.65</v>
      </c>
      <c r="U915">
        <f>'raw data Crude oil'!U916</f>
        <v>41.8</v>
      </c>
      <c r="V915">
        <f>'raw data Crude oil'!V916</f>
        <v>41.93</v>
      </c>
      <c r="W915">
        <f>'raw data Crude oil'!W916</f>
        <v>42.06</v>
      </c>
      <c r="X915">
        <f>'raw data Crude oil'!X916</f>
        <v>42.19</v>
      </c>
      <c r="Y915">
        <f>'raw data Crude oil'!Y916</f>
        <v>42.29</v>
      </c>
      <c r="Z915">
        <f>'raw data Crude oil'!Z916</f>
        <v>43.183999999999997</v>
      </c>
      <c r="AA915">
        <f>'raw data Crude oil'!AA916</f>
        <v>42.506999999999998</v>
      </c>
      <c r="AB915">
        <f>'raw data Crude oil'!AB916</f>
        <v>42.478000000000002</v>
      </c>
      <c r="AC915">
        <f>'raw data Crude oil'!AC916</f>
        <v>42.548999999999999</v>
      </c>
      <c r="AD915">
        <f>'raw data Crude oil'!AD916</f>
        <v>42.64</v>
      </c>
      <c r="AE915">
        <f>'raw data Crude oil'!AE916</f>
        <v>42.808</v>
      </c>
      <c r="AF915">
        <f>'raw data Crude oil'!AF916</f>
        <v>42.98</v>
      </c>
      <c r="AG915">
        <f>'raw data Crude oil'!AG916</f>
        <v>43.170999999999999</v>
      </c>
      <c r="AH915">
        <f>'raw data Crude oil'!AH916</f>
        <v>43.348999999999997</v>
      </c>
      <c r="AI915">
        <f>'raw data Crude oil'!AI916</f>
        <v>43.529000000000003</v>
      </c>
      <c r="AJ915">
        <f>'raw data Crude oil'!AJ916</f>
        <v>43.718000000000004</v>
      </c>
      <c r="AK915">
        <f>'raw data Crude oil'!AK916</f>
        <v>43.887999999999998</v>
      </c>
    </row>
    <row r="916" spans="1:37" x14ac:dyDescent="0.3">
      <c r="A916" s="18">
        <f>'raw data Crude oil'!A917</f>
        <v>44029</v>
      </c>
      <c r="B916">
        <f>'raw data Crude oil'!B917</f>
        <v>43.14</v>
      </c>
      <c r="C916">
        <f>'raw data Crude oil'!C917</f>
        <v>43.3</v>
      </c>
      <c r="D916">
        <f>'raw data Crude oil'!D917</f>
        <v>43.53</v>
      </c>
      <c r="E916">
        <f>'raw data Crude oil'!E917</f>
        <v>43.75</v>
      </c>
      <c r="F916">
        <f>'raw data Crude oil'!F917</f>
        <v>43.97</v>
      </c>
      <c r="G916">
        <f>'raw data Crude oil'!G917</f>
        <v>44.19</v>
      </c>
      <c r="H916">
        <f>'raw data Crude oil'!H917</f>
        <v>44.41</v>
      </c>
      <c r="I916">
        <f>'raw data Crude oil'!I917</f>
        <v>44.62</v>
      </c>
      <c r="J916">
        <f>'raw data Crude oil'!J917</f>
        <v>44.85</v>
      </c>
      <c r="K916">
        <f>'raw data Crude oil'!K917</f>
        <v>45.07</v>
      </c>
      <c r="L916">
        <f>'raw data Crude oil'!L917</f>
        <v>45.25</v>
      </c>
      <c r="M916">
        <f>'raw data Crude oil'!M917</f>
        <v>45.45</v>
      </c>
      <c r="N916">
        <f>'raw data Crude oil'!N917</f>
        <v>40.590000000000003</v>
      </c>
      <c r="O916">
        <f>'raw data Crude oil'!O917</f>
        <v>40.75</v>
      </c>
      <c r="P916">
        <f>'raw data Crude oil'!P917</f>
        <v>40.94</v>
      </c>
      <c r="Q916">
        <f>'raw data Crude oil'!Q917</f>
        <v>41.11</v>
      </c>
      <c r="R916">
        <f>'raw data Crude oil'!R917</f>
        <v>41.27</v>
      </c>
      <c r="S916">
        <f>'raw data Crude oil'!S917</f>
        <v>41.42</v>
      </c>
      <c r="T916">
        <f>'raw data Crude oil'!T917</f>
        <v>41.58</v>
      </c>
      <c r="U916">
        <f>'raw data Crude oil'!U917</f>
        <v>41.73</v>
      </c>
      <c r="V916">
        <f>'raw data Crude oil'!V917</f>
        <v>41.87</v>
      </c>
      <c r="W916">
        <f>'raw data Crude oil'!W917</f>
        <v>42.02</v>
      </c>
      <c r="X916">
        <f>'raw data Crude oil'!X917</f>
        <v>42.17</v>
      </c>
      <c r="Y916">
        <f>'raw data Crude oil'!Y917</f>
        <v>42.28</v>
      </c>
      <c r="Z916">
        <f>'raw data Crude oil'!Z917</f>
        <v>42.994999999999997</v>
      </c>
      <c r="AA916">
        <f>'raw data Crude oil'!AA917</f>
        <v>42.252000000000002</v>
      </c>
      <c r="AB916">
        <f>'raw data Crude oil'!AB917</f>
        <v>42.33</v>
      </c>
      <c r="AC916">
        <f>'raw data Crude oil'!AC917</f>
        <v>42.46</v>
      </c>
      <c r="AD916">
        <f>'raw data Crude oil'!AD917</f>
        <v>42.58</v>
      </c>
      <c r="AE916">
        <f>'raw data Crude oil'!AE917</f>
        <v>42.78</v>
      </c>
      <c r="AF916">
        <f>'raw data Crude oil'!AF917</f>
        <v>43.000999999999998</v>
      </c>
      <c r="AG916">
        <f>'raw data Crude oil'!AG917</f>
        <v>43.171999999999997</v>
      </c>
      <c r="AH916">
        <f>'raw data Crude oil'!AH917</f>
        <v>43.37</v>
      </c>
      <c r="AI916">
        <f>'raw data Crude oil'!AI917</f>
        <v>43.548999999999999</v>
      </c>
      <c r="AJ916">
        <f>'raw data Crude oil'!AJ917</f>
        <v>43.728999999999999</v>
      </c>
      <c r="AK916">
        <f>'raw data Crude oil'!AK917</f>
        <v>43.908999999999999</v>
      </c>
    </row>
    <row r="917" spans="1:37" x14ac:dyDescent="0.3">
      <c r="A917" s="18">
        <f>'raw data Crude oil'!A918</f>
        <v>44032</v>
      </c>
      <c r="B917">
        <f>'raw data Crude oil'!B918</f>
        <v>43.28</v>
      </c>
      <c r="C917">
        <f>'raw data Crude oil'!C918</f>
        <v>43.46</v>
      </c>
      <c r="D917">
        <f>'raw data Crude oil'!D918</f>
        <v>43.7</v>
      </c>
      <c r="E917">
        <f>'raw data Crude oil'!E918</f>
        <v>43.94</v>
      </c>
      <c r="F917">
        <f>'raw data Crude oil'!F918</f>
        <v>44.16</v>
      </c>
      <c r="G917">
        <f>'raw data Crude oil'!G918</f>
        <v>44.38</v>
      </c>
      <c r="H917">
        <f>'raw data Crude oil'!H918</f>
        <v>44.6</v>
      </c>
      <c r="I917">
        <f>'raw data Crude oil'!I918</f>
        <v>44.83</v>
      </c>
      <c r="J917">
        <f>'raw data Crude oil'!J918</f>
        <v>45.06</v>
      </c>
      <c r="K917">
        <f>'raw data Crude oil'!K918</f>
        <v>45.28</v>
      </c>
      <c r="L917">
        <f>'raw data Crude oil'!L918</f>
        <v>45.47</v>
      </c>
      <c r="M917">
        <f>'raw data Crude oil'!M918</f>
        <v>45.67</v>
      </c>
      <c r="N917">
        <f>'raw data Crude oil'!N918</f>
        <v>40.81</v>
      </c>
      <c r="O917">
        <f>'raw data Crude oil'!O918</f>
        <v>40.92</v>
      </c>
      <c r="P917">
        <f>'raw data Crude oil'!P918</f>
        <v>41.09</v>
      </c>
      <c r="Q917">
        <f>'raw data Crude oil'!Q918</f>
        <v>41.24</v>
      </c>
      <c r="R917">
        <f>'raw data Crude oil'!R918</f>
        <v>41.39</v>
      </c>
      <c r="S917">
        <f>'raw data Crude oil'!S918</f>
        <v>41.54</v>
      </c>
      <c r="T917">
        <f>'raw data Crude oil'!T918</f>
        <v>41.7</v>
      </c>
      <c r="U917">
        <f>'raw data Crude oil'!U918</f>
        <v>41.84</v>
      </c>
      <c r="V917">
        <f>'raw data Crude oil'!V918</f>
        <v>42</v>
      </c>
      <c r="W917">
        <f>'raw data Crude oil'!W918</f>
        <v>42.14</v>
      </c>
      <c r="X917">
        <f>'raw data Crude oil'!X918</f>
        <v>42.28</v>
      </c>
      <c r="Y917">
        <f>'raw data Crude oil'!Y918</f>
        <v>42.4</v>
      </c>
      <c r="Z917">
        <f>'raw data Crude oil'!Z918</f>
        <v>43.125999999999998</v>
      </c>
      <c r="AA917">
        <f>'raw data Crude oil'!AA918</f>
        <v>42.383000000000003</v>
      </c>
      <c r="AB917">
        <f>'raw data Crude oil'!AB918</f>
        <v>42.491</v>
      </c>
      <c r="AC917">
        <f>'raw data Crude oil'!AC918</f>
        <v>42.68</v>
      </c>
      <c r="AD917">
        <f>'raw data Crude oil'!AD918</f>
        <v>42.86</v>
      </c>
      <c r="AE917">
        <f>'raw data Crude oil'!AE918</f>
        <v>43.05</v>
      </c>
      <c r="AF917">
        <f>'raw data Crude oil'!AF918</f>
        <v>43.262</v>
      </c>
      <c r="AG917">
        <f>'raw data Crude oil'!AG918</f>
        <v>43.481999999999999</v>
      </c>
      <c r="AH917">
        <f>'raw data Crude oil'!AH918</f>
        <v>43.68</v>
      </c>
      <c r="AI917">
        <f>'raw data Crude oil'!AI918</f>
        <v>43.869</v>
      </c>
      <c r="AJ917">
        <f>'raw data Crude oil'!AJ918</f>
        <v>44.069000000000003</v>
      </c>
      <c r="AK917">
        <f>'raw data Crude oil'!AK918</f>
        <v>44.238999999999997</v>
      </c>
    </row>
    <row r="918" spans="1:37" x14ac:dyDescent="0.3">
      <c r="A918" s="18">
        <f>'raw data Crude oil'!A919</f>
        <v>44033</v>
      </c>
      <c r="B918">
        <f>'raw data Crude oil'!B919</f>
        <v>44.32</v>
      </c>
      <c r="C918">
        <f>'raw data Crude oil'!C919</f>
        <v>44.55</v>
      </c>
      <c r="D918">
        <f>'raw data Crude oil'!D919</f>
        <v>44.78</v>
      </c>
      <c r="E918">
        <f>'raw data Crude oil'!E919</f>
        <v>44.98</v>
      </c>
      <c r="F918">
        <f>'raw data Crude oil'!F919</f>
        <v>45.17</v>
      </c>
      <c r="G918">
        <f>'raw data Crude oil'!G919</f>
        <v>45.36</v>
      </c>
      <c r="H918">
        <f>'raw data Crude oil'!H919</f>
        <v>45.54</v>
      </c>
      <c r="I918">
        <f>'raw data Crude oil'!I919</f>
        <v>45.72</v>
      </c>
      <c r="J918">
        <f>'raw data Crude oil'!J919</f>
        <v>45.91</v>
      </c>
      <c r="K918">
        <f>'raw data Crude oil'!K919</f>
        <v>46.09</v>
      </c>
      <c r="L918">
        <f>'raw data Crude oil'!L919</f>
        <v>46.24</v>
      </c>
      <c r="M918">
        <f>'raw data Crude oil'!M919</f>
        <v>46.41</v>
      </c>
      <c r="N918">
        <f>'raw data Crude oil'!N919</f>
        <v>41.96</v>
      </c>
      <c r="O918">
        <f>'raw data Crude oil'!O919</f>
        <v>41.92</v>
      </c>
      <c r="P918">
        <f>'raw data Crude oil'!P919</f>
        <v>42.06</v>
      </c>
      <c r="Q918">
        <f>'raw data Crude oil'!Q919</f>
        <v>42.17</v>
      </c>
      <c r="R918">
        <f>'raw data Crude oil'!R919</f>
        <v>42.26</v>
      </c>
      <c r="S918">
        <f>'raw data Crude oil'!S919</f>
        <v>42.34</v>
      </c>
      <c r="T918">
        <f>'raw data Crude oil'!T919</f>
        <v>42.44</v>
      </c>
      <c r="U918">
        <f>'raw data Crude oil'!U919</f>
        <v>42.55</v>
      </c>
      <c r="V918">
        <f>'raw data Crude oil'!V919</f>
        <v>42.66</v>
      </c>
      <c r="W918">
        <f>'raw data Crude oil'!W919</f>
        <v>42.77</v>
      </c>
      <c r="X918">
        <f>'raw data Crude oil'!X919</f>
        <v>42.87</v>
      </c>
      <c r="Y918">
        <f>'raw data Crude oil'!Y919</f>
        <v>42.96</v>
      </c>
      <c r="Z918">
        <f>'raw data Crude oil'!Z919</f>
        <v>43.637999999999998</v>
      </c>
      <c r="AA918">
        <f>'raw data Crude oil'!AA919</f>
        <v>43.811999999999998</v>
      </c>
      <c r="AB918">
        <f>'raw data Crude oil'!AB919</f>
        <v>43.808999999999997</v>
      </c>
      <c r="AC918">
        <f>'raw data Crude oil'!AC919</f>
        <v>43.869</v>
      </c>
      <c r="AD918">
        <f>'raw data Crude oil'!AD919</f>
        <v>44.009</v>
      </c>
      <c r="AE918">
        <f>'raw data Crude oil'!AE919</f>
        <v>44.155999999999999</v>
      </c>
      <c r="AF918">
        <f>'raw data Crude oil'!AF919</f>
        <v>44.319000000000003</v>
      </c>
      <c r="AG918">
        <f>'raw data Crude oil'!AG919</f>
        <v>44.48</v>
      </c>
      <c r="AH918">
        <f>'raw data Crude oil'!AH919</f>
        <v>44.648000000000003</v>
      </c>
      <c r="AI918">
        <f>'raw data Crude oil'!AI919</f>
        <v>44.807000000000002</v>
      </c>
      <c r="AJ918">
        <f>'raw data Crude oil'!AJ919</f>
        <v>44.966000000000001</v>
      </c>
      <c r="AK918">
        <f>'raw data Crude oil'!AK919</f>
        <v>45.116</v>
      </c>
    </row>
    <row r="919" spans="1:37" x14ac:dyDescent="0.3">
      <c r="A919" s="18">
        <f>'raw data Crude oil'!A920</f>
        <v>44034</v>
      </c>
      <c r="B919">
        <f>'raw data Crude oil'!B920</f>
        <v>44.29</v>
      </c>
      <c r="C919">
        <f>'raw data Crude oil'!C920</f>
        <v>44.56</v>
      </c>
      <c r="D919">
        <f>'raw data Crude oil'!D920</f>
        <v>44.81</v>
      </c>
      <c r="E919">
        <f>'raw data Crude oil'!E920</f>
        <v>45.02</v>
      </c>
      <c r="F919">
        <f>'raw data Crude oil'!F920</f>
        <v>45.23</v>
      </c>
      <c r="G919">
        <f>'raw data Crude oil'!G920</f>
        <v>45.43</v>
      </c>
      <c r="H919">
        <f>'raw data Crude oil'!H920</f>
        <v>45.62</v>
      </c>
      <c r="I919">
        <f>'raw data Crude oil'!I920</f>
        <v>45.8</v>
      </c>
      <c r="J919">
        <f>'raw data Crude oil'!J920</f>
        <v>45.99</v>
      </c>
      <c r="K919">
        <f>'raw data Crude oil'!K920</f>
        <v>46.16</v>
      </c>
      <c r="L919">
        <f>'raw data Crude oil'!L920</f>
        <v>46.31</v>
      </c>
      <c r="M919">
        <f>'raw data Crude oil'!M920</f>
        <v>46.48</v>
      </c>
      <c r="N919">
        <f>'raw data Crude oil'!N920</f>
        <v>41.9</v>
      </c>
      <c r="O919">
        <f>'raw data Crude oil'!O920</f>
        <v>42.04</v>
      </c>
      <c r="P919">
        <f>'raw data Crude oil'!P920</f>
        <v>42.17</v>
      </c>
      <c r="Q919">
        <f>'raw data Crude oil'!Q920</f>
        <v>42.28</v>
      </c>
      <c r="R919">
        <f>'raw data Crude oil'!R920</f>
        <v>42.39</v>
      </c>
      <c r="S919">
        <f>'raw data Crude oil'!S920</f>
        <v>42.51</v>
      </c>
      <c r="T919">
        <f>'raw data Crude oil'!T920</f>
        <v>42.63</v>
      </c>
      <c r="U919">
        <f>'raw data Crude oil'!U920</f>
        <v>42.74</v>
      </c>
      <c r="V919">
        <f>'raw data Crude oil'!V920</f>
        <v>42.84</v>
      </c>
      <c r="W919">
        <f>'raw data Crude oil'!W920</f>
        <v>42.94</v>
      </c>
      <c r="X919">
        <f>'raw data Crude oil'!X920</f>
        <v>43.02</v>
      </c>
      <c r="Y919">
        <f>'raw data Crude oil'!Y920</f>
        <v>43.09</v>
      </c>
      <c r="Z919">
        <f>'raw data Crude oil'!Z920</f>
        <v>43.567</v>
      </c>
      <c r="AA919">
        <f>'raw data Crude oil'!AA920</f>
        <v>43.734000000000002</v>
      </c>
      <c r="AB919">
        <f>'raw data Crude oil'!AB920</f>
        <v>43.82</v>
      </c>
      <c r="AC919">
        <f>'raw data Crude oil'!AC920</f>
        <v>43.89</v>
      </c>
      <c r="AD919">
        <f>'raw data Crude oil'!AD920</f>
        <v>44.04</v>
      </c>
      <c r="AE919">
        <f>'raw data Crude oil'!AE920</f>
        <v>44.167000000000002</v>
      </c>
      <c r="AF919">
        <f>'raw data Crude oil'!AF920</f>
        <v>44.338999999999999</v>
      </c>
      <c r="AG919">
        <f>'raw data Crude oil'!AG920</f>
        <v>44.5</v>
      </c>
      <c r="AH919">
        <f>'raw data Crude oil'!AH920</f>
        <v>44.677</v>
      </c>
      <c r="AI919">
        <f>'raw data Crude oil'!AI920</f>
        <v>44.837000000000003</v>
      </c>
      <c r="AJ919">
        <f>'raw data Crude oil'!AJ920</f>
        <v>45.006</v>
      </c>
      <c r="AK919">
        <f>'raw data Crude oil'!AK920</f>
        <v>45.155999999999999</v>
      </c>
    </row>
    <row r="920" spans="1:37" x14ac:dyDescent="0.3">
      <c r="A920" s="18">
        <f>'raw data Crude oil'!A921</f>
        <v>44035</v>
      </c>
      <c r="B920">
        <f>'raw data Crude oil'!B921</f>
        <v>43.31</v>
      </c>
      <c r="C920">
        <f>'raw data Crude oil'!C921</f>
        <v>43.67</v>
      </c>
      <c r="D920">
        <f>'raw data Crude oil'!D921</f>
        <v>43.95</v>
      </c>
      <c r="E920">
        <f>'raw data Crude oil'!E921</f>
        <v>44.19</v>
      </c>
      <c r="F920">
        <f>'raw data Crude oil'!F921</f>
        <v>44.42</v>
      </c>
      <c r="G920">
        <f>'raw data Crude oil'!G921</f>
        <v>44.65</v>
      </c>
      <c r="H920">
        <f>'raw data Crude oil'!H921</f>
        <v>44.88</v>
      </c>
      <c r="I920">
        <f>'raw data Crude oil'!I921</f>
        <v>45.1</v>
      </c>
      <c r="J920">
        <f>'raw data Crude oil'!J921</f>
        <v>45.31</v>
      </c>
      <c r="K920">
        <f>'raw data Crude oil'!K921</f>
        <v>45.52</v>
      </c>
      <c r="L920">
        <f>'raw data Crude oil'!L921</f>
        <v>45.7</v>
      </c>
      <c r="M920">
        <f>'raw data Crude oil'!M921</f>
        <v>45.88</v>
      </c>
      <c r="N920">
        <f>'raw data Crude oil'!N921</f>
        <v>41.07</v>
      </c>
      <c r="O920">
        <f>'raw data Crude oil'!O921</f>
        <v>41.21</v>
      </c>
      <c r="P920">
        <f>'raw data Crude oil'!P921</f>
        <v>41.37</v>
      </c>
      <c r="Q920">
        <f>'raw data Crude oil'!Q921</f>
        <v>41.51</v>
      </c>
      <c r="R920">
        <f>'raw data Crude oil'!R921</f>
        <v>41.65</v>
      </c>
      <c r="S920">
        <f>'raw data Crude oil'!S921</f>
        <v>41.79</v>
      </c>
      <c r="T920">
        <f>'raw data Crude oil'!T921</f>
        <v>41.95</v>
      </c>
      <c r="U920">
        <f>'raw data Crude oil'!U921</f>
        <v>42.1</v>
      </c>
      <c r="V920">
        <f>'raw data Crude oil'!V921</f>
        <v>42.23</v>
      </c>
      <c r="W920">
        <f>'raw data Crude oil'!W921</f>
        <v>42.36</v>
      </c>
      <c r="X920">
        <f>'raw data Crude oil'!X921</f>
        <v>42.47</v>
      </c>
      <c r="Y920">
        <f>'raw data Crude oil'!Y921</f>
        <v>42.58</v>
      </c>
      <c r="Z920">
        <f>'raw data Crude oil'!Z921</f>
        <v>43.280999999999999</v>
      </c>
      <c r="AA920">
        <f>'raw data Crude oil'!AA921</f>
        <v>42.627000000000002</v>
      </c>
      <c r="AB920">
        <f>'raw data Crude oil'!AB921</f>
        <v>42.831000000000003</v>
      </c>
      <c r="AC920">
        <f>'raw data Crude oil'!AC921</f>
        <v>43.02</v>
      </c>
      <c r="AD920">
        <f>'raw data Crude oil'!AD921</f>
        <v>43.201000000000001</v>
      </c>
      <c r="AE920">
        <f>'raw data Crude oil'!AE921</f>
        <v>43.371000000000002</v>
      </c>
      <c r="AF920">
        <f>'raw data Crude oil'!AF921</f>
        <v>43.561</v>
      </c>
      <c r="AG920">
        <f>'raw data Crude oil'!AG921</f>
        <v>43.780999999999999</v>
      </c>
      <c r="AH920">
        <f>'raw data Crude oil'!AH921</f>
        <v>43.988999999999997</v>
      </c>
      <c r="AI920">
        <f>'raw data Crude oil'!AI921</f>
        <v>44.209000000000003</v>
      </c>
      <c r="AJ920">
        <f>'raw data Crude oil'!AJ921</f>
        <v>44.396999999999998</v>
      </c>
      <c r="AK920">
        <f>'raw data Crude oil'!AK921</f>
        <v>44.567</v>
      </c>
    </row>
    <row r="921" spans="1:37" x14ac:dyDescent="0.3">
      <c r="A921" s="18">
        <f>'raw data Crude oil'!A922</f>
        <v>44036</v>
      </c>
      <c r="B921">
        <f>'raw data Crude oil'!B922</f>
        <v>43.34</v>
      </c>
      <c r="C921">
        <f>'raw data Crude oil'!C922</f>
        <v>43.78</v>
      </c>
      <c r="D921">
        <f>'raw data Crude oil'!D922</f>
        <v>44.16</v>
      </c>
      <c r="E921">
        <f>'raw data Crude oil'!E922</f>
        <v>44.49</v>
      </c>
      <c r="F921">
        <f>'raw data Crude oil'!F922</f>
        <v>44.79</v>
      </c>
      <c r="G921">
        <f>'raw data Crude oil'!G922</f>
        <v>45.08</v>
      </c>
      <c r="H921">
        <f>'raw data Crude oil'!H922</f>
        <v>45.34</v>
      </c>
      <c r="I921">
        <f>'raw data Crude oil'!I922</f>
        <v>45.57</v>
      </c>
      <c r="J921">
        <f>'raw data Crude oil'!J922</f>
        <v>45.79</v>
      </c>
      <c r="K921">
        <f>'raw data Crude oil'!K922</f>
        <v>46</v>
      </c>
      <c r="L921">
        <f>'raw data Crude oil'!L922</f>
        <v>46.19</v>
      </c>
      <c r="M921">
        <f>'raw data Crude oil'!M922</f>
        <v>46.38</v>
      </c>
      <c r="N921">
        <f>'raw data Crude oil'!N922</f>
        <v>41.29</v>
      </c>
      <c r="O921">
        <f>'raw data Crude oil'!O922</f>
        <v>41.45</v>
      </c>
      <c r="P921">
        <f>'raw data Crude oil'!P922</f>
        <v>41.64</v>
      </c>
      <c r="Q921">
        <f>'raw data Crude oil'!Q922</f>
        <v>41.82</v>
      </c>
      <c r="R921">
        <f>'raw data Crude oil'!R922</f>
        <v>42</v>
      </c>
      <c r="S921">
        <f>'raw data Crude oil'!S922</f>
        <v>42.18</v>
      </c>
      <c r="T921">
        <f>'raw data Crude oil'!T922</f>
        <v>42.35</v>
      </c>
      <c r="U921">
        <f>'raw data Crude oil'!U922</f>
        <v>42.51</v>
      </c>
      <c r="V921">
        <f>'raw data Crude oil'!V922</f>
        <v>42.67</v>
      </c>
      <c r="W921">
        <f>'raw data Crude oil'!W922</f>
        <v>42.81</v>
      </c>
      <c r="X921">
        <f>'raw data Crude oil'!X922</f>
        <v>42.94</v>
      </c>
      <c r="Y921">
        <f>'raw data Crude oil'!Y922</f>
        <v>43.06</v>
      </c>
      <c r="Z921">
        <f>'raw data Crude oil'!Z922</f>
        <v>43.317</v>
      </c>
      <c r="AA921">
        <f>'raw data Crude oil'!AA922</f>
        <v>42.866</v>
      </c>
      <c r="AB921">
        <f>'raw data Crude oil'!AB922</f>
        <v>43.115000000000002</v>
      </c>
      <c r="AC921">
        <f>'raw data Crude oil'!AC922</f>
        <v>43.323999999999998</v>
      </c>
      <c r="AD921">
        <f>'raw data Crude oil'!AD922</f>
        <v>43.503999999999998</v>
      </c>
      <c r="AE921">
        <f>'raw data Crude oil'!AE922</f>
        <v>43.694000000000003</v>
      </c>
      <c r="AF921">
        <f>'raw data Crude oil'!AF922</f>
        <v>43.942</v>
      </c>
      <c r="AG921">
        <f>'raw data Crude oil'!AG922</f>
        <v>44.161000000000001</v>
      </c>
      <c r="AH921">
        <f>'raw data Crude oil'!AH922</f>
        <v>44.369</v>
      </c>
      <c r="AI921">
        <f>'raw data Crude oil'!AI922</f>
        <v>44.579000000000001</v>
      </c>
      <c r="AJ921">
        <f>'raw data Crude oil'!AJ922</f>
        <v>44.777999999999999</v>
      </c>
      <c r="AK921">
        <f>'raw data Crude oil'!AK922</f>
        <v>44.936999999999998</v>
      </c>
    </row>
    <row r="922" spans="1:37" x14ac:dyDescent="0.3">
      <c r="A922" s="18">
        <f>'raw data Crude oil'!A923</f>
        <v>44039</v>
      </c>
      <c r="B922">
        <f>'raw data Crude oil'!B923</f>
        <v>43.41</v>
      </c>
      <c r="C922">
        <f>'raw data Crude oil'!C923</f>
        <v>43.9</v>
      </c>
      <c r="D922">
        <f>'raw data Crude oil'!D923</f>
        <v>44.34</v>
      </c>
      <c r="E922">
        <f>'raw data Crude oil'!E923</f>
        <v>44.74</v>
      </c>
      <c r="F922">
        <f>'raw data Crude oil'!F923</f>
        <v>45.09</v>
      </c>
      <c r="G922">
        <f>'raw data Crude oil'!G923</f>
        <v>45.41</v>
      </c>
      <c r="H922">
        <f>'raw data Crude oil'!H923</f>
        <v>45.69</v>
      </c>
      <c r="I922">
        <f>'raw data Crude oil'!I923</f>
        <v>45.93</v>
      </c>
      <c r="J922">
        <f>'raw data Crude oil'!J923</f>
        <v>46.16</v>
      </c>
      <c r="K922">
        <f>'raw data Crude oil'!K923</f>
        <v>46.36</v>
      </c>
      <c r="L922">
        <f>'raw data Crude oil'!L923</f>
        <v>46.55</v>
      </c>
      <c r="M922">
        <f>'raw data Crude oil'!M923</f>
        <v>46.74</v>
      </c>
      <c r="N922">
        <f>'raw data Crude oil'!N923</f>
        <v>41.6</v>
      </c>
      <c r="O922">
        <f>'raw data Crude oil'!O923</f>
        <v>41.8</v>
      </c>
      <c r="P922">
        <f>'raw data Crude oil'!P923</f>
        <v>42</v>
      </c>
      <c r="Q922">
        <f>'raw data Crude oil'!Q923</f>
        <v>42.18</v>
      </c>
      <c r="R922">
        <f>'raw data Crude oil'!R923</f>
        <v>42.35</v>
      </c>
      <c r="S922">
        <f>'raw data Crude oil'!S923</f>
        <v>42.53</v>
      </c>
      <c r="T922">
        <f>'raw data Crude oil'!T923</f>
        <v>42.73</v>
      </c>
      <c r="U922">
        <f>'raw data Crude oil'!U923</f>
        <v>42.89</v>
      </c>
      <c r="V922">
        <f>'raw data Crude oil'!V923</f>
        <v>43.06</v>
      </c>
      <c r="W922">
        <f>'raw data Crude oil'!W923</f>
        <v>43.21</v>
      </c>
      <c r="X922">
        <f>'raw data Crude oil'!X923</f>
        <v>43.34</v>
      </c>
      <c r="Y922">
        <f>'raw data Crude oil'!Y923</f>
        <v>43.46</v>
      </c>
      <c r="Z922">
        <f>'raw data Crude oil'!Z923</f>
        <v>43.29</v>
      </c>
      <c r="AA922">
        <f>'raw data Crude oil'!AA923</f>
        <v>42.911999999999999</v>
      </c>
      <c r="AB922">
        <f>'raw data Crude oil'!AB923</f>
        <v>43.258000000000003</v>
      </c>
      <c r="AC922">
        <f>'raw data Crude oil'!AC923</f>
        <v>43.555999999999997</v>
      </c>
      <c r="AD922">
        <f>'raw data Crude oil'!AD923</f>
        <v>43.795000000000002</v>
      </c>
      <c r="AE922">
        <f>'raw data Crude oil'!AE923</f>
        <v>44.045000000000002</v>
      </c>
      <c r="AF922">
        <f>'raw data Crude oil'!AF923</f>
        <v>44.292000000000002</v>
      </c>
      <c r="AG922">
        <f>'raw data Crude oil'!AG923</f>
        <v>44.531999999999996</v>
      </c>
      <c r="AH922">
        <f>'raw data Crude oil'!AH923</f>
        <v>44.749000000000002</v>
      </c>
      <c r="AI922">
        <f>'raw data Crude oil'!AI923</f>
        <v>44.948999999999998</v>
      </c>
      <c r="AJ922">
        <f>'raw data Crude oil'!AJ923</f>
        <v>45.167999999999999</v>
      </c>
      <c r="AK922">
        <f>'raw data Crude oil'!AK923</f>
        <v>45.347000000000001</v>
      </c>
    </row>
    <row r="923" spans="1:37" x14ac:dyDescent="0.3">
      <c r="A923" s="18">
        <f>'raw data Crude oil'!A924</f>
        <v>44040</v>
      </c>
      <c r="B923">
        <f>'raw data Crude oil'!B924</f>
        <v>43.22</v>
      </c>
      <c r="C923">
        <f>'raw data Crude oil'!C924</f>
        <v>43.61</v>
      </c>
      <c r="D923">
        <f>'raw data Crude oil'!D924</f>
        <v>44.03</v>
      </c>
      <c r="E923">
        <f>'raw data Crude oil'!E924</f>
        <v>44.42</v>
      </c>
      <c r="F923">
        <f>'raw data Crude oil'!F924</f>
        <v>44.77</v>
      </c>
      <c r="G923">
        <f>'raw data Crude oil'!G924</f>
        <v>45.1</v>
      </c>
      <c r="H923">
        <f>'raw data Crude oil'!H924</f>
        <v>45.39</v>
      </c>
      <c r="I923">
        <f>'raw data Crude oil'!I924</f>
        <v>45.64</v>
      </c>
      <c r="J923">
        <f>'raw data Crude oil'!J924</f>
        <v>45.88</v>
      </c>
      <c r="K923">
        <f>'raw data Crude oil'!K924</f>
        <v>46.1</v>
      </c>
      <c r="L923">
        <f>'raw data Crude oil'!L924</f>
        <v>46.3</v>
      </c>
      <c r="M923">
        <f>'raw data Crude oil'!M924</f>
        <v>46.51</v>
      </c>
      <c r="N923">
        <f>'raw data Crude oil'!N924</f>
        <v>41.04</v>
      </c>
      <c r="O923">
        <f>'raw data Crude oil'!O924</f>
        <v>41.28</v>
      </c>
      <c r="P923">
        <f>'raw data Crude oil'!P924</f>
        <v>41.52</v>
      </c>
      <c r="Q923">
        <f>'raw data Crude oil'!Q924</f>
        <v>41.74</v>
      </c>
      <c r="R923">
        <f>'raw data Crude oil'!R924</f>
        <v>41.95</v>
      </c>
      <c r="S923">
        <f>'raw data Crude oil'!S924</f>
        <v>42.15</v>
      </c>
      <c r="T923">
        <f>'raw data Crude oil'!T924</f>
        <v>42.35</v>
      </c>
      <c r="U923">
        <f>'raw data Crude oil'!U924</f>
        <v>42.54</v>
      </c>
      <c r="V923">
        <f>'raw data Crude oil'!V924</f>
        <v>42.71</v>
      </c>
      <c r="W923">
        <f>'raw data Crude oil'!W924</f>
        <v>42.87</v>
      </c>
      <c r="X923">
        <f>'raw data Crude oil'!X924</f>
        <v>43.02</v>
      </c>
      <c r="Y923">
        <f>'raw data Crude oil'!Y924</f>
        <v>43.15</v>
      </c>
      <c r="Z923">
        <f>'raw data Crude oil'!Z924</f>
        <v>43.249000000000002</v>
      </c>
      <c r="AA923">
        <f>'raw data Crude oil'!AA924</f>
        <v>42.72</v>
      </c>
      <c r="AB923">
        <f>'raw data Crude oil'!AB924</f>
        <v>43.078000000000003</v>
      </c>
      <c r="AC923">
        <f>'raw data Crude oil'!AC924</f>
        <v>43.335999999999999</v>
      </c>
      <c r="AD923">
        <f>'raw data Crude oil'!AD924</f>
        <v>43.595999999999997</v>
      </c>
      <c r="AE923">
        <f>'raw data Crude oil'!AE924</f>
        <v>43.835999999999999</v>
      </c>
      <c r="AF923">
        <f>'raw data Crude oil'!AF924</f>
        <v>44.052999999999997</v>
      </c>
      <c r="AG923">
        <f>'raw data Crude oil'!AG924</f>
        <v>44.281999999999996</v>
      </c>
      <c r="AH923">
        <f>'raw data Crude oil'!AH924</f>
        <v>44.5</v>
      </c>
      <c r="AI923">
        <f>'raw data Crude oil'!AI924</f>
        <v>44.73</v>
      </c>
      <c r="AJ923">
        <f>'raw data Crude oil'!AJ924</f>
        <v>44.95</v>
      </c>
      <c r="AK923">
        <f>'raw data Crude oil'!AK924</f>
        <v>45.146999999999998</v>
      </c>
    </row>
    <row r="924" spans="1:37" x14ac:dyDescent="0.3">
      <c r="A924" s="18">
        <f>'raw data Crude oil'!A925</f>
        <v>44041</v>
      </c>
      <c r="B924">
        <f>'raw data Crude oil'!B925</f>
        <v>43.75</v>
      </c>
      <c r="C924">
        <f>'raw data Crude oil'!C925</f>
        <v>44.09</v>
      </c>
      <c r="D924">
        <f>'raw data Crude oil'!D925</f>
        <v>44.46</v>
      </c>
      <c r="E924">
        <f>'raw data Crude oil'!E925</f>
        <v>44.83</v>
      </c>
      <c r="F924">
        <f>'raw data Crude oil'!F925</f>
        <v>45.16</v>
      </c>
      <c r="G924">
        <f>'raw data Crude oil'!G925</f>
        <v>45.48</v>
      </c>
      <c r="H924">
        <f>'raw data Crude oil'!H925</f>
        <v>45.76</v>
      </c>
      <c r="I924">
        <f>'raw data Crude oil'!I925</f>
        <v>46</v>
      </c>
      <c r="J924">
        <f>'raw data Crude oil'!J925</f>
        <v>46.22</v>
      </c>
      <c r="K924">
        <f>'raw data Crude oil'!K925</f>
        <v>46.42</v>
      </c>
      <c r="L924">
        <f>'raw data Crude oil'!L925</f>
        <v>46.6</v>
      </c>
      <c r="M924">
        <f>'raw data Crude oil'!M925</f>
        <v>46.79</v>
      </c>
      <c r="N924">
        <f>'raw data Crude oil'!N925</f>
        <v>41.27</v>
      </c>
      <c r="O924">
        <f>'raw data Crude oil'!O925</f>
        <v>41.54</v>
      </c>
      <c r="P924">
        <f>'raw data Crude oil'!P925</f>
        <v>41.81</v>
      </c>
      <c r="Q924">
        <f>'raw data Crude oil'!Q925</f>
        <v>42.04</v>
      </c>
      <c r="R924">
        <f>'raw data Crude oil'!R925</f>
        <v>42.25</v>
      </c>
      <c r="S924">
        <f>'raw data Crude oil'!S925</f>
        <v>42.45</v>
      </c>
      <c r="T924">
        <f>'raw data Crude oil'!T925</f>
        <v>42.65</v>
      </c>
      <c r="U924">
        <f>'raw data Crude oil'!U925</f>
        <v>42.82</v>
      </c>
      <c r="V924">
        <f>'raw data Crude oil'!V925</f>
        <v>43</v>
      </c>
      <c r="W924">
        <f>'raw data Crude oil'!W925</f>
        <v>43.16</v>
      </c>
      <c r="X924">
        <f>'raw data Crude oil'!X925</f>
        <v>43.3</v>
      </c>
      <c r="Y924">
        <f>'raw data Crude oil'!Y925</f>
        <v>43.42</v>
      </c>
      <c r="Z924">
        <f>'raw data Crude oil'!Z925</f>
        <v>43.29</v>
      </c>
      <c r="AA924">
        <f>'raw data Crude oil'!AA925</f>
        <v>43.115000000000002</v>
      </c>
      <c r="AB924">
        <f>'raw data Crude oil'!AB925</f>
        <v>43.476999999999997</v>
      </c>
      <c r="AC924">
        <f>'raw data Crude oil'!AC925</f>
        <v>43.734999999999999</v>
      </c>
      <c r="AD924">
        <f>'raw data Crude oil'!AD925</f>
        <v>43.975000000000001</v>
      </c>
      <c r="AE924">
        <f>'raw data Crude oil'!AE925</f>
        <v>44.195</v>
      </c>
      <c r="AF924">
        <f>'raw data Crude oil'!AF925</f>
        <v>44.432000000000002</v>
      </c>
      <c r="AG924">
        <f>'raw data Crude oil'!AG925</f>
        <v>44.661000000000001</v>
      </c>
      <c r="AH924">
        <f>'raw data Crude oil'!AH925</f>
        <v>44.878999999999998</v>
      </c>
      <c r="AI924">
        <f>'raw data Crude oil'!AI925</f>
        <v>45.079000000000001</v>
      </c>
      <c r="AJ924">
        <f>'raw data Crude oil'!AJ925</f>
        <v>45.247999999999998</v>
      </c>
      <c r="AK924">
        <f>'raw data Crude oil'!AK925</f>
        <v>45.427</v>
      </c>
    </row>
    <row r="925" spans="1:37" x14ac:dyDescent="0.3">
      <c r="A925" s="18">
        <f>'raw data Crude oil'!A926</f>
        <v>44042</v>
      </c>
      <c r="B925">
        <f>'raw data Crude oil'!B926</f>
        <v>42.94</v>
      </c>
      <c r="C925">
        <f>'raw data Crude oil'!C926</f>
        <v>43.25</v>
      </c>
      <c r="D925">
        <f>'raw data Crude oil'!D926</f>
        <v>43.59</v>
      </c>
      <c r="E925">
        <f>'raw data Crude oil'!E926</f>
        <v>43.94</v>
      </c>
      <c r="F925">
        <f>'raw data Crude oil'!F926</f>
        <v>44.26</v>
      </c>
      <c r="G925">
        <f>'raw data Crude oil'!G926</f>
        <v>44.59</v>
      </c>
      <c r="H925">
        <f>'raw data Crude oil'!H926</f>
        <v>44.88</v>
      </c>
      <c r="I925">
        <f>'raw data Crude oil'!I926</f>
        <v>45.13</v>
      </c>
      <c r="J925">
        <f>'raw data Crude oil'!J926</f>
        <v>45.37</v>
      </c>
      <c r="K925">
        <f>'raw data Crude oil'!K926</f>
        <v>45.58</v>
      </c>
      <c r="L925">
        <f>'raw data Crude oil'!L926</f>
        <v>45.77</v>
      </c>
      <c r="M925">
        <f>'raw data Crude oil'!M926</f>
        <v>45.97</v>
      </c>
      <c r="N925">
        <f>'raw data Crude oil'!N926</f>
        <v>39.92</v>
      </c>
      <c r="O925">
        <f>'raw data Crude oil'!O926</f>
        <v>40.24</v>
      </c>
      <c r="P925">
        <f>'raw data Crude oil'!P926</f>
        <v>40.6</v>
      </c>
      <c r="Q925">
        <f>'raw data Crude oil'!Q926</f>
        <v>40.92</v>
      </c>
      <c r="R925">
        <f>'raw data Crude oil'!R926</f>
        <v>41.19</v>
      </c>
      <c r="S925">
        <f>'raw data Crude oil'!S926</f>
        <v>41.44</v>
      </c>
      <c r="T925">
        <f>'raw data Crude oil'!T926</f>
        <v>41.67</v>
      </c>
      <c r="U925">
        <f>'raw data Crude oil'!U926</f>
        <v>41.87</v>
      </c>
      <c r="V925">
        <f>'raw data Crude oil'!V926</f>
        <v>42.07</v>
      </c>
      <c r="W925">
        <f>'raw data Crude oil'!W926</f>
        <v>42.26</v>
      </c>
      <c r="X925">
        <f>'raw data Crude oil'!X926</f>
        <v>42.41</v>
      </c>
      <c r="Y925">
        <f>'raw data Crude oil'!Y926</f>
        <v>42.55</v>
      </c>
      <c r="Z925">
        <f>'raw data Crude oil'!Z926</f>
        <v>43.277999999999999</v>
      </c>
      <c r="AA925">
        <f>'raw data Crude oil'!AA926</f>
        <v>42.462000000000003</v>
      </c>
      <c r="AB925">
        <f>'raw data Crude oil'!AB926</f>
        <v>42.716000000000001</v>
      </c>
      <c r="AC925">
        <f>'raw data Crude oil'!AC926</f>
        <v>42.935000000000002</v>
      </c>
      <c r="AD925">
        <f>'raw data Crude oil'!AD926</f>
        <v>43.176000000000002</v>
      </c>
      <c r="AE925">
        <f>'raw data Crude oil'!AE926</f>
        <v>43.375999999999998</v>
      </c>
      <c r="AF925">
        <f>'raw data Crude oil'!AF926</f>
        <v>43.593000000000004</v>
      </c>
      <c r="AG925">
        <f>'raw data Crude oil'!AG926</f>
        <v>43.792000000000002</v>
      </c>
      <c r="AH925">
        <f>'raw data Crude oil'!AH926</f>
        <v>44.058999999999997</v>
      </c>
      <c r="AI925">
        <f>'raw data Crude oil'!AI926</f>
        <v>44.268999999999998</v>
      </c>
      <c r="AJ925">
        <f>'raw data Crude oil'!AJ926</f>
        <v>44.429000000000002</v>
      </c>
      <c r="AK925">
        <f>'raw data Crude oil'!AK926</f>
        <v>44.606999999999999</v>
      </c>
    </row>
    <row r="926" spans="1:37" x14ac:dyDescent="0.3">
      <c r="A926" s="18">
        <f>'raw data Crude oil'!A927</f>
        <v>44043</v>
      </c>
      <c r="B926">
        <f>'raw data Crude oil'!B927</f>
        <v>43.3</v>
      </c>
      <c r="C926">
        <f>'raw data Crude oil'!C927</f>
        <v>43.52</v>
      </c>
      <c r="D926">
        <f>'raw data Crude oil'!D927</f>
        <v>43.85</v>
      </c>
      <c r="E926">
        <f>'raw data Crude oil'!E927</f>
        <v>44.17</v>
      </c>
      <c r="F926">
        <f>'raw data Crude oil'!F927</f>
        <v>44.47</v>
      </c>
      <c r="G926">
        <f>'raw data Crude oil'!G927</f>
        <v>44.78</v>
      </c>
      <c r="H926">
        <f>'raw data Crude oil'!H927</f>
        <v>45.07</v>
      </c>
      <c r="I926">
        <f>'raw data Crude oil'!I927</f>
        <v>45.33</v>
      </c>
      <c r="J926">
        <f>'raw data Crude oil'!J927</f>
        <v>45.58</v>
      </c>
      <c r="K926">
        <f>'raw data Crude oil'!K927</f>
        <v>45.81</v>
      </c>
      <c r="L926">
        <f>'raw data Crude oil'!L927</f>
        <v>46.01</v>
      </c>
      <c r="M926">
        <f>'raw data Crude oil'!M927</f>
        <v>46.22</v>
      </c>
      <c r="N926">
        <f>'raw data Crude oil'!N927</f>
        <v>40.270000000000003</v>
      </c>
      <c r="O926">
        <f>'raw data Crude oil'!O927</f>
        <v>40.57</v>
      </c>
      <c r="P926">
        <f>'raw data Crude oil'!P927</f>
        <v>40.909999999999997</v>
      </c>
      <c r="Q926">
        <f>'raw data Crude oil'!Q927</f>
        <v>41.22</v>
      </c>
      <c r="R926">
        <f>'raw data Crude oil'!R927</f>
        <v>41.49</v>
      </c>
      <c r="S926">
        <f>'raw data Crude oil'!S927</f>
        <v>41.75</v>
      </c>
      <c r="T926">
        <f>'raw data Crude oil'!T927</f>
        <v>41.99</v>
      </c>
      <c r="U926">
        <f>'raw data Crude oil'!U927</f>
        <v>42.2</v>
      </c>
      <c r="V926">
        <f>'raw data Crude oil'!V927</f>
        <v>42.41</v>
      </c>
      <c r="W926">
        <f>'raw data Crude oil'!W927</f>
        <v>42.59</v>
      </c>
      <c r="X926">
        <f>'raw data Crude oil'!X927</f>
        <v>42.76</v>
      </c>
      <c r="Y926">
        <f>'raw data Crude oil'!Y927</f>
        <v>42.9</v>
      </c>
      <c r="Z926">
        <f>'raw data Crude oil'!Z927</f>
        <v>43.277999999999999</v>
      </c>
      <c r="AA926">
        <f>'raw data Crude oil'!AA927</f>
        <v>42.720999999999997</v>
      </c>
      <c r="AB926">
        <f>'raw data Crude oil'!AB927</f>
        <v>42.965000000000003</v>
      </c>
      <c r="AC926">
        <f>'raw data Crude oil'!AC927</f>
        <v>43.164000000000001</v>
      </c>
      <c r="AD926">
        <f>'raw data Crude oil'!AD927</f>
        <v>43.384999999999998</v>
      </c>
      <c r="AE926">
        <f>'raw data Crude oil'!AE927</f>
        <v>43.566000000000003</v>
      </c>
      <c r="AF926">
        <f>'raw data Crude oil'!AF927</f>
        <v>43.783000000000001</v>
      </c>
      <c r="AG926">
        <f>'raw data Crude oil'!AG927</f>
        <v>43.972999999999999</v>
      </c>
      <c r="AH926">
        <f>'raw data Crude oil'!AH927</f>
        <v>44.25</v>
      </c>
      <c r="AI926">
        <f>'raw data Crude oil'!AI927</f>
        <v>44.48</v>
      </c>
      <c r="AJ926">
        <f>'raw data Crude oil'!AJ927</f>
        <v>44.65</v>
      </c>
      <c r="AK926">
        <f>'raw data Crude oil'!AK927</f>
        <v>44.838000000000001</v>
      </c>
    </row>
    <row r="927" spans="1:37" x14ac:dyDescent="0.3">
      <c r="A927" s="18">
        <f>'raw data Crude oil'!A928</f>
        <v>44046</v>
      </c>
      <c r="B927">
        <f>'raw data Crude oil'!B928</f>
        <v>44.15</v>
      </c>
      <c r="C927">
        <f>'raw data Crude oil'!C928</f>
        <v>44.53</v>
      </c>
      <c r="D927">
        <f>'raw data Crude oil'!D928</f>
        <v>44.91</v>
      </c>
      <c r="E927">
        <f>'raw data Crude oil'!E928</f>
        <v>45.26</v>
      </c>
      <c r="F927">
        <f>'raw data Crude oil'!F928</f>
        <v>45.63</v>
      </c>
      <c r="G927">
        <f>'raw data Crude oil'!G928</f>
        <v>45.96</v>
      </c>
      <c r="H927">
        <f>'raw data Crude oil'!H928</f>
        <v>46.24</v>
      </c>
      <c r="I927">
        <f>'raw data Crude oil'!I928</f>
        <v>46.5</v>
      </c>
      <c r="J927">
        <f>'raw data Crude oil'!J928</f>
        <v>46.74</v>
      </c>
      <c r="K927">
        <f>'raw data Crude oil'!K928</f>
        <v>46.96</v>
      </c>
      <c r="L927">
        <f>'raw data Crude oil'!L928</f>
        <v>47.17</v>
      </c>
      <c r="M927">
        <f>'raw data Crude oil'!M928</f>
        <v>47.36</v>
      </c>
      <c r="N927">
        <f>'raw data Crude oil'!N928</f>
        <v>41.01</v>
      </c>
      <c r="O927">
        <f>'raw data Crude oil'!O928</f>
        <v>41.31</v>
      </c>
      <c r="P927">
        <f>'raw data Crude oil'!P928</f>
        <v>41.68</v>
      </c>
      <c r="Q927">
        <f>'raw data Crude oil'!Q928</f>
        <v>41.99</v>
      </c>
      <c r="R927">
        <f>'raw data Crude oil'!R928</f>
        <v>42.28</v>
      </c>
      <c r="S927">
        <f>'raw data Crude oil'!S928</f>
        <v>42.56</v>
      </c>
      <c r="T927">
        <f>'raw data Crude oil'!T928</f>
        <v>42.84</v>
      </c>
      <c r="U927">
        <f>'raw data Crude oil'!U928</f>
        <v>43.08</v>
      </c>
      <c r="V927">
        <f>'raw data Crude oil'!V928</f>
        <v>43.3</v>
      </c>
      <c r="W927">
        <f>'raw data Crude oil'!W928</f>
        <v>43.49</v>
      </c>
      <c r="X927">
        <f>'raw data Crude oil'!X928</f>
        <v>43.68</v>
      </c>
      <c r="Y927">
        <f>'raw data Crude oil'!Y928</f>
        <v>43.84</v>
      </c>
      <c r="Z927">
        <f>'raw data Crude oil'!Z928</f>
        <v>43.277999999999999</v>
      </c>
      <c r="AA927">
        <f>'raw data Crude oil'!AA928</f>
        <v>43.305</v>
      </c>
      <c r="AB927">
        <f>'raw data Crude oil'!AB928</f>
        <v>43.587000000000003</v>
      </c>
      <c r="AC927">
        <f>'raw data Crude oil'!AC928</f>
        <v>43.845999999999997</v>
      </c>
      <c r="AD927">
        <f>'raw data Crude oil'!AD928</f>
        <v>44.088000000000001</v>
      </c>
      <c r="AE927">
        <f>'raw data Crude oil'!AE928</f>
        <v>44.3</v>
      </c>
      <c r="AF927">
        <f>'raw data Crude oil'!AF928</f>
        <v>44.554000000000002</v>
      </c>
      <c r="AG927">
        <f>'raw data Crude oil'!AG928</f>
        <v>44.823</v>
      </c>
      <c r="AH927">
        <f>'raw data Crude oil'!AH928</f>
        <v>45.07</v>
      </c>
      <c r="AI927">
        <f>'raw data Crude oil'!AI928</f>
        <v>45.3</v>
      </c>
      <c r="AJ927">
        <f>'raw data Crude oil'!AJ928</f>
        <v>45.53</v>
      </c>
      <c r="AK927">
        <f>'raw data Crude oil'!AK928</f>
        <v>45.709000000000003</v>
      </c>
    </row>
    <row r="928" spans="1:37" x14ac:dyDescent="0.3">
      <c r="A928" s="18">
        <f>'raw data Crude oil'!A929</f>
        <v>44047</v>
      </c>
      <c r="B928">
        <f>'raw data Crude oil'!B929</f>
        <v>44.43</v>
      </c>
      <c r="C928">
        <f>'raw data Crude oil'!C929</f>
        <v>44.84</v>
      </c>
      <c r="D928">
        <f>'raw data Crude oil'!D929</f>
        <v>45.24</v>
      </c>
      <c r="E928">
        <f>'raw data Crude oil'!E929</f>
        <v>45.59</v>
      </c>
      <c r="F928">
        <f>'raw data Crude oil'!F929</f>
        <v>45.95</v>
      </c>
      <c r="G928">
        <f>'raw data Crude oil'!G929</f>
        <v>46.27</v>
      </c>
      <c r="H928">
        <f>'raw data Crude oil'!H929</f>
        <v>46.54</v>
      </c>
      <c r="I928">
        <f>'raw data Crude oil'!I929</f>
        <v>46.79</v>
      </c>
      <c r="J928">
        <f>'raw data Crude oil'!J929</f>
        <v>47.02</v>
      </c>
      <c r="K928">
        <f>'raw data Crude oil'!K929</f>
        <v>47.22</v>
      </c>
      <c r="L928">
        <f>'raw data Crude oil'!L929</f>
        <v>47.42</v>
      </c>
      <c r="M928">
        <f>'raw data Crude oil'!M929</f>
        <v>47.6</v>
      </c>
      <c r="N928">
        <f>'raw data Crude oil'!N929</f>
        <v>41.7</v>
      </c>
      <c r="O928">
        <f>'raw data Crude oil'!O929</f>
        <v>41.91</v>
      </c>
      <c r="P928">
        <f>'raw data Crude oil'!P929</f>
        <v>42.21</v>
      </c>
      <c r="Q928">
        <f>'raw data Crude oil'!Q929</f>
        <v>42.46</v>
      </c>
      <c r="R928">
        <f>'raw data Crude oil'!R929</f>
        <v>42.72</v>
      </c>
      <c r="S928">
        <f>'raw data Crude oil'!S929</f>
        <v>42.98</v>
      </c>
      <c r="T928">
        <f>'raw data Crude oil'!T929</f>
        <v>43.25</v>
      </c>
      <c r="U928">
        <f>'raw data Crude oil'!U929</f>
        <v>43.48</v>
      </c>
      <c r="V928">
        <f>'raw data Crude oil'!V929</f>
        <v>43.69</v>
      </c>
      <c r="W928">
        <f>'raw data Crude oil'!W929</f>
        <v>43.89</v>
      </c>
      <c r="X928">
        <f>'raw data Crude oil'!X929</f>
        <v>44.04</v>
      </c>
      <c r="Y928">
        <f>'raw data Crude oil'!Y929</f>
        <v>44.18</v>
      </c>
      <c r="Z928">
        <f>'raw data Crude oil'!Z929</f>
        <v>43.384999999999998</v>
      </c>
      <c r="AA928">
        <f>'raw data Crude oil'!AA929</f>
        <v>43.728000000000002</v>
      </c>
      <c r="AB928">
        <f>'raw data Crude oil'!AB929</f>
        <v>44.026000000000003</v>
      </c>
      <c r="AC928">
        <f>'raw data Crude oil'!AC929</f>
        <v>44.307000000000002</v>
      </c>
      <c r="AD928">
        <f>'raw data Crude oil'!AD929</f>
        <v>44.558999999999997</v>
      </c>
      <c r="AE928">
        <f>'raw data Crude oil'!AE929</f>
        <v>44.774000000000001</v>
      </c>
      <c r="AF928">
        <f>'raw data Crude oil'!AF929</f>
        <v>45.042999999999999</v>
      </c>
      <c r="AG928">
        <f>'raw data Crude oil'!AG929</f>
        <v>45.29</v>
      </c>
      <c r="AH928">
        <f>'raw data Crude oil'!AH929</f>
        <v>45.51</v>
      </c>
      <c r="AI928">
        <f>'raw data Crude oil'!AI929</f>
        <v>45.719000000000001</v>
      </c>
      <c r="AJ928">
        <f>'raw data Crude oil'!AJ929</f>
        <v>45.878</v>
      </c>
      <c r="AK928">
        <f>'raw data Crude oil'!AK929</f>
        <v>46.026000000000003</v>
      </c>
    </row>
    <row r="929" spans="1:37" x14ac:dyDescent="0.3">
      <c r="A929" s="18">
        <f>'raw data Crude oil'!A930</f>
        <v>44048</v>
      </c>
      <c r="B929">
        <f>'raw data Crude oil'!B930</f>
        <v>45.17</v>
      </c>
      <c r="C929">
        <f>'raw data Crude oil'!C930</f>
        <v>45.57</v>
      </c>
      <c r="D929">
        <f>'raw data Crude oil'!D930</f>
        <v>45.97</v>
      </c>
      <c r="E929">
        <f>'raw data Crude oil'!E930</f>
        <v>46.33</v>
      </c>
      <c r="F929">
        <f>'raw data Crude oil'!F930</f>
        <v>46.68</v>
      </c>
      <c r="G929">
        <f>'raw data Crude oil'!G930</f>
        <v>46.97</v>
      </c>
      <c r="H929">
        <f>'raw data Crude oil'!H930</f>
        <v>47.22</v>
      </c>
      <c r="I929">
        <f>'raw data Crude oil'!I930</f>
        <v>47.44</v>
      </c>
      <c r="J929">
        <f>'raw data Crude oil'!J930</f>
        <v>47.63</v>
      </c>
      <c r="K929">
        <f>'raw data Crude oil'!K930</f>
        <v>47.8</v>
      </c>
      <c r="L929">
        <f>'raw data Crude oil'!L930</f>
        <v>47.98</v>
      </c>
      <c r="M929">
        <f>'raw data Crude oil'!M930</f>
        <v>48.13</v>
      </c>
      <c r="N929">
        <f>'raw data Crude oil'!N930</f>
        <v>42.19</v>
      </c>
      <c r="O929">
        <f>'raw data Crude oil'!O930</f>
        <v>42.43</v>
      </c>
      <c r="P929">
        <f>'raw data Crude oil'!P930</f>
        <v>42.76</v>
      </c>
      <c r="Q929">
        <f>'raw data Crude oil'!Q930</f>
        <v>43.04</v>
      </c>
      <c r="R929">
        <f>'raw data Crude oil'!R930</f>
        <v>43.31</v>
      </c>
      <c r="S929">
        <f>'raw data Crude oil'!S930</f>
        <v>43.56</v>
      </c>
      <c r="T929">
        <f>'raw data Crude oil'!T930</f>
        <v>43.8</v>
      </c>
      <c r="U929">
        <f>'raw data Crude oil'!U930</f>
        <v>44</v>
      </c>
      <c r="V929">
        <f>'raw data Crude oil'!V930</f>
        <v>44.19</v>
      </c>
      <c r="W929">
        <f>'raw data Crude oil'!W930</f>
        <v>44.34</v>
      </c>
      <c r="X929">
        <f>'raw data Crude oil'!X930</f>
        <v>44.48</v>
      </c>
      <c r="Y929">
        <f>'raw data Crude oil'!Y930</f>
        <v>44.59</v>
      </c>
      <c r="Z929">
        <f>'raw data Crude oil'!Z930</f>
        <v>43.825000000000003</v>
      </c>
      <c r="AA929">
        <f>'raw data Crude oil'!AA930</f>
        <v>44.268000000000001</v>
      </c>
      <c r="AB929">
        <f>'raw data Crude oil'!AB930</f>
        <v>44.636000000000003</v>
      </c>
      <c r="AC929">
        <f>'raw data Crude oil'!AC930</f>
        <v>44.906999999999996</v>
      </c>
      <c r="AD929">
        <f>'raw data Crude oil'!AD930</f>
        <v>45.155999999999999</v>
      </c>
      <c r="AE929">
        <f>'raw data Crude oil'!AE930</f>
        <v>45.433</v>
      </c>
      <c r="AF929">
        <f>'raw data Crude oil'!AF930</f>
        <v>45.720999999999997</v>
      </c>
      <c r="AG929">
        <f>'raw data Crude oil'!AG930</f>
        <v>45.938000000000002</v>
      </c>
      <c r="AH929">
        <f>'raw data Crude oil'!AH930</f>
        <v>46.107999999999997</v>
      </c>
      <c r="AI929">
        <f>'raw data Crude oil'!AI930</f>
        <v>46.277000000000001</v>
      </c>
      <c r="AJ929">
        <f>'raw data Crude oil'!AJ930</f>
        <v>46.427</v>
      </c>
      <c r="AK929">
        <f>'raw data Crude oil'!AK930</f>
        <v>46.575000000000003</v>
      </c>
    </row>
    <row r="930" spans="1:37" x14ac:dyDescent="0.3">
      <c r="A930" s="18">
        <f>'raw data Crude oil'!A931</f>
        <v>44049</v>
      </c>
      <c r="B930">
        <f>'raw data Crude oil'!B931</f>
        <v>45.09</v>
      </c>
      <c r="C930">
        <f>'raw data Crude oil'!C931</f>
        <v>45.46</v>
      </c>
      <c r="D930">
        <f>'raw data Crude oil'!D931</f>
        <v>45.83</v>
      </c>
      <c r="E930">
        <f>'raw data Crude oil'!E931</f>
        <v>46.17</v>
      </c>
      <c r="F930">
        <f>'raw data Crude oil'!F931</f>
        <v>46.5</v>
      </c>
      <c r="G930">
        <f>'raw data Crude oil'!G931</f>
        <v>46.8</v>
      </c>
      <c r="H930">
        <f>'raw data Crude oil'!H931</f>
        <v>47.07</v>
      </c>
      <c r="I930">
        <f>'raw data Crude oil'!I931</f>
        <v>47.32</v>
      </c>
      <c r="J930">
        <f>'raw data Crude oil'!J931</f>
        <v>47.53</v>
      </c>
      <c r="K930">
        <f>'raw data Crude oil'!K931</f>
        <v>47.71</v>
      </c>
      <c r="L930">
        <f>'raw data Crude oil'!L931</f>
        <v>47.9</v>
      </c>
      <c r="M930">
        <f>'raw data Crude oil'!M931</f>
        <v>48.06</v>
      </c>
      <c r="N930">
        <f>'raw data Crude oil'!N931</f>
        <v>41.95</v>
      </c>
      <c r="O930">
        <f>'raw data Crude oil'!O931</f>
        <v>42.2</v>
      </c>
      <c r="P930">
        <f>'raw data Crude oil'!P931</f>
        <v>42.56</v>
      </c>
      <c r="Q930">
        <f>'raw data Crude oil'!Q931</f>
        <v>42.89</v>
      </c>
      <c r="R930">
        <f>'raw data Crude oil'!R931</f>
        <v>43.18</v>
      </c>
      <c r="S930">
        <f>'raw data Crude oil'!S931</f>
        <v>43.46</v>
      </c>
      <c r="T930">
        <f>'raw data Crude oil'!T931</f>
        <v>43.73</v>
      </c>
      <c r="U930">
        <f>'raw data Crude oil'!U931</f>
        <v>43.96</v>
      </c>
      <c r="V930">
        <f>'raw data Crude oil'!V931</f>
        <v>44.18</v>
      </c>
      <c r="W930">
        <f>'raw data Crude oil'!W931</f>
        <v>44.36</v>
      </c>
      <c r="X930">
        <f>'raw data Crude oil'!X931</f>
        <v>44.5</v>
      </c>
      <c r="Y930">
        <f>'raw data Crude oil'!Y931</f>
        <v>44.62</v>
      </c>
      <c r="Z930">
        <f>'raw data Crude oil'!Z931</f>
        <v>43.841999999999999</v>
      </c>
      <c r="AA930">
        <f>'raw data Crude oil'!AA931</f>
        <v>44.216999999999999</v>
      </c>
      <c r="AB930">
        <f>'raw data Crude oil'!AB931</f>
        <v>44.545000000000002</v>
      </c>
      <c r="AC930">
        <f>'raw data Crude oil'!AC931</f>
        <v>44.786000000000001</v>
      </c>
      <c r="AD930">
        <f>'raw data Crude oil'!AD931</f>
        <v>45.027000000000001</v>
      </c>
      <c r="AE930">
        <f>'raw data Crude oil'!AE931</f>
        <v>45.304000000000002</v>
      </c>
      <c r="AF930">
        <f>'raw data Crude oil'!AF931</f>
        <v>45.582999999999998</v>
      </c>
      <c r="AG930">
        <f>'raw data Crude oil'!AG931</f>
        <v>45.838999999999999</v>
      </c>
      <c r="AH930">
        <f>'raw data Crude oil'!AH931</f>
        <v>46.098999999999997</v>
      </c>
      <c r="AI930">
        <f>'raw data Crude oil'!AI931</f>
        <v>46.287999999999997</v>
      </c>
      <c r="AJ930">
        <f>'raw data Crude oil'!AJ931</f>
        <v>46.457000000000001</v>
      </c>
      <c r="AK930">
        <f>'raw data Crude oil'!AK931</f>
        <v>46.615000000000002</v>
      </c>
    </row>
    <row r="931" spans="1:37" x14ac:dyDescent="0.3">
      <c r="A931" s="18">
        <f>'raw data Crude oil'!A932</f>
        <v>44050</v>
      </c>
      <c r="B931">
        <f>'raw data Crude oil'!B932</f>
        <v>44.4</v>
      </c>
      <c r="C931">
        <f>'raw data Crude oil'!C932</f>
        <v>44.77</v>
      </c>
      <c r="D931">
        <f>'raw data Crude oil'!D932</f>
        <v>45.11</v>
      </c>
      <c r="E931">
        <f>'raw data Crude oil'!E932</f>
        <v>45.43</v>
      </c>
      <c r="F931">
        <f>'raw data Crude oil'!F932</f>
        <v>45.76</v>
      </c>
      <c r="G931">
        <f>'raw data Crude oil'!G932</f>
        <v>46.07</v>
      </c>
      <c r="H931">
        <f>'raw data Crude oil'!H932</f>
        <v>46.34</v>
      </c>
      <c r="I931">
        <f>'raw data Crude oil'!I932</f>
        <v>46.58</v>
      </c>
      <c r="J931">
        <f>'raw data Crude oil'!J932</f>
        <v>46.79</v>
      </c>
      <c r="K931">
        <f>'raw data Crude oil'!K932</f>
        <v>46.97</v>
      </c>
      <c r="L931">
        <f>'raw data Crude oil'!L932</f>
        <v>47.15</v>
      </c>
      <c r="M931">
        <f>'raw data Crude oil'!M932</f>
        <v>47.31</v>
      </c>
      <c r="N931">
        <f>'raw data Crude oil'!N932</f>
        <v>41.22</v>
      </c>
      <c r="O931">
        <f>'raw data Crude oil'!O932</f>
        <v>41.49</v>
      </c>
      <c r="P931">
        <f>'raw data Crude oil'!P932</f>
        <v>41.86</v>
      </c>
      <c r="Q931">
        <f>'raw data Crude oil'!Q932</f>
        <v>42.19</v>
      </c>
      <c r="R931">
        <f>'raw data Crude oil'!R932</f>
        <v>42.48</v>
      </c>
      <c r="S931">
        <f>'raw data Crude oil'!S932</f>
        <v>42.76</v>
      </c>
      <c r="T931">
        <f>'raw data Crude oil'!T932</f>
        <v>43.03</v>
      </c>
      <c r="U931">
        <f>'raw data Crude oil'!U932</f>
        <v>43.26</v>
      </c>
      <c r="V931">
        <f>'raw data Crude oil'!V932</f>
        <v>43.46</v>
      </c>
      <c r="W931">
        <f>'raw data Crude oil'!W932</f>
        <v>43.63</v>
      </c>
      <c r="X931">
        <f>'raw data Crude oil'!X932</f>
        <v>43.78</v>
      </c>
      <c r="Y931">
        <f>'raw data Crude oil'!Y932</f>
        <v>43.91</v>
      </c>
      <c r="Z931">
        <f>'raw data Crude oil'!Z932</f>
        <v>43.326000000000001</v>
      </c>
      <c r="AA931">
        <f>'raw data Crude oil'!AA932</f>
        <v>43.524999999999999</v>
      </c>
      <c r="AB931">
        <f>'raw data Crude oil'!AB932</f>
        <v>43.84</v>
      </c>
      <c r="AC931">
        <f>'raw data Crude oil'!AC932</f>
        <v>44.106000000000002</v>
      </c>
      <c r="AD931">
        <f>'raw data Crude oil'!AD932</f>
        <v>44.347999999999999</v>
      </c>
      <c r="AE931">
        <f>'raw data Crude oil'!AE932</f>
        <v>44.624000000000002</v>
      </c>
      <c r="AF931">
        <f>'raw data Crude oil'!AF932</f>
        <v>44.881999999999998</v>
      </c>
      <c r="AG931">
        <f>'raw data Crude oil'!AG932</f>
        <v>45.109000000000002</v>
      </c>
      <c r="AH931">
        <f>'raw data Crude oil'!AH932</f>
        <v>45.359000000000002</v>
      </c>
      <c r="AI931">
        <f>'raw data Crude oil'!AI932</f>
        <v>45.546999999999997</v>
      </c>
      <c r="AJ931">
        <f>'raw data Crude oil'!AJ932</f>
        <v>45.716999999999999</v>
      </c>
      <c r="AK931">
        <f>'raw data Crude oil'!AK932</f>
        <v>45.886000000000003</v>
      </c>
    </row>
    <row r="932" spans="1:37" x14ac:dyDescent="0.3">
      <c r="A932" s="18">
        <f>'raw data Crude oil'!A933</f>
        <v>44053</v>
      </c>
      <c r="B932">
        <f>'raw data Crude oil'!B933</f>
        <v>44.99</v>
      </c>
      <c r="C932">
        <f>'raw data Crude oil'!C933</f>
        <v>45.39</v>
      </c>
      <c r="D932">
        <f>'raw data Crude oil'!D933</f>
        <v>45.73</v>
      </c>
      <c r="E932">
        <f>'raw data Crude oil'!E933</f>
        <v>46.05</v>
      </c>
      <c r="F932">
        <f>'raw data Crude oil'!F933</f>
        <v>46.37</v>
      </c>
      <c r="G932">
        <f>'raw data Crude oil'!G933</f>
        <v>46.67</v>
      </c>
      <c r="H932">
        <f>'raw data Crude oil'!H933</f>
        <v>46.93</v>
      </c>
      <c r="I932">
        <f>'raw data Crude oil'!I933</f>
        <v>47.17</v>
      </c>
      <c r="J932">
        <f>'raw data Crude oil'!J933</f>
        <v>47.37</v>
      </c>
      <c r="K932">
        <f>'raw data Crude oil'!K933</f>
        <v>47.54</v>
      </c>
      <c r="L932">
        <f>'raw data Crude oil'!L933</f>
        <v>47.72</v>
      </c>
      <c r="M932">
        <f>'raw data Crude oil'!M933</f>
        <v>47.86</v>
      </c>
      <c r="N932">
        <f>'raw data Crude oil'!N933</f>
        <v>41.94</v>
      </c>
      <c r="O932">
        <f>'raw data Crude oil'!O933</f>
        <v>42.17</v>
      </c>
      <c r="P932">
        <f>'raw data Crude oil'!P933</f>
        <v>42.5</v>
      </c>
      <c r="Q932">
        <f>'raw data Crude oil'!Q933</f>
        <v>42.8</v>
      </c>
      <c r="R932">
        <f>'raw data Crude oil'!R933</f>
        <v>43.08</v>
      </c>
      <c r="S932">
        <f>'raw data Crude oil'!S933</f>
        <v>43.33</v>
      </c>
      <c r="T932">
        <f>'raw data Crude oil'!T933</f>
        <v>43.58</v>
      </c>
      <c r="U932">
        <f>'raw data Crude oil'!U933</f>
        <v>43.79</v>
      </c>
      <c r="V932">
        <f>'raw data Crude oil'!V933</f>
        <v>43.98</v>
      </c>
      <c r="W932">
        <f>'raw data Crude oil'!W933</f>
        <v>44.13</v>
      </c>
      <c r="X932">
        <f>'raw data Crude oil'!X933</f>
        <v>44.25</v>
      </c>
      <c r="Y932">
        <f>'raw data Crude oil'!Y933</f>
        <v>44.36</v>
      </c>
      <c r="Z932">
        <f>'raw data Crude oil'!Z933</f>
        <v>43.761000000000003</v>
      </c>
      <c r="AA932">
        <f>'raw data Crude oil'!AA933</f>
        <v>44.104999999999997</v>
      </c>
      <c r="AB932">
        <f>'raw data Crude oil'!AB933</f>
        <v>44.424999999999997</v>
      </c>
      <c r="AC932">
        <f>'raw data Crude oil'!AC933</f>
        <v>44.695</v>
      </c>
      <c r="AD932">
        <f>'raw data Crude oil'!AD933</f>
        <v>44.947000000000003</v>
      </c>
      <c r="AE932">
        <f>'raw data Crude oil'!AE933</f>
        <v>45.232999999999997</v>
      </c>
      <c r="AF932">
        <f>'raw data Crude oil'!AF933</f>
        <v>45.472000000000001</v>
      </c>
      <c r="AG932">
        <f>'raw data Crude oil'!AG933</f>
        <v>45.689</v>
      </c>
      <c r="AH932">
        <f>'raw data Crude oil'!AH933</f>
        <v>45.878</v>
      </c>
      <c r="AI932">
        <f>'raw data Crude oil'!AI933</f>
        <v>46.087000000000003</v>
      </c>
      <c r="AJ932">
        <f>'raw data Crude oil'!AJ933</f>
        <v>46.246000000000002</v>
      </c>
      <c r="AK932">
        <f>'raw data Crude oil'!AK933</f>
        <v>46.384999999999998</v>
      </c>
    </row>
    <row r="933" spans="1:37" x14ac:dyDescent="0.3">
      <c r="A933" s="18">
        <f>'raw data Crude oil'!A934</f>
        <v>44054</v>
      </c>
      <c r="B933">
        <f>'raw data Crude oil'!B934</f>
        <v>44.5</v>
      </c>
      <c r="C933">
        <f>'raw data Crude oil'!C934</f>
        <v>44.99</v>
      </c>
      <c r="D933">
        <f>'raw data Crude oil'!D934</f>
        <v>45.37</v>
      </c>
      <c r="E933">
        <f>'raw data Crude oil'!E934</f>
        <v>45.72</v>
      </c>
      <c r="F933">
        <f>'raw data Crude oil'!F934</f>
        <v>46.06</v>
      </c>
      <c r="G933">
        <f>'raw data Crude oil'!G934</f>
        <v>46.38</v>
      </c>
      <c r="H933">
        <f>'raw data Crude oil'!H934</f>
        <v>46.65</v>
      </c>
      <c r="I933">
        <f>'raw data Crude oil'!I934</f>
        <v>46.9</v>
      </c>
      <c r="J933">
        <f>'raw data Crude oil'!J934</f>
        <v>47.1</v>
      </c>
      <c r="K933">
        <f>'raw data Crude oil'!K934</f>
        <v>47.28</v>
      </c>
      <c r="L933">
        <f>'raw data Crude oil'!L934</f>
        <v>47.45</v>
      </c>
      <c r="M933">
        <f>'raw data Crude oil'!M934</f>
        <v>47.59</v>
      </c>
      <c r="N933">
        <f>'raw data Crude oil'!N934</f>
        <v>41.61</v>
      </c>
      <c r="O933">
        <f>'raw data Crude oil'!O934</f>
        <v>41.87</v>
      </c>
      <c r="P933">
        <f>'raw data Crude oil'!P934</f>
        <v>42.2</v>
      </c>
      <c r="Q933">
        <f>'raw data Crude oil'!Q934</f>
        <v>42.51</v>
      </c>
      <c r="R933">
        <f>'raw data Crude oil'!R934</f>
        <v>42.8</v>
      </c>
      <c r="S933">
        <f>'raw data Crude oil'!S934</f>
        <v>43.06</v>
      </c>
      <c r="T933">
        <f>'raw data Crude oil'!T934</f>
        <v>43.3</v>
      </c>
      <c r="U933">
        <f>'raw data Crude oil'!U934</f>
        <v>43.51</v>
      </c>
      <c r="V933">
        <f>'raw data Crude oil'!V934</f>
        <v>43.7</v>
      </c>
      <c r="W933">
        <f>'raw data Crude oil'!W934</f>
        <v>43.85</v>
      </c>
      <c r="X933">
        <f>'raw data Crude oil'!X934</f>
        <v>43.97</v>
      </c>
      <c r="Y933">
        <f>'raw data Crude oil'!Y934</f>
        <v>44.08</v>
      </c>
      <c r="Z933">
        <f>'raw data Crude oil'!Z934</f>
        <v>43.408999999999999</v>
      </c>
      <c r="AA933">
        <f>'raw data Crude oil'!AA934</f>
        <v>43.637</v>
      </c>
      <c r="AB933">
        <f>'raw data Crude oil'!AB934</f>
        <v>44.036000000000001</v>
      </c>
      <c r="AC933">
        <f>'raw data Crude oil'!AC934</f>
        <v>44.366</v>
      </c>
      <c r="AD933">
        <f>'raw data Crude oil'!AD934</f>
        <v>44.658999999999999</v>
      </c>
      <c r="AE933">
        <f>'raw data Crude oil'!AE934</f>
        <v>44.963999999999999</v>
      </c>
      <c r="AF933">
        <f>'raw data Crude oil'!AF934</f>
        <v>45.243000000000002</v>
      </c>
      <c r="AG933">
        <f>'raw data Crude oil'!AG934</f>
        <v>45.478999999999999</v>
      </c>
      <c r="AH933">
        <f>'raw data Crude oil'!AH934</f>
        <v>45.668999999999997</v>
      </c>
      <c r="AI933">
        <f>'raw data Crude oil'!AI934</f>
        <v>45.856000000000002</v>
      </c>
      <c r="AJ933">
        <f>'raw data Crude oil'!AJ934</f>
        <v>45.996000000000002</v>
      </c>
      <c r="AK933">
        <f>'raw data Crude oil'!AK934</f>
        <v>46.145000000000003</v>
      </c>
    </row>
    <row r="934" spans="1:37" x14ac:dyDescent="0.3">
      <c r="A934" s="18">
        <f>'raw data Crude oil'!A935</f>
        <v>44055</v>
      </c>
      <c r="B934">
        <f>'raw data Crude oil'!B935</f>
        <v>45.43</v>
      </c>
      <c r="C934">
        <f>'raw data Crude oil'!C935</f>
        <v>45.91</v>
      </c>
      <c r="D934">
        <f>'raw data Crude oil'!D935</f>
        <v>46.3</v>
      </c>
      <c r="E934">
        <f>'raw data Crude oil'!E935</f>
        <v>46.64</v>
      </c>
      <c r="F934">
        <f>'raw data Crude oil'!F935</f>
        <v>46.97</v>
      </c>
      <c r="G934">
        <f>'raw data Crude oil'!G935</f>
        <v>47.28</v>
      </c>
      <c r="H934">
        <f>'raw data Crude oil'!H935</f>
        <v>47.53</v>
      </c>
      <c r="I934">
        <f>'raw data Crude oil'!I935</f>
        <v>47.76</v>
      </c>
      <c r="J934">
        <f>'raw data Crude oil'!J935</f>
        <v>47.94</v>
      </c>
      <c r="K934">
        <f>'raw data Crude oil'!K935</f>
        <v>48.1</v>
      </c>
      <c r="L934">
        <f>'raw data Crude oil'!L935</f>
        <v>48.25</v>
      </c>
      <c r="M934">
        <f>'raw data Crude oil'!M935</f>
        <v>48.38</v>
      </c>
      <c r="N934">
        <f>'raw data Crude oil'!N935</f>
        <v>42.67</v>
      </c>
      <c r="O934">
        <f>'raw data Crude oil'!O935</f>
        <v>42.95</v>
      </c>
      <c r="P934">
        <f>'raw data Crude oil'!P935</f>
        <v>43.25</v>
      </c>
      <c r="Q934">
        <f>'raw data Crude oil'!Q935</f>
        <v>43.52</v>
      </c>
      <c r="R934">
        <f>'raw data Crude oil'!R935</f>
        <v>43.78</v>
      </c>
      <c r="S934">
        <f>'raw data Crude oil'!S935</f>
        <v>44.01</v>
      </c>
      <c r="T934">
        <f>'raw data Crude oil'!T935</f>
        <v>44.24</v>
      </c>
      <c r="U934">
        <f>'raw data Crude oil'!U935</f>
        <v>44.43</v>
      </c>
      <c r="V934">
        <f>'raw data Crude oil'!V935</f>
        <v>44.59</v>
      </c>
      <c r="W934">
        <f>'raw data Crude oil'!W935</f>
        <v>44.72</v>
      </c>
      <c r="X934">
        <f>'raw data Crude oil'!X935</f>
        <v>44.82</v>
      </c>
      <c r="Y934">
        <f>'raw data Crude oil'!Y935</f>
        <v>44.91</v>
      </c>
      <c r="Z934">
        <f>'raw data Crude oil'!Z935</f>
        <v>43.871000000000002</v>
      </c>
      <c r="AA934">
        <f>'raw data Crude oil'!AA935</f>
        <v>44.387999999999998</v>
      </c>
      <c r="AB934">
        <f>'raw data Crude oil'!AB935</f>
        <v>44.884999999999998</v>
      </c>
      <c r="AC934">
        <f>'raw data Crude oil'!AC935</f>
        <v>45.256</v>
      </c>
      <c r="AD934">
        <f>'raw data Crude oil'!AD935</f>
        <v>45.567999999999998</v>
      </c>
      <c r="AE934">
        <f>'raw data Crude oil'!AE935</f>
        <v>45.893000000000001</v>
      </c>
      <c r="AF934">
        <f>'raw data Crude oil'!AF935</f>
        <v>46.192</v>
      </c>
      <c r="AG934">
        <f>'raw data Crude oil'!AG935</f>
        <v>46.368000000000002</v>
      </c>
      <c r="AH934">
        <f>'raw data Crude oil'!AH935</f>
        <v>46.537999999999997</v>
      </c>
      <c r="AI934">
        <f>'raw data Crude oil'!AI935</f>
        <v>46.683999999999997</v>
      </c>
      <c r="AJ934">
        <f>'raw data Crude oil'!AJ935</f>
        <v>46.795999999999999</v>
      </c>
      <c r="AK934">
        <f>'raw data Crude oil'!AK935</f>
        <v>46.935000000000002</v>
      </c>
    </row>
    <row r="935" spans="1:37" x14ac:dyDescent="0.3">
      <c r="A935" s="18">
        <f>'raw data Crude oil'!A936</f>
        <v>44056</v>
      </c>
      <c r="B935">
        <f>'raw data Crude oil'!B936</f>
        <v>44.96</v>
      </c>
      <c r="C935">
        <f>'raw data Crude oil'!C936</f>
        <v>45.43</v>
      </c>
      <c r="D935">
        <f>'raw data Crude oil'!D936</f>
        <v>45.82</v>
      </c>
      <c r="E935">
        <f>'raw data Crude oil'!E936</f>
        <v>46.17</v>
      </c>
      <c r="F935">
        <f>'raw data Crude oil'!F936</f>
        <v>46.52</v>
      </c>
      <c r="G935">
        <f>'raw data Crude oil'!G936</f>
        <v>46.86</v>
      </c>
      <c r="H935">
        <f>'raw data Crude oil'!H936</f>
        <v>47.14</v>
      </c>
      <c r="I935">
        <f>'raw data Crude oil'!I936</f>
        <v>47.38</v>
      </c>
      <c r="J935">
        <f>'raw data Crude oil'!J936</f>
        <v>47.57</v>
      </c>
      <c r="K935">
        <f>'raw data Crude oil'!K936</f>
        <v>47.73</v>
      </c>
      <c r="L935">
        <f>'raw data Crude oil'!L936</f>
        <v>47.9</v>
      </c>
      <c r="M935">
        <f>'raw data Crude oil'!M936</f>
        <v>48.02</v>
      </c>
      <c r="N935">
        <f>'raw data Crude oil'!N936</f>
        <v>42.24</v>
      </c>
      <c r="O935">
        <f>'raw data Crude oil'!O936</f>
        <v>42.52</v>
      </c>
      <c r="P935">
        <f>'raw data Crude oil'!P936</f>
        <v>42.84</v>
      </c>
      <c r="Q935">
        <f>'raw data Crude oil'!Q936</f>
        <v>43.15</v>
      </c>
      <c r="R935">
        <f>'raw data Crude oil'!R936</f>
        <v>43.44</v>
      </c>
      <c r="S935">
        <f>'raw data Crude oil'!S936</f>
        <v>43.7</v>
      </c>
      <c r="T935">
        <f>'raw data Crude oil'!T936</f>
        <v>43.95</v>
      </c>
      <c r="U935">
        <f>'raw data Crude oil'!U936</f>
        <v>44.16</v>
      </c>
      <c r="V935">
        <f>'raw data Crude oil'!V936</f>
        <v>44.33</v>
      </c>
      <c r="W935">
        <f>'raw data Crude oil'!W936</f>
        <v>44.47</v>
      </c>
      <c r="X935">
        <f>'raw data Crude oil'!X936</f>
        <v>44.58</v>
      </c>
      <c r="Y935">
        <f>'raw data Crude oil'!Y936</f>
        <v>44.67</v>
      </c>
      <c r="Z935">
        <f>'raw data Crude oil'!Z936</f>
        <v>43.558</v>
      </c>
      <c r="AA935">
        <f>'raw data Crude oil'!AA936</f>
        <v>43.887999999999998</v>
      </c>
      <c r="AB935">
        <f>'raw data Crude oil'!AB936</f>
        <v>44.415999999999997</v>
      </c>
      <c r="AC935">
        <f>'raw data Crude oil'!AC936</f>
        <v>44.807000000000002</v>
      </c>
      <c r="AD935">
        <f>'raw data Crude oil'!AD936</f>
        <v>45.140999999999998</v>
      </c>
      <c r="AE935">
        <f>'raw data Crude oil'!AE936</f>
        <v>45.503999999999998</v>
      </c>
      <c r="AF935">
        <f>'raw data Crude oil'!AF936</f>
        <v>45.802</v>
      </c>
      <c r="AG935">
        <f>'raw data Crude oil'!AG936</f>
        <v>46.008000000000003</v>
      </c>
      <c r="AH935">
        <f>'raw data Crude oil'!AH936</f>
        <v>46.177999999999997</v>
      </c>
      <c r="AI935">
        <f>'raw data Crude oil'!AI936</f>
        <v>46.335999999999999</v>
      </c>
      <c r="AJ935">
        <f>'raw data Crude oil'!AJ936</f>
        <v>46.465000000000003</v>
      </c>
      <c r="AK935">
        <f>'raw data Crude oil'!AK936</f>
        <v>46.594999999999999</v>
      </c>
    </row>
    <row r="936" spans="1:37" x14ac:dyDescent="0.3">
      <c r="A936" s="18">
        <f>'raw data Crude oil'!A937</f>
        <v>44057</v>
      </c>
      <c r="B936">
        <f>'raw data Crude oil'!B937</f>
        <v>44.8</v>
      </c>
      <c r="C936">
        <f>'raw data Crude oil'!C937</f>
        <v>45.33</v>
      </c>
      <c r="D936">
        <f>'raw data Crude oil'!D937</f>
        <v>45.77</v>
      </c>
      <c r="E936">
        <f>'raw data Crude oil'!E937</f>
        <v>46.15</v>
      </c>
      <c r="F936">
        <f>'raw data Crude oil'!F937</f>
        <v>46.53</v>
      </c>
      <c r="G936">
        <f>'raw data Crude oil'!G937</f>
        <v>46.88</v>
      </c>
      <c r="H936">
        <f>'raw data Crude oil'!H937</f>
        <v>47.16</v>
      </c>
      <c r="I936">
        <f>'raw data Crude oil'!I937</f>
        <v>47.39</v>
      </c>
      <c r="J936">
        <f>'raw data Crude oil'!J937</f>
        <v>47.57</v>
      </c>
      <c r="K936">
        <f>'raw data Crude oil'!K937</f>
        <v>47.72</v>
      </c>
      <c r="L936">
        <f>'raw data Crude oil'!L937</f>
        <v>47.87</v>
      </c>
      <c r="M936">
        <f>'raw data Crude oil'!M937</f>
        <v>47.99</v>
      </c>
      <c r="N936">
        <f>'raw data Crude oil'!N937</f>
        <v>42.01</v>
      </c>
      <c r="O936">
        <f>'raw data Crude oil'!O937</f>
        <v>42.31</v>
      </c>
      <c r="P936">
        <f>'raw data Crude oil'!P937</f>
        <v>42.67</v>
      </c>
      <c r="Q936">
        <f>'raw data Crude oil'!Q937</f>
        <v>43</v>
      </c>
      <c r="R936">
        <f>'raw data Crude oil'!R937</f>
        <v>43.3</v>
      </c>
      <c r="S936">
        <f>'raw data Crude oil'!S937</f>
        <v>43.58</v>
      </c>
      <c r="T936">
        <f>'raw data Crude oil'!T937</f>
        <v>43.84</v>
      </c>
      <c r="U936">
        <f>'raw data Crude oil'!U937</f>
        <v>44.06</v>
      </c>
      <c r="V936">
        <f>'raw data Crude oil'!V937</f>
        <v>44.24</v>
      </c>
      <c r="W936">
        <f>'raw data Crude oil'!W937</f>
        <v>44.39</v>
      </c>
      <c r="X936">
        <f>'raw data Crude oil'!X937</f>
        <v>44.51</v>
      </c>
      <c r="Y936">
        <f>'raw data Crude oil'!Y937</f>
        <v>44.6</v>
      </c>
      <c r="Z936">
        <f>'raw data Crude oil'!Z937</f>
        <v>43.436999999999998</v>
      </c>
      <c r="AA936">
        <f>'raw data Crude oil'!AA937</f>
        <v>43.65</v>
      </c>
      <c r="AB936">
        <f>'raw data Crude oil'!AB937</f>
        <v>44.277000000000001</v>
      </c>
      <c r="AC936">
        <f>'raw data Crude oil'!AC937</f>
        <v>44.758000000000003</v>
      </c>
      <c r="AD936">
        <f>'raw data Crude oil'!AD937</f>
        <v>45.142000000000003</v>
      </c>
      <c r="AE936">
        <f>'raw data Crude oil'!AE937</f>
        <v>45.524000000000001</v>
      </c>
      <c r="AF936">
        <f>'raw data Crude oil'!AF937</f>
        <v>45.841999999999999</v>
      </c>
      <c r="AG936">
        <f>'raw data Crude oil'!AG937</f>
        <v>46.067999999999998</v>
      </c>
      <c r="AH936">
        <f>'raw data Crude oil'!AH937</f>
        <v>46.207000000000001</v>
      </c>
      <c r="AI936">
        <f>'raw data Crude oil'!AI937</f>
        <v>46.344000000000001</v>
      </c>
      <c r="AJ936">
        <f>'raw data Crude oil'!AJ937</f>
        <v>46.465000000000003</v>
      </c>
      <c r="AK936">
        <f>'raw data Crude oil'!AK937</f>
        <v>46.575000000000003</v>
      </c>
    </row>
    <row r="937" spans="1:37" x14ac:dyDescent="0.3">
      <c r="A937" s="18">
        <f>'raw data Crude oil'!A938</f>
        <v>44060</v>
      </c>
      <c r="B937">
        <f>'raw data Crude oil'!B938</f>
        <v>45.37</v>
      </c>
      <c r="C937">
        <f>'raw data Crude oil'!C938</f>
        <v>45.92</v>
      </c>
      <c r="D937">
        <f>'raw data Crude oil'!D938</f>
        <v>46.39</v>
      </c>
      <c r="E937">
        <f>'raw data Crude oil'!E938</f>
        <v>46.79</v>
      </c>
      <c r="F937">
        <f>'raw data Crude oil'!F938</f>
        <v>47.16</v>
      </c>
      <c r="G937">
        <f>'raw data Crude oil'!G938</f>
        <v>47.5</v>
      </c>
      <c r="H937">
        <f>'raw data Crude oil'!H938</f>
        <v>47.78</v>
      </c>
      <c r="I937">
        <f>'raw data Crude oil'!I938</f>
        <v>48</v>
      </c>
      <c r="J937">
        <f>'raw data Crude oil'!J938</f>
        <v>48.17</v>
      </c>
      <c r="K937">
        <f>'raw data Crude oil'!K938</f>
        <v>48.32</v>
      </c>
      <c r="L937">
        <f>'raw data Crude oil'!L938</f>
        <v>48.47</v>
      </c>
      <c r="M937">
        <f>'raw data Crude oil'!M938</f>
        <v>48.59</v>
      </c>
      <c r="N937">
        <f>'raw data Crude oil'!N938</f>
        <v>42.89</v>
      </c>
      <c r="O937">
        <f>'raw data Crude oil'!O938</f>
        <v>43.17</v>
      </c>
      <c r="P937">
        <f>'raw data Crude oil'!P938</f>
        <v>43.48</v>
      </c>
      <c r="Q937">
        <f>'raw data Crude oil'!Q938</f>
        <v>43.78</v>
      </c>
      <c r="R937">
        <f>'raw data Crude oil'!R938</f>
        <v>44.08</v>
      </c>
      <c r="S937">
        <f>'raw data Crude oil'!S938</f>
        <v>44.34</v>
      </c>
      <c r="T937">
        <f>'raw data Crude oil'!T938</f>
        <v>44.57</v>
      </c>
      <c r="U937">
        <f>'raw data Crude oil'!U938</f>
        <v>44.76</v>
      </c>
      <c r="V937">
        <f>'raw data Crude oil'!V938</f>
        <v>44.93</v>
      </c>
      <c r="W937">
        <f>'raw data Crude oil'!W938</f>
        <v>45.05</v>
      </c>
      <c r="X937">
        <f>'raw data Crude oil'!X938</f>
        <v>45.17</v>
      </c>
      <c r="Y937">
        <f>'raw data Crude oil'!Y938</f>
        <v>45.26</v>
      </c>
      <c r="Z937">
        <f>'raw data Crude oil'!Z938</f>
        <v>43.850999999999999</v>
      </c>
      <c r="AA937">
        <f>'raw data Crude oil'!AA938</f>
        <v>44.350999999999999</v>
      </c>
      <c r="AB937">
        <f>'raw data Crude oil'!AB938</f>
        <v>44.978000000000002</v>
      </c>
      <c r="AC937">
        <f>'raw data Crude oil'!AC938</f>
        <v>45.438000000000002</v>
      </c>
      <c r="AD937">
        <f>'raw data Crude oil'!AD938</f>
        <v>45.811</v>
      </c>
      <c r="AE937">
        <f>'raw data Crude oil'!AE938</f>
        <v>46.204000000000001</v>
      </c>
      <c r="AF937">
        <f>'raw data Crude oil'!AF938</f>
        <v>46.511000000000003</v>
      </c>
      <c r="AG937">
        <f>'raw data Crude oil'!AG938</f>
        <v>46.726999999999997</v>
      </c>
      <c r="AH937">
        <f>'raw data Crude oil'!AH938</f>
        <v>46.877000000000002</v>
      </c>
      <c r="AI937">
        <f>'raw data Crude oil'!AI938</f>
        <v>47.003999999999998</v>
      </c>
      <c r="AJ937">
        <f>'raw data Crude oil'!AJ938</f>
        <v>47.094999999999999</v>
      </c>
      <c r="AK937">
        <f>'raw data Crude oil'!AK938</f>
        <v>47.215000000000003</v>
      </c>
    </row>
    <row r="938" spans="1:37" x14ac:dyDescent="0.3">
      <c r="A938" s="18">
        <f>'raw data Crude oil'!A939</f>
        <v>44061</v>
      </c>
      <c r="B938">
        <f>'raw data Crude oil'!B939</f>
        <v>45.46</v>
      </c>
      <c r="C938">
        <f>'raw data Crude oil'!C939</f>
        <v>46.01</v>
      </c>
      <c r="D938">
        <f>'raw data Crude oil'!D939</f>
        <v>46.49</v>
      </c>
      <c r="E938">
        <f>'raw data Crude oil'!E939</f>
        <v>46.87</v>
      </c>
      <c r="F938">
        <f>'raw data Crude oil'!F939</f>
        <v>47.23</v>
      </c>
      <c r="G938">
        <f>'raw data Crude oil'!G939</f>
        <v>47.56</v>
      </c>
      <c r="H938">
        <f>'raw data Crude oil'!H939</f>
        <v>47.84</v>
      </c>
      <c r="I938">
        <f>'raw data Crude oil'!I939</f>
        <v>48.06</v>
      </c>
      <c r="J938">
        <f>'raw data Crude oil'!J939</f>
        <v>48.24</v>
      </c>
      <c r="K938">
        <f>'raw data Crude oil'!K939</f>
        <v>48.39</v>
      </c>
      <c r="L938">
        <f>'raw data Crude oil'!L939</f>
        <v>48.54</v>
      </c>
      <c r="M938">
        <f>'raw data Crude oil'!M939</f>
        <v>48.65</v>
      </c>
      <c r="N938">
        <f>'raw data Crude oil'!N939</f>
        <v>42.89</v>
      </c>
      <c r="O938">
        <f>'raw data Crude oil'!O939</f>
        <v>43.12</v>
      </c>
      <c r="P938">
        <f>'raw data Crude oil'!P939</f>
        <v>43.44</v>
      </c>
      <c r="Q938">
        <f>'raw data Crude oil'!Q939</f>
        <v>43.76</v>
      </c>
      <c r="R938">
        <f>'raw data Crude oil'!R939</f>
        <v>44.06</v>
      </c>
      <c r="S938">
        <f>'raw data Crude oil'!S939</f>
        <v>44.33</v>
      </c>
      <c r="T938">
        <f>'raw data Crude oil'!T939</f>
        <v>44.57</v>
      </c>
      <c r="U938">
        <f>'raw data Crude oil'!U939</f>
        <v>44.77</v>
      </c>
      <c r="V938">
        <f>'raw data Crude oil'!V939</f>
        <v>44.94</v>
      </c>
      <c r="W938">
        <f>'raw data Crude oil'!W939</f>
        <v>45.08</v>
      </c>
      <c r="X938">
        <f>'raw data Crude oil'!X939</f>
        <v>45.19</v>
      </c>
      <c r="Y938">
        <f>'raw data Crude oil'!Y939</f>
        <v>45.28</v>
      </c>
      <c r="Z938">
        <f>'raw data Crude oil'!Z939</f>
        <v>44.003</v>
      </c>
      <c r="AA938">
        <f>'raw data Crude oil'!AA939</f>
        <v>44.552</v>
      </c>
      <c r="AB938">
        <f>'raw data Crude oil'!AB939</f>
        <v>45.137</v>
      </c>
      <c r="AC938">
        <f>'raw data Crude oil'!AC939</f>
        <v>45.557000000000002</v>
      </c>
      <c r="AD938">
        <f>'raw data Crude oil'!AD939</f>
        <v>45.92</v>
      </c>
      <c r="AE938">
        <f>'raw data Crude oil'!AE939</f>
        <v>46.274000000000001</v>
      </c>
      <c r="AF938">
        <f>'raw data Crude oil'!AF939</f>
        <v>46.570999999999998</v>
      </c>
      <c r="AG938">
        <f>'raw data Crude oil'!AG939</f>
        <v>46.787999999999997</v>
      </c>
      <c r="AH938">
        <f>'raw data Crude oil'!AH939</f>
        <v>46.947000000000003</v>
      </c>
      <c r="AI938">
        <f>'raw data Crude oil'!AI939</f>
        <v>47.084000000000003</v>
      </c>
      <c r="AJ938">
        <f>'raw data Crude oil'!AJ939</f>
        <v>47.174999999999997</v>
      </c>
      <c r="AK938">
        <f>'raw data Crude oil'!AK939</f>
        <v>47.274999999999999</v>
      </c>
    </row>
    <row r="939" spans="1:37" x14ac:dyDescent="0.3">
      <c r="A939" s="18">
        <f>'raw data Crude oil'!A940</f>
        <v>44062</v>
      </c>
      <c r="B939">
        <f>'raw data Crude oil'!B940</f>
        <v>45.37</v>
      </c>
      <c r="C939">
        <f>'raw data Crude oil'!C940</f>
        <v>45.88</v>
      </c>
      <c r="D939">
        <f>'raw data Crude oil'!D940</f>
        <v>46.36</v>
      </c>
      <c r="E939">
        <f>'raw data Crude oil'!E940</f>
        <v>46.75</v>
      </c>
      <c r="F939">
        <f>'raw data Crude oil'!F940</f>
        <v>47.13</v>
      </c>
      <c r="G939">
        <f>'raw data Crude oil'!G940</f>
        <v>47.48</v>
      </c>
      <c r="H939">
        <f>'raw data Crude oil'!H940</f>
        <v>47.78</v>
      </c>
      <c r="I939">
        <f>'raw data Crude oil'!I940</f>
        <v>48.02</v>
      </c>
      <c r="J939">
        <f>'raw data Crude oil'!J940</f>
        <v>48.22</v>
      </c>
      <c r="K939">
        <f>'raw data Crude oil'!K940</f>
        <v>48.39</v>
      </c>
      <c r="L939">
        <f>'raw data Crude oil'!L940</f>
        <v>48.56</v>
      </c>
      <c r="M939">
        <f>'raw data Crude oil'!M940</f>
        <v>48.69</v>
      </c>
      <c r="N939">
        <f>'raw data Crude oil'!N940</f>
        <v>42.93</v>
      </c>
      <c r="O939">
        <f>'raw data Crude oil'!O940</f>
        <v>43.11</v>
      </c>
      <c r="P939">
        <f>'raw data Crude oil'!P940</f>
        <v>43.39</v>
      </c>
      <c r="Q939">
        <f>'raw data Crude oil'!Q940</f>
        <v>43.69</v>
      </c>
      <c r="R939">
        <f>'raw data Crude oil'!R940</f>
        <v>43.98</v>
      </c>
      <c r="S939">
        <f>'raw data Crude oil'!S940</f>
        <v>44.26</v>
      </c>
      <c r="T939">
        <f>'raw data Crude oil'!T940</f>
        <v>44.51</v>
      </c>
      <c r="U939">
        <f>'raw data Crude oil'!U940</f>
        <v>44.72</v>
      </c>
      <c r="V939">
        <f>'raw data Crude oil'!V940</f>
        <v>44.91</v>
      </c>
      <c r="W939">
        <f>'raw data Crude oil'!W940</f>
        <v>45.06</v>
      </c>
      <c r="X939">
        <f>'raw data Crude oil'!X940</f>
        <v>45.19</v>
      </c>
      <c r="Y939">
        <f>'raw data Crude oil'!Y940</f>
        <v>45.3</v>
      </c>
      <c r="Z939">
        <f>'raw data Crude oil'!Z940</f>
        <v>43.890999999999998</v>
      </c>
      <c r="AA939">
        <f>'raw data Crude oil'!AA940</f>
        <v>44.421999999999997</v>
      </c>
      <c r="AB939">
        <f>'raw data Crude oil'!AB940</f>
        <v>45.078000000000003</v>
      </c>
      <c r="AC939">
        <f>'raw data Crude oil'!AC940</f>
        <v>45.497999999999998</v>
      </c>
      <c r="AD939">
        <f>'raw data Crude oil'!AD940</f>
        <v>45.851999999999997</v>
      </c>
      <c r="AE939">
        <f>'raw data Crude oil'!AE940</f>
        <v>46.225000000000001</v>
      </c>
      <c r="AF939">
        <f>'raw data Crude oil'!AF940</f>
        <v>46.512</v>
      </c>
      <c r="AG939">
        <f>'raw data Crude oil'!AG940</f>
        <v>46.749000000000002</v>
      </c>
      <c r="AH939">
        <f>'raw data Crude oil'!AH940</f>
        <v>46.938000000000002</v>
      </c>
      <c r="AI939">
        <f>'raw data Crude oil'!AI940</f>
        <v>47.095999999999997</v>
      </c>
      <c r="AJ939">
        <f>'raw data Crude oil'!AJ940</f>
        <v>47.216000000000001</v>
      </c>
      <c r="AK939">
        <f>'raw data Crude oil'!AK940</f>
        <v>47.325000000000003</v>
      </c>
    </row>
    <row r="940" spans="1:37" x14ac:dyDescent="0.3">
      <c r="A940" s="18">
        <f>'raw data Crude oil'!A941</f>
        <v>44063</v>
      </c>
      <c r="B940">
        <f>'raw data Crude oil'!B941</f>
        <v>44.9</v>
      </c>
      <c r="C940">
        <f>'raw data Crude oil'!C941</f>
        <v>45.48</v>
      </c>
      <c r="D940">
        <f>'raw data Crude oil'!D941</f>
        <v>45.97</v>
      </c>
      <c r="E940">
        <f>'raw data Crude oil'!E941</f>
        <v>46.37</v>
      </c>
      <c r="F940">
        <f>'raw data Crude oil'!F941</f>
        <v>46.76</v>
      </c>
      <c r="G940">
        <f>'raw data Crude oil'!G941</f>
        <v>47.12</v>
      </c>
      <c r="H940">
        <f>'raw data Crude oil'!H941</f>
        <v>47.44</v>
      </c>
      <c r="I940">
        <f>'raw data Crude oil'!I941</f>
        <v>47.7</v>
      </c>
      <c r="J940">
        <f>'raw data Crude oil'!J941</f>
        <v>47.91</v>
      </c>
      <c r="K940">
        <f>'raw data Crude oil'!K941</f>
        <v>48.09</v>
      </c>
      <c r="L940">
        <f>'raw data Crude oil'!L941</f>
        <v>48.26</v>
      </c>
      <c r="M940">
        <f>'raw data Crude oil'!M941</f>
        <v>48.41</v>
      </c>
      <c r="N940">
        <f>'raw data Crude oil'!N941</f>
        <v>42.58</v>
      </c>
      <c r="O940">
        <f>'raw data Crude oil'!O941</f>
        <v>42.82</v>
      </c>
      <c r="P940">
        <f>'raw data Crude oil'!P941</f>
        <v>43.09</v>
      </c>
      <c r="Q940">
        <f>'raw data Crude oil'!Q941</f>
        <v>43.39</v>
      </c>
      <c r="R940">
        <f>'raw data Crude oil'!R941</f>
        <v>43.7</v>
      </c>
      <c r="S940">
        <f>'raw data Crude oil'!S941</f>
        <v>43.99</v>
      </c>
      <c r="T940">
        <f>'raw data Crude oil'!T941</f>
        <v>44.25</v>
      </c>
      <c r="U940">
        <f>'raw data Crude oil'!U941</f>
        <v>44.47</v>
      </c>
      <c r="V940">
        <f>'raw data Crude oil'!V941</f>
        <v>44.68</v>
      </c>
      <c r="W940">
        <f>'raw data Crude oil'!W941</f>
        <v>44.85</v>
      </c>
      <c r="X940">
        <f>'raw data Crude oil'!X941</f>
        <v>44.99</v>
      </c>
      <c r="Y940">
        <f>'raw data Crude oil'!Y941</f>
        <v>45.1</v>
      </c>
      <c r="Z940">
        <f>'raw data Crude oil'!Z941</f>
        <v>43.761000000000003</v>
      </c>
      <c r="AA940">
        <f>'raw data Crude oil'!AA941</f>
        <v>44.161999999999999</v>
      </c>
      <c r="AB940">
        <f>'raw data Crude oil'!AB941</f>
        <v>44.728000000000002</v>
      </c>
      <c r="AC940">
        <f>'raw data Crude oil'!AC941</f>
        <v>45.098999999999997</v>
      </c>
      <c r="AD940">
        <f>'raw data Crude oil'!AD941</f>
        <v>45.442999999999998</v>
      </c>
      <c r="AE940">
        <f>'raw data Crude oil'!AE941</f>
        <v>45.786000000000001</v>
      </c>
      <c r="AF940">
        <f>'raw data Crude oil'!AF941</f>
        <v>46.103000000000002</v>
      </c>
      <c r="AG940">
        <f>'raw data Crude oil'!AG941</f>
        <v>46.359000000000002</v>
      </c>
      <c r="AH940">
        <f>'raw data Crude oil'!AH941</f>
        <v>46.569000000000003</v>
      </c>
      <c r="AI940">
        <f>'raw data Crude oil'!AI941</f>
        <v>46.746000000000002</v>
      </c>
      <c r="AJ940">
        <f>'raw data Crude oil'!AJ941</f>
        <v>46.887</v>
      </c>
      <c r="AK940">
        <f>'raw data Crude oil'!AK941</f>
        <v>47.026000000000003</v>
      </c>
    </row>
    <row r="941" spans="1:37" x14ac:dyDescent="0.3">
      <c r="A941" s="18">
        <f>'raw data Crude oil'!A942</f>
        <v>44064</v>
      </c>
      <c r="B941">
        <f>'raw data Crude oil'!B942</f>
        <v>44.35</v>
      </c>
      <c r="C941">
        <f>'raw data Crude oil'!C942</f>
        <v>44.93</v>
      </c>
      <c r="D941">
        <f>'raw data Crude oil'!D942</f>
        <v>45.39</v>
      </c>
      <c r="E941">
        <f>'raw data Crude oil'!E942</f>
        <v>45.76</v>
      </c>
      <c r="F941">
        <f>'raw data Crude oil'!F942</f>
        <v>46.12</v>
      </c>
      <c r="G941">
        <f>'raw data Crude oil'!G942</f>
        <v>46.47</v>
      </c>
      <c r="H941">
        <f>'raw data Crude oil'!H942</f>
        <v>46.78</v>
      </c>
      <c r="I941">
        <f>'raw data Crude oil'!I942</f>
        <v>47.04</v>
      </c>
      <c r="J941">
        <f>'raw data Crude oil'!J942</f>
        <v>47.26</v>
      </c>
      <c r="K941">
        <f>'raw data Crude oil'!K942</f>
        <v>47.46</v>
      </c>
      <c r="L941">
        <f>'raw data Crude oil'!L942</f>
        <v>47.65</v>
      </c>
      <c r="M941">
        <f>'raw data Crude oil'!M942</f>
        <v>47.82</v>
      </c>
      <c r="N941">
        <f>'raw data Crude oil'!N942</f>
        <v>42.34</v>
      </c>
      <c r="O941">
        <f>'raw data Crude oil'!O942</f>
        <v>42.62</v>
      </c>
      <c r="P941">
        <f>'raw data Crude oil'!P942</f>
        <v>42.93</v>
      </c>
      <c r="Q941">
        <f>'raw data Crude oil'!Q942</f>
        <v>43.23</v>
      </c>
      <c r="R941">
        <f>'raw data Crude oil'!R942</f>
        <v>43.51</v>
      </c>
      <c r="S941">
        <f>'raw data Crude oil'!S942</f>
        <v>43.77</v>
      </c>
      <c r="T941">
        <f>'raw data Crude oil'!T942</f>
        <v>44</v>
      </c>
      <c r="U941">
        <f>'raw data Crude oil'!U942</f>
        <v>44.21</v>
      </c>
      <c r="V941">
        <f>'raw data Crude oil'!V942</f>
        <v>44.39</v>
      </c>
      <c r="W941">
        <f>'raw data Crude oil'!W942</f>
        <v>44.54</v>
      </c>
      <c r="X941">
        <f>'raw data Crude oil'!X942</f>
        <v>44.67</v>
      </c>
      <c r="Y941">
        <f>'raw data Crude oil'!Y942</f>
        <v>44.78</v>
      </c>
      <c r="Z941">
        <f>'raw data Crude oil'!Z942</f>
        <v>43.667000000000002</v>
      </c>
      <c r="AA941">
        <f>'raw data Crude oil'!AA942</f>
        <v>43.831000000000003</v>
      </c>
      <c r="AB941">
        <f>'raw data Crude oil'!AB942</f>
        <v>44.247</v>
      </c>
      <c r="AC941">
        <f>'raw data Crude oil'!AC942</f>
        <v>44.536999999999999</v>
      </c>
      <c r="AD941">
        <f>'raw data Crude oil'!AD942</f>
        <v>44.832000000000001</v>
      </c>
      <c r="AE941">
        <f>'raw data Crude oil'!AE942</f>
        <v>45.146000000000001</v>
      </c>
      <c r="AF941">
        <f>'raw data Crude oil'!AF942</f>
        <v>45.442999999999998</v>
      </c>
      <c r="AG941">
        <f>'raw data Crude oil'!AG942</f>
        <v>45.7</v>
      </c>
      <c r="AH941">
        <f>'raw data Crude oil'!AH942</f>
        <v>45.91</v>
      </c>
      <c r="AI941">
        <f>'raw data Crude oil'!AI942</f>
        <v>46.107999999999997</v>
      </c>
      <c r="AJ941">
        <f>'raw data Crude oil'!AJ942</f>
        <v>46.277999999999999</v>
      </c>
      <c r="AK941">
        <f>'raw data Crude oil'!AK942</f>
        <v>46.427</v>
      </c>
    </row>
    <row r="942" spans="1:37" x14ac:dyDescent="0.3">
      <c r="A942" s="18">
        <f>'raw data Crude oil'!A943</f>
        <v>44067</v>
      </c>
      <c r="B942">
        <f>'raw data Crude oil'!B943</f>
        <v>45.13</v>
      </c>
      <c r="C942">
        <f>'raw data Crude oil'!C943</f>
        <v>45.64</v>
      </c>
      <c r="D942">
        <f>'raw data Crude oil'!D943</f>
        <v>46.07</v>
      </c>
      <c r="E942">
        <f>'raw data Crude oil'!E943</f>
        <v>46.42</v>
      </c>
      <c r="F942">
        <f>'raw data Crude oil'!F943</f>
        <v>46.76</v>
      </c>
      <c r="G942">
        <f>'raw data Crude oil'!G943</f>
        <v>47.09</v>
      </c>
      <c r="H942">
        <f>'raw data Crude oil'!H943</f>
        <v>47.39</v>
      </c>
      <c r="I942">
        <f>'raw data Crude oil'!I943</f>
        <v>47.64</v>
      </c>
      <c r="J942">
        <f>'raw data Crude oil'!J943</f>
        <v>47.85</v>
      </c>
      <c r="K942">
        <f>'raw data Crude oil'!K943</f>
        <v>48.04</v>
      </c>
      <c r="L942">
        <f>'raw data Crude oil'!L943</f>
        <v>48.23</v>
      </c>
      <c r="M942">
        <f>'raw data Crude oil'!M943</f>
        <v>48.4</v>
      </c>
      <c r="N942">
        <f>'raw data Crude oil'!N943</f>
        <v>42.62</v>
      </c>
      <c r="O942">
        <f>'raw data Crude oil'!O943</f>
        <v>42.93</v>
      </c>
      <c r="P942">
        <f>'raw data Crude oil'!P943</f>
        <v>43.27</v>
      </c>
      <c r="Q942">
        <f>'raw data Crude oil'!Q943</f>
        <v>43.6</v>
      </c>
      <c r="R942">
        <f>'raw data Crude oil'!R943</f>
        <v>43.9</v>
      </c>
      <c r="S942">
        <f>'raw data Crude oil'!S943</f>
        <v>44.17</v>
      </c>
      <c r="T942">
        <f>'raw data Crude oil'!T943</f>
        <v>44.42</v>
      </c>
      <c r="U942">
        <f>'raw data Crude oil'!U943</f>
        <v>44.64</v>
      </c>
      <c r="V942">
        <f>'raw data Crude oil'!V943</f>
        <v>44.83</v>
      </c>
      <c r="W942">
        <f>'raw data Crude oil'!W943</f>
        <v>45</v>
      </c>
      <c r="X942">
        <f>'raw data Crude oil'!X943</f>
        <v>45.14</v>
      </c>
      <c r="Y942">
        <f>'raw data Crude oil'!Y943</f>
        <v>45.26</v>
      </c>
      <c r="Z942">
        <f>'raw data Crude oil'!Z943</f>
        <v>43.817999999999998</v>
      </c>
      <c r="AA942">
        <f>'raw data Crude oil'!AA943</f>
        <v>44.58</v>
      </c>
      <c r="AB942">
        <f>'raw data Crude oil'!AB943</f>
        <v>44.985999999999997</v>
      </c>
      <c r="AC942">
        <f>'raw data Crude oil'!AC943</f>
        <v>45.216000000000001</v>
      </c>
      <c r="AD942">
        <f>'raw data Crude oil'!AD943</f>
        <v>45.49</v>
      </c>
      <c r="AE942">
        <f>'raw data Crude oil'!AE943</f>
        <v>45.765000000000001</v>
      </c>
      <c r="AF942">
        <f>'raw data Crude oil'!AF943</f>
        <v>46.052999999999997</v>
      </c>
      <c r="AG942">
        <f>'raw data Crude oil'!AG943</f>
        <v>46.298999999999999</v>
      </c>
      <c r="AH942">
        <f>'raw data Crude oil'!AH943</f>
        <v>46.499000000000002</v>
      </c>
      <c r="AI942">
        <f>'raw data Crude oil'!AI943</f>
        <v>46.698</v>
      </c>
      <c r="AJ942">
        <f>'raw data Crude oil'!AJ943</f>
        <v>46.868000000000002</v>
      </c>
      <c r="AK942">
        <f>'raw data Crude oil'!AK943</f>
        <v>47.017000000000003</v>
      </c>
    </row>
    <row r="943" spans="1:37" x14ac:dyDescent="0.3">
      <c r="A943" s="18">
        <f>'raw data Crude oil'!A944</f>
        <v>44068</v>
      </c>
      <c r="B943">
        <f>'raw data Crude oil'!B944</f>
        <v>45.86</v>
      </c>
      <c r="C943">
        <f>'raw data Crude oil'!C944</f>
        <v>46.29</v>
      </c>
      <c r="D943">
        <f>'raw data Crude oil'!D944</f>
        <v>46.66</v>
      </c>
      <c r="E943">
        <f>'raw data Crude oil'!E944</f>
        <v>46.97</v>
      </c>
      <c r="F943">
        <f>'raw data Crude oil'!F944</f>
        <v>47.28</v>
      </c>
      <c r="G943">
        <f>'raw data Crude oil'!G944</f>
        <v>47.58</v>
      </c>
      <c r="H943">
        <f>'raw data Crude oil'!H944</f>
        <v>47.86</v>
      </c>
      <c r="I943">
        <f>'raw data Crude oil'!I944</f>
        <v>48.09</v>
      </c>
      <c r="J943">
        <f>'raw data Crude oil'!J944</f>
        <v>48.29</v>
      </c>
      <c r="K943">
        <f>'raw data Crude oil'!K944</f>
        <v>48.48</v>
      </c>
      <c r="L943">
        <f>'raw data Crude oil'!L944</f>
        <v>48.66</v>
      </c>
      <c r="M943">
        <f>'raw data Crude oil'!M944</f>
        <v>48.82</v>
      </c>
      <c r="N943">
        <f>'raw data Crude oil'!N944</f>
        <v>43.35</v>
      </c>
      <c r="O943">
        <f>'raw data Crude oil'!O944</f>
        <v>43.65</v>
      </c>
      <c r="P943">
        <f>'raw data Crude oil'!P944</f>
        <v>43.94</v>
      </c>
      <c r="Q943">
        <f>'raw data Crude oil'!Q944</f>
        <v>44.24</v>
      </c>
      <c r="R943">
        <f>'raw data Crude oil'!R944</f>
        <v>44.51</v>
      </c>
      <c r="S943">
        <f>'raw data Crude oil'!S944</f>
        <v>44.75</v>
      </c>
      <c r="T943">
        <f>'raw data Crude oil'!T944</f>
        <v>44.96</v>
      </c>
      <c r="U943">
        <f>'raw data Crude oil'!U944</f>
        <v>45.15</v>
      </c>
      <c r="V943">
        <f>'raw data Crude oil'!V944</f>
        <v>45.32</v>
      </c>
      <c r="W943">
        <f>'raw data Crude oil'!W944</f>
        <v>45.47</v>
      </c>
      <c r="X943">
        <f>'raw data Crude oil'!X944</f>
        <v>45.59</v>
      </c>
      <c r="Y943">
        <f>'raw data Crude oil'!Y944</f>
        <v>45.69</v>
      </c>
      <c r="Z943">
        <f>'raw data Crude oil'!Z944</f>
        <v>43.97</v>
      </c>
      <c r="AA943">
        <f>'raw data Crude oil'!AA944</f>
        <v>45.216999999999999</v>
      </c>
      <c r="AB943">
        <f>'raw data Crude oil'!AB944</f>
        <v>45.603999999999999</v>
      </c>
      <c r="AC943">
        <f>'raw data Crude oil'!AC944</f>
        <v>45.774999999999999</v>
      </c>
      <c r="AD943">
        <f>'raw data Crude oil'!AD944</f>
        <v>45.966999999999999</v>
      </c>
      <c r="AE943">
        <f>'raw data Crude oil'!AE944</f>
        <v>46.223999999999997</v>
      </c>
      <c r="AF943">
        <f>'raw data Crude oil'!AF944</f>
        <v>46.491999999999997</v>
      </c>
      <c r="AG943">
        <f>'raw data Crude oil'!AG944</f>
        <v>46.719000000000001</v>
      </c>
      <c r="AH943">
        <f>'raw data Crude oil'!AH944</f>
        <v>46.918999999999997</v>
      </c>
      <c r="AI943">
        <f>'raw data Crude oil'!AI944</f>
        <v>47.116999999999997</v>
      </c>
      <c r="AJ943">
        <f>'raw data Crude oil'!AJ944</f>
        <v>47.277000000000001</v>
      </c>
      <c r="AK943">
        <f>'raw data Crude oil'!AK944</f>
        <v>47.426000000000002</v>
      </c>
    </row>
    <row r="944" spans="1:37" x14ac:dyDescent="0.3">
      <c r="A944" s="18">
        <f>'raw data Crude oil'!A945</f>
        <v>44069</v>
      </c>
      <c r="B944">
        <f>'raw data Crude oil'!B945</f>
        <v>45.64</v>
      </c>
      <c r="C944">
        <f>'raw data Crude oil'!C945</f>
        <v>46.16</v>
      </c>
      <c r="D944">
        <f>'raw data Crude oil'!D945</f>
        <v>46.58</v>
      </c>
      <c r="E944">
        <f>'raw data Crude oil'!E945</f>
        <v>46.93</v>
      </c>
      <c r="F944">
        <f>'raw data Crude oil'!F945</f>
        <v>47.25</v>
      </c>
      <c r="G944">
        <f>'raw data Crude oil'!G945</f>
        <v>47.55</v>
      </c>
      <c r="H944">
        <f>'raw data Crude oil'!H945</f>
        <v>47.83</v>
      </c>
      <c r="I944">
        <f>'raw data Crude oil'!I945</f>
        <v>48.07</v>
      </c>
      <c r="J944">
        <f>'raw data Crude oil'!J945</f>
        <v>48.28</v>
      </c>
      <c r="K944">
        <f>'raw data Crude oil'!K945</f>
        <v>48.45</v>
      </c>
      <c r="L944">
        <f>'raw data Crude oil'!L945</f>
        <v>48.63</v>
      </c>
      <c r="M944">
        <f>'raw data Crude oil'!M945</f>
        <v>48.79</v>
      </c>
      <c r="N944">
        <f>'raw data Crude oil'!N945</f>
        <v>43.39</v>
      </c>
      <c r="O944">
        <f>'raw data Crude oil'!O945</f>
        <v>43.69</v>
      </c>
      <c r="P944">
        <f>'raw data Crude oil'!P945</f>
        <v>44</v>
      </c>
      <c r="Q944">
        <f>'raw data Crude oil'!Q945</f>
        <v>44.31</v>
      </c>
      <c r="R944">
        <f>'raw data Crude oil'!R945</f>
        <v>44.58</v>
      </c>
      <c r="S944">
        <f>'raw data Crude oil'!S945</f>
        <v>44.81</v>
      </c>
      <c r="T944">
        <f>'raw data Crude oil'!T945</f>
        <v>45.02</v>
      </c>
      <c r="U944">
        <f>'raw data Crude oil'!U945</f>
        <v>45.2</v>
      </c>
      <c r="V944">
        <f>'raw data Crude oil'!V945</f>
        <v>45.35</v>
      </c>
      <c r="W944">
        <f>'raw data Crude oil'!W945</f>
        <v>45.48</v>
      </c>
      <c r="X944">
        <f>'raw data Crude oil'!X945</f>
        <v>45.59</v>
      </c>
      <c r="Y944">
        <f>'raw data Crude oil'!Y945</f>
        <v>45.69</v>
      </c>
      <c r="Z944">
        <f>'raw data Crude oil'!Z945</f>
        <v>43.948</v>
      </c>
      <c r="AA944">
        <f>'raw data Crude oil'!AA945</f>
        <v>45.048999999999999</v>
      </c>
      <c r="AB944">
        <f>'raw data Crude oil'!AB945</f>
        <v>45.466000000000001</v>
      </c>
      <c r="AC944">
        <f>'raw data Crude oil'!AC945</f>
        <v>45.695</v>
      </c>
      <c r="AD944">
        <f>'raw data Crude oil'!AD945</f>
        <v>45.936999999999998</v>
      </c>
      <c r="AE944">
        <f>'raw data Crude oil'!AE945</f>
        <v>46.204000000000001</v>
      </c>
      <c r="AF944">
        <f>'raw data Crude oil'!AF945</f>
        <v>46.481999999999999</v>
      </c>
      <c r="AG944">
        <f>'raw data Crude oil'!AG945</f>
        <v>46.719000000000001</v>
      </c>
      <c r="AH944">
        <f>'raw data Crude oil'!AH945</f>
        <v>46.917999999999999</v>
      </c>
      <c r="AI944">
        <f>'raw data Crude oil'!AI945</f>
        <v>47.087000000000003</v>
      </c>
      <c r="AJ944">
        <f>'raw data Crude oil'!AJ945</f>
        <v>47.226999999999997</v>
      </c>
      <c r="AK944">
        <f>'raw data Crude oil'!AK945</f>
        <v>47.356000000000002</v>
      </c>
    </row>
    <row r="945" spans="1:37" x14ac:dyDescent="0.3">
      <c r="A945" s="18">
        <f>'raw data Crude oil'!A946</f>
        <v>44070</v>
      </c>
      <c r="B945">
        <f>'raw data Crude oil'!B946</f>
        <v>45.09</v>
      </c>
      <c r="C945">
        <f>'raw data Crude oil'!C946</f>
        <v>45.6</v>
      </c>
      <c r="D945">
        <f>'raw data Crude oil'!D946</f>
        <v>46.01</v>
      </c>
      <c r="E945">
        <f>'raw data Crude oil'!E946</f>
        <v>46.37</v>
      </c>
      <c r="F945">
        <f>'raw data Crude oil'!F946</f>
        <v>46.7</v>
      </c>
      <c r="G945">
        <f>'raw data Crude oil'!G946</f>
        <v>47.01</v>
      </c>
      <c r="H945">
        <f>'raw data Crude oil'!H946</f>
        <v>47.29</v>
      </c>
      <c r="I945">
        <f>'raw data Crude oil'!I946</f>
        <v>47.54</v>
      </c>
      <c r="J945">
        <f>'raw data Crude oil'!J946</f>
        <v>47.75</v>
      </c>
      <c r="K945">
        <f>'raw data Crude oil'!K946</f>
        <v>47.92</v>
      </c>
      <c r="L945">
        <f>'raw data Crude oil'!L946</f>
        <v>48.09</v>
      </c>
      <c r="M945">
        <f>'raw data Crude oil'!M946</f>
        <v>48.25</v>
      </c>
      <c r="N945">
        <f>'raw data Crude oil'!N946</f>
        <v>43.04</v>
      </c>
      <c r="O945">
        <f>'raw data Crude oil'!O946</f>
        <v>43.31</v>
      </c>
      <c r="P945">
        <f>'raw data Crude oil'!P946</f>
        <v>43.61</v>
      </c>
      <c r="Q945">
        <f>'raw data Crude oil'!Q946</f>
        <v>43.91</v>
      </c>
      <c r="R945">
        <f>'raw data Crude oil'!R946</f>
        <v>44.17</v>
      </c>
      <c r="S945">
        <f>'raw data Crude oil'!S946</f>
        <v>44.4</v>
      </c>
      <c r="T945">
        <f>'raw data Crude oil'!T946</f>
        <v>44.6</v>
      </c>
      <c r="U945">
        <f>'raw data Crude oil'!U946</f>
        <v>44.77</v>
      </c>
      <c r="V945">
        <f>'raw data Crude oil'!V946</f>
        <v>44.92</v>
      </c>
      <c r="W945">
        <f>'raw data Crude oil'!W946</f>
        <v>45.05</v>
      </c>
      <c r="X945">
        <f>'raw data Crude oil'!X946</f>
        <v>45.15</v>
      </c>
      <c r="Y945">
        <f>'raw data Crude oil'!Y946</f>
        <v>45.23</v>
      </c>
      <c r="Z945">
        <f>'raw data Crude oil'!Z946</f>
        <v>43.91</v>
      </c>
      <c r="AA945">
        <f>'raw data Crude oil'!AA946</f>
        <v>44.579000000000001</v>
      </c>
      <c r="AB945">
        <f>'raw data Crude oil'!AB946</f>
        <v>44.936</v>
      </c>
      <c r="AC945">
        <f>'raw data Crude oil'!AC946</f>
        <v>45.146000000000001</v>
      </c>
      <c r="AD945">
        <f>'raw data Crude oil'!AD946</f>
        <v>45.357999999999997</v>
      </c>
      <c r="AE945">
        <f>'raw data Crude oil'!AE946</f>
        <v>45.643999999999998</v>
      </c>
      <c r="AF945">
        <f>'raw data Crude oil'!AF946</f>
        <v>45.923000000000002</v>
      </c>
      <c r="AG945">
        <f>'raw data Crude oil'!AG946</f>
        <v>46.168999999999997</v>
      </c>
      <c r="AH945">
        <f>'raw data Crude oil'!AH946</f>
        <v>46.378</v>
      </c>
      <c r="AI945">
        <f>'raw data Crude oil'!AI946</f>
        <v>46.555999999999997</v>
      </c>
      <c r="AJ945">
        <f>'raw data Crude oil'!AJ946</f>
        <v>46.686999999999998</v>
      </c>
      <c r="AK945">
        <f>'raw data Crude oil'!AK946</f>
        <v>46.835999999999999</v>
      </c>
    </row>
    <row r="946" spans="1:37" x14ac:dyDescent="0.3">
      <c r="A946" s="18">
        <f>'raw data Crude oil'!A947</f>
        <v>44071</v>
      </c>
      <c r="B946">
        <f>'raw data Crude oil'!B947</f>
        <v>45.05</v>
      </c>
      <c r="C946">
        <f>'raw data Crude oil'!C947</f>
        <v>45.81</v>
      </c>
      <c r="D946">
        <f>'raw data Crude oil'!D947</f>
        <v>46.25</v>
      </c>
      <c r="E946">
        <f>'raw data Crude oil'!E947</f>
        <v>46.64</v>
      </c>
      <c r="F946">
        <f>'raw data Crude oil'!F947</f>
        <v>46.99</v>
      </c>
      <c r="G946">
        <f>'raw data Crude oil'!G947</f>
        <v>47.32</v>
      </c>
      <c r="H946">
        <f>'raw data Crude oil'!H947</f>
        <v>47.62</v>
      </c>
      <c r="I946">
        <f>'raw data Crude oil'!I947</f>
        <v>47.88</v>
      </c>
      <c r="J946">
        <f>'raw data Crude oil'!J947</f>
        <v>48.1</v>
      </c>
      <c r="K946">
        <f>'raw data Crude oil'!K947</f>
        <v>48.28</v>
      </c>
      <c r="L946">
        <f>'raw data Crude oil'!L947</f>
        <v>48.46</v>
      </c>
      <c r="M946">
        <f>'raw data Crude oil'!M947</f>
        <v>48.63</v>
      </c>
      <c r="N946">
        <f>'raw data Crude oil'!N947</f>
        <v>42.97</v>
      </c>
      <c r="O946">
        <f>'raw data Crude oil'!O947</f>
        <v>43.29</v>
      </c>
      <c r="P946">
        <f>'raw data Crude oil'!P947</f>
        <v>43.62</v>
      </c>
      <c r="Q946">
        <f>'raw data Crude oil'!Q947</f>
        <v>43.94</v>
      </c>
      <c r="R946">
        <f>'raw data Crude oil'!R947</f>
        <v>44.24</v>
      </c>
      <c r="S946">
        <f>'raw data Crude oil'!S947</f>
        <v>44.51</v>
      </c>
      <c r="T946">
        <f>'raw data Crude oil'!T947</f>
        <v>44.74</v>
      </c>
      <c r="U946">
        <f>'raw data Crude oil'!U947</f>
        <v>44.95</v>
      </c>
      <c r="V946">
        <f>'raw data Crude oil'!V947</f>
        <v>45.12</v>
      </c>
      <c r="W946">
        <f>'raw data Crude oil'!W947</f>
        <v>45.26</v>
      </c>
      <c r="X946">
        <f>'raw data Crude oil'!X947</f>
        <v>45.38</v>
      </c>
      <c r="Y946">
        <f>'raw data Crude oil'!Y947</f>
        <v>45.48</v>
      </c>
      <c r="Z946">
        <f>'raw data Crude oil'!Z947</f>
        <v>43.917000000000002</v>
      </c>
      <c r="AA946">
        <f>'raw data Crude oil'!AA947</f>
        <v>44.86</v>
      </c>
      <c r="AB946">
        <f>'raw data Crude oil'!AB947</f>
        <v>45.218000000000004</v>
      </c>
      <c r="AC946">
        <f>'raw data Crude oil'!AC947</f>
        <v>45.436999999999998</v>
      </c>
      <c r="AD946">
        <f>'raw data Crude oil'!AD947</f>
        <v>45.65</v>
      </c>
      <c r="AE946">
        <f>'raw data Crude oil'!AE947</f>
        <v>45.935000000000002</v>
      </c>
      <c r="AF946">
        <f>'raw data Crude oil'!AF947</f>
        <v>46.232999999999997</v>
      </c>
      <c r="AG946">
        <f>'raw data Crude oil'!AG947</f>
        <v>46.49</v>
      </c>
      <c r="AH946">
        <f>'raw data Crude oil'!AH947</f>
        <v>46.728999999999999</v>
      </c>
      <c r="AI946">
        <f>'raw data Crude oil'!AI947</f>
        <v>46.917000000000002</v>
      </c>
      <c r="AJ946">
        <f>'raw data Crude oil'!AJ947</f>
        <v>47.058</v>
      </c>
      <c r="AK946">
        <f>'raw data Crude oil'!AK947</f>
        <v>47.216000000000001</v>
      </c>
    </row>
    <row r="947" spans="1:37" x14ac:dyDescent="0.3">
      <c r="A947" s="18">
        <f>'raw data Crude oil'!A948</f>
        <v>44074</v>
      </c>
      <c r="B947">
        <f>'raw data Crude oil'!B948</f>
        <v>45.28</v>
      </c>
      <c r="C947">
        <f>'raw data Crude oil'!C948</f>
        <v>45.66</v>
      </c>
      <c r="D947">
        <f>'raw data Crude oil'!D948</f>
        <v>46.03</v>
      </c>
      <c r="E947">
        <f>'raw data Crude oil'!E948</f>
        <v>46.37</v>
      </c>
      <c r="F947">
        <f>'raw data Crude oil'!F948</f>
        <v>46.69</v>
      </c>
      <c r="G947">
        <f>'raw data Crude oil'!G948</f>
        <v>46.99</v>
      </c>
      <c r="H947">
        <f>'raw data Crude oil'!H948</f>
        <v>47.25</v>
      </c>
      <c r="I947">
        <f>'raw data Crude oil'!I948</f>
        <v>47.47</v>
      </c>
      <c r="J947">
        <f>'raw data Crude oil'!J948</f>
        <v>47.65</v>
      </c>
      <c r="K947">
        <f>'raw data Crude oil'!K948</f>
        <v>47.83</v>
      </c>
      <c r="L947">
        <f>'raw data Crude oil'!L948</f>
        <v>47.99</v>
      </c>
      <c r="M947">
        <f>'raw data Crude oil'!M948</f>
        <v>48.13</v>
      </c>
      <c r="N947">
        <f>'raw data Crude oil'!N948</f>
        <v>42.61</v>
      </c>
      <c r="O947">
        <f>'raw data Crude oil'!O948</f>
        <v>42.9</v>
      </c>
      <c r="P947">
        <f>'raw data Crude oil'!P948</f>
        <v>43.21</v>
      </c>
      <c r="Q947">
        <f>'raw data Crude oil'!Q948</f>
        <v>43.53</v>
      </c>
      <c r="R947">
        <f>'raw data Crude oil'!R948</f>
        <v>43.82</v>
      </c>
      <c r="S947">
        <f>'raw data Crude oil'!S948</f>
        <v>44.06</v>
      </c>
      <c r="T947">
        <f>'raw data Crude oil'!T948</f>
        <v>44.28</v>
      </c>
      <c r="U947">
        <f>'raw data Crude oil'!U948</f>
        <v>44.47</v>
      </c>
      <c r="V947">
        <f>'raw data Crude oil'!V948</f>
        <v>44.64</v>
      </c>
      <c r="W947">
        <f>'raw data Crude oil'!W948</f>
        <v>44.78</v>
      </c>
      <c r="X947">
        <f>'raw data Crude oil'!X948</f>
        <v>44.9</v>
      </c>
      <c r="Y947">
        <f>'raw data Crude oil'!Y948</f>
        <v>44.99</v>
      </c>
      <c r="Z947">
        <f>'raw data Crude oil'!Z948</f>
        <v>43.987000000000002</v>
      </c>
      <c r="AA947">
        <f>'raw data Crude oil'!AA948</f>
        <v>44.616999999999997</v>
      </c>
      <c r="AB947">
        <f>'raw data Crude oil'!AB948</f>
        <v>44.866999999999997</v>
      </c>
      <c r="AC947">
        <f>'raw data Crude oil'!AC948</f>
        <v>44.996000000000002</v>
      </c>
      <c r="AD947">
        <f>'raw data Crude oil'!AD948</f>
        <v>45.149000000000001</v>
      </c>
      <c r="AE947">
        <f>'raw data Crude oil'!AE948</f>
        <v>45.405000000000001</v>
      </c>
      <c r="AF947">
        <f>'raw data Crude oil'!AF948</f>
        <v>45.662999999999997</v>
      </c>
      <c r="AG947">
        <f>'raw data Crude oil'!AG948</f>
        <v>45.91</v>
      </c>
      <c r="AH947">
        <f>'raw data Crude oil'!AH948</f>
        <v>46.128999999999998</v>
      </c>
      <c r="AI947">
        <f>'raw data Crude oil'!AI948</f>
        <v>46.317</v>
      </c>
      <c r="AJ947">
        <f>'raw data Crude oil'!AJ948</f>
        <v>46.457000000000001</v>
      </c>
      <c r="AK947">
        <f>'raw data Crude oil'!AK948</f>
        <v>46.595999999999997</v>
      </c>
    </row>
    <row r="948" spans="1:37" x14ac:dyDescent="0.3">
      <c r="A948" s="18">
        <f>'raw data Crude oil'!A949</f>
        <v>44075</v>
      </c>
      <c r="B948">
        <f>'raw data Crude oil'!B949</f>
        <v>45.58</v>
      </c>
      <c r="C948">
        <f>'raw data Crude oil'!C949</f>
        <v>46</v>
      </c>
      <c r="D948">
        <f>'raw data Crude oil'!D949</f>
        <v>46.37</v>
      </c>
      <c r="E948">
        <f>'raw data Crude oil'!E949</f>
        <v>46.7</v>
      </c>
      <c r="F948">
        <f>'raw data Crude oil'!F949</f>
        <v>47.01</v>
      </c>
      <c r="G948">
        <f>'raw data Crude oil'!G949</f>
        <v>47.32</v>
      </c>
      <c r="H948">
        <f>'raw data Crude oil'!H949</f>
        <v>47.6</v>
      </c>
      <c r="I948">
        <f>'raw data Crude oil'!I949</f>
        <v>47.82</v>
      </c>
      <c r="J948">
        <f>'raw data Crude oil'!J949</f>
        <v>48.01</v>
      </c>
      <c r="K948">
        <f>'raw data Crude oil'!K949</f>
        <v>48.2</v>
      </c>
      <c r="L948">
        <f>'raw data Crude oil'!L949</f>
        <v>48.37</v>
      </c>
      <c r="M948">
        <f>'raw data Crude oil'!M949</f>
        <v>48.52</v>
      </c>
      <c r="N948">
        <f>'raw data Crude oil'!N949</f>
        <v>42.76</v>
      </c>
      <c r="O948">
        <f>'raw data Crude oil'!O949</f>
        <v>43.08</v>
      </c>
      <c r="P948">
        <f>'raw data Crude oil'!P949</f>
        <v>43.41</v>
      </c>
      <c r="Q948">
        <f>'raw data Crude oil'!Q949</f>
        <v>43.75</v>
      </c>
      <c r="R948">
        <f>'raw data Crude oil'!R949</f>
        <v>44.05</v>
      </c>
      <c r="S948">
        <f>'raw data Crude oil'!S949</f>
        <v>44.33</v>
      </c>
      <c r="T948">
        <f>'raw data Crude oil'!T949</f>
        <v>44.57</v>
      </c>
      <c r="U948">
        <f>'raw data Crude oil'!U949</f>
        <v>44.78</v>
      </c>
      <c r="V948">
        <f>'raw data Crude oil'!V949</f>
        <v>44.95</v>
      </c>
      <c r="W948">
        <f>'raw data Crude oil'!W949</f>
        <v>45.11</v>
      </c>
      <c r="X948">
        <f>'raw data Crude oil'!X949</f>
        <v>45.23</v>
      </c>
      <c r="Y948">
        <f>'raw data Crude oil'!Y949</f>
        <v>45.33</v>
      </c>
      <c r="Z948">
        <f>'raw data Crude oil'!Z949</f>
        <v>43.987000000000002</v>
      </c>
      <c r="AA948">
        <f>'raw data Crude oil'!AA949</f>
        <v>44.896000000000001</v>
      </c>
      <c r="AB948">
        <f>'raw data Crude oil'!AB949</f>
        <v>45.106999999999999</v>
      </c>
      <c r="AC948">
        <f>'raw data Crude oil'!AC949</f>
        <v>45.225999999999999</v>
      </c>
      <c r="AD948">
        <f>'raw data Crude oil'!AD949</f>
        <v>45.387999999999998</v>
      </c>
      <c r="AE948">
        <f>'raw data Crude oil'!AE949</f>
        <v>45.646000000000001</v>
      </c>
      <c r="AF948">
        <f>'raw data Crude oil'!AF949</f>
        <v>45.933999999999997</v>
      </c>
      <c r="AG948">
        <f>'raw data Crude oil'!AG949</f>
        <v>46.19</v>
      </c>
      <c r="AH948">
        <f>'raw data Crude oil'!AH949</f>
        <v>46.418999999999997</v>
      </c>
      <c r="AI948">
        <f>'raw data Crude oil'!AI949</f>
        <v>46.618000000000002</v>
      </c>
      <c r="AJ948">
        <f>'raw data Crude oil'!AJ949</f>
        <v>46.787999999999997</v>
      </c>
      <c r="AK948">
        <f>'raw data Crude oil'!AK949</f>
        <v>46.936999999999998</v>
      </c>
    </row>
    <row r="949" spans="1:37" x14ac:dyDescent="0.3">
      <c r="A949" s="18">
        <f>'raw data Crude oil'!A950</f>
        <v>44076</v>
      </c>
      <c r="B949">
        <f>'raw data Crude oil'!B950</f>
        <v>44.43</v>
      </c>
      <c r="C949">
        <f>'raw data Crude oil'!C950</f>
        <v>44.87</v>
      </c>
      <c r="D949">
        <f>'raw data Crude oil'!D950</f>
        <v>45.27</v>
      </c>
      <c r="E949">
        <f>'raw data Crude oil'!E950</f>
        <v>45.66</v>
      </c>
      <c r="F949">
        <f>'raw data Crude oil'!F950</f>
        <v>46.04</v>
      </c>
      <c r="G949">
        <f>'raw data Crude oil'!G950</f>
        <v>46.4</v>
      </c>
      <c r="H949">
        <f>'raw data Crude oil'!H950</f>
        <v>46.72</v>
      </c>
      <c r="I949">
        <f>'raw data Crude oil'!I950</f>
        <v>47</v>
      </c>
      <c r="J949">
        <f>'raw data Crude oil'!J950</f>
        <v>47.21</v>
      </c>
      <c r="K949">
        <f>'raw data Crude oil'!K950</f>
        <v>47.42</v>
      </c>
      <c r="L949">
        <f>'raw data Crude oil'!L950</f>
        <v>47.61</v>
      </c>
      <c r="M949">
        <f>'raw data Crude oil'!M950</f>
        <v>47.78</v>
      </c>
      <c r="N949">
        <f>'raw data Crude oil'!N950</f>
        <v>41.51</v>
      </c>
      <c r="O949">
        <f>'raw data Crude oil'!O950</f>
        <v>41.85</v>
      </c>
      <c r="P949">
        <f>'raw data Crude oil'!P950</f>
        <v>42.22</v>
      </c>
      <c r="Q949">
        <f>'raw data Crude oil'!Q950</f>
        <v>42.6</v>
      </c>
      <c r="R949">
        <f>'raw data Crude oil'!R950</f>
        <v>42.95</v>
      </c>
      <c r="S949">
        <f>'raw data Crude oil'!S950</f>
        <v>43.27</v>
      </c>
      <c r="T949">
        <f>'raw data Crude oil'!T950</f>
        <v>43.57</v>
      </c>
      <c r="U949">
        <f>'raw data Crude oil'!U950</f>
        <v>43.82</v>
      </c>
      <c r="V949">
        <f>'raw data Crude oil'!V950</f>
        <v>44.04</v>
      </c>
      <c r="W949">
        <f>'raw data Crude oil'!W950</f>
        <v>44.23</v>
      </c>
      <c r="X949">
        <f>'raw data Crude oil'!X950</f>
        <v>44.38</v>
      </c>
      <c r="Y949">
        <f>'raw data Crude oil'!Y950</f>
        <v>44.51</v>
      </c>
      <c r="Z949">
        <f>'raw data Crude oil'!Z950</f>
        <v>43.787999999999997</v>
      </c>
      <c r="AA949">
        <f>'raw data Crude oil'!AA950</f>
        <v>43.957999999999998</v>
      </c>
      <c r="AB949">
        <f>'raw data Crude oil'!AB950</f>
        <v>44.139000000000003</v>
      </c>
      <c r="AC949">
        <f>'raw data Crude oil'!AC950</f>
        <v>44.365000000000002</v>
      </c>
      <c r="AD949">
        <f>'raw data Crude oil'!AD950</f>
        <v>44.648000000000003</v>
      </c>
      <c r="AE949">
        <f>'raw data Crude oil'!AE950</f>
        <v>44.975999999999999</v>
      </c>
      <c r="AF949">
        <f>'raw data Crude oil'!AF950</f>
        <v>45.311999999999998</v>
      </c>
      <c r="AG949">
        <f>'raw data Crude oil'!AG950</f>
        <v>45.59</v>
      </c>
      <c r="AH949">
        <f>'raw data Crude oil'!AH950</f>
        <v>45.81</v>
      </c>
      <c r="AI949">
        <f>'raw data Crude oil'!AI950</f>
        <v>46.009</v>
      </c>
      <c r="AJ949">
        <f>'raw data Crude oil'!AJ950</f>
        <v>46.188000000000002</v>
      </c>
      <c r="AK949">
        <f>'raw data Crude oil'!AK950</f>
        <v>46.344999999999999</v>
      </c>
    </row>
    <row r="950" spans="1:37" x14ac:dyDescent="0.3">
      <c r="A950" s="18">
        <f>'raw data Crude oil'!A951</f>
        <v>44077</v>
      </c>
      <c r="B950">
        <f>'raw data Crude oil'!B951</f>
        <v>44.07</v>
      </c>
      <c r="C950">
        <f>'raw data Crude oil'!C951</f>
        <v>44.59</v>
      </c>
      <c r="D950">
        <f>'raw data Crude oil'!D951</f>
        <v>45.05</v>
      </c>
      <c r="E950">
        <f>'raw data Crude oil'!E951</f>
        <v>45.48</v>
      </c>
      <c r="F950">
        <f>'raw data Crude oil'!F951</f>
        <v>45.9</v>
      </c>
      <c r="G950">
        <f>'raw data Crude oil'!G951</f>
        <v>46.29</v>
      </c>
      <c r="H950">
        <f>'raw data Crude oil'!H951</f>
        <v>46.64</v>
      </c>
      <c r="I950">
        <f>'raw data Crude oil'!I951</f>
        <v>46.93</v>
      </c>
      <c r="J950">
        <f>'raw data Crude oil'!J951</f>
        <v>47.17</v>
      </c>
      <c r="K950">
        <f>'raw data Crude oil'!K951</f>
        <v>47.39</v>
      </c>
      <c r="L950">
        <f>'raw data Crude oil'!L951</f>
        <v>47.59</v>
      </c>
      <c r="M950">
        <f>'raw data Crude oil'!M951</f>
        <v>47.78</v>
      </c>
      <c r="N950">
        <f>'raw data Crude oil'!N951</f>
        <v>41.37</v>
      </c>
      <c r="O950">
        <f>'raw data Crude oil'!O951</f>
        <v>41.72</v>
      </c>
      <c r="P950">
        <f>'raw data Crude oil'!P951</f>
        <v>42.11</v>
      </c>
      <c r="Q950">
        <f>'raw data Crude oil'!Q951</f>
        <v>42.5</v>
      </c>
      <c r="R950">
        <f>'raw data Crude oil'!R951</f>
        <v>42.87</v>
      </c>
      <c r="S950">
        <f>'raw data Crude oil'!S951</f>
        <v>43.2</v>
      </c>
      <c r="T950">
        <f>'raw data Crude oil'!T951</f>
        <v>43.51</v>
      </c>
      <c r="U950">
        <f>'raw data Crude oil'!U951</f>
        <v>43.79</v>
      </c>
      <c r="V950">
        <f>'raw data Crude oil'!V951</f>
        <v>44.03</v>
      </c>
      <c r="W950">
        <f>'raw data Crude oil'!W951</f>
        <v>44.24</v>
      </c>
      <c r="X950">
        <f>'raw data Crude oil'!X951</f>
        <v>44.41</v>
      </c>
      <c r="Y950">
        <f>'raw data Crude oil'!Y951</f>
        <v>44.56</v>
      </c>
      <c r="Z950">
        <f>'raw data Crude oil'!Z951</f>
        <v>43.390999999999998</v>
      </c>
      <c r="AA950">
        <f>'raw data Crude oil'!AA951</f>
        <v>43.701000000000001</v>
      </c>
      <c r="AB950">
        <f>'raw data Crude oil'!AB951</f>
        <v>43.93</v>
      </c>
      <c r="AC950">
        <f>'raw data Crude oil'!AC951</f>
        <v>44.198</v>
      </c>
      <c r="AD950">
        <f>'raw data Crude oil'!AD951</f>
        <v>44.52</v>
      </c>
      <c r="AE950">
        <f>'raw data Crude oil'!AE951</f>
        <v>44.878</v>
      </c>
      <c r="AF950">
        <f>'raw data Crude oil'!AF951</f>
        <v>45.222999999999999</v>
      </c>
      <c r="AG950">
        <f>'raw data Crude oil'!AG951</f>
        <v>45.491</v>
      </c>
      <c r="AH950">
        <f>'raw data Crude oil'!AH951</f>
        <v>45.731000000000002</v>
      </c>
      <c r="AI950">
        <f>'raw data Crude oil'!AI951</f>
        <v>45.939</v>
      </c>
      <c r="AJ950">
        <f>'raw data Crude oil'!AJ951</f>
        <v>46.119</v>
      </c>
      <c r="AK950">
        <f>'raw data Crude oil'!AK951</f>
        <v>46.286000000000001</v>
      </c>
    </row>
    <row r="951" spans="1:37" x14ac:dyDescent="0.3">
      <c r="A951" s="18">
        <f>'raw data Crude oil'!A952</f>
        <v>44078</v>
      </c>
      <c r="B951">
        <f>'raw data Crude oil'!B952</f>
        <v>42.66</v>
      </c>
      <c r="C951">
        <f>'raw data Crude oil'!C952</f>
        <v>43.18</v>
      </c>
      <c r="D951">
        <f>'raw data Crude oil'!D952</f>
        <v>43.65</v>
      </c>
      <c r="E951">
        <f>'raw data Crude oil'!E952</f>
        <v>44.11</v>
      </c>
      <c r="F951">
        <f>'raw data Crude oil'!F952</f>
        <v>44.55</v>
      </c>
      <c r="G951">
        <f>'raw data Crude oil'!G952</f>
        <v>44.98</v>
      </c>
      <c r="H951">
        <f>'raw data Crude oil'!H952</f>
        <v>45.37</v>
      </c>
      <c r="I951">
        <f>'raw data Crude oil'!I952</f>
        <v>45.7</v>
      </c>
      <c r="J951">
        <f>'raw data Crude oil'!J952</f>
        <v>45.97</v>
      </c>
      <c r="K951">
        <f>'raw data Crude oil'!K952</f>
        <v>46.24</v>
      </c>
      <c r="L951">
        <f>'raw data Crude oil'!L952</f>
        <v>46.48</v>
      </c>
      <c r="M951">
        <f>'raw data Crude oil'!M952</f>
        <v>46.7</v>
      </c>
      <c r="N951">
        <f>'raw data Crude oil'!N952</f>
        <v>39.770000000000003</v>
      </c>
      <c r="O951">
        <f>'raw data Crude oil'!O952</f>
        <v>40.15</v>
      </c>
      <c r="P951">
        <f>'raw data Crude oil'!P952</f>
        <v>40.590000000000003</v>
      </c>
      <c r="Q951">
        <f>'raw data Crude oil'!Q952</f>
        <v>41.02</v>
      </c>
      <c r="R951">
        <f>'raw data Crude oil'!R952</f>
        <v>41.44</v>
      </c>
      <c r="S951">
        <f>'raw data Crude oil'!S952</f>
        <v>41.83</v>
      </c>
      <c r="T951">
        <f>'raw data Crude oil'!T952</f>
        <v>42.2</v>
      </c>
      <c r="U951">
        <f>'raw data Crude oil'!U952</f>
        <v>42.53</v>
      </c>
      <c r="V951">
        <f>'raw data Crude oil'!V952</f>
        <v>42.84</v>
      </c>
      <c r="W951">
        <f>'raw data Crude oil'!W952</f>
        <v>43.09</v>
      </c>
      <c r="X951">
        <f>'raw data Crude oil'!X952</f>
        <v>43.3</v>
      </c>
      <c r="Y951">
        <f>'raw data Crude oil'!Y952</f>
        <v>43.49</v>
      </c>
      <c r="Z951">
        <f>'raw data Crude oil'!Z952</f>
        <v>42.494</v>
      </c>
      <c r="AA951">
        <f>'raw data Crude oil'!AA952</f>
        <v>42.381</v>
      </c>
      <c r="AB951">
        <f>'raw data Crude oil'!AB952</f>
        <v>42.582000000000001</v>
      </c>
      <c r="AC951">
        <f>'raw data Crude oil'!AC952</f>
        <v>42.87</v>
      </c>
      <c r="AD951">
        <f>'raw data Crude oil'!AD952</f>
        <v>43.182000000000002</v>
      </c>
      <c r="AE951">
        <f>'raw data Crude oil'!AE952</f>
        <v>43.58</v>
      </c>
      <c r="AF951">
        <f>'raw data Crude oil'!AF952</f>
        <v>43.954000000000001</v>
      </c>
      <c r="AG951">
        <f>'raw data Crude oil'!AG952</f>
        <v>44.262999999999998</v>
      </c>
      <c r="AH951">
        <f>'raw data Crude oil'!AH952</f>
        <v>44.536000000000001</v>
      </c>
      <c r="AI951">
        <f>'raw data Crude oil'!AI952</f>
        <v>44.790999999999997</v>
      </c>
      <c r="AJ951">
        <f>'raw data Crude oil'!AJ952</f>
        <v>45.03</v>
      </c>
      <c r="AK951">
        <f>'raw data Crude oil'!AK952</f>
        <v>45.238</v>
      </c>
    </row>
    <row r="952" spans="1:37" x14ac:dyDescent="0.3">
      <c r="A952" s="18">
        <f>'raw data Crude oil'!A953</f>
        <v>44081</v>
      </c>
      <c r="B952">
        <f>'raw data Crude oil'!B953</f>
        <v>42.01</v>
      </c>
      <c r="C952">
        <f>'raw data Crude oil'!C953</f>
        <v>42.54</v>
      </c>
      <c r="D952">
        <f>'raw data Crude oil'!D953</f>
        <v>43.03</v>
      </c>
      <c r="E952">
        <f>'raw data Crude oil'!E953</f>
        <v>43.49</v>
      </c>
      <c r="F952">
        <f>'raw data Crude oil'!F953</f>
        <v>43.93</v>
      </c>
      <c r="G952">
        <f>'raw data Crude oil'!G953</f>
        <v>44.36</v>
      </c>
      <c r="H952">
        <f>'raw data Crude oil'!H953</f>
        <v>44.76</v>
      </c>
      <c r="I952">
        <f>'raw data Crude oil'!I953</f>
        <v>45.12</v>
      </c>
      <c r="J952">
        <f>'raw data Crude oil'!J953</f>
        <v>45.4</v>
      </c>
      <c r="K952">
        <f>'raw data Crude oil'!K953</f>
        <v>45.67</v>
      </c>
      <c r="L952">
        <f>'raw data Crude oil'!L953</f>
        <v>45.93</v>
      </c>
      <c r="M952">
        <f>'raw data Crude oil'!M953</f>
        <v>46.17</v>
      </c>
      <c r="N952">
        <f>'raw data Crude oil'!N953</f>
        <v>39.770000000000003</v>
      </c>
      <c r="O952">
        <f>'raw data Crude oil'!O953</f>
        <v>40.15</v>
      </c>
      <c r="P952">
        <f>'raw data Crude oil'!P953</f>
        <v>40.590000000000003</v>
      </c>
      <c r="Q952">
        <f>'raw data Crude oil'!Q953</f>
        <v>41.02</v>
      </c>
      <c r="R952">
        <f>'raw data Crude oil'!R953</f>
        <v>41.44</v>
      </c>
      <c r="S952">
        <f>'raw data Crude oil'!S953</f>
        <v>41.83</v>
      </c>
      <c r="T952">
        <f>'raw data Crude oil'!T953</f>
        <v>42.2</v>
      </c>
      <c r="U952">
        <f>'raw data Crude oil'!U953</f>
        <v>42.53</v>
      </c>
      <c r="V952">
        <f>'raw data Crude oil'!V953</f>
        <v>42.84</v>
      </c>
      <c r="W952">
        <f>'raw data Crude oil'!W953</f>
        <v>43.09</v>
      </c>
      <c r="X952">
        <f>'raw data Crude oil'!X953</f>
        <v>43.3</v>
      </c>
      <c r="Y952">
        <f>'raw data Crude oil'!Y953</f>
        <v>43.49</v>
      </c>
      <c r="Z952">
        <f>'raw data Crude oil'!Z953</f>
        <v>41.911000000000001</v>
      </c>
      <c r="AA952">
        <f>'raw data Crude oil'!AA953</f>
        <v>41.661999999999999</v>
      </c>
      <c r="AB952">
        <f>'raw data Crude oil'!AB953</f>
        <v>41.921999999999997</v>
      </c>
      <c r="AC952">
        <f>'raw data Crude oil'!AC953</f>
        <v>42.21</v>
      </c>
      <c r="AD952">
        <f>'raw data Crude oil'!AD953</f>
        <v>42.572000000000003</v>
      </c>
      <c r="AE952">
        <f>'raw data Crude oil'!AE953</f>
        <v>43</v>
      </c>
      <c r="AF952">
        <f>'raw data Crude oil'!AF953</f>
        <v>43.375999999999998</v>
      </c>
      <c r="AG952">
        <f>'raw data Crude oil'!AG953</f>
        <v>43.703000000000003</v>
      </c>
      <c r="AH952">
        <f>'raw data Crude oil'!AH953</f>
        <v>43.996000000000002</v>
      </c>
      <c r="AI952">
        <f>'raw data Crude oil'!AI953</f>
        <v>44.231999999999999</v>
      </c>
      <c r="AJ952">
        <f>'raw data Crude oil'!AJ953</f>
        <v>44.470999999999997</v>
      </c>
      <c r="AK952">
        <f>'raw data Crude oil'!AK953</f>
        <v>44.698999999999998</v>
      </c>
    </row>
    <row r="953" spans="1:37" x14ac:dyDescent="0.3">
      <c r="A953" s="18">
        <f>'raw data Crude oil'!A954</f>
        <v>44082</v>
      </c>
      <c r="B953">
        <f>'raw data Crude oil'!B954</f>
        <v>39.78</v>
      </c>
      <c r="C953">
        <f>'raw data Crude oil'!C954</f>
        <v>40.36</v>
      </c>
      <c r="D953">
        <f>'raw data Crude oil'!D954</f>
        <v>40.89</v>
      </c>
      <c r="E953">
        <f>'raw data Crude oil'!E954</f>
        <v>41.38</v>
      </c>
      <c r="F953">
        <f>'raw data Crude oil'!F954</f>
        <v>41.83</v>
      </c>
      <c r="G953">
        <f>'raw data Crude oil'!G954</f>
        <v>42.27</v>
      </c>
      <c r="H953">
        <f>'raw data Crude oil'!H954</f>
        <v>42.69</v>
      </c>
      <c r="I953">
        <f>'raw data Crude oil'!I954</f>
        <v>43.07</v>
      </c>
      <c r="J953">
        <f>'raw data Crude oil'!J954</f>
        <v>43.37</v>
      </c>
      <c r="K953">
        <f>'raw data Crude oil'!K954</f>
        <v>43.67</v>
      </c>
      <c r="L953">
        <f>'raw data Crude oil'!L954</f>
        <v>43.96</v>
      </c>
      <c r="M953">
        <f>'raw data Crude oil'!M954</f>
        <v>44.22</v>
      </c>
      <c r="N953">
        <f>'raw data Crude oil'!N954</f>
        <v>36.76</v>
      </c>
      <c r="O953">
        <f>'raw data Crude oil'!O954</f>
        <v>37.19</v>
      </c>
      <c r="P953">
        <f>'raw data Crude oil'!P954</f>
        <v>37.71</v>
      </c>
      <c r="Q953">
        <f>'raw data Crude oil'!Q954</f>
        <v>38.21</v>
      </c>
      <c r="R953">
        <f>'raw data Crude oil'!R954</f>
        <v>38.68</v>
      </c>
      <c r="S953">
        <f>'raw data Crude oil'!S954</f>
        <v>39.11</v>
      </c>
      <c r="T953">
        <f>'raw data Crude oil'!T954</f>
        <v>39.51</v>
      </c>
      <c r="U953">
        <f>'raw data Crude oil'!U954</f>
        <v>39.880000000000003</v>
      </c>
      <c r="V953">
        <f>'raw data Crude oil'!V954</f>
        <v>40.22</v>
      </c>
      <c r="W953">
        <f>'raw data Crude oil'!W954</f>
        <v>40.520000000000003</v>
      </c>
      <c r="X953">
        <f>'raw data Crude oil'!X954</f>
        <v>40.79</v>
      </c>
      <c r="Y953">
        <f>'raw data Crude oil'!Y954</f>
        <v>41.03</v>
      </c>
      <c r="Z953">
        <f>'raw data Crude oil'!Z954</f>
        <v>40.177999999999997</v>
      </c>
      <c r="AA953">
        <f>'raw data Crude oil'!AA954</f>
        <v>39.323999999999998</v>
      </c>
      <c r="AB953">
        <f>'raw data Crude oil'!AB954</f>
        <v>39.703000000000003</v>
      </c>
      <c r="AC953">
        <f>'raw data Crude oil'!AC954</f>
        <v>40.081000000000003</v>
      </c>
      <c r="AD953">
        <f>'raw data Crude oil'!AD954</f>
        <v>40.462000000000003</v>
      </c>
      <c r="AE953">
        <f>'raw data Crude oil'!AE954</f>
        <v>40.911000000000001</v>
      </c>
      <c r="AF953">
        <f>'raw data Crude oil'!AF954</f>
        <v>41.317</v>
      </c>
      <c r="AG953">
        <f>'raw data Crude oil'!AG954</f>
        <v>41.654000000000003</v>
      </c>
      <c r="AH953">
        <f>'raw data Crude oil'!AH954</f>
        <v>41.969000000000001</v>
      </c>
      <c r="AI953">
        <f>'raw data Crude oil'!AI954</f>
        <v>42.232999999999997</v>
      </c>
      <c r="AJ953">
        <f>'raw data Crude oil'!AJ954</f>
        <v>42.502000000000002</v>
      </c>
      <c r="AK953">
        <f>'raw data Crude oil'!AK954</f>
        <v>42.75</v>
      </c>
    </row>
    <row r="954" spans="1:37" x14ac:dyDescent="0.3">
      <c r="A954" s="18">
        <f>'raw data Crude oil'!A955</f>
        <v>44083</v>
      </c>
      <c r="B954">
        <f>'raw data Crude oil'!B955</f>
        <v>40.79</v>
      </c>
      <c r="C954">
        <f>'raw data Crude oil'!C955</f>
        <v>41.34</v>
      </c>
      <c r="D954">
        <f>'raw data Crude oil'!D955</f>
        <v>41.85</v>
      </c>
      <c r="E954">
        <f>'raw data Crude oil'!E955</f>
        <v>42.32</v>
      </c>
      <c r="F954">
        <f>'raw data Crude oil'!F955</f>
        <v>42.75</v>
      </c>
      <c r="G954">
        <f>'raw data Crude oil'!G955</f>
        <v>43.18</v>
      </c>
      <c r="H954">
        <f>'raw data Crude oil'!H955</f>
        <v>43.58</v>
      </c>
      <c r="I954">
        <f>'raw data Crude oil'!I955</f>
        <v>43.95</v>
      </c>
      <c r="J954">
        <f>'raw data Crude oil'!J955</f>
        <v>44.24</v>
      </c>
      <c r="K954">
        <f>'raw data Crude oil'!K955</f>
        <v>44.53</v>
      </c>
      <c r="L954">
        <f>'raw data Crude oil'!L955</f>
        <v>44.8</v>
      </c>
      <c r="M954">
        <f>'raw data Crude oil'!M955</f>
        <v>45.06</v>
      </c>
      <c r="N954">
        <f>'raw data Crude oil'!N955</f>
        <v>38.049999999999997</v>
      </c>
      <c r="O954">
        <f>'raw data Crude oil'!O955</f>
        <v>38.409999999999997</v>
      </c>
      <c r="P954">
        <f>'raw data Crude oil'!P955</f>
        <v>38.869999999999997</v>
      </c>
      <c r="Q954">
        <f>'raw data Crude oil'!Q955</f>
        <v>39.340000000000003</v>
      </c>
      <c r="R954">
        <f>'raw data Crude oil'!R955</f>
        <v>39.78</v>
      </c>
      <c r="S954">
        <f>'raw data Crude oil'!S955</f>
        <v>40.18</v>
      </c>
      <c r="T954">
        <f>'raw data Crude oil'!T955</f>
        <v>40.549999999999997</v>
      </c>
      <c r="U954">
        <f>'raw data Crude oil'!U955</f>
        <v>40.880000000000003</v>
      </c>
      <c r="V954">
        <f>'raw data Crude oil'!V955</f>
        <v>41.19</v>
      </c>
      <c r="W954">
        <f>'raw data Crude oil'!W955</f>
        <v>41.46</v>
      </c>
      <c r="X954">
        <f>'raw data Crude oil'!X955</f>
        <v>41.71</v>
      </c>
      <c r="Y954">
        <f>'raw data Crude oil'!Y955</f>
        <v>41.93</v>
      </c>
      <c r="Z954">
        <f>'raw data Crude oil'!Z955</f>
        <v>40.845999999999997</v>
      </c>
      <c r="AA954">
        <f>'raw data Crude oil'!AA955</f>
        <v>40.273000000000003</v>
      </c>
      <c r="AB954">
        <f>'raw data Crude oil'!AB955</f>
        <v>40.622</v>
      </c>
      <c r="AC954">
        <f>'raw data Crude oil'!AC955</f>
        <v>41.009</v>
      </c>
      <c r="AD954">
        <f>'raw data Crude oil'!AD955</f>
        <v>41.362000000000002</v>
      </c>
      <c r="AE954">
        <f>'raw data Crude oil'!AE955</f>
        <v>41.79</v>
      </c>
      <c r="AF954">
        <f>'raw data Crude oil'!AF955</f>
        <v>42.195999999999998</v>
      </c>
      <c r="AG954">
        <f>'raw data Crude oil'!AG955</f>
        <v>42.543999999999997</v>
      </c>
      <c r="AH954">
        <f>'raw data Crude oil'!AH955</f>
        <v>42.838000000000001</v>
      </c>
      <c r="AI954">
        <f>'raw data Crude oil'!AI955</f>
        <v>43.101999999999997</v>
      </c>
      <c r="AJ954">
        <f>'raw data Crude oil'!AJ955</f>
        <v>43.332000000000001</v>
      </c>
      <c r="AK954">
        <f>'raw data Crude oil'!AK955</f>
        <v>43.58</v>
      </c>
    </row>
    <row r="955" spans="1:37" x14ac:dyDescent="0.3">
      <c r="A955" s="18">
        <f>'raw data Crude oil'!A956</f>
        <v>44084</v>
      </c>
      <c r="B955">
        <f>'raw data Crude oil'!B956</f>
        <v>40.06</v>
      </c>
      <c r="C955">
        <f>'raw data Crude oil'!C956</f>
        <v>40.630000000000003</v>
      </c>
      <c r="D955">
        <f>'raw data Crude oil'!D956</f>
        <v>41.15</v>
      </c>
      <c r="E955">
        <f>'raw data Crude oil'!E956</f>
        <v>41.65</v>
      </c>
      <c r="F955">
        <f>'raw data Crude oil'!F956</f>
        <v>42.1</v>
      </c>
      <c r="G955">
        <f>'raw data Crude oil'!G956</f>
        <v>42.53</v>
      </c>
      <c r="H955">
        <f>'raw data Crude oil'!H956</f>
        <v>42.94</v>
      </c>
      <c r="I955">
        <f>'raw data Crude oil'!I956</f>
        <v>43.33</v>
      </c>
      <c r="J955">
        <f>'raw data Crude oil'!J956</f>
        <v>43.64</v>
      </c>
      <c r="K955">
        <f>'raw data Crude oil'!K956</f>
        <v>43.94</v>
      </c>
      <c r="L955">
        <f>'raw data Crude oil'!L956</f>
        <v>44.23</v>
      </c>
      <c r="M955">
        <f>'raw data Crude oil'!M956</f>
        <v>44.49</v>
      </c>
      <c r="N955">
        <f>'raw data Crude oil'!N956</f>
        <v>37.299999999999997</v>
      </c>
      <c r="O955">
        <f>'raw data Crude oil'!O956</f>
        <v>37.659999999999997</v>
      </c>
      <c r="P955">
        <f>'raw data Crude oil'!P956</f>
        <v>38.11</v>
      </c>
      <c r="Q955">
        <f>'raw data Crude oil'!Q956</f>
        <v>38.6</v>
      </c>
      <c r="R955">
        <f>'raw data Crude oil'!R956</f>
        <v>39.08</v>
      </c>
      <c r="S955">
        <f>'raw data Crude oil'!S956</f>
        <v>39.520000000000003</v>
      </c>
      <c r="T955">
        <f>'raw data Crude oil'!T956</f>
        <v>39.93</v>
      </c>
      <c r="U955">
        <f>'raw data Crude oil'!U956</f>
        <v>40.299999999999997</v>
      </c>
      <c r="V955">
        <f>'raw data Crude oil'!V956</f>
        <v>40.64</v>
      </c>
      <c r="W955">
        <f>'raw data Crude oil'!W956</f>
        <v>40.94</v>
      </c>
      <c r="X955">
        <f>'raw data Crude oil'!X956</f>
        <v>41.21</v>
      </c>
      <c r="Y955">
        <f>'raw data Crude oil'!Y956</f>
        <v>41.45</v>
      </c>
      <c r="Z955">
        <f>'raw data Crude oil'!Z956</f>
        <v>40.389000000000003</v>
      </c>
      <c r="AA955">
        <f>'raw data Crude oil'!AA956</f>
        <v>39.573999999999998</v>
      </c>
      <c r="AB955">
        <f>'raw data Crude oil'!AB956</f>
        <v>39.933999999999997</v>
      </c>
      <c r="AC955">
        <f>'raw data Crude oil'!AC956</f>
        <v>40.320999999999998</v>
      </c>
      <c r="AD955">
        <f>'raw data Crude oil'!AD956</f>
        <v>40.701999999999998</v>
      </c>
      <c r="AE955">
        <f>'raw data Crude oil'!AE956</f>
        <v>41.151000000000003</v>
      </c>
      <c r="AF955">
        <f>'raw data Crude oil'!AF956</f>
        <v>41.567</v>
      </c>
      <c r="AG955">
        <f>'raw data Crude oil'!AG956</f>
        <v>41.924999999999997</v>
      </c>
      <c r="AH955">
        <f>'raw data Crude oil'!AH956</f>
        <v>42.228999999999999</v>
      </c>
      <c r="AI955">
        <f>'raw data Crude oil'!AI956</f>
        <v>42.503</v>
      </c>
      <c r="AJ955">
        <f>'raw data Crude oil'!AJ956</f>
        <v>42.762</v>
      </c>
      <c r="AK955">
        <f>'raw data Crude oil'!AK956</f>
        <v>43</v>
      </c>
    </row>
    <row r="956" spans="1:37" x14ac:dyDescent="0.3">
      <c r="A956" s="18">
        <f>'raw data Crude oil'!A957</f>
        <v>44085</v>
      </c>
      <c r="B956">
        <f>'raw data Crude oil'!B957</f>
        <v>39.83</v>
      </c>
      <c r="C956">
        <f>'raw data Crude oil'!C957</f>
        <v>40.43</v>
      </c>
      <c r="D956">
        <f>'raw data Crude oil'!D957</f>
        <v>40.96</v>
      </c>
      <c r="E956">
        <f>'raw data Crude oil'!E957</f>
        <v>41.47</v>
      </c>
      <c r="F956">
        <f>'raw data Crude oil'!F957</f>
        <v>41.93</v>
      </c>
      <c r="G956">
        <f>'raw data Crude oil'!G957</f>
        <v>42.38</v>
      </c>
      <c r="H956">
        <f>'raw data Crude oil'!H957</f>
        <v>42.79</v>
      </c>
      <c r="I956">
        <f>'raw data Crude oil'!I957</f>
        <v>43.18</v>
      </c>
      <c r="J956">
        <f>'raw data Crude oil'!J957</f>
        <v>43.49</v>
      </c>
      <c r="K956">
        <f>'raw data Crude oil'!K957</f>
        <v>43.79</v>
      </c>
      <c r="L956">
        <f>'raw data Crude oil'!L957</f>
        <v>44.07</v>
      </c>
      <c r="M956">
        <f>'raw data Crude oil'!M957</f>
        <v>44.33</v>
      </c>
      <c r="N956">
        <f>'raw data Crude oil'!N957</f>
        <v>37.33</v>
      </c>
      <c r="O956">
        <f>'raw data Crude oil'!O957</f>
        <v>37.65</v>
      </c>
      <c r="P956">
        <f>'raw data Crude oil'!P957</f>
        <v>38.08</v>
      </c>
      <c r="Q956">
        <f>'raw data Crude oil'!Q957</f>
        <v>38.56</v>
      </c>
      <c r="R956">
        <f>'raw data Crude oil'!R957</f>
        <v>39.020000000000003</v>
      </c>
      <c r="S956">
        <f>'raw data Crude oil'!S957</f>
        <v>39.450000000000003</v>
      </c>
      <c r="T956">
        <f>'raw data Crude oil'!T957</f>
        <v>39.85</v>
      </c>
      <c r="U956">
        <f>'raw data Crude oil'!U957</f>
        <v>40.21</v>
      </c>
      <c r="V956">
        <f>'raw data Crude oil'!V957</f>
        <v>40.54</v>
      </c>
      <c r="W956">
        <f>'raw data Crude oil'!W957</f>
        <v>40.83</v>
      </c>
      <c r="X956">
        <f>'raw data Crude oil'!X957</f>
        <v>41.09</v>
      </c>
      <c r="Y956">
        <f>'raw data Crude oil'!Y957</f>
        <v>41.33</v>
      </c>
      <c r="Z956">
        <f>'raw data Crude oil'!Z957</f>
        <v>40.265000000000001</v>
      </c>
      <c r="AA956">
        <f>'raw data Crude oil'!AA957</f>
        <v>39.363999999999997</v>
      </c>
      <c r="AB956">
        <f>'raw data Crude oil'!AB957</f>
        <v>39.744</v>
      </c>
      <c r="AC956">
        <f>'raw data Crude oil'!AC957</f>
        <v>40.161999999999999</v>
      </c>
      <c r="AD956">
        <f>'raw data Crude oil'!AD957</f>
        <v>40.563000000000002</v>
      </c>
      <c r="AE956">
        <f>'raw data Crude oil'!AE957</f>
        <v>41.021000000000001</v>
      </c>
      <c r="AF956">
        <f>'raw data Crude oil'!AF957</f>
        <v>41.417000000000002</v>
      </c>
      <c r="AG956">
        <f>'raw data Crude oil'!AG957</f>
        <v>41.784999999999997</v>
      </c>
      <c r="AH956">
        <f>'raw data Crude oil'!AH957</f>
        <v>42.088999999999999</v>
      </c>
      <c r="AI956">
        <f>'raw data Crude oil'!AI957</f>
        <v>42.343000000000004</v>
      </c>
      <c r="AJ956">
        <f>'raw data Crude oil'!AJ957</f>
        <v>42.601999999999997</v>
      </c>
      <c r="AK956">
        <f>'raw data Crude oil'!AK957</f>
        <v>42.83</v>
      </c>
    </row>
    <row r="957" spans="1:37" x14ac:dyDescent="0.3">
      <c r="A957" s="18">
        <f>'raw data Crude oil'!A958</f>
        <v>44088</v>
      </c>
      <c r="B957">
        <f>'raw data Crude oil'!B958</f>
        <v>39.61</v>
      </c>
      <c r="C957">
        <f>'raw data Crude oil'!C958</f>
        <v>40.28</v>
      </c>
      <c r="D957">
        <f>'raw data Crude oil'!D958</f>
        <v>40.86</v>
      </c>
      <c r="E957">
        <f>'raw data Crude oil'!E958</f>
        <v>41.41</v>
      </c>
      <c r="F957">
        <f>'raw data Crude oil'!F958</f>
        <v>41.91</v>
      </c>
      <c r="G957">
        <f>'raw data Crude oil'!G958</f>
        <v>42.38</v>
      </c>
      <c r="H957">
        <f>'raw data Crude oil'!H958</f>
        <v>42.82</v>
      </c>
      <c r="I957">
        <f>'raw data Crude oil'!I958</f>
        <v>43.23</v>
      </c>
      <c r="J957">
        <f>'raw data Crude oil'!J958</f>
        <v>43.56</v>
      </c>
      <c r="K957">
        <f>'raw data Crude oil'!K958</f>
        <v>43.87</v>
      </c>
      <c r="L957">
        <f>'raw data Crude oil'!L958</f>
        <v>44.16</v>
      </c>
      <c r="M957">
        <f>'raw data Crude oil'!M958</f>
        <v>44.42</v>
      </c>
      <c r="N957">
        <f>'raw data Crude oil'!N958</f>
        <v>37.26</v>
      </c>
      <c r="O957">
        <f>'raw data Crude oil'!O958</f>
        <v>37.56</v>
      </c>
      <c r="P957">
        <f>'raw data Crude oil'!P958</f>
        <v>37.99</v>
      </c>
      <c r="Q957">
        <f>'raw data Crude oil'!Q958</f>
        <v>38.47</v>
      </c>
      <c r="R957">
        <f>'raw data Crude oil'!R958</f>
        <v>38.93</v>
      </c>
      <c r="S957">
        <f>'raw data Crude oil'!S958</f>
        <v>39.369999999999997</v>
      </c>
      <c r="T957">
        <f>'raw data Crude oil'!T958</f>
        <v>39.78</v>
      </c>
      <c r="U957">
        <f>'raw data Crude oil'!U958</f>
        <v>40.15</v>
      </c>
      <c r="V957">
        <f>'raw data Crude oil'!V958</f>
        <v>40.5</v>
      </c>
      <c r="W957">
        <f>'raw data Crude oil'!W958</f>
        <v>40.799999999999997</v>
      </c>
      <c r="X957">
        <f>'raw data Crude oil'!X958</f>
        <v>41.07</v>
      </c>
      <c r="Y957">
        <f>'raw data Crude oil'!Y958</f>
        <v>41.31</v>
      </c>
      <c r="Z957">
        <f>'raw data Crude oil'!Z958</f>
        <v>40.197000000000003</v>
      </c>
      <c r="AA957">
        <f>'raw data Crude oil'!AA958</f>
        <v>39.256</v>
      </c>
      <c r="AB957">
        <f>'raw data Crude oil'!AB958</f>
        <v>39.725999999999999</v>
      </c>
      <c r="AC957">
        <f>'raw data Crude oil'!AC958</f>
        <v>40.204999999999998</v>
      </c>
      <c r="AD957">
        <f>'raw data Crude oil'!AD958</f>
        <v>40.643999999999998</v>
      </c>
      <c r="AE957">
        <f>'raw data Crude oil'!AE958</f>
        <v>41.101999999999997</v>
      </c>
      <c r="AF957">
        <f>'raw data Crude oil'!AF958</f>
        <v>41.518000000000001</v>
      </c>
      <c r="AG957">
        <f>'raw data Crude oil'!AG958</f>
        <v>41.886000000000003</v>
      </c>
      <c r="AH957">
        <f>'raw data Crude oil'!AH958</f>
        <v>42.22</v>
      </c>
      <c r="AI957">
        <f>'raw data Crude oil'!AI958</f>
        <v>42.482999999999997</v>
      </c>
      <c r="AJ957">
        <f>'raw data Crude oil'!AJ958</f>
        <v>42.752000000000002</v>
      </c>
      <c r="AK957">
        <f>'raw data Crude oil'!AK958</f>
        <v>42.99</v>
      </c>
    </row>
    <row r="958" spans="1:37" x14ac:dyDescent="0.3">
      <c r="A958" s="18">
        <f>'raw data Crude oil'!A959</f>
        <v>44089</v>
      </c>
      <c r="B958">
        <f>'raw data Crude oil'!B959</f>
        <v>40.53</v>
      </c>
      <c r="C958">
        <f>'raw data Crude oil'!C959</f>
        <v>41.15</v>
      </c>
      <c r="D958">
        <f>'raw data Crude oil'!D959</f>
        <v>41.69</v>
      </c>
      <c r="E958">
        <f>'raw data Crude oil'!E959</f>
        <v>42.18</v>
      </c>
      <c r="F958">
        <f>'raw data Crude oil'!F959</f>
        <v>42.64</v>
      </c>
      <c r="G958">
        <f>'raw data Crude oil'!G959</f>
        <v>43.08</v>
      </c>
      <c r="H958">
        <f>'raw data Crude oil'!H959</f>
        <v>43.51</v>
      </c>
      <c r="I958">
        <f>'raw data Crude oil'!I959</f>
        <v>43.9</v>
      </c>
      <c r="J958">
        <f>'raw data Crude oil'!J959</f>
        <v>44.22</v>
      </c>
      <c r="K958">
        <f>'raw data Crude oil'!K959</f>
        <v>44.53</v>
      </c>
      <c r="L958">
        <f>'raw data Crude oil'!L959</f>
        <v>44.82</v>
      </c>
      <c r="M958">
        <f>'raw data Crude oil'!M959</f>
        <v>45.08</v>
      </c>
      <c r="N958">
        <f>'raw data Crude oil'!N959</f>
        <v>38.28</v>
      </c>
      <c r="O958">
        <f>'raw data Crude oil'!O959</f>
        <v>38.549999999999997</v>
      </c>
      <c r="P958">
        <f>'raw data Crude oil'!P959</f>
        <v>38.93</v>
      </c>
      <c r="Q958">
        <f>'raw data Crude oil'!Q959</f>
        <v>39.380000000000003</v>
      </c>
      <c r="R958">
        <f>'raw data Crude oil'!R959</f>
        <v>39.83</v>
      </c>
      <c r="S958">
        <f>'raw data Crude oil'!S959</f>
        <v>40.25</v>
      </c>
      <c r="T958">
        <f>'raw data Crude oil'!T959</f>
        <v>40.64</v>
      </c>
      <c r="U958">
        <f>'raw data Crude oil'!U959</f>
        <v>41.01</v>
      </c>
      <c r="V958">
        <f>'raw data Crude oil'!V959</f>
        <v>41.34</v>
      </c>
      <c r="W958">
        <f>'raw data Crude oil'!W959</f>
        <v>41.63</v>
      </c>
      <c r="X958">
        <f>'raw data Crude oil'!X959</f>
        <v>41.89</v>
      </c>
      <c r="Y958">
        <f>'raw data Crude oil'!Y959</f>
        <v>42.12</v>
      </c>
      <c r="Z958">
        <f>'raw data Crude oil'!Z959</f>
        <v>40.777999999999999</v>
      </c>
      <c r="AA958">
        <f>'raw data Crude oil'!AA959</f>
        <v>40.395000000000003</v>
      </c>
      <c r="AB958">
        <f>'raw data Crude oil'!AB959</f>
        <v>40.743000000000002</v>
      </c>
      <c r="AC958">
        <f>'raw data Crude oil'!AC959</f>
        <v>41.131999999999998</v>
      </c>
      <c r="AD958">
        <f>'raw data Crude oil'!AD959</f>
        <v>41.531999999999996</v>
      </c>
      <c r="AE958">
        <f>'raw data Crude oil'!AE959</f>
        <v>41.942</v>
      </c>
      <c r="AF958">
        <f>'raw data Crude oil'!AF959</f>
        <v>42.326999999999998</v>
      </c>
      <c r="AG958">
        <f>'raw data Crude oil'!AG959</f>
        <v>42.634999999999998</v>
      </c>
      <c r="AH958">
        <f>'raw data Crude oil'!AH959</f>
        <v>42.94</v>
      </c>
      <c r="AI958">
        <f>'raw data Crude oil'!AI959</f>
        <v>43.213000000000001</v>
      </c>
      <c r="AJ958">
        <f>'raw data Crude oil'!AJ959</f>
        <v>43.491999999999997</v>
      </c>
      <c r="AK958">
        <f>'raw data Crude oil'!AK959</f>
        <v>43.75</v>
      </c>
    </row>
    <row r="959" spans="1:37" x14ac:dyDescent="0.3">
      <c r="A959" s="18">
        <f>'raw data Crude oil'!A960</f>
        <v>44090</v>
      </c>
      <c r="B959">
        <f>'raw data Crude oil'!B960</f>
        <v>42.22</v>
      </c>
      <c r="C959">
        <f>'raw data Crude oil'!C960</f>
        <v>42.79</v>
      </c>
      <c r="D959">
        <f>'raw data Crude oil'!D960</f>
        <v>43.27</v>
      </c>
      <c r="E959">
        <f>'raw data Crude oil'!E960</f>
        <v>43.69</v>
      </c>
      <c r="F959">
        <f>'raw data Crude oil'!F960</f>
        <v>44.09</v>
      </c>
      <c r="G959">
        <f>'raw data Crude oil'!G960</f>
        <v>44.46</v>
      </c>
      <c r="H959">
        <f>'raw data Crude oil'!H960</f>
        <v>44.84</v>
      </c>
      <c r="I959">
        <f>'raw data Crude oil'!I960</f>
        <v>45.19</v>
      </c>
      <c r="J959">
        <f>'raw data Crude oil'!J960</f>
        <v>45.47</v>
      </c>
      <c r="K959">
        <f>'raw data Crude oil'!K960</f>
        <v>45.73</v>
      </c>
      <c r="L959">
        <f>'raw data Crude oil'!L960</f>
        <v>45.98</v>
      </c>
      <c r="M959">
        <f>'raw data Crude oil'!M960</f>
        <v>46.19</v>
      </c>
      <c r="N959">
        <f>'raw data Crude oil'!N960</f>
        <v>40.159999999999997</v>
      </c>
      <c r="O959">
        <f>'raw data Crude oil'!O960</f>
        <v>40.409999999999997</v>
      </c>
      <c r="P959">
        <f>'raw data Crude oil'!P960</f>
        <v>40.72</v>
      </c>
      <c r="Q959">
        <f>'raw data Crude oil'!Q960</f>
        <v>41.1</v>
      </c>
      <c r="R959">
        <f>'raw data Crude oil'!R960</f>
        <v>41.47</v>
      </c>
      <c r="S959">
        <f>'raw data Crude oil'!S960</f>
        <v>41.83</v>
      </c>
      <c r="T959">
        <f>'raw data Crude oil'!T960</f>
        <v>42.15</v>
      </c>
      <c r="U959">
        <f>'raw data Crude oil'!U960</f>
        <v>42.44</v>
      </c>
      <c r="V959">
        <f>'raw data Crude oil'!V960</f>
        <v>42.7</v>
      </c>
      <c r="W959">
        <f>'raw data Crude oil'!W960</f>
        <v>42.92</v>
      </c>
      <c r="X959">
        <f>'raw data Crude oil'!X960</f>
        <v>43.11</v>
      </c>
      <c r="Y959">
        <f>'raw data Crude oil'!Y960</f>
        <v>43.28</v>
      </c>
      <c r="Z959">
        <f>'raw data Crude oil'!Z960</f>
        <v>41.594999999999999</v>
      </c>
      <c r="AA959">
        <f>'raw data Crude oil'!AA960</f>
        <v>42.082000000000001</v>
      </c>
      <c r="AB959">
        <f>'raw data Crude oil'!AB960</f>
        <v>42.37</v>
      </c>
      <c r="AC959">
        <f>'raw data Crude oil'!AC960</f>
        <v>42.676000000000002</v>
      </c>
      <c r="AD959">
        <f>'raw data Crude oil'!AD960</f>
        <v>42.988999999999997</v>
      </c>
      <c r="AE959">
        <f>'raw data Crude oil'!AE960</f>
        <v>43.338999999999999</v>
      </c>
      <c r="AF959">
        <f>'raw data Crude oil'!AF960</f>
        <v>43.655000000000001</v>
      </c>
      <c r="AG959">
        <f>'raw data Crude oil'!AG960</f>
        <v>43.963000000000001</v>
      </c>
      <c r="AH959">
        <f>'raw data Crude oil'!AH960</f>
        <v>44.244999999999997</v>
      </c>
      <c r="AI959">
        <f>'raw data Crude oil'!AI960</f>
        <v>44.470999999999997</v>
      </c>
      <c r="AJ959">
        <f>'raw data Crude oil'!AJ960</f>
        <v>44.69</v>
      </c>
      <c r="AK959">
        <f>'raw data Crude oil'!AK960</f>
        <v>44.878</v>
      </c>
    </row>
    <row r="960" spans="1:37" x14ac:dyDescent="0.3">
      <c r="A960" s="18">
        <f>'raw data Crude oil'!A961</f>
        <v>44091</v>
      </c>
      <c r="B960">
        <f>'raw data Crude oil'!B961</f>
        <v>43.3</v>
      </c>
      <c r="C960">
        <f>'raw data Crude oil'!C961</f>
        <v>43.82</v>
      </c>
      <c r="D960">
        <f>'raw data Crude oil'!D961</f>
        <v>44.23</v>
      </c>
      <c r="E960">
        <f>'raw data Crude oil'!E961</f>
        <v>44.58</v>
      </c>
      <c r="F960">
        <f>'raw data Crude oil'!F961</f>
        <v>44.92</v>
      </c>
      <c r="G960">
        <f>'raw data Crude oil'!G961</f>
        <v>45.24</v>
      </c>
      <c r="H960">
        <f>'raw data Crude oil'!H961</f>
        <v>45.56</v>
      </c>
      <c r="I960">
        <f>'raw data Crude oil'!I961</f>
        <v>45.87</v>
      </c>
      <c r="J960">
        <f>'raw data Crude oil'!J961</f>
        <v>46.11</v>
      </c>
      <c r="K960">
        <f>'raw data Crude oil'!K961</f>
        <v>46.34</v>
      </c>
      <c r="L960">
        <f>'raw data Crude oil'!L961</f>
        <v>46.55</v>
      </c>
      <c r="M960">
        <f>'raw data Crude oil'!M961</f>
        <v>46.73</v>
      </c>
      <c r="N960">
        <f>'raw data Crude oil'!N961</f>
        <v>40.97</v>
      </c>
      <c r="O960">
        <f>'raw data Crude oil'!O961</f>
        <v>41.22</v>
      </c>
      <c r="P960">
        <f>'raw data Crude oil'!P961</f>
        <v>41.53</v>
      </c>
      <c r="Q960">
        <f>'raw data Crude oil'!Q961</f>
        <v>41.87</v>
      </c>
      <c r="R960">
        <f>'raw data Crude oil'!R961</f>
        <v>42.22</v>
      </c>
      <c r="S960">
        <f>'raw data Crude oil'!S961</f>
        <v>42.53</v>
      </c>
      <c r="T960">
        <f>'raw data Crude oil'!T961</f>
        <v>42.82</v>
      </c>
      <c r="U960">
        <f>'raw data Crude oil'!U961</f>
        <v>43.07</v>
      </c>
      <c r="V960">
        <f>'raw data Crude oil'!V961</f>
        <v>43.28</v>
      </c>
      <c r="W960">
        <f>'raw data Crude oil'!W961</f>
        <v>43.47</v>
      </c>
      <c r="X960">
        <f>'raw data Crude oil'!X961</f>
        <v>43.63</v>
      </c>
      <c r="Y960">
        <f>'raw data Crude oil'!Y961</f>
        <v>43.76</v>
      </c>
      <c r="Z960">
        <f>'raw data Crude oil'!Z961</f>
        <v>42.011000000000003</v>
      </c>
      <c r="AA960">
        <f>'raw data Crude oil'!AA961</f>
        <v>43.109000000000002</v>
      </c>
      <c r="AB960">
        <f>'raw data Crude oil'!AB961</f>
        <v>43.277000000000001</v>
      </c>
      <c r="AC960">
        <f>'raw data Crude oil'!AC961</f>
        <v>43.481000000000002</v>
      </c>
      <c r="AD960">
        <f>'raw data Crude oil'!AD961</f>
        <v>43.746000000000002</v>
      </c>
      <c r="AE960">
        <f>'raw data Crude oil'!AE961</f>
        <v>44.055999999999997</v>
      </c>
      <c r="AF960">
        <f>'raw data Crude oil'!AF961</f>
        <v>44.372999999999998</v>
      </c>
      <c r="AG960">
        <f>'raw data Crude oil'!AG961</f>
        <v>44.621000000000002</v>
      </c>
      <c r="AH960">
        <f>'raw data Crude oil'!AH961</f>
        <v>44.841999999999999</v>
      </c>
      <c r="AI960">
        <f>'raw data Crude oil'!AI961</f>
        <v>45.03</v>
      </c>
      <c r="AJ960">
        <f>'raw data Crude oil'!AJ961</f>
        <v>45.218000000000004</v>
      </c>
      <c r="AK960">
        <f>'raw data Crude oil'!AK961</f>
        <v>45.375999999999998</v>
      </c>
    </row>
    <row r="961" spans="1:37" x14ac:dyDescent="0.3">
      <c r="A961" s="18">
        <f>'raw data Crude oil'!A962</f>
        <v>44092</v>
      </c>
      <c r="B961">
        <f>'raw data Crude oil'!B962</f>
        <v>43.15</v>
      </c>
      <c r="C961">
        <f>'raw data Crude oil'!C962</f>
        <v>43.68</v>
      </c>
      <c r="D961">
        <f>'raw data Crude oil'!D962</f>
        <v>44.1</v>
      </c>
      <c r="E961">
        <f>'raw data Crude oil'!E962</f>
        <v>44.46</v>
      </c>
      <c r="F961">
        <f>'raw data Crude oil'!F962</f>
        <v>44.8</v>
      </c>
      <c r="G961">
        <f>'raw data Crude oil'!G962</f>
        <v>45.12</v>
      </c>
      <c r="H961">
        <f>'raw data Crude oil'!H962</f>
        <v>45.43</v>
      </c>
      <c r="I961">
        <f>'raw data Crude oil'!I962</f>
        <v>45.73</v>
      </c>
      <c r="J961">
        <f>'raw data Crude oil'!J962</f>
        <v>45.96</v>
      </c>
      <c r="K961">
        <f>'raw data Crude oil'!K962</f>
        <v>46.17</v>
      </c>
      <c r="L961">
        <f>'raw data Crude oil'!L962</f>
        <v>46.38</v>
      </c>
      <c r="M961">
        <f>'raw data Crude oil'!M962</f>
        <v>46.56</v>
      </c>
      <c r="N961">
        <f>'raw data Crude oil'!N962</f>
        <v>41.11</v>
      </c>
      <c r="O961">
        <f>'raw data Crude oil'!O962</f>
        <v>41.32</v>
      </c>
      <c r="P961">
        <f>'raw data Crude oil'!P962</f>
        <v>41.61</v>
      </c>
      <c r="Q961">
        <f>'raw data Crude oil'!Q962</f>
        <v>41.93</v>
      </c>
      <c r="R961">
        <f>'raw data Crude oil'!R962</f>
        <v>42.24</v>
      </c>
      <c r="S961">
        <f>'raw data Crude oil'!S962</f>
        <v>42.54</v>
      </c>
      <c r="T961">
        <f>'raw data Crude oil'!T962</f>
        <v>42.81</v>
      </c>
      <c r="U961">
        <f>'raw data Crude oil'!U962</f>
        <v>43.04</v>
      </c>
      <c r="V961">
        <f>'raw data Crude oil'!V962</f>
        <v>43.24</v>
      </c>
      <c r="W961">
        <f>'raw data Crude oil'!W962</f>
        <v>43.41</v>
      </c>
      <c r="X961">
        <f>'raw data Crude oil'!X962</f>
        <v>43.55</v>
      </c>
      <c r="Y961">
        <f>'raw data Crude oil'!Y962</f>
        <v>43.68</v>
      </c>
      <c r="Z961">
        <f>'raw data Crude oil'!Z962</f>
        <v>41.994999999999997</v>
      </c>
      <c r="AA961">
        <f>'raw data Crude oil'!AA962</f>
        <v>43.039000000000001</v>
      </c>
      <c r="AB961">
        <f>'raw data Crude oil'!AB962</f>
        <v>43.216999999999999</v>
      </c>
      <c r="AC961">
        <f>'raw data Crude oil'!AC962</f>
        <v>43.420999999999999</v>
      </c>
      <c r="AD961">
        <f>'raw data Crude oil'!AD962</f>
        <v>43.706000000000003</v>
      </c>
      <c r="AE961">
        <f>'raw data Crude oil'!AE962</f>
        <v>44.006</v>
      </c>
      <c r="AF961">
        <f>'raw data Crude oil'!AF962</f>
        <v>44.283000000000001</v>
      </c>
      <c r="AG961">
        <f>'raw data Crude oil'!AG962</f>
        <v>44.540999999999997</v>
      </c>
      <c r="AH961">
        <f>'raw data Crude oil'!AH962</f>
        <v>44.75</v>
      </c>
      <c r="AI961">
        <f>'raw data Crude oil'!AI962</f>
        <v>44.92</v>
      </c>
      <c r="AJ961">
        <f>'raw data Crude oil'!AJ962</f>
        <v>45.097999999999999</v>
      </c>
      <c r="AK961">
        <f>'raw data Crude oil'!AK962</f>
        <v>45.256999999999998</v>
      </c>
    </row>
    <row r="962" spans="1:37" x14ac:dyDescent="0.3">
      <c r="A962" s="18">
        <f>'raw data Crude oil'!A963</f>
        <v>44095</v>
      </c>
      <c r="B962">
        <f>'raw data Crude oil'!B963</f>
        <v>41.44</v>
      </c>
      <c r="C962">
        <f>'raw data Crude oil'!C963</f>
        <v>41.96</v>
      </c>
      <c r="D962">
        <f>'raw data Crude oil'!D963</f>
        <v>42.41</v>
      </c>
      <c r="E962">
        <f>'raw data Crude oil'!E963</f>
        <v>42.81</v>
      </c>
      <c r="F962">
        <f>'raw data Crude oil'!F963</f>
        <v>43.18</v>
      </c>
      <c r="G962">
        <f>'raw data Crude oil'!G963</f>
        <v>43.53</v>
      </c>
      <c r="H962">
        <f>'raw data Crude oil'!H963</f>
        <v>43.87</v>
      </c>
      <c r="I962">
        <f>'raw data Crude oil'!I963</f>
        <v>44.19</v>
      </c>
      <c r="J962">
        <f>'raw data Crude oil'!J963</f>
        <v>44.45</v>
      </c>
      <c r="K962">
        <f>'raw data Crude oil'!K963</f>
        <v>44.69</v>
      </c>
      <c r="L962">
        <f>'raw data Crude oil'!L963</f>
        <v>44.92</v>
      </c>
      <c r="M962">
        <f>'raw data Crude oil'!M963</f>
        <v>45.11</v>
      </c>
      <c r="N962">
        <f>'raw data Crude oil'!N963</f>
        <v>39.31</v>
      </c>
      <c r="O962">
        <f>'raw data Crude oil'!O963</f>
        <v>39.54</v>
      </c>
      <c r="P962">
        <f>'raw data Crude oil'!P963</f>
        <v>39.85</v>
      </c>
      <c r="Q962">
        <f>'raw data Crude oil'!Q963</f>
        <v>40.19</v>
      </c>
      <c r="R962">
        <f>'raw data Crude oil'!R963</f>
        <v>40.54</v>
      </c>
      <c r="S962">
        <f>'raw data Crude oil'!S963</f>
        <v>40.869999999999997</v>
      </c>
      <c r="T962">
        <f>'raw data Crude oil'!T963</f>
        <v>41.17</v>
      </c>
      <c r="U962">
        <f>'raw data Crude oil'!U963</f>
        <v>41.44</v>
      </c>
      <c r="V962">
        <f>'raw data Crude oil'!V963</f>
        <v>41.66</v>
      </c>
      <c r="W962">
        <f>'raw data Crude oil'!W963</f>
        <v>41.85</v>
      </c>
      <c r="X962">
        <f>'raw data Crude oil'!X963</f>
        <v>42.02</v>
      </c>
      <c r="Y962">
        <f>'raw data Crude oil'!Y963</f>
        <v>42.16</v>
      </c>
      <c r="Z962">
        <f>'raw data Crude oil'!Z963</f>
        <v>41.402999999999999</v>
      </c>
      <c r="AA962">
        <f>'raw data Crude oil'!AA963</f>
        <v>41.34</v>
      </c>
      <c r="AB962">
        <f>'raw data Crude oil'!AB963</f>
        <v>41.548999999999999</v>
      </c>
      <c r="AC962">
        <f>'raw data Crude oil'!AC963</f>
        <v>41.814</v>
      </c>
      <c r="AD962">
        <f>'raw data Crude oil'!AD963</f>
        <v>42.118000000000002</v>
      </c>
      <c r="AE962">
        <f>'raw data Crude oil'!AE963</f>
        <v>42.417000000000002</v>
      </c>
      <c r="AF962">
        <f>'raw data Crude oil'!AF963</f>
        <v>42.713999999999999</v>
      </c>
      <c r="AG962">
        <f>'raw data Crude oil'!AG963</f>
        <v>42.981999999999999</v>
      </c>
      <c r="AH962">
        <f>'raw data Crude oil'!AH963</f>
        <v>43.243000000000002</v>
      </c>
      <c r="AI962">
        <f>'raw data Crude oil'!AI963</f>
        <v>43.45</v>
      </c>
      <c r="AJ962">
        <f>'raw data Crude oil'!AJ963</f>
        <v>43.658999999999999</v>
      </c>
      <c r="AK962">
        <f>'raw data Crude oil'!AK963</f>
        <v>43.838000000000001</v>
      </c>
    </row>
    <row r="963" spans="1:37" x14ac:dyDescent="0.3">
      <c r="A963" s="18">
        <f>'raw data Crude oil'!A964</f>
        <v>44096</v>
      </c>
      <c r="B963">
        <f>'raw data Crude oil'!B964</f>
        <v>41.72</v>
      </c>
      <c r="C963">
        <f>'raw data Crude oil'!C964</f>
        <v>42.19</v>
      </c>
      <c r="D963">
        <f>'raw data Crude oil'!D964</f>
        <v>42.58</v>
      </c>
      <c r="E963">
        <f>'raw data Crude oil'!E964</f>
        <v>42.95</v>
      </c>
      <c r="F963">
        <f>'raw data Crude oil'!F964</f>
        <v>43.31</v>
      </c>
      <c r="G963">
        <f>'raw data Crude oil'!G964</f>
        <v>43.66</v>
      </c>
      <c r="H963">
        <f>'raw data Crude oil'!H964</f>
        <v>44</v>
      </c>
      <c r="I963">
        <f>'raw data Crude oil'!I964</f>
        <v>44.32</v>
      </c>
      <c r="J963">
        <f>'raw data Crude oil'!J964</f>
        <v>44.58</v>
      </c>
      <c r="K963">
        <f>'raw data Crude oil'!K964</f>
        <v>44.82</v>
      </c>
      <c r="L963">
        <f>'raw data Crude oil'!L964</f>
        <v>45.04</v>
      </c>
      <c r="M963">
        <f>'raw data Crude oil'!M964</f>
        <v>45.24</v>
      </c>
      <c r="N963">
        <f>'raw data Crude oil'!N964</f>
        <v>39.6</v>
      </c>
      <c r="O963">
        <f>'raw data Crude oil'!O964</f>
        <v>39.799999999999997</v>
      </c>
      <c r="P963">
        <f>'raw data Crude oil'!P964</f>
        <v>40.090000000000003</v>
      </c>
      <c r="Q963">
        <f>'raw data Crude oil'!Q964</f>
        <v>40.4</v>
      </c>
      <c r="R963">
        <f>'raw data Crude oil'!R964</f>
        <v>40.729999999999997</v>
      </c>
      <c r="S963">
        <f>'raw data Crude oil'!S964</f>
        <v>41.06</v>
      </c>
      <c r="T963">
        <f>'raw data Crude oil'!T964</f>
        <v>41.35</v>
      </c>
      <c r="U963">
        <f>'raw data Crude oil'!U964</f>
        <v>41.62</v>
      </c>
      <c r="V963">
        <f>'raw data Crude oil'!V964</f>
        <v>41.85</v>
      </c>
      <c r="W963">
        <f>'raw data Crude oil'!W964</f>
        <v>42.04</v>
      </c>
      <c r="X963">
        <f>'raw data Crude oil'!X964</f>
        <v>42.21</v>
      </c>
      <c r="Y963">
        <f>'raw data Crude oil'!Y964</f>
        <v>42.37</v>
      </c>
      <c r="Z963">
        <f>'raw data Crude oil'!Z964</f>
        <v>41.5</v>
      </c>
      <c r="AA963">
        <f>'raw data Crude oil'!AA964</f>
        <v>41.677999999999997</v>
      </c>
      <c r="AB963">
        <f>'raw data Crude oil'!AB964</f>
        <v>41.817999999999998</v>
      </c>
      <c r="AC963">
        <f>'raw data Crude oil'!AC964</f>
        <v>42.042999999999999</v>
      </c>
      <c r="AD963">
        <f>'raw data Crude oil'!AD964</f>
        <v>42.308</v>
      </c>
      <c r="AE963">
        <f>'raw data Crude oil'!AE964</f>
        <v>42.587000000000003</v>
      </c>
      <c r="AF963">
        <f>'raw data Crude oil'!AF964</f>
        <v>42.884</v>
      </c>
      <c r="AG963">
        <f>'raw data Crude oil'!AG964</f>
        <v>43.161999999999999</v>
      </c>
      <c r="AH963">
        <f>'raw data Crude oil'!AH964</f>
        <v>43.412999999999997</v>
      </c>
      <c r="AI963">
        <f>'raw data Crude oil'!AI964</f>
        <v>43.61</v>
      </c>
      <c r="AJ963">
        <f>'raw data Crude oil'!AJ964</f>
        <v>43.789000000000001</v>
      </c>
      <c r="AK963">
        <f>'raw data Crude oil'!AK964</f>
        <v>43.957000000000001</v>
      </c>
    </row>
    <row r="964" spans="1:37" x14ac:dyDescent="0.3">
      <c r="A964" s="18">
        <f>'raw data Crude oil'!A965</f>
        <v>44097</v>
      </c>
      <c r="B964">
        <f>'raw data Crude oil'!B965</f>
        <v>41.77</v>
      </c>
      <c r="C964">
        <f>'raw data Crude oil'!C965</f>
        <v>42.26</v>
      </c>
      <c r="D964">
        <f>'raw data Crude oil'!D965</f>
        <v>42.66</v>
      </c>
      <c r="E964">
        <f>'raw data Crude oil'!E965</f>
        <v>43.03</v>
      </c>
      <c r="F964">
        <f>'raw data Crude oil'!F965</f>
        <v>43.38</v>
      </c>
      <c r="G964">
        <f>'raw data Crude oil'!G965</f>
        <v>43.72</v>
      </c>
      <c r="H964">
        <f>'raw data Crude oil'!H965</f>
        <v>44.04</v>
      </c>
      <c r="I964">
        <f>'raw data Crude oil'!I965</f>
        <v>44.36</v>
      </c>
      <c r="J964">
        <f>'raw data Crude oil'!J965</f>
        <v>44.61</v>
      </c>
      <c r="K964">
        <f>'raw data Crude oil'!K965</f>
        <v>44.85</v>
      </c>
      <c r="L964">
        <f>'raw data Crude oil'!L965</f>
        <v>45.07</v>
      </c>
      <c r="M964">
        <f>'raw data Crude oil'!M965</f>
        <v>45.26</v>
      </c>
      <c r="N964">
        <f>'raw data Crude oil'!N965</f>
        <v>39.93</v>
      </c>
      <c r="O964">
        <f>'raw data Crude oil'!O965</f>
        <v>40.22</v>
      </c>
      <c r="P964">
        <f>'raw data Crude oil'!P965</f>
        <v>40.53</v>
      </c>
      <c r="Q964">
        <f>'raw data Crude oil'!Q965</f>
        <v>40.86</v>
      </c>
      <c r="R964">
        <f>'raw data Crude oil'!R965</f>
        <v>41.18</v>
      </c>
      <c r="S964">
        <f>'raw data Crude oil'!S965</f>
        <v>41.46</v>
      </c>
      <c r="T964">
        <f>'raw data Crude oil'!T965</f>
        <v>41.73</v>
      </c>
      <c r="U964">
        <f>'raw data Crude oil'!U965</f>
        <v>41.95</v>
      </c>
      <c r="V964">
        <f>'raw data Crude oil'!V965</f>
        <v>42.15</v>
      </c>
      <c r="W964">
        <f>'raw data Crude oil'!W965</f>
        <v>42.31</v>
      </c>
      <c r="X964">
        <f>'raw data Crude oil'!X965</f>
        <v>42.46</v>
      </c>
      <c r="Y964">
        <f>'raw data Crude oil'!Y965</f>
        <v>42.59</v>
      </c>
      <c r="Z964">
        <f>'raw data Crude oil'!Z965</f>
        <v>41.512999999999998</v>
      </c>
      <c r="AA964">
        <f>'raw data Crude oil'!AA965</f>
        <v>41.738</v>
      </c>
      <c r="AB964">
        <f>'raw data Crude oil'!AB965</f>
        <v>41.927999999999997</v>
      </c>
      <c r="AC964">
        <f>'raw data Crude oil'!AC965</f>
        <v>42.161999999999999</v>
      </c>
      <c r="AD964">
        <f>'raw data Crude oil'!AD965</f>
        <v>42.406999999999996</v>
      </c>
      <c r="AE964">
        <f>'raw data Crude oil'!AE965</f>
        <v>42.695999999999998</v>
      </c>
      <c r="AF964">
        <f>'raw data Crude oil'!AF965</f>
        <v>42.994</v>
      </c>
      <c r="AG964">
        <f>'raw data Crude oil'!AG965</f>
        <v>43.281999999999996</v>
      </c>
      <c r="AH964">
        <f>'raw data Crude oil'!AH965</f>
        <v>43.523000000000003</v>
      </c>
      <c r="AI964">
        <f>'raw data Crude oil'!AI965</f>
        <v>43.72</v>
      </c>
      <c r="AJ964">
        <f>'raw data Crude oil'!AJ965</f>
        <v>43.889000000000003</v>
      </c>
      <c r="AK964">
        <f>'raw data Crude oil'!AK965</f>
        <v>44.017000000000003</v>
      </c>
    </row>
    <row r="965" spans="1:37" x14ac:dyDescent="0.3">
      <c r="A965" s="18">
        <f>'raw data Crude oil'!A966</f>
        <v>44098</v>
      </c>
      <c r="B965">
        <f>'raw data Crude oil'!B966</f>
        <v>41.94</v>
      </c>
      <c r="C965">
        <f>'raw data Crude oil'!C966</f>
        <v>42.46</v>
      </c>
      <c r="D965">
        <f>'raw data Crude oil'!D966</f>
        <v>42.91</v>
      </c>
      <c r="E965">
        <f>'raw data Crude oil'!E966</f>
        <v>43.32</v>
      </c>
      <c r="F965">
        <f>'raw data Crude oil'!F966</f>
        <v>43.68</v>
      </c>
      <c r="G965">
        <f>'raw data Crude oil'!G966</f>
        <v>44.02</v>
      </c>
      <c r="H965">
        <f>'raw data Crude oil'!H966</f>
        <v>44.35</v>
      </c>
      <c r="I965">
        <f>'raw data Crude oil'!I966</f>
        <v>44.66</v>
      </c>
      <c r="J965">
        <f>'raw data Crude oil'!J966</f>
        <v>44.91</v>
      </c>
      <c r="K965">
        <f>'raw data Crude oil'!K966</f>
        <v>45.14</v>
      </c>
      <c r="L965">
        <f>'raw data Crude oil'!L966</f>
        <v>45.35</v>
      </c>
      <c r="M965">
        <f>'raw data Crude oil'!M966</f>
        <v>45.53</v>
      </c>
      <c r="N965">
        <f>'raw data Crude oil'!N966</f>
        <v>40.31</v>
      </c>
      <c r="O965">
        <f>'raw data Crude oil'!O966</f>
        <v>40.58</v>
      </c>
      <c r="P965">
        <f>'raw data Crude oil'!P966</f>
        <v>40.9</v>
      </c>
      <c r="Q965">
        <f>'raw data Crude oil'!Q966</f>
        <v>41.24</v>
      </c>
      <c r="R965">
        <f>'raw data Crude oil'!R966</f>
        <v>41.57</v>
      </c>
      <c r="S965">
        <f>'raw data Crude oil'!S966</f>
        <v>41.87</v>
      </c>
      <c r="T965">
        <f>'raw data Crude oil'!T966</f>
        <v>42.14</v>
      </c>
      <c r="U965">
        <f>'raw data Crude oil'!U966</f>
        <v>42.36</v>
      </c>
      <c r="V965">
        <f>'raw data Crude oil'!V966</f>
        <v>42.56</v>
      </c>
      <c r="W965">
        <f>'raw data Crude oil'!W966</f>
        <v>42.72</v>
      </c>
      <c r="X965">
        <f>'raw data Crude oil'!X966</f>
        <v>42.87</v>
      </c>
      <c r="Y965">
        <f>'raw data Crude oil'!Y966</f>
        <v>42.99</v>
      </c>
      <c r="Z965">
        <f>'raw data Crude oil'!Z966</f>
        <v>41.554000000000002</v>
      </c>
      <c r="AA965">
        <f>'raw data Crude oil'!AA966</f>
        <v>42.02</v>
      </c>
      <c r="AB965">
        <f>'raw data Crude oil'!AB966</f>
        <v>42.21</v>
      </c>
      <c r="AC965">
        <f>'raw data Crude oil'!AC966</f>
        <v>42.453000000000003</v>
      </c>
      <c r="AD965">
        <f>'raw data Crude oil'!AD966</f>
        <v>42.716999999999999</v>
      </c>
      <c r="AE965">
        <f>'raw data Crude oil'!AE966</f>
        <v>42.997</v>
      </c>
      <c r="AF965">
        <f>'raw data Crude oil'!AF966</f>
        <v>43.292999999999999</v>
      </c>
      <c r="AG965">
        <f>'raw data Crude oil'!AG966</f>
        <v>43.552</v>
      </c>
      <c r="AH965">
        <f>'raw data Crude oil'!AH966</f>
        <v>43.771999999999998</v>
      </c>
      <c r="AI965">
        <f>'raw data Crude oil'!AI966</f>
        <v>43.93</v>
      </c>
      <c r="AJ965">
        <f>'raw data Crude oil'!AJ966</f>
        <v>44.088000000000001</v>
      </c>
      <c r="AK965">
        <f>'raw data Crude oil'!AK966</f>
        <v>44.237000000000002</v>
      </c>
    </row>
    <row r="966" spans="1:37" x14ac:dyDescent="0.3">
      <c r="A966" s="18">
        <f>'raw data Crude oil'!A967</f>
        <v>44099</v>
      </c>
      <c r="B966">
        <f>'raw data Crude oil'!B967</f>
        <v>41.92</v>
      </c>
      <c r="C966">
        <f>'raw data Crude oil'!C967</f>
        <v>42.41</v>
      </c>
      <c r="D966">
        <f>'raw data Crude oil'!D967</f>
        <v>42.84</v>
      </c>
      <c r="E966">
        <f>'raw data Crude oil'!E967</f>
        <v>43.2</v>
      </c>
      <c r="F966">
        <f>'raw data Crude oil'!F967</f>
        <v>43.54</v>
      </c>
      <c r="G966">
        <f>'raw data Crude oil'!G967</f>
        <v>43.86</v>
      </c>
      <c r="H966">
        <f>'raw data Crude oil'!H967</f>
        <v>44.17</v>
      </c>
      <c r="I966">
        <f>'raw data Crude oil'!I967</f>
        <v>44.47</v>
      </c>
      <c r="J966">
        <f>'raw data Crude oil'!J967</f>
        <v>44.71</v>
      </c>
      <c r="K966">
        <f>'raw data Crude oil'!K967</f>
        <v>44.94</v>
      </c>
      <c r="L966">
        <f>'raw data Crude oil'!L967</f>
        <v>45.15</v>
      </c>
      <c r="M966">
        <f>'raw data Crude oil'!M967</f>
        <v>45.33</v>
      </c>
      <c r="N966">
        <f>'raw data Crude oil'!N967</f>
        <v>40.25</v>
      </c>
      <c r="O966">
        <f>'raw data Crude oil'!O967</f>
        <v>40.51</v>
      </c>
      <c r="P966">
        <f>'raw data Crude oil'!P967</f>
        <v>40.81</v>
      </c>
      <c r="Q966">
        <f>'raw data Crude oil'!Q967</f>
        <v>41.13</v>
      </c>
      <c r="R966">
        <f>'raw data Crude oil'!R967</f>
        <v>41.45</v>
      </c>
      <c r="S966">
        <f>'raw data Crude oil'!S967</f>
        <v>41.74</v>
      </c>
      <c r="T966">
        <f>'raw data Crude oil'!T967</f>
        <v>42</v>
      </c>
      <c r="U966">
        <f>'raw data Crude oil'!U967</f>
        <v>42.22</v>
      </c>
      <c r="V966">
        <f>'raw data Crude oil'!V967</f>
        <v>42.41</v>
      </c>
      <c r="W966">
        <f>'raw data Crude oil'!W967</f>
        <v>42.57</v>
      </c>
      <c r="X966">
        <f>'raw data Crude oil'!X967</f>
        <v>42.71</v>
      </c>
      <c r="Y966">
        <f>'raw data Crude oil'!Y967</f>
        <v>42.82</v>
      </c>
      <c r="Z966">
        <f>'raw data Crude oil'!Z967</f>
        <v>41.57</v>
      </c>
      <c r="AA966">
        <f>'raw data Crude oil'!AA967</f>
        <v>42.04</v>
      </c>
      <c r="AB966">
        <f>'raw data Crude oil'!AB967</f>
        <v>42.167000000000002</v>
      </c>
      <c r="AC966">
        <f>'raw data Crude oil'!AC967</f>
        <v>42.381</v>
      </c>
      <c r="AD966">
        <f>'raw data Crude oil'!AD967</f>
        <v>42.625999999999998</v>
      </c>
      <c r="AE966">
        <f>'raw data Crude oil'!AE967</f>
        <v>42.896000000000001</v>
      </c>
      <c r="AF966">
        <f>'raw data Crude oil'!AF967</f>
        <v>43.192999999999998</v>
      </c>
      <c r="AG966">
        <f>'raw data Crude oil'!AG967</f>
        <v>43.420999999999999</v>
      </c>
      <c r="AH966">
        <f>'raw data Crude oil'!AH967</f>
        <v>43.652000000000001</v>
      </c>
      <c r="AI966">
        <f>'raw data Crude oil'!AI967</f>
        <v>43.8</v>
      </c>
      <c r="AJ966">
        <f>'raw data Crude oil'!AJ967</f>
        <v>43.938000000000002</v>
      </c>
      <c r="AK966">
        <f>'raw data Crude oil'!AK967</f>
        <v>44.045999999999999</v>
      </c>
    </row>
    <row r="967" spans="1:37" x14ac:dyDescent="0.3">
      <c r="A967" s="18">
        <f>'raw data Crude oil'!A968</f>
        <v>44102</v>
      </c>
      <c r="B967">
        <f>'raw data Crude oil'!B968</f>
        <v>42.43</v>
      </c>
      <c r="C967">
        <f>'raw data Crude oil'!C968</f>
        <v>42.87</v>
      </c>
      <c r="D967">
        <f>'raw data Crude oil'!D968</f>
        <v>43.26</v>
      </c>
      <c r="E967">
        <f>'raw data Crude oil'!E968</f>
        <v>43.6</v>
      </c>
      <c r="F967">
        <f>'raw data Crude oil'!F968</f>
        <v>43.91</v>
      </c>
      <c r="G967">
        <f>'raw data Crude oil'!G968</f>
        <v>44.21</v>
      </c>
      <c r="H967">
        <f>'raw data Crude oil'!H968</f>
        <v>44.49</v>
      </c>
      <c r="I967">
        <f>'raw data Crude oil'!I968</f>
        <v>44.77</v>
      </c>
      <c r="J967">
        <f>'raw data Crude oil'!J968</f>
        <v>44.99</v>
      </c>
      <c r="K967">
        <f>'raw data Crude oil'!K968</f>
        <v>45.2</v>
      </c>
      <c r="L967">
        <f>'raw data Crude oil'!L968</f>
        <v>45.39</v>
      </c>
      <c r="M967">
        <f>'raw data Crude oil'!M968</f>
        <v>45.56</v>
      </c>
      <c r="N967">
        <f>'raw data Crude oil'!N968</f>
        <v>40.6</v>
      </c>
      <c r="O967">
        <f>'raw data Crude oil'!O968</f>
        <v>40.869999999999997</v>
      </c>
      <c r="P967">
        <f>'raw data Crude oil'!P968</f>
        <v>41.18</v>
      </c>
      <c r="Q967">
        <f>'raw data Crude oil'!Q968</f>
        <v>41.5</v>
      </c>
      <c r="R967">
        <f>'raw data Crude oil'!R968</f>
        <v>41.82</v>
      </c>
      <c r="S967">
        <f>'raw data Crude oil'!S968</f>
        <v>42.11</v>
      </c>
      <c r="T967">
        <f>'raw data Crude oil'!T968</f>
        <v>42.36</v>
      </c>
      <c r="U967">
        <f>'raw data Crude oil'!U968</f>
        <v>42.57</v>
      </c>
      <c r="V967">
        <f>'raw data Crude oil'!V968</f>
        <v>42.76</v>
      </c>
      <c r="W967">
        <f>'raw data Crude oil'!W968</f>
        <v>42.91</v>
      </c>
      <c r="X967">
        <f>'raw data Crude oil'!X968</f>
        <v>43.04</v>
      </c>
      <c r="Y967">
        <f>'raw data Crude oil'!Y968</f>
        <v>43.16</v>
      </c>
      <c r="Z967">
        <f>'raw data Crude oil'!Z968</f>
        <v>41.584000000000003</v>
      </c>
      <c r="AA967">
        <f>'raw data Crude oil'!AA968</f>
        <v>42.378</v>
      </c>
      <c r="AB967">
        <f>'raw data Crude oil'!AB968</f>
        <v>42.536000000000001</v>
      </c>
      <c r="AC967">
        <f>'raw data Crude oil'!AC968</f>
        <v>42.765000000000001</v>
      </c>
      <c r="AD967">
        <f>'raw data Crude oil'!AD968</f>
        <v>42.996000000000002</v>
      </c>
      <c r="AE967">
        <f>'raw data Crude oil'!AE968</f>
        <v>43.267000000000003</v>
      </c>
      <c r="AF967">
        <f>'raw data Crude oil'!AF968</f>
        <v>43.548000000000002</v>
      </c>
      <c r="AG967">
        <f>'raw data Crude oil'!AG968</f>
        <v>43.78</v>
      </c>
      <c r="AH967">
        <f>'raw data Crude oil'!AH968</f>
        <v>43.97</v>
      </c>
      <c r="AI967">
        <f>'raw data Crude oil'!AI968</f>
        <v>44.109000000000002</v>
      </c>
      <c r="AJ967">
        <f>'raw data Crude oil'!AJ968</f>
        <v>44.238</v>
      </c>
      <c r="AK967">
        <f>'raw data Crude oil'!AK968</f>
        <v>44.356000000000002</v>
      </c>
    </row>
    <row r="968" spans="1:37" x14ac:dyDescent="0.3">
      <c r="A968" s="18">
        <f>'raw data Crude oil'!A969</f>
        <v>44103</v>
      </c>
      <c r="B968">
        <f>'raw data Crude oil'!B969</f>
        <v>41.03</v>
      </c>
      <c r="C968">
        <f>'raw data Crude oil'!C969</f>
        <v>41.56</v>
      </c>
      <c r="D968">
        <f>'raw data Crude oil'!D969</f>
        <v>41.98</v>
      </c>
      <c r="E968">
        <f>'raw data Crude oil'!E969</f>
        <v>42.33</v>
      </c>
      <c r="F968">
        <f>'raw data Crude oil'!F969</f>
        <v>42.65</v>
      </c>
      <c r="G968">
        <f>'raw data Crude oil'!G969</f>
        <v>42.96</v>
      </c>
      <c r="H968">
        <f>'raw data Crude oil'!H969</f>
        <v>43.27</v>
      </c>
      <c r="I968">
        <f>'raw data Crude oil'!I969</f>
        <v>43.57</v>
      </c>
      <c r="J968">
        <f>'raw data Crude oil'!J969</f>
        <v>43.81</v>
      </c>
      <c r="K968">
        <f>'raw data Crude oil'!K969</f>
        <v>44.04</v>
      </c>
      <c r="L968">
        <f>'raw data Crude oil'!L969</f>
        <v>44.25</v>
      </c>
      <c r="M968">
        <f>'raw data Crude oil'!M969</f>
        <v>44.44</v>
      </c>
      <c r="N968">
        <f>'raw data Crude oil'!N969</f>
        <v>39.29</v>
      </c>
      <c r="O968">
        <f>'raw data Crude oil'!O969</f>
        <v>39.56</v>
      </c>
      <c r="P968">
        <f>'raw data Crude oil'!P969</f>
        <v>39.880000000000003</v>
      </c>
      <c r="Q968">
        <f>'raw data Crude oil'!Q969</f>
        <v>40.229999999999997</v>
      </c>
      <c r="R968">
        <f>'raw data Crude oil'!R969</f>
        <v>40.57</v>
      </c>
      <c r="S968">
        <f>'raw data Crude oil'!S969</f>
        <v>40.880000000000003</v>
      </c>
      <c r="T968">
        <f>'raw data Crude oil'!T969</f>
        <v>41.15</v>
      </c>
      <c r="U968">
        <f>'raw data Crude oil'!U969</f>
        <v>41.38</v>
      </c>
      <c r="V968">
        <f>'raw data Crude oil'!V969</f>
        <v>41.58</v>
      </c>
      <c r="W968">
        <f>'raw data Crude oil'!W969</f>
        <v>41.74</v>
      </c>
      <c r="X968">
        <f>'raw data Crude oil'!X969</f>
        <v>41.88</v>
      </c>
      <c r="Y968">
        <f>'raw data Crude oil'!Y969</f>
        <v>42.01</v>
      </c>
      <c r="Z968">
        <f>'raw data Crude oil'!Z969</f>
        <v>41.511000000000003</v>
      </c>
      <c r="AA968">
        <f>'raw data Crude oil'!AA969</f>
        <v>40.978999999999999</v>
      </c>
      <c r="AB968">
        <f>'raw data Crude oil'!AB969</f>
        <v>41.139000000000003</v>
      </c>
      <c r="AC968">
        <f>'raw data Crude oil'!AC969</f>
        <v>41.389000000000003</v>
      </c>
      <c r="AD968">
        <f>'raw data Crude oil'!AD969</f>
        <v>41.655999999999999</v>
      </c>
      <c r="AE968">
        <f>'raw data Crude oil'!AE969</f>
        <v>41.945999999999998</v>
      </c>
      <c r="AF968">
        <f>'raw data Crude oil'!AF969</f>
        <v>42.243000000000002</v>
      </c>
      <c r="AG968">
        <f>'raw data Crude oil'!AG969</f>
        <v>42.500999999999998</v>
      </c>
      <c r="AH968">
        <f>'raw data Crude oil'!AH969</f>
        <v>42.722000000000001</v>
      </c>
      <c r="AI968">
        <f>'raw data Crude oil'!AI969</f>
        <v>42.89</v>
      </c>
      <c r="AJ968">
        <f>'raw data Crude oil'!AJ969</f>
        <v>43.048999999999999</v>
      </c>
      <c r="AK968">
        <f>'raw data Crude oil'!AK969</f>
        <v>43.186999999999998</v>
      </c>
    </row>
    <row r="969" spans="1:37" x14ac:dyDescent="0.3">
      <c r="A969" s="18">
        <f>'raw data Crude oil'!A970</f>
        <v>44104</v>
      </c>
      <c r="B969">
        <f>'raw data Crude oil'!B970</f>
        <v>40.950000000000003</v>
      </c>
      <c r="C969">
        <f>'raw data Crude oil'!C970</f>
        <v>42.3</v>
      </c>
      <c r="D969">
        <f>'raw data Crude oil'!D970</f>
        <v>42.75</v>
      </c>
      <c r="E969">
        <f>'raw data Crude oil'!E970</f>
        <v>43.12</v>
      </c>
      <c r="F969">
        <f>'raw data Crude oil'!F970</f>
        <v>43.46</v>
      </c>
      <c r="G969">
        <f>'raw data Crude oil'!G970</f>
        <v>43.78</v>
      </c>
      <c r="H969">
        <f>'raw data Crude oil'!H970</f>
        <v>44.09</v>
      </c>
      <c r="I969">
        <f>'raw data Crude oil'!I970</f>
        <v>44.39</v>
      </c>
      <c r="J969">
        <f>'raw data Crude oil'!J970</f>
        <v>44.63</v>
      </c>
      <c r="K969">
        <f>'raw data Crude oil'!K970</f>
        <v>44.86</v>
      </c>
      <c r="L969">
        <f>'raw data Crude oil'!L970</f>
        <v>45.06</v>
      </c>
      <c r="M969">
        <f>'raw data Crude oil'!M970</f>
        <v>45.25</v>
      </c>
      <c r="N969">
        <f>'raw data Crude oil'!N970</f>
        <v>40.22</v>
      </c>
      <c r="O969">
        <f>'raw data Crude oil'!O970</f>
        <v>40.47</v>
      </c>
      <c r="P969">
        <f>'raw data Crude oil'!P970</f>
        <v>40.79</v>
      </c>
      <c r="Q969">
        <f>'raw data Crude oil'!Q970</f>
        <v>41.13</v>
      </c>
      <c r="R969">
        <f>'raw data Crude oil'!R970</f>
        <v>41.47</v>
      </c>
      <c r="S969">
        <f>'raw data Crude oil'!S970</f>
        <v>41.78</v>
      </c>
      <c r="T969">
        <f>'raw data Crude oil'!T970</f>
        <v>42.04</v>
      </c>
      <c r="U969">
        <f>'raw data Crude oil'!U970</f>
        <v>42.28</v>
      </c>
      <c r="V969">
        <f>'raw data Crude oil'!V970</f>
        <v>42.47</v>
      </c>
      <c r="W969">
        <f>'raw data Crude oil'!W970</f>
        <v>42.64</v>
      </c>
      <c r="X969">
        <f>'raw data Crude oil'!X970</f>
        <v>42.79</v>
      </c>
      <c r="Y969">
        <f>'raw data Crude oil'!Y970</f>
        <v>42.92</v>
      </c>
      <c r="Z969">
        <f>'raw data Crude oil'!Z970</f>
        <v>41.494999999999997</v>
      </c>
      <c r="AA969">
        <f>'raw data Crude oil'!AA970</f>
        <v>41.777999999999999</v>
      </c>
      <c r="AB969">
        <f>'raw data Crude oil'!AB970</f>
        <v>41.957999999999998</v>
      </c>
      <c r="AC969">
        <f>'raw data Crude oil'!AC970</f>
        <v>42.201000000000001</v>
      </c>
      <c r="AD969">
        <f>'raw data Crude oil'!AD970</f>
        <v>42.475999999999999</v>
      </c>
      <c r="AE969">
        <f>'raw data Crude oil'!AE970</f>
        <v>42.786000000000001</v>
      </c>
      <c r="AF969">
        <f>'raw data Crude oil'!AF970</f>
        <v>43.082999999999998</v>
      </c>
      <c r="AG969">
        <f>'raw data Crude oil'!AG970</f>
        <v>43.320999999999998</v>
      </c>
      <c r="AH969">
        <f>'raw data Crude oil'!AH970</f>
        <v>43.542000000000002</v>
      </c>
      <c r="AI969">
        <f>'raw data Crude oil'!AI970</f>
        <v>43.709000000000003</v>
      </c>
      <c r="AJ969">
        <f>'raw data Crude oil'!AJ970</f>
        <v>43.859000000000002</v>
      </c>
      <c r="AK969">
        <f>'raw data Crude oil'!AK970</f>
        <v>43.997</v>
      </c>
    </row>
    <row r="970" spans="1:37" x14ac:dyDescent="0.3">
      <c r="A970" s="18">
        <f>'raw data Crude oil'!A971</f>
        <v>44105</v>
      </c>
      <c r="B970">
        <f>'raw data Crude oil'!B971</f>
        <v>40.93</v>
      </c>
      <c r="C970">
        <f>'raw data Crude oil'!C971</f>
        <v>41.44</v>
      </c>
      <c r="D970">
        <f>'raw data Crude oil'!D971</f>
        <v>41.87</v>
      </c>
      <c r="E970">
        <f>'raw data Crude oil'!E971</f>
        <v>42.26</v>
      </c>
      <c r="F970">
        <f>'raw data Crude oil'!F971</f>
        <v>42.62</v>
      </c>
      <c r="G970">
        <f>'raw data Crude oil'!G971</f>
        <v>42.96</v>
      </c>
      <c r="H970">
        <f>'raw data Crude oil'!H971</f>
        <v>43.29</v>
      </c>
      <c r="I970">
        <f>'raw data Crude oil'!I971</f>
        <v>43.55</v>
      </c>
      <c r="J970">
        <f>'raw data Crude oil'!J971</f>
        <v>43.8</v>
      </c>
      <c r="K970">
        <f>'raw data Crude oil'!K971</f>
        <v>44.03</v>
      </c>
      <c r="L970">
        <f>'raw data Crude oil'!L971</f>
        <v>44.24</v>
      </c>
      <c r="M970">
        <f>'raw data Crude oil'!M971</f>
        <v>44.41</v>
      </c>
      <c r="N970">
        <f>'raw data Crude oil'!N971</f>
        <v>38.72</v>
      </c>
      <c r="O970">
        <f>'raw data Crude oil'!O971</f>
        <v>39.01</v>
      </c>
      <c r="P970">
        <f>'raw data Crude oil'!P971</f>
        <v>39.380000000000003</v>
      </c>
      <c r="Q970">
        <f>'raw data Crude oil'!Q971</f>
        <v>39.76</v>
      </c>
      <c r="R970">
        <f>'raw data Crude oil'!R971</f>
        <v>40.14</v>
      </c>
      <c r="S970">
        <f>'raw data Crude oil'!S971</f>
        <v>40.479999999999997</v>
      </c>
      <c r="T970">
        <f>'raw data Crude oil'!T971</f>
        <v>40.799999999999997</v>
      </c>
      <c r="U970">
        <f>'raw data Crude oil'!U971</f>
        <v>41.08</v>
      </c>
      <c r="V970">
        <f>'raw data Crude oil'!V971</f>
        <v>41.31</v>
      </c>
      <c r="W970">
        <f>'raw data Crude oil'!W971</f>
        <v>41.51</v>
      </c>
      <c r="X970">
        <f>'raw data Crude oil'!X971</f>
        <v>41.69</v>
      </c>
      <c r="Y970">
        <f>'raw data Crude oil'!Y971</f>
        <v>41.85</v>
      </c>
      <c r="Z970">
        <f>'raw data Crude oil'!Z971</f>
        <v>41.494999999999997</v>
      </c>
      <c r="AA970">
        <f>'raw data Crude oil'!AA971</f>
        <v>40.11</v>
      </c>
      <c r="AB970">
        <f>'raw data Crude oil'!AB971</f>
        <v>40.47</v>
      </c>
      <c r="AC970">
        <f>'raw data Crude oil'!AC971</f>
        <v>40.835000000000001</v>
      </c>
      <c r="AD970">
        <f>'raw data Crude oil'!AD971</f>
        <v>41.167999999999999</v>
      </c>
      <c r="AE970">
        <f>'raw data Crude oil'!AE971</f>
        <v>41.517000000000003</v>
      </c>
      <c r="AF970">
        <f>'raw data Crude oil'!AF971</f>
        <v>41.874000000000002</v>
      </c>
      <c r="AG970">
        <f>'raw data Crude oil'!AG971</f>
        <v>42.161999999999999</v>
      </c>
      <c r="AH970">
        <f>'raw data Crude oil'!AH971</f>
        <v>42.404000000000003</v>
      </c>
      <c r="AI970">
        <f>'raw data Crude oil'!AI971</f>
        <v>42.61</v>
      </c>
      <c r="AJ970">
        <f>'raw data Crude oil'!AJ971</f>
        <v>42.83</v>
      </c>
      <c r="AK970">
        <f>'raw data Crude oil'!AK971</f>
        <v>42.988</v>
      </c>
    </row>
    <row r="971" spans="1:37" x14ac:dyDescent="0.3">
      <c r="A971" s="18">
        <f>'raw data Crude oil'!A972</f>
        <v>44106</v>
      </c>
      <c r="B971">
        <f>'raw data Crude oil'!B972</f>
        <v>39.270000000000003</v>
      </c>
      <c r="C971">
        <f>'raw data Crude oil'!C972</f>
        <v>39.81</v>
      </c>
      <c r="D971">
        <f>'raw data Crude oil'!D972</f>
        <v>40.26</v>
      </c>
      <c r="E971">
        <f>'raw data Crude oil'!E972</f>
        <v>40.68</v>
      </c>
      <c r="F971">
        <f>'raw data Crude oil'!F972</f>
        <v>41.07</v>
      </c>
      <c r="G971">
        <f>'raw data Crude oil'!G972</f>
        <v>41.44</v>
      </c>
      <c r="H971">
        <f>'raw data Crude oil'!H972</f>
        <v>41.79</v>
      </c>
      <c r="I971">
        <f>'raw data Crude oil'!I972</f>
        <v>42.07</v>
      </c>
      <c r="J971">
        <f>'raw data Crude oil'!J972</f>
        <v>42.33</v>
      </c>
      <c r="K971">
        <f>'raw data Crude oil'!K972</f>
        <v>42.57</v>
      </c>
      <c r="L971">
        <f>'raw data Crude oil'!L972</f>
        <v>42.79</v>
      </c>
      <c r="M971">
        <f>'raw data Crude oil'!M972</f>
        <v>42.98</v>
      </c>
      <c r="N971">
        <f>'raw data Crude oil'!N972</f>
        <v>37.049999999999997</v>
      </c>
      <c r="O971">
        <f>'raw data Crude oil'!O972</f>
        <v>37.340000000000003</v>
      </c>
      <c r="P971">
        <f>'raw data Crude oil'!P972</f>
        <v>37.74</v>
      </c>
      <c r="Q971">
        <f>'raw data Crude oil'!Q972</f>
        <v>38.15</v>
      </c>
      <c r="R971">
        <f>'raw data Crude oil'!R972</f>
        <v>38.549999999999997</v>
      </c>
      <c r="S971">
        <f>'raw data Crude oil'!S972</f>
        <v>38.92</v>
      </c>
      <c r="T971">
        <f>'raw data Crude oil'!T972</f>
        <v>39.26</v>
      </c>
      <c r="U971">
        <f>'raw data Crude oil'!U972</f>
        <v>39.56</v>
      </c>
      <c r="V971">
        <f>'raw data Crude oil'!V972</f>
        <v>39.81</v>
      </c>
      <c r="W971">
        <f>'raw data Crude oil'!W972</f>
        <v>40.03</v>
      </c>
      <c r="X971">
        <f>'raw data Crude oil'!X972</f>
        <v>40.22</v>
      </c>
      <c r="Y971">
        <f>'raw data Crude oil'!Y972</f>
        <v>40.39</v>
      </c>
      <c r="Z971">
        <f>'raw data Crude oil'!Z972</f>
        <v>38.555</v>
      </c>
      <c r="AA971">
        <f>'raw data Crude oil'!AA972</f>
        <v>38.881</v>
      </c>
      <c r="AB971">
        <f>'raw data Crude oil'!AB972</f>
        <v>39.247999999999998</v>
      </c>
      <c r="AC971">
        <f>'raw data Crude oil'!AC972</f>
        <v>39.619999999999997</v>
      </c>
      <c r="AD971">
        <f>'raw data Crude oil'!AD972</f>
        <v>39.997</v>
      </c>
      <c r="AE971">
        <f>'raw data Crude oil'!AE972</f>
        <v>40.375</v>
      </c>
      <c r="AF971">
        <f>'raw data Crude oil'!AF972</f>
        <v>40.713000000000001</v>
      </c>
      <c r="AG971">
        <f>'raw data Crude oil'!AG972</f>
        <v>40.975000000000001</v>
      </c>
      <c r="AH971">
        <f>'raw data Crude oil'!AH972</f>
        <v>41.191000000000003</v>
      </c>
      <c r="AI971">
        <f>'raw data Crude oil'!AI972</f>
        <v>41.38</v>
      </c>
      <c r="AJ971">
        <f>'raw data Crude oil'!AJ972</f>
        <v>41.539000000000001</v>
      </c>
      <c r="AK971">
        <f>'raw data Crude oil'!AK972</f>
        <v>41.677999999999997</v>
      </c>
    </row>
    <row r="972" spans="1:37" x14ac:dyDescent="0.3">
      <c r="A972" s="18">
        <f>'raw data Crude oil'!A973</f>
        <v>44109</v>
      </c>
      <c r="B972">
        <f>'raw data Crude oil'!B973</f>
        <v>41.29</v>
      </c>
      <c r="C972">
        <f>'raw data Crude oil'!C973</f>
        <v>41.82</v>
      </c>
      <c r="D972">
        <f>'raw data Crude oil'!D973</f>
        <v>42.25</v>
      </c>
      <c r="E972">
        <f>'raw data Crude oil'!E973</f>
        <v>42.66</v>
      </c>
      <c r="F972">
        <f>'raw data Crude oil'!F973</f>
        <v>43.02</v>
      </c>
      <c r="G972">
        <f>'raw data Crude oil'!G973</f>
        <v>43.36</v>
      </c>
      <c r="H972">
        <f>'raw data Crude oil'!H973</f>
        <v>43.69</v>
      </c>
      <c r="I972">
        <f>'raw data Crude oil'!I973</f>
        <v>43.94</v>
      </c>
      <c r="J972">
        <f>'raw data Crude oil'!J973</f>
        <v>44.19</v>
      </c>
      <c r="K972">
        <f>'raw data Crude oil'!K973</f>
        <v>44.4</v>
      </c>
      <c r="L972">
        <f>'raw data Crude oil'!L973</f>
        <v>44.6</v>
      </c>
      <c r="M972">
        <f>'raw data Crude oil'!M973</f>
        <v>44.77</v>
      </c>
      <c r="N972">
        <f>'raw data Crude oil'!N973</f>
        <v>39.22</v>
      </c>
      <c r="O972">
        <f>'raw data Crude oil'!O973</f>
        <v>39.5</v>
      </c>
      <c r="P972">
        <f>'raw data Crude oil'!P973</f>
        <v>39.89</v>
      </c>
      <c r="Q972">
        <f>'raw data Crude oil'!Q973</f>
        <v>40.28</v>
      </c>
      <c r="R972">
        <f>'raw data Crude oil'!R973</f>
        <v>40.65</v>
      </c>
      <c r="S972">
        <f>'raw data Crude oil'!S973</f>
        <v>40.98</v>
      </c>
      <c r="T972">
        <f>'raw data Crude oil'!T973</f>
        <v>41.29</v>
      </c>
      <c r="U972">
        <f>'raw data Crude oil'!U973</f>
        <v>41.56</v>
      </c>
      <c r="V972">
        <f>'raw data Crude oil'!V973</f>
        <v>41.78</v>
      </c>
      <c r="W972">
        <f>'raw data Crude oil'!W973</f>
        <v>41.97</v>
      </c>
      <c r="X972">
        <f>'raw data Crude oil'!X973</f>
        <v>42.12</v>
      </c>
      <c r="Y972">
        <f>'raw data Crude oil'!Y973</f>
        <v>42.26</v>
      </c>
      <c r="Z972">
        <f>'raw data Crude oil'!Z973</f>
        <v>40.503</v>
      </c>
      <c r="AA972">
        <f>'raw data Crude oil'!AA973</f>
        <v>41.05</v>
      </c>
      <c r="AB972">
        <f>'raw data Crude oil'!AB973</f>
        <v>41.366999999999997</v>
      </c>
      <c r="AC972">
        <f>'raw data Crude oil'!AC973</f>
        <v>41.677999999999997</v>
      </c>
      <c r="AD972">
        <f>'raw data Crude oil'!AD973</f>
        <v>42.027000000000001</v>
      </c>
      <c r="AE972">
        <f>'raw data Crude oil'!AE973</f>
        <v>42.374000000000002</v>
      </c>
      <c r="AF972">
        <f>'raw data Crude oil'!AF973</f>
        <v>42.682000000000002</v>
      </c>
      <c r="AG972">
        <f>'raw data Crude oil'!AG973</f>
        <v>42.923999999999999</v>
      </c>
      <c r="AH972">
        <f>'raw data Crude oil'!AH973</f>
        <v>43.09</v>
      </c>
      <c r="AI972">
        <f>'raw data Crude oil'!AI973</f>
        <v>43.189</v>
      </c>
      <c r="AJ972">
        <f>'raw data Crude oil'!AJ973</f>
        <v>43.328000000000003</v>
      </c>
      <c r="AK972">
        <f>'raw data Crude oil'!AK973</f>
        <v>43.447000000000003</v>
      </c>
    </row>
    <row r="973" spans="1:37" x14ac:dyDescent="0.3">
      <c r="A973" s="18">
        <f>'raw data Crude oil'!A974</f>
        <v>44110</v>
      </c>
      <c r="B973">
        <f>'raw data Crude oil'!B974</f>
        <v>42.65</v>
      </c>
      <c r="C973">
        <f>'raw data Crude oil'!C974</f>
        <v>43.13</v>
      </c>
      <c r="D973">
        <f>'raw data Crude oil'!D974</f>
        <v>43.51</v>
      </c>
      <c r="E973">
        <f>'raw data Crude oil'!E974</f>
        <v>43.87</v>
      </c>
      <c r="F973">
        <f>'raw data Crude oil'!F974</f>
        <v>44.2</v>
      </c>
      <c r="G973">
        <f>'raw data Crude oil'!G974</f>
        <v>44.51</v>
      </c>
      <c r="H973">
        <f>'raw data Crude oil'!H974</f>
        <v>44.81</v>
      </c>
      <c r="I973">
        <f>'raw data Crude oil'!I974</f>
        <v>45.04</v>
      </c>
      <c r="J973">
        <f>'raw data Crude oil'!J974</f>
        <v>45.27</v>
      </c>
      <c r="K973">
        <f>'raw data Crude oil'!K974</f>
        <v>45.47</v>
      </c>
      <c r="L973">
        <f>'raw data Crude oil'!L974</f>
        <v>45.64</v>
      </c>
      <c r="M973">
        <f>'raw data Crude oil'!M974</f>
        <v>45.8</v>
      </c>
      <c r="N973">
        <f>'raw data Crude oil'!N974</f>
        <v>40.67</v>
      </c>
      <c r="O973">
        <f>'raw data Crude oil'!O974</f>
        <v>40.93</v>
      </c>
      <c r="P973">
        <f>'raw data Crude oil'!P974</f>
        <v>41.27</v>
      </c>
      <c r="Q973">
        <f>'raw data Crude oil'!Q974</f>
        <v>41.61</v>
      </c>
      <c r="R973">
        <f>'raw data Crude oil'!R974</f>
        <v>41.93</v>
      </c>
      <c r="S973">
        <f>'raw data Crude oil'!S974</f>
        <v>42.23</v>
      </c>
      <c r="T973">
        <f>'raw data Crude oil'!T974</f>
        <v>42.49</v>
      </c>
      <c r="U973">
        <f>'raw data Crude oil'!U974</f>
        <v>42.72</v>
      </c>
      <c r="V973">
        <f>'raw data Crude oil'!V974</f>
        <v>42.9</v>
      </c>
      <c r="W973">
        <f>'raw data Crude oil'!W974</f>
        <v>43.06</v>
      </c>
      <c r="X973">
        <f>'raw data Crude oil'!X974</f>
        <v>43.18</v>
      </c>
      <c r="Y973">
        <f>'raw data Crude oil'!Y974</f>
        <v>43.29</v>
      </c>
      <c r="Z973">
        <f>'raw data Crude oil'!Z974</f>
        <v>41.51</v>
      </c>
      <c r="AA973">
        <f>'raw data Crude oil'!AA974</f>
        <v>42.317999999999998</v>
      </c>
      <c r="AB973">
        <f>'raw data Crude oil'!AB974</f>
        <v>42.622999999999998</v>
      </c>
      <c r="AC973">
        <f>'raw data Crude oil'!AC974</f>
        <v>42.906999999999996</v>
      </c>
      <c r="AD973">
        <f>'raw data Crude oil'!AD974</f>
        <v>43.225999999999999</v>
      </c>
      <c r="AE973">
        <f>'raw data Crude oil'!AE974</f>
        <v>43.563000000000002</v>
      </c>
      <c r="AF973">
        <f>'raw data Crude oil'!AF974</f>
        <v>43.841000000000001</v>
      </c>
      <c r="AG973">
        <f>'raw data Crude oil'!AG974</f>
        <v>44.061999999999998</v>
      </c>
      <c r="AH973">
        <f>'raw data Crude oil'!AH974</f>
        <v>44.179000000000002</v>
      </c>
      <c r="AI973">
        <f>'raw data Crude oil'!AI974</f>
        <v>44.287999999999997</v>
      </c>
      <c r="AJ973">
        <f>'raw data Crude oil'!AJ974</f>
        <v>44.396999999999998</v>
      </c>
      <c r="AK973">
        <f>'raw data Crude oil'!AK974</f>
        <v>44.506</v>
      </c>
    </row>
    <row r="974" spans="1:37" x14ac:dyDescent="0.3">
      <c r="A974" s="18">
        <f>'raw data Crude oil'!A975</f>
        <v>44111</v>
      </c>
      <c r="B974">
        <f>'raw data Crude oil'!B975</f>
        <v>41.99</v>
      </c>
      <c r="C974">
        <f>'raw data Crude oil'!C975</f>
        <v>42.46</v>
      </c>
      <c r="D974">
        <f>'raw data Crude oil'!D975</f>
        <v>42.85</v>
      </c>
      <c r="E974">
        <f>'raw data Crude oil'!E975</f>
        <v>43.21</v>
      </c>
      <c r="F974">
        <f>'raw data Crude oil'!F975</f>
        <v>43.55</v>
      </c>
      <c r="G974">
        <f>'raw data Crude oil'!G975</f>
        <v>43.87</v>
      </c>
      <c r="H974">
        <f>'raw data Crude oil'!H975</f>
        <v>44.16</v>
      </c>
      <c r="I974">
        <f>'raw data Crude oil'!I975</f>
        <v>44.4</v>
      </c>
      <c r="J974">
        <f>'raw data Crude oil'!J975</f>
        <v>44.63</v>
      </c>
      <c r="K974">
        <f>'raw data Crude oil'!K975</f>
        <v>44.83</v>
      </c>
      <c r="L974">
        <f>'raw data Crude oil'!L975</f>
        <v>45</v>
      </c>
      <c r="M974">
        <f>'raw data Crude oil'!M975</f>
        <v>45.15</v>
      </c>
      <c r="N974">
        <f>'raw data Crude oil'!N975</f>
        <v>39.950000000000003</v>
      </c>
      <c r="O974">
        <f>'raw data Crude oil'!O975</f>
        <v>40.229999999999997</v>
      </c>
      <c r="P974">
        <f>'raw data Crude oil'!P975</f>
        <v>40.590000000000003</v>
      </c>
      <c r="Q974">
        <f>'raw data Crude oil'!Q975</f>
        <v>40.94</v>
      </c>
      <c r="R974">
        <f>'raw data Crude oil'!R975</f>
        <v>41.27</v>
      </c>
      <c r="S974">
        <f>'raw data Crude oil'!S975</f>
        <v>41.57</v>
      </c>
      <c r="T974">
        <f>'raw data Crude oil'!T975</f>
        <v>41.83</v>
      </c>
      <c r="U974">
        <f>'raw data Crude oil'!U975</f>
        <v>42.06</v>
      </c>
      <c r="V974">
        <f>'raw data Crude oil'!V975</f>
        <v>42.24</v>
      </c>
      <c r="W974">
        <f>'raw data Crude oil'!W975</f>
        <v>42.39</v>
      </c>
      <c r="X974">
        <f>'raw data Crude oil'!X975</f>
        <v>42.51</v>
      </c>
      <c r="Y974">
        <f>'raw data Crude oil'!Y975</f>
        <v>42.62</v>
      </c>
      <c r="Z974">
        <f>'raw data Crude oil'!Z975</f>
        <v>40.954999999999998</v>
      </c>
      <c r="AA974">
        <f>'raw data Crude oil'!AA975</f>
        <v>41.609000000000002</v>
      </c>
      <c r="AB974">
        <f>'raw data Crude oil'!AB975</f>
        <v>41.893000000000001</v>
      </c>
      <c r="AC974">
        <f>'raw data Crude oil'!AC975</f>
        <v>42.197000000000003</v>
      </c>
      <c r="AD974">
        <f>'raw data Crude oil'!AD975</f>
        <v>42.526000000000003</v>
      </c>
      <c r="AE974">
        <f>'raw data Crude oil'!AE975</f>
        <v>42.872999999999998</v>
      </c>
      <c r="AF974">
        <f>'raw data Crude oil'!AF975</f>
        <v>43.140999999999998</v>
      </c>
      <c r="AG974">
        <f>'raw data Crude oil'!AG975</f>
        <v>43.381999999999998</v>
      </c>
      <c r="AH974">
        <f>'raw data Crude oil'!AH975</f>
        <v>43.509</v>
      </c>
      <c r="AI974">
        <f>'raw data Crude oil'!AI975</f>
        <v>43.637999999999998</v>
      </c>
      <c r="AJ974">
        <f>'raw data Crude oil'!AJ975</f>
        <v>43.747</v>
      </c>
      <c r="AK974">
        <f>'raw data Crude oil'!AK975</f>
        <v>43.856000000000002</v>
      </c>
    </row>
    <row r="975" spans="1:37" x14ac:dyDescent="0.3">
      <c r="A975" s="18">
        <f>'raw data Crude oil'!A976</f>
        <v>44112</v>
      </c>
      <c r="B975">
        <f>'raw data Crude oil'!B976</f>
        <v>43.34</v>
      </c>
      <c r="C975">
        <f>'raw data Crude oil'!C976</f>
        <v>43.77</v>
      </c>
      <c r="D975">
        <f>'raw data Crude oil'!D976</f>
        <v>44.1</v>
      </c>
      <c r="E975">
        <f>'raw data Crude oil'!E976</f>
        <v>44.41</v>
      </c>
      <c r="F975">
        <f>'raw data Crude oil'!F976</f>
        <v>44.7</v>
      </c>
      <c r="G975">
        <f>'raw data Crude oil'!G976</f>
        <v>44.97</v>
      </c>
      <c r="H975">
        <f>'raw data Crude oil'!H976</f>
        <v>45.23</v>
      </c>
      <c r="I975">
        <f>'raw data Crude oil'!I976</f>
        <v>45.43</v>
      </c>
      <c r="J975">
        <f>'raw data Crude oil'!J976</f>
        <v>45.63</v>
      </c>
      <c r="K975">
        <f>'raw data Crude oil'!K976</f>
        <v>45.8</v>
      </c>
      <c r="L975">
        <f>'raw data Crude oil'!L976</f>
        <v>45.94</v>
      </c>
      <c r="M975">
        <f>'raw data Crude oil'!M976</f>
        <v>46.06</v>
      </c>
      <c r="N975">
        <f>'raw data Crude oil'!N976</f>
        <v>41.19</v>
      </c>
      <c r="O975">
        <f>'raw data Crude oil'!O976</f>
        <v>41.47</v>
      </c>
      <c r="P975">
        <f>'raw data Crude oil'!P976</f>
        <v>41.81</v>
      </c>
      <c r="Q975">
        <f>'raw data Crude oil'!Q976</f>
        <v>42.14</v>
      </c>
      <c r="R975">
        <f>'raw data Crude oil'!R976</f>
        <v>42.43</v>
      </c>
      <c r="S975">
        <f>'raw data Crude oil'!S976</f>
        <v>42.68</v>
      </c>
      <c r="T975">
        <f>'raw data Crude oil'!T976</f>
        <v>42.9</v>
      </c>
      <c r="U975">
        <f>'raw data Crude oil'!U976</f>
        <v>43.09</v>
      </c>
      <c r="V975">
        <f>'raw data Crude oil'!V976</f>
        <v>43.22</v>
      </c>
      <c r="W975">
        <f>'raw data Crude oil'!W976</f>
        <v>43.32</v>
      </c>
      <c r="X975">
        <f>'raw data Crude oil'!X976</f>
        <v>43.41</v>
      </c>
      <c r="Y975">
        <f>'raw data Crude oil'!Y976</f>
        <v>43.49</v>
      </c>
      <c r="Z975">
        <f>'raw data Crude oil'!Z976</f>
        <v>41.838000000000001</v>
      </c>
      <c r="AA975">
        <f>'raw data Crude oil'!AA976</f>
        <v>42.786000000000001</v>
      </c>
      <c r="AB975">
        <f>'raw data Crude oil'!AB976</f>
        <v>43.048000000000002</v>
      </c>
      <c r="AC975">
        <f>'raw data Crude oil'!AC976</f>
        <v>43.314999999999998</v>
      </c>
      <c r="AD975">
        <f>'raw data Crude oil'!AD976</f>
        <v>43.603999999999999</v>
      </c>
      <c r="AE975">
        <f>'raw data Crude oil'!AE976</f>
        <v>43.901000000000003</v>
      </c>
      <c r="AF975">
        <f>'raw data Crude oil'!AF976</f>
        <v>44.15</v>
      </c>
      <c r="AG975">
        <f>'raw data Crude oil'!AG976</f>
        <v>44.359000000000002</v>
      </c>
      <c r="AH975">
        <f>'raw data Crude oil'!AH976</f>
        <v>44.497999999999998</v>
      </c>
      <c r="AI975">
        <f>'raw data Crude oil'!AI976</f>
        <v>44.555999999999997</v>
      </c>
      <c r="AJ975">
        <f>'raw data Crude oil'!AJ976</f>
        <v>44.645000000000003</v>
      </c>
      <c r="AK975">
        <f>'raw data Crude oil'!AK976</f>
        <v>44.704999999999998</v>
      </c>
    </row>
    <row r="976" spans="1:37" x14ac:dyDescent="0.3">
      <c r="A976" s="18">
        <f>'raw data Crude oil'!A977</f>
        <v>44113</v>
      </c>
      <c r="B976">
        <f>'raw data Crude oil'!B977</f>
        <v>42.85</v>
      </c>
      <c r="C976">
        <f>'raw data Crude oil'!C977</f>
        <v>43.32</v>
      </c>
      <c r="D976">
        <f>'raw data Crude oil'!D977</f>
        <v>43.68</v>
      </c>
      <c r="E976">
        <f>'raw data Crude oil'!E977</f>
        <v>44.01</v>
      </c>
      <c r="F976">
        <f>'raw data Crude oil'!F977</f>
        <v>44.3</v>
      </c>
      <c r="G976">
        <f>'raw data Crude oil'!G977</f>
        <v>44.56</v>
      </c>
      <c r="H976">
        <f>'raw data Crude oil'!H977</f>
        <v>44.8</v>
      </c>
      <c r="I976">
        <f>'raw data Crude oil'!I977</f>
        <v>45</v>
      </c>
      <c r="J976">
        <f>'raw data Crude oil'!J977</f>
        <v>45.19</v>
      </c>
      <c r="K976">
        <f>'raw data Crude oil'!K977</f>
        <v>45.36</v>
      </c>
      <c r="L976">
        <f>'raw data Crude oil'!L977</f>
        <v>45.49</v>
      </c>
      <c r="M976">
        <f>'raw data Crude oil'!M977</f>
        <v>45.62</v>
      </c>
      <c r="N976">
        <f>'raw data Crude oil'!N977</f>
        <v>40.6</v>
      </c>
      <c r="O976">
        <f>'raw data Crude oil'!O977</f>
        <v>40.909999999999997</v>
      </c>
      <c r="P976">
        <f>'raw data Crude oil'!P977</f>
        <v>41.27</v>
      </c>
      <c r="Q976">
        <f>'raw data Crude oil'!Q977</f>
        <v>41.6</v>
      </c>
      <c r="R976">
        <f>'raw data Crude oil'!R977</f>
        <v>41.9</v>
      </c>
      <c r="S976">
        <f>'raw data Crude oil'!S977</f>
        <v>42.16</v>
      </c>
      <c r="T976">
        <f>'raw data Crude oil'!T977</f>
        <v>42.38</v>
      </c>
      <c r="U976">
        <f>'raw data Crude oil'!U977</f>
        <v>42.57</v>
      </c>
      <c r="V976">
        <f>'raw data Crude oil'!V977</f>
        <v>42.71</v>
      </c>
      <c r="W976">
        <f>'raw data Crude oil'!W977</f>
        <v>42.81</v>
      </c>
      <c r="X976">
        <f>'raw data Crude oil'!X977</f>
        <v>42.9</v>
      </c>
      <c r="Y976">
        <f>'raw data Crude oil'!Y977</f>
        <v>42.97</v>
      </c>
      <c r="Z976">
        <f>'raw data Crude oil'!Z977</f>
        <v>41.518000000000001</v>
      </c>
      <c r="AA976">
        <f>'raw data Crude oil'!AA977</f>
        <v>42.337000000000003</v>
      </c>
      <c r="AB976">
        <f>'raw data Crude oil'!AB977</f>
        <v>42.62</v>
      </c>
      <c r="AC976">
        <f>'raw data Crude oil'!AC977</f>
        <v>42.895000000000003</v>
      </c>
      <c r="AD976">
        <f>'raw data Crude oil'!AD977</f>
        <v>43.183</v>
      </c>
      <c r="AE976">
        <f>'raw data Crude oil'!AE977</f>
        <v>43.48</v>
      </c>
      <c r="AF976">
        <f>'raw data Crude oil'!AF977</f>
        <v>43.72</v>
      </c>
      <c r="AG976">
        <f>'raw data Crude oil'!AG977</f>
        <v>43.917999999999999</v>
      </c>
      <c r="AH976">
        <f>'raw data Crude oil'!AH977</f>
        <v>44.008000000000003</v>
      </c>
      <c r="AI976">
        <f>'raw data Crude oil'!AI977</f>
        <v>44.116</v>
      </c>
      <c r="AJ976">
        <f>'raw data Crude oil'!AJ977</f>
        <v>44.195999999999998</v>
      </c>
      <c r="AK976">
        <f>'raw data Crude oil'!AK977</f>
        <v>44.265000000000001</v>
      </c>
    </row>
    <row r="977" spans="1:37" x14ac:dyDescent="0.3">
      <c r="A977" s="18">
        <f>'raw data Crude oil'!A978</f>
        <v>44116</v>
      </c>
      <c r="B977">
        <f>'raw data Crude oil'!B978</f>
        <v>41.72</v>
      </c>
      <c r="C977">
        <f>'raw data Crude oil'!C978</f>
        <v>42.2</v>
      </c>
      <c r="D977">
        <f>'raw data Crude oil'!D978</f>
        <v>42.57</v>
      </c>
      <c r="E977">
        <f>'raw data Crude oil'!E978</f>
        <v>42.93</v>
      </c>
      <c r="F977">
        <f>'raw data Crude oil'!F978</f>
        <v>43.24</v>
      </c>
      <c r="G977">
        <f>'raw data Crude oil'!G978</f>
        <v>43.53</v>
      </c>
      <c r="H977">
        <f>'raw data Crude oil'!H978</f>
        <v>43.8</v>
      </c>
      <c r="I977">
        <f>'raw data Crude oil'!I978</f>
        <v>44.02</v>
      </c>
      <c r="J977">
        <f>'raw data Crude oil'!J978</f>
        <v>44.23</v>
      </c>
      <c r="K977">
        <f>'raw data Crude oil'!K978</f>
        <v>44.42</v>
      </c>
      <c r="L977">
        <f>'raw data Crude oil'!L978</f>
        <v>44.58</v>
      </c>
      <c r="M977">
        <f>'raw data Crude oil'!M978</f>
        <v>44.72</v>
      </c>
      <c r="N977">
        <f>'raw data Crude oil'!N978</f>
        <v>39.43</v>
      </c>
      <c r="O977">
        <f>'raw data Crude oil'!O978</f>
        <v>39.729999999999997</v>
      </c>
      <c r="P977">
        <f>'raw data Crude oil'!P978</f>
        <v>40.11</v>
      </c>
      <c r="Q977">
        <f>'raw data Crude oil'!Q978</f>
        <v>40.47</v>
      </c>
      <c r="R977">
        <f>'raw data Crude oil'!R978</f>
        <v>40.82</v>
      </c>
      <c r="S977">
        <f>'raw data Crude oil'!S978</f>
        <v>41.12</v>
      </c>
      <c r="T977">
        <f>'raw data Crude oil'!T978</f>
        <v>41.39</v>
      </c>
      <c r="U977">
        <f>'raw data Crude oil'!U978</f>
        <v>41.61</v>
      </c>
      <c r="V977">
        <f>'raw data Crude oil'!V978</f>
        <v>41.8</v>
      </c>
      <c r="W977">
        <f>'raw data Crude oil'!W978</f>
        <v>41.94</v>
      </c>
      <c r="X977">
        <f>'raw data Crude oil'!X978</f>
        <v>42.06</v>
      </c>
      <c r="Y977">
        <f>'raw data Crude oil'!Y978</f>
        <v>42.15</v>
      </c>
      <c r="Z977">
        <f>'raw data Crude oil'!Z978</f>
        <v>40.762</v>
      </c>
      <c r="AA977">
        <f>'raw data Crude oil'!AA978</f>
        <v>41.277999999999999</v>
      </c>
      <c r="AB977">
        <f>'raw data Crude oil'!AB978</f>
        <v>41.573</v>
      </c>
      <c r="AC977">
        <f>'raw data Crude oil'!AC978</f>
        <v>41.866</v>
      </c>
      <c r="AD977">
        <f>'raw data Crude oil'!AD978</f>
        <v>42.164999999999999</v>
      </c>
      <c r="AE977">
        <f>'raw data Crude oil'!AE978</f>
        <v>42.491999999999997</v>
      </c>
      <c r="AF977">
        <f>'raw data Crude oil'!AF978</f>
        <v>42.76</v>
      </c>
      <c r="AG977">
        <f>'raw data Crude oil'!AG978</f>
        <v>42.99</v>
      </c>
      <c r="AH977">
        <f>'raw data Crude oil'!AH978</f>
        <v>43.119</v>
      </c>
      <c r="AI977">
        <f>'raw data Crude oil'!AI978</f>
        <v>43.186999999999998</v>
      </c>
      <c r="AJ977">
        <f>'raw data Crude oil'!AJ978</f>
        <v>43.345999999999997</v>
      </c>
      <c r="AK977">
        <f>'raw data Crude oil'!AK978</f>
        <v>43.435000000000002</v>
      </c>
    </row>
    <row r="978" spans="1:37" x14ac:dyDescent="0.3">
      <c r="A978" s="18">
        <f>'raw data Crude oil'!A979</f>
        <v>44117</v>
      </c>
      <c r="B978">
        <f>'raw data Crude oil'!B979</f>
        <v>42.45</v>
      </c>
      <c r="C978">
        <f>'raw data Crude oil'!C979</f>
        <v>42.9</v>
      </c>
      <c r="D978">
        <f>'raw data Crude oil'!D979</f>
        <v>43.24</v>
      </c>
      <c r="E978">
        <f>'raw data Crude oil'!E979</f>
        <v>43.56</v>
      </c>
      <c r="F978">
        <f>'raw data Crude oil'!F979</f>
        <v>43.85</v>
      </c>
      <c r="G978">
        <f>'raw data Crude oil'!G979</f>
        <v>44.12</v>
      </c>
      <c r="H978">
        <f>'raw data Crude oil'!H979</f>
        <v>44.37</v>
      </c>
      <c r="I978">
        <f>'raw data Crude oil'!I979</f>
        <v>44.57</v>
      </c>
      <c r="J978">
        <f>'raw data Crude oil'!J979</f>
        <v>44.77</v>
      </c>
      <c r="K978">
        <f>'raw data Crude oil'!K979</f>
        <v>44.94</v>
      </c>
      <c r="L978">
        <f>'raw data Crude oil'!L979</f>
        <v>45.09</v>
      </c>
      <c r="M978">
        <f>'raw data Crude oil'!M979</f>
        <v>45.22</v>
      </c>
      <c r="N978">
        <f>'raw data Crude oil'!N979</f>
        <v>40.200000000000003</v>
      </c>
      <c r="O978">
        <f>'raw data Crude oil'!O979</f>
        <v>40.49</v>
      </c>
      <c r="P978">
        <f>'raw data Crude oil'!P979</f>
        <v>40.85</v>
      </c>
      <c r="Q978">
        <f>'raw data Crude oil'!Q979</f>
        <v>41.19</v>
      </c>
      <c r="R978">
        <f>'raw data Crude oil'!R979</f>
        <v>41.52</v>
      </c>
      <c r="S978">
        <f>'raw data Crude oil'!S979</f>
        <v>41.8</v>
      </c>
      <c r="T978">
        <f>'raw data Crude oil'!T979</f>
        <v>42.04</v>
      </c>
      <c r="U978">
        <f>'raw data Crude oil'!U979</f>
        <v>42.25</v>
      </c>
      <c r="V978">
        <f>'raw data Crude oil'!V979</f>
        <v>42.41</v>
      </c>
      <c r="W978">
        <f>'raw data Crude oil'!W979</f>
        <v>42.53</v>
      </c>
      <c r="X978">
        <f>'raw data Crude oil'!X979</f>
        <v>42.62</v>
      </c>
      <c r="Y978">
        <f>'raw data Crude oil'!Y979</f>
        <v>42.69</v>
      </c>
      <c r="Z978">
        <f>'raw data Crude oil'!Z979</f>
        <v>41.302999999999997</v>
      </c>
      <c r="AA978">
        <f>'raw data Crude oil'!AA979</f>
        <v>42.036000000000001</v>
      </c>
      <c r="AB978">
        <f>'raw data Crude oil'!AB979</f>
        <v>42.268999999999998</v>
      </c>
      <c r="AC978">
        <f>'raw data Crude oil'!AC979</f>
        <v>42.505000000000003</v>
      </c>
      <c r="AD978">
        <f>'raw data Crude oil'!AD979</f>
        <v>42.783999999999999</v>
      </c>
      <c r="AE978">
        <f>'raw data Crude oil'!AE979</f>
        <v>43.081000000000003</v>
      </c>
      <c r="AF978">
        <f>'raw data Crude oil'!AF979</f>
        <v>43.33</v>
      </c>
      <c r="AG978">
        <f>'raw data Crude oil'!AG979</f>
        <v>43.548999999999999</v>
      </c>
      <c r="AH978">
        <f>'raw data Crude oil'!AH979</f>
        <v>43.677999999999997</v>
      </c>
      <c r="AI978">
        <f>'raw data Crude oil'!AI979</f>
        <v>43.747</v>
      </c>
      <c r="AJ978">
        <f>'raw data Crude oil'!AJ979</f>
        <v>43.845999999999997</v>
      </c>
      <c r="AK978">
        <f>'raw data Crude oil'!AK979</f>
        <v>43.935000000000002</v>
      </c>
    </row>
    <row r="979" spans="1:37" x14ac:dyDescent="0.3">
      <c r="A979" s="18">
        <f>'raw data Crude oil'!A980</f>
        <v>44118</v>
      </c>
      <c r="B979">
        <f>'raw data Crude oil'!B980</f>
        <v>43.32</v>
      </c>
      <c r="C979">
        <f>'raw data Crude oil'!C980</f>
        <v>43.7</v>
      </c>
      <c r="D979">
        <f>'raw data Crude oil'!D980</f>
        <v>43.99</v>
      </c>
      <c r="E979">
        <f>'raw data Crude oil'!E980</f>
        <v>44.25</v>
      </c>
      <c r="F979">
        <f>'raw data Crude oil'!F980</f>
        <v>44.51</v>
      </c>
      <c r="G979">
        <f>'raw data Crude oil'!G980</f>
        <v>44.75</v>
      </c>
      <c r="H979">
        <f>'raw data Crude oil'!H980</f>
        <v>44.96</v>
      </c>
      <c r="I979">
        <f>'raw data Crude oil'!I980</f>
        <v>45.14</v>
      </c>
      <c r="J979">
        <f>'raw data Crude oil'!J980</f>
        <v>45.31</v>
      </c>
      <c r="K979">
        <f>'raw data Crude oil'!K980</f>
        <v>45.46</v>
      </c>
      <c r="L979">
        <f>'raw data Crude oil'!L980</f>
        <v>45.58</v>
      </c>
      <c r="M979">
        <f>'raw data Crude oil'!M980</f>
        <v>45.69</v>
      </c>
      <c r="N979">
        <f>'raw data Crude oil'!N980</f>
        <v>41.04</v>
      </c>
      <c r="O979">
        <f>'raw data Crude oil'!O980</f>
        <v>41.34</v>
      </c>
      <c r="P979">
        <f>'raw data Crude oil'!P980</f>
        <v>41.66</v>
      </c>
      <c r="Q979">
        <f>'raw data Crude oil'!Q980</f>
        <v>41.97</v>
      </c>
      <c r="R979">
        <f>'raw data Crude oil'!R980</f>
        <v>42.24</v>
      </c>
      <c r="S979">
        <f>'raw data Crude oil'!S980</f>
        <v>42.48</v>
      </c>
      <c r="T979">
        <f>'raw data Crude oil'!T980</f>
        <v>42.7</v>
      </c>
      <c r="U979">
        <f>'raw data Crude oil'!U980</f>
        <v>42.88</v>
      </c>
      <c r="V979">
        <f>'raw data Crude oil'!V980</f>
        <v>43.01</v>
      </c>
      <c r="W979">
        <f>'raw data Crude oil'!W980</f>
        <v>43.1</v>
      </c>
      <c r="X979">
        <f>'raw data Crude oil'!X980</f>
        <v>43.17</v>
      </c>
      <c r="Y979">
        <f>'raw data Crude oil'!Y980</f>
        <v>43.22</v>
      </c>
      <c r="Z979">
        <f>'raw data Crude oil'!Z980</f>
        <v>41.75</v>
      </c>
      <c r="AA979">
        <f>'raw data Crude oil'!AA980</f>
        <v>42.814</v>
      </c>
      <c r="AB979">
        <f>'raw data Crude oil'!AB980</f>
        <v>43.003999999999998</v>
      </c>
      <c r="AC979">
        <f>'raw data Crude oil'!AC980</f>
        <v>43.232999999999997</v>
      </c>
      <c r="AD979">
        <f>'raw data Crude oil'!AD980</f>
        <v>43.472000000000001</v>
      </c>
      <c r="AE979">
        <f>'raw data Crude oil'!AE980</f>
        <v>43.749000000000002</v>
      </c>
      <c r="AF979">
        <f>'raw data Crude oil'!AF980</f>
        <v>43.969000000000001</v>
      </c>
      <c r="AG979">
        <f>'raw data Crude oil'!AG980</f>
        <v>44.146000000000001</v>
      </c>
      <c r="AH979">
        <f>'raw data Crude oil'!AH980</f>
        <v>44.197000000000003</v>
      </c>
      <c r="AI979">
        <f>'raw data Crude oil'!AI980</f>
        <v>44.274999999999999</v>
      </c>
      <c r="AJ979">
        <f>'raw data Crude oil'!AJ980</f>
        <v>44.344999999999999</v>
      </c>
      <c r="AK979">
        <f>'raw data Crude oil'!AK980</f>
        <v>44.424999999999997</v>
      </c>
    </row>
    <row r="980" spans="1:37" x14ac:dyDescent="0.3">
      <c r="A980" s="18">
        <f>'raw data Crude oil'!A981</f>
        <v>44119</v>
      </c>
      <c r="B980">
        <f>'raw data Crude oil'!B981</f>
        <v>43.16</v>
      </c>
      <c r="C980">
        <f>'raw data Crude oil'!C981</f>
        <v>43.52</v>
      </c>
      <c r="D980">
        <f>'raw data Crude oil'!D981</f>
        <v>43.81</v>
      </c>
      <c r="E980">
        <f>'raw data Crude oil'!E981</f>
        <v>44.08</v>
      </c>
      <c r="F980">
        <f>'raw data Crude oil'!F981</f>
        <v>44.33</v>
      </c>
      <c r="G980">
        <f>'raw data Crude oil'!G981</f>
        <v>44.57</v>
      </c>
      <c r="H980">
        <f>'raw data Crude oil'!H981</f>
        <v>44.79</v>
      </c>
      <c r="I980">
        <f>'raw data Crude oil'!I981</f>
        <v>44.97</v>
      </c>
      <c r="J980">
        <f>'raw data Crude oil'!J981</f>
        <v>45.14</v>
      </c>
      <c r="K980">
        <f>'raw data Crude oil'!K981</f>
        <v>45.29</v>
      </c>
      <c r="L980">
        <f>'raw data Crude oil'!L981</f>
        <v>45.42</v>
      </c>
      <c r="M980">
        <f>'raw data Crude oil'!M981</f>
        <v>45.54</v>
      </c>
      <c r="N980">
        <f>'raw data Crude oil'!N981</f>
        <v>40.96</v>
      </c>
      <c r="O980">
        <f>'raw data Crude oil'!O981</f>
        <v>41.24</v>
      </c>
      <c r="P980">
        <f>'raw data Crude oil'!P981</f>
        <v>41.55</v>
      </c>
      <c r="Q980">
        <f>'raw data Crude oil'!Q981</f>
        <v>41.84</v>
      </c>
      <c r="R980">
        <f>'raw data Crude oil'!R981</f>
        <v>42.09</v>
      </c>
      <c r="S980">
        <f>'raw data Crude oil'!S981</f>
        <v>42.32</v>
      </c>
      <c r="T980">
        <f>'raw data Crude oil'!T981</f>
        <v>42.52</v>
      </c>
      <c r="U980">
        <f>'raw data Crude oil'!U981</f>
        <v>42.67</v>
      </c>
      <c r="V980">
        <f>'raw data Crude oil'!V981</f>
        <v>42.8</v>
      </c>
      <c r="W980">
        <f>'raw data Crude oil'!W981</f>
        <v>42.89</v>
      </c>
      <c r="X980">
        <f>'raw data Crude oil'!X981</f>
        <v>42.96</v>
      </c>
      <c r="Y980">
        <f>'raw data Crude oil'!Y981</f>
        <v>43.02</v>
      </c>
      <c r="Z980">
        <f>'raw data Crude oil'!Z981</f>
        <v>41.640999999999998</v>
      </c>
      <c r="AA980">
        <f>'raw data Crude oil'!AA981</f>
        <v>42.654000000000003</v>
      </c>
      <c r="AB980">
        <f>'raw data Crude oil'!AB981</f>
        <v>42.844999999999999</v>
      </c>
      <c r="AC980">
        <f>'raw data Crude oil'!AC981</f>
        <v>43.073</v>
      </c>
      <c r="AD980">
        <f>'raw data Crude oil'!AD981</f>
        <v>43.302</v>
      </c>
      <c r="AE980">
        <f>'raw data Crude oil'!AE981</f>
        <v>43.55</v>
      </c>
      <c r="AF980">
        <f>'raw data Crude oil'!AF981</f>
        <v>43.779000000000003</v>
      </c>
      <c r="AG980">
        <f>'raw data Crude oil'!AG981</f>
        <v>43.985999999999997</v>
      </c>
      <c r="AH980">
        <f>'raw data Crude oil'!AH981</f>
        <v>44.106999999999999</v>
      </c>
      <c r="AI980">
        <f>'raw data Crude oil'!AI981</f>
        <v>44.146000000000001</v>
      </c>
      <c r="AJ980">
        <f>'raw data Crude oil'!AJ981</f>
        <v>44.195</v>
      </c>
      <c r="AK980">
        <f>'raw data Crude oil'!AK981</f>
        <v>44.284999999999997</v>
      </c>
    </row>
    <row r="981" spans="1:37" x14ac:dyDescent="0.3">
      <c r="A981" s="18">
        <f>'raw data Crude oil'!A982</f>
        <v>44120</v>
      </c>
      <c r="B981">
        <f>'raw data Crude oil'!B982</f>
        <v>42.93</v>
      </c>
      <c r="C981">
        <f>'raw data Crude oil'!C982</f>
        <v>43.27</v>
      </c>
      <c r="D981">
        <f>'raw data Crude oil'!D982</f>
        <v>43.57</v>
      </c>
      <c r="E981">
        <f>'raw data Crude oil'!E982</f>
        <v>43.87</v>
      </c>
      <c r="F981">
        <f>'raw data Crude oil'!F982</f>
        <v>44.13</v>
      </c>
      <c r="G981">
        <f>'raw data Crude oil'!G982</f>
        <v>44.37</v>
      </c>
      <c r="H981">
        <f>'raw data Crude oil'!H982</f>
        <v>44.59</v>
      </c>
      <c r="I981">
        <f>'raw data Crude oil'!I982</f>
        <v>44.77</v>
      </c>
      <c r="J981">
        <f>'raw data Crude oil'!J982</f>
        <v>44.95</v>
      </c>
      <c r="K981">
        <f>'raw data Crude oil'!K982</f>
        <v>45.11</v>
      </c>
      <c r="L981">
        <f>'raw data Crude oil'!L982</f>
        <v>45.24</v>
      </c>
      <c r="M981">
        <f>'raw data Crude oil'!M982</f>
        <v>45.36</v>
      </c>
      <c r="N981">
        <f>'raw data Crude oil'!N982</f>
        <v>40.880000000000003</v>
      </c>
      <c r="O981">
        <f>'raw data Crude oil'!O982</f>
        <v>41.12</v>
      </c>
      <c r="P981">
        <f>'raw data Crude oil'!P982</f>
        <v>41.42</v>
      </c>
      <c r="Q981">
        <f>'raw data Crude oil'!Q982</f>
        <v>41.7</v>
      </c>
      <c r="R981">
        <f>'raw data Crude oil'!R982</f>
        <v>41.95</v>
      </c>
      <c r="S981">
        <f>'raw data Crude oil'!S982</f>
        <v>42.17</v>
      </c>
      <c r="T981">
        <f>'raw data Crude oil'!T982</f>
        <v>42.37</v>
      </c>
      <c r="U981">
        <f>'raw data Crude oil'!U982</f>
        <v>42.51</v>
      </c>
      <c r="V981">
        <f>'raw data Crude oil'!V982</f>
        <v>42.63</v>
      </c>
      <c r="W981">
        <f>'raw data Crude oil'!W982</f>
        <v>42.73</v>
      </c>
      <c r="X981">
        <f>'raw data Crude oil'!X982</f>
        <v>42.81</v>
      </c>
      <c r="Y981">
        <f>'raw data Crude oil'!Y982</f>
        <v>42.88</v>
      </c>
      <c r="Z981">
        <f>'raw data Crude oil'!Z982</f>
        <v>41.47</v>
      </c>
      <c r="AA981">
        <f>'raw data Crude oil'!AA982</f>
        <v>42.314</v>
      </c>
      <c r="AB981">
        <f>'raw data Crude oil'!AB982</f>
        <v>42.517000000000003</v>
      </c>
      <c r="AC981">
        <f>'raw data Crude oil'!AC982</f>
        <v>42.773000000000003</v>
      </c>
      <c r="AD981">
        <f>'raw data Crude oil'!AD982</f>
        <v>43.021999999999998</v>
      </c>
      <c r="AE981">
        <f>'raw data Crude oil'!AE982</f>
        <v>43.28</v>
      </c>
      <c r="AF981">
        <f>'raw data Crude oil'!AF982</f>
        <v>43.539000000000001</v>
      </c>
      <c r="AG981">
        <f>'raw data Crude oil'!AG982</f>
        <v>43.726999999999997</v>
      </c>
      <c r="AH981">
        <f>'raw data Crude oil'!AH982</f>
        <v>43.866999999999997</v>
      </c>
      <c r="AI981">
        <f>'raw data Crude oil'!AI982</f>
        <v>43.945999999999998</v>
      </c>
      <c r="AJ981">
        <f>'raw data Crude oil'!AJ982</f>
        <v>44.015000000000001</v>
      </c>
      <c r="AK981">
        <f>'raw data Crude oil'!AK982</f>
        <v>44.085000000000001</v>
      </c>
    </row>
    <row r="982" spans="1:37" x14ac:dyDescent="0.3">
      <c r="A982" s="18">
        <f>'raw data Crude oil'!A983</f>
        <v>44123</v>
      </c>
      <c r="B982">
        <f>'raw data Crude oil'!B983</f>
        <v>42.62</v>
      </c>
      <c r="C982">
        <f>'raw data Crude oil'!C983</f>
        <v>42.98</v>
      </c>
      <c r="D982">
        <f>'raw data Crude oil'!D983</f>
        <v>43.32</v>
      </c>
      <c r="E982">
        <f>'raw data Crude oil'!E983</f>
        <v>43.66</v>
      </c>
      <c r="F982">
        <f>'raw data Crude oil'!F983</f>
        <v>43.96</v>
      </c>
      <c r="G982">
        <f>'raw data Crude oil'!G983</f>
        <v>44.23</v>
      </c>
      <c r="H982">
        <f>'raw data Crude oil'!H983</f>
        <v>44.48</v>
      </c>
      <c r="I982">
        <f>'raw data Crude oil'!I983</f>
        <v>44.68</v>
      </c>
      <c r="J982">
        <f>'raw data Crude oil'!J983</f>
        <v>44.87</v>
      </c>
      <c r="K982">
        <f>'raw data Crude oil'!K983</f>
        <v>45.04</v>
      </c>
      <c r="L982">
        <f>'raw data Crude oil'!L983</f>
        <v>45.18</v>
      </c>
      <c r="M982">
        <f>'raw data Crude oil'!M983</f>
        <v>45.31</v>
      </c>
      <c r="N982">
        <f>'raw data Crude oil'!N983</f>
        <v>40.83</v>
      </c>
      <c r="O982">
        <f>'raw data Crude oil'!O983</f>
        <v>41.06</v>
      </c>
      <c r="P982">
        <f>'raw data Crude oil'!P983</f>
        <v>41.34</v>
      </c>
      <c r="Q982">
        <f>'raw data Crude oil'!Q983</f>
        <v>41.63</v>
      </c>
      <c r="R982">
        <f>'raw data Crude oil'!R983</f>
        <v>41.9</v>
      </c>
      <c r="S982">
        <f>'raw data Crude oil'!S983</f>
        <v>42.13</v>
      </c>
      <c r="T982">
        <f>'raw data Crude oil'!T983</f>
        <v>42.34</v>
      </c>
      <c r="U982">
        <f>'raw data Crude oil'!U983</f>
        <v>42.5</v>
      </c>
      <c r="V982">
        <f>'raw data Crude oil'!V983</f>
        <v>42.65</v>
      </c>
      <c r="W982">
        <f>'raw data Crude oil'!W983</f>
        <v>42.73</v>
      </c>
      <c r="X982">
        <f>'raw data Crude oil'!X983</f>
        <v>42.83</v>
      </c>
      <c r="Y982">
        <f>'raw data Crude oil'!Y983</f>
        <v>42.9</v>
      </c>
      <c r="Z982">
        <f>'raw data Crude oil'!Z983</f>
        <v>41.384999999999998</v>
      </c>
      <c r="AA982">
        <f>'raw data Crude oil'!AA983</f>
        <v>42.116</v>
      </c>
      <c r="AB982">
        <f>'raw data Crude oil'!AB983</f>
        <v>42.311</v>
      </c>
      <c r="AC982">
        <f>'raw data Crude oil'!AC983</f>
        <v>42.555</v>
      </c>
      <c r="AD982">
        <f>'raw data Crude oil'!AD983</f>
        <v>42.823999999999998</v>
      </c>
      <c r="AE982">
        <f>'raw data Crude oil'!AE983</f>
        <v>43.091000000000001</v>
      </c>
      <c r="AF982">
        <f>'raw data Crude oil'!AF983</f>
        <v>43.36</v>
      </c>
      <c r="AG982">
        <f>'raw data Crude oil'!AG983</f>
        <v>43.578000000000003</v>
      </c>
      <c r="AH982">
        <f>'raw data Crude oil'!AH983</f>
        <v>43.758000000000003</v>
      </c>
      <c r="AI982">
        <f>'raw data Crude oil'!AI983</f>
        <v>43.866</v>
      </c>
      <c r="AJ982">
        <f>'raw data Crude oil'!AJ983</f>
        <v>43.936</v>
      </c>
      <c r="AK982">
        <f>'raw data Crude oil'!AK983</f>
        <v>44.015000000000001</v>
      </c>
    </row>
    <row r="983" spans="1:37" x14ac:dyDescent="0.3">
      <c r="A983" s="18">
        <f>'raw data Crude oil'!A984</f>
        <v>44124</v>
      </c>
      <c r="B983">
        <f>'raw data Crude oil'!B984</f>
        <v>43.16</v>
      </c>
      <c r="C983">
        <f>'raw data Crude oil'!C984</f>
        <v>43.53</v>
      </c>
      <c r="D983">
        <f>'raw data Crude oil'!D984</f>
        <v>43.86</v>
      </c>
      <c r="E983">
        <f>'raw data Crude oil'!E984</f>
        <v>44.18</v>
      </c>
      <c r="F983">
        <f>'raw data Crude oil'!F984</f>
        <v>44.47</v>
      </c>
      <c r="G983">
        <f>'raw data Crude oil'!G984</f>
        <v>44.74</v>
      </c>
      <c r="H983">
        <f>'raw data Crude oil'!H984</f>
        <v>44.99</v>
      </c>
      <c r="I983">
        <f>'raw data Crude oil'!I984</f>
        <v>45.19</v>
      </c>
      <c r="J983">
        <f>'raw data Crude oil'!J984</f>
        <v>45.37</v>
      </c>
      <c r="K983">
        <f>'raw data Crude oil'!K984</f>
        <v>45.53</v>
      </c>
      <c r="L983">
        <f>'raw data Crude oil'!L984</f>
        <v>45.66</v>
      </c>
      <c r="M983">
        <f>'raw data Crude oil'!M984</f>
        <v>45.79</v>
      </c>
      <c r="N983">
        <f>'raw data Crude oil'!N984</f>
        <v>41.46</v>
      </c>
      <c r="O983">
        <f>'raw data Crude oil'!O984</f>
        <v>41.7</v>
      </c>
      <c r="P983">
        <f>'raw data Crude oil'!P984</f>
        <v>41.97</v>
      </c>
      <c r="Q983">
        <f>'raw data Crude oil'!Q984</f>
        <v>42.24</v>
      </c>
      <c r="R983">
        <f>'raw data Crude oil'!R984</f>
        <v>42.5</v>
      </c>
      <c r="S983">
        <f>'raw data Crude oil'!S984</f>
        <v>42.72</v>
      </c>
      <c r="T983">
        <f>'raw data Crude oil'!T984</f>
        <v>42.91</v>
      </c>
      <c r="U983">
        <f>'raw data Crude oil'!U984</f>
        <v>43.08</v>
      </c>
      <c r="V983">
        <f>'raw data Crude oil'!V984</f>
        <v>43.2</v>
      </c>
      <c r="W983">
        <f>'raw data Crude oil'!W984</f>
        <v>43.29</v>
      </c>
      <c r="X983">
        <f>'raw data Crude oil'!X984</f>
        <v>43.36</v>
      </c>
      <c r="Y983">
        <f>'raw data Crude oil'!Y984</f>
        <v>43.41</v>
      </c>
      <c r="Z983">
        <f>'raw data Crude oil'!Z984</f>
        <v>41.552</v>
      </c>
      <c r="AA983">
        <f>'raw data Crude oil'!AA984</f>
        <v>42.625999999999998</v>
      </c>
      <c r="AB983">
        <f>'raw data Crude oil'!AB984</f>
        <v>42.838999999999999</v>
      </c>
      <c r="AC983">
        <f>'raw data Crude oil'!AC984</f>
        <v>43.064999999999998</v>
      </c>
      <c r="AD983">
        <f>'raw data Crude oil'!AD984</f>
        <v>43.323999999999998</v>
      </c>
      <c r="AE983">
        <f>'raw data Crude oil'!AE984</f>
        <v>43.600999999999999</v>
      </c>
      <c r="AF983">
        <f>'raw data Crude oil'!AF984</f>
        <v>43.84</v>
      </c>
      <c r="AG983">
        <f>'raw data Crude oil'!AG984</f>
        <v>44.076999999999998</v>
      </c>
      <c r="AH983">
        <f>'raw data Crude oil'!AH984</f>
        <v>44.237000000000002</v>
      </c>
      <c r="AI983">
        <f>'raw data Crude oil'!AI984</f>
        <v>44.316000000000003</v>
      </c>
      <c r="AJ983">
        <f>'raw data Crude oil'!AJ984</f>
        <v>44.396000000000001</v>
      </c>
      <c r="AK983">
        <f>'raw data Crude oil'!AK984</f>
        <v>44.484999999999999</v>
      </c>
    </row>
    <row r="984" spans="1:37" x14ac:dyDescent="0.3">
      <c r="A984" s="18">
        <f>'raw data Crude oil'!A985</f>
        <v>44125</v>
      </c>
      <c r="B984">
        <f>'raw data Crude oil'!B985</f>
        <v>41.73</v>
      </c>
      <c r="C984">
        <f>'raw data Crude oil'!C985</f>
        <v>42.07</v>
      </c>
      <c r="D984">
        <f>'raw data Crude oil'!D985</f>
        <v>42.4</v>
      </c>
      <c r="E984">
        <f>'raw data Crude oil'!E985</f>
        <v>42.72</v>
      </c>
      <c r="F984">
        <f>'raw data Crude oil'!F985</f>
        <v>43.02</v>
      </c>
      <c r="G984">
        <f>'raw data Crude oil'!G985</f>
        <v>43.3</v>
      </c>
      <c r="H984">
        <f>'raw data Crude oil'!H985</f>
        <v>43.57</v>
      </c>
      <c r="I984">
        <f>'raw data Crude oil'!I985</f>
        <v>43.77</v>
      </c>
      <c r="J984">
        <f>'raw data Crude oil'!J985</f>
        <v>43.96</v>
      </c>
      <c r="K984">
        <f>'raw data Crude oil'!K985</f>
        <v>44.13</v>
      </c>
      <c r="L984">
        <f>'raw data Crude oil'!L985</f>
        <v>44.27</v>
      </c>
      <c r="M984">
        <f>'raw data Crude oil'!M985</f>
        <v>44.41</v>
      </c>
      <c r="N984">
        <f>'raw data Crude oil'!N985</f>
        <v>40.03</v>
      </c>
      <c r="O984">
        <f>'raw data Crude oil'!O985</f>
        <v>40.31</v>
      </c>
      <c r="P984">
        <f>'raw data Crude oil'!P985</f>
        <v>40.61</v>
      </c>
      <c r="Q984">
        <f>'raw data Crude oil'!Q985</f>
        <v>40.9</v>
      </c>
      <c r="R984">
        <f>'raw data Crude oil'!R985</f>
        <v>41.15</v>
      </c>
      <c r="S984">
        <f>'raw data Crude oil'!S985</f>
        <v>41.37</v>
      </c>
      <c r="T984">
        <f>'raw data Crude oil'!T985</f>
        <v>41.56</v>
      </c>
      <c r="U984">
        <f>'raw data Crude oil'!U985</f>
        <v>41.71</v>
      </c>
      <c r="V984">
        <f>'raw data Crude oil'!V985</f>
        <v>41.83</v>
      </c>
      <c r="W984">
        <f>'raw data Crude oil'!W985</f>
        <v>41.92</v>
      </c>
      <c r="X984">
        <f>'raw data Crude oil'!X985</f>
        <v>42</v>
      </c>
      <c r="Y984">
        <f>'raw data Crude oil'!Y985</f>
        <v>42.07</v>
      </c>
      <c r="Z984">
        <f>'raw data Crude oil'!Z985</f>
        <v>41.061999999999998</v>
      </c>
      <c r="AA984">
        <f>'raw data Crude oil'!AA985</f>
        <v>41.176000000000002</v>
      </c>
      <c r="AB984">
        <f>'raw data Crude oil'!AB985</f>
        <v>41.378999999999998</v>
      </c>
      <c r="AC984">
        <f>'raw data Crude oil'!AC985</f>
        <v>41.604999999999997</v>
      </c>
      <c r="AD984">
        <f>'raw data Crude oil'!AD985</f>
        <v>41.853999999999999</v>
      </c>
      <c r="AE984">
        <f>'raw data Crude oil'!AE985</f>
        <v>42.142000000000003</v>
      </c>
      <c r="AF984">
        <f>'raw data Crude oil'!AF985</f>
        <v>42.4</v>
      </c>
      <c r="AG984">
        <f>'raw data Crude oil'!AG985</f>
        <v>42.628</v>
      </c>
      <c r="AH984">
        <f>'raw data Crude oil'!AH985</f>
        <v>42.787999999999997</v>
      </c>
      <c r="AI984">
        <f>'raw data Crude oil'!AI985</f>
        <v>42.886000000000003</v>
      </c>
      <c r="AJ984">
        <f>'raw data Crude oil'!AJ985</f>
        <v>42.975999999999999</v>
      </c>
      <c r="AK984">
        <f>'raw data Crude oil'!AK985</f>
        <v>43.075000000000003</v>
      </c>
    </row>
    <row r="985" spans="1:37" x14ac:dyDescent="0.3">
      <c r="A985" s="18">
        <f>'raw data Crude oil'!A986</f>
        <v>44126</v>
      </c>
      <c r="B985">
        <f>'raw data Crude oil'!B986</f>
        <v>42.46</v>
      </c>
      <c r="C985">
        <f>'raw data Crude oil'!C986</f>
        <v>42.78</v>
      </c>
      <c r="D985">
        <f>'raw data Crude oil'!D986</f>
        <v>43.07</v>
      </c>
      <c r="E985">
        <f>'raw data Crude oil'!E986</f>
        <v>43.36</v>
      </c>
      <c r="F985">
        <f>'raw data Crude oil'!F986</f>
        <v>43.64</v>
      </c>
      <c r="G985">
        <f>'raw data Crude oil'!G986</f>
        <v>43.89</v>
      </c>
      <c r="H985">
        <f>'raw data Crude oil'!H986</f>
        <v>44.14</v>
      </c>
      <c r="I985">
        <f>'raw data Crude oil'!I986</f>
        <v>44.33</v>
      </c>
      <c r="J985">
        <f>'raw data Crude oil'!J986</f>
        <v>44.51</v>
      </c>
      <c r="K985">
        <f>'raw data Crude oil'!K986</f>
        <v>44.68</v>
      </c>
      <c r="L985">
        <f>'raw data Crude oil'!L986</f>
        <v>44.82</v>
      </c>
      <c r="M985">
        <f>'raw data Crude oil'!M986</f>
        <v>44.94</v>
      </c>
      <c r="N985">
        <f>'raw data Crude oil'!N986</f>
        <v>40.64</v>
      </c>
      <c r="O985">
        <f>'raw data Crude oil'!O986</f>
        <v>40.94</v>
      </c>
      <c r="P985">
        <f>'raw data Crude oil'!P986</f>
        <v>41.23</v>
      </c>
      <c r="Q985">
        <f>'raw data Crude oil'!Q986</f>
        <v>41.5</v>
      </c>
      <c r="R985">
        <f>'raw data Crude oil'!R986</f>
        <v>41.74</v>
      </c>
      <c r="S985">
        <f>'raw data Crude oil'!S986</f>
        <v>41.95</v>
      </c>
      <c r="T985">
        <f>'raw data Crude oil'!T986</f>
        <v>42.13</v>
      </c>
      <c r="U985">
        <f>'raw data Crude oil'!U986</f>
        <v>42.27</v>
      </c>
      <c r="V985">
        <f>'raw data Crude oil'!V986</f>
        <v>42.38</v>
      </c>
      <c r="W985">
        <f>'raw data Crude oil'!W986</f>
        <v>42.47</v>
      </c>
      <c r="X985">
        <f>'raw data Crude oil'!X986</f>
        <v>42.54</v>
      </c>
      <c r="Y985">
        <f>'raw data Crude oil'!Y986</f>
        <v>42.6</v>
      </c>
      <c r="Z985">
        <f>'raw data Crude oil'!Z986</f>
        <v>41.29</v>
      </c>
      <c r="AA985">
        <f>'raw data Crude oil'!AA986</f>
        <v>41.914000000000001</v>
      </c>
      <c r="AB985">
        <f>'raw data Crude oil'!AB986</f>
        <v>42.076000000000001</v>
      </c>
      <c r="AC985">
        <f>'raw data Crude oil'!AC986</f>
        <v>42.274000000000001</v>
      </c>
      <c r="AD985">
        <f>'raw data Crude oil'!AD986</f>
        <v>42.503</v>
      </c>
      <c r="AE985">
        <f>'raw data Crude oil'!AE986</f>
        <v>42.761000000000003</v>
      </c>
      <c r="AF985">
        <f>'raw data Crude oil'!AF986</f>
        <v>43.009</v>
      </c>
      <c r="AG985">
        <f>'raw data Crude oil'!AG986</f>
        <v>43.216999999999999</v>
      </c>
      <c r="AH985">
        <f>'raw data Crude oil'!AH986</f>
        <v>43.398000000000003</v>
      </c>
      <c r="AI985">
        <f>'raw data Crude oil'!AI986</f>
        <v>43.475999999999999</v>
      </c>
      <c r="AJ985">
        <f>'raw data Crude oil'!AJ986</f>
        <v>43.555</v>
      </c>
      <c r="AK985">
        <f>'raw data Crude oil'!AK986</f>
        <v>43.625</v>
      </c>
    </row>
    <row r="986" spans="1:37" x14ac:dyDescent="0.3">
      <c r="A986" s="18">
        <f>'raw data Crude oil'!A987</f>
        <v>44127</v>
      </c>
      <c r="B986">
        <f>'raw data Crude oil'!B987</f>
        <v>41.77</v>
      </c>
      <c r="C986">
        <f>'raw data Crude oil'!C987</f>
        <v>42.07</v>
      </c>
      <c r="D986">
        <f>'raw data Crude oil'!D987</f>
        <v>42.35</v>
      </c>
      <c r="E986">
        <f>'raw data Crude oil'!E987</f>
        <v>42.63</v>
      </c>
      <c r="F986">
        <f>'raw data Crude oil'!F987</f>
        <v>42.89</v>
      </c>
      <c r="G986">
        <f>'raw data Crude oil'!G987</f>
        <v>43.14</v>
      </c>
      <c r="H986">
        <f>'raw data Crude oil'!H987</f>
        <v>43.39</v>
      </c>
      <c r="I986">
        <f>'raw data Crude oil'!I987</f>
        <v>43.58</v>
      </c>
      <c r="J986">
        <f>'raw data Crude oil'!J987</f>
        <v>43.76</v>
      </c>
      <c r="K986">
        <f>'raw data Crude oil'!K987</f>
        <v>43.93</v>
      </c>
      <c r="L986">
        <f>'raw data Crude oil'!L987</f>
        <v>44.07</v>
      </c>
      <c r="M986">
        <f>'raw data Crude oil'!M987</f>
        <v>44.2</v>
      </c>
      <c r="N986">
        <f>'raw data Crude oil'!N987</f>
        <v>39.85</v>
      </c>
      <c r="O986">
        <f>'raw data Crude oil'!O987</f>
        <v>40.15</v>
      </c>
      <c r="P986">
        <f>'raw data Crude oil'!P987</f>
        <v>40.450000000000003</v>
      </c>
      <c r="Q986">
        <f>'raw data Crude oil'!Q987</f>
        <v>40.729999999999997</v>
      </c>
      <c r="R986">
        <f>'raw data Crude oil'!R987</f>
        <v>40.97</v>
      </c>
      <c r="S986">
        <f>'raw data Crude oil'!S987</f>
        <v>41.18</v>
      </c>
      <c r="T986">
        <f>'raw data Crude oil'!T987</f>
        <v>41.36</v>
      </c>
      <c r="U986">
        <f>'raw data Crude oil'!U987</f>
        <v>41.51</v>
      </c>
      <c r="V986">
        <f>'raw data Crude oil'!V987</f>
        <v>41.63</v>
      </c>
      <c r="W986">
        <f>'raw data Crude oil'!W987</f>
        <v>41.72</v>
      </c>
      <c r="X986">
        <f>'raw data Crude oil'!X987</f>
        <v>41.79</v>
      </c>
      <c r="Y986">
        <f>'raw data Crude oil'!Y987</f>
        <v>41.86</v>
      </c>
      <c r="Z986">
        <f>'raw data Crude oil'!Z987</f>
        <v>41.164000000000001</v>
      </c>
      <c r="AA986">
        <f>'raw data Crude oil'!AA987</f>
        <v>41.302999999999997</v>
      </c>
      <c r="AB986">
        <f>'raw data Crude oil'!AB987</f>
        <v>41.465000000000003</v>
      </c>
      <c r="AC986">
        <f>'raw data Crude oil'!AC987</f>
        <v>41.652999999999999</v>
      </c>
      <c r="AD986">
        <f>'raw data Crude oil'!AD987</f>
        <v>41.843000000000004</v>
      </c>
      <c r="AE986">
        <f>'raw data Crude oil'!AE987</f>
        <v>42.081000000000003</v>
      </c>
      <c r="AF986">
        <f>'raw data Crude oil'!AF987</f>
        <v>42.329000000000001</v>
      </c>
      <c r="AG986">
        <f>'raw data Crude oil'!AG987</f>
        <v>42.557000000000002</v>
      </c>
      <c r="AH986">
        <f>'raw data Crude oil'!AH987</f>
        <v>42.688000000000002</v>
      </c>
      <c r="AI986">
        <f>'raw data Crude oil'!AI987</f>
        <v>42.776000000000003</v>
      </c>
      <c r="AJ986">
        <f>'raw data Crude oil'!AJ987</f>
        <v>42.845999999999997</v>
      </c>
      <c r="AK986">
        <f>'raw data Crude oil'!AK987</f>
        <v>42.914999999999999</v>
      </c>
    </row>
    <row r="987" spans="1:37" x14ac:dyDescent="0.3">
      <c r="A987" s="18">
        <f>'raw data Crude oil'!A988</f>
        <v>44130</v>
      </c>
      <c r="B987">
        <f>'raw data Crude oil'!B988</f>
        <v>40.46</v>
      </c>
      <c r="C987">
        <f>'raw data Crude oil'!C988</f>
        <v>40.81</v>
      </c>
      <c r="D987">
        <f>'raw data Crude oil'!D988</f>
        <v>41.16</v>
      </c>
      <c r="E987">
        <f>'raw data Crude oil'!E988</f>
        <v>41.5</v>
      </c>
      <c r="F987">
        <f>'raw data Crude oil'!F988</f>
        <v>41.8</v>
      </c>
      <c r="G987">
        <f>'raw data Crude oil'!G988</f>
        <v>42.08</v>
      </c>
      <c r="H987">
        <f>'raw data Crude oil'!H988</f>
        <v>42.35</v>
      </c>
      <c r="I987">
        <f>'raw data Crude oil'!I988</f>
        <v>42.55</v>
      </c>
      <c r="J987">
        <f>'raw data Crude oil'!J988</f>
        <v>42.74</v>
      </c>
      <c r="K987">
        <f>'raw data Crude oil'!K988</f>
        <v>42.92</v>
      </c>
      <c r="L987">
        <f>'raw data Crude oil'!L988</f>
        <v>43.07</v>
      </c>
      <c r="M987">
        <f>'raw data Crude oil'!M988</f>
        <v>43.21</v>
      </c>
      <c r="N987">
        <f>'raw data Crude oil'!N988</f>
        <v>38.56</v>
      </c>
      <c r="O987">
        <f>'raw data Crude oil'!O988</f>
        <v>38.89</v>
      </c>
      <c r="P987">
        <f>'raw data Crude oil'!P988</f>
        <v>39.22</v>
      </c>
      <c r="Q987">
        <f>'raw data Crude oil'!Q988</f>
        <v>39.54</v>
      </c>
      <c r="R987">
        <f>'raw data Crude oil'!R988</f>
        <v>39.82</v>
      </c>
      <c r="S987">
        <f>'raw data Crude oil'!S988</f>
        <v>40.07</v>
      </c>
      <c r="T987">
        <f>'raw data Crude oil'!T988</f>
        <v>40.28</v>
      </c>
      <c r="U987">
        <f>'raw data Crude oil'!U988</f>
        <v>40.450000000000003</v>
      </c>
      <c r="V987">
        <f>'raw data Crude oil'!V988</f>
        <v>40.590000000000003</v>
      </c>
      <c r="W987">
        <f>'raw data Crude oil'!W988</f>
        <v>40.71</v>
      </c>
      <c r="X987">
        <f>'raw data Crude oil'!X988</f>
        <v>40.799999999999997</v>
      </c>
      <c r="Y987">
        <f>'raw data Crude oil'!Y988</f>
        <v>40.89</v>
      </c>
      <c r="Z987">
        <f>'raw data Crude oil'!Z988</f>
        <v>40.865000000000002</v>
      </c>
      <c r="AA987">
        <f>'raw data Crude oil'!AA988</f>
        <v>40.036999999999999</v>
      </c>
      <c r="AB987">
        <f>'raw data Crude oil'!AB988</f>
        <v>40.250999999999998</v>
      </c>
      <c r="AC987">
        <f>'raw data Crude oil'!AC988</f>
        <v>40.465000000000003</v>
      </c>
      <c r="AD987">
        <f>'raw data Crude oil'!AD988</f>
        <v>40.694000000000003</v>
      </c>
      <c r="AE987">
        <f>'raw data Crude oil'!AE988</f>
        <v>40.972000000000001</v>
      </c>
      <c r="AF987">
        <f>'raw data Crude oil'!AF988</f>
        <v>41.24</v>
      </c>
      <c r="AG987">
        <f>'raw data Crude oil'!AG988</f>
        <v>41.468000000000004</v>
      </c>
      <c r="AH987">
        <f>'raw data Crude oil'!AH988</f>
        <v>41.597999999999999</v>
      </c>
      <c r="AI987">
        <f>'raw data Crude oil'!AI988</f>
        <v>41.707000000000001</v>
      </c>
      <c r="AJ987">
        <f>'raw data Crude oil'!AJ988</f>
        <v>41.826000000000001</v>
      </c>
      <c r="AK987">
        <f>'raw data Crude oil'!AK988</f>
        <v>41.926000000000002</v>
      </c>
    </row>
    <row r="988" spans="1:37" x14ac:dyDescent="0.3">
      <c r="A988" s="18">
        <f>'raw data Crude oil'!A989</f>
        <v>44131</v>
      </c>
      <c r="B988">
        <f>'raw data Crude oil'!B989</f>
        <v>41.2</v>
      </c>
      <c r="C988">
        <f>'raw data Crude oil'!C989</f>
        <v>41.61</v>
      </c>
      <c r="D988">
        <f>'raw data Crude oil'!D989</f>
        <v>41.95</v>
      </c>
      <c r="E988">
        <f>'raw data Crude oil'!E989</f>
        <v>42.28</v>
      </c>
      <c r="F988">
        <f>'raw data Crude oil'!F989</f>
        <v>42.56</v>
      </c>
      <c r="G988">
        <f>'raw data Crude oil'!G989</f>
        <v>42.83</v>
      </c>
      <c r="H988">
        <f>'raw data Crude oil'!H989</f>
        <v>43.08</v>
      </c>
      <c r="I988">
        <f>'raw data Crude oil'!I989</f>
        <v>43.27</v>
      </c>
      <c r="J988">
        <f>'raw data Crude oil'!J989</f>
        <v>43.44</v>
      </c>
      <c r="K988">
        <f>'raw data Crude oil'!K989</f>
        <v>43.61</v>
      </c>
      <c r="L988">
        <f>'raw data Crude oil'!L989</f>
        <v>43.76</v>
      </c>
      <c r="M988">
        <f>'raw data Crude oil'!M989</f>
        <v>43.9</v>
      </c>
      <c r="N988">
        <f>'raw data Crude oil'!N989</f>
        <v>39.57</v>
      </c>
      <c r="O988">
        <f>'raw data Crude oil'!O989</f>
        <v>39.869999999999997</v>
      </c>
      <c r="P988">
        <f>'raw data Crude oil'!P989</f>
        <v>40.18</v>
      </c>
      <c r="Q988">
        <f>'raw data Crude oil'!Q989</f>
        <v>40.46</v>
      </c>
      <c r="R988">
        <f>'raw data Crude oil'!R989</f>
        <v>40.72</v>
      </c>
      <c r="S988">
        <f>'raw data Crude oil'!S989</f>
        <v>40.94</v>
      </c>
      <c r="T988">
        <f>'raw data Crude oil'!T989</f>
        <v>41.14</v>
      </c>
      <c r="U988">
        <f>'raw data Crude oil'!U989</f>
        <v>41.28</v>
      </c>
      <c r="V988">
        <f>'raw data Crude oil'!V989</f>
        <v>41.4</v>
      </c>
      <c r="W988">
        <f>'raw data Crude oil'!W989</f>
        <v>41.52</v>
      </c>
      <c r="X988">
        <f>'raw data Crude oil'!X989</f>
        <v>41.59</v>
      </c>
      <c r="Y988">
        <f>'raw data Crude oil'!Y989</f>
        <v>41.66</v>
      </c>
      <c r="Z988">
        <f>'raw data Crude oil'!Z989</f>
        <v>40.966999999999999</v>
      </c>
      <c r="AA988">
        <f>'raw data Crude oil'!AA989</f>
        <v>40.805999999999997</v>
      </c>
      <c r="AB988">
        <f>'raw data Crude oil'!AB989</f>
        <v>41.05</v>
      </c>
      <c r="AC988">
        <f>'raw data Crude oil'!AC989</f>
        <v>41.264000000000003</v>
      </c>
      <c r="AD988">
        <f>'raw data Crude oil'!AD989</f>
        <v>41.484000000000002</v>
      </c>
      <c r="AE988">
        <f>'raw data Crude oil'!AE989</f>
        <v>41.750999999999998</v>
      </c>
      <c r="AF988">
        <f>'raw data Crude oil'!AF989</f>
        <v>41.988999999999997</v>
      </c>
      <c r="AG988">
        <f>'raw data Crude oil'!AG989</f>
        <v>42.195999999999998</v>
      </c>
      <c r="AH988">
        <f>'raw data Crude oil'!AH989</f>
        <v>42.347999999999999</v>
      </c>
      <c r="AI988">
        <f>'raw data Crude oil'!AI989</f>
        <v>42.417000000000002</v>
      </c>
      <c r="AJ988">
        <f>'raw data Crude oil'!AJ989</f>
        <v>42.515999999999998</v>
      </c>
      <c r="AK988">
        <f>'raw data Crude oil'!AK989</f>
        <v>42.615000000000002</v>
      </c>
    </row>
    <row r="989" spans="1:37" x14ac:dyDescent="0.3">
      <c r="A989" s="18">
        <f>'raw data Crude oil'!A990</f>
        <v>44132</v>
      </c>
      <c r="B989">
        <f>'raw data Crude oil'!B990</f>
        <v>39.119999999999997</v>
      </c>
      <c r="C989">
        <f>'raw data Crude oil'!C990</f>
        <v>39.64</v>
      </c>
      <c r="D989">
        <f>'raw data Crude oil'!D990</f>
        <v>40.03</v>
      </c>
      <c r="E989">
        <f>'raw data Crude oil'!E990</f>
        <v>40.4</v>
      </c>
      <c r="F989">
        <f>'raw data Crude oil'!F990</f>
        <v>40.74</v>
      </c>
      <c r="G989">
        <f>'raw data Crude oil'!G990</f>
        <v>41.05</v>
      </c>
      <c r="H989">
        <f>'raw data Crude oil'!H990</f>
        <v>41.34</v>
      </c>
      <c r="I989">
        <f>'raw data Crude oil'!I990</f>
        <v>41.56</v>
      </c>
      <c r="J989">
        <f>'raw data Crude oil'!J990</f>
        <v>41.76</v>
      </c>
      <c r="K989">
        <f>'raw data Crude oil'!K990</f>
        <v>41.96</v>
      </c>
      <c r="L989">
        <f>'raw data Crude oil'!L990</f>
        <v>42.13</v>
      </c>
      <c r="M989">
        <f>'raw data Crude oil'!M990</f>
        <v>42.28</v>
      </c>
      <c r="N989">
        <f>'raw data Crude oil'!N990</f>
        <v>37.39</v>
      </c>
      <c r="O989">
        <f>'raw data Crude oil'!O990</f>
        <v>37.72</v>
      </c>
      <c r="P989">
        <f>'raw data Crude oil'!P990</f>
        <v>38.08</v>
      </c>
      <c r="Q989">
        <f>'raw data Crude oil'!Q990</f>
        <v>38.43</v>
      </c>
      <c r="R989">
        <f>'raw data Crude oil'!R990</f>
        <v>38.75</v>
      </c>
      <c r="S989">
        <f>'raw data Crude oil'!S990</f>
        <v>39.04</v>
      </c>
      <c r="T989">
        <f>'raw data Crude oil'!T990</f>
        <v>39.299999999999997</v>
      </c>
      <c r="U989">
        <f>'raw data Crude oil'!U990</f>
        <v>39.51</v>
      </c>
      <c r="V989">
        <f>'raw data Crude oil'!V990</f>
        <v>39.68</v>
      </c>
      <c r="W989">
        <f>'raw data Crude oil'!W990</f>
        <v>39.82</v>
      </c>
      <c r="X989">
        <f>'raw data Crude oil'!X990</f>
        <v>39.93</v>
      </c>
      <c r="Y989">
        <f>'raw data Crude oil'!Y990</f>
        <v>40.04</v>
      </c>
      <c r="Z989">
        <f>'raw data Crude oil'!Z990</f>
        <v>40.731999999999999</v>
      </c>
      <c r="AA989">
        <f>'raw data Crude oil'!AA990</f>
        <v>38.929000000000002</v>
      </c>
      <c r="AB989">
        <f>'raw data Crude oil'!AB990</f>
        <v>39.154000000000003</v>
      </c>
      <c r="AC989">
        <f>'raw data Crude oil'!AC990</f>
        <v>39.406999999999996</v>
      </c>
      <c r="AD989">
        <f>'raw data Crude oil'!AD990</f>
        <v>39.686</v>
      </c>
      <c r="AE989">
        <f>'raw data Crude oil'!AE990</f>
        <v>39.982999999999997</v>
      </c>
      <c r="AF989">
        <f>'raw data Crude oil'!AF990</f>
        <v>40.26</v>
      </c>
      <c r="AG989">
        <f>'raw data Crude oil'!AG990</f>
        <v>40.518999999999998</v>
      </c>
      <c r="AH989">
        <f>'raw data Crude oil'!AH990</f>
        <v>40.679000000000002</v>
      </c>
      <c r="AI989">
        <f>'raw data Crude oil'!AI990</f>
        <v>40.808</v>
      </c>
      <c r="AJ989">
        <f>'raw data Crude oil'!AJ990</f>
        <v>40.917000000000002</v>
      </c>
      <c r="AK989">
        <f>'raw data Crude oil'!AK990</f>
        <v>41.017000000000003</v>
      </c>
    </row>
    <row r="990" spans="1:37" x14ac:dyDescent="0.3">
      <c r="A990" s="18">
        <f>'raw data Crude oil'!A991</f>
        <v>44133</v>
      </c>
      <c r="B990">
        <f>'raw data Crude oil'!B991</f>
        <v>37.65</v>
      </c>
      <c r="C990">
        <f>'raw data Crude oil'!C991</f>
        <v>38.26</v>
      </c>
      <c r="D990">
        <f>'raw data Crude oil'!D991</f>
        <v>38.69</v>
      </c>
      <c r="E990">
        <f>'raw data Crude oil'!E991</f>
        <v>39.11</v>
      </c>
      <c r="F990">
        <f>'raw data Crude oil'!F991</f>
        <v>39.5</v>
      </c>
      <c r="G990">
        <f>'raw data Crude oil'!G991</f>
        <v>39.85</v>
      </c>
      <c r="H990">
        <f>'raw data Crude oil'!H991</f>
        <v>40.159999999999997</v>
      </c>
      <c r="I990">
        <f>'raw data Crude oil'!I991</f>
        <v>40.409999999999997</v>
      </c>
      <c r="J990">
        <f>'raw data Crude oil'!J991</f>
        <v>40.64</v>
      </c>
      <c r="K990">
        <f>'raw data Crude oil'!K991</f>
        <v>40.869999999999997</v>
      </c>
      <c r="L990">
        <f>'raw data Crude oil'!L991</f>
        <v>41.07</v>
      </c>
      <c r="M990">
        <f>'raw data Crude oil'!M991</f>
        <v>41.26</v>
      </c>
      <c r="N990">
        <f>'raw data Crude oil'!N991</f>
        <v>36.17</v>
      </c>
      <c r="O990">
        <f>'raw data Crude oil'!O991</f>
        <v>36.51</v>
      </c>
      <c r="P990">
        <f>'raw data Crude oil'!P991</f>
        <v>36.869999999999997</v>
      </c>
      <c r="Q990">
        <f>'raw data Crude oil'!Q991</f>
        <v>37.25</v>
      </c>
      <c r="R990">
        <f>'raw data Crude oil'!R991</f>
        <v>37.6</v>
      </c>
      <c r="S990">
        <f>'raw data Crude oil'!S991</f>
        <v>37.9</v>
      </c>
      <c r="T990">
        <f>'raw data Crude oil'!T991</f>
        <v>38.18</v>
      </c>
      <c r="U990">
        <f>'raw data Crude oil'!U991</f>
        <v>38.409999999999997</v>
      </c>
      <c r="V990">
        <f>'raw data Crude oil'!V991</f>
        <v>38.61</v>
      </c>
      <c r="W990">
        <f>'raw data Crude oil'!W991</f>
        <v>38.770000000000003</v>
      </c>
      <c r="X990">
        <f>'raw data Crude oil'!X991</f>
        <v>38.92</v>
      </c>
      <c r="Y990">
        <f>'raw data Crude oil'!Y991</f>
        <v>39.06</v>
      </c>
      <c r="Z990">
        <f>'raw data Crude oil'!Z991</f>
        <v>40.664999999999999</v>
      </c>
      <c r="AA990">
        <f>'raw data Crude oil'!AA991</f>
        <v>37.65</v>
      </c>
      <c r="AB990">
        <f>'raw data Crude oil'!AB991</f>
        <v>37.887999999999998</v>
      </c>
      <c r="AC990">
        <f>'raw data Crude oil'!AC991</f>
        <v>38.159999999999997</v>
      </c>
      <c r="AD990">
        <f>'raw data Crude oil'!AD991</f>
        <v>38.468000000000004</v>
      </c>
      <c r="AE990">
        <f>'raw data Crude oil'!AE991</f>
        <v>38.792999999999999</v>
      </c>
      <c r="AF990">
        <f>'raw data Crude oil'!AF991</f>
        <v>39.101999999999997</v>
      </c>
      <c r="AG990">
        <f>'raw data Crude oil'!AG991</f>
        <v>39.392000000000003</v>
      </c>
      <c r="AH990">
        <f>'raw data Crude oil'!AH991</f>
        <v>39.56</v>
      </c>
      <c r="AI990">
        <f>'raw data Crude oil'!AI991</f>
        <v>39.728999999999999</v>
      </c>
      <c r="AJ990">
        <f>'raw data Crude oil'!AJ991</f>
        <v>39.878999999999998</v>
      </c>
      <c r="AK990">
        <f>'raw data Crude oil'!AK991</f>
        <v>40.006999999999998</v>
      </c>
    </row>
    <row r="991" spans="1:37" x14ac:dyDescent="0.3">
      <c r="A991" s="18">
        <f>'raw data Crude oil'!A992</f>
        <v>44134</v>
      </c>
      <c r="B991">
        <f>'raw data Crude oil'!B992</f>
        <v>37.46</v>
      </c>
      <c r="C991">
        <f>'raw data Crude oil'!C992</f>
        <v>37.94</v>
      </c>
      <c r="D991">
        <f>'raw data Crude oil'!D992</f>
        <v>38.4</v>
      </c>
      <c r="E991">
        <f>'raw data Crude oil'!E992</f>
        <v>38.85</v>
      </c>
      <c r="F991">
        <f>'raw data Crude oil'!F992</f>
        <v>39.28</v>
      </c>
      <c r="G991">
        <f>'raw data Crude oil'!G992</f>
        <v>39.69</v>
      </c>
      <c r="H991">
        <f>'raw data Crude oil'!H992</f>
        <v>40.04</v>
      </c>
      <c r="I991">
        <f>'raw data Crude oil'!I992</f>
        <v>40.31</v>
      </c>
      <c r="J991">
        <f>'raw data Crude oil'!J992</f>
        <v>40.58</v>
      </c>
      <c r="K991">
        <f>'raw data Crude oil'!K992</f>
        <v>40.840000000000003</v>
      </c>
      <c r="L991">
        <f>'raw data Crude oil'!L992</f>
        <v>41.07</v>
      </c>
      <c r="M991">
        <f>'raw data Crude oil'!M992</f>
        <v>41.28</v>
      </c>
      <c r="N991">
        <f>'raw data Crude oil'!N992</f>
        <v>35.79</v>
      </c>
      <c r="O991">
        <f>'raw data Crude oil'!O992</f>
        <v>36.15</v>
      </c>
      <c r="P991">
        <f>'raw data Crude oil'!P992</f>
        <v>36.57</v>
      </c>
      <c r="Q991">
        <f>'raw data Crude oil'!Q992</f>
        <v>37</v>
      </c>
      <c r="R991">
        <f>'raw data Crude oil'!R992</f>
        <v>37.4</v>
      </c>
      <c r="S991">
        <f>'raw data Crude oil'!S992</f>
        <v>37.76</v>
      </c>
      <c r="T991">
        <f>'raw data Crude oil'!T992</f>
        <v>38.07</v>
      </c>
      <c r="U991">
        <f>'raw data Crude oil'!U992</f>
        <v>38.35</v>
      </c>
      <c r="V991">
        <f>'raw data Crude oil'!V992</f>
        <v>38.58</v>
      </c>
      <c r="W991">
        <f>'raw data Crude oil'!W992</f>
        <v>38.770000000000003</v>
      </c>
      <c r="X991">
        <f>'raw data Crude oil'!X992</f>
        <v>38.950000000000003</v>
      </c>
      <c r="Y991">
        <f>'raw data Crude oil'!Y992</f>
        <v>39.119999999999997</v>
      </c>
      <c r="Z991">
        <f>'raw data Crude oil'!Z992</f>
        <v>40.661000000000001</v>
      </c>
      <c r="AA991">
        <f>'raw data Crude oil'!AA992</f>
        <v>37.322000000000003</v>
      </c>
      <c r="AB991">
        <f>'raw data Crude oil'!AB992</f>
        <v>37.581000000000003</v>
      </c>
      <c r="AC991">
        <f>'raw data Crude oil'!AC992</f>
        <v>37.851999999999997</v>
      </c>
      <c r="AD991">
        <f>'raw data Crude oil'!AD992</f>
        <v>38.201000000000001</v>
      </c>
      <c r="AE991">
        <f>'raw data Crude oil'!AE992</f>
        <v>38.575000000000003</v>
      </c>
      <c r="AF991">
        <f>'raw data Crude oil'!AF992</f>
        <v>38.933</v>
      </c>
      <c r="AG991">
        <f>'raw data Crude oil'!AG992</f>
        <v>39.225999999999999</v>
      </c>
      <c r="AH991">
        <f>'raw data Crude oil'!AH992</f>
        <v>39.462000000000003</v>
      </c>
      <c r="AI991">
        <f>'raw data Crude oil'!AI992</f>
        <v>39.68</v>
      </c>
      <c r="AJ991">
        <f>'raw data Crude oil'!AJ992</f>
        <v>39.869999999999997</v>
      </c>
      <c r="AK991">
        <f>'raw data Crude oil'!AK992</f>
        <v>40.029000000000003</v>
      </c>
    </row>
    <row r="992" spans="1:37" x14ac:dyDescent="0.3">
      <c r="A992" s="18">
        <f>'raw data Crude oil'!A993</f>
        <v>44137</v>
      </c>
      <c r="B992">
        <f>'raw data Crude oil'!B993</f>
        <v>38.97</v>
      </c>
      <c r="C992">
        <f>'raw data Crude oil'!C993</f>
        <v>39.46</v>
      </c>
      <c r="D992">
        <f>'raw data Crude oil'!D993</f>
        <v>39.94</v>
      </c>
      <c r="E992">
        <f>'raw data Crude oil'!E993</f>
        <v>40.39</v>
      </c>
      <c r="F992">
        <f>'raw data Crude oil'!F993</f>
        <v>40.81</v>
      </c>
      <c r="G992">
        <f>'raw data Crude oil'!G993</f>
        <v>41.18</v>
      </c>
      <c r="H992">
        <f>'raw data Crude oil'!H993</f>
        <v>41.47</v>
      </c>
      <c r="I992">
        <f>'raw data Crude oil'!I993</f>
        <v>41.74</v>
      </c>
      <c r="J992">
        <f>'raw data Crude oil'!J993</f>
        <v>42.01</v>
      </c>
      <c r="K992">
        <f>'raw data Crude oil'!K993</f>
        <v>42.24</v>
      </c>
      <c r="L992">
        <f>'raw data Crude oil'!L993</f>
        <v>42.46</v>
      </c>
      <c r="M992">
        <f>'raw data Crude oil'!M993</f>
        <v>42.67</v>
      </c>
      <c r="N992">
        <f>'raw data Crude oil'!N993</f>
        <v>36.81</v>
      </c>
      <c r="O992">
        <f>'raw data Crude oil'!O993</f>
        <v>37.18</v>
      </c>
      <c r="P992">
        <f>'raw data Crude oil'!P993</f>
        <v>37.630000000000003</v>
      </c>
      <c r="Q992">
        <f>'raw data Crude oil'!Q993</f>
        <v>38.08</v>
      </c>
      <c r="R992">
        <f>'raw data Crude oil'!R993</f>
        <v>38.51</v>
      </c>
      <c r="S992">
        <f>'raw data Crude oil'!S993</f>
        <v>38.89</v>
      </c>
      <c r="T992">
        <f>'raw data Crude oil'!T993</f>
        <v>39.24</v>
      </c>
      <c r="U992">
        <f>'raw data Crude oil'!U993</f>
        <v>39.54</v>
      </c>
      <c r="V992">
        <f>'raw data Crude oil'!V993</f>
        <v>39.79</v>
      </c>
      <c r="W992">
        <f>'raw data Crude oil'!W993</f>
        <v>40.020000000000003</v>
      </c>
      <c r="X992">
        <f>'raw data Crude oil'!X993</f>
        <v>40.22</v>
      </c>
      <c r="Y992">
        <f>'raw data Crude oil'!Y993</f>
        <v>40.409999999999997</v>
      </c>
      <c r="Z992">
        <f>'raw data Crude oil'!Z993</f>
        <v>40.661000000000001</v>
      </c>
      <c r="AA992">
        <f>'raw data Crude oil'!AA993</f>
        <v>38.445</v>
      </c>
      <c r="AB992">
        <f>'raw data Crude oil'!AB993</f>
        <v>38.774000000000001</v>
      </c>
      <c r="AC992">
        <f>'raw data Crude oil'!AC993</f>
        <v>39.052999999999997</v>
      </c>
      <c r="AD992">
        <f>'raw data Crude oil'!AD993</f>
        <v>39.350999999999999</v>
      </c>
      <c r="AE992">
        <f>'raw data Crude oil'!AE993</f>
        <v>39.706000000000003</v>
      </c>
      <c r="AF992">
        <f>'raw data Crude oil'!AF993</f>
        <v>40.084000000000003</v>
      </c>
      <c r="AG992">
        <f>'raw data Crude oil'!AG993</f>
        <v>40.375999999999998</v>
      </c>
      <c r="AH992">
        <f>'raw data Crude oil'!AH993</f>
        <v>40.612000000000002</v>
      </c>
      <c r="AI992">
        <f>'raw data Crude oil'!AI993</f>
        <v>40.82</v>
      </c>
      <c r="AJ992">
        <f>'raw data Crude oil'!AJ993</f>
        <v>41.01</v>
      </c>
      <c r="AK992">
        <f>'raw data Crude oil'!AK993</f>
        <v>41.17</v>
      </c>
    </row>
    <row r="993" spans="1:37" x14ac:dyDescent="0.3">
      <c r="A993" s="18">
        <f>'raw data Crude oil'!A994</f>
        <v>44138</v>
      </c>
      <c r="B993">
        <f>'raw data Crude oil'!B994</f>
        <v>39.71</v>
      </c>
      <c r="C993">
        <f>'raw data Crude oil'!C994</f>
        <v>40.15</v>
      </c>
      <c r="D993">
        <f>'raw data Crude oil'!D994</f>
        <v>40.6</v>
      </c>
      <c r="E993">
        <f>'raw data Crude oil'!E994</f>
        <v>41.01</v>
      </c>
      <c r="F993">
        <f>'raw data Crude oil'!F994</f>
        <v>41.39</v>
      </c>
      <c r="G993">
        <f>'raw data Crude oil'!G994</f>
        <v>41.73</v>
      </c>
      <c r="H993">
        <f>'raw data Crude oil'!H994</f>
        <v>42</v>
      </c>
      <c r="I993">
        <f>'raw data Crude oil'!I994</f>
        <v>42.25</v>
      </c>
      <c r="J993">
        <f>'raw data Crude oil'!J994</f>
        <v>42.51</v>
      </c>
      <c r="K993">
        <f>'raw data Crude oil'!K994</f>
        <v>42.72</v>
      </c>
      <c r="L993">
        <f>'raw data Crude oil'!L994</f>
        <v>42.91</v>
      </c>
      <c r="M993">
        <f>'raw data Crude oil'!M994</f>
        <v>43.09</v>
      </c>
      <c r="N993">
        <f>'raw data Crude oil'!N994</f>
        <v>37.659999999999997</v>
      </c>
      <c r="O993">
        <f>'raw data Crude oil'!O994</f>
        <v>37.99</v>
      </c>
      <c r="P993">
        <f>'raw data Crude oil'!P994</f>
        <v>38.409999999999997</v>
      </c>
      <c r="Q993">
        <f>'raw data Crude oil'!Q994</f>
        <v>38.83</v>
      </c>
      <c r="R993">
        <f>'raw data Crude oil'!R994</f>
        <v>39.21</v>
      </c>
      <c r="S993">
        <f>'raw data Crude oil'!S994</f>
        <v>39.549999999999997</v>
      </c>
      <c r="T993">
        <f>'raw data Crude oil'!T994</f>
        <v>39.85</v>
      </c>
      <c r="U993">
        <f>'raw data Crude oil'!U994</f>
        <v>40.11</v>
      </c>
      <c r="V993">
        <f>'raw data Crude oil'!V994</f>
        <v>40.32</v>
      </c>
      <c r="W993">
        <f>'raw data Crude oil'!W994</f>
        <v>40.51</v>
      </c>
      <c r="X993">
        <f>'raw data Crude oil'!X994</f>
        <v>40.67</v>
      </c>
      <c r="Y993">
        <f>'raw data Crude oil'!Y994</f>
        <v>40.82</v>
      </c>
      <c r="Z993">
        <f>'raw data Crude oil'!Z994</f>
        <v>39.226999999999997</v>
      </c>
      <c r="AA993">
        <f>'raw data Crude oil'!AA994</f>
        <v>39.540999999999997</v>
      </c>
      <c r="AB993">
        <f>'raw data Crude oil'!AB994</f>
        <v>39.780999999999999</v>
      </c>
      <c r="AC993">
        <f>'raw data Crude oil'!AC994</f>
        <v>40.039000000000001</v>
      </c>
      <c r="AD993">
        <f>'raw data Crude oil'!AD994</f>
        <v>40.365000000000002</v>
      </c>
      <c r="AE993">
        <f>'raw data Crude oil'!AE994</f>
        <v>40.692999999999998</v>
      </c>
      <c r="AF993">
        <f>'raw data Crude oil'!AF994</f>
        <v>40.973999999999997</v>
      </c>
      <c r="AG993">
        <f>'raw data Crude oil'!AG994</f>
        <v>41.182000000000002</v>
      </c>
      <c r="AH993">
        <f>'raw data Crude oil'!AH994</f>
        <v>41.35</v>
      </c>
      <c r="AI993">
        <f>'raw data Crude oil'!AI994</f>
        <v>41.488999999999997</v>
      </c>
      <c r="AJ993">
        <f>'raw data Crude oil'!AJ994</f>
        <v>41.607999999999997</v>
      </c>
      <c r="AK993">
        <f>'raw data Crude oil'!AK994</f>
        <v>41.728000000000002</v>
      </c>
    </row>
    <row r="994" spans="1:37" x14ac:dyDescent="0.3">
      <c r="A994" s="18">
        <f>'raw data Crude oil'!A995</f>
        <v>44139</v>
      </c>
      <c r="B994">
        <f>'raw data Crude oil'!B995</f>
        <v>41.23</v>
      </c>
      <c r="C994">
        <f>'raw data Crude oil'!C995</f>
        <v>41.61</v>
      </c>
      <c r="D994">
        <f>'raw data Crude oil'!D995</f>
        <v>41.99</v>
      </c>
      <c r="E994">
        <f>'raw data Crude oil'!E995</f>
        <v>42.36</v>
      </c>
      <c r="F994">
        <f>'raw data Crude oil'!F995</f>
        <v>42.71</v>
      </c>
      <c r="G994">
        <f>'raw data Crude oil'!G995</f>
        <v>43.02</v>
      </c>
      <c r="H994">
        <f>'raw data Crude oil'!H995</f>
        <v>43.24</v>
      </c>
      <c r="I994">
        <f>'raw data Crude oil'!I995</f>
        <v>43.47</v>
      </c>
      <c r="J994">
        <f>'raw data Crude oil'!J995</f>
        <v>43.69</v>
      </c>
      <c r="K994">
        <f>'raw data Crude oil'!K995</f>
        <v>43.88</v>
      </c>
      <c r="L994">
        <f>'raw data Crude oil'!L995</f>
        <v>44.05</v>
      </c>
      <c r="M994">
        <f>'raw data Crude oil'!M995</f>
        <v>44.21</v>
      </c>
      <c r="N994">
        <f>'raw data Crude oil'!N995</f>
        <v>39.15</v>
      </c>
      <c r="O994">
        <f>'raw data Crude oil'!O995</f>
        <v>39.47</v>
      </c>
      <c r="P994">
        <f>'raw data Crude oil'!P995</f>
        <v>39.86</v>
      </c>
      <c r="Q994">
        <f>'raw data Crude oil'!Q995</f>
        <v>40.24</v>
      </c>
      <c r="R994">
        <f>'raw data Crude oil'!R995</f>
        <v>40.590000000000003</v>
      </c>
      <c r="S994">
        <f>'raw data Crude oil'!S995</f>
        <v>40.89</v>
      </c>
      <c r="T994">
        <f>'raw data Crude oil'!T995</f>
        <v>41.15</v>
      </c>
      <c r="U994">
        <f>'raw data Crude oil'!U995</f>
        <v>41.38</v>
      </c>
      <c r="V994">
        <f>'raw data Crude oil'!V995</f>
        <v>41.56</v>
      </c>
      <c r="W994">
        <f>'raw data Crude oil'!W995</f>
        <v>41.72</v>
      </c>
      <c r="X994">
        <f>'raw data Crude oil'!X995</f>
        <v>41.85</v>
      </c>
      <c r="Y994">
        <f>'raw data Crude oil'!Y995</f>
        <v>41.98</v>
      </c>
      <c r="Z994">
        <f>'raw data Crude oil'!Z995</f>
        <v>40.473999999999997</v>
      </c>
      <c r="AA994">
        <f>'raw data Crude oil'!AA995</f>
        <v>40.975000000000001</v>
      </c>
      <c r="AB994">
        <f>'raw data Crude oil'!AB995</f>
        <v>41.179000000000002</v>
      </c>
      <c r="AC994">
        <f>'raw data Crude oil'!AC995</f>
        <v>41.417999999999999</v>
      </c>
      <c r="AD994">
        <f>'raw data Crude oil'!AD995</f>
        <v>41.703000000000003</v>
      </c>
      <c r="AE994">
        <f>'raw data Crude oil'!AE995</f>
        <v>42.01</v>
      </c>
      <c r="AF994">
        <f>'raw data Crude oil'!AF995</f>
        <v>42.271999999999998</v>
      </c>
      <c r="AG994">
        <f>'raw data Crude oil'!AG995</f>
        <v>42.46</v>
      </c>
      <c r="AH994">
        <f>'raw data Crude oil'!AH995</f>
        <v>42.598999999999997</v>
      </c>
      <c r="AI994">
        <f>'raw data Crude oil'!AI995</f>
        <v>42.707999999999998</v>
      </c>
      <c r="AJ994">
        <f>'raw data Crude oil'!AJ995</f>
        <v>42.807000000000002</v>
      </c>
      <c r="AK994">
        <f>'raw data Crude oil'!AK995</f>
        <v>42.906999999999996</v>
      </c>
    </row>
    <row r="995" spans="1:37" x14ac:dyDescent="0.3">
      <c r="A995" s="18">
        <f>'raw data Crude oil'!A996</f>
        <v>44140</v>
      </c>
      <c r="B995">
        <f>'raw data Crude oil'!B996</f>
        <v>40.93</v>
      </c>
      <c r="C995">
        <f>'raw data Crude oil'!C996</f>
        <v>41.3</v>
      </c>
      <c r="D995">
        <f>'raw data Crude oil'!D996</f>
        <v>41.66</v>
      </c>
      <c r="E995">
        <f>'raw data Crude oil'!E996</f>
        <v>42.02</v>
      </c>
      <c r="F995">
        <f>'raw data Crude oil'!F996</f>
        <v>42.35</v>
      </c>
      <c r="G995">
        <f>'raw data Crude oil'!G996</f>
        <v>42.65</v>
      </c>
      <c r="H995">
        <f>'raw data Crude oil'!H996</f>
        <v>42.88</v>
      </c>
      <c r="I995">
        <f>'raw data Crude oil'!I996</f>
        <v>43.1</v>
      </c>
      <c r="J995">
        <f>'raw data Crude oil'!J996</f>
        <v>43.32</v>
      </c>
      <c r="K995">
        <f>'raw data Crude oil'!K996</f>
        <v>43.51</v>
      </c>
      <c r="L995">
        <f>'raw data Crude oil'!L996</f>
        <v>43.68</v>
      </c>
      <c r="M995">
        <f>'raw data Crude oil'!M996</f>
        <v>43.84</v>
      </c>
      <c r="N995">
        <f>'raw data Crude oil'!N996</f>
        <v>38.79</v>
      </c>
      <c r="O995">
        <f>'raw data Crude oil'!O996</f>
        <v>39.11</v>
      </c>
      <c r="P995">
        <f>'raw data Crude oil'!P996</f>
        <v>39.479999999999997</v>
      </c>
      <c r="Q995">
        <f>'raw data Crude oil'!Q996</f>
        <v>39.869999999999997</v>
      </c>
      <c r="R995">
        <f>'raw data Crude oil'!R996</f>
        <v>40.22</v>
      </c>
      <c r="S995">
        <f>'raw data Crude oil'!S996</f>
        <v>40.520000000000003</v>
      </c>
      <c r="T995">
        <f>'raw data Crude oil'!T996</f>
        <v>40.79</v>
      </c>
      <c r="U995">
        <f>'raw data Crude oil'!U996</f>
        <v>41.02</v>
      </c>
      <c r="V995">
        <f>'raw data Crude oil'!V996</f>
        <v>41.2</v>
      </c>
      <c r="W995">
        <f>'raw data Crude oil'!W996</f>
        <v>41.37</v>
      </c>
      <c r="X995">
        <f>'raw data Crude oil'!X996</f>
        <v>41.5</v>
      </c>
      <c r="Y995">
        <f>'raw data Crude oil'!Y996</f>
        <v>41.63</v>
      </c>
      <c r="Z995">
        <f>'raw data Crude oil'!Z996</f>
        <v>40.232999999999997</v>
      </c>
      <c r="AA995">
        <f>'raw data Crude oil'!AA996</f>
        <v>40.643000000000001</v>
      </c>
      <c r="AB995">
        <f>'raw data Crude oil'!AB996</f>
        <v>40.798000000000002</v>
      </c>
      <c r="AC995">
        <f>'raw data Crude oil'!AC996</f>
        <v>41.027000000000001</v>
      </c>
      <c r="AD995">
        <f>'raw data Crude oil'!AD996</f>
        <v>41.292999999999999</v>
      </c>
      <c r="AE995">
        <f>'raw data Crude oil'!AE996</f>
        <v>41.591000000000001</v>
      </c>
      <c r="AF995">
        <f>'raw data Crude oil'!AF996</f>
        <v>41.850999999999999</v>
      </c>
      <c r="AG995">
        <f>'raw data Crude oil'!AG996</f>
        <v>42.07</v>
      </c>
      <c r="AH995">
        <f>'raw data Crude oil'!AH996</f>
        <v>42.219000000000001</v>
      </c>
      <c r="AI995">
        <f>'raw data Crude oil'!AI996</f>
        <v>42.338000000000001</v>
      </c>
      <c r="AJ995">
        <f>'raw data Crude oil'!AJ996</f>
        <v>42.436999999999998</v>
      </c>
      <c r="AK995">
        <f>'raw data Crude oil'!AK996</f>
        <v>42.536000000000001</v>
      </c>
    </row>
    <row r="996" spans="1:37" x14ac:dyDescent="0.3">
      <c r="A996" s="18">
        <f>'raw data Crude oil'!A997</f>
        <v>44141</v>
      </c>
      <c r="B996">
        <f>'raw data Crude oil'!B997</f>
        <v>39.450000000000003</v>
      </c>
      <c r="C996">
        <f>'raw data Crude oil'!C997</f>
        <v>39.840000000000003</v>
      </c>
      <c r="D996">
        <f>'raw data Crude oil'!D997</f>
        <v>40.22</v>
      </c>
      <c r="E996">
        <f>'raw data Crude oil'!E997</f>
        <v>40.590000000000003</v>
      </c>
      <c r="F996">
        <f>'raw data Crude oil'!F997</f>
        <v>40.950000000000003</v>
      </c>
      <c r="G996">
        <f>'raw data Crude oil'!G997</f>
        <v>41.29</v>
      </c>
      <c r="H996">
        <f>'raw data Crude oil'!H997</f>
        <v>41.54</v>
      </c>
      <c r="I996">
        <f>'raw data Crude oil'!I997</f>
        <v>41.8</v>
      </c>
      <c r="J996">
        <f>'raw data Crude oil'!J997</f>
        <v>42.05</v>
      </c>
      <c r="K996">
        <f>'raw data Crude oil'!K997</f>
        <v>42.26</v>
      </c>
      <c r="L996">
        <f>'raw data Crude oil'!L997</f>
        <v>42.46</v>
      </c>
      <c r="M996">
        <f>'raw data Crude oil'!M997</f>
        <v>42.64</v>
      </c>
      <c r="N996">
        <f>'raw data Crude oil'!N997</f>
        <v>37.14</v>
      </c>
      <c r="O996">
        <f>'raw data Crude oil'!O997</f>
        <v>37.49</v>
      </c>
      <c r="P996">
        <f>'raw data Crude oil'!P997</f>
        <v>37.9</v>
      </c>
      <c r="Q996">
        <f>'raw data Crude oil'!Q997</f>
        <v>38.340000000000003</v>
      </c>
      <c r="R996">
        <f>'raw data Crude oil'!R997</f>
        <v>38.74</v>
      </c>
      <c r="S996">
        <f>'raw data Crude oil'!S997</f>
        <v>39.1</v>
      </c>
      <c r="T996">
        <f>'raw data Crude oil'!T997</f>
        <v>39.4</v>
      </c>
      <c r="U996">
        <f>'raw data Crude oil'!U997</f>
        <v>39.67</v>
      </c>
      <c r="V996">
        <f>'raw data Crude oil'!V997</f>
        <v>39.9</v>
      </c>
      <c r="W996">
        <f>'raw data Crude oil'!W997</f>
        <v>40.08</v>
      </c>
      <c r="X996">
        <f>'raw data Crude oil'!X997</f>
        <v>40.25</v>
      </c>
      <c r="Y996">
        <f>'raw data Crude oil'!Y997</f>
        <v>40.409999999999997</v>
      </c>
      <c r="Z996">
        <f>'raw data Crude oil'!Z997</f>
        <v>39.246000000000002</v>
      </c>
      <c r="AA996">
        <f>'raw data Crude oil'!AA997</f>
        <v>39.244999999999997</v>
      </c>
      <c r="AB996">
        <f>'raw data Crude oil'!AB997</f>
        <v>39.369</v>
      </c>
      <c r="AC996">
        <f>'raw data Crude oil'!AC997</f>
        <v>39.607999999999997</v>
      </c>
      <c r="AD996">
        <f>'raw data Crude oil'!AD997</f>
        <v>39.884999999999998</v>
      </c>
      <c r="AE996">
        <f>'raw data Crude oil'!AE997</f>
        <v>40.201999999999998</v>
      </c>
      <c r="AF996">
        <f>'raw data Crude oil'!AF997</f>
        <v>40.465000000000003</v>
      </c>
      <c r="AG996">
        <f>'raw data Crude oil'!AG997</f>
        <v>40.720999999999997</v>
      </c>
      <c r="AH996">
        <f>'raw data Crude oil'!AH997</f>
        <v>40.92</v>
      </c>
      <c r="AI996">
        <f>'raw data Crude oil'!AI997</f>
        <v>41.088999999999999</v>
      </c>
      <c r="AJ996">
        <f>'raw data Crude oil'!AJ997</f>
        <v>41.218000000000004</v>
      </c>
      <c r="AK996">
        <f>'raw data Crude oil'!AK997</f>
        <v>41.338000000000001</v>
      </c>
    </row>
    <row r="997" spans="1:37" x14ac:dyDescent="0.3">
      <c r="A997" s="18">
        <f>'raw data Crude oil'!A998</f>
        <v>44144</v>
      </c>
      <c r="B997">
        <f>'raw data Crude oil'!B998</f>
        <v>42.4</v>
      </c>
      <c r="C997">
        <f>'raw data Crude oil'!C998</f>
        <v>42.75</v>
      </c>
      <c r="D997">
        <f>'raw data Crude oil'!D998</f>
        <v>43.08</v>
      </c>
      <c r="E997">
        <f>'raw data Crude oil'!E998</f>
        <v>43.4</v>
      </c>
      <c r="F997">
        <f>'raw data Crude oil'!F998</f>
        <v>43.7</v>
      </c>
      <c r="G997">
        <f>'raw data Crude oil'!G998</f>
        <v>43.97</v>
      </c>
      <c r="H997">
        <f>'raw data Crude oil'!H998</f>
        <v>44.14</v>
      </c>
      <c r="I997">
        <f>'raw data Crude oil'!I998</f>
        <v>44.32</v>
      </c>
      <c r="J997">
        <f>'raw data Crude oil'!J998</f>
        <v>44.5</v>
      </c>
      <c r="K997">
        <f>'raw data Crude oil'!K998</f>
        <v>44.63</v>
      </c>
      <c r="L997">
        <f>'raw data Crude oil'!L998</f>
        <v>44.75</v>
      </c>
      <c r="M997">
        <f>'raw data Crude oil'!M998</f>
        <v>44.87</v>
      </c>
      <c r="N997">
        <f>'raw data Crude oil'!N998</f>
        <v>40.29</v>
      </c>
      <c r="O997">
        <f>'raw data Crude oil'!O998</f>
        <v>40.619999999999997</v>
      </c>
      <c r="P997">
        <f>'raw data Crude oil'!P998</f>
        <v>40.97</v>
      </c>
      <c r="Q997">
        <f>'raw data Crude oil'!Q998</f>
        <v>41.31</v>
      </c>
      <c r="R997">
        <f>'raw data Crude oil'!R998</f>
        <v>41.61</v>
      </c>
      <c r="S997">
        <f>'raw data Crude oil'!S998</f>
        <v>41.87</v>
      </c>
      <c r="T997">
        <f>'raw data Crude oil'!T998</f>
        <v>42.09</v>
      </c>
      <c r="U997">
        <f>'raw data Crude oil'!U998</f>
        <v>42.27</v>
      </c>
      <c r="V997">
        <f>'raw data Crude oil'!V998</f>
        <v>42.4</v>
      </c>
      <c r="W997">
        <f>'raw data Crude oil'!W998</f>
        <v>42.53</v>
      </c>
      <c r="X997">
        <f>'raw data Crude oil'!X998</f>
        <v>42.61</v>
      </c>
      <c r="Y997">
        <f>'raw data Crude oil'!Y998</f>
        <v>42.71</v>
      </c>
      <c r="Z997">
        <f>'raw data Crude oil'!Z998</f>
        <v>41.366</v>
      </c>
      <c r="AA997">
        <f>'raw data Crude oil'!AA998</f>
        <v>42.03</v>
      </c>
      <c r="AB997">
        <f>'raw data Crude oil'!AB998</f>
        <v>42.116</v>
      </c>
      <c r="AC997">
        <f>'raw data Crude oil'!AC998</f>
        <v>42.335000000000001</v>
      </c>
      <c r="AD997">
        <f>'raw data Crude oil'!AD998</f>
        <v>42.572000000000003</v>
      </c>
      <c r="AE997">
        <f>'raw data Crude oil'!AE998</f>
        <v>42.857999999999997</v>
      </c>
      <c r="AF997">
        <f>'raw data Crude oil'!AF998</f>
        <v>43.097000000000001</v>
      </c>
      <c r="AG997">
        <f>'raw data Crude oil'!AG998</f>
        <v>43.238</v>
      </c>
      <c r="AH997">
        <f>'raw data Crude oil'!AH998</f>
        <v>43.335999999999999</v>
      </c>
      <c r="AI997">
        <f>'raw data Crude oil'!AI998</f>
        <v>43.414999999999999</v>
      </c>
      <c r="AJ997">
        <f>'raw data Crude oil'!AJ998</f>
        <v>43.494999999999997</v>
      </c>
      <c r="AK997">
        <f>'raw data Crude oil'!AK998</f>
        <v>43.575000000000003</v>
      </c>
    </row>
    <row r="998" spans="1:37" x14ac:dyDescent="0.3">
      <c r="A998" s="18">
        <f>'raw data Crude oil'!A999</f>
        <v>44145</v>
      </c>
      <c r="B998">
        <f>'raw data Crude oil'!B999</f>
        <v>43.61</v>
      </c>
      <c r="C998">
        <f>'raw data Crude oil'!C999</f>
        <v>43.91</v>
      </c>
      <c r="D998">
        <f>'raw data Crude oil'!D999</f>
        <v>44.19</v>
      </c>
      <c r="E998">
        <f>'raw data Crude oil'!E999</f>
        <v>44.46</v>
      </c>
      <c r="F998">
        <f>'raw data Crude oil'!F999</f>
        <v>44.7</v>
      </c>
      <c r="G998">
        <f>'raw data Crude oil'!G999</f>
        <v>44.91</v>
      </c>
      <c r="H998">
        <f>'raw data Crude oil'!H999</f>
        <v>45.04</v>
      </c>
      <c r="I998">
        <f>'raw data Crude oil'!I999</f>
        <v>45.17</v>
      </c>
      <c r="J998">
        <f>'raw data Crude oil'!J999</f>
        <v>45.3</v>
      </c>
      <c r="K998">
        <f>'raw data Crude oil'!K999</f>
        <v>45.38</v>
      </c>
      <c r="L998">
        <f>'raw data Crude oil'!L999</f>
        <v>45.46</v>
      </c>
      <c r="M998">
        <f>'raw data Crude oil'!M999</f>
        <v>45.54</v>
      </c>
      <c r="N998">
        <f>'raw data Crude oil'!N999</f>
        <v>41.36</v>
      </c>
      <c r="O998">
        <f>'raw data Crude oil'!O999</f>
        <v>41.67</v>
      </c>
      <c r="P998">
        <f>'raw data Crude oil'!P999</f>
        <v>41.98</v>
      </c>
      <c r="Q998">
        <f>'raw data Crude oil'!Q999</f>
        <v>42.27</v>
      </c>
      <c r="R998">
        <f>'raw data Crude oil'!R999</f>
        <v>42.51</v>
      </c>
      <c r="S998">
        <f>'raw data Crude oil'!S999</f>
        <v>42.71</v>
      </c>
      <c r="T998">
        <f>'raw data Crude oil'!T999</f>
        <v>42.87</v>
      </c>
      <c r="U998">
        <f>'raw data Crude oil'!U999</f>
        <v>42.99</v>
      </c>
      <c r="V998">
        <f>'raw data Crude oil'!V999</f>
        <v>43.07</v>
      </c>
      <c r="W998">
        <f>'raw data Crude oil'!W999</f>
        <v>43.15</v>
      </c>
      <c r="X998">
        <f>'raw data Crude oil'!X999</f>
        <v>43.2</v>
      </c>
      <c r="Y998">
        <f>'raw data Crude oil'!Y999</f>
        <v>43.25</v>
      </c>
      <c r="Z998">
        <f>'raw data Crude oil'!Z999</f>
        <v>42.173000000000002</v>
      </c>
      <c r="AA998">
        <f>'raw data Crude oil'!AA999</f>
        <v>43.185000000000002</v>
      </c>
      <c r="AB998">
        <f>'raw data Crude oil'!AB999</f>
        <v>43.234000000000002</v>
      </c>
      <c r="AC998">
        <f>'raw data Crude oil'!AC999</f>
        <v>43.392000000000003</v>
      </c>
      <c r="AD998">
        <f>'raw data Crude oil'!AD999</f>
        <v>43.609000000000002</v>
      </c>
      <c r="AE998">
        <f>'raw data Crude oil'!AE999</f>
        <v>43.845999999999997</v>
      </c>
      <c r="AF998">
        <f>'raw data Crude oil'!AF999</f>
        <v>44.021999999999998</v>
      </c>
      <c r="AG998">
        <f>'raw data Crude oil'!AG999</f>
        <v>44.085999999999999</v>
      </c>
      <c r="AH998">
        <f>'raw data Crude oil'!AH999</f>
        <v>44.143999999999998</v>
      </c>
      <c r="AI998">
        <f>'raw data Crude oil'!AI999</f>
        <v>44.173999999999999</v>
      </c>
      <c r="AJ998">
        <f>'raw data Crude oil'!AJ999</f>
        <v>44.213999999999999</v>
      </c>
      <c r="AK998">
        <f>'raw data Crude oil'!AK999</f>
        <v>44.262999999999998</v>
      </c>
    </row>
    <row r="999" spans="1:37" x14ac:dyDescent="0.3">
      <c r="A999" s="18">
        <f>'raw data Crude oil'!A1000</f>
        <v>44146</v>
      </c>
      <c r="B999">
        <f>'raw data Crude oil'!B1000</f>
        <v>43.8</v>
      </c>
      <c r="C999">
        <f>'raw data Crude oil'!C1000</f>
        <v>44.08</v>
      </c>
      <c r="D999">
        <f>'raw data Crude oil'!D1000</f>
        <v>44.34</v>
      </c>
      <c r="E999">
        <f>'raw data Crude oil'!E1000</f>
        <v>44.6</v>
      </c>
      <c r="F999">
        <f>'raw data Crude oil'!F1000</f>
        <v>44.84</v>
      </c>
      <c r="G999">
        <f>'raw data Crude oil'!G1000</f>
        <v>45.06</v>
      </c>
      <c r="H999">
        <f>'raw data Crude oil'!H1000</f>
        <v>45.19</v>
      </c>
      <c r="I999">
        <f>'raw data Crude oil'!I1000</f>
        <v>45.34</v>
      </c>
      <c r="J999">
        <f>'raw data Crude oil'!J1000</f>
        <v>45.47</v>
      </c>
      <c r="K999">
        <f>'raw data Crude oil'!K1000</f>
        <v>45.56</v>
      </c>
      <c r="L999">
        <f>'raw data Crude oil'!L1000</f>
        <v>45.64</v>
      </c>
      <c r="M999">
        <f>'raw data Crude oil'!M1000</f>
        <v>45.72</v>
      </c>
      <c r="N999">
        <f>'raw data Crude oil'!N1000</f>
        <v>41.45</v>
      </c>
      <c r="O999">
        <f>'raw data Crude oil'!O1000</f>
        <v>41.74</v>
      </c>
      <c r="P999">
        <f>'raw data Crude oil'!P1000</f>
        <v>42.06</v>
      </c>
      <c r="Q999">
        <f>'raw data Crude oil'!Q1000</f>
        <v>42.37</v>
      </c>
      <c r="R999">
        <f>'raw data Crude oil'!R1000</f>
        <v>42.64</v>
      </c>
      <c r="S999">
        <f>'raw data Crude oil'!S1000</f>
        <v>42.86</v>
      </c>
      <c r="T999">
        <f>'raw data Crude oil'!T1000</f>
        <v>43.04</v>
      </c>
      <c r="U999">
        <f>'raw data Crude oil'!U1000</f>
        <v>43.17</v>
      </c>
      <c r="V999">
        <f>'raw data Crude oil'!V1000</f>
        <v>43.27</v>
      </c>
      <c r="W999">
        <f>'raw data Crude oil'!W1000</f>
        <v>43.33</v>
      </c>
      <c r="X999">
        <f>'raw data Crude oil'!X1000</f>
        <v>43.39</v>
      </c>
      <c r="Y999">
        <f>'raw data Crude oil'!Y1000</f>
        <v>43.46</v>
      </c>
      <c r="Z999">
        <f>'raw data Crude oil'!Z1000</f>
        <v>42.472999999999999</v>
      </c>
      <c r="AA999">
        <f>'raw data Crude oil'!AA1000</f>
        <v>43.473999999999997</v>
      </c>
      <c r="AB999">
        <f>'raw data Crude oil'!AB1000</f>
        <v>43.482999999999997</v>
      </c>
      <c r="AC999">
        <f>'raw data Crude oil'!AC1000</f>
        <v>43.591999999999999</v>
      </c>
      <c r="AD999">
        <f>'raw data Crude oil'!AD1000</f>
        <v>43.76</v>
      </c>
      <c r="AE999">
        <f>'raw data Crude oil'!AE1000</f>
        <v>43.966000000000001</v>
      </c>
      <c r="AF999">
        <f>'raw data Crude oil'!AF1000</f>
        <v>44.134</v>
      </c>
      <c r="AG999">
        <f>'raw data Crude oil'!AG1000</f>
        <v>44.265999999999998</v>
      </c>
      <c r="AH999">
        <f>'raw data Crude oil'!AH1000</f>
        <v>44.323999999999998</v>
      </c>
      <c r="AI999">
        <f>'raw data Crude oil'!AI1000</f>
        <v>44.374000000000002</v>
      </c>
      <c r="AJ999">
        <f>'raw data Crude oil'!AJ1000</f>
        <v>44.414000000000001</v>
      </c>
      <c r="AK999">
        <f>'raw data Crude oil'!AK1000</f>
        <v>44.444000000000003</v>
      </c>
    </row>
    <row r="1000" spans="1:37" x14ac:dyDescent="0.3">
      <c r="A1000" s="18">
        <f>'raw data Crude oil'!A1001</f>
        <v>44147</v>
      </c>
      <c r="B1000">
        <f>'raw data Crude oil'!B1001</f>
        <v>43.53</v>
      </c>
      <c r="C1000">
        <f>'raw data Crude oil'!C1001</f>
        <v>43.79</v>
      </c>
      <c r="D1000">
        <f>'raw data Crude oil'!D1001</f>
        <v>44.05</v>
      </c>
      <c r="E1000">
        <f>'raw data Crude oil'!E1001</f>
        <v>44.31</v>
      </c>
      <c r="F1000">
        <f>'raw data Crude oil'!F1001</f>
        <v>44.56</v>
      </c>
      <c r="G1000">
        <f>'raw data Crude oil'!G1001</f>
        <v>44.78</v>
      </c>
      <c r="H1000">
        <f>'raw data Crude oil'!H1001</f>
        <v>44.92</v>
      </c>
      <c r="I1000">
        <f>'raw data Crude oil'!I1001</f>
        <v>45.07</v>
      </c>
      <c r="J1000">
        <f>'raw data Crude oil'!J1001</f>
        <v>45.21</v>
      </c>
      <c r="K1000">
        <f>'raw data Crude oil'!K1001</f>
        <v>45.3</v>
      </c>
      <c r="L1000">
        <f>'raw data Crude oil'!L1001</f>
        <v>45.38</v>
      </c>
      <c r="M1000">
        <f>'raw data Crude oil'!M1001</f>
        <v>45.46</v>
      </c>
      <c r="N1000">
        <f>'raw data Crude oil'!N1001</f>
        <v>41.12</v>
      </c>
      <c r="O1000">
        <f>'raw data Crude oil'!O1001</f>
        <v>41.41</v>
      </c>
      <c r="P1000">
        <f>'raw data Crude oil'!P1001</f>
        <v>41.74</v>
      </c>
      <c r="Q1000">
        <f>'raw data Crude oil'!Q1001</f>
        <v>42.05</v>
      </c>
      <c r="R1000">
        <f>'raw data Crude oil'!R1001</f>
        <v>42.32</v>
      </c>
      <c r="S1000">
        <f>'raw data Crude oil'!S1001</f>
        <v>42.54</v>
      </c>
      <c r="T1000">
        <f>'raw data Crude oil'!T1001</f>
        <v>42.71</v>
      </c>
      <c r="U1000">
        <f>'raw data Crude oil'!U1001</f>
        <v>42.84</v>
      </c>
      <c r="V1000">
        <f>'raw data Crude oil'!V1001</f>
        <v>42.94</v>
      </c>
      <c r="W1000">
        <f>'raw data Crude oil'!W1001</f>
        <v>43.02</v>
      </c>
      <c r="X1000">
        <f>'raw data Crude oil'!X1001</f>
        <v>43.09</v>
      </c>
      <c r="Y1000">
        <f>'raw data Crude oil'!Y1001</f>
        <v>43.13</v>
      </c>
      <c r="Z1000">
        <f>'raw data Crude oil'!Z1001</f>
        <v>42.293999999999997</v>
      </c>
      <c r="AA1000">
        <f>'raw data Crude oil'!AA1001</f>
        <v>43.204000000000001</v>
      </c>
      <c r="AB1000">
        <f>'raw data Crude oil'!AB1001</f>
        <v>43.213000000000001</v>
      </c>
      <c r="AC1000">
        <f>'raw data Crude oil'!AC1001</f>
        <v>43.323</v>
      </c>
      <c r="AD1000">
        <f>'raw data Crude oil'!AD1001</f>
        <v>43.5</v>
      </c>
      <c r="AE1000">
        <f>'raw data Crude oil'!AE1001</f>
        <v>43.707000000000001</v>
      </c>
      <c r="AF1000">
        <f>'raw data Crude oil'!AF1001</f>
        <v>43.893999999999998</v>
      </c>
      <c r="AG1000">
        <f>'raw data Crude oil'!AG1001</f>
        <v>44.006</v>
      </c>
      <c r="AH1000">
        <f>'raw data Crude oil'!AH1001</f>
        <v>44.073999999999998</v>
      </c>
      <c r="AI1000">
        <f>'raw data Crude oil'!AI1001</f>
        <v>44.124000000000002</v>
      </c>
      <c r="AJ1000">
        <f>'raw data Crude oil'!AJ1001</f>
        <v>44.173999999999999</v>
      </c>
      <c r="AK1000">
        <f>'raw data Crude oil'!AK1001</f>
        <v>44.213999999999999</v>
      </c>
    </row>
    <row r="1001" spans="1:37" x14ac:dyDescent="0.3">
      <c r="A1001" s="18">
        <f>'raw data Crude oil'!A1002</f>
        <v>44148</v>
      </c>
      <c r="B1001">
        <f>'raw data Crude oil'!B1002</f>
        <v>42.78</v>
      </c>
      <c r="C1001">
        <f>'raw data Crude oil'!C1002</f>
        <v>42.96</v>
      </c>
      <c r="D1001">
        <f>'raw data Crude oil'!D1002</f>
        <v>43.19</v>
      </c>
      <c r="E1001">
        <f>'raw data Crude oil'!E1002</f>
        <v>43.45</v>
      </c>
      <c r="F1001">
        <f>'raw data Crude oil'!F1002</f>
        <v>43.71</v>
      </c>
      <c r="G1001">
        <f>'raw data Crude oil'!G1002</f>
        <v>43.95</v>
      </c>
      <c r="H1001">
        <f>'raw data Crude oil'!H1002</f>
        <v>44.1</v>
      </c>
      <c r="I1001">
        <f>'raw data Crude oil'!I1002</f>
        <v>44.26</v>
      </c>
      <c r="J1001">
        <f>'raw data Crude oil'!J1002</f>
        <v>44.41</v>
      </c>
      <c r="K1001">
        <f>'raw data Crude oil'!K1002</f>
        <v>44.52</v>
      </c>
      <c r="L1001">
        <f>'raw data Crude oil'!L1002</f>
        <v>44.61</v>
      </c>
      <c r="M1001">
        <f>'raw data Crude oil'!M1002</f>
        <v>44.69</v>
      </c>
      <c r="N1001">
        <f>'raw data Crude oil'!N1002</f>
        <v>40.130000000000003</v>
      </c>
      <c r="O1001">
        <f>'raw data Crude oil'!O1002</f>
        <v>40.4</v>
      </c>
      <c r="P1001">
        <f>'raw data Crude oil'!P1002</f>
        <v>40.700000000000003</v>
      </c>
      <c r="Q1001">
        <f>'raw data Crude oil'!Q1002</f>
        <v>41.01</v>
      </c>
      <c r="R1001">
        <f>'raw data Crude oil'!R1002</f>
        <v>41.3</v>
      </c>
      <c r="S1001">
        <f>'raw data Crude oil'!S1002</f>
        <v>41.55</v>
      </c>
      <c r="T1001">
        <f>'raw data Crude oil'!T1002</f>
        <v>41.76</v>
      </c>
      <c r="U1001">
        <f>'raw data Crude oil'!U1002</f>
        <v>41.92</v>
      </c>
      <c r="V1001">
        <f>'raw data Crude oil'!V1002</f>
        <v>42.04</v>
      </c>
      <c r="W1001">
        <f>'raw data Crude oil'!W1002</f>
        <v>42.16</v>
      </c>
      <c r="X1001">
        <f>'raw data Crude oil'!X1002</f>
        <v>42.24</v>
      </c>
      <c r="Y1001">
        <f>'raw data Crude oil'!Y1002</f>
        <v>42.32</v>
      </c>
      <c r="Z1001">
        <f>'raw data Crude oil'!Z1002</f>
        <v>41.945</v>
      </c>
      <c r="AA1001">
        <f>'raw data Crude oil'!AA1002</f>
        <v>42.390999999999998</v>
      </c>
      <c r="AB1001">
        <f>'raw data Crude oil'!AB1002</f>
        <v>42.323</v>
      </c>
      <c r="AC1001">
        <f>'raw data Crude oil'!AC1002</f>
        <v>42.433</v>
      </c>
      <c r="AD1001">
        <f>'raw data Crude oil'!AD1002</f>
        <v>42.61</v>
      </c>
      <c r="AE1001">
        <f>'raw data Crude oil'!AE1002</f>
        <v>42.826999999999998</v>
      </c>
      <c r="AF1001">
        <f>'raw data Crude oil'!AF1002</f>
        <v>43.045000000000002</v>
      </c>
      <c r="AG1001">
        <f>'raw data Crude oil'!AG1002</f>
        <v>43.177</v>
      </c>
      <c r="AH1001">
        <f>'raw data Crude oil'!AH1002</f>
        <v>43.255000000000003</v>
      </c>
      <c r="AI1001">
        <f>'raw data Crude oil'!AI1002</f>
        <v>43.323999999999998</v>
      </c>
      <c r="AJ1001">
        <f>'raw data Crude oil'!AJ1002</f>
        <v>43.374000000000002</v>
      </c>
      <c r="AK1001">
        <f>'raw data Crude oil'!AK1002</f>
        <v>43.423999999999999</v>
      </c>
    </row>
    <row r="1002" spans="1:37" x14ac:dyDescent="0.3">
      <c r="A1002" s="18">
        <f>'raw data Crude oil'!A1003</f>
        <v>44151</v>
      </c>
      <c r="B1002">
        <f>'raw data Crude oil'!B1003</f>
        <v>43.82</v>
      </c>
      <c r="C1002">
        <f>'raw data Crude oil'!C1003</f>
        <v>43.99</v>
      </c>
      <c r="D1002">
        <f>'raw data Crude oil'!D1003</f>
        <v>44.19</v>
      </c>
      <c r="E1002">
        <f>'raw data Crude oil'!E1003</f>
        <v>44.41</v>
      </c>
      <c r="F1002">
        <f>'raw data Crude oil'!F1003</f>
        <v>44.62</v>
      </c>
      <c r="G1002">
        <f>'raw data Crude oil'!G1003</f>
        <v>44.81</v>
      </c>
      <c r="H1002">
        <f>'raw data Crude oil'!H1003</f>
        <v>44.92</v>
      </c>
      <c r="I1002">
        <f>'raw data Crude oil'!I1003</f>
        <v>45.03</v>
      </c>
      <c r="J1002">
        <f>'raw data Crude oil'!J1003</f>
        <v>45.13</v>
      </c>
      <c r="K1002">
        <f>'raw data Crude oil'!K1003</f>
        <v>45.21</v>
      </c>
      <c r="L1002">
        <f>'raw data Crude oil'!L1003</f>
        <v>45.26</v>
      </c>
      <c r="M1002">
        <f>'raw data Crude oil'!M1003</f>
        <v>45.33</v>
      </c>
      <c r="N1002">
        <f>'raw data Crude oil'!N1003</f>
        <v>41.34</v>
      </c>
      <c r="O1002">
        <f>'raw data Crude oil'!O1003</f>
        <v>41.57</v>
      </c>
      <c r="P1002">
        <f>'raw data Crude oil'!P1003</f>
        <v>41.82</v>
      </c>
      <c r="Q1002">
        <f>'raw data Crude oil'!Q1003</f>
        <v>42.09</v>
      </c>
      <c r="R1002">
        <f>'raw data Crude oil'!R1003</f>
        <v>42.33</v>
      </c>
      <c r="S1002">
        <f>'raw data Crude oil'!S1003</f>
        <v>42.54</v>
      </c>
      <c r="T1002">
        <f>'raw data Crude oil'!T1003</f>
        <v>42.71</v>
      </c>
      <c r="U1002">
        <f>'raw data Crude oil'!U1003</f>
        <v>42.83</v>
      </c>
      <c r="V1002">
        <f>'raw data Crude oil'!V1003</f>
        <v>42.91</v>
      </c>
      <c r="W1002">
        <f>'raw data Crude oil'!W1003</f>
        <v>42.97</v>
      </c>
      <c r="X1002">
        <f>'raw data Crude oil'!X1003</f>
        <v>43.02</v>
      </c>
      <c r="Y1002">
        <f>'raw data Crude oil'!Y1003</f>
        <v>43.06</v>
      </c>
      <c r="Z1002">
        <f>'raw data Crude oil'!Z1003</f>
        <v>42.537999999999997</v>
      </c>
      <c r="AA1002">
        <f>'raw data Crude oil'!AA1003</f>
        <v>43.518000000000001</v>
      </c>
      <c r="AB1002">
        <f>'raw data Crude oil'!AB1003</f>
        <v>43.401000000000003</v>
      </c>
      <c r="AC1002">
        <f>'raw data Crude oil'!AC1003</f>
        <v>43.451000000000001</v>
      </c>
      <c r="AD1002">
        <f>'raw data Crude oil'!AD1003</f>
        <v>43.597999999999999</v>
      </c>
      <c r="AE1002">
        <f>'raw data Crude oil'!AE1003</f>
        <v>43.744999999999997</v>
      </c>
      <c r="AF1002">
        <f>'raw data Crude oil'!AF1003</f>
        <v>43.9</v>
      </c>
      <c r="AG1002">
        <f>'raw data Crude oil'!AG1003</f>
        <v>44.005000000000003</v>
      </c>
      <c r="AH1002">
        <f>'raw data Crude oil'!AH1003</f>
        <v>44.024000000000001</v>
      </c>
      <c r="AI1002">
        <f>'raw data Crude oil'!AI1003</f>
        <v>44.052</v>
      </c>
      <c r="AJ1002">
        <f>'raw data Crude oil'!AJ1003</f>
        <v>44.052999999999997</v>
      </c>
      <c r="AK1002">
        <f>'raw data Crude oil'!AK1003</f>
        <v>44.073</v>
      </c>
    </row>
    <row r="1003" spans="1:37" x14ac:dyDescent="0.3">
      <c r="A1003" s="18">
        <f>'raw data Crude oil'!A1004</f>
        <v>44152</v>
      </c>
      <c r="B1003">
        <f>'raw data Crude oil'!B1004</f>
        <v>43.75</v>
      </c>
      <c r="C1003">
        <f>'raw data Crude oil'!C1004</f>
        <v>43.96</v>
      </c>
      <c r="D1003">
        <f>'raw data Crude oil'!D1004</f>
        <v>44.18</v>
      </c>
      <c r="E1003">
        <f>'raw data Crude oil'!E1004</f>
        <v>44.41</v>
      </c>
      <c r="F1003">
        <f>'raw data Crude oil'!F1004</f>
        <v>44.62</v>
      </c>
      <c r="G1003">
        <f>'raw data Crude oil'!G1004</f>
        <v>44.81</v>
      </c>
      <c r="H1003">
        <f>'raw data Crude oil'!H1004</f>
        <v>44.92</v>
      </c>
      <c r="I1003">
        <f>'raw data Crude oil'!I1004</f>
        <v>45.03</v>
      </c>
      <c r="J1003">
        <f>'raw data Crude oil'!J1004</f>
        <v>45.13</v>
      </c>
      <c r="K1003">
        <f>'raw data Crude oil'!K1004</f>
        <v>45.2</v>
      </c>
      <c r="L1003">
        <f>'raw data Crude oil'!L1004</f>
        <v>45.25</v>
      </c>
      <c r="M1003">
        <f>'raw data Crude oil'!M1004</f>
        <v>45.31</v>
      </c>
      <c r="N1003">
        <f>'raw data Crude oil'!N1004</f>
        <v>41.43</v>
      </c>
      <c r="O1003">
        <f>'raw data Crude oil'!O1004</f>
        <v>41.65</v>
      </c>
      <c r="P1003">
        <f>'raw data Crude oil'!P1004</f>
        <v>41.9</v>
      </c>
      <c r="Q1003">
        <f>'raw data Crude oil'!Q1004</f>
        <v>42.17</v>
      </c>
      <c r="R1003">
        <f>'raw data Crude oil'!R1004</f>
        <v>42.41</v>
      </c>
      <c r="S1003">
        <f>'raw data Crude oil'!S1004</f>
        <v>42.61</v>
      </c>
      <c r="T1003">
        <f>'raw data Crude oil'!T1004</f>
        <v>42.77</v>
      </c>
      <c r="U1003">
        <f>'raw data Crude oil'!U1004</f>
        <v>42.88</v>
      </c>
      <c r="V1003">
        <f>'raw data Crude oil'!V1004</f>
        <v>42.96</v>
      </c>
      <c r="W1003">
        <f>'raw data Crude oil'!W1004</f>
        <v>43.03</v>
      </c>
      <c r="X1003">
        <f>'raw data Crude oil'!X1004</f>
        <v>43.07</v>
      </c>
      <c r="Y1003">
        <f>'raw data Crude oil'!Y1004</f>
        <v>43.11</v>
      </c>
      <c r="Z1003">
        <f>'raw data Crude oil'!Z1004</f>
        <v>42.465000000000003</v>
      </c>
      <c r="AA1003">
        <f>'raw data Crude oil'!AA1004</f>
        <v>43.45</v>
      </c>
      <c r="AB1003">
        <f>'raw data Crude oil'!AB1004</f>
        <v>43.362000000000002</v>
      </c>
      <c r="AC1003">
        <f>'raw data Crude oil'!AC1004</f>
        <v>43.441000000000003</v>
      </c>
      <c r="AD1003">
        <f>'raw data Crude oil'!AD1004</f>
        <v>43.588000000000001</v>
      </c>
      <c r="AE1003">
        <f>'raw data Crude oil'!AE1004</f>
        <v>43.744999999999997</v>
      </c>
      <c r="AF1003">
        <f>'raw data Crude oil'!AF1004</f>
        <v>43.9</v>
      </c>
      <c r="AG1003">
        <f>'raw data Crude oil'!AG1004</f>
        <v>43.984999999999999</v>
      </c>
      <c r="AH1003">
        <f>'raw data Crude oil'!AH1004</f>
        <v>44.012999999999998</v>
      </c>
      <c r="AI1003">
        <f>'raw data Crude oil'!AI1004</f>
        <v>44.031999999999996</v>
      </c>
      <c r="AJ1003">
        <f>'raw data Crude oil'!AJ1004</f>
        <v>44.033000000000001</v>
      </c>
      <c r="AK1003">
        <f>'raw data Crude oil'!AK1004</f>
        <v>44.031999999999996</v>
      </c>
    </row>
    <row r="1004" spans="1:37" x14ac:dyDescent="0.3">
      <c r="A1004" s="18">
        <f>'raw data Crude oil'!A1005</f>
        <v>44153</v>
      </c>
      <c r="B1004">
        <f>'raw data Crude oil'!B1005</f>
        <v>44.34</v>
      </c>
      <c r="C1004">
        <f>'raw data Crude oil'!C1005</f>
        <v>44.49</v>
      </c>
      <c r="D1004">
        <f>'raw data Crude oil'!D1005</f>
        <v>44.66</v>
      </c>
      <c r="E1004">
        <f>'raw data Crude oil'!E1005</f>
        <v>44.84</v>
      </c>
      <c r="F1004">
        <f>'raw data Crude oil'!F1005</f>
        <v>45.02</v>
      </c>
      <c r="G1004">
        <f>'raw data Crude oil'!G1005</f>
        <v>45.18</v>
      </c>
      <c r="H1004">
        <f>'raw data Crude oil'!H1005</f>
        <v>45.27</v>
      </c>
      <c r="I1004">
        <f>'raw data Crude oil'!I1005</f>
        <v>45.36</v>
      </c>
      <c r="J1004">
        <f>'raw data Crude oil'!J1005</f>
        <v>45.45</v>
      </c>
      <c r="K1004">
        <f>'raw data Crude oil'!K1005</f>
        <v>45.52</v>
      </c>
      <c r="L1004">
        <f>'raw data Crude oil'!L1005</f>
        <v>45.57</v>
      </c>
      <c r="M1004">
        <f>'raw data Crude oil'!M1005</f>
        <v>45.62</v>
      </c>
      <c r="N1004">
        <f>'raw data Crude oil'!N1005</f>
        <v>41.82</v>
      </c>
      <c r="O1004">
        <f>'raw data Crude oil'!O1005</f>
        <v>42.01</v>
      </c>
      <c r="P1004">
        <f>'raw data Crude oil'!P1005</f>
        <v>42.24</v>
      </c>
      <c r="Q1004">
        <f>'raw data Crude oil'!Q1005</f>
        <v>42.49</v>
      </c>
      <c r="R1004">
        <f>'raw data Crude oil'!R1005</f>
        <v>42.72</v>
      </c>
      <c r="S1004">
        <f>'raw data Crude oil'!S1005</f>
        <v>42.92</v>
      </c>
      <c r="T1004">
        <f>'raw data Crude oil'!T1005</f>
        <v>43.08</v>
      </c>
      <c r="U1004">
        <f>'raw data Crude oil'!U1005</f>
        <v>43.18</v>
      </c>
      <c r="V1004">
        <f>'raw data Crude oil'!V1005</f>
        <v>43.27</v>
      </c>
      <c r="W1004">
        <f>'raw data Crude oil'!W1005</f>
        <v>43.33</v>
      </c>
      <c r="X1004">
        <f>'raw data Crude oil'!X1005</f>
        <v>43.37</v>
      </c>
      <c r="Y1004">
        <f>'raw data Crude oil'!Y1005</f>
        <v>43.42</v>
      </c>
      <c r="Z1004">
        <f>'raw data Crude oil'!Z1005</f>
        <v>42.655000000000001</v>
      </c>
      <c r="AA1004">
        <f>'raw data Crude oil'!AA1005</f>
        <v>43.905000000000001</v>
      </c>
      <c r="AB1004">
        <f>'raw data Crude oil'!AB1005</f>
        <v>43.789000000000001</v>
      </c>
      <c r="AC1004">
        <f>'raw data Crude oil'!AC1005</f>
        <v>43.878999999999998</v>
      </c>
      <c r="AD1004">
        <f>'raw data Crude oil'!AD1005</f>
        <v>44.017000000000003</v>
      </c>
      <c r="AE1004">
        <f>'raw data Crude oil'!AE1005</f>
        <v>44.154000000000003</v>
      </c>
      <c r="AF1004">
        <f>'raw data Crude oil'!AF1005</f>
        <v>44.279000000000003</v>
      </c>
      <c r="AG1004">
        <f>'raw data Crude oil'!AG1005</f>
        <v>44.344000000000001</v>
      </c>
      <c r="AH1004">
        <f>'raw data Crude oil'!AH1005</f>
        <v>44.363</v>
      </c>
      <c r="AI1004">
        <f>'raw data Crude oil'!AI1005</f>
        <v>44.381999999999998</v>
      </c>
      <c r="AJ1004">
        <f>'raw data Crude oil'!AJ1005</f>
        <v>44.381999999999998</v>
      </c>
      <c r="AK1004">
        <f>'raw data Crude oil'!AK1005</f>
        <v>44.372999999999998</v>
      </c>
    </row>
    <row r="1005" spans="1:37" x14ac:dyDescent="0.3">
      <c r="A1005" s="18">
        <f>'raw data Crude oil'!A1006</f>
        <v>44154</v>
      </c>
      <c r="B1005">
        <f>'raw data Crude oil'!B1006</f>
        <v>44.2</v>
      </c>
      <c r="C1005">
        <f>'raw data Crude oil'!C1006</f>
        <v>44.37</v>
      </c>
      <c r="D1005">
        <f>'raw data Crude oil'!D1006</f>
        <v>44.52</v>
      </c>
      <c r="E1005">
        <f>'raw data Crude oil'!E1006</f>
        <v>44.69</v>
      </c>
      <c r="F1005">
        <f>'raw data Crude oil'!F1006</f>
        <v>44.85</v>
      </c>
      <c r="G1005">
        <f>'raw data Crude oil'!G1006</f>
        <v>45</v>
      </c>
      <c r="H1005">
        <f>'raw data Crude oil'!H1006</f>
        <v>45.09</v>
      </c>
      <c r="I1005">
        <f>'raw data Crude oil'!I1006</f>
        <v>45.18</v>
      </c>
      <c r="J1005">
        <f>'raw data Crude oil'!J1006</f>
        <v>45.26</v>
      </c>
      <c r="K1005">
        <f>'raw data Crude oil'!K1006</f>
        <v>45.32</v>
      </c>
      <c r="L1005">
        <f>'raw data Crude oil'!L1006</f>
        <v>45.36</v>
      </c>
      <c r="M1005">
        <f>'raw data Crude oil'!M1006</f>
        <v>45.41</v>
      </c>
      <c r="N1005">
        <f>'raw data Crude oil'!N1006</f>
        <v>41.74</v>
      </c>
      <c r="O1005">
        <f>'raw data Crude oil'!O1006</f>
        <v>41.9</v>
      </c>
      <c r="P1005">
        <f>'raw data Crude oil'!P1006</f>
        <v>42.11</v>
      </c>
      <c r="Q1005">
        <f>'raw data Crude oil'!Q1006</f>
        <v>42.34</v>
      </c>
      <c r="R1005">
        <f>'raw data Crude oil'!R1006</f>
        <v>42.55</v>
      </c>
      <c r="S1005">
        <f>'raw data Crude oil'!S1006</f>
        <v>42.74</v>
      </c>
      <c r="T1005">
        <f>'raw data Crude oil'!T1006</f>
        <v>42.88</v>
      </c>
      <c r="U1005">
        <f>'raw data Crude oil'!U1006</f>
        <v>42.98</v>
      </c>
      <c r="V1005">
        <f>'raw data Crude oil'!V1006</f>
        <v>43.06</v>
      </c>
      <c r="W1005">
        <f>'raw data Crude oil'!W1006</f>
        <v>43.11</v>
      </c>
      <c r="X1005">
        <f>'raw data Crude oil'!X1006</f>
        <v>43.15</v>
      </c>
      <c r="Y1005">
        <f>'raw data Crude oil'!Y1006</f>
        <v>43.19</v>
      </c>
      <c r="Z1005">
        <f>'raw data Crude oil'!Z1006</f>
        <v>42.610999999999997</v>
      </c>
      <c r="AA1005">
        <f>'raw data Crude oil'!AA1006</f>
        <v>43.923999999999999</v>
      </c>
      <c r="AB1005">
        <f>'raw data Crude oil'!AB1006</f>
        <v>43.798999999999999</v>
      </c>
      <c r="AC1005">
        <f>'raw data Crude oil'!AC1006</f>
        <v>43.823</v>
      </c>
      <c r="AD1005">
        <f>'raw data Crude oil'!AD1006</f>
        <v>43.936999999999998</v>
      </c>
      <c r="AE1005">
        <f>'raw data Crude oil'!AE1006</f>
        <v>44.054000000000002</v>
      </c>
      <c r="AF1005">
        <f>'raw data Crude oil'!AF1006</f>
        <v>44.179000000000002</v>
      </c>
      <c r="AG1005">
        <f>'raw data Crude oil'!AG1006</f>
        <v>44.253999999999998</v>
      </c>
      <c r="AH1005">
        <f>'raw data Crude oil'!AH1006</f>
        <v>44.262999999999998</v>
      </c>
      <c r="AI1005">
        <f>'raw data Crude oil'!AI1006</f>
        <v>44.271999999999998</v>
      </c>
      <c r="AJ1005">
        <f>'raw data Crude oil'!AJ1006</f>
        <v>44.252000000000002</v>
      </c>
      <c r="AK1005">
        <f>'raw data Crude oil'!AK1006</f>
        <v>44.222999999999999</v>
      </c>
    </row>
    <row r="1006" spans="1:37" x14ac:dyDescent="0.3">
      <c r="A1006" s="18">
        <f>'raw data Crude oil'!A1007</f>
        <v>44155</v>
      </c>
      <c r="B1006">
        <f>'raw data Crude oil'!B1007</f>
        <v>44.96</v>
      </c>
      <c r="C1006">
        <f>'raw data Crude oil'!C1007</f>
        <v>45.07</v>
      </c>
      <c r="D1006">
        <f>'raw data Crude oil'!D1007</f>
        <v>45.14</v>
      </c>
      <c r="E1006">
        <f>'raw data Crude oil'!E1007</f>
        <v>45.25</v>
      </c>
      <c r="F1006">
        <f>'raw data Crude oil'!F1007</f>
        <v>45.36</v>
      </c>
      <c r="G1006">
        <f>'raw data Crude oil'!G1007</f>
        <v>45.47</v>
      </c>
      <c r="H1006">
        <f>'raw data Crude oil'!H1007</f>
        <v>45.52</v>
      </c>
      <c r="I1006">
        <f>'raw data Crude oil'!I1007</f>
        <v>45.59</v>
      </c>
      <c r="J1006">
        <f>'raw data Crude oil'!J1007</f>
        <v>45.66</v>
      </c>
      <c r="K1006">
        <f>'raw data Crude oil'!K1007</f>
        <v>45.7</v>
      </c>
      <c r="L1006">
        <f>'raw data Crude oil'!L1007</f>
        <v>45.74</v>
      </c>
      <c r="M1006">
        <f>'raw data Crude oil'!M1007</f>
        <v>45.79</v>
      </c>
      <c r="N1006">
        <f>'raw data Crude oil'!N1007</f>
        <v>42.15</v>
      </c>
      <c r="O1006">
        <f>'raw data Crude oil'!O1007</f>
        <v>42.42</v>
      </c>
      <c r="P1006">
        <f>'raw data Crude oil'!P1007</f>
        <v>42.64</v>
      </c>
      <c r="Q1006">
        <f>'raw data Crude oil'!Q1007</f>
        <v>42.84</v>
      </c>
      <c r="R1006">
        <f>'raw data Crude oil'!R1007</f>
        <v>43.02</v>
      </c>
      <c r="S1006">
        <f>'raw data Crude oil'!S1007</f>
        <v>43.15</v>
      </c>
      <c r="T1006">
        <f>'raw data Crude oil'!T1007</f>
        <v>43.27</v>
      </c>
      <c r="U1006">
        <f>'raw data Crude oil'!U1007</f>
        <v>43.35</v>
      </c>
      <c r="V1006">
        <f>'raw data Crude oil'!V1007</f>
        <v>43.4</v>
      </c>
      <c r="W1006">
        <f>'raw data Crude oil'!W1007</f>
        <v>43.43</v>
      </c>
      <c r="X1006">
        <f>'raw data Crude oil'!X1007</f>
        <v>43.45</v>
      </c>
      <c r="Y1006">
        <f>'raw data Crude oil'!Y1007</f>
        <v>43.48</v>
      </c>
      <c r="Z1006">
        <f>'raw data Crude oil'!Z1007</f>
        <v>42.823</v>
      </c>
      <c r="AA1006">
        <f>'raw data Crude oil'!AA1007</f>
        <v>44.595999999999997</v>
      </c>
      <c r="AB1006">
        <f>'raw data Crude oil'!AB1007</f>
        <v>44.405999999999999</v>
      </c>
      <c r="AC1006">
        <f>'raw data Crude oil'!AC1007</f>
        <v>44.396000000000001</v>
      </c>
      <c r="AD1006">
        <f>'raw data Crude oil'!AD1007</f>
        <v>44.465000000000003</v>
      </c>
      <c r="AE1006">
        <f>'raw data Crude oil'!AE1007</f>
        <v>44.531999999999996</v>
      </c>
      <c r="AF1006">
        <f>'raw data Crude oil'!AF1007</f>
        <v>44.606999999999999</v>
      </c>
      <c r="AG1006">
        <f>'raw data Crude oil'!AG1007</f>
        <v>44.652999999999999</v>
      </c>
      <c r="AH1006">
        <f>'raw data Crude oil'!AH1007</f>
        <v>44.671999999999997</v>
      </c>
      <c r="AI1006">
        <f>'raw data Crude oil'!AI1007</f>
        <v>44.661999999999999</v>
      </c>
      <c r="AJ1006">
        <f>'raw data Crude oil'!AJ1007</f>
        <v>44.652000000000001</v>
      </c>
      <c r="AK1006">
        <f>'raw data Crude oil'!AK1007</f>
        <v>44.642000000000003</v>
      </c>
    </row>
    <row r="1007" spans="1:37" x14ac:dyDescent="0.3">
      <c r="A1007" s="18">
        <f>'raw data Crude oil'!A1008</f>
        <v>44158</v>
      </c>
      <c r="B1007">
        <f>'raw data Crude oil'!B1008</f>
        <v>46.06</v>
      </c>
      <c r="C1007">
        <f>'raw data Crude oil'!C1008</f>
        <v>46.04</v>
      </c>
      <c r="D1007">
        <f>'raw data Crude oil'!D1008</f>
        <v>46.03</v>
      </c>
      <c r="E1007">
        <f>'raw data Crude oil'!E1008</f>
        <v>46.05</v>
      </c>
      <c r="F1007">
        <f>'raw data Crude oil'!F1008</f>
        <v>46.09</v>
      </c>
      <c r="G1007">
        <f>'raw data Crude oil'!G1008</f>
        <v>46.14</v>
      </c>
      <c r="H1007">
        <f>'raw data Crude oil'!H1008</f>
        <v>46.14</v>
      </c>
      <c r="I1007">
        <f>'raw data Crude oil'!I1008</f>
        <v>46.18</v>
      </c>
      <c r="J1007">
        <f>'raw data Crude oil'!J1008</f>
        <v>46.22</v>
      </c>
      <c r="K1007">
        <f>'raw data Crude oil'!K1008</f>
        <v>46.24</v>
      </c>
      <c r="L1007">
        <f>'raw data Crude oil'!L1008</f>
        <v>46.26</v>
      </c>
      <c r="M1007">
        <f>'raw data Crude oil'!M1008</f>
        <v>46.29</v>
      </c>
      <c r="N1007">
        <f>'raw data Crude oil'!N1008</f>
        <v>43.06</v>
      </c>
      <c r="O1007">
        <f>'raw data Crude oil'!O1008</f>
        <v>43.28</v>
      </c>
      <c r="P1007">
        <f>'raw data Crude oil'!P1008</f>
        <v>43.46</v>
      </c>
      <c r="Q1007">
        <f>'raw data Crude oil'!Q1008</f>
        <v>43.59</v>
      </c>
      <c r="R1007">
        <f>'raw data Crude oil'!R1008</f>
        <v>43.7</v>
      </c>
      <c r="S1007">
        <f>'raw data Crude oil'!S1008</f>
        <v>43.77</v>
      </c>
      <c r="T1007">
        <f>'raw data Crude oil'!T1008</f>
        <v>43.81</v>
      </c>
      <c r="U1007">
        <f>'raw data Crude oil'!U1008</f>
        <v>43.83</v>
      </c>
      <c r="V1007">
        <f>'raw data Crude oil'!V1008</f>
        <v>43.84</v>
      </c>
      <c r="W1007">
        <f>'raw data Crude oil'!W1008</f>
        <v>43.83</v>
      </c>
      <c r="X1007">
        <f>'raw data Crude oil'!X1008</f>
        <v>43.83</v>
      </c>
      <c r="Y1007">
        <f>'raw data Crude oil'!Y1008</f>
        <v>43.83</v>
      </c>
      <c r="Z1007">
        <f>'raw data Crude oil'!Z1008</f>
        <v>43.04</v>
      </c>
      <c r="AA1007">
        <f>'raw data Crude oil'!AA1008</f>
        <v>45.378999999999998</v>
      </c>
      <c r="AB1007">
        <f>'raw data Crude oil'!AB1008</f>
        <v>45.191000000000003</v>
      </c>
      <c r="AC1007">
        <f>'raw data Crude oil'!AC1008</f>
        <v>45.182000000000002</v>
      </c>
      <c r="AD1007">
        <f>'raw data Crude oil'!AD1008</f>
        <v>45.201999999999998</v>
      </c>
      <c r="AE1007">
        <f>'raw data Crude oil'!AE1008</f>
        <v>45.24</v>
      </c>
      <c r="AF1007">
        <f>'raw data Crude oil'!AF1008</f>
        <v>45.253999999999998</v>
      </c>
      <c r="AG1007">
        <f>'raw data Crude oil'!AG1008</f>
        <v>45.212000000000003</v>
      </c>
      <c r="AH1007">
        <f>'raw data Crude oil'!AH1008</f>
        <v>45.210999999999999</v>
      </c>
      <c r="AI1007">
        <f>'raw data Crude oil'!AI1008</f>
        <v>45.180999999999997</v>
      </c>
      <c r="AJ1007">
        <f>'raw data Crude oil'!AJ1008</f>
        <v>45.161000000000001</v>
      </c>
      <c r="AK1007">
        <f>'raw data Crude oil'!AK1008</f>
        <v>45.13</v>
      </c>
    </row>
    <row r="1008" spans="1:37" x14ac:dyDescent="0.3">
      <c r="A1008" s="18">
        <f>'raw data Crude oil'!A1009</f>
        <v>44159</v>
      </c>
      <c r="B1008">
        <f>'raw data Crude oil'!B1009</f>
        <v>47.86</v>
      </c>
      <c r="C1008">
        <f>'raw data Crude oil'!C1009</f>
        <v>47.78</v>
      </c>
      <c r="D1008">
        <f>'raw data Crude oil'!D1009</f>
        <v>47.78</v>
      </c>
      <c r="E1008">
        <f>'raw data Crude oil'!E1009</f>
        <v>47.8</v>
      </c>
      <c r="F1008">
        <f>'raw data Crude oil'!F1009</f>
        <v>47.83</v>
      </c>
      <c r="G1008">
        <f>'raw data Crude oil'!G1009</f>
        <v>47.84</v>
      </c>
      <c r="H1008">
        <f>'raw data Crude oil'!H1009</f>
        <v>47.8</v>
      </c>
      <c r="I1008">
        <f>'raw data Crude oil'!I1009</f>
        <v>47.79</v>
      </c>
      <c r="J1008">
        <f>'raw data Crude oil'!J1009</f>
        <v>47.78</v>
      </c>
      <c r="K1008">
        <f>'raw data Crude oil'!K1009</f>
        <v>47.76</v>
      </c>
      <c r="L1008">
        <f>'raw data Crude oil'!L1009</f>
        <v>47.73</v>
      </c>
      <c r="M1008">
        <f>'raw data Crude oil'!M1009</f>
        <v>47.71</v>
      </c>
      <c r="N1008">
        <f>'raw data Crude oil'!N1009</f>
        <v>44.91</v>
      </c>
      <c r="O1008">
        <f>'raw data Crude oil'!O1009</f>
        <v>45.11</v>
      </c>
      <c r="P1008">
        <f>'raw data Crude oil'!P1009</f>
        <v>45.25</v>
      </c>
      <c r="Q1008">
        <f>'raw data Crude oil'!Q1009</f>
        <v>45.35</v>
      </c>
      <c r="R1008">
        <f>'raw data Crude oil'!R1009</f>
        <v>45.41</v>
      </c>
      <c r="S1008">
        <f>'raw data Crude oil'!S1009</f>
        <v>45.41</v>
      </c>
      <c r="T1008">
        <f>'raw data Crude oil'!T1009</f>
        <v>45.38</v>
      </c>
      <c r="U1008">
        <f>'raw data Crude oil'!U1009</f>
        <v>45.31</v>
      </c>
      <c r="V1008">
        <f>'raw data Crude oil'!V1009</f>
        <v>45.24</v>
      </c>
      <c r="W1008">
        <f>'raw data Crude oil'!W1009</f>
        <v>45.16</v>
      </c>
      <c r="X1008">
        <f>'raw data Crude oil'!X1009</f>
        <v>45.09</v>
      </c>
      <c r="Y1008">
        <f>'raw data Crude oil'!Y1009</f>
        <v>45.03</v>
      </c>
      <c r="Z1008">
        <f>'raw data Crude oil'!Z1009</f>
        <v>43.363</v>
      </c>
      <c r="AA1008">
        <f>'raw data Crude oil'!AA1009</f>
        <v>47.13</v>
      </c>
      <c r="AB1008">
        <f>'raw data Crude oil'!AB1009</f>
        <v>46.951000000000001</v>
      </c>
      <c r="AC1008">
        <f>'raw data Crude oil'!AC1009</f>
        <v>46.911999999999999</v>
      </c>
      <c r="AD1008">
        <f>'raw data Crude oil'!AD1009</f>
        <v>46.91</v>
      </c>
      <c r="AE1008">
        <f>'raw data Crude oil'!AE1009</f>
        <v>46.917999999999999</v>
      </c>
      <c r="AF1008">
        <f>'raw data Crude oil'!AF1009</f>
        <v>46.908999999999999</v>
      </c>
      <c r="AG1008">
        <f>'raw data Crude oil'!AG1009</f>
        <v>46.88</v>
      </c>
      <c r="AH1008">
        <f>'raw data Crude oil'!AH1009</f>
        <v>46.779000000000003</v>
      </c>
      <c r="AI1008">
        <f>'raw data Crude oil'!AI1009</f>
        <v>46.719000000000001</v>
      </c>
      <c r="AJ1008">
        <f>'raw data Crude oil'!AJ1009</f>
        <v>46.639000000000003</v>
      </c>
      <c r="AK1008">
        <f>'raw data Crude oil'!AK1009</f>
        <v>46.588999999999999</v>
      </c>
    </row>
    <row r="1009" spans="1:37" x14ac:dyDescent="0.3">
      <c r="A1009" s="18">
        <f>'raw data Crude oil'!A1010</f>
        <v>44160</v>
      </c>
      <c r="B1009">
        <f>'raw data Crude oil'!B1010</f>
        <v>48.61</v>
      </c>
      <c r="C1009">
        <f>'raw data Crude oil'!C1010</f>
        <v>48.53</v>
      </c>
      <c r="D1009">
        <f>'raw data Crude oil'!D1010</f>
        <v>48.54</v>
      </c>
      <c r="E1009">
        <f>'raw data Crude oil'!E1010</f>
        <v>48.55</v>
      </c>
      <c r="F1009">
        <f>'raw data Crude oil'!F1010</f>
        <v>48.57</v>
      </c>
      <c r="G1009">
        <f>'raw data Crude oil'!G1010</f>
        <v>48.58</v>
      </c>
      <c r="H1009">
        <f>'raw data Crude oil'!H1010</f>
        <v>48.53</v>
      </c>
      <c r="I1009">
        <f>'raw data Crude oil'!I1010</f>
        <v>48.51</v>
      </c>
      <c r="J1009">
        <f>'raw data Crude oil'!J1010</f>
        <v>48.49</v>
      </c>
      <c r="K1009">
        <f>'raw data Crude oil'!K1010</f>
        <v>48.46</v>
      </c>
      <c r="L1009">
        <f>'raw data Crude oil'!L1010</f>
        <v>48.43</v>
      </c>
      <c r="M1009">
        <f>'raw data Crude oil'!M1010</f>
        <v>48.41</v>
      </c>
      <c r="N1009">
        <f>'raw data Crude oil'!N1010</f>
        <v>45.71</v>
      </c>
      <c r="O1009">
        <f>'raw data Crude oil'!O1010</f>
        <v>45.91</v>
      </c>
      <c r="P1009">
        <f>'raw data Crude oil'!P1010</f>
        <v>46.03</v>
      </c>
      <c r="Q1009">
        <f>'raw data Crude oil'!Q1010</f>
        <v>46.11</v>
      </c>
      <c r="R1009">
        <f>'raw data Crude oil'!R1010</f>
        <v>46.14</v>
      </c>
      <c r="S1009">
        <f>'raw data Crude oil'!S1010</f>
        <v>46.12</v>
      </c>
      <c r="T1009">
        <f>'raw data Crude oil'!T1010</f>
        <v>46.07</v>
      </c>
      <c r="U1009">
        <f>'raw data Crude oil'!U1010</f>
        <v>45.98</v>
      </c>
      <c r="V1009">
        <f>'raw data Crude oil'!V1010</f>
        <v>45.91</v>
      </c>
      <c r="W1009">
        <f>'raw data Crude oil'!W1010</f>
        <v>45.81</v>
      </c>
      <c r="X1009">
        <f>'raw data Crude oil'!X1010</f>
        <v>45.74</v>
      </c>
      <c r="Y1009">
        <f>'raw data Crude oil'!Y1010</f>
        <v>45.67</v>
      </c>
      <c r="Z1009">
        <f>'raw data Crude oil'!Z1010</f>
        <v>43.542999999999999</v>
      </c>
      <c r="AA1009">
        <f>'raw data Crude oil'!AA1010</f>
        <v>47.960999999999999</v>
      </c>
      <c r="AB1009">
        <f>'raw data Crude oil'!AB1010</f>
        <v>47.761000000000003</v>
      </c>
      <c r="AC1009">
        <f>'raw data Crude oil'!AC1010</f>
        <v>47.670999999999999</v>
      </c>
      <c r="AD1009">
        <f>'raw data Crude oil'!AD1010</f>
        <v>47.65</v>
      </c>
      <c r="AE1009">
        <f>'raw data Crude oil'!AE1010</f>
        <v>47.648000000000003</v>
      </c>
      <c r="AF1009">
        <f>'raw data Crude oil'!AF1010</f>
        <v>47.618000000000002</v>
      </c>
      <c r="AG1009">
        <f>'raw data Crude oil'!AG1010</f>
        <v>47.579000000000001</v>
      </c>
      <c r="AH1009">
        <f>'raw data Crude oil'!AH1010</f>
        <v>47.518999999999998</v>
      </c>
      <c r="AI1009">
        <f>'raw data Crude oil'!AI1010</f>
        <v>47.448999999999998</v>
      </c>
      <c r="AJ1009">
        <f>'raw data Crude oil'!AJ1010</f>
        <v>47.389000000000003</v>
      </c>
      <c r="AK1009">
        <f>'raw data Crude oil'!AK1010</f>
        <v>47.308999999999997</v>
      </c>
    </row>
    <row r="1010" spans="1:37" x14ac:dyDescent="0.3">
      <c r="A1010" s="18">
        <f>'raw data Crude oil'!A1011</f>
        <v>44161</v>
      </c>
      <c r="B1010">
        <f>'raw data Crude oil'!B1011</f>
        <v>47.8</v>
      </c>
      <c r="C1010">
        <f>'raw data Crude oil'!C1011</f>
        <v>47.79</v>
      </c>
      <c r="D1010">
        <f>'raw data Crude oil'!D1011</f>
        <v>47.82</v>
      </c>
      <c r="E1010">
        <f>'raw data Crude oil'!E1011</f>
        <v>47.86</v>
      </c>
      <c r="F1010">
        <f>'raw data Crude oil'!F1011</f>
        <v>47.91</v>
      </c>
      <c r="G1010">
        <f>'raw data Crude oil'!G1011</f>
        <v>47.92</v>
      </c>
      <c r="H1010">
        <f>'raw data Crude oil'!H1011</f>
        <v>47.88</v>
      </c>
      <c r="I1010">
        <f>'raw data Crude oil'!I1011</f>
        <v>47.86</v>
      </c>
      <c r="J1010">
        <f>'raw data Crude oil'!J1011</f>
        <v>47.86</v>
      </c>
      <c r="K1010">
        <f>'raw data Crude oil'!K1011</f>
        <v>47.83</v>
      </c>
      <c r="L1010">
        <f>'raw data Crude oil'!L1011</f>
        <v>47.81</v>
      </c>
      <c r="M1010">
        <f>'raw data Crude oil'!M1011</f>
        <v>47.8</v>
      </c>
      <c r="N1010">
        <f>'raw data Crude oil'!N1011</f>
        <v>45.71</v>
      </c>
      <c r="O1010">
        <f>'raw data Crude oil'!O1011</f>
        <v>45.91</v>
      </c>
      <c r="P1010">
        <f>'raw data Crude oil'!P1011</f>
        <v>46.03</v>
      </c>
      <c r="Q1010">
        <f>'raw data Crude oil'!Q1011</f>
        <v>46.11</v>
      </c>
      <c r="R1010">
        <f>'raw data Crude oil'!R1011</f>
        <v>46.14</v>
      </c>
      <c r="S1010">
        <f>'raw data Crude oil'!S1011</f>
        <v>46.12</v>
      </c>
      <c r="T1010">
        <f>'raw data Crude oil'!T1011</f>
        <v>46.07</v>
      </c>
      <c r="U1010">
        <f>'raw data Crude oil'!U1011</f>
        <v>45.98</v>
      </c>
      <c r="V1010">
        <f>'raw data Crude oil'!V1011</f>
        <v>45.91</v>
      </c>
      <c r="W1010">
        <f>'raw data Crude oil'!W1011</f>
        <v>45.81</v>
      </c>
      <c r="X1010">
        <f>'raw data Crude oil'!X1011</f>
        <v>45.74</v>
      </c>
      <c r="Y1010">
        <f>'raw data Crude oil'!Y1011</f>
        <v>45.67</v>
      </c>
      <c r="Z1010">
        <f>'raw data Crude oil'!Z1011</f>
        <v>43.44</v>
      </c>
      <c r="AA1010">
        <f>'raw data Crude oil'!AA1011</f>
        <v>47.283000000000001</v>
      </c>
      <c r="AB1010">
        <f>'raw data Crude oil'!AB1011</f>
        <v>47.101999999999997</v>
      </c>
      <c r="AC1010">
        <f>'raw data Crude oil'!AC1011</f>
        <v>47.012999999999998</v>
      </c>
      <c r="AD1010">
        <f>'raw data Crude oil'!AD1011</f>
        <v>47</v>
      </c>
      <c r="AE1010">
        <f>'raw data Crude oil'!AE1011</f>
        <v>46.978000000000002</v>
      </c>
      <c r="AF1010">
        <f>'raw data Crude oil'!AF1011</f>
        <v>46.968000000000004</v>
      </c>
      <c r="AG1010">
        <f>'raw data Crude oil'!AG1011</f>
        <v>46.94</v>
      </c>
      <c r="AH1010">
        <f>'raw data Crude oil'!AH1011</f>
        <v>46.899000000000001</v>
      </c>
      <c r="AI1010">
        <f>'raw data Crude oil'!AI1011</f>
        <v>46.838999999999999</v>
      </c>
      <c r="AJ1010">
        <f>'raw data Crude oil'!AJ1011</f>
        <v>46.78</v>
      </c>
      <c r="AK1010">
        <f>'raw data Crude oil'!AK1011</f>
        <v>46.71</v>
      </c>
    </row>
    <row r="1011" spans="1:37" x14ac:dyDescent="0.3">
      <c r="A1011" s="18">
        <f>'raw data Crude oil'!A1012</f>
        <v>44162</v>
      </c>
      <c r="B1011">
        <f>'raw data Crude oil'!B1012</f>
        <v>48.18</v>
      </c>
      <c r="C1011">
        <f>'raw data Crude oil'!C1012</f>
        <v>48.25</v>
      </c>
      <c r="D1011">
        <f>'raw data Crude oil'!D1012</f>
        <v>48.31</v>
      </c>
      <c r="E1011">
        <f>'raw data Crude oil'!E1012</f>
        <v>48.37</v>
      </c>
      <c r="F1011">
        <f>'raw data Crude oil'!F1012</f>
        <v>48.43</v>
      </c>
      <c r="G1011">
        <f>'raw data Crude oil'!G1012</f>
        <v>48.46</v>
      </c>
      <c r="H1011">
        <f>'raw data Crude oil'!H1012</f>
        <v>48.41</v>
      </c>
      <c r="I1011">
        <f>'raw data Crude oil'!I1012</f>
        <v>48.39</v>
      </c>
      <c r="J1011">
        <f>'raw data Crude oil'!J1012</f>
        <v>48.37</v>
      </c>
      <c r="K1011">
        <f>'raw data Crude oil'!K1012</f>
        <v>48.34</v>
      </c>
      <c r="L1011">
        <f>'raw data Crude oil'!L1012</f>
        <v>48.31</v>
      </c>
      <c r="M1011">
        <f>'raw data Crude oil'!M1012</f>
        <v>48.28</v>
      </c>
      <c r="N1011">
        <f>'raw data Crude oil'!N1012</f>
        <v>45.53</v>
      </c>
      <c r="O1011">
        <f>'raw data Crude oil'!O1012</f>
        <v>45.74</v>
      </c>
      <c r="P1011">
        <f>'raw data Crude oil'!P1012</f>
        <v>45.91</v>
      </c>
      <c r="Q1011">
        <f>'raw data Crude oil'!Q1012</f>
        <v>46.01</v>
      </c>
      <c r="R1011">
        <f>'raw data Crude oil'!R1012</f>
        <v>46.06</v>
      </c>
      <c r="S1011">
        <f>'raw data Crude oil'!S1012</f>
        <v>46.07</v>
      </c>
      <c r="T1011">
        <f>'raw data Crude oil'!T1012</f>
        <v>46.03</v>
      </c>
      <c r="U1011">
        <f>'raw data Crude oil'!U1012</f>
        <v>45.96</v>
      </c>
      <c r="V1011">
        <f>'raw data Crude oil'!V1012</f>
        <v>45.87</v>
      </c>
      <c r="W1011">
        <f>'raw data Crude oil'!W1012</f>
        <v>45.77</v>
      </c>
      <c r="X1011">
        <f>'raw data Crude oil'!X1012</f>
        <v>45.69</v>
      </c>
      <c r="Y1011">
        <f>'raw data Crude oil'!Y1012</f>
        <v>45.62</v>
      </c>
      <c r="Z1011">
        <f>'raw data Crude oil'!Z1012</f>
        <v>43.430999999999997</v>
      </c>
      <c r="AA1011">
        <f>'raw data Crude oil'!AA1012</f>
        <v>47.685000000000002</v>
      </c>
      <c r="AB1011">
        <f>'raw data Crude oil'!AB1012</f>
        <v>47.563000000000002</v>
      </c>
      <c r="AC1011">
        <f>'raw data Crude oil'!AC1012</f>
        <v>47.493000000000002</v>
      </c>
      <c r="AD1011">
        <f>'raw data Crude oil'!AD1012</f>
        <v>47.500999999999998</v>
      </c>
      <c r="AE1011">
        <f>'raw data Crude oil'!AE1012</f>
        <v>47.508000000000003</v>
      </c>
      <c r="AF1011">
        <f>'raw data Crude oil'!AF1012</f>
        <v>47.508000000000003</v>
      </c>
      <c r="AG1011">
        <f>'raw data Crude oil'!AG1012</f>
        <v>47.499000000000002</v>
      </c>
      <c r="AH1011">
        <f>'raw data Crude oil'!AH1012</f>
        <v>47.459000000000003</v>
      </c>
      <c r="AI1011">
        <f>'raw data Crude oil'!AI1012</f>
        <v>47.399000000000001</v>
      </c>
      <c r="AJ1011">
        <f>'raw data Crude oil'!AJ1012</f>
        <v>47.338999999999999</v>
      </c>
      <c r="AK1011">
        <f>'raw data Crude oil'!AK1012</f>
        <v>47.26</v>
      </c>
    </row>
    <row r="1012" spans="1:37" x14ac:dyDescent="0.3">
      <c r="A1012" s="18">
        <f>'raw data Crude oil'!A1013</f>
        <v>44165</v>
      </c>
      <c r="B1012">
        <f>'raw data Crude oil'!B1013</f>
        <v>47.59</v>
      </c>
      <c r="C1012">
        <f>'raw data Crude oil'!C1013</f>
        <v>47.88</v>
      </c>
      <c r="D1012">
        <f>'raw data Crude oil'!D1013</f>
        <v>47.95</v>
      </c>
      <c r="E1012">
        <f>'raw data Crude oil'!E1013</f>
        <v>48.03</v>
      </c>
      <c r="F1012">
        <f>'raw data Crude oil'!F1013</f>
        <v>48.1</v>
      </c>
      <c r="G1012">
        <f>'raw data Crude oil'!G1013</f>
        <v>48.14</v>
      </c>
      <c r="H1012">
        <f>'raw data Crude oil'!H1013</f>
        <v>48.11</v>
      </c>
      <c r="I1012">
        <f>'raw data Crude oil'!I1013</f>
        <v>48.11</v>
      </c>
      <c r="J1012">
        <f>'raw data Crude oil'!J1013</f>
        <v>48.09</v>
      </c>
      <c r="K1012">
        <f>'raw data Crude oil'!K1013</f>
        <v>48.07</v>
      </c>
      <c r="L1012">
        <f>'raw data Crude oil'!L1013</f>
        <v>48.05</v>
      </c>
      <c r="M1012">
        <f>'raw data Crude oil'!M1013</f>
        <v>48.04</v>
      </c>
      <c r="N1012">
        <f>'raw data Crude oil'!N1013</f>
        <v>45.34</v>
      </c>
      <c r="O1012">
        <f>'raw data Crude oil'!O1013</f>
        <v>45.51</v>
      </c>
      <c r="P1012">
        <f>'raw data Crude oil'!P1013</f>
        <v>45.65</v>
      </c>
      <c r="Q1012">
        <f>'raw data Crude oil'!Q1013</f>
        <v>45.74</v>
      </c>
      <c r="R1012">
        <f>'raw data Crude oil'!R1013</f>
        <v>45.78</v>
      </c>
      <c r="S1012">
        <f>'raw data Crude oil'!S1013</f>
        <v>45.77</v>
      </c>
      <c r="T1012">
        <f>'raw data Crude oil'!T1013</f>
        <v>45.72</v>
      </c>
      <c r="U1012">
        <f>'raw data Crude oil'!U1013</f>
        <v>45.65</v>
      </c>
      <c r="V1012">
        <f>'raw data Crude oil'!V1013</f>
        <v>45.56</v>
      </c>
      <c r="W1012">
        <f>'raw data Crude oil'!W1013</f>
        <v>45.47</v>
      </c>
      <c r="X1012">
        <f>'raw data Crude oil'!X1013</f>
        <v>45.39</v>
      </c>
      <c r="Y1012">
        <f>'raw data Crude oil'!Y1013</f>
        <v>45.32</v>
      </c>
      <c r="Z1012">
        <f>'raw data Crude oil'!Z1013</f>
        <v>43.393999999999998</v>
      </c>
      <c r="AA1012">
        <f>'raw data Crude oil'!AA1013</f>
        <v>47.235999999999997</v>
      </c>
      <c r="AB1012">
        <f>'raw data Crude oil'!AB1013</f>
        <v>47.164000000000001</v>
      </c>
      <c r="AC1012">
        <f>'raw data Crude oil'!AC1013</f>
        <v>47.154000000000003</v>
      </c>
      <c r="AD1012">
        <f>'raw data Crude oil'!AD1013</f>
        <v>47.182000000000002</v>
      </c>
      <c r="AE1012">
        <f>'raw data Crude oil'!AE1013</f>
        <v>47.198999999999998</v>
      </c>
      <c r="AF1012">
        <f>'raw data Crude oil'!AF1013</f>
        <v>47.21</v>
      </c>
      <c r="AG1012">
        <f>'raw data Crude oil'!AG1013</f>
        <v>47.198999999999998</v>
      </c>
      <c r="AH1012">
        <f>'raw data Crude oil'!AH1013</f>
        <v>47.149000000000001</v>
      </c>
      <c r="AI1012">
        <f>'raw data Crude oil'!AI1013</f>
        <v>47.098999999999997</v>
      </c>
      <c r="AJ1012">
        <f>'raw data Crude oil'!AJ1013</f>
        <v>47.06</v>
      </c>
      <c r="AK1012">
        <f>'raw data Crude oil'!AK1013</f>
        <v>47</v>
      </c>
    </row>
    <row r="1013" spans="1:37" x14ac:dyDescent="0.3">
      <c r="A1013" s="18">
        <f>'raw data Crude oil'!A1014</f>
        <v>44166</v>
      </c>
      <c r="B1013">
        <f>'raw data Crude oil'!B1014</f>
        <v>47.42</v>
      </c>
      <c r="C1013">
        <f>'raw data Crude oil'!C1014</f>
        <v>47.4</v>
      </c>
      <c r="D1013">
        <f>'raw data Crude oil'!D1014</f>
        <v>47.41</v>
      </c>
      <c r="E1013">
        <f>'raw data Crude oil'!E1014</f>
        <v>47.44</v>
      </c>
      <c r="F1013">
        <f>'raw data Crude oil'!F1014</f>
        <v>47.45</v>
      </c>
      <c r="G1013">
        <f>'raw data Crude oil'!G1014</f>
        <v>47.42</v>
      </c>
      <c r="H1013">
        <f>'raw data Crude oil'!H1014</f>
        <v>47.4</v>
      </c>
      <c r="I1013">
        <f>'raw data Crude oil'!I1014</f>
        <v>47.37</v>
      </c>
      <c r="J1013">
        <f>'raw data Crude oil'!J1014</f>
        <v>47.34</v>
      </c>
      <c r="K1013">
        <f>'raw data Crude oil'!K1014</f>
        <v>47.3</v>
      </c>
      <c r="L1013">
        <f>'raw data Crude oil'!L1014</f>
        <v>47.27</v>
      </c>
      <c r="M1013">
        <f>'raw data Crude oil'!M1014</f>
        <v>47.25</v>
      </c>
      <c r="N1013">
        <f>'raw data Crude oil'!N1014</f>
        <v>44.55</v>
      </c>
      <c r="O1013">
        <f>'raw data Crude oil'!O1014</f>
        <v>44.73</v>
      </c>
      <c r="P1013">
        <f>'raw data Crude oil'!P1014</f>
        <v>44.88</v>
      </c>
      <c r="Q1013">
        <f>'raw data Crude oil'!Q1014</f>
        <v>44.98</v>
      </c>
      <c r="R1013">
        <f>'raw data Crude oil'!R1014</f>
        <v>45.04</v>
      </c>
      <c r="S1013">
        <f>'raw data Crude oil'!S1014</f>
        <v>45.04</v>
      </c>
      <c r="T1013">
        <f>'raw data Crude oil'!T1014</f>
        <v>45</v>
      </c>
      <c r="U1013">
        <f>'raw data Crude oil'!U1014</f>
        <v>44.94</v>
      </c>
      <c r="V1013">
        <f>'raw data Crude oil'!V1014</f>
        <v>44.85</v>
      </c>
      <c r="W1013">
        <f>'raw data Crude oil'!W1014</f>
        <v>44.76</v>
      </c>
      <c r="X1013">
        <f>'raw data Crude oil'!X1014</f>
        <v>44.67</v>
      </c>
      <c r="Y1013">
        <f>'raw data Crude oil'!Y1014</f>
        <v>44.59</v>
      </c>
      <c r="Z1013">
        <f>'raw data Crude oil'!Z1014</f>
        <v>43.393999999999998</v>
      </c>
      <c r="AA1013">
        <f>'raw data Crude oil'!AA1014</f>
        <v>46.854999999999997</v>
      </c>
      <c r="AB1013">
        <f>'raw data Crude oil'!AB1014</f>
        <v>46.640999999999998</v>
      </c>
      <c r="AC1013">
        <f>'raw data Crude oil'!AC1014</f>
        <v>46.572000000000003</v>
      </c>
      <c r="AD1013">
        <f>'raw data Crude oil'!AD1014</f>
        <v>46.59</v>
      </c>
      <c r="AE1013">
        <f>'raw data Crude oil'!AE1014</f>
        <v>46.588999999999999</v>
      </c>
      <c r="AF1013">
        <f>'raw data Crude oil'!AF1014</f>
        <v>46.567999999999998</v>
      </c>
      <c r="AG1013">
        <f>'raw data Crude oil'!AG1014</f>
        <v>46.539000000000001</v>
      </c>
      <c r="AH1013">
        <f>'raw data Crude oil'!AH1014</f>
        <v>46.488999999999997</v>
      </c>
      <c r="AI1013">
        <f>'raw data Crude oil'!AI1014</f>
        <v>46.438000000000002</v>
      </c>
      <c r="AJ1013">
        <f>'raw data Crude oil'!AJ1014</f>
        <v>46.359000000000002</v>
      </c>
      <c r="AK1013">
        <f>'raw data Crude oil'!AK1014</f>
        <v>46.268999999999998</v>
      </c>
    </row>
    <row r="1014" spans="1:37" x14ac:dyDescent="0.3">
      <c r="A1014" s="18">
        <f>'raw data Crude oil'!A1015</f>
        <v>44167</v>
      </c>
      <c r="B1014">
        <f>'raw data Crude oil'!B1015</f>
        <v>48.25</v>
      </c>
      <c r="C1014">
        <f>'raw data Crude oil'!C1015</f>
        <v>48.19</v>
      </c>
      <c r="D1014">
        <f>'raw data Crude oil'!D1015</f>
        <v>48.16</v>
      </c>
      <c r="E1014">
        <f>'raw data Crude oil'!E1015</f>
        <v>48.15</v>
      </c>
      <c r="F1014">
        <f>'raw data Crude oil'!F1015</f>
        <v>48.12</v>
      </c>
      <c r="G1014">
        <f>'raw data Crude oil'!G1015</f>
        <v>48.05</v>
      </c>
      <c r="H1014">
        <f>'raw data Crude oil'!H1015</f>
        <v>48</v>
      </c>
      <c r="I1014">
        <f>'raw data Crude oil'!I1015</f>
        <v>47.94</v>
      </c>
      <c r="J1014">
        <f>'raw data Crude oil'!J1015</f>
        <v>47.87</v>
      </c>
      <c r="K1014">
        <f>'raw data Crude oil'!K1015</f>
        <v>47.79</v>
      </c>
      <c r="L1014">
        <f>'raw data Crude oil'!L1015</f>
        <v>47.73</v>
      </c>
      <c r="M1014">
        <f>'raw data Crude oil'!M1015</f>
        <v>47.69</v>
      </c>
      <c r="N1014">
        <f>'raw data Crude oil'!N1015</f>
        <v>45.28</v>
      </c>
      <c r="O1014">
        <f>'raw data Crude oil'!O1015</f>
        <v>45.44</v>
      </c>
      <c r="P1014">
        <f>'raw data Crude oil'!P1015</f>
        <v>45.57</v>
      </c>
      <c r="Q1014">
        <f>'raw data Crude oil'!Q1015</f>
        <v>45.64</v>
      </c>
      <c r="R1014">
        <f>'raw data Crude oil'!R1015</f>
        <v>45.66</v>
      </c>
      <c r="S1014">
        <f>'raw data Crude oil'!S1015</f>
        <v>45.64</v>
      </c>
      <c r="T1014">
        <f>'raw data Crude oil'!T1015</f>
        <v>45.57</v>
      </c>
      <c r="U1014">
        <f>'raw data Crude oil'!U1015</f>
        <v>45.46</v>
      </c>
      <c r="V1014">
        <f>'raw data Crude oil'!V1015</f>
        <v>45.34</v>
      </c>
      <c r="W1014">
        <f>'raw data Crude oil'!W1015</f>
        <v>45.2</v>
      </c>
      <c r="X1014">
        <f>'raw data Crude oil'!X1015</f>
        <v>45.08</v>
      </c>
      <c r="Y1014">
        <f>'raw data Crude oil'!Y1015</f>
        <v>44.99</v>
      </c>
      <c r="Z1014">
        <f>'raw data Crude oil'!Z1015</f>
        <v>47.662999999999997</v>
      </c>
      <c r="AA1014">
        <f>'raw data Crude oil'!AA1015</f>
        <v>47.399000000000001</v>
      </c>
      <c r="AB1014">
        <f>'raw data Crude oil'!AB1015</f>
        <v>47.32</v>
      </c>
      <c r="AC1014">
        <f>'raw data Crude oil'!AC1015</f>
        <v>47.289000000000001</v>
      </c>
      <c r="AD1014">
        <f>'raw data Crude oil'!AD1015</f>
        <v>47.256999999999998</v>
      </c>
      <c r="AE1014">
        <f>'raw data Crude oil'!AE1015</f>
        <v>47.225000000000001</v>
      </c>
      <c r="AF1014">
        <f>'raw data Crude oil'!AF1015</f>
        <v>47.146999999999998</v>
      </c>
      <c r="AG1014">
        <f>'raw data Crude oil'!AG1015</f>
        <v>47.057000000000002</v>
      </c>
      <c r="AH1014">
        <f>'raw data Crude oil'!AH1015</f>
        <v>46.966000000000001</v>
      </c>
      <c r="AI1014">
        <f>'raw data Crude oil'!AI1015</f>
        <v>46.877000000000002</v>
      </c>
      <c r="AJ1014">
        <f>'raw data Crude oil'!AJ1015</f>
        <v>46.798000000000002</v>
      </c>
      <c r="AK1014">
        <f>'raw data Crude oil'!AK1015</f>
        <v>46.677999999999997</v>
      </c>
    </row>
    <row r="1015" spans="1:37" x14ac:dyDescent="0.3">
      <c r="A1015" s="18">
        <f>'raw data Crude oil'!A1016</f>
        <v>44168</v>
      </c>
      <c r="B1015">
        <f>'raw data Crude oil'!B1016</f>
        <v>48.71</v>
      </c>
      <c r="C1015">
        <f>'raw data Crude oil'!C1016</f>
        <v>48.6</v>
      </c>
      <c r="D1015">
        <f>'raw data Crude oil'!D1016</f>
        <v>48.54</v>
      </c>
      <c r="E1015">
        <f>'raw data Crude oil'!E1016</f>
        <v>48.51</v>
      </c>
      <c r="F1015">
        <f>'raw data Crude oil'!F1016</f>
        <v>48.46</v>
      </c>
      <c r="G1015">
        <f>'raw data Crude oil'!G1016</f>
        <v>48.36</v>
      </c>
      <c r="H1015">
        <f>'raw data Crude oil'!H1016</f>
        <v>48.28</v>
      </c>
      <c r="I1015">
        <f>'raw data Crude oil'!I1016</f>
        <v>48.17</v>
      </c>
      <c r="J1015">
        <f>'raw data Crude oil'!J1016</f>
        <v>48.06</v>
      </c>
      <c r="K1015">
        <f>'raw data Crude oil'!K1016</f>
        <v>47.94</v>
      </c>
      <c r="L1015">
        <f>'raw data Crude oil'!L1016</f>
        <v>47.82</v>
      </c>
      <c r="M1015">
        <f>'raw data Crude oil'!M1016</f>
        <v>47.72</v>
      </c>
      <c r="N1015">
        <f>'raw data Crude oil'!N1016</f>
        <v>45.64</v>
      </c>
      <c r="O1015">
        <f>'raw data Crude oil'!O1016</f>
        <v>45.79</v>
      </c>
      <c r="P1015">
        <f>'raw data Crude oil'!P1016</f>
        <v>45.91</v>
      </c>
      <c r="Q1015">
        <f>'raw data Crude oil'!Q1016</f>
        <v>45.96</v>
      </c>
      <c r="R1015">
        <f>'raw data Crude oil'!R1016</f>
        <v>45.97</v>
      </c>
      <c r="S1015">
        <f>'raw data Crude oil'!S1016</f>
        <v>45.93</v>
      </c>
      <c r="T1015">
        <f>'raw data Crude oil'!T1016</f>
        <v>45.83</v>
      </c>
      <c r="U1015">
        <f>'raw data Crude oil'!U1016</f>
        <v>45.68</v>
      </c>
      <c r="V1015">
        <f>'raw data Crude oil'!V1016</f>
        <v>45.5</v>
      </c>
      <c r="W1015">
        <f>'raw data Crude oil'!W1016</f>
        <v>45.32</v>
      </c>
      <c r="X1015">
        <f>'raw data Crude oil'!X1016</f>
        <v>45.15</v>
      </c>
      <c r="Y1015">
        <f>'raw data Crude oil'!Y1016</f>
        <v>45</v>
      </c>
      <c r="Z1015">
        <f>'raw data Crude oil'!Z1016</f>
        <v>47.892000000000003</v>
      </c>
      <c r="AA1015">
        <f>'raw data Crude oil'!AA1016</f>
        <v>47.697000000000003</v>
      </c>
      <c r="AB1015">
        <f>'raw data Crude oil'!AB1016</f>
        <v>47.569000000000003</v>
      </c>
      <c r="AC1015">
        <f>'raw data Crude oil'!AC1016</f>
        <v>47.537999999999997</v>
      </c>
      <c r="AD1015">
        <f>'raw data Crude oil'!AD1016</f>
        <v>47.494999999999997</v>
      </c>
      <c r="AE1015">
        <f>'raw data Crude oil'!AE1016</f>
        <v>47.442</v>
      </c>
      <c r="AF1015">
        <f>'raw data Crude oil'!AF1016</f>
        <v>47.354999999999997</v>
      </c>
      <c r="AG1015">
        <f>'raw data Crude oil'!AG1016</f>
        <v>47.225000000000001</v>
      </c>
      <c r="AH1015">
        <f>'raw data Crude oil'!AH1016</f>
        <v>47.094999999999999</v>
      </c>
      <c r="AI1015">
        <f>'raw data Crude oil'!AI1016</f>
        <v>46.954999999999998</v>
      </c>
      <c r="AJ1015">
        <f>'raw data Crude oil'!AJ1016</f>
        <v>46.814999999999998</v>
      </c>
      <c r="AK1015">
        <f>'raw data Crude oil'!AK1016</f>
        <v>46.665999999999997</v>
      </c>
    </row>
    <row r="1016" spans="1:37" x14ac:dyDescent="0.3">
      <c r="A1016" s="18">
        <f>'raw data Crude oil'!A1017</f>
        <v>44169</v>
      </c>
      <c r="B1016">
        <f>'raw data Crude oil'!B1017</f>
        <v>49.25</v>
      </c>
      <c r="C1016">
        <f>'raw data Crude oil'!C1017</f>
        <v>49.19</v>
      </c>
      <c r="D1016">
        <f>'raw data Crude oil'!D1017</f>
        <v>49.16</v>
      </c>
      <c r="E1016">
        <f>'raw data Crude oil'!E1017</f>
        <v>49.16</v>
      </c>
      <c r="F1016">
        <f>'raw data Crude oil'!F1017</f>
        <v>49.12</v>
      </c>
      <c r="G1016">
        <f>'raw data Crude oil'!G1017</f>
        <v>49.02</v>
      </c>
      <c r="H1016">
        <f>'raw data Crude oil'!H1017</f>
        <v>48.95</v>
      </c>
      <c r="I1016">
        <f>'raw data Crude oil'!I1017</f>
        <v>48.84</v>
      </c>
      <c r="J1016">
        <f>'raw data Crude oil'!J1017</f>
        <v>48.72</v>
      </c>
      <c r="K1016">
        <f>'raw data Crude oil'!K1017</f>
        <v>48.59</v>
      </c>
      <c r="L1016">
        <f>'raw data Crude oil'!L1017</f>
        <v>48.47</v>
      </c>
      <c r="M1016">
        <f>'raw data Crude oil'!M1017</f>
        <v>48.37</v>
      </c>
      <c r="N1016">
        <f>'raw data Crude oil'!N1017</f>
        <v>46.26</v>
      </c>
      <c r="O1016">
        <f>'raw data Crude oil'!O1017</f>
        <v>46.42</v>
      </c>
      <c r="P1016">
        <f>'raw data Crude oil'!P1017</f>
        <v>46.54</v>
      </c>
      <c r="Q1016">
        <f>'raw data Crude oil'!Q1017</f>
        <v>46.6</v>
      </c>
      <c r="R1016">
        <f>'raw data Crude oil'!R1017</f>
        <v>46.61</v>
      </c>
      <c r="S1016">
        <f>'raw data Crude oil'!S1017</f>
        <v>46.56</v>
      </c>
      <c r="T1016">
        <f>'raw data Crude oil'!T1017</f>
        <v>46.46</v>
      </c>
      <c r="U1016">
        <f>'raw data Crude oil'!U1017</f>
        <v>46.32</v>
      </c>
      <c r="V1016">
        <f>'raw data Crude oil'!V1017</f>
        <v>46.14</v>
      </c>
      <c r="W1016">
        <f>'raw data Crude oil'!W1017</f>
        <v>45.99</v>
      </c>
      <c r="X1016">
        <f>'raw data Crude oil'!X1017</f>
        <v>45.82</v>
      </c>
      <c r="Y1016">
        <f>'raw data Crude oil'!Y1017</f>
        <v>45.63</v>
      </c>
      <c r="Z1016">
        <f>'raw data Crude oil'!Z1017</f>
        <v>48.500999999999998</v>
      </c>
      <c r="AA1016">
        <f>'raw data Crude oil'!AA1017</f>
        <v>48.329000000000001</v>
      </c>
      <c r="AB1016">
        <f>'raw data Crude oil'!AB1017</f>
        <v>48.17</v>
      </c>
      <c r="AC1016">
        <f>'raw data Crude oil'!AC1017</f>
        <v>48.137999999999998</v>
      </c>
      <c r="AD1016">
        <f>'raw data Crude oil'!AD1017</f>
        <v>48.115000000000002</v>
      </c>
      <c r="AE1016">
        <f>'raw data Crude oil'!AE1017</f>
        <v>48.073</v>
      </c>
      <c r="AF1016">
        <f>'raw data Crude oil'!AF1017</f>
        <v>48.015000000000001</v>
      </c>
      <c r="AG1016">
        <f>'raw data Crude oil'!AG1017</f>
        <v>47.875</v>
      </c>
      <c r="AH1016">
        <f>'raw data Crude oil'!AH1017</f>
        <v>47.734000000000002</v>
      </c>
      <c r="AI1016">
        <f>'raw data Crude oil'!AI1017</f>
        <v>47.604999999999997</v>
      </c>
      <c r="AJ1016">
        <f>'raw data Crude oil'!AJ1017</f>
        <v>47.465000000000003</v>
      </c>
      <c r="AK1016">
        <f>'raw data Crude oil'!AK1017</f>
        <v>47.316000000000003</v>
      </c>
    </row>
    <row r="1017" spans="1:37" x14ac:dyDescent="0.3">
      <c r="A1017" s="18">
        <f>'raw data Crude oil'!A1018</f>
        <v>44172</v>
      </c>
      <c r="B1017">
        <f>'raw data Crude oil'!B1018</f>
        <v>48.79</v>
      </c>
      <c r="C1017">
        <f>'raw data Crude oil'!C1018</f>
        <v>48.8</v>
      </c>
      <c r="D1017">
        <f>'raw data Crude oil'!D1018</f>
        <v>48.82</v>
      </c>
      <c r="E1017">
        <f>'raw data Crude oil'!E1018</f>
        <v>48.86</v>
      </c>
      <c r="F1017">
        <f>'raw data Crude oil'!F1018</f>
        <v>48.86</v>
      </c>
      <c r="G1017">
        <f>'raw data Crude oil'!G1018</f>
        <v>48.8</v>
      </c>
      <c r="H1017">
        <f>'raw data Crude oil'!H1018</f>
        <v>48.76</v>
      </c>
      <c r="I1017">
        <f>'raw data Crude oil'!I1018</f>
        <v>48.69</v>
      </c>
      <c r="J1017">
        <f>'raw data Crude oil'!J1018</f>
        <v>48.6</v>
      </c>
      <c r="K1017">
        <f>'raw data Crude oil'!K1018</f>
        <v>48.49</v>
      </c>
      <c r="L1017">
        <f>'raw data Crude oil'!L1018</f>
        <v>48.39</v>
      </c>
      <c r="M1017">
        <f>'raw data Crude oil'!M1018</f>
        <v>48.3</v>
      </c>
      <c r="N1017">
        <f>'raw data Crude oil'!N1018</f>
        <v>45.76</v>
      </c>
      <c r="O1017">
        <f>'raw data Crude oil'!O1018</f>
        <v>45.95</v>
      </c>
      <c r="P1017">
        <f>'raw data Crude oil'!P1018</f>
        <v>46.09</v>
      </c>
      <c r="Q1017">
        <f>'raw data Crude oil'!Q1018</f>
        <v>46.19</v>
      </c>
      <c r="R1017">
        <f>'raw data Crude oil'!R1018</f>
        <v>46.23</v>
      </c>
      <c r="S1017">
        <f>'raw data Crude oil'!S1018</f>
        <v>46.23</v>
      </c>
      <c r="T1017">
        <f>'raw data Crude oil'!T1018</f>
        <v>46.17</v>
      </c>
      <c r="U1017">
        <f>'raw data Crude oil'!U1018</f>
        <v>46.08</v>
      </c>
      <c r="V1017">
        <f>'raw data Crude oil'!V1018</f>
        <v>45.96</v>
      </c>
      <c r="W1017">
        <f>'raw data Crude oil'!W1018</f>
        <v>45.82</v>
      </c>
      <c r="X1017">
        <f>'raw data Crude oil'!X1018</f>
        <v>45.69</v>
      </c>
      <c r="Y1017">
        <f>'raw data Crude oil'!Y1018</f>
        <v>45.57</v>
      </c>
      <c r="Z1017">
        <f>'raw data Crude oil'!Z1018</f>
        <v>48.253</v>
      </c>
      <c r="AA1017">
        <f>'raw data Crude oil'!AA1018</f>
        <v>48.011000000000003</v>
      </c>
      <c r="AB1017">
        <f>'raw data Crude oil'!AB1018</f>
        <v>47.881999999999998</v>
      </c>
      <c r="AC1017">
        <f>'raw data Crude oil'!AC1018</f>
        <v>47.86</v>
      </c>
      <c r="AD1017">
        <f>'raw data Crude oil'!AD1018</f>
        <v>47.847000000000001</v>
      </c>
      <c r="AE1017">
        <f>'raw data Crude oil'!AE1018</f>
        <v>47.835999999999999</v>
      </c>
      <c r="AF1017">
        <f>'raw data Crude oil'!AF1018</f>
        <v>47.786999999999999</v>
      </c>
      <c r="AG1017">
        <f>'raw data Crude oil'!AG1018</f>
        <v>47.706000000000003</v>
      </c>
      <c r="AH1017">
        <f>'raw data Crude oil'!AH1018</f>
        <v>47.594999999999999</v>
      </c>
      <c r="AI1017">
        <f>'raw data Crude oil'!AI1018</f>
        <v>47.454999999999998</v>
      </c>
      <c r="AJ1017">
        <f>'raw data Crude oil'!AJ1018</f>
        <v>47.345999999999997</v>
      </c>
      <c r="AK1017">
        <f>'raw data Crude oil'!AK1018</f>
        <v>47.225999999999999</v>
      </c>
    </row>
    <row r="1018" spans="1:37" x14ac:dyDescent="0.3">
      <c r="A1018" s="18">
        <f>'raw data Crude oil'!A1019</f>
        <v>44173</v>
      </c>
      <c r="B1018">
        <f>'raw data Crude oil'!B1019</f>
        <v>48.84</v>
      </c>
      <c r="C1018">
        <f>'raw data Crude oil'!C1019</f>
        <v>48.81</v>
      </c>
      <c r="D1018">
        <f>'raw data Crude oil'!D1019</f>
        <v>48.83</v>
      </c>
      <c r="E1018">
        <f>'raw data Crude oil'!E1019</f>
        <v>48.86</v>
      </c>
      <c r="F1018">
        <f>'raw data Crude oil'!F1019</f>
        <v>48.86</v>
      </c>
      <c r="G1018">
        <f>'raw data Crude oil'!G1019</f>
        <v>48.81</v>
      </c>
      <c r="H1018">
        <f>'raw data Crude oil'!H1019</f>
        <v>48.79</v>
      </c>
      <c r="I1018">
        <f>'raw data Crude oil'!I1019</f>
        <v>48.73</v>
      </c>
      <c r="J1018">
        <f>'raw data Crude oil'!J1019</f>
        <v>48.64</v>
      </c>
      <c r="K1018">
        <f>'raw data Crude oil'!K1019</f>
        <v>48.54</v>
      </c>
      <c r="L1018">
        <f>'raw data Crude oil'!L1019</f>
        <v>48.45</v>
      </c>
      <c r="M1018">
        <f>'raw data Crude oil'!M1019</f>
        <v>48.36</v>
      </c>
      <c r="N1018">
        <f>'raw data Crude oil'!N1019</f>
        <v>45.6</v>
      </c>
      <c r="O1018">
        <f>'raw data Crude oil'!O1019</f>
        <v>45.8</v>
      </c>
      <c r="P1018">
        <f>'raw data Crude oil'!P1019</f>
        <v>45.96</v>
      </c>
      <c r="Q1018">
        <f>'raw data Crude oil'!Q1019</f>
        <v>46.09</v>
      </c>
      <c r="R1018">
        <f>'raw data Crude oil'!R1019</f>
        <v>46.16</v>
      </c>
      <c r="S1018">
        <f>'raw data Crude oil'!S1019</f>
        <v>46.17</v>
      </c>
      <c r="T1018">
        <f>'raw data Crude oil'!T1019</f>
        <v>46.13</v>
      </c>
      <c r="U1018">
        <f>'raw data Crude oil'!U1019</f>
        <v>46.06</v>
      </c>
      <c r="V1018">
        <f>'raw data Crude oil'!V1019</f>
        <v>45.96</v>
      </c>
      <c r="W1018">
        <f>'raw data Crude oil'!W1019</f>
        <v>45.84</v>
      </c>
      <c r="X1018">
        <f>'raw data Crude oil'!X1019</f>
        <v>45.73</v>
      </c>
      <c r="Y1018">
        <f>'raw data Crude oil'!Y1019</f>
        <v>45.62</v>
      </c>
      <c r="Z1018">
        <f>'raw data Crude oil'!Z1019</f>
        <v>48.368000000000002</v>
      </c>
      <c r="AA1018">
        <f>'raw data Crude oil'!AA1019</f>
        <v>48.051000000000002</v>
      </c>
      <c r="AB1018">
        <f>'raw data Crude oil'!AB1019</f>
        <v>47.911999999999999</v>
      </c>
      <c r="AC1018">
        <f>'raw data Crude oil'!AC1019</f>
        <v>47.89</v>
      </c>
      <c r="AD1018">
        <f>'raw data Crude oil'!AD1019</f>
        <v>47.887999999999998</v>
      </c>
      <c r="AE1018">
        <f>'raw data Crude oil'!AE1019</f>
        <v>47.898000000000003</v>
      </c>
      <c r="AF1018">
        <f>'raw data Crude oil'!AF1019</f>
        <v>47.877000000000002</v>
      </c>
      <c r="AG1018">
        <f>'raw data Crude oil'!AG1019</f>
        <v>47.805999999999997</v>
      </c>
      <c r="AH1018">
        <f>'raw data Crude oil'!AH1019</f>
        <v>47.674999999999997</v>
      </c>
      <c r="AI1018">
        <f>'raw data Crude oil'!AI1019</f>
        <v>47.545999999999999</v>
      </c>
      <c r="AJ1018">
        <f>'raw data Crude oil'!AJ1019</f>
        <v>47.426000000000002</v>
      </c>
      <c r="AK1018">
        <f>'raw data Crude oil'!AK1019</f>
        <v>47.307000000000002</v>
      </c>
    </row>
    <row r="1019" spans="1:37" x14ac:dyDescent="0.3">
      <c r="A1019" s="18">
        <f>'raw data Crude oil'!A1020</f>
        <v>44174</v>
      </c>
      <c r="B1019">
        <f>'raw data Crude oil'!B1020</f>
        <v>48.86</v>
      </c>
      <c r="C1019">
        <f>'raw data Crude oil'!C1020</f>
        <v>48.77</v>
      </c>
      <c r="D1019">
        <f>'raw data Crude oil'!D1020</f>
        <v>48.74</v>
      </c>
      <c r="E1019">
        <f>'raw data Crude oil'!E1020</f>
        <v>48.74</v>
      </c>
      <c r="F1019">
        <f>'raw data Crude oil'!F1020</f>
        <v>48.73</v>
      </c>
      <c r="G1019">
        <f>'raw data Crude oil'!G1020</f>
        <v>48.66</v>
      </c>
      <c r="H1019">
        <f>'raw data Crude oil'!H1020</f>
        <v>48.63</v>
      </c>
      <c r="I1019">
        <f>'raw data Crude oil'!I1020</f>
        <v>48.57</v>
      </c>
      <c r="J1019">
        <f>'raw data Crude oil'!J1020</f>
        <v>48.48</v>
      </c>
      <c r="K1019">
        <f>'raw data Crude oil'!K1020</f>
        <v>48.38</v>
      </c>
      <c r="L1019">
        <f>'raw data Crude oil'!L1020</f>
        <v>48.29</v>
      </c>
      <c r="M1019">
        <f>'raw data Crude oil'!M1020</f>
        <v>48.2</v>
      </c>
      <c r="N1019">
        <f>'raw data Crude oil'!N1020</f>
        <v>45.52</v>
      </c>
      <c r="O1019">
        <f>'raw data Crude oil'!O1020</f>
        <v>45.72</v>
      </c>
      <c r="P1019">
        <f>'raw data Crude oil'!P1020</f>
        <v>45.87</v>
      </c>
      <c r="Q1019">
        <f>'raw data Crude oil'!Q1020</f>
        <v>45.99</v>
      </c>
      <c r="R1019">
        <f>'raw data Crude oil'!R1020</f>
        <v>46.06</v>
      </c>
      <c r="S1019">
        <f>'raw data Crude oil'!S1020</f>
        <v>46.07</v>
      </c>
      <c r="T1019">
        <f>'raw data Crude oil'!T1020</f>
        <v>46.04</v>
      </c>
      <c r="U1019">
        <f>'raw data Crude oil'!U1020</f>
        <v>45.98</v>
      </c>
      <c r="V1019">
        <f>'raw data Crude oil'!V1020</f>
        <v>45.9</v>
      </c>
      <c r="W1019">
        <f>'raw data Crude oil'!W1020</f>
        <v>45.78</v>
      </c>
      <c r="X1019">
        <f>'raw data Crude oil'!X1020</f>
        <v>45.68</v>
      </c>
      <c r="Y1019">
        <f>'raw data Crude oil'!Y1020</f>
        <v>45.58</v>
      </c>
      <c r="Z1019">
        <f>'raw data Crude oil'!Z1020</f>
        <v>48.36</v>
      </c>
      <c r="AA1019">
        <f>'raw data Crude oil'!AA1020</f>
        <v>48.058999999999997</v>
      </c>
      <c r="AB1019">
        <f>'raw data Crude oil'!AB1020</f>
        <v>47.88</v>
      </c>
      <c r="AC1019">
        <f>'raw data Crude oil'!AC1020</f>
        <v>47.82</v>
      </c>
      <c r="AD1019">
        <f>'raw data Crude oil'!AD1020</f>
        <v>47.796999999999997</v>
      </c>
      <c r="AE1019">
        <f>'raw data Crude oil'!AE1020</f>
        <v>47.777000000000001</v>
      </c>
      <c r="AF1019">
        <f>'raw data Crude oil'!AF1020</f>
        <v>47.737000000000002</v>
      </c>
      <c r="AG1019">
        <f>'raw data Crude oil'!AG1020</f>
        <v>47.636000000000003</v>
      </c>
      <c r="AH1019">
        <f>'raw data Crude oil'!AH1020</f>
        <v>47.505000000000003</v>
      </c>
      <c r="AI1019">
        <f>'raw data Crude oil'!AI1020</f>
        <v>47.386000000000003</v>
      </c>
      <c r="AJ1019">
        <f>'raw data Crude oil'!AJ1020</f>
        <v>47.265999999999998</v>
      </c>
      <c r="AK1019">
        <f>'raw data Crude oil'!AK1020</f>
        <v>47.137</v>
      </c>
    </row>
    <row r="1020" spans="1:37" x14ac:dyDescent="0.3">
      <c r="A1020" s="18">
        <f>'raw data Crude oil'!A1021</f>
        <v>44175</v>
      </c>
      <c r="B1020">
        <f>'raw data Crude oil'!B1021</f>
        <v>50.25</v>
      </c>
      <c r="C1020">
        <f>'raw data Crude oil'!C1021</f>
        <v>50.12</v>
      </c>
      <c r="D1020">
        <f>'raw data Crude oil'!D1021</f>
        <v>50.04</v>
      </c>
      <c r="E1020">
        <f>'raw data Crude oil'!E1021</f>
        <v>49.98</v>
      </c>
      <c r="F1020">
        <f>'raw data Crude oil'!F1021</f>
        <v>49.92</v>
      </c>
      <c r="G1020">
        <f>'raw data Crude oil'!G1021</f>
        <v>49.8</v>
      </c>
      <c r="H1020">
        <f>'raw data Crude oil'!H1021</f>
        <v>49.71</v>
      </c>
      <c r="I1020">
        <f>'raw data Crude oil'!I1021</f>
        <v>49.6</v>
      </c>
      <c r="J1020">
        <f>'raw data Crude oil'!J1021</f>
        <v>49.48</v>
      </c>
      <c r="K1020">
        <f>'raw data Crude oil'!K1021</f>
        <v>49.35</v>
      </c>
      <c r="L1020">
        <f>'raw data Crude oil'!L1021</f>
        <v>49.22</v>
      </c>
      <c r="M1020">
        <f>'raw data Crude oil'!M1021</f>
        <v>49.09</v>
      </c>
      <c r="N1020">
        <f>'raw data Crude oil'!N1021</f>
        <v>46.78</v>
      </c>
      <c r="O1020">
        <f>'raw data Crude oil'!O1021</f>
        <v>46.96</v>
      </c>
      <c r="P1020">
        <f>'raw data Crude oil'!P1021</f>
        <v>47.07</v>
      </c>
      <c r="Q1020">
        <f>'raw data Crude oil'!Q1021</f>
        <v>47.15</v>
      </c>
      <c r="R1020">
        <f>'raw data Crude oil'!R1021</f>
        <v>47.17</v>
      </c>
      <c r="S1020">
        <f>'raw data Crude oil'!S1021</f>
        <v>47.14</v>
      </c>
      <c r="T1020">
        <f>'raw data Crude oil'!T1021</f>
        <v>47.06</v>
      </c>
      <c r="U1020">
        <f>'raw data Crude oil'!U1021</f>
        <v>46.95</v>
      </c>
      <c r="V1020">
        <f>'raw data Crude oil'!V1021</f>
        <v>46.82</v>
      </c>
      <c r="W1020">
        <f>'raw data Crude oil'!W1021</f>
        <v>46.67</v>
      </c>
      <c r="X1020">
        <f>'raw data Crude oil'!X1021</f>
        <v>46.53</v>
      </c>
      <c r="Y1020">
        <f>'raw data Crude oil'!Y1021</f>
        <v>46.39</v>
      </c>
      <c r="Z1020">
        <f>'raw data Crude oil'!Z1021</f>
        <v>49.332000000000001</v>
      </c>
      <c r="AA1020">
        <f>'raw data Crude oil'!AA1021</f>
        <v>49.475999999999999</v>
      </c>
      <c r="AB1020">
        <f>'raw data Crude oil'!AB1021</f>
        <v>49.186999999999998</v>
      </c>
      <c r="AC1020">
        <f>'raw data Crude oil'!AC1021</f>
        <v>49.046999999999997</v>
      </c>
      <c r="AD1020">
        <f>'raw data Crude oil'!AD1021</f>
        <v>48.984000000000002</v>
      </c>
      <c r="AE1020">
        <f>'raw data Crude oil'!AE1021</f>
        <v>48.920999999999999</v>
      </c>
      <c r="AF1020">
        <f>'raw data Crude oil'!AF1021</f>
        <v>48.835000000000001</v>
      </c>
      <c r="AG1020">
        <f>'raw data Crude oil'!AG1021</f>
        <v>48.664999999999999</v>
      </c>
      <c r="AH1020">
        <f>'raw data Crude oil'!AH1021</f>
        <v>48.484000000000002</v>
      </c>
      <c r="AI1020">
        <f>'raw data Crude oil'!AI1021</f>
        <v>48.323999999999998</v>
      </c>
      <c r="AJ1020">
        <f>'raw data Crude oil'!AJ1021</f>
        <v>48.183999999999997</v>
      </c>
      <c r="AK1020">
        <f>'raw data Crude oil'!AK1021</f>
        <v>48.034999999999997</v>
      </c>
    </row>
    <row r="1021" spans="1:37" x14ac:dyDescent="0.3">
      <c r="A1021" s="18">
        <f>'raw data Crude oil'!A1022</f>
        <v>44176</v>
      </c>
      <c r="B1021">
        <f>'raw data Crude oil'!B1022</f>
        <v>49.97</v>
      </c>
      <c r="C1021">
        <f>'raw data Crude oil'!C1022</f>
        <v>49.9</v>
      </c>
      <c r="D1021">
        <f>'raw data Crude oil'!D1022</f>
        <v>49.84</v>
      </c>
      <c r="E1021">
        <f>'raw data Crude oil'!E1022</f>
        <v>49.79</v>
      </c>
      <c r="F1021">
        <f>'raw data Crude oil'!F1022</f>
        <v>49.73</v>
      </c>
      <c r="G1021">
        <f>'raw data Crude oil'!G1022</f>
        <v>49.62</v>
      </c>
      <c r="H1021">
        <f>'raw data Crude oil'!H1022</f>
        <v>49.53</v>
      </c>
      <c r="I1021">
        <f>'raw data Crude oil'!I1022</f>
        <v>49.42</v>
      </c>
      <c r="J1021">
        <f>'raw data Crude oil'!J1022</f>
        <v>49.29</v>
      </c>
      <c r="K1021">
        <f>'raw data Crude oil'!K1022</f>
        <v>49.16</v>
      </c>
      <c r="L1021">
        <f>'raw data Crude oil'!L1022</f>
        <v>49.04</v>
      </c>
      <c r="M1021">
        <f>'raw data Crude oil'!M1022</f>
        <v>48.92</v>
      </c>
      <c r="N1021">
        <f>'raw data Crude oil'!N1022</f>
        <v>46.57</v>
      </c>
      <c r="O1021">
        <f>'raw data Crude oil'!O1022</f>
        <v>46.75</v>
      </c>
      <c r="P1021">
        <f>'raw data Crude oil'!P1022</f>
        <v>46.87</v>
      </c>
      <c r="Q1021">
        <f>'raw data Crude oil'!Q1022</f>
        <v>46.96</v>
      </c>
      <c r="R1021">
        <f>'raw data Crude oil'!R1022</f>
        <v>47</v>
      </c>
      <c r="S1021">
        <f>'raw data Crude oil'!S1022</f>
        <v>46.97</v>
      </c>
      <c r="T1021">
        <f>'raw data Crude oil'!T1022</f>
        <v>46.89</v>
      </c>
      <c r="U1021">
        <f>'raw data Crude oil'!U1022</f>
        <v>46.78</v>
      </c>
      <c r="V1021">
        <f>'raw data Crude oil'!V1022</f>
        <v>46.64</v>
      </c>
      <c r="W1021">
        <f>'raw data Crude oil'!W1022</f>
        <v>46.49</v>
      </c>
      <c r="X1021">
        <f>'raw data Crude oil'!X1022</f>
        <v>46.35</v>
      </c>
      <c r="Y1021">
        <f>'raw data Crude oil'!Y1022</f>
        <v>46.2</v>
      </c>
      <c r="Z1021">
        <f>'raw data Crude oil'!Z1022</f>
        <v>49.226999999999997</v>
      </c>
      <c r="AA1021">
        <f>'raw data Crude oil'!AA1022</f>
        <v>49.237000000000002</v>
      </c>
      <c r="AB1021">
        <f>'raw data Crude oil'!AB1022</f>
        <v>48.917999999999999</v>
      </c>
      <c r="AC1021">
        <f>'raw data Crude oil'!AC1022</f>
        <v>48.817</v>
      </c>
      <c r="AD1021">
        <f>'raw data Crude oil'!AD1022</f>
        <v>48.744999999999997</v>
      </c>
      <c r="AE1021">
        <f>'raw data Crude oil'!AE1022</f>
        <v>48.680999999999997</v>
      </c>
      <c r="AF1021">
        <f>'raw data Crude oil'!AF1022</f>
        <v>48.594999999999999</v>
      </c>
      <c r="AG1021">
        <f>'raw data Crude oil'!AG1022</f>
        <v>48.463999999999999</v>
      </c>
      <c r="AH1021">
        <f>'raw data Crude oil'!AH1022</f>
        <v>48.314</v>
      </c>
      <c r="AI1021">
        <f>'raw data Crude oil'!AI1022</f>
        <v>48.174999999999997</v>
      </c>
      <c r="AJ1021">
        <f>'raw data Crude oil'!AJ1022</f>
        <v>48.024000000000001</v>
      </c>
      <c r="AK1021">
        <f>'raw data Crude oil'!AK1022</f>
        <v>47.875</v>
      </c>
    </row>
    <row r="1022" spans="1:37" x14ac:dyDescent="0.3">
      <c r="A1022" s="18">
        <f>'raw data Crude oil'!A1023</f>
        <v>44179</v>
      </c>
      <c r="B1022">
        <f>'raw data Crude oil'!B1023</f>
        <v>50.29</v>
      </c>
      <c r="C1022">
        <f>'raw data Crude oil'!C1023</f>
        <v>50.25</v>
      </c>
      <c r="D1022">
        <f>'raw data Crude oil'!D1023</f>
        <v>50.22</v>
      </c>
      <c r="E1022">
        <f>'raw data Crude oil'!E1023</f>
        <v>50.19</v>
      </c>
      <c r="F1022">
        <f>'raw data Crude oil'!F1023</f>
        <v>50.14</v>
      </c>
      <c r="G1022">
        <f>'raw data Crude oil'!G1023</f>
        <v>50.03</v>
      </c>
      <c r="H1022">
        <f>'raw data Crude oil'!H1023</f>
        <v>49.95</v>
      </c>
      <c r="I1022">
        <f>'raw data Crude oil'!I1023</f>
        <v>49.84</v>
      </c>
      <c r="J1022">
        <f>'raw data Crude oil'!J1023</f>
        <v>49.73</v>
      </c>
      <c r="K1022">
        <f>'raw data Crude oil'!K1023</f>
        <v>49.61</v>
      </c>
      <c r="L1022">
        <f>'raw data Crude oil'!L1023</f>
        <v>49.51</v>
      </c>
      <c r="M1022">
        <f>'raw data Crude oil'!M1023</f>
        <v>49.4</v>
      </c>
      <c r="N1022">
        <f>'raw data Crude oil'!N1023</f>
        <v>46.99</v>
      </c>
      <c r="O1022">
        <f>'raw data Crude oil'!O1023</f>
        <v>47.15</v>
      </c>
      <c r="P1022">
        <f>'raw data Crude oil'!P1023</f>
        <v>47.27</v>
      </c>
      <c r="Q1022">
        <f>'raw data Crude oil'!Q1023</f>
        <v>47.36</v>
      </c>
      <c r="R1022">
        <f>'raw data Crude oil'!R1023</f>
        <v>47.39</v>
      </c>
      <c r="S1022">
        <f>'raw data Crude oil'!S1023</f>
        <v>47.38</v>
      </c>
      <c r="T1022">
        <f>'raw data Crude oil'!T1023</f>
        <v>47.31</v>
      </c>
      <c r="U1022">
        <f>'raw data Crude oil'!U1023</f>
        <v>47.2</v>
      </c>
      <c r="V1022">
        <f>'raw data Crude oil'!V1023</f>
        <v>47.05</v>
      </c>
      <c r="W1022">
        <f>'raw data Crude oil'!W1023</f>
        <v>46.9</v>
      </c>
      <c r="X1022">
        <f>'raw data Crude oil'!X1023</f>
        <v>46.75</v>
      </c>
      <c r="Y1022">
        <f>'raw data Crude oil'!Y1023</f>
        <v>46.61</v>
      </c>
      <c r="Z1022">
        <f>'raw data Crude oil'!Z1023</f>
        <v>49.56</v>
      </c>
      <c r="AA1022">
        <f>'raw data Crude oil'!AA1023</f>
        <v>49.654000000000003</v>
      </c>
      <c r="AB1022">
        <f>'raw data Crude oil'!AB1023</f>
        <v>49.348999999999997</v>
      </c>
      <c r="AC1022">
        <f>'raw data Crude oil'!AC1023</f>
        <v>49.277999999999999</v>
      </c>
      <c r="AD1022">
        <f>'raw data Crude oil'!AD1023</f>
        <v>49.215000000000003</v>
      </c>
      <c r="AE1022">
        <f>'raw data Crude oil'!AE1023</f>
        <v>49.142000000000003</v>
      </c>
      <c r="AF1022">
        <f>'raw data Crude oil'!AF1023</f>
        <v>49.045000000000002</v>
      </c>
      <c r="AG1022">
        <f>'raw data Crude oil'!AG1023</f>
        <v>48.924999999999997</v>
      </c>
      <c r="AH1022">
        <f>'raw data Crude oil'!AH1023</f>
        <v>48.805</v>
      </c>
      <c r="AI1022">
        <f>'raw data Crude oil'!AI1023</f>
        <v>48.655000000000001</v>
      </c>
      <c r="AJ1022">
        <f>'raw data Crude oil'!AJ1023</f>
        <v>48.494999999999997</v>
      </c>
      <c r="AK1022">
        <f>'raw data Crude oil'!AK1023</f>
        <v>48.365000000000002</v>
      </c>
    </row>
    <row r="1023" spans="1:37" x14ac:dyDescent="0.3">
      <c r="A1023" s="18">
        <f>'raw data Crude oil'!A1024</f>
        <v>44180</v>
      </c>
      <c r="B1023">
        <f>'raw data Crude oil'!B1024</f>
        <v>50.76</v>
      </c>
      <c r="C1023">
        <f>'raw data Crude oil'!C1024</f>
        <v>50.71</v>
      </c>
      <c r="D1023">
        <f>'raw data Crude oil'!D1024</f>
        <v>50.66</v>
      </c>
      <c r="E1023">
        <f>'raw data Crude oil'!E1024</f>
        <v>50.62</v>
      </c>
      <c r="F1023">
        <f>'raw data Crude oil'!F1024</f>
        <v>50.56</v>
      </c>
      <c r="G1023">
        <f>'raw data Crude oil'!G1024</f>
        <v>50.43</v>
      </c>
      <c r="H1023">
        <f>'raw data Crude oil'!H1024</f>
        <v>50.34</v>
      </c>
      <c r="I1023">
        <f>'raw data Crude oil'!I1024</f>
        <v>50.22</v>
      </c>
      <c r="J1023">
        <f>'raw data Crude oil'!J1024</f>
        <v>50.1</v>
      </c>
      <c r="K1023">
        <f>'raw data Crude oil'!K1024</f>
        <v>49.98</v>
      </c>
      <c r="L1023">
        <f>'raw data Crude oil'!L1024</f>
        <v>49.87</v>
      </c>
      <c r="M1023">
        <f>'raw data Crude oil'!M1024</f>
        <v>49.76</v>
      </c>
      <c r="N1023">
        <f>'raw data Crude oil'!N1024</f>
        <v>47.62</v>
      </c>
      <c r="O1023">
        <f>'raw data Crude oil'!O1024</f>
        <v>47.78</v>
      </c>
      <c r="P1023">
        <f>'raw data Crude oil'!P1024</f>
        <v>47.88</v>
      </c>
      <c r="Q1023">
        <f>'raw data Crude oil'!Q1024</f>
        <v>47.95</v>
      </c>
      <c r="R1023">
        <f>'raw data Crude oil'!R1024</f>
        <v>47.95</v>
      </c>
      <c r="S1023">
        <f>'raw data Crude oil'!S1024</f>
        <v>47.9</v>
      </c>
      <c r="T1023">
        <f>'raw data Crude oil'!T1024</f>
        <v>47.8</v>
      </c>
      <c r="U1023">
        <f>'raw data Crude oil'!U1024</f>
        <v>47.66</v>
      </c>
      <c r="V1023">
        <f>'raw data Crude oil'!V1024</f>
        <v>47.5</v>
      </c>
      <c r="W1023">
        <f>'raw data Crude oil'!W1024</f>
        <v>47.34</v>
      </c>
      <c r="X1023">
        <f>'raw data Crude oil'!X1024</f>
        <v>47.19</v>
      </c>
      <c r="Y1023">
        <f>'raw data Crude oil'!Y1024</f>
        <v>47.04</v>
      </c>
      <c r="Z1023">
        <f>'raw data Crude oil'!Z1024</f>
        <v>49.792999999999999</v>
      </c>
      <c r="AA1023">
        <f>'raw data Crude oil'!AA1024</f>
        <v>50.118000000000002</v>
      </c>
      <c r="AB1023">
        <f>'raw data Crude oil'!AB1024</f>
        <v>49.817999999999998</v>
      </c>
      <c r="AC1023">
        <f>'raw data Crude oil'!AC1024</f>
        <v>49.686999999999998</v>
      </c>
      <c r="AD1023">
        <f>'raw data Crude oil'!AD1024</f>
        <v>49.594000000000001</v>
      </c>
      <c r="AE1023">
        <f>'raw data Crude oil'!AE1024</f>
        <v>49.500999999999998</v>
      </c>
      <c r="AF1023">
        <f>'raw data Crude oil'!AF1024</f>
        <v>49.414999999999999</v>
      </c>
      <c r="AG1023">
        <f>'raw data Crude oil'!AG1024</f>
        <v>49.305</v>
      </c>
      <c r="AH1023">
        <f>'raw data Crude oil'!AH1024</f>
        <v>49.134999999999998</v>
      </c>
      <c r="AI1023">
        <f>'raw data Crude oil'!AI1024</f>
        <v>48.975000000000001</v>
      </c>
      <c r="AJ1023">
        <f>'raw data Crude oil'!AJ1024</f>
        <v>48.844999999999999</v>
      </c>
      <c r="AK1023">
        <f>'raw data Crude oil'!AK1024</f>
        <v>48.695999999999998</v>
      </c>
    </row>
    <row r="1024" spans="1:37" x14ac:dyDescent="0.3">
      <c r="A1024" s="18">
        <f>'raw data Crude oil'!A1025</f>
        <v>44181</v>
      </c>
      <c r="B1024">
        <f>'raw data Crude oil'!B1025</f>
        <v>51.08</v>
      </c>
      <c r="C1024">
        <f>'raw data Crude oil'!C1025</f>
        <v>51.06</v>
      </c>
      <c r="D1024">
        <f>'raw data Crude oil'!D1025</f>
        <v>51.04</v>
      </c>
      <c r="E1024">
        <f>'raw data Crude oil'!E1025</f>
        <v>51.01</v>
      </c>
      <c r="F1024">
        <f>'raw data Crude oil'!F1025</f>
        <v>50.95</v>
      </c>
      <c r="G1024">
        <f>'raw data Crude oil'!G1025</f>
        <v>50.82</v>
      </c>
      <c r="H1024">
        <f>'raw data Crude oil'!H1025</f>
        <v>50.72</v>
      </c>
      <c r="I1024">
        <f>'raw data Crude oil'!I1025</f>
        <v>50.59</v>
      </c>
      <c r="J1024">
        <f>'raw data Crude oil'!J1025</f>
        <v>50.47</v>
      </c>
      <c r="K1024">
        <f>'raw data Crude oil'!K1025</f>
        <v>50.34</v>
      </c>
      <c r="L1024">
        <f>'raw data Crude oil'!L1025</f>
        <v>50.22</v>
      </c>
      <c r="M1024">
        <f>'raw data Crude oil'!M1025</f>
        <v>50.1</v>
      </c>
      <c r="N1024">
        <f>'raw data Crude oil'!N1025</f>
        <v>47.82</v>
      </c>
      <c r="O1024">
        <f>'raw data Crude oil'!O1025</f>
        <v>48</v>
      </c>
      <c r="P1024">
        <f>'raw data Crude oil'!P1025</f>
        <v>48.12</v>
      </c>
      <c r="Q1024">
        <f>'raw data Crude oil'!Q1025</f>
        <v>48.19</v>
      </c>
      <c r="R1024">
        <f>'raw data Crude oil'!R1025</f>
        <v>48.2</v>
      </c>
      <c r="S1024">
        <f>'raw data Crude oil'!S1025</f>
        <v>48.15</v>
      </c>
      <c r="T1024">
        <f>'raw data Crude oil'!T1025</f>
        <v>48.04</v>
      </c>
      <c r="U1024">
        <f>'raw data Crude oil'!U1025</f>
        <v>47.9</v>
      </c>
      <c r="V1024">
        <f>'raw data Crude oil'!V1025</f>
        <v>47.74</v>
      </c>
      <c r="W1024">
        <f>'raw data Crude oil'!W1025</f>
        <v>47.58</v>
      </c>
      <c r="X1024">
        <f>'raw data Crude oil'!X1025</f>
        <v>47.43</v>
      </c>
      <c r="Y1024">
        <f>'raw data Crude oil'!Y1025</f>
        <v>47.29</v>
      </c>
      <c r="Z1024">
        <f>'raw data Crude oil'!Z1025</f>
        <v>49.929000000000002</v>
      </c>
      <c r="AA1024">
        <f>'raw data Crude oil'!AA1025</f>
        <v>50.469000000000001</v>
      </c>
      <c r="AB1024">
        <f>'raw data Crude oil'!AB1025</f>
        <v>50.179000000000002</v>
      </c>
      <c r="AC1024">
        <f>'raw data Crude oil'!AC1025</f>
        <v>50.076999999999998</v>
      </c>
      <c r="AD1024">
        <f>'raw data Crude oil'!AD1025</f>
        <v>50.003999999999998</v>
      </c>
      <c r="AE1024">
        <f>'raw data Crude oil'!AE1025</f>
        <v>49.91</v>
      </c>
      <c r="AF1024">
        <f>'raw data Crude oil'!AF1025</f>
        <v>49.834000000000003</v>
      </c>
      <c r="AG1024">
        <f>'raw data Crude oil'!AG1025</f>
        <v>49.664999999999999</v>
      </c>
      <c r="AH1024">
        <f>'raw data Crude oil'!AH1025</f>
        <v>49.503999999999998</v>
      </c>
      <c r="AI1024">
        <f>'raw data Crude oil'!AI1025</f>
        <v>49.344999999999999</v>
      </c>
      <c r="AJ1024">
        <f>'raw data Crude oil'!AJ1025</f>
        <v>49.194000000000003</v>
      </c>
      <c r="AK1024">
        <f>'raw data Crude oil'!AK1025</f>
        <v>49.034999999999997</v>
      </c>
    </row>
    <row r="1025" spans="1:37" x14ac:dyDescent="0.3">
      <c r="A1025" s="18">
        <f>'raw data Crude oil'!A1026</f>
        <v>44182</v>
      </c>
      <c r="B1025">
        <f>'raw data Crude oil'!B1026</f>
        <v>51.5</v>
      </c>
      <c r="C1025">
        <f>'raw data Crude oil'!C1026</f>
        <v>51.56</v>
      </c>
      <c r="D1025">
        <f>'raw data Crude oil'!D1026</f>
        <v>51.58</v>
      </c>
      <c r="E1025">
        <f>'raw data Crude oil'!E1026</f>
        <v>51.57</v>
      </c>
      <c r="F1025">
        <f>'raw data Crude oil'!F1026</f>
        <v>51.52</v>
      </c>
      <c r="G1025">
        <f>'raw data Crude oil'!G1026</f>
        <v>51.41</v>
      </c>
      <c r="H1025">
        <f>'raw data Crude oil'!H1026</f>
        <v>51.32</v>
      </c>
      <c r="I1025">
        <f>'raw data Crude oil'!I1026</f>
        <v>51.2</v>
      </c>
      <c r="J1025">
        <f>'raw data Crude oil'!J1026</f>
        <v>51.07</v>
      </c>
      <c r="K1025">
        <f>'raw data Crude oil'!K1026</f>
        <v>50.94</v>
      </c>
      <c r="L1025">
        <f>'raw data Crude oil'!L1026</f>
        <v>50.81</v>
      </c>
      <c r="M1025">
        <f>'raw data Crude oil'!M1026</f>
        <v>50.69</v>
      </c>
      <c r="N1025">
        <f>'raw data Crude oil'!N1026</f>
        <v>48.36</v>
      </c>
      <c r="O1025">
        <f>'raw data Crude oil'!O1026</f>
        <v>48.54</v>
      </c>
      <c r="P1025">
        <f>'raw data Crude oil'!P1026</f>
        <v>48.65</v>
      </c>
      <c r="Q1025">
        <f>'raw data Crude oil'!Q1026</f>
        <v>48.73</v>
      </c>
      <c r="R1025">
        <f>'raw data Crude oil'!R1026</f>
        <v>48.76</v>
      </c>
      <c r="S1025">
        <f>'raw data Crude oil'!S1026</f>
        <v>48.74</v>
      </c>
      <c r="T1025">
        <f>'raw data Crude oil'!T1026</f>
        <v>48.65</v>
      </c>
      <c r="U1025">
        <f>'raw data Crude oil'!U1026</f>
        <v>48.53</v>
      </c>
      <c r="V1025">
        <f>'raw data Crude oil'!V1026</f>
        <v>48.38</v>
      </c>
      <c r="W1025">
        <f>'raw data Crude oil'!W1026</f>
        <v>48.22</v>
      </c>
      <c r="X1025">
        <f>'raw data Crude oil'!X1026</f>
        <v>48.08</v>
      </c>
      <c r="Y1025">
        <f>'raw data Crude oil'!Y1026</f>
        <v>47.93</v>
      </c>
      <c r="Z1025">
        <f>'raw data Crude oil'!Z1026</f>
        <v>50.067999999999998</v>
      </c>
      <c r="AA1025">
        <f>'raw data Crude oil'!AA1026</f>
        <v>50.820999999999998</v>
      </c>
      <c r="AB1025">
        <f>'raw data Crude oil'!AB1026</f>
        <v>50.64</v>
      </c>
      <c r="AC1025">
        <f>'raw data Crude oil'!AC1026</f>
        <v>50.588000000000001</v>
      </c>
      <c r="AD1025">
        <f>'raw data Crude oil'!AD1026</f>
        <v>50.545000000000002</v>
      </c>
      <c r="AE1025">
        <f>'raw data Crude oil'!AE1026</f>
        <v>50.441000000000003</v>
      </c>
      <c r="AF1025">
        <f>'raw data Crude oil'!AF1026</f>
        <v>50.365000000000002</v>
      </c>
      <c r="AG1025">
        <f>'raw data Crude oil'!AG1026</f>
        <v>50.213999999999999</v>
      </c>
      <c r="AH1025">
        <f>'raw data Crude oil'!AH1026</f>
        <v>50.064</v>
      </c>
      <c r="AI1025">
        <f>'raw data Crude oil'!AI1026</f>
        <v>49.914000000000001</v>
      </c>
      <c r="AJ1025">
        <f>'raw data Crude oil'!AJ1026</f>
        <v>49.753999999999998</v>
      </c>
      <c r="AK1025">
        <f>'raw data Crude oil'!AK1026</f>
        <v>49.585999999999999</v>
      </c>
    </row>
    <row r="1026" spans="1:37" x14ac:dyDescent="0.3">
      <c r="A1026" s="18">
        <f>'raw data Crude oil'!A1027</f>
        <v>44183</v>
      </c>
      <c r="B1026">
        <f>'raw data Crude oil'!B1027</f>
        <v>52.26</v>
      </c>
      <c r="C1026">
        <f>'raw data Crude oil'!C1027</f>
        <v>52.26</v>
      </c>
      <c r="D1026">
        <f>'raw data Crude oil'!D1027</f>
        <v>52.25</v>
      </c>
      <c r="E1026">
        <f>'raw data Crude oil'!E1027</f>
        <v>52.22</v>
      </c>
      <c r="F1026">
        <f>'raw data Crude oil'!F1027</f>
        <v>52.15</v>
      </c>
      <c r="G1026">
        <f>'raw data Crude oil'!G1027</f>
        <v>52.02</v>
      </c>
      <c r="H1026">
        <f>'raw data Crude oil'!H1027</f>
        <v>51.91</v>
      </c>
      <c r="I1026">
        <f>'raw data Crude oil'!I1027</f>
        <v>51.76</v>
      </c>
      <c r="J1026">
        <f>'raw data Crude oil'!J1027</f>
        <v>51.61</v>
      </c>
      <c r="K1026">
        <f>'raw data Crude oil'!K1027</f>
        <v>51.46</v>
      </c>
      <c r="L1026">
        <f>'raw data Crude oil'!L1027</f>
        <v>51.31</v>
      </c>
      <c r="M1026">
        <f>'raw data Crude oil'!M1027</f>
        <v>51.18</v>
      </c>
      <c r="N1026">
        <f>'raw data Crude oil'!N1027</f>
        <v>49.1</v>
      </c>
      <c r="O1026">
        <f>'raw data Crude oil'!O1027</f>
        <v>49.24</v>
      </c>
      <c r="P1026">
        <f>'raw data Crude oil'!P1027</f>
        <v>49.34</v>
      </c>
      <c r="Q1026">
        <f>'raw data Crude oil'!Q1027</f>
        <v>49.4</v>
      </c>
      <c r="R1026">
        <f>'raw data Crude oil'!R1027</f>
        <v>49.4</v>
      </c>
      <c r="S1026">
        <f>'raw data Crude oil'!S1027</f>
        <v>49.33</v>
      </c>
      <c r="T1026">
        <f>'raw data Crude oil'!T1027</f>
        <v>49.21</v>
      </c>
      <c r="U1026">
        <f>'raw data Crude oil'!U1027</f>
        <v>49.05</v>
      </c>
      <c r="V1026">
        <f>'raw data Crude oil'!V1027</f>
        <v>48.89</v>
      </c>
      <c r="W1026">
        <f>'raw data Crude oil'!W1027</f>
        <v>48.71</v>
      </c>
      <c r="X1026">
        <f>'raw data Crude oil'!X1027</f>
        <v>48.54</v>
      </c>
      <c r="Y1026">
        <f>'raw data Crude oil'!Y1027</f>
        <v>48.37</v>
      </c>
      <c r="Z1026">
        <f>'raw data Crude oil'!Z1027</f>
        <v>50.353000000000002</v>
      </c>
      <c r="AA1026">
        <f>'raw data Crude oil'!AA1027</f>
        <v>51.61</v>
      </c>
      <c r="AB1026">
        <f>'raw data Crude oil'!AB1027</f>
        <v>51.399000000000001</v>
      </c>
      <c r="AC1026">
        <f>'raw data Crude oil'!AC1027</f>
        <v>51.296999999999997</v>
      </c>
      <c r="AD1026">
        <f>'raw data Crude oil'!AD1027</f>
        <v>51.204000000000001</v>
      </c>
      <c r="AE1026">
        <f>'raw data Crude oil'!AE1027</f>
        <v>51.09</v>
      </c>
      <c r="AF1026">
        <f>'raw data Crude oil'!AF1027</f>
        <v>50.993000000000002</v>
      </c>
      <c r="AG1026">
        <f>'raw data Crude oil'!AG1027</f>
        <v>50.813000000000002</v>
      </c>
      <c r="AH1026">
        <f>'raw data Crude oil'!AH1027</f>
        <v>50.613</v>
      </c>
      <c r="AI1026">
        <f>'raw data Crude oil'!AI1027</f>
        <v>50.412999999999997</v>
      </c>
      <c r="AJ1026">
        <f>'raw data Crude oil'!AJ1027</f>
        <v>50.244</v>
      </c>
      <c r="AK1026">
        <f>'raw data Crude oil'!AK1027</f>
        <v>50.075000000000003</v>
      </c>
    </row>
    <row r="1027" spans="1:37" x14ac:dyDescent="0.3">
      <c r="A1027" s="18">
        <f>'raw data Crude oil'!A1028</f>
        <v>44186</v>
      </c>
      <c r="B1027">
        <f>'raw data Crude oil'!B1028</f>
        <v>50.91</v>
      </c>
      <c r="C1027">
        <f>'raw data Crude oil'!C1028</f>
        <v>50.98</v>
      </c>
      <c r="D1027">
        <f>'raw data Crude oil'!D1028</f>
        <v>51.02</v>
      </c>
      <c r="E1027">
        <f>'raw data Crude oil'!E1028</f>
        <v>51.04</v>
      </c>
      <c r="F1027">
        <f>'raw data Crude oil'!F1028</f>
        <v>50.99</v>
      </c>
      <c r="G1027">
        <f>'raw data Crude oil'!G1028</f>
        <v>50.88</v>
      </c>
      <c r="H1027">
        <f>'raw data Crude oil'!H1028</f>
        <v>50.8</v>
      </c>
      <c r="I1027">
        <f>'raw data Crude oil'!I1028</f>
        <v>50.68</v>
      </c>
      <c r="J1027">
        <f>'raw data Crude oil'!J1028</f>
        <v>50.56</v>
      </c>
      <c r="K1027">
        <f>'raw data Crude oil'!K1028</f>
        <v>50.43</v>
      </c>
      <c r="L1027">
        <f>'raw data Crude oil'!L1028</f>
        <v>50.3</v>
      </c>
      <c r="M1027">
        <f>'raw data Crude oil'!M1028</f>
        <v>50.18</v>
      </c>
      <c r="N1027">
        <f>'raw data Crude oil'!N1028</f>
        <v>47.74</v>
      </c>
      <c r="O1027">
        <f>'raw data Crude oil'!O1028</f>
        <v>47.97</v>
      </c>
      <c r="P1027">
        <f>'raw data Crude oil'!P1028</f>
        <v>48.09</v>
      </c>
      <c r="Q1027">
        <f>'raw data Crude oil'!Q1028</f>
        <v>48.17</v>
      </c>
      <c r="R1027">
        <f>'raw data Crude oil'!R1028</f>
        <v>48.2</v>
      </c>
      <c r="S1027">
        <f>'raw data Crude oil'!S1028</f>
        <v>48.16</v>
      </c>
      <c r="T1027">
        <f>'raw data Crude oil'!T1028</f>
        <v>48.08</v>
      </c>
      <c r="U1027">
        <f>'raw data Crude oil'!U1028</f>
        <v>47.95</v>
      </c>
      <c r="V1027">
        <f>'raw data Crude oil'!V1028</f>
        <v>47.81</v>
      </c>
      <c r="W1027">
        <f>'raw data Crude oil'!W1028</f>
        <v>47.66</v>
      </c>
      <c r="X1027">
        <f>'raw data Crude oil'!X1028</f>
        <v>47.51</v>
      </c>
      <c r="Y1027">
        <f>'raw data Crude oil'!Y1028</f>
        <v>47.37</v>
      </c>
      <c r="Z1027">
        <f>'raw data Crude oil'!Z1028</f>
        <v>49.819000000000003</v>
      </c>
      <c r="AA1027">
        <f>'raw data Crude oil'!AA1028</f>
        <v>50.341999999999999</v>
      </c>
      <c r="AB1027">
        <f>'raw data Crude oil'!AB1028</f>
        <v>50.191000000000003</v>
      </c>
      <c r="AC1027">
        <f>'raw data Crude oil'!AC1028</f>
        <v>50.137999999999998</v>
      </c>
      <c r="AD1027">
        <f>'raw data Crude oil'!AD1028</f>
        <v>50.064999999999998</v>
      </c>
      <c r="AE1027">
        <f>'raw data Crude oil'!AE1028</f>
        <v>49.981999999999999</v>
      </c>
      <c r="AF1027">
        <f>'raw data Crude oil'!AF1028</f>
        <v>49.875</v>
      </c>
      <c r="AG1027">
        <f>'raw data Crude oil'!AG1028</f>
        <v>49.715000000000003</v>
      </c>
      <c r="AH1027">
        <f>'raw data Crude oil'!AH1028</f>
        <v>49.564</v>
      </c>
      <c r="AI1027">
        <f>'raw data Crude oil'!AI1028</f>
        <v>49.404000000000003</v>
      </c>
      <c r="AJ1027">
        <f>'raw data Crude oil'!AJ1028</f>
        <v>49.244</v>
      </c>
      <c r="AK1027">
        <f>'raw data Crude oil'!AK1028</f>
        <v>49.095999999999997</v>
      </c>
    </row>
    <row r="1028" spans="1:37" x14ac:dyDescent="0.3">
      <c r="A1028" s="18">
        <f>'raw data Crude oil'!A1029</f>
        <v>44187</v>
      </c>
      <c r="B1028">
        <f>'raw data Crude oil'!B1029</f>
        <v>50.08</v>
      </c>
      <c r="C1028">
        <f>'raw data Crude oil'!C1029</f>
        <v>50.16</v>
      </c>
      <c r="D1028">
        <f>'raw data Crude oil'!D1029</f>
        <v>50.23</v>
      </c>
      <c r="E1028">
        <f>'raw data Crude oil'!E1029</f>
        <v>50.27</v>
      </c>
      <c r="F1028">
        <f>'raw data Crude oil'!F1029</f>
        <v>50.25</v>
      </c>
      <c r="G1028">
        <f>'raw data Crude oil'!G1029</f>
        <v>50.15</v>
      </c>
      <c r="H1028">
        <f>'raw data Crude oil'!H1029</f>
        <v>50.09</v>
      </c>
      <c r="I1028">
        <f>'raw data Crude oil'!I1029</f>
        <v>49.99</v>
      </c>
      <c r="J1028">
        <f>'raw data Crude oil'!J1029</f>
        <v>49.88</v>
      </c>
      <c r="K1028">
        <f>'raw data Crude oil'!K1029</f>
        <v>49.77</v>
      </c>
      <c r="L1028">
        <f>'raw data Crude oil'!L1029</f>
        <v>49.66</v>
      </c>
      <c r="M1028">
        <f>'raw data Crude oil'!M1029</f>
        <v>49.56</v>
      </c>
      <c r="N1028">
        <f>'raw data Crude oil'!N1029</f>
        <v>47.02</v>
      </c>
      <c r="O1028">
        <f>'raw data Crude oil'!O1029</f>
        <v>47.16</v>
      </c>
      <c r="P1028">
        <f>'raw data Crude oil'!P1029</f>
        <v>47.26</v>
      </c>
      <c r="Q1028">
        <f>'raw data Crude oil'!Q1029</f>
        <v>47.32</v>
      </c>
      <c r="R1028">
        <f>'raw data Crude oil'!R1029</f>
        <v>47.32</v>
      </c>
      <c r="S1028">
        <f>'raw data Crude oil'!S1029</f>
        <v>47.26</v>
      </c>
      <c r="T1028">
        <f>'raw data Crude oil'!T1029</f>
        <v>47.17</v>
      </c>
      <c r="U1028">
        <f>'raw data Crude oil'!U1029</f>
        <v>47.05</v>
      </c>
      <c r="V1028">
        <f>'raw data Crude oil'!V1029</f>
        <v>46.92</v>
      </c>
      <c r="W1028">
        <f>'raw data Crude oil'!W1029</f>
        <v>46.79</v>
      </c>
      <c r="X1028">
        <f>'raw data Crude oil'!X1029</f>
        <v>46.66</v>
      </c>
      <c r="Y1028">
        <f>'raw data Crude oil'!Y1029</f>
        <v>46.5</v>
      </c>
      <c r="Z1028">
        <f>'raw data Crude oil'!Z1029</f>
        <v>49.561</v>
      </c>
      <c r="AA1028">
        <f>'raw data Crude oil'!AA1029</f>
        <v>49.554000000000002</v>
      </c>
      <c r="AB1028">
        <f>'raw data Crude oil'!AB1029</f>
        <v>49.421999999999997</v>
      </c>
      <c r="AC1028">
        <f>'raw data Crude oil'!AC1029</f>
        <v>49.389000000000003</v>
      </c>
      <c r="AD1028">
        <f>'raw data Crude oil'!AD1029</f>
        <v>49.335000000000001</v>
      </c>
      <c r="AE1028">
        <f>'raw data Crude oil'!AE1029</f>
        <v>49.253999999999998</v>
      </c>
      <c r="AF1028">
        <f>'raw data Crude oil'!AF1029</f>
        <v>49.164999999999999</v>
      </c>
      <c r="AG1028">
        <f>'raw data Crude oil'!AG1029</f>
        <v>49.055</v>
      </c>
      <c r="AH1028">
        <f>'raw data Crude oil'!AH1029</f>
        <v>48.905000000000001</v>
      </c>
      <c r="AI1028">
        <f>'raw data Crude oil'!AI1029</f>
        <v>48.755000000000003</v>
      </c>
      <c r="AJ1028">
        <f>'raw data Crude oil'!AJ1029</f>
        <v>48.615000000000002</v>
      </c>
      <c r="AK1028">
        <f>'raw data Crude oil'!AK1029</f>
        <v>48.466000000000001</v>
      </c>
    </row>
    <row r="1029" spans="1:37" x14ac:dyDescent="0.3">
      <c r="A1029" s="18">
        <f>'raw data Crude oil'!A1030</f>
        <v>44188</v>
      </c>
      <c r="B1029">
        <f>'raw data Crude oil'!B1030</f>
        <v>51.2</v>
      </c>
      <c r="C1029">
        <f>'raw data Crude oil'!C1030</f>
        <v>51.24</v>
      </c>
      <c r="D1029">
        <f>'raw data Crude oil'!D1030</f>
        <v>51.3</v>
      </c>
      <c r="E1029">
        <f>'raw data Crude oil'!E1030</f>
        <v>51.32</v>
      </c>
      <c r="F1029">
        <f>'raw data Crude oil'!F1030</f>
        <v>51.27</v>
      </c>
      <c r="G1029">
        <f>'raw data Crude oil'!G1030</f>
        <v>51.15</v>
      </c>
      <c r="H1029">
        <f>'raw data Crude oil'!H1030</f>
        <v>51.06</v>
      </c>
      <c r="I1029">
        <f>'raw data Crude oil'!I1030</f>
        <v>50.94</v>
      </c>
      <c r="J1029">
        <f>'raw data Crude oil'!J1030</f>
        <v>50.8</v>
      </c>
      <c r="K1029">
        <f>'raw data Crude oil'!K1030</f>
        <v>50.67</v>
      </c>
      <c r="L1029">
        <f>'raw data Crude oil'!L1030</f>
        <v>50.55</v>
      </c>
      <c r="M1029">
        <f>'raw data Crude oil'!M1030</f>
        <v>50.43</v>
      </c>
      <c r="N1029">
        <f>'raw data Crude oil'!N1030</f>
        <v>48.12</v>
      </c>
      <c r="O1029">
        <f>'raw data Crude oil'!O1030</f>
        <v>48.24</v>
      </c>
      <c r="P1029">
        <f>'raw data Crude oil'!P1030</f>
        <v>48.33</v>
      </c>
      <c r="Q1029">
        <f>'raw data Crude oil'!Q1030</f>
        <v>48.37</v>
      </c>
      <c r="R1029">
        <f>'raw data Crude oil'!R1030</f>
        <v>48.34</v>
      </c>
      <c r="S1029">
        <f>'raw data Crude oil'!S1030</f>
        <v>48.26</v>
      </c>
      <c r="T1029">
        <f>'raw data Crude oil'!T1030</f>
        <v>48.15</v>
      </c>
      <c r="U1029">
        <f>'raw data Crude oil'!U1030</f>
        <v>48.01</v>
      </c>
      <c r="V1029">
        <f>'raw data Crude oil'!V1030</f>
        <v>47.86</v>
      </c>
      <c r="W1029">
        <f>'raw data Crude oil'!W1030</f>
        <v>47.72</v>
      </c>
      <c r="X1029">
        <f>'raw data Crude oil'!X1030</f>
        <v>47.57</v>
      </c>
      <c r="Y1029">
        <f>'raw data Crude oil'!Y1030</f>
        <v>47.4</v>
      </c>
      <c r="Z1029">
        <f>'raw data Crude oil'!Z1030</f>
        <v>49.798999999999999</v>
      </c>
      <c r="AA1029">
        <f>'raw data Crude oil'!AA1030</f>
        <v>50.662999999999997</v>
      </c>
      <c r="AB1029">
        <f>'raw data Crude oil'!AB1030</f>
        <v>50.511000000000003</v>
      </c>
      <c r="AC1029">
        <f>'raw data Crude oil'!AC1030</f>
        <v>50.448</v>
      </c>
      <c r="AD1029">
        <f>'raw data Crude oil'!AD1030</f>
        <v>50.374000000000002</v>
      </c>
      <c r="AE1029">
        <f>'raw data Crude oil'!AE1030</f>
        <v>50.261000000000003</v>
      </c>
      <c r="AF1029">
        <f>'raw data Crude oil'!AF1030</f>
        <v>50.164999999999999</v>
      </c>
      <c r="AG1029">
        <f>'raw data Crude oil'!AG1030</f>
        <v>50.014000000000003</v>
      </c>
      <c r="AH1029">
        <f>'raw data Crude oil'!AH1030</f>
        <v>49.823999999999998</v>
      </c>
      <c r="AI1029">
        <f>'raw data Crude oil'!AI1030</f>
        <v>49.645000000000003</v>
      </c>
      <c r="AJ1029">
        <f>'raw data Crude oil'!AJ1030</f>
        <v>49.473999999999997</v>
      </c>
      <c r="AK1029">
        <f>'raw data Crude oil'!AK1030</f>
        <v>49.335000000000001</v>
      </c>
    </row>
    <row r="1030" spans="1:37" x14ac:dyDescent="0.3">
      <c r="A1030" s="18">
        <f>'raw data Crude oil'!A1031</f>
        <v>44189</v>
      </c>
      <c r="B1030">
        <f>'raw data Crude oil'!B1031</f>
        <v>51.29</v>
      </c>
      <c r="C1030">
        <f>'raw data Crude oil'!C1031</f>
        <v>51.34</v>
      </c>
      <c r="D1030">
        <f>'raw data Crude oil'!D1031</f>
        <v>51.42</v>
      </c>
      <c r="E1030">
        <f>'raw data Crude oil'!E1031</f>
        <v>51.45</v>
      </c>
      <c r="F1030">
        <f>'raw data Crude oil'!F1031</f>
        <v>51.41</v>
      </c>
      <c r="G1030">
        <f>'raw data Crude oil'!G1031</f>
        <v>51.3</v>
      </c>
      <c r="H1030">
        <f>'raw data Crude oil'!H1031</f>
        <v>51.21</v>
      </c>
      <c r="I1030">
        <f>'raw data Crude oil'!I1031</f>
        <v>51.09</v>
      </c>
      <c r="J1030">
        <f>'raw data Crude oil'!J1031</f>
        <v>50.96</v>
      </c>
      <c r="K1030">
        <f>'raw data Crude oil'!K1031</f>
        <v>50.83</v>
      </c>
      <c r="L1030">
        <f>'raw data Crude oil'!L1031</f>
        <v>50.7</v>
      </c>
      <c r="M1030">
        <f>'raw data Crude oil'!M1031</f>
        <v>50.59</v>
      </c>
      <c r="N1030">
        <f>'raw data Crude oil'!N1031</f>
        <v>48.23</v>
      </c>
      <c r="O1030">
        <f>'raw data Crude oil'!O1031</f>
        <v>48.35</v>
      </c>
      <c r="P1030">
        <f>'raw data Crude oil'!P1031</f>
        <v>48.43</v>
      </c>
      <c r="Q1030">
        <f>'raw data Crude oil'!Q1031</f>
        <v>48.45</v>
      </c>
      <c r="R1030">
        <f>'raw data Crude oil'!R1031</f>
        <v>48.43</v>
      </c>
      <c r="S1030">
        <f>'raw data Crude oil'!S1031</f>
        <v>48.34</v>
      </c>
      <c r="T1030">
        <f>'raw data Crude oil'!T1031</f>
        <v>48.23</v>
      </c>
      <c r="U1030">
        <f>'raw data Crude oil'!U1031</f>
        <v>48.08</v>
      </c>
      <c r="V1030">
        <f>'raw data Crude oil'!V1031</f>
        <v>47.92</v>
      </c>
      <c r="W1030">
        <f>'raw data Crude oil'!W1031</f>
        <v>47.78</v>
      </c>
      <c r="X1030">
        <f>'raw data Crude oil'!X1031</f>
        <v>47.65</v>
      </c>
      <c r="Y1030">
        <f>'raw data Crude oil'!Y1031</f>
        <v>47.49</v>
      </c>
      <c r="Z1030">
        <f>'raw data Crude oil'!Z1031</f>
        <v>49.783999999999999</v>
      </c>
      <c r="AA1030">
        <f>'raw data Crude oil'!AA1031</f>
        <v>50.764000000000003</v>
      </c>
      <c r="AB1030">
        <f>'raw data Crude oil'!AB1031</f>
        <v>50.631999999999998</v>
      </c>
      <c r="AC1030">
        <f>'raw data Crude oil'!AC1031</f>
        <v>50.597999999999999</v>
      </c>
      <c r="AD1030">
        <f>'raw data Crude oil'!AD1031</f>
        <v>50.515000000000001</v>
      </c>
      <c r="AE1030">
        <f>'raw data Crude oil'!AE1031</f>
        <v>50.411000000000001</v>
      </c>
      <c r="AF1030">
        <f>'raw data Crude oil'!AF1031</f>
        <v>50.314999999999998</v>
      </c>
      <c r="AG1030">
        <f>'raw data Crude oil'!AG1031</f>
        <v>50.164000000000001</v>
      </c>
      <c r="AH1030">
        <f>'raw data Crude oil'!AH1031</f>
        <v>49.984000000000002</v>
      </c>
      <c r="AI1030">
        <f>'raw data Crude oil'!AI1031</f>
        <v>49.804000000000002</v>
      </c>
      <c r="AJ1030">
        <f>'raw data Crude oil'!AJ1031</f>
        <v>49.625</v>
      </c>
      <c r="AK1030">
        <f>'raw data Crude oil'!AK1031</f>
        <v>49.496000000000002</v>
      </c>
    </row>
    <row r="1031" spans="1:37" x14ac:dyDescent="0.3">
      <c r="A1031" s="18">
        <f>'raw data Crude oil'!A1032</f>
        <v>44193</v>
      </c>
      <c r="B1031">
        <f>'raw data Crude oil'!B1032</f>
        <v>50.86</v>
      </c>
      <c r="C1031">
        <f>'raw data Crude oil'!C1032</f>
        <v>50.9</v>
      </c>
      <c r="D1031">
        <f>'raw data Crude oil'!D1032</f>
        <v>50.99</v>
      </c>
      <c r="E1031">
        <f>'raw data Crude oil'!E1032</f>
        <v>51.03</v>
      </c>
      <c r="F1031">
        <f>'raw data Crude oil'!F1032</f>
        <v>50.99</v>
      </c>
      <c r="G1031">
        <f>'raw data Crude oil'!G1032</f>
        <v>50.89</v>
      </c>
      <c r="H1031">
        <f>'raw data Crude oil'!H1032</f>
        <v>50.81</v>
      </c>
      <c r="I1031">
        <f>'raw data Crude oil'!I1032</f>
        <v>50.69</v>
      </c>
      <c r="J1031">
        <f>'raw data Crude oil'!J1032</f>
        <v>50.57</v>
      </c>
      <c r="K1031">
        <f>'raw data Crude oil'!K1032</f>
        <v>50.45</v>
      </c>
      <c r="L1031">
        <f>'raw data Crude oil'!L1032</f>
        <v>50.33</v>
      </c>
      <c r="M1031">
        <f>'raw data Crude oil'!M1032</f>
        <v>50.21</v>
      </c>
      <c r="N1031">
        <f>'raw data Crude oil'!N1032</f>
        <v>47.62</v>
      </c>
      <c r="O1031">
        <f>'raw data Crude oil'!O1032</f>
        <v>47.77</v>
      </c>
      <c r="P1031">
        <f>'raw data Crude oil'!P1032</f>
        <v>47.87</v>
      </c>
      <c r="Q1031">
        <f>'raw data Crude oil'!Q1032</f>
        <v>47.93</v>
      </c>
      <c r="R1031">
        <f>'raw data Crude oil'!R1032</f>
        <v>47.95</v>
      </c>
      <c r="S1031">
        <f>'raw data Crude oil'!S1032</f>
        <v>47.89</v>
      </c>
      <c r="T1031">
        <f>'raw data Crude oil'!T1032</f>
        <v>47.79</v>
      </c>
      <c r="U1031">
        <f>'raw data Crude oil'!U1032</f>
        <v>47.67</v>
      </c>
      <c r="V1031">
        <f>'raw data Crude oil'!V1032</f>
        <v>47.53</v>
      </c>
      <c r="W1031">
        <f>'raw data Crude oil'!W1032</f>
        <v>47.4</v>
      </c>
      <c r="X1031">
        <f>'raw data Crude oil'!X1032</f>
        <v>47.27</v>
      </c>
      <c r="Y1031">
        <f>'raw data Crude oil'!Y1032</f>
        <v>47.11</v>
      </c>
      <c r="Z1031">
        <f>'raw data Crude oil'!Z1032</f>
        <v>49.726999999999997</v>
      </c>
      <c r="AA1031">
        <f>'raw data Crude oil'!AA1032</f>
        <v>50.284999999999997</v>
      </c>
      <c r="AB1031">
        <f>'raw data Crude oil'!AB1032</f>
        <v>50.171999999999997</v>
      </c>
      <c r="AC1031">
        <f>'raw data Crude oil'!AC1032</f>
        <v>50.148000000000003</v>
      </c>
      <c r="AD1031">
        <f>'raw data Crude oil'!AD1032</f>
        <v>50.085000000000001</v>
      </c>
      <c r="AE1031">
        <f>'raw data Crude oil'!AE1032</f>
        <v>49.981999999999999</v>
      </c>
      <c r="AF1031">
        <f>'raw data Crude oil'!AF1032</f>
        <v>49.875</v>
      </c>
      <c r="AG1031">
        <f>'raw data Crude oil'!AG1032</f>
        <v>49.744999999999997</v>
      </c>
      <c r="AH1031">
        <f>'raw data Crude oil'!AH1032</f>
        <v>49.594999999999999</v>
      </c>
      <c r="AI1031">
        <f>'raw data Crude oil'!AI1032</f>
        <v>49.424999999999997</v>
      </c>
      <c r="AJ1031">
        <f>'raw data Crude oil'!AJ1032</f>
        <v>49.253999999999998</v>
      </c>
      <c r="AK1031">
        <f>'raw data Crude oil'!AK1032</f>
        <v>49.116</v>
      </c>
    </row>
    <row r="1032" spans="1:37" x14ac:dyDescent="0.3">
      <c r="A1032" s="18">
        <f>'raw data Crude oil'!A1033</f>
        <v>44194</v>
      </c>
      <c r="B1032">
        <f>'raw data Crude oil'!B1033</f>
        <v>51.09</v>
      </c>
      <c r="C1032">
        <f>'raw data Crude oil'!C1033</f>
        <v>51.23</v>
      </c>
      <c r="D1032">
        <f>'raw data Crude oil'!D1033</f>
        <v>51.32</v>
      </c>
      <c r="E1032">
        <f>'raw data Crude oil'!E1033</f>
        <v>51.35</v>
      </c>
      <c r="F1032">
        <f>'raw data Crude oil'!F1033</f>
        <v>51.3</v>
      </c>
      <c r="G1032">
        <f>'raw data Crude oil'!G1033</f>
        <v>51.19</v>
      </c>
      <c r="H1032">
        <f>'raw data Crude oil'!H1033</f>
        <v>51.11</v>
      </c>
      <c r="I1032">
        <f>'raw data Crude oil'!I1033</f>
        <v>50.99</v>
      </c>
      <c r="J1032">
        <f>'raw data Crude oil'!J1033</f>
        <v>50.87</v>
      </c>
      <c r="K1032">
        <f>'raw data Crude oil'!K1033</f>
        <v>50.75</v>
      </c>
      <c r="L1032">
        <f>'raw data Crude oil'!L1033</f>
        <v>50.63</v>
      </c>
      <c r="M1032">
        <f>'raw data Crude oil'!M1033</f>
        <v>50.51</v>
      </c>
      <c r="N1032">
        <f>'raw data Crude oil'!N1033</f>
        <v>48</v>
      </c>
      <c r="O1032">
        <f>'raw data Crude oil'!O1033</f>
        <v>48.14</v>
      </c>
      <c r="P1032">
        <f>'raw data Crude oil'!P1033</f>
        <v>48.25</v>
      </c>
      <c r="Q1032">
        <f>'raw data Crude oil'!Q1033</f>
        <v>48.3</v>
      </c>
      <c r="R1032">
        <f>'raw data Crude oil'!R1033</f>
        <v>48.29</v>
      </c>
      <c r="S1032">
        <f>'raw data Crude oil'!S1033</f>
        <v>48.22</v>
      </c>
      <c r="T1032">
        <f>'raw data Crude oil'!T1033</f>
        <v>48.12</v>
      </c>
      <c r="U1032">
        <f>'raw data Crude oil'!U1033</f>
        <v>47.99</v>
      </c>
      <c r="V1032">
        <f>'raw data Crude oil'!V1033</f>
        <v>47.84</v>
      </c>
      <c r="W1032">
        <f>'raw data Crude oil'!W1033</f>
        <v>47.71</v>
      </c>
      <c r="X1032">
        <f>'raw data Crude oil'!X1033</f>
        <v>47.57</v>
      </c>
      <c r="Y1032">
        <f>'raw data Crude oil'!Y1033</f>
        <v>47.41</v>
      </c>
      <c r="Z1032">
        <f>'raw data Crude oil'!Z1033</f>
        <v>49.784999999999997</v>
      </c>
      <c r="AA1032">
        <f>'raw data Crude oil'!AA1033</f>
        <v>50.564999999999998</v>
      </c>
      <c r="AB1032">
        <f>'raw data Crude oil'!AB1033</f>
        <v>50.462000000000003</v>
      </c>
      <c r="AC1032">
        <f>'raw data Crude oil'!AC1033</f>
        <v>50.441000000000003</v>
      </c>
      <c r="AD1032">
        <f>'raw data Crude oil'!AD1033</f>
        <v>50.387999999999998</v>
      </c>
      <c r="AE1032">
        <f>'raw data Crude oil'!AE1033</f>
        <v>50.281999999999996</v>
      </c>
      <c r="AF1032">
        <f>'raw data Crude oil'!AF1033</f>
        <v>50.174999999999997</v>
      </c>
      <c r="AG1032">
        <f>'raw data Crude oil'!AG1033</f>
        <v>50.045000000000002</v>
      </c>
      <c r="AH1032">
        <f>'raw data Crude oil'!AH1033</f>
        <v>49.875</v>
      </c>
      <c r="AI1032">
        <f>'raw data Crude oil'!AI1033</f>
        <v>49.695</v>
      </c>
      <c r="AJ1032">
        <f>'raw data Crude oil'!AJ1033</f>
        <v>49.533999999999999</v>
      </c>
      <c r="AK1032">
        <f>'raw data Crude oil'!AK1033</f>
        <v>49.415999999999997</v>
      </c>
    </row>
    <row r="1033" spans="1:37" x14ac:dyDescent="0.3">
      <c r="A1033" s="18">
        <f>'raw data Crude oil'!A1034</f>
        <v>44195</v>
      </c>
      <c r="B1033">
        <f>'raw data Crude oil'!B1034</f>
        <v>51.34</v>
      </c>
      <c r="C1033">
        <f>'raw data Crude oil'!C1034</f>
        <v>51.63</v>
      </c>
      <c r="D1033">
        <f>'raw data Crude oil'!D1034</f>
        <v>51.68</v>
      </c>
      <c r="E1033">
        <f>'raw data Crude oil'!E1034</f>
        <v>51.67</v>
      </c>
      <c r="F1033">
        <f>'raw data Crude oil'!F1034</f>
        <v>51.58</v>
      </c>
      <c r="G1033">
        <f>'raw data Crude oil'!G1034</f>
        <v>51.43</v>
      </c>
      <c r="H1033">
        <f>'raw data Crude oil'!H1034</f>
        <v>51.32</v>
      </c>
      <c r="I1033">
        <f>'raw data Crude oil'!I1034</f>
        <v>51.19</v>
      </c>
      <c r="J1033">
        <f>'raw data Crude oil'!J1034</f>
        <v>51.03</v>
      </c>
      <c r="K1033">
        <f>'raw data Crude oil'!K1034</f>
        <v>50.89</v>
      </c>
      <c r="L1033">
        <f>'raw data Crude oil'!L1034</f>
        <v>50.76</v>
      </c>
      <c r="M1033">
        <f>'raw data Crude oil'!M1034</f>
        <v>50.62</v>
      </c>
      <c r="N1033">
        <f>'raw data Crude oil'!N1034</f>
        <v>48.4</v>
      </c>
      <c r="O1033">
        <f>'raw data Crude oil'!O1034</f>
        <v>48.5</v>
      </c>
      <c r="P1033">
        <f>'raw data Crude oil'!P1034</f>
        <v>48.57</v>
      </c>
      <c r="Q1033">
        <f>'raw data Crude oil'!Q1034</f>
        <v>48.59</v>
      </c>
      <c r="R1033">
        <f>'raw data Crude oil'!R1034</f>
        <v>48.55</v>
      </c>
      <c r="S1033">
        <f>'raw data Crude oil'!S1034</f>
        <v>48.45</v>
      </c>
      <c r="T1033">
        <f>'raw data Crude oil'!T1034</f>
        <v>48.32</v>
      </c>
      <c r="U1033">
        <f>'raw data Crude oil'!U1034</f>
        <v>48.16</v>
      </c>
      <c r="V1033">
        <f>'raw data Crude oil'!V1034</f>
        <v>47.99</v>
      </c>
      <c r="W1033">
        <f>'raw data Crude oil'!W1034</f>
        <v>47.84</v>
      </c>
      <c r="X1033">
        <f>'raw data Crude oil'!X1034</f>
        <v>47.68</v>
      </c>
      <c r="Y1033">
        <f>'raw data Crude oil'!Y1034</f>
        <v>47.5</v>
      </c>
      <c r="Z1033">
        <f>'raw data Crude oil'!Z1034</f>
        <v>49.814999999999998</v>
      </c>
      <c r="AA1033">
        <f>'raw data Crude oil'!AA1034</f>
        <v>50.933999999999997</v>
      </c>
      <c r="AB1033">
        <f>'raw data Crude oil'!AB1034</f>
        <v>50.832000000000001</v>
      </c>
      <c r="AC1033">
        <f>'raw data Crude oil'!AC1034</f>
        <v>50.814999999999998</v>
      </c>
      <c r="AD1033">
        <f>'raw data Crude oil'!AD1034</f>
        <v>50.718000000000004</v>
      </c>
      <c r="AE1033">
        <f>'raw data Crude oil'!AE1034</f>
        <v>50.55</v>
      </c>
      <c r="AF1033">
        <f>'raw data Crude oil'!AF1034</f>
        <v>50.384</v>
      </c>
      <c r="AG1033">
        <f>'raw data Crude oil'!AG1034</f>
        <v>50.213000000000001</v>
      </c>
      <c r="AH1033">
        <f>'raw data Crude oil'!AH1034</f>
        <v>50.033999999999999</v>
      </c>
      <c r="AI1033">
        <f>'raw data Crude oil'!AI1034</f>
        <v>49.853999999999999</v>
      </c>
      <c r="AJ1033">
        <f>'raw data Crude oil'!AJ1034</f>
        <v>49.662999999999997</v>
      </c>
      <c r="AK1033">
        <f>'raw data Crude oil'!AK1034</f>
        <v>49.494999999999997</v>
      </c>
    </row>
    <row r="1034" spans="1:37" x14ac:dyDescent="0.3">
      <c r="A1034" s="18">
        <f>'raw data Crude oil'!A1035</f>
        <v>44196</v>
      </c>
      <c r="B1034">
        <f>'raw data Crude oil'!B1035</f>
        <v>51.8</v>
      </c>
      <c r="C1034">
        <f>'raw data Crude oil'!C1035</f>
        <v>51.82</v>
      </c>
      <c r="D1034">
        <f>'raw data Crude oil'!D1035</f>
        <v>51.78</v>
      </c>
      <c r="E1034">
        <f>'raw data Crude oil'!E1035</f>
        <v>51.66</v>
      </c>
      <c r="F1034">
        <f>'raw data Crude oil'!F1035</f>
        <v>51.49</v>
      </c>
      <c r="G1034">
        <f>'raw data Crude oil'!G1035</f>
        <v>51.35</v>
      </c>
      <c r="H1034">
        <f>'raw data Crude oil'!H1035</f>
        <v>51.2</v>
      </c>
      <c r="I1034">
        <f>'raw data Crude oil'!I1035</f>
        <v>51.05</v>
      </c>
      <c r="J1034">
        <f>'raw data Crude oil'!J1035</f>
        <v>50.9</v>
      </c>
      <c r="K1034">
        <f>'raw data Crude oil'!K1035</f>
        <v>50.75</v>
      </c>
      <c r="L1034">
        <f>'raw data Crude oil'!L1035</f>
        <v>50.61</v>
      </c>
      <c r="M1034">
        <f>'raw data Crude oil'!M1035</f>
        <v>50.49</v>
      </c>
      <c r="N1034">
        <f>'raw data Crude oil'!N1035</f>
        <v>48.52</v>
      </c>
      <c r="O1034">
        <f>'raw data Crude oil'!O1035</f>
        <v>48.63</v>
      </c>
      <c r="P1034">
        <f>'raw data Crude oil'!P1035</f>
        <v>48.69</v>
      </c>
      <c r="Q1034">
        <f>'raw data Crude oil'!Q1035</f>
        <v>48.69</v>
      </c>
      <c r="R1034">
        <f>'raw data Crude oil'!R1035</f>
        <v>48.63</v>
      </c>
      <c r="S1034">
        <f>'raw data Crude oil'!S1035</f>
        <v>48.52</v>
      </c>
      <c r="T1034">
        <f>'raw data Crude oil'!T1035</f>
        <v>48.37</v>
      </c>
      <c r="U1034">
        <f>'raw data Crude oil'!U1035</f>
        <v>48.19</v>
      </c>
      <c r="V1034">
        <f>'raw data Crude oil'!V1035</f>
        <v>48.01</v>
      </c>
      <c r="W1034">
        <f>'raw data Crude oil'!W1035</f>
        <v>47.85</v>
      </c>
      <c r="X1034">
        <f>'raw data Crude oil'!X1035</f>
        <v>47.68</v>
      </c>
      <c r="Y1034">
        <f>'raw data Crude oil'!Y1035</f>
        <v>47.49</v>
      </c>
      <c r="Z1034">
        <f>'raw data Crude oil'!Z1035</f>
        <v>49.814999999999998</v>
      </c>
      <c r="AA1034">
        <f>'raw data Crude oil'!AA1035</f>
        <v>51.131</v>
      </c>
      <c r="AB1034">
        <f>'raw data Crude oil'!AB1035</f>
        <v>51.008000000000003</v>
      </c>
      <c r="AC1034">
        <f>'raw data Crude oil'!AC1035</f>
        <v>50.965000000000003</v>
      </c>
      <c r="AD1034">
        <f>'raw data Crude oil'!AD1035</f>
        <v>50.816000000000003</v>
      </c>
      <c r="AE1034">
        <f>'raw data Crude oil'!AE1035</f>
        <v>50.627000000000002</v>
      </c>
      <c r="AF1034">
        <f>'raw data Crude oil'!AF1035</f>
        <v>50.42</v>
      </c>
      <c r="AG1034">
        <f>'raw data Crude oil'!AG1035</f>
        <v>50.232999999999997</v>
      </c>
      <c r="AH1034">
        <f>'raw data Crude oil'!AH1035</f>
        <v>50.042999999999999</v>
      </c>
      <c r="AI1034">
        <f>'raw data Crude oil'!AI1035</f>
        <v>49.853000000000002</v>
      </c>
      <c r="AJ1034">
        <f>'raw data Crude oil'!AJ1035</f>
        <v>49.652999999999999</v>
      </c>
      <c r="AK1034">
        <f>'raw data Crude oil'!AK1035</f>
        <v>49.465000000000003</v>
      </c>
    </row>
    <row r="1035" spans="1:37" x14ac:dyDescent="0.3">
      <c r="A1035" s="18">
        <f>'raw data Crude oil'!A1036</f>
        <v>44200</v>
      </c>
      <c r="B1035">
        <f>'raw data Crude oil'!B1036</f>
        <v>51.09</v>
      </c>
      <c r="C1035">
        <f>'raw data Crude oil'!C1036</f>
        <v>51.16</v>
      </c>
      <c r="D1035">
        <f>'raw data Crude oil'!D1036</f>
        <v>51.16</v>
      </c>
      <c r="E1035">
        <f>'raw data Crude oil'!E1036</f>
        <v>51.08</v>
      </c>
      <c r="F1035">
        <f>'raw data Crude oil'!F1036</f>
        <v>50.94</v>
      </c>
      <c r="G1035">
        <f>'raw data Crude oil'!G1036</f>
        <v>50.8</v>
      </c>
      <c r="H1035">
        <f>'raw data Crude oil'!H1036</f>
        <v>50.66</v>
      </c>
      <c r="I1035">
        <f>'raw data Crude oil'!I1036</f>
        <v>50.5</v>
      </c>
      <c r="J1035">
        <f>'raw data Crude oil'!J1036</f>
        <v>50.36</v>
      </c>
      <c r="K1035">
        <f>'raw data Crude oil'!K1036</f>
        <v>50.23</v>
      </c>
      <c r="L1035">
        <f>'raw data Crude oil'!L1036</f>
        <v>50.1</v>
      </c>
      <c r="M1035">
        <f>'raw data Crude oil'!M1036</f>
        <v>49.99</v>
      </c>
      <c r="N1035">
        <f>'raw data Crude oil'!N1036</f>
        <v>47.62</v>
      </c>
      <c r="O1035">
        <f>'raw data Crude oil'!O1036</f>
        <v>47.76</v>
      </c>
      <c r="P1035">
        <f>'raw data Crude oil'!P1036</f>
        <v>47.87</v>
      </c>
      <c r="Q1035">
        <f>'raw data Crude oil'!Q1036</f>
        <v>47.92</v>
      </c>
      <c r="R1035">
        <f>'raw data Crude oil'!R1036</f>
        <v>47.92</v>
      </c>
      <c r="S1035">
        <f>'raw data Crude oil'!S1036</f>
        <v>47.86</v>
      </c>
      <c r="T1035">
        <f>'raw data Crude oil'!T1036</f>
        <v>47.76</v>
      </c>
      <c r="U1035">
        <f>'raw data Crude oil'!U1036</f>
        <v>47.62</v>
      </c>
      <c r="V1035">
        <f>'raw data Crude oil'!V1036</f>
        <v>47.46</v>
      </c>
      <c r="W1035">
        <f>'raw data Crude oil'!W1036</f>
        <v>47.32</v>
      </c>
      <c r="X1035">
        <f>'raw data Crude oil'!X1036</f>
        <v>47.18</v>
      </c>
      <c r="Y1035">
        <f>'raw data Crude oil'!Y1036</f>
        <v>47.02</v>
      </c>
      <c r="Z1035">
        <f>'raw data Crude oil'!Z1036</f>
        <v>49.814999999999998</v>
      </c>
      <c r="AA1035">
        <f>'raw data Crude oil'!AA1036</f>
        <v>50.569000000000003</v>
      </c>
      <c r="AB1035">
        <f>'raw data Crude oil'!AB1036</f>
        <v>50.37</v>
      </c>
      <c r="AC1035">
        <f>'raw data Crude oil'!AC1036</f>
        <v>50.307000000000002</v>
      </c>
      <c r="AD1035">
        <f>'raw data Crude oil'!AD1036</f>
        <v>50.203000000000003</v>
      </c>
      <c r="AE1035">
        <f>'raw data Crude oil'!AE1036</f>
        <v>50.036999999999999</v>
      </c>
      <c r="AF1035">
        <f>'raw data Crude oil'!AF1036</f>
        <v>49.863999999999997</v>
      </c>
      <c r="AG1035">
        <f>'raw data Crude oil'!AG1036</f>
        <v>49.673000000000002</v>
      </c>
      <c r="AH1035">
        <f>'raw data Crude oil'!AH1036</f>
        <v>49.463999999999999</v>
      </c>
      <c r="AI1035">
        <f>'raw data Crude oil'!AI1036</f>
        <v>49.283999999999999</v>
      </c>
      <c r="AJ1035">
        <f>'raw data Crude oil'!AJ1036</f>
        <v>49.094000000000001</v>
      </c>
      <c r="AK1035">
        <f>'raw data Crude oil'!AK1036</f>
        <v>48.945</v>
      </c>
    </row>
    <row r="1036" spans="1:37" x14ac:dyDescent="0.3">
      <c r="A1036" s="18">
        <f>'raw data Crude oil'!A1037</f>
        <v>44201</v>
      </c>
      <c r="B1036">
        <f>'raw data Crude oil'!B1037</f>
        <v>53.6</v>
      </c>
      <c r="C1036">
        <f>'raw data Crude oil'!C1037</f>
        <v>53.54</v>
      </c>
      <c r="D1036">
        <f>'raw data Crude oil'!D1037</f>
        <v>53.43</v>
      </c>
      <c r="E1036">
        <f>'raw data Crude oil'!E1037</f>
        <v>53.24</v>
      </c>
      <c r="F1036">
        <f>'raw data Crude oil'!F1037</f>
        <v>53</v>
      </c>
      <c r="G1036">
        <f>'raw data Crude oil'!G1037</f>
        <v>52.77</v>
      </c>
      <c r="H1036">
        <f>'raw data Crude oil'!H1037</f>
        <v>52.54</v>
      </c>
      <c r="I1036">
        <f>'raw data Crude oil'!I1037</f>
        <v>52.31</v>
      </c>
      <c r="J1036">
        <f>'raw data Crude oil'!J1037</f>
        <v>52.09</v>
      </c>
      <c r="K1036">
        <f>'raw data Crude oil'!K1037</f>
        <v>51.87</v>
      </c>
      <c r="L1036">
        <f>'raw data Crude oil'!L1037</f>
        <v>51.67</v>
      </c>
      <c r="M1036">
        <f>'raw data Crude oil'!M1037</f>
        <v>51.49</v>
      </c>
      <c r="N1036">
        <f>'raw data Crude oil'!N1037</f>
        <v>49.93</v>
      </c>
      <c r="O1036">
        <f>'raw data Crude oil'!O1037</f>
        <v>50.01</v>
      </c>
      <c r="P1036">
        <f>'raw data Crude oil'!P1037</f>
        <v>50.04</v>
      </c>
      <c r="Q1036">
        <f>'raw data Crude oil'!Q1037</f>
        <v>50.01</v>
      </c>
      <c r="R1036">
        <f>'raw data Crude oil'!R1037</f>
        <v>49.92</v>
      </c>
      <c r="S1036">
        <f>'raw data Crude oil'!S1037</f>
        <v>49.77</v>
      </c>
      <c r="T1036">
        <f>'raw data Crude oil'!T1037</f>
        <v>49.57</v>
      </c>
      <c r="U1036">
        <f>'raw data Crude oil'!U1037</f>
        <v>49.35</v>
      </c>
      <c r="V1036">
        <f>'raw data Crude oil'!V1037</f>
        <v>49.12</v>
      </c>
      <c r="W1036">
        <f>'raw data Crude oil'!W1037</f>
        <v>48.9</v>
      </c>
      <c r="X1036">
        <f>'raw data Crude oil'!X1037</f>
        <v>48.69</v>
      </c>
      <c r="Y1036">
        <f>'raw data Crude oil'!Y1037</f>
        <v>48.45</v>
      </c>
      <c r="Z1036">
        <f>'raw data Crude oil'!Z1037</f>
        <v>52.786000000000001</v>
      </c>
      <c r="AA1036">
        <f>'raw data Crude oil'!AA1037</f>
        <v>52.774999999999999</v>
      </c>
      <c r="AB1036">
        <f>'raw data Crude oil'!AB1037</f>
        <v>52.622</v>
      </c>
      <c r="AC1036">
        <f>'raw data Crude oil'!AC1037</f>
        <v>52.359000000000002</v>
      </c>
      <c r="AD1036">
        <f>'raw data Crude oil'!AD1037</f>
        <v>52.067999999999998</v>
      </c>
      <c r="AE1036">
        <f>'raw data Crude oil'!AE1037</f>
        <v>51.81</v>
      </c>
      <c r="AF1036">
        <f>'raw data Crude oil'!AF1037</f>
        <v>51.55</v>
      </c>
      <c r="AG1036">
        <f>'raw data Crude oil'!AG1037</f>
        <v>51.27</v>
      </c>
      <c r="AH1036">
        <f>'raw data Crude oil'!AH1037</f>
        <v>51.01</v>
      </c>
      <c r="AI1036">
        <f>'raw data Crude oil'!AI1037</f>
        <v>50.73</v>
      </c>
      <c r="AJ1036">
        <f>'raw data Crude oil'!AJ1037</f>
        <v>50.502000000000002</v>
      </c>
      <c r="AK1036">
        <f>'raw data Crude oil'!AK1037</f>
        <v>50.298000000000002</v>
      </c>
    </row>
    <row r="1037" spans="1:37" x14ac:dyDescent="0.3">
      <c r="A1037" s="18">
        <f>'raw data Crude oil'!A1038</f>
        <v>44202</v>
      </c>
      <c r="B1037">
        <f>'raw data Crude oil'!B1038</f>
        <v>54.3</v>
      </c>
      <c r="C1037">
        <f>'raw data Crude oil'!C1038</f>
        <v>54.18</v>
      </c>
      <c r="D1037">
        <f>'raw data Crude oil'!D1038</f>
        <v>54</v>
      </c>
      <c r="E1037">
        <f>'raw data Crude oil'!E1038</f>
        <v>53.75</v>
      </c>
      <c r="F1037">
        <f>'raw data Crude oil'!F1038</f>
        <v>53.45</v>
      </c>
      <c r="G1037">
        <f>'raw data Crude oil'!G1038</f>
        <v>53.16</v>
      </c>
      <c r="H1037">
        <f>'raw data Crude oil'!H1038</f>
        <v>52.86</v>
      </c>
      <c r="I1037">
        <f>'raw data Crude oil'!I1038</f>
        <v>52.56</v>
      </c>
      <c r="J1037">
        <f>'raw data Crude oil'!J1038</f>
        <v>52.28</v>
      </c>
      <c r="K1037">
        <f>'raw data Crude oil'!K1038</f>
        <v>52.02</v>
      </c>
      <c r="L1037">
        <f>'raw data Crude oil'!L1038</f>
        <v>51.77</v>
      </c>
      <c r="M1037">
        <f>'raw data Crude oil'!M1038</f>
        <v>51.55</v>
      </c>
      <c r="N1037">
        <f>'raw data Crude oil'!N1038</f>
        <v>50.63</v>
      </c>
      <c r="O1037">
        <f>'raw data Crude oil'!O1038</f>
        <v>50.69</v>
      </c>
      <c r="P1037">
        <f>'raw data Crude oil'!P1038</f>
        <v>50.67</v>
      </c>
      <c r="Q1037">
        <f>'raw data Crude oil'!Q1038</f>
        <v>50.57</v>
      </c>
      <c r="R1037">
        <f>'raw data Crude oil'!R1038</f>
        <v>50.41</v>
      </c>
      <c r="S1037">
        <f>'raw data Crude oil'!S1038</f>
        <v>50.19</v>
      </c>
      <c r="T1037">
        <f>'raw data Crude oil'!T1038</f>
        <v>49.93</v>
      </c>
      <c r="U1037">
        <f>'raw data Crude oil'!U1038</f>
        <v>49.65</v>
      </c>
      <c r="V1037">
        <f>'raw data Crude oil'!V1038</f>
        <v>49.37</v>
      </c>
      <c r="W1037">
        <f>'raw data Crude oil'!W1038</f>
        <v>49.1</v>
      </c>
      <c r="X1037">
        <f>'raw data Crude oil'!X1038</f>
        <v>48.82</v>
      </c>
      <c r="Y1037">
        <f>'raw data Crude oil'!Y1038</f>
        <v>48.55</v>
      </c>
      <c r="Z1037">
        <f>'raw data Crude oil'!Z1038</f>
        <v>53.7</v>
      </c>
      <c r="AA1037">
        <f>'raw data Crude oil'!AA1038</f>
        <v>53.670999999999999</v>
      </c>
      <c r="AB1037">
        <f>'raw data Crude oil'!AB1038</f>
        <v>53.348999999999997</v>
      </c>
      <c r="AC1037">
        <f>'raw data Crude oil'!AC1038</f>
        <v>53.026000000000003</v>
      </c>
      <c r="AD1037">
        <f>'raw data Crude oil'!AD1038</f>
        <v>52.642000000000003</v>
      </c>
      <c r="AE1037">
        <f>'raw data Crude oil'!AE1038</f>
        <v>52.265999999999998</v>
      </c>
      <c r="AF1037">
        <f>'raw data Crude oil'!AF1038</f>
        <v>51.905999999999999</v>
      </c>
      <c r="AG1037">
        <f>'raw data Crude oil'!AG1038</f>
        <v>51.567</v>
      </c>
      <c r="AH1037">
        <f>'raw data Crude oil'!AH1038</f>
        <v>51.238</v>
      </c>
      <c r="AI1037">
        <f>'raw data Crude oil'!AI1038</f>
        <v>50.887999999999998</v>
      </c>
      <c r="AJ1037">
        <f>'raw data Crude oil'!AJ1038</f>
        <v>50.59</v>
      </c>
      <c r="AK1037">
        <f>'raw data Crude oil'!AK1038</f>
        <v>50.354999999999997</v>
      </c>
    </row>
    <row r="1038" spans="1:37" x14ac:dyDescent="0.3">
      <c r="A1038" s="18">
        <f>'raw data Crude oil'!A1039</f>
        <v>44203</v>
      </c>
      <c r="B1038">
        <f>'raw data Crude oil'!B1039</f>
        <v>54.38</v>
      </c>
      <c r="C1038">
        <f>'raw data Crude oil'!C1039</f>
        <v>54.3</v>
      </c>
      <c r="D1038">
        <f>'raw data Crude oil'!D1039</f>
        <v>54.13</v>
      </c>
      <c r="E1038">
        <f>'raw data Crude oil'!E1039</f>
        <v>53.89</v>
      </c>
      <c r="F1038">
        <f>'raw data Crude oil'!F1039</f>
        <v>53.59</v>
      </c>
      <c r="G1038">
        <f>'raw data Crude oil'!G1039</f>
        <v>53.3</v>
      </c>
      <c r="H1038">
        <f>'raw data Crude oil'!H1039</f>
        <v>53.01</v>
      </c>
      <c r="I1038">
        <f>'raw data Crude oil'!I1039</f>
        <v>52.72</v>
      </c>
      <c r="J1038">
        <f>'raw data Crude oil'!J1039</f>
        <v>52.44</v>
      </c>
      <c r="K1038">
        <f>'raw data Crude oil'!K1039</f>
        <v>52.2</v>
      </c>
      <c r="L1038">
        <f>'raw data Crude oil'!L1039</f>
        <v>51.97</v>
      </c>
      <c r="M1038">
        <f>'raw data Crude oil'!M1039</f>
        <v>51.77</v>
      </c>
      <c r="N1038">
        <f>'raw data Crude oil'!N1039</f>
        <v>50.83</v>
      </c>
      <c r="O1038">
        <f>'raw data Crude oil'!O1039</f>
        <v>50.87</v>
      </c>
      <c r="P1038">
        <f>'raw data Crude oil'!P1039</f>
        <v>50.83</v>
      </c>
      <c r="Q1038">
        <f>'raw data Crude oil'!Q1039</f>
        <v>50.73</v>
      </c>
      <c r="R1038">
        <f>'raw data Crude oil'!R1039</f>
        <v>50.57</v>
      </c>
      <c r="S1038">
        <f>'raw data Crude oil'!S1039</f>
        <v>50.34</v>
      </c>
      <c r="T1038">
        <f>'raw data Crude oil'!T1039</f>
        <v>50.09</v>
      </c>
      <c r="U1038">
        <f>'raw data Crude oil'!U1039</f>
        <v>49.82</v>
      </c>
      <c r="V1038">
        <f>'raw data Crude oil'!V1039</f>
        <v>49.55</v>
      </c>
      <c r="W1038">
        <f>'raw data Crude oil'!W1039</f>
        <v>49.28</v>
      </c>
      <c r="X1038">
        <f>'raw data Crude oil'!X1039</f>
        <v>49.02</v>
      </c>
      <c r="Y1038">
        <f>'raw data Crude oil'!Y1039</f>
        <v>48.75</v>
      </c>
      <c r="Z1038">
        <f>'raw data Crude oil'!Z1039</f>
        <v>53.860999999999997</v>
      </c>
      <c r="AA1038">
        <f>'raw data Crude oil'!AA1039</f>
        <v>53.841999999999999</v>
      </c>
      <c r="AB1038">
        <f>'raw data Crude oil'!AB1039</f>
        <v>53.59</v>
      </c>
      <c r="AC1038">
        <f>'raw data Crude oil'!AC1039</f>
        <v>53.305999999999997</v>
      </c>
      <c r="AD1038">
        <f>'raw data Crude oil'!AD1039</f>
        <v>52.911999999999999</v>
      </c>
      <c r="AE1038">
        <f>'raw data Crude oil'!AE1039</f>
        <v>52.546999999999997</v>
      </c>
      <c r="AF1038">
        <f>'raw data Crude oil'!AF1039</f>
        <v>52.167000000000002</v>
      </c>
      <c r="AG1038">
        <f>'raw data Crude oil'!AG1039</f>
        <v>51.796999999999997</v>
      </c>
      <c r="AH1038">
        <f>'raw data Crude oil'!AH1039</f>
        <v>51.439</v>
      </c>
      <c r="AI1038">
        <f>'raw data Crude oil'!AI1039</f>
        <v>51.109000000000002</v>
      </c>
      <c r="AJ1038">
        <f>'raw data Crude oil'!AJ1039</f>
        <v>50.801000000000002</v>
      </c>
      <c r="AK1038">
        <f>'raw data Crude oil'!AK1039</f>
        <v>50.555999999999997</v>
      </c>
    </row>
    <row r="1039" spans="1:37" x14ac:dyDescent="0.3">
      <c r="A1039" s="18">
        <f>'raw data Crude oil'!A1040</f>
        <v>44204</v>
      </c>
      <c r="B1039">
        <f>'raw data Crude oil'!B1040</f>
        <v>55.99</v>
      </c>
      <c r="C1039">
        <f>'raw data Crude oil'!C1040</f>
        <v>55.83</v>
      </c>
      <c r="D1039">
        <f>'raw data Crude oil'!D1040</f>
        <v>55.58</v>
      </c>
      <c r="E1039">
        <f>'raw data Crude oil'!E1040</f>
        <v>55.27</v>
      </c>
      <c r="F1039">
        <f>'raw data Crude oil'!F1040</f>
        <v>54.91</v>
      </c>
      <c r="G1039">
        <f>'raw data Crude oil'!G1040</f>
        <v>54.57</v>
      </c>
      <c r="H1039">
        <f>'raw data Crude oil'!H1040</f>
        <v>54.24</v>
      </c>
      <c r="I1039">
        <f>'raw data Crude oil'!I1040</f>
        <v>53.92</v>
      </c>
      <c r="J1039">
        <f>'raw data Crude oil'!J1040</f>
        <v>53.61</v>
      </c>
      <c r="K1039">
        <f>'raw data Crude oil'!K1040</f>
        <v>53.33</v>
      </c>
      <c r="L1039">
        <f>'raw data Crude oil'!L1040</f>
        <v>53.07</v>
      </c>
      <c r="M1039">
        <f>'raw data Crude oil'!M1040</f>
        <v>52.84</v>
      </c>
      <c r="N1039">
        <f>'raw data Crude oil'!N1040</f>
        <v>52.24</v>
      </c>
      <c r="O1039">
        <f>'raw data Crude oil'!O1040</f>
        <v>52.26</v>
      </c>
      <c r="P1039">
        <f>'raw data Crude oil'!P1040</f>
        <v>52.19</v>
      </c>
      <c r="Q1039">
        <f>'raw data Crude oil'!Q1040</f>
        <v>52.04</v>
      </c>
      <c r="R1039">
        <f>'raw data Crude oil'!R1040</f>
        <v>51.82</v>
      </c>
      <c r="S1039">
        <f>'raw data Crude oil'!S1040</f>
        <v>51.54</v>
      </c>
      <c r="T1039">
        <f>'raw data Crude oil'!T1040</f>
        <v>51.23</v>
      </c>
      <c r="U1039">
        <f>'raw data Crude oil'!U1040</f>
        <v>50.91</v>
      </c>
      <c r="V1039">
        <f>'raw data Crude oil'!V1040</f>
        <v>50.58</v>
      </c>
      <c r="W1039">
        <f>'raw data Crude oil'!W1040</f>
        <v>50.27</v>
      </c>
      <c r="X1039">
        <f>'raw data Crude oil'!X1040</f>
        <v>49.98</v>
      </c>
      <c r="Y1039">
        <f>'raw data Crude oil'!Y1040</f>
        <v>49.67</v>
      </c>
      <c r="Z1039">
        <f>'raw data Crude oil'!Z1040</f>
        <v>55.011000000000003</v>
      </c>
      <c r="AA1039">
        <f>'raw data Crude oil'!AA1040</f>
        <v>55.298000000000002</v>
      </c>
      <c r="AB1039">
        <f>'raw data Crude oil'!AB1040</f>
        <v>54.987000000000002</v>
      </c>
      <c r="AC1039">
        <f>'raw data Crude oil'!AC1040</f>
        <v>54.643000000000001</v>
      </c>
      <c r="AD1039">
        <f>'raw data Crude oil'!AD1040</f>
        <v>54.207999999999998</v>
      </c>
      <c r="AE1039">
        <f>'raw data Crude oil'!AE1040</f>
        <v>53.814999999999998</v>
      </c>
      <c r="AF1039">
        <f>'raw data Crude oil'!AF1040</f>
        <v>53.414999999999999</v>
      </c>
      <c r="AG1039">
        <f>'raw data Crude oil'!AG1040</f>
        <v>53.026000000000003</v>
      </c>
      <c r="AH1039">
        <f>'raw data Crude oil'!AH1040</f>
        <v>52.627000000000002</v>
      </c>
      <c r="AI1039">
        <f>'raw data Crude oil'!AI1040</f>
        <v>52.228000000000002</v>
      </c>
      <c r="AJ1039">
        <f>'raw data Crude oil'!AJ1040</f>
        <v>51.91</v>
      </c>
      <c r="AK1039">
        <f>'raw data Crude oil'!AK1040</f>
        <v>51.643000000000001</v>
      </c>
    </row>
    <row r="1040" spans="1:37" x14ac:dyDescent="0.3">
      <c r="A1040" s="18">
        <f>'raw data Crude oil'!A1041</f>
        <v>44207</v>
      </c>
      <c r="B1040">
        <f>'raw data Crude oil'!B1041</f>
        <v>55.66</v>
      </c>
      <c r="C1040">
        <f>'raw data Crude oil'!C1041</f>
        <v>55.59</v>
      </c>
      <c r="D1040">
        <f>'raw data Crude oil'!D1041</f>
        <v>55.4</v>
      </c>
      <c r="E1040">
        <f>'raw data Crude oil'!E1041</f>
        <v>55.13</v>
      </c>
      <c r="F1040">
        <f>'raw data Crude oil'!F1041</f>
        <v>54.82</v>
      </c>
      <c r="G1040">
        <f>'raw data Crude oil'!G1041</f>
        <v>54.52</v>
      </c>
      <c r="H1040">
        <f>'raw data Crude oil'!H1041</f>
        <v>54.21</v>
      </c>
      <c r="I1040">
        <f>'raw data Crude oil'!I1041</f>
        <v>53.91</v>
      </c>
      <c r="J1040">
        <f>'raw data Crude oil'!J1041</f>
        <v>53.61</v>
      </c>
      <c r="K1040">
        <f>'raw data Crude oil'!K1041</f>
        <v>53.33</v>
      </c>
      <c r="L1040">
        <f>'raw data Crude oil'!L1041</f>
        <v>53.09</v>
      </c>
      <c r="M1040">
        <f>'raw data Crude oil'!M1041</f>
        <v>52.87</v>
      </c>
      <c r="N1040">
        <f>'raw data Crude oil'!N1041</f>
        <v>52.25</v>
      </c>
      <c r="O1040">
        <f>'raw data Crude oil'!O1041</f>
        <v>52.27</v>
      </c>
      <c r="P1040">
        <f>'raw data Crude oil'!P1041</f>
        <v>52.2</v>
      </c>
      <c r="Q1040">
        <f>'raw data Crude oil'!Q1041</f>
        <v>52.06</v>
      </c>
      <c r="R1040">
        <f>'raw data Crude oil'!R1041</f>
        <v>51.86</v>
      </c>
      <c r="S1040">
        <f>'raw data Crude oil'!S1041</f>
        <v>51.6</v>
      </c>
      <c r="T1040">
        <f>'raw data Crude oil'!T1041</f>
        <v>51.31</v>
      </c>
      <c r="U1040">
        <f>'raw data Crude oil'!U1041</f>
        <v>51.01</v>
      </c>
      <c r="V1040">
        <f>'raw data Crude oil'!V1041</f>
        <v>50.71</v>
      </c>
      <c r="W1040">
        <f>'raw data Crude oil'!W1041</f>
        <v>50.43</v>
      </c>
      <c r="X1040">
        <f>'raw data Crude oil'!X1041</f>
        <v>50.14</v>
      </c>
      <c r="Y1040">
        <f>'raw data Crude oil'!Y1041</f>
        <v>49.84</v>
      </c>
      <c r="Z1040">
        <f>'raw data Crude oil'!Z1041</f>
        <v>54.853000000000002</v>
      </c>
      <c r="AA1040">
        <f>'raw data Crude oil'!AA1041</f>
        <v>55.061</v>
      </c>
      <c r="AB1040">
        <f>'raw data Crude oil'!AB1041</f>
        <v>54.808</v>
      </c>
      <c r="AC1040">
        <f>'raw data Crude oil'!AC1041</f>
        <v>54.484999999999999</v>
      </c>
      <c r="AD1040">
        <f>'raw data Crude oil'!AD1041</f>
        <v>54.081000000000003</v>
      </c>
      <c r="AE1040">
        <f>'raw data Crude oil'!AE1041</f>
        <v>53.706000000000003</v>
      </c>
      <c r="AF1040">
        <f>'raw data Crude oil'!AF1041</f>
        <v>53.356000000000002</v>
      </c>
      <c r="AG1040">
        <f>'raw data Crude oil'!AG1041</f>
        <v>53.026000000000003</v>
      </c>
      <c r="AH1040">
        <f>'raw data Crude oil'!AH1041</f>
        <v>52.656999999999996</v>
      </c>
      <c r="AI1040">
        <f>'raw data Crude oil'!AI1041</f>
        <v>52.219000000000001</v>
      </c>
      <c r="AJ1040">
        <f>'raw data Crude oil'!AJ1041</f>
        <v>51.92</v>
      </c>
      <c r="AK1040">
        <f>'raw data Crude oil'!AK1041</f>
        <v>51.643999999999998</v>
      </c>
    </row>
    <row r="1041" spans="1:37" x14ac:dyDescent="0.3">
      <c r="A1041" s="18">
        <f>'raw data Crude oil'!A1042</f>
        <v>44208</v>
      </c>
      <c r="B1041">
        <f>'raw data Crude oil'!B1042</f>
        <v>56.58</v>
      </c>
      <c r="C1041">
        <f>'raw data Crude oil'!C1042</f>
        <v>56.49</v>
      </c>
      <c r="D1041">
        <f>'raw data Crude oil'!D1042</f>
        <v>56.29</v>
      </c>
      <c r="E1041">
        <f>'raw data Crude oil'!E1042</f>
        <v>56.01</v>
      </c>
      <c r="F1041">
        <f>'raw data Crude oil'!F1042</f>
        <v>55.68</v>
      </c>
      <c r="G1041">
        <f>'raw data Crude oil'!G1042</f>
        <v>55.37</v>
      </c>
      <c r="H1041">
        <f>'raw data Crude oil'!H1042</f>
        <v>55.05</v>
      </c>
      <c r="I1041">
        <f>'raw data Crude oil'!I1042</f>
        <v>54.74</v>
      </c>
      <c r="J1041">
        <f>'raw data Crude oil'!J1042</f>
        <v>54.42</v>
      </c>
      <c r="K1041">
        <f>'raw data Crude oil'!K1042</f>
        <v>54.12</v>
      </c>
      <c r="L1041">
        <f>'raw data Crude oil'!L1042</f>
        <v>53.86</v>
      </c>
      <c r="M1041">
        <f>'raw data Crude oil'!M1042</f>
        <v>53.61</v>
      </c>
      <c r="N1041">
        <f>'raw data Crude oil'!N1042</f>
        <v>53.21</v>
      </c>
      <c r="O1041">
        <f>'raw data Crude oil'!O1042</f>
        <v>53.24</v>
      </c>
      <c r="P1041">
        <f>'raw data Crude oil'!P1042</f>
        <v>53.16</v>
      </c>
      <c r="Q1041">
        <f>'raw data Crude oil'!Q1042</f>
        <v>53</v>
      </c>
      <c r="R1041">
        <f>'raw data Crude oil'!R1042</f>
        <v>52.77</v>
      </c>
      <c r="S1041">
        <f>'raw data Crude oil'!S1042</f>
        <v>52.5</v>
      </c>
      <c r="T1041">
        <f>'raw data Crude oil'!T1042</f>
        <v>52.2</v>
      </c>
      <c r="U1041">
        <f>'raw data Crude oil'!U1042</f>
        <v>51.89</v>
      </c>
      <c r="V1041">
        <f>'raw data Crude oil'!V1042</f>
        <v>51.56</v>
      </c>
      <c r="W1041">
        <f>'raw data Crude oil'!W1042</f>
        <v>51.26</v>
      </c>
      <c r="X1041">
        <f>'raw data Crude oil'!X1042</f>
        <v>50.95</v>
      </c>
      <c r="Y1041">
        <f>'raw data Crude oil'!Y1042</f>
        <v>50.62</v>
      </c>
      <c r="Z1041">
        <f>'raw data Crude oil'!Z1042</f>
        <v>55.323</v>
      </c>
      <c r="AA1041">
        <f>'raw data Crude oil'!AA1042</f>
        <v>55.82</v>
      </c>
      <c r="AB1041">
        <f>'raw data Crude oil'!AB1042</f>
        <v>55.628</v>
      </c>
      <c r="AC1041">
        <f>'raw data Crude oil'!AC1042</f>
        <v>55.363999999999997</v>
      </c>
      <c r="AD1041">
        <f>'raw data Crude oil'!AD1042</f>
        <v>54.99</v>
      </c>
      <c r="AE1041">
        <f>'raw data Crude oil'!AE1042</f>
        <v>54.634999999999998</v>
      </c>
      <c r="AF1041">
        <f>'raw data Crude oil'!AF1042</f>
        <v>54.235999999999997</v>
      </c>
      <c r="AG1041">
        <f>'raw data Crude oil'!AG1042</f>
        <v>53.854999999999997</v>
      </c>
      <c r="AH1041">
        <f>'raw data Crude oil'!AH1042</f>
        <v>53.466000000000001</v>
      </c>
      <c r="AI1041">
        <f>'raw data Crude oil'!AI1042</f>
        <v>53.008000000000003</v>
      </c>
      <c r="AJ1041">
        <f>'raw data Crude oil'!AJ1042</f>
        <v>52.689</v>
      </c>
      <c r="AK1041">
        <f>'raw data Crude oil'!AK1042</f>
        <v>52.383000000000003</v>
      </c>
    </row>
    <row r="1042" spans="1:37" x14ac:dyDescent="0.3">
      <c r="A1042" s="18">
        <f>'raw data Crude oil'!A1043</f>
        <v>44209</v>
      </c>
      <c r="B1042">
        <f>'raw data Crude oil'!B1043</f>
        <v>56.06</v>
      </c>
      <c r="C1042">
        <f>'raw data Crude oil'!C1043</f>
        <v>56.04</v>
      </c>
      <c r="D1042">
        <f>'raw data Crude oil'!D1043</f>
        <v>55.94</v>
      </c>
      <c r="E1042">
        <f>'raw data Crude oil'!E1043</f>
        <v>55.75</v>
      </c>
      <c r="F1042">
        <f>'raw data Crude oil'!F1043</f>
        <v>55.48</v>
      </c>
      <c r="G1042">
        <f>'raw data Crude oil'!G1043</f>
        <v>55.23</v>
      </c>
      <c r="H1042">
        <f>'raw data Crude oil'!H1043</f>
        <v>54.95</v>
      </c>
      <c r="I1042">
        <f>'raw data Crude oil'!I1043</f>
        <v>54.68</v>
      </c>
      <c r="J1042">
        <f>'raw data Crude oil'!J1043</f>
        <v>54.4</v>
      </c>
      <c r="K1042">
        <f>'raw data Crude oil'!K1043</f>
        <v>54.13</v>
      </c>
      <c r="L1042">
        <f>'raw data Crude oil'!L1043</f>
        <v>53.9</v>
      </c>
      <c r="M1042">
        <f>'raw data Crude oil'!M1043</f>
        <v>53.69</v>
      </c>
      <c r="N1042">
        <f>'raw data Crude oil'!N1043</f>
        <v>52.91</v>
      </c>
      <c r="O1042">
        <f>'raw data Crude oil'!O1043</f>
        <v>52.96</v>
      </c>
      <c r="P1042">
        <f>'raw data Crude oil'!P1043</f>
        <v>52.92</v>
      </c>
      <c r="Q1042">
        <f>'raw data Crude oil'!Q1043</f>
        <v>52.81</v>
      </c>
      <c r="R1042">
        <f>'raw data Crude oil'!R1043</f>
        <v>52.63</v>
      </c>
      <c r="S1042">
        <f>'raw data Crude oil'!S1043</f>
        <v>52.4</v>
      </c>
      <c r="T1042">
        <f>'raw data Crude oil'!T1043</f>
        <v>52.15</v>
      </c>
      <c r="U1042">
        <f>'raw data Crude oil'!U1043</f>
        <v>51.88</v>
      </c>
      <c r="V1042">
        <f>'raw data Crude oil'!V1043</f>
        <v>51.61</v>
      </c>
      <c r="W1042">
        <f>'raw data Crude oil'!W1043</f>
        <v>51.33</v>
      </c>
      <c r="X1042">
        <f>'raw data Crude oil'!X1043</f>
        <v>51.06</v>
      </c>
      <c r="Y1042">
        <f>'raw data Crude oil'!Y1043</f>
        <v>50.78</v>
      </c>
      <c r="Z1042">
        <f>'raw data Crude oil'!Z1043</f>
        <v>54.976999999999997</v>
      </c>
      <c r="AA1042">
        <f>'raw data Crude oil'!AA1043</f>
        <v>55.274999999999999</v>
      </c>
      <c r="AB1042">
        <f>'raw data Crude oil'!AB1043</f>
        <v>55.192</v>
      </c>
      <c r="AC1042">
        <f>'raw data Crude oil'!AC1043</f>
        <v>55.036999999999999</v>
      </c>
      <c r="AD1042">
        <f>'raw data Crude oil'!AD1043</f>
        <v>54.765999999999998</v>
      </c>
      <c r="AE1042">
        <f>'raw data Crude oil'!AE1043</f>
        <v>54.466999999999999</v>
      </c>
      <c r="AF1042">
        <f>'raw data Crude oil'!AF1043</f>
        <v>54.128</v>
      </c>
      <c r="AG1042">
        <f>'raw data Crude oil'!AG1043</f>
        <v>53.817</v>
      </c>
      <c r="AH1042">
        <f>'raw data Crude oil'!AH1043</f>
        <v>53.468000000000004</v>
      </c>
      <c r="AI1042">
        <f>'raw data Crude oil'!AI1043</f>
        <v>53.079000000000001</v>
      </c>
      <c r="AJ1042">
        <f>'raw data Crude oil'!AJ1043</f>
        <v>52.71</v>
      </c>
      <c r="AK1042">
        <f>'raw data Crude oil'!AK1043</f>
        <v>52.494999999999997</v>
      </c>
    </row>
    <row r="1043" spans="1:37" x14ac:dyDescent="0.3">
      <c r="A1043" s="18">
        <f>'raw data Crude oil'!A1044</f>
        <v>44210</v>
      </c>
      <c r="B1043">
        <f>'raw data Crude oil'!B1044</f>
        <v>56.42</v>
      </c>
      <c r="C1043">
        <f>'raw data Crude oil'!C1044</f>
        <v>56.39</v>
      </c>
      <c r="D1043">
        <f>'raw data Crude oil'!D1044</f>
        <v>56.3</v>
      </c>
      <c r="E1043">
        <f>'raw data Crude oil'!E1044</f>
        <v>56.11</v>
      </c>
      <c r="F1043">
        <f>'raw data Crude oil'!F1044</f>
        <v>55.83</v>
      </c>
      <c r="G1043">
        <f>'raw data Crude oil'!G1044</f>
        <v>55.57</v>
      </c>
      <c r="H1043">
        <f>'raw data Crude oil'!H1044</f>
        <v>55.28</v>
      </c>
      <c r="I1043">
        <f>'raw data Crude oil'!I1044</f>
        <v>55</v>
      </c>
      <c r="J1043">
        <f>'raw data Crude oil'!J1044</f>
        <v>54.71</v>
      </c>
      <c r="K1043">
        <f>'raw data Crude oil'!K1044</f>
        <v>54.43</v>
      </c>
      <c r="L1043">
        <f>'raw data Crude oil'!L1044</f>
        <v>54.2</v>
      </c>
      <c r="M1043">
        <f>'raw data Crude oil'!M1044</f>
        <v>53.98</v>
      </c>
      <c r="N1043">
        <f>'raw data Crude oil'!N1044</f>
        <v>53.57</v>
      </c>
      <c r="O1043">
        <f>'raw data Crude oil'!O1044</f>
        <v>53.62</v>
      </c>
      <c r="P1043">
        <f>'raw data Crude oil'!P1044</f>
        <v>53.53</v>
      </c>
      <c r="Q1043">
        <f>'raw data Crude oil'!Q1044</f>
        <v>53.37</v>
      </c>
      <c r="R1043">
        <f>'raw data Crude oil'!R1044</f>
        <v>53.14</v>
      </c>
      <c r="S1043">
        <f>'raw data Crude oil'!S1044</f>
        <v>52.87</v>
      </c>
      <c r="T1043">
        <f>'raw data Crude oil'!T1044</f>
        <v>52.58</v>
      </c>
      <c r="U1043">
        <f>'raw data Crude oil'!U1044</f>
        <v>52.27</v>
      </c>
      <c r="V1043">
        <f>'raw data Crude oil'!V1044</f>
        <v>51.96</v>
      </c>
      <c r="W1043">
        <f>'raw data Crude oil'!W1044</f>
        <v>51.66</v>
      </c>
      <c r="X1043">
        <f>'raw data Crude oil'!X1044</f>
        <v>51.36</v>
      </c>
      <c r="Y1043">
        <f>'raw data Crude oil'!Y1044</f>
        <v>51.05</v>
      </c>
      <c r="Z1043">
        <f>'raw data Crude oil'!Z1044</f>
        <v>55.173000000000002</v>
      </c>
      <c r="AA1043">
        <f>'raw data Crude oil'!AA1044</f>
        <v>55.676000000000002</v>
      </c>
      <c r="AB1043">
        <f>'raw data Crude oil'!AB1044</f>
        <v>55.601999999999997</v>
      </c>
      <c r="AC1043">
        <f>'raw data Crude oil'!AC1044</f>
        <v>55.447000000000003</v>
      </c>
      <c r="AD1043">
        <f>'raw data Crude oil'!AD1044</f>
        <v>55.174999999999997</v>
      </c>
      <c r="AE1043">
        <f>'raw data Crude oil'!AE1044</f>
        <v>54.877000000000002</v>
      </c>
      <c r="AF1043">
        <f>'raw data Crude oil'!AF1044</f>
        <v>54.546999999999997</v>
      </c>
      <c r="AG1043">
        <f>'raw data Crude oil'!AG1044</f>
        <v>54.156999999999996</v>
      </c>
      <c r="AH1043">
        <f>'raw data Crude oil'!AH1044</f>
        <v>53.786999999999999</v>
      </c>
      <c r="AI1043">
        <f>'raw data Crude oil'!AI1044</f>
        <v>53.418999999999997</v>
      </c>
      <c r="AJ1043">
        <f>'raw data Crude oil'!AJ1044</f>
        <v>53.07</v>
      </c>
      <c r="AK1043">
        <f>'raw data Crude oil'!AK1044</f>
        <v>52.844999999999999</v>
      </c>
    </row>
    <row r="1044" spans="1:37" x14ac:dyDescent="0.3">
      <c r="A1044" s="18">
        <f>'raw data Crude oil'!A1045</f>
        <v>44211</v>
      </c>
      <c r="B1044">
        <f>'raw data Crude oil'!B1045</f>
        <v>55.1</v>
      </c>
      <c r="C1044">
        <f>'raw data Crude oil'!C1045</f>
        <v>55.13</v>
      </c>
      <c r="D1044">
        <f>'raw data Crude oil'!D1045</f>
        <v>55.09</v>
      </c>
      <c r="E1044">
        <f>'raw data Crude oil'!E1045</f>
        <v>54.95</v>
      </c>
      <c r="F1044">
        <f>'raw data Crude oil'!F1045</f>
        <v>54.71</v>
      </c>
      <c r="G1044">
        <f>'raw data Crude oil'!G1045</f>
        <v>54.49</v>
      </c>
      <c r="H1044">
        <f>'raw data Crude oil'!H1045</f>
        <v>54.24</v>
      </c>
      <c r="I1044">
        <f>'raw data Crude oil'!I1045</f>
        <v>54</v>
      </c>
      <c r="J1044">
        <f>'raw data Crude oil'!J1045</f>
        <v>53.76</v>
      </c>
      <c r="K1044">
        <f>'raw data Crude oil'!K1045</f>
        <v>53.53</v>
      </c>
      <c r="L1044">
        <f>'raw data Crude oil'!L1045</f>
        <v>53.33</v>
      </c>
      <c r="M1044">
        <f>'raw data Crude oil'!M1045</f>
        <v>53.15</v>
      </c>
      <c r="N1044">
        <f>'raw data Crude oil'!N1045</f>
        <v>52.36</v>
      </c>
      <c r="O1044">
        <f>'raw data Crude oil'!O1045</f>
        <v>52.42</v>
      </c>
      <c r="P1044">
        <f>'raw data Crude oil'!P1045</f>
        <v>52.36</v>
      </c>
      <c r="Q1044">
        <f>'raw data Crude oil'!Q1045</f>
        <v>52.23</v>
      </c>
      <c r="R1044">
        <f>'raw data Crude oil'!R1045</f>
        <v>52.04</v>
      </c>
      <c r="S1044">
        <f>'raw data Crude oil'!S1045</f>
        <v>51.82</v>
      </c>
      <c r="T1044">
        <f>'raw data Crude oil'!T1045</f>
        <v>51.57</v>
      </c>
      <c r="U1044">
        <f>'raw data Crude oil'!U1045</f>
        <v>51.3</v>
      </c>
      <c r="V1044">
        <f>'raw data Crude oil'!V1045</f>
        <v>51.04</v>
      </c>
      <c r="W1044">
        <f>'raw data Crude oil'!W1045</f>
        <v>50.78</v>
      </c>
      <c r="X1044">
        <f>'raw data Crude oil'!X1045</f>
        <v>50.53</v>
      </c>
      <c r="Y1044">
        <f>'raw data Crude oil'!Y1045</f>
        <v>50.27</v>
      </c>
      <c r="Z1044">
        <f>'raw data Crude oil'!Z1045</f>
        <v>54.54</v>
      </c>
      <c r="AA1044">
        <f>'raw data Crude oil'!AA1045</f>
        <v>54.478000000000002</v>
      </c>
      <c r="AB1044">
        <f>'raw data Crude oil'!AB1045</f>
        <v>54.404000000000003</v>
      </c>
      <c r="AC1044">
        <f>'raw data Crude oil'!AC1045</f>
        <v>54.249000000000002</v>
      </c>
      <c r="AD1044">
        <f>'raw data Crude oil'!AD1045</f>
        <v>54.009</v>
      </c>
      <c r="AE1044">
        <f>'raw data Crude oil'!AE1045</f>
        <v>53.738999999999997</v>
      </c>
      <c r="AF1044">
        <f>'raw data Crude oil'!AF1045</f>
        <v>53.448999999999998</v>
      </c>
      <c r="AG1044">
        <f>'raw data Crude oil'!AG1045</f>
        <v>53.158999999999999</v>
      </c>
      <c r="AH1044">
        <f>'raw data Crude oil'!AH1045</f>
        <v>52.84</v>
      </c>
      <c r="AI1044">
        <f>'raw data Crude oil'!AI1045</f>
        <v>52.51</v>
      </c>
      <c r="AJ1044">
        <f>'raw data Crude oil'!AJ1045</f>
        <v>52.201999999999998</v>
      </c>
      <c r="AK1044">
        <f>'raw data Crude oil'!AK1045</f>
        <v>52.009</v>
      </c>
    </row>
    <row r="1045" spans="1:37" x14ac:dyDescent="0.3">
      <c r="A1045" s="18">
        <f>'raw data Crude oil'!A1046</f>
        <v>44214</v>
      </c>
      <c r="B1045">
        <f>'raw data Crude oil'!B1046</f>
        <v>54.75</v>
      </c>
      <c r="C1045">
        <f>'raw data Crude oil'!C1046</f>
        <v>54.75</v>
      </c>
      <c r="D1045">
        <f>'raw data Crude oil'!D1046</f>
        <v>54.7</v>
      </c>
      <c r="E1045">
        <f>'raw data Crude oil'!E1046</f>
        <v>54.56</v>
      </c>
      <c r="F1045">
        <f>'raw data Crude oil'!F1046</f>
        <v>54.32</v>
      </c>
      <c r="G1045">
        <f>'raw data Crude oil'!G1046</f>
        <v>54.09</v>
      </c>
      <c r="H1045">
        <f>'raw data Crude oil'!H1046</f>
        <v>53.83</v>
      </c>
      <c r="I1045">
        <f>'raw data Crude oil'!I1046</f>
        <v>53.58</v>
      </c>
      <c r="J1045">
        <f>'raw data Crude oil'!J1046</f>
        <v>53.33</v>
      </c>
      <c r="K1045">
        <f>'raw data Crude oil'!K1046</f>
        <v>53.1</v>
      </c>
      <c r="L1045">
        <f>'raw data Crude oil'!L1046</f>
        <v>52.91</v>
      </c>
      <c r="M1045">
        <f>'raw data Crude oil'!M1046</f>
        <v>52.74</v>
      </c>
      <c r="N1045">
        <f>'raw data Crude oil'!N1046</f>
        <v>52.36</v>
      </c>
      <c r="O1045">
        <f>'raw data Crude oil'!O1046</f>
        <v>52.42</v>
      </c>
      <c r="P1045">
        <f>'raw data Crude oil'!P1046</f>
        <v>52.36</v>
      </c>
      <c r="Q1045">
        <f>'raw data Crude oil'!Q1046</f>
        <v>52.23</v>
      </c>
      <c r="R1045">
        <f>'raw data Crude oil'!R1046</f>
        <v>52.04</v>
      </c>
      <c r="S1045">
        <f>'raw data Crude oil'!S1046</f>
        <v>51.82</v>
      </c>
      <c r="T1045">
        <f>'raw data Crude oil'!T1046</f>
        <v>51.57</v>
      </c>
      <c r="U1045">
        <f>'raw data Crude oil'!U1046</f>
        <v>51.3</v>
      </c>
      <c r="V1045">
        <f>'raw data Crude oil'!V1046</f>
        <v>51.04</v>
      </c>
      <c r="W1045">
        <f>'raw data Crude oil'!W1046</f>
        <v>50.78</v>
      </c>
      <c r="X1045">
        <f>'raw data Crude oil'!X1046</f>
        <v>50.53</v>
      </c>
      <c r="Y1045">
        <f>'raw data Crude oil'!Y1046</f>
        <v>50.27</v>
      </c>
      <c r="Z1045">
        <f>'raw data Crude oil'!Z1046</f>
        <v>54.357999999999997</v>
      </c>
      <c r="AA1045">
        <f>'raw data Crude oil'!AA1046</f>
        <v>54.118000000000002</v>
      </c>
      <c r="AB1045">
        <f>'raw data Crude oil'!AB1046</f>
        <v>54.024000000000001</v>
      </c>
      <c r="AC1045">
        <f>'raw data Crude oil'!AC1046</f>
        <v>53.859000000000002</v>
      </c>
      <c r="AD1045">
        <f>'raw data Crude oil'!AD1046</f>
        <v>53.597999999999999</v>
      </c>
      <c r="AE1045">
        <f>'raw data Crude oil'!AE1046</f>
        <v>53.317999999999998</v>
      </c>
      <c r="AF1045">
        <f>'raw data Crude oil'!AF1046</f>
        <v>53.009</v>
      </c>
      <c r="AG1045">
        <f>'raw data Crude oil'!AG1046</f>
        <v>52.719000000000001</v>
      </c>
      <c r="AH1045">
        <f>'raw data Crude oil'!AH1046</f>
        <v>52.41</v>
      </c>
      <c r="AI1045">
        <f>'raw data Crude oil'!AI1046</f>
        <v>52.091000000000001</v>
      </c>
      <c r="AJ1045">
        <f>'raw data Crude oil'!AJ1046</f>
        <v>51.781999999999996</v>
      </c>
      <c r="AK1045">
        <f>'raw data Crude oil'!AK1046</f>
        <v>51.598999999999997</v>
      </c>
    </row>
    <row r="1046" spans="1:37" x14ac:dyDescent="0.3">
      <c r="A1046" s="18">
        <f>'raw data Crude oil'!A1047</f>
        <v>44215</v>
      </c>
      <c r="B1046">
        <f>'raw data Crude oil'!B1047</f>
        <v>55.9</v>
      </c>
      <c r="C1046">
        <f>'raw data Crude oil'!C1047</f>
        <v>55.84</v>
      </c>
      <c r="D1046">
        <f>'raw data Crude oil'!D1047</f>
        <v>55.72</v>
      </c>
      <c r="E1046">
        <f>'raw data Crude oil'!E1047</f>
        <v>55.52</v>
      </c>
      <c r="F1046">
        <f>'raw data Crude oil'!F1047</f>
        <v>55.23</v>
      </c>
      <c r="G1046">
        <f>'raw data Crude oil'!G1047</f>
        <v>54.97</v>
      </c>
      <c r="H1046">
        <f>'raw data Crude oil'!H1047</f>
        <v>54.69</v>
      </c>
      <c r="I1046">
        <f>'raw data Crude oil'!I1047</f>
        <v>54.42</v>
      </c>
      <c r="J1046">
        <f>'raw data Crude oil'!J1047</f>
        <v>54.15</v>
      </c>
      <c r="K1046">
        <f>'raw data Crude oil'!K1047</f>
        <v>53.89</v>
      </c>
      <c r="L1046">
        <f>'raw data Crude oil'!L1047</f>
        <v>53.67</v>
      </c>
      <c r="M1046">
        <f>'raw data Crude oil'!M1047</f>
        <v>53.46</v>
      </c>
      <c r="N1046">
        <f>'raw data Crude oil'!N1047</f>
        <v>52.98</v>
      </c>
      <c r="O1046">
        <f>'raw data Crude oil'!O1047</f>
        <v>52.98</v>
      </c>
      <c r="P1046">
        <f>'raw data Crude oil'!P1047</f>
        <v>52.9</v>
      </c>
      <c r="Q1046">
        <f>'raw data Crude oil'!Q1047</f>
        <v>52.75</v>
      </c>
      <c r="R1046">
        <f>'raw data Crude oil'!R1047</f>
        <v>52.52</v>
      </c>
      <c r="S1046">
        <f>'raw data Crude oil'!S1047</f>
        <v>52.23</v>
      </c>
      <c r="T1046">
        <f>'raw data Crude oil'!T1047</f>
        <v>51.92</v>
      </c>
      <c r="U1046">
        <f>'raw data Crude oil'!U1047</f>
        <v>51.61</v>
      </c>
      <c r="V1046">
        <f>'raw data Crude oil'!V1047</f>
        <v>51.31</v>
      </c>
      <c r="W1046">
        <f>'raw data Crude oil'!W1047</f>
        <v>51.02</v>
      </c>
      <c r="X1046">
        <f>'raw data Crude oil'!X1047</f>
        <v>50.73</v>
      </c>
      <c r="Y1046">
        <f>'raw data Crude oil'!Y1047</f>
        <v>50.43</v>
      </c>
      <c r="Z1046">
        <f>'raw data Crude oil'!Z1047</f>
        <v>54.887</v>
      </c>
      <c r="AA1046">
        <f>'raw data Crude oil'!AA1047</f>
        <v>55.344000000000001</v>
      </c>
      <c r="AB1046">
        <f>'raw data Crude oil'!AB1047</f>
        <v>55.180999999999997</v>
      </c>
      <c r="AC1046">
        <f>'raw data Crude oil'!AC1047</f>
        <v>54.926000000000002</v>
      </c>
      <c r="AD1046">
        <f>'raw data Crude oil'!AD1047</f>
        <v>54.585000000000001</v>
      </c>
      <c r="AE1046">
        <f>'raw data Crude oil'!AE1047</f>
        <v>54.247</v>
      </c>
      <c r="AF1046">
        <f>'raw data Crude oil'!AF1047</f>
        <v>53.908000000000001</v>
      </c>
      <c r="AG1046">
        <f>'raw data Crude oil'!AG1047</f>
        <v>53.567999999999998</v>
      </c>
      <c r="AH1046">
        <f>'raw data Crude oil'!AH1047</f>
        <v>53.218000000000004</v>
      </c>
      <c r="AI1046">
        <f>'raw data Crude oil'!AI1047</f>
        <v>52.87</v>
      </c>
      <c r="AJ1046">
        <f>'raw data Crude oil'!AJ1047</f>
        <v>52.54</v>
      </c>
      <c r="AK1046">
        <f>'raw data Crude oil'!AK1047</f>
        <v>52.326000000000001</v>
      </c>
    </row>
    <row r="1047" spans="1:37" x14ac:dyDescent="0.3">
      <c r="A1047" s="18">
        <f>'raw data Crude oil'!A1048</f>
        <v>44216</v>
      </c>
      <c r="B1047">
        <f>'raw data Crude oil'!B1048</f>
        <v>56.08</v>
      </c>
      <c r="C1047">
        <f>'raw data Crude oil'!C1048</f>
        <v>55.97</v>
      </c>
      <c r="D1047">
        <f>'raw data Crude oil'!D1048</f>
        <v>55.8</v>
      </c>
      <c r="E1047">
        <f>'raw data Crude oil'!E1048</f>
        <v>55.56</v>
      </c>
      <c r="F1047">
        <f>'raw data Crude oil'!F1048</f>
        <v>55.26</v>
      </c>
      <c r="G1047">
        <f>'raw data Crude oil'!G1048</f>
        <v>54.97</v>
      </c>
      <c r="H1047">
        <f>'raw data Crude oil'!H1048</f>
        <v>54.67</v>
      </c>
      <c r="I1047">
        <f>'raw data Crude oil'!I1048</f>
        <v>54.38</v>
      </c>
      <c r="J1047">
        <f>'raw data Crude oil'!J1048</f>
        <v>54.09</v>
      </c>
      <c r="K1047">
        <f>'raw data Crude oil'!K1048</f>
        <v>53.82</v>
      </c>
      <c r="L1047">
        <f>'raw data Crude oil'!L1048</f>
        <v>53.58</v>
      </c>
      <c r="M1047">
        <f>'raw data Crude oil'!M1048</f>
        <v>53.36</v>
      </c>
      <c r="N1047">
        <f>'raw data Crude oil'!N1048</f>
        <v>53.24</v>
      </c>
      <c r="O1047">
        <f>'raw data Crude oil'!O1048</f>
        <v>53.31</v>
      </c>
      <c r="P1047">
        <f>'raw data Crude oil'!P1048</f>
        <v>53.2</v>
      </c>
      <c r="Q1047">
        <f>'raw data Crude oil'!Q1048</f>
        <v>52.98</v>
      </c>
      <c r="R1047">
        <f>'raw data Crude oil'!R1048</f>
        <v>52.7</v>
      </c>
      <c r="S1047">
        <f>'raw data Crude oil'!S1048</f>
        <v>52.38</v>
      </c>
      <c r="T1047">
        <f>'raw data Crude oil'!T1048</f>
        <v>52.05</v>
      </c>
      <c r="U1047">
        <f>'raw data Crude oil'!U1048</f>
        <v>51.72</v>
      </c>
      <c r="V1047">
        <f>'raw data Crude oil'!V1048</f>
        <v>51.39</v>
      </c>
      <c r="W1047">
        <f>'raw data Crude oil'!W1048</f>
        <v>51.07</v>
      </c>
      <c r="X1047">
        <f>'raw data Crude oil'!X1048</f>
        <v>50.76</v>
      </c>
      <c r="Y1047">
        <f>'raw data Crude oil'!Y1048</f>
        <v>50.44</v>
      </c>
      <c r="Z1047">
        <f>'raw data Crude oil'!Z1048</f>
        <v>54.965000000000003</v>
      </c>
      <c r="AA1047">
        <f>'raw data Crude oil'!AA1048</f>
        <v>55.451999999999998</v>
      </c>
      <c r="AB1047">
        <f>'raw data Crude oil'!AB1048</f>
        <v>55.27</v>
      </c>
      <c r="AC1047">
        <f>'raw data Crude oil'!AC1048</f>
        <v>54.975999999999999</v>
      </c>
      <c r="AD1047">
        <f>'raw data Crude oil'!AD1048</f>
        <v>54.622</v>
      </c>
      <c r="AE1047">
        <f>'raw data Crude oil'!AE1048</f>
        <v>54.256</v>
      </c>
      <c r="AF1047">
        <f>'raw data Crude oil'!AF1048</f>
        <v>53.896999999999998</v>
      </c>
      <c r="AG1047">
        <f>'raw data Crude oil'!AG1048</f>
        <v>53.527000000000001</v>
      </c>
      <c r="AH1047">
        <f>'raw data Crude oil'!AH1048</f>
        <v>53.158000000000001</v>
      </c>
      <c r="AI1047">
        <f>'raw data Crude oil'!AI1048</f>
        <v>52.779000000000003</v>
      </c>
      <c r="AJ1047">
        <f>'raw data Crude oil'!AJ1048</f>
        <v>52.46</v>
      </c>
      <c r="AK1047">
        <f>'raw data Crude oil'!AK1048</f>
        <v>52.234999999999999</v>
      </c>
    </row>
    <row r="1048" spans="1:37" x14ac:dyDescent="0.3">
      <c r="A1048" s="18">
        <f>'raw data Crude oil'!A1049</f>
        <v>44217</v>
      </c>
      <c r="B1048">
        <f>'raw data Crude oil'!B1049</f>
        <v>56.1</v>
      </c>
      <c r="C1048">
        <f>'raw data Crude oil'!C1049</f>
        <v>55.98</v>
      </c>
      <c r="D1048">
        <f>'raw data Crude oil'!D1049</f>
        <v>55.79</v>
      </c>
      <c r="E1048">
        <f>'raw data Crude oil'!E1049</f>
        <v>55.55</v>
      </c>
      <c r="F1048">
        <f>'raw data Crude oil'!F1049</f>
        <v>55.24</v>
      </c>
      <c r="G1048">
        <f>'raw data Crude oil'!G1049</f>
        <v>54.95</v>
      </c>
      <c r="H1048">
        <f>'raw data Crude oil'!H1049</f>
        <v>54.65</v>
      </c>
      <c r="I1048">
        <f>'raw data Crude oil'!I1049</f>
        <v>54.36</v>
      </c>
      <c r="J1048">
        <f>'raw data Crude oil'!J1049</f>
        <v>54.07</v>
      </c>
      <c r="K1048">
        <f>'raw data Crude oil'!K1049</f>
        <v>53.79</v>
      </c>
      <c r="L1048">
        <f>'raw data Crude oil'!L1049</f>
        <v>53.55</v>
      </c>
      <c r="M1048">
        <f>'raw data Crude oil'!M1049</f>
        <v>53.33</v>
      </c>
      <c r="N1048">
        <f>'raw data Crude oil'!N1049</f>
        <v>53.13</v>
      </c>
      <c r="O1048">
        <f>'raw data Crude oil'!O1049</f>
        <v>53.05</v>
      </c>
      <c r="P1048">
        <f>'raw data Crude oil'!P1049</f>
        <v>52.87</v>
      </c>
      <c r="Q1048">
        <f>'raw data Crude oil'!Q1049</f>
        <v>52.61</v>
      </c>
      <c r="R1048">
        <f>'raw data Crude oil'!R1049</f>
        <v>52.3</v>
      </c>
      <c r="S1048">
        <f>'raw data Crude oil'!S1049</f>
        <v>51.98</v>
      </c>
      <c r="T1048">
        <f>'raw data Crude oil'!T1049</f>
        <v>51.66</v>
      </c>
      <c r="U1048">
        <f>'raw data Crude oil'!U1049</f>
        <v>51.34</v>
      </c>
      <c r="V1048">
        <f>'raw data Crude oil'!V1049</f>
        <v>51.03</v>
      </c>
      <c r="W1048">
        <f>'raw data Crude oil'!W1049</f>
        <v>50.71</v>
      </c>
      <c r="X1048">
        <f>'raw data Crude oil'!X1049</f>
        <v>50.4</v>
      </c>
      <c r="Y1048">
        <f>'raw data Crude oil'!Y1049</f>
        <v>50.13</v>
      </c>
      <c r="Z1048">
        <f>'raw data Crude oil'!Z1049</f>
        <v>54.953000000000003</v>
      </c>
      <c r="AA1048">
        <f>'raw data Crude oil'!AA1049</f>
        <v>55.441000000000003</v>
      </c>
      <c r="AB1048">
        <f>'raw data Crude oil'!AB1049</f>
        <v>55.22</v>
      </c>
      <c r="AC1048">
        <f>'raw data Crude oil'!AC1049</f>
        <v>54.935000000000002</v>
      </c>
      <c r="AD1048">
        <f>'raw data Crude oil'!AD1049</f>
        <v>54.582000000000001</v>
      </c>
      <c r="AE1048">
        <f>'raw data Crude oil'!AE1049</f>
        <v>54.216000000000001</v>
      </c>
      <c r="AF1048">
        <f>'raw data Crude oil'!AF1049</f>
        <v>53.856999999999999</v>
      </c>
      <c r="AG1048">
        <f>'raw data Crude oil'!AG1049</f>
        <v>53.497</v>
      </c>
      <c r="AH1048">
        <f>'raw data Crude oil'!AH1049</f>
        <v>53.137</v>
      </c>
      <c r="AI1048">
        <f>'raw data Crude oil'!AI1049</f>
        <v>52.779000000000003</v>
      </c>
      <c r="AJ1048">
        <f>'raw data Crude oil'!AJ1049</f>
        <v>52.48</v>
      </c>
      <c r="AK1048">
        <f>'raw data Crude oil'!AK1049</f>
        <v>52.204999999999998</v>
      </c>
    </row>
    <row r="1049" spans="1:37" x14ac:dyDescent="0.3">
      <c r="A1049" s="18">
        <f>'raw data Crude oil'!A1050</f>
        <v>44218</v>
      </c>
      <c r="B1049">
        <f>'raw data Crude oil'!B1050</f>
        <v>55.41</v>
      </c>
      <c r="C1049">
        <f>'raw data Crude oil'!C1050</f>
        <v>55.25</v>
      </c>
      <c r="D1049">
        <f>'raw data Crude oil'!D1050</f>
        <v>55.07</v>
      </c>
      <c r="E1049">
        <f>'raw data Crude oil'!E1050</f>
        <v>54.85</v>
      </c>
      <c r="F1049">
        <f>'raw data Crude oil'!F1050</f>
        <v>54.56</v>
      </c>
      <c r="G1049">
        <f>'raw data Crude oil'!G1050</f>
        <v>54.29</v>
      </c>
      <c r="H1049">
        <f>'raw data Crude oil'!H1050</f>
        <v>54.02</v>
      </c>
      <c r="I1049">
        <f>'raw data Crude oil'!I1050</f>
        <v>53.74</v>
      </c>
      <c r="J1049">
        <f>'raw data Crude oil'!J1050</f>
        <v>53.48</v>
      </c>
      <c r="K1049">
        <f>'raw data Crude oil'!K1050</f>
        <v>53.22</v>
      </c>
      <c r="L1049">
        <f>'raw data Crude oil'!L1050</f>
        <v>52.99</v>
      </c>
      <c r="M1049">
        <f>'raw data Crude oil'!M1050</f>
        <v>52.79</v>
      </c>
      <c r="N1049">
        <f>'raw data Crude oil'!N1050</f>
        <v>52.27</v>
      </c>
      <c r="O1049">
        <f>'raw data Crude oil'!O1050</f>
        <v>52.19</v>
      </c>
      <c r="P1049">
        <f>'raw data Crude oil'!P1050</f>
        <v>52.04</v>
      </c>
      <c r="Q1049">
        <f>'raw data Crude oil'!Q1050</f>
        <v>51.82</v>
      </c>
      <c r="R1049">
        <f>'raw data Crude oil'!R1050</f>
        <v>51.54</v>
      </c>
      <c r="S1049">
        <f>'raw data Crude oil'!S1050</f>
        <v>51.24</v>
      </c>
      <c r="T1049">
        <f>'raw data Crude oil'!T1050</f>
        <v>50.93</v>
      </c>
      <c r="U1049">
        <f>'raw data Crude oil'!U1050</f>
        <v>50.61</v>
      </c>
      <c r="V1049">
        <f>'raw data Crude oil'!V1050</f>
        <v>50.32</v>
      </c>
      <c r="W1049">
        <f>'raw data Crude oil'!W1050</f>
        <v>50.03</v>
      </c>
      <c r="X1049">
        <f>'raw data Crude oil'!X1050</f>
        <v>49.73</v>
      </c>
      <c r="Y1049">
        <f>'raw data Crude oil'!Y1050</f>
        <v>49.47</v>
      </c>
      <c r="Z1049">
        <f>'raw data Crude oil'!Z1050</f>
        <v>54.777999999999999</v>
      </c>
      <c r="AA1049">
        <f>'raw data Crude oil'!AA1050</f>
        <v>54.761000000000003</v>
      </c>
      <c r="AB1049">
        <f>'raw data Crude oil'!AB1050</f>
        <v>54.55</v>
      </c>
      <c r="AC1049">
        <f>'raw data Crude oil'!AC1050</f>
        <v>54.256</v>
      </c>
      <c r="AD1049">
        <f>'raw data Crude oil'!AD1050</f>
        <v>53.904000000000003</v>
      </c>
      <c r="AE1049">
        <f>'raw data Crude oil'!AE1050</f>
        <v>53.558</v>
      </c>
      <c r="AF1049">
        <f>'raw data Crude oil'!AF1050</f>
        <v>53.216999999999999</v>
      </c>
      <c r="AG1049">
        <f>'raw data Crude oil'!AG1050</f>
        <v>52.878</v>
      </c>
      <c r="AH1049">
        <f>'raw data Crude oil'!AH1050</f>
        <v>52.537999999999997</v>
      </c>
      <c r="AI1049">
        <f>'raw data Crude oil'!AI1050</f>
        <v>52.198999999999998</v>
      </c>
      <c r="AJ1049">
        <f>'raw data Crude oil'!AJ1050</f>
        <v>51.911000000000001</v>
      </c>
      <c r="AK1049">
        <f>'raw data Crude oil'!AK1050</f>
        <v>51.655999999999999</v>
      </c>
    </row>
    <row r="1050" spans="1:37" x14ac:dyDescent="0.3">
      <c r="A1050" s="18">
        <f>'raw data Crude oil'!A1051</f>
        <v>44221</v>
      </c>
      <c r="B1050">
        <f>'raw data Crude oil'!B1051</f>
        <v>55.88</v>
      </c>
      <c r="C1050">
        <f>'raw data Crude oil'!C1051</f>
        <v>55.68</v>
      </c>
      <c r="D1050">
        <f>'raw data Crude oil'!D1051</f>
        <v>55.5</v>
      </c>
      <c r="E1050">
        <f>'raw data Crude oil'!E1051</f>
        <v>55.27</v>
      </c>
      <c r="F1050">
        <f>'raw data Crude oil'!F1051</f>
        <v>54.96</v>
      </c>
      <c r="G1050">
        <f>'raw data Crude oil'!G1051</f>
        <v>54.67</v>
      </c>
      <c r="H1050">
        <f>'raw data Crude oil'!H1051</f>
        <v>54.39</v>
      </c>
      <c r="I1050">
        <f>'raw data Crude oil'!I1051</f>
        <v>54.1</v>
      </c>
      <c r="J1050">
        <f>'raw data Crude oil'!J1051</f>
        <v>53.82</v>
      </c>
      <c r="K1050">
        <f>'raw data Crude oil'!K1051</f>
        <v>53.56</v>
      </c>
      <c r="L1050">
        <f>'raw data Crude oil'!L1051</f>
        <v>53.33</v>
      </c>
      <c r="M1050">
        <f>'raw data Crude oil'!M1051</f>
        <v>53.12</v>
      </c>
      <c r="N1050">
        <f>'raw data Crude oil'!N1051</f>
        <v>52.77</v>
      </c>
      <c r="O1050">
        <f>'raw data Crude oil'!O1051</f>
        <v>52.67</v>
      </c>
      <c r="P1050">
        <f>'raw data Crude oil'!P1051</f>
        <v>52.5</v>
      </c>
      <c r="Q1050">
        <f>'raw data Crude oil'!Q1051</f>
        <v>52.26</v>
      </c>
      <c r="R1050">
        <f>'raw data Crude oil'!R1051</f>
        <v>51.97</v>
      </c>
      <c r="S1050">
        <f>'raw data Crude oil'!S1051</f>
        <v>51.66</v>
      </c>
      <c r="T1050">
        <f>'raw data Crude oil'!T1051</f>
        <v>51.33</v>
      </c>
      <c r="U1050">
        <f>'raw data Crude oil'!U1051</f>
        <v>51.01</v>
      </c>
      <c r="V1050">
        <f>'raw data Crude oil'!V1051</f>
        <v>50.7</v>
      </c>
      <c r="W1050">
        <f>'raw data Crude oil'!W1051</f>
        <v>50.39</v>
      </c>
      <c r="X1050">
        <f>'raw data Crude oil'!X1051</f>
        <v>50.09</v>
      </c>
      <c r="Y1050">
        <f>'raw data Crude oil'!Y1051</f>
        <v>49.82</v>
      </c>
      <c r="Z1050">
        <f>'raw data Crude oil'!Z1051</f>
        <v>54.856999999999999</v>
      </c>
      <c r="AA1050">
        <f>'raw data Crude oil'!AA1051</f>
        <v>55.170999999999999</v>
      </c>
      <c r="AB1050">
        <f>'raw data Crude oil'!AB1051</f>
        <v>54.94</v>
      </c>
      <c r="AC1050">
        <f>'raw data Crude oil'!AC1051</f>
        <v>54.655000000000001</v>
      </c>
      <c r="AD1050">
        <f>'raw data Crude oil'!AD1051</f>
        <v>54.281999999999996</v>
      </c>
      <c r="AE1050">
        <f>'raw data Crude oil'!AE1051</f>
        <v>53.917000000000002</v>
      </c>
      <c r="AF1050">
        <f>'raw data Crude oil'!AF1051</f>
        <v>53.567</v>
      </c>
      <c r="AG1050">
        <f>'raw data Crude oil'!AG1051</f>
        <v>53.216999999999999</v>
      </c>
      <c r="AH1050">
        <f>'raw data Crude oil'!AH1051</f>
        <v>52.868000000000002</v>
      </c>
      <c r="AI1050">
        <f>'raw data Crude oil'!AI1051</f>
        <v>52.518999999999998</v>
      </c>
      <c r="AJ1050">
        <f>'raw data Crude oil'!AJ1051</f>
        <v>52.22</v>
      </c>
      <c r="AK1050">
        <f>'raw data Crude oil'!AK1051</f>
        <v>51.976999999999997</v>
      </c>
    </row>
    <row r="1051" spans="1:37" x14ac:dyDescent="0.3">
      <c r="A1051" s="18">
        <f>'raw data Crude oil'!A1052</f>
        <v>44222</v>
      </c>
      <c r="B1051">
        <f>'raw data Crude oil'!B1052</f>
        <v>55.91</v>
      </c>
      <c r="C1051">
        <f>'raw data Crude oil'!C1052</f>
        <v>55.64</v>
      </c>
      <c r="D1051">
        <f>'raw data Crude oil'!D1052</f>
        <v>55.42</v>
      </c>
      <c r="E1051">
        <f>'raw data Crude oil'!E1052</f>
        <v>55.15</v>
      </c>
      <c r="F1051">
        <f>'raw data Crude oil'!F1052</f>
        <v>54.82</v>
      </c>
      <c r="G1051">
        <f>'raw data Crude oil'!G1052</f>
        <v>54.52</v>
      </c>
      <c r="H1051">
        <f>'raw data Crude oil'!H1052</f>
        <v>54.22</v>
      </c>
      <c r="I1051">
        <f>'raw data Crude oil'!I1052</f>
        <v>53.92</v>
      </c>
      <c r="J1051">
        <f>'raw data Crude oil'!J1052</f>
        <v>53.63</v>
      </c>
      <c r="K1051">
        <f>'raw data Crude oil'!K1052</f>
        <v>53.36</v>
      </c>
      <c r="L1051">
        <f>'raw data Crude oil'!L1052</f>
        <v>53.12</v>
      </c>
      <c r="M1051">
        <f>'raw data Crude oil'!M1052</f>
        <v>52.9</v>
      </c>
      <c r="N1051">
        <f>'raw data Crude oil'!N1052</f>
        <v>52.61</v>
      </c>
      <c r="O1051">
        <f>'raw data Crude oil'!O1052</f>
        <v>52.52</v>
      </c>
      <c r="P1051">
        <f>'raw data Crude oil'!P1052</f>
        <v>52.36</v>
      </c>
      <c r="Q1051">
        <f>'raw data Crude oil'!Q1052</f>
        <v>52.12</v>
      </c>
      <c r="R1051">
        <f>'raw data Crude oil'!R1052</f>
        <v>51.83</v>
      </c>
      <c r="S1051">
        <f>'raw data Crude oil'!S1052</f>
        <v>51.5</v>
      </c>
      <c r="T1051">
        <f>'raw data Crude oil'!T1052</f>
        <v>51.17</v>
      </c>
      <c r="U1051">
        <f>'raw data Crude oil'!U1052</f>
        <v>50.83</v>
      </c>
      <c r="V1051">
        <f>'raw data Crude oil'!V1052</f>
        <v>50.52</v>
      </c>
      <c r="W1051">
        <f>'raw data Crude oil'!W1052</f>
        <v>50.21</v>
      </c>
      <c r="X1051">
        <f>'raw data Crude oil'!X1052</f>
        <v>49.91</v>
      </c>
      <c r="Y1051">
        <f>'raw data Crude oil'!Y1052</f>
        <v>49.63</v>
      </c>
      <c r="Z1051">
        <f>'raw data Crude oil'!Z1052</f>
        <v>54.826999999999998</v>
      </c>
      <c r="AA1051">
        <f>'raw data Crude oil'!AA1052</f>
        <v>55.079000000000001</v>
      </c>
      <c r="AB1051">
        <f>'raw data Crude oil'!AB1052</f>
        <v>54.847999999999999</v>
      </c>
      <c r="AC1051">
        <f>'raw data Crude oil'!AC1052</f>
        <v>54.543999999999997</v>
      </c>
      <c r="AD1051">
        <f>'raw data Crude oil'!AD1052</f>
        <v>54.151000000000003</v>
      </c>
      <c r="AE1051">
        <f>'raw data Crude oil'!AE1052</f>
        <v>53.746000000000002</v>
      </c>
      <c r="AF1051">
        <f>'raw data Crude oil'!AF1052</f>
        <v>53.375999999999998</v>
      </c>
      <c r="AG1051">
        <f>'raw data Crude oil'!AG1052</f>
        <v>53.017000000000003</v>
      </c>
      <c r="AH1051">
        <f>'raw data Crude oil'!AH1052</f>
        <v>52.658000000000001</v>
      </c>
      <c r="AI1051">
        <f>'raw data Crude oil'!AI1052</f>
        <v>52.298999999999999</v>
      </c>
      <c r="AJ1051">
        <f>'raw data Crude oil'!AJ1052</f>
        <v>52.01</v>
      </c>
      <c r="AK1051">
        <f>'raw data Crude oil'!AK1052</f>
        <v>51.715000000000003</v>
      </c>
    </row>
    <row r="1052" spans="1:37" x14ac:dyDescent="0.3">
      <c r="A1052" s="18">
        <f>'raw data Crude oil'!A1053</f>
        <v>44223</v>
      </c>
      <c r="B1052">
        <f>'raw data Crude oil'!B1053</f>
        <v>55.81</v>
      </c>
      <c r="C1052">
        <f>'raw data Crude oil'!C1053</f>
        <v>55.53</v>
      </c>
      <c r="D1052">
        <f>'raw data Crude oil'!D1053</f>
        <v>55.34</v>
      </c>
      <c r="E1052">
        <f>'raw data Crude oil'!E1053</f>
        <v>55.11</v>
      </c>
      <c r="F1052">
        <f>'raw data Crude oil'!F1053</f>
        <v>54.8</v>
      </c>
      <c r="G1052">
        <f>'raw data Crude oil'!G1053</f>
        <v>54.52</v>
      </c>
      <c r="H1052">
        <f>'raw data Crude oil'!H1053</f>
        <v>54.23</v>
      </c>
      <c r="I1052">
        <f>'raw data Crude oil'!I1053</f>
        <v>53.94</v>
      </c>
      <c r="J1052">
        <f>'raw data Crude oil'!J1053</f>
        <v>53.67</v>
      </c>
      <c r="K1052">
        <f>'raw data Crude oil'!K1053</f>
        <v>53.41</v>
      </c>
      <c r="L1052">
        <f>'raw data Crude oil'!L1053</f>
        <v>53.18</v>
      </c>
      <c r="M1052">
        <f>'raw data Crude oil'!M1053</f>
        <v>52.97</v>
      </c>
      <c r="N1052">
        <f>'raw data Crude oil'!N1053</f>
        <v>52.85</v>
      </c>
      <c r="O1052">
        <f>'raw data Crude oil'!O1053</f>
        <v>52.73</v>
      </c>
      <c r="P1052">
        <f>'raw data Crude oil'!P1053</f>
        <v>52.53</v>
      </c>
      <c r="Q1052">
        <f>'raw data Crude oil'!Q1053</f>
        <v>52.26</v>
      </c>
      <c r="R1052">
        <f>'raw data Crude oil'!R1053</f>
        <v>51.96</v>
      </c>
      <c r="S1052">
        <f>'raw data Crude oil'!S1053</f>
        <v>51.64</v>
      </c>
      <c r="T1052">
        <f>'raw data Crude oil'!T1053</f>
        <v>51.3</v>
      </c>
      <c r="U1052">
        <f>'raw data Crude oil'!U1053</f>
        <v>50.97</v>
      </c>
      <c r="V1052">
        <f>'raw data Crude oil'!V1053</f>
        <v>50.66</v>
      </c>
      <c r="W1052">
        <f>'raw data Crude oil'!W1053</f>
        <v>50.37</v>
      </c>
      <c r="X1052">
        <f>'raw data Crude oil'!X1053</f>
        <v>50.07</v>
      </c>
      <c r="Y1052">
        <f>'raw data Crude oil'!Y1053</f>
        <v>49.81</v>
      </c>
      <c r="Z1052">
        <f>'raw data Crude oil'!Z1053</f>
        <v>54.814</v>
      </c>
      <c r="AA1052">
        <f>'raw data Crude oil'!AA1053</f>
        <v>54.930999999999997</v>
      </c>
      <c r="AB1052">
        <f>'raw data Crude oil'!AB1053</f>
        <v>54.77</v>
      </c>
      <c r="AC1052">
        <f>'raw data Crude oil'!AC1053</f>
        <v>54.494999999999997</v>
      </c>
      <c r="AD1052">
        <f>'raw data Crude oil'!AD1053</f>
        <v>54.113</v>
      </c>
      <c r="AE1052">
        <f>'raw data Crude oil'!AE1053</f>
        <v>53.726999999999997</v>
      </c>
      <c r="AF1052">
        <f>'raw data Crude oil'!AF1053</f>
        <v>53.377000000000002</v>
      </c>
      <c r="AG1052">
        <f>'raw data Crude oil'!AG1053</f>
        <v>53.027999999999999</v>
      </c>
      <c r="AH1052">
        <f>'raw data Crude oil'!AH1053</f>
        <v>52.688000000000002</v>
      </c>
      <c r="AI1052">
        <f>'raw data Crude oil'!AI1053</f>
        <v>52.329000000000001</v>
      </c>
      <c r="AJ1052">
        <f>'raw data Crude oil'!AJ1053</f>
        <v>52.06</v>
      </c>
      <c r="AK1052">
        <f>'raw data Crude oil'!AK1053</f>
        <v>51.776000000000003</v>
      </c>
    </row>
    <row r="1053" spans="1:37" x14ac:dyDescent="0.3">
      <c r="A1053" s="18">
        <f>'raw data Crude oil'!A1054</f>
        <v>44224</v>
      </c>
      <c r="B1053">
        <f>'raw data Crude oil'!B1054</f>
        <v>55.53</v>
      </c>
      <c r="C1053">
        <f>'raw data Crude oil'!C1054</f>
        <v>55.1</v>
      </c>
      <c r="D1053">
        <f>'raw data Crude oil'!D1054</f>
        <v>54.9</v>
      </c>
      <c r="E1053">
        <f>'raw data Crude oil'!E1054</f>
        <v>54.65</v>
      </c>
      <c r="F1053">
        <f>'raw data Crude oil'!F1054</f>
        <v>54.33</v>
      </c>
      <c r="G1053">
        <f>'raw data Crude oil'!G1054</f>
        <v>54.03</v>
      </c>
      <c r="H1053">
        <f>'raw data Crude oil'!H1054</f>
        <v>53.73</v>
      </c>
      <c r="I1053">
        <f>'raw data Crude oil'!I1054</f>
        <v>53.43</v>
      </c>
      <c r="J1053">
        <f>'raw data Crude oil'!J1054</f>
        <v>53.16</v>
      </c>
      <c r="K1053">
        <f>'raw data Crude oil'!K1054</f>
        <v>52.91</v>
      </c>
      <c r="L1053">
        <f>'raw data Crude oil'!L1054</f>
        <v>52.68</v>
      </c>
      <c r="M1053">
        <f>'raw data Crude oil'!M1054</f>
        <v>52.47</v>
      </c>
      <c r="N1053">
        <f>'raw data Crude oil'!N1054</f>
        <v>52.34</v>
      </c>
      <c r="O1053">
        <f>'raw data Crude oil'!O1054</f>
        <v>52.24</v>
      </c>
      <c r="P1053">
        <f>'raw data Crude oil'!P1054</f>
        <v>52.06</v>
      </c>
      <c r="Q1053">
        <f>'raw data Crude oil'!Q1054</f>
        <v>51.81</v>
      </c>
      <c r="R1053">
        <f>'raw data Crude oil'!R1054</f>
        <v>51.51</v>
      </c>
      <c r="S1053">
        <f>'raw data Crude oil'!S1054</f>
        <v>51.18</v>
      </c>
      <c r="T1053">
        <f>'raw data Crude oil'!T1054</f>
        <v>50.84</v>
      </c>
      <c r="U1053">
        <f>'raw data Crude oil'!U1054</f>
        <v>50.5</v>
      </c>
      <c r="V1053">
        <f>'raw data Crude oil'!V1054</f>
        <v>50.18</v>
      </c>
      <c r="W1053">
        <f>'raw data Crude oil'!W1054</f>
        <v>49.89</v>
      </c>
      <c r="X1053">
        <f>'raw data Crude oil'!X1054</f>
        <v>49.6</v>
      </c>
      <c r="Y1053">
        <f>'raw data Crude oil'!Y1054</f>
        <v>49.34</v>
      </c>
      <c r="Z1053">
        <f>'raw data Crude oil'!Z1054</f>
        <v>54.776000000000003</v>
      </c>
      <c r="AA1053">
        <f>'raw data Crude oil'!AA1054</f>
        <v>54.46</v>
      </c>
      <c r="AB1053">
        <f>'raw data Crude oil'!AB1054</f>
        <v>54.308999999999997</v>
      </c>
      <c r="AC1053">
        <f>'raw data Crude oil'!AC1054</f>
        <v>54.034999999999997</v>
      </c>
      <c r="AD1053">
        <f>'raw data Crude oil'!AD1054</f>
        <v>53.651000000000003</v>
      </c>
      <c r="AE1053">
        <f>'raw data Crude oil'!AE1054</f>
        <v>53.265999999999998</v>
      </c>
      <c r="AF1053">
        <f>'raw data Crude oil'!AF1054</f>
        <v>52.886000000000003</v>
      </c>
      <c r="AG1053">
        <f>'raw data Crude oil'!AG1054</f>
        <v>52.527999999999999</v>
      </c>
      <c r="AH1053">
        <f>'raw data Crude oil'!AH1054</f>
        <v>52.198999999999998</v>
      </c>
      <c r="AI1053">
        <f>'raw data Crude oil'!AI1054</f>
        <v>51.878999999999998</v>
      </c>
      <c r="AJ1053">
        <f>'raw data Crude oil'!AJ1054</f>
        <v>51.57</v>
      </c>
      <c r="AK1053">
        <f>'raw data Crude oil'!AK1054</f>
        <v>51.265999999999998</v>
      </c>
    </row>
    <row r="1054" spans="1:37" x14ac:dyDescent="0.3">
      <c r="A1054" s="18">
        <f>'raw data Crude oil'!A1055</f>
        <v>44225</v>
      </c>
      <c r="B1054">
        <f>'raw data Crude oil'!B1055</f>
        <v>55.88</v>
      </c>
      <c r="C1054">
        <f>'raw data Crude oil'!C1055</f>
        <v>55.04</v>
      </c>
      <c r="D1054">
        <f>'raw data Crude oil'!D1055</f>
        <v>54.81</v>
      </c>
      <c r="E1054">
        <f>'raw data Crude oil'!E1055</f>
        <v>54.55</v>
      </c>
      <c r="F1054">
        <f>'raw data Crude oil'!F1055</f>
        <v>54.21</v>
      </c>
      <c r="G1054">
        <f>'raw data Crude oil'!G1055</f>
        <v>53.91</v>
      </c>
      <c r="H1054">
        <f>'raw data Crude oil'!H1055</f>
        <v>53.61</v>
      </c>
      <c r="I1054">
        <f>'raw data Crude oil'!I1055</f>
        <v>53.31</v>
      </c>
      <c r="J1054">
        <f>'raw data Crude oil'!J1055</f>
        <v>53.04</v>
      </c>
      <c r="K1054">
        <f>'raw data Crude oil'!K1055</f>
        <v>52.79</v>
      </c>
      <c r="L1054">
        <f>'raw data Crude oil'!L1055</f>
        <v>52.56</v>
      </c>
      <c r="M1054">
        <f>'raw data Crude oil'!M1055</f>
        <v>52.35</v>
      </c>
      <c r="N1054">
        <f>'raw data Crude oil'!N1055</f>
        <v>52.2</v>
      </c>
      <c r="O1054">
        <f>'raw data Crude oil'!O1055</f>
        <v>52.08</v>
      </c>
      <c r="P1054">
        <f>'raw data Crude oil'!P1055</f>
        <v>51.88</v>
      </c>
      <c r="Q1054">
        <f>'raw data Crude oil'!Q1055</f>
        <v>51.63</v>
      </c>
      <c r="R1054">
        <f>'raw data Crude oil'!R1055</f>
        <v>51.34</v>
      </c>
      <c r="S1054">
        <f>'raw data Crude oil'!S1055</f>
        <v>51</v>
      </c>
      <c r="T1054">
        <f>'raw data Crude oil'!T1055</f>
        <v>50.67</v>
      </c>
      <c r="U1054">
        <f>'raw data Crude oil'!U1055</f>
        <v>50.34</v>
      </c>
      <c r="V1054">
        <f>'raw data Crude oil'!V1055</f>
        <v>50.02</v>
      </c>
      <c r="W1054">
        <f>'raw data Crude oil'!W1055</f>
        <v>49.73</v>
      </c>
      <c r="X1054">
        <f>'raw data Crude oil'!X1055</f>
        <v>49.45</v>
      </c>
      <c r="Y1054">
        <f>'raw data Crude oil'!Y1055</f>
        <v>49.19</v>
      </c>
      <c r="Z1054">
        <f>'raw data Crude oil'!Z1055</f>
        <v>54.771999999999998</v>
      </c>
      <c r="AA1054">
        <f>'raw data Crude oil'!AA1055</f>
        <v>54.338999999999999</v>
      </c>
      <c r="AB1054">
        <f>'raw data Crude oil'!AB1055</f>
        <v>54.168999999999997</v>
      </c>
      <c r="AC1054">
        <f>'raw data Crude oil'!AC1055</f>
        <v>53.884</v>
      </c>
      <c r="AD1054">
        <f>'raw data Crude oil'!AD1055</f>
        <v>53.521000000000001</v>
      </c>
      <c r="AE1054">
        <f>'raw data Crude oil'!AE1055</f>
        <v>53.136000000000003</v>
      </c>
      <c r="AF1054">
        <f>'raw data Crude oil'!AF1055</f>
        <v>52.756</v>
      </c>
      <c r="AG1054">
        <f>'raw data Crude oil'!AG1055</f>
        <v>52.408000000000001</v>
      </c>
      <c r="AH1054">
        <f>'raw data Crude oil'!AH1055</f>
        <v>52.079000000000001</v>
      </c>
      <c r="AI1054">
        <f>'raw data Crude oil'!AI1055</f>
        <v>51.749000000000002</v>
      </c>
      <c r="AJ1054">
        <f>'raw data Crude oil'!AJ1055</f>
        <v>51.43</v>
      </c>
      <c r="AK1054">
        <f>'raw data Crude oil'!AK1055</f>
        <v>51.136000000000003</v>
      </c>
    </row>
    <row r="1055" spans="1:37" x14ac:dyDescent="0.3">
      <c r="A1055" s="18">
        <f>'raw data Crude oil'!A1056</f>
        <v>44228</v>
      </c>
      <c r="B1055">
        <f>'raw data Crude oil'!B1056</f>
        <v>56.35</v>
      </c>
      <c r="C1055">
        <f>'raw data Crude oil'!C1056</f>
        <v>56.1</v>
      </c>
      <c r="D1055">
        <f>'raw data Crude oil'!D1056</f>
        <v>55.81</v>
      </c>
      <c r="E1055">
        <f>'raw data Crude oil'!E1056</f>
        <v>55.46</v>
      </c>
      <c r="F1055">
        <f>'raw data Crude oil'!F1056</f>
        <v>55.13</v>
      </c>
      <c r="G1055">
        <f>'raw data Crude oil'!G1056</f>
        <v>54.81</v>
      </c>
      <c r="H1055">
        <f>'raw data Crude oil'!H1056</f>
        <v>54.49</v>
      </c>
      <c r="I1055">
        <f>'raw data Crude oil'!I1056</f>
        <v>54.19</v>
      </c>
      <c r="J1055">
        <f>'raw data Crude oil'!J1056</f>
        <v>53.92</v>
      </c>
      <c r="K1055">
        <f>'raw data Crude oil'!K1056</f>
        <v>53.66</v>
      </c>
      <c r="L1055">
        <f>'raw data Crude oil'!L1056</f>
        <v>53.44</v>
      </c>
      <c r="M1055">
        <f>'raw data Crude oil'!M1056</f>
        <v>53.26</v>
      </c>
      <c r="N1055">
        <f>'raw data Crude oil'!N1056</f>
        <v>53.55</v>
      </c>
      <c r="O1055">
        <f>'raw data Crude oil'!O1056</f>
        <v>53.42</v>
      </c>
      <c r="P1055">
        <f>'raw data Crude oil'!P1056</f>
        <v>53.19</v>
      </c>
      <c r="Q1055">
        <f>'raw data Crude oil'!Q1056</f>
        <v>52.9</v>
      </c>
      <c r="R1055">
        <f>'raw data Crude oil'!R1056</f>
        <v>52.57</v>
      </c>
      <c r="S1055">
        <f>'raw data Crude oil'!S1056</f>
        <v>52.22</v>
      </c>
      <c r="T1055">
        <f>'raw data Crude oil'!T1056</f>
        <v>51.87</v>
      </c>
      <c r="U1055">
        <f>'raw data Crude oil'!U1056</f>
        <v>51.51</v>
      </c>
      <c r="V1055">
        <f>'raw data Crude oil'!V1056</f>
        <v>51.18</v>
      </c>
      <c r="W1055">
        <f>'raw data Crude oil'!W1056</f>
        <v>50.86</v>
      </c>
      <c r="X1055">
        <f>'raw data Crude oil'!X1056</f>
        <v>50.54</v>
      </c>
      <c r="Y1055">
        <f>'raw data Crude oil'!Y1056</f>
        <v>50.26</v>
      </c>
      <c r="Z1055">
        <f>'raw data Crude oil'!Z1056</f>
        <v>54.771999999999998</v>
      </c>
      <c r="AA1055">
        <f>'raw data Crude oil'!AA1056</f>
        <v>55.658000000000001</v>
      </c>
      <c r="AB1055">
        <f>'raw data Crude oil'!AB1056</f>
        <v>55.517000000000003</v>
      </c>
      <c r="AC1055">
        <f>'raw data Crude oil'!AC1056</f>
        <v>55.203000000000003</v>
      </c>
      <c r="AD1055">
        <f>'raw data Crude oil'!AD1056</f>
        <v>54.819000000000003</v>
      </c>
      <c r="AE1055">
        <f>'raw data Crude oil'!AE1056</f>
        <v>54.405000000000001</v>
      </c>
      <c r="AF1055">
        <f>'raw data Crude oil'!AF1056</f>
        <v>53.994999999999997</v>
      </c>
      <c r="AG1055">
        <f>'raw data Crude oil'!AG1056</f>
        <v>53.595999999999997</v>
      </c>
      <c r="AH1055">
        <f>'raw data Crude oil'!AH1056</f>
        <v>53.207999999999998</v>
      </c>
      <c r="AI1055">
        <f>'raw data Crude oil'!AI1056</f>
        <v>52.847999999999999</v>
      </c>
      <c r="AJ1055">
        <f>'raw data Crude oil'!AJ1056</f>
        <v>52.53</v>
      </c>
      <c r="AK1055">
        <f>'raw data Crude oil'!AK1056</f>
        <v>52.234000000000002</v>
      </c>
    </row>
    <row r="1056" spans="1:37" x14ac:dyDescent="0.3">
      <c r="A1056" s="18">
        <f>'raw data Crude oil'!A1057</f>
        <v>44229</v>
      </c>
      <c r="B1056">
        <f>'raw data Crude oil'!B1057</f>
        <v>57.46</v>
      </c>
      <c r="C1056">
        <f>'raw data Crude oil'!C1057</f>
        <v>57.2</v>
      </c>
      <c r="D1056">
        <f>'raw data Crude oil'!D1057</f>
        <v>56.88</v>
      </c>
      <c r="E1056">
        <f>'raw data Crude oil'!E1057</f>
        <v>56.5</v>
      </c>
      <c r="F1056">
        <f>'raw data Crude oil'!F1057</f>
        <v>56.14</v>
      </c>
      <c r="G1056">
        <f>'raw data Crude oil'!G1057</f>
        <v>55.79</v>
      </c>
      <c r="H1056">
        <f>'raw data Crude oil'!H1057</f>
        <v>55.44</v>
      </c>
      <c r="I1056">
        <f>'raw data Crude oil'!I1057</f>
        <v>55.11</v>
      </c>
      <c r="J1056">
        <f>'raw data Crude oil'!J1057</f>
        <v>54.8</v>
      </c>
      <c r="K1056">
        <f>'raw data Crude oil'!K1057</f>
        <v>54.52</v>
      </c>
      <c r="L1056">
        <f>'raw data Crude oil'!L1057</f>
        <v>54.26</v>
      </c>
      <c r="M1056">
        <f>'raw data Crude oil'!M1057</f>
        <v>54.05</v>
      </c>
      <c r="N1056">
        <f>'raw data Crude oil'!N1057</f>
        <v>54.76</v>
      </c>
      <c r="O1056">
        <f>'raw data Crude oil'!O1057</f>
        <v>54.62</v>
      </c>
      <c r="P1056">
        <f>'raw data Crude oil'!P1057</f>
        <v>54.36</v>
      </c>
      <c r="Q1056">
        <f>'raw data Crude oil'!Q1057</f>
        <v>54.01</v>
      </c>
      <c r="R1056">
        <f>'raw data Crude oil'!R1057</f>
        <v>53.62</v>
      </c>
      <c r="S1056">
        <f>'raw data Crude oil'!S1057</f>
        <v>53.22</v>
      </c>
      <c r="T1056">
        <f>'raw data Crude oil'!T1057</f>
        <v>52.84</v>
      </c>
      <c r="U1056">
        <f>'raw data Crude oil'!U1057</f>
        <v>52.46</v>
      </c>
      <c r="V1056">
        <f>'raw data Crude oil'!V1057</f>
        <v>52.1</v>
      </c>
      <c r="W1056">
        <f>'raw data Crude oil'!W1057</f>
        <v>51.77</v>
      </c>
      <c r="X1056">
        <f>'raw data Crude oil'!X1057</f>
        <v>51.44</v>
      </c>
      <c r="Y1056">
        <f>'raw data Crude oil'!Y1057</f>
        <v>51.14</v>
      </c>
      <c r="Z1056">
        <f>'raw data Crude oil'!Z1057</f>
        <v>56.73</v>
      </c>
      <c r="AA1056">
        <f>'raw data Crude oil'!AA1057</f>
        <v>56.676000000000002</v>
      </c>
      <c r="AB1056">
        <f>'raw data Crude oil'!AB1057</f>
        <v>56.311999999999998</v>
      </c>
      <c r="AC1056">
        <f>'raw data Crude oil'!AC1057</f>
        <v>55.866</v>
      </c>
      <c r="AD1056">
        <f>'raw data Crude oil'!AD1057</f>
        <v>55.433999999999997</v>
      </c>
      <c r="AE1056">
        <f>'raw data Crude oil'!AE1057</f>
        <v>54.994</v>
      </c>
      <c r="AF1056">
        <f>'raw data Crude oil'!AF1057</f>
        <v>54.604999999999997</v>
      </c>
      <c r="AG1056">
        <f>'raw data Crude oil'!AG1057</f>
        <v>54.186</v>
      </c>
      <c r="AH1056">
        <f>'raw data Crude oil'!AH1057</f>
        <v>53.767000000000003</v>
      </c>
      <c r="AI1056">
        <f>'raw data Crude oil'!AI1057</f>
        <v>53.427999999999997</v>
      </c>
      <c r="AJ1056">
        <f>'raw data Crude oil'!AJ1057</f>
        <v>53.091999999999999</v>
      </c>
      <c r="AK1056">
        <f>'raw data Crude oil'!AK1057</f>
        <v>52.87</v>
      </c>
    </row>
    <row r="1057" spans="1:37" x14ac:dyDescent="0.3">
      <c r="A1057" s="18">
        <f>'raw data Crude oil'!A1058</f>
        <v>44230</v>
      </c>
      <c r="B1057">
        <f>'raw data Crude oil'!B1058</f>
        <v>58.46</v>
      </c>
      <c r="C1057">
        <f>'raw data Crude oil'!C1058</f>
        <v>58.17</v>
      </c>
      <c r="D1057">
        <f>'raw data Crude oil'!D1058</f>
        <v>57.82</v>
      </c>
      <c r="E1057">
        <f>'raw data Crude oil'!E1058</f>
        <v>57.41</v>
      </c>
      <c r="F1057">
        <f>'raw data Crude oil'!F1058</f>
        <v>57.02</v>
      </c>
      <c r="G1057">
        <f>'raw data Crude oil'!G1058</f>
        <v>56.62</v>
      </c>
      <c r="H1057">
        <f>'raw data Crude oil'!H1058</f>
        <v>56.22</v>
      </c>
      <c r="I1057">
        <f>'raw data Crude oil'!I1058</f>
        <v>55.85</v>
      </c>
      <c r="J1057">
        <f>'raw data Crude oil'!J1058</f>
        <v>55.51</v>
      </c>
      <c r="K1057">
        <f>'raw data Crude oil'!K1058</f>
        <v>55.19</v>
      </c>
      <c r="L1057">
        <f>'raw data Crude oil'!L1058</f>
        <v>54.9</v>
      </c>
      <c r="M1057">
        <f>'raw data Crude oil'!M1058</f>
        <v>54.66</v>
      </c>
      <c r="N1057">
        <f>'raw data Crude oil'!N1058</f>
        <v>55.69</v>
      </c>
      <c r="O1057">
        <f>'raw data Crude oil'!O1058</f>
        <v>55.54</v>
      </c>
      <c r="P1057">
        <f>'raw data Crude oil'!P1058</f>
        <v>55.28</v>
      </c>
      <c r="Q1057">
        <f>'raw data Crude oil'!Q1058</f>
        <v>54.92</v>
      </c>
      <c r="R1057">
        <f>'raw data Crude oil'!R1058</f>
        <v>54.5</v>
      </c>
      <c r="S1057">
        <f>'raw data Crude oil'!S1058</f>
        <v>54.06</v>
      </c>
      <c r="T1057">
        <f>'raw data Crude oil'!T1058</f>
        <v>53.63</v>
      </c>
      <c r="U1057">
        <f>'raw data Crude oil'!U1058</f>
        <v>53.22</v>
      </c>
      <c r="V1057">
        <f>'raw data Crude oil'!V1058</f>
        <v>52.83</v>
      </c>
      <c r="W1057">
        <f>'raw data Crude oil'!W1058</f>
        <v>52.46</v>
      </c>
      <c r="X1057">
        <f>'raw data Crude oil'!X1058</f>
        <v>52.11</v>
      </c>
      <c r="Y1057">
        <f>'raw data Crude oil'!Y1058</f>
        <v>51.77</v>
      </c>
      <c r="Z1057">
        <f>'raw data Crude oil'!Z1058</f>
        <v>57.646000000000001</v>
      </c>
      <c r="AA1057">
        <f>'raw data Crude oil'!AA1058</f>
        <v>57.575000000000003</v>
      </c>
      <c r="AB1057">
        <f>'raw data Crude oil'!AB1058</f>
        <v>57.21</v>
      </c>
      <c r="AC1057">
        <f>'raw data Crude oil'!AC1058</f>
        <v>56.762999999999998</v>
      </c>
      <c r="AD1057">
        <f>'raw data Crude oil'!AD1058</f>
        <v>56.302</v>
      </c>
      <c r="AE1057">
        <f>'raw data Crude oil'!AE1058</f>
        <v>55.832000000000001</v>
      </c>
      <c r="AF1057">
        <f>'raw data Crude oil'!AF1058</f>
        <v>55.383000000000003</v>
      </c>
      <c r="AG1057">
        <f>'raw data Crude oil'!AG1058</f>
        <v>54.935000000000002</v>
      </c>
      <c r="AH1057">
        <f>'raw data Crude oil'!AH1058</f>
        <v>54.484999999999999</v>
      </c>
      <c r="AI1057">
        <f>'raw data Crude oil'!AI1058</f>
        <v>54.057000000000002</v>
      </c>
      <c r="AJ1057">
        <f>'raw data Crude oil'!AJ1058</f>
        <v>53.679000000000002</v>
      </c>
      <c r="AK1057">
        <f>'raw data Crude oil'!AK1058</f>
        <v>53.47</v>
      </c>
    </row>
    <row r="1058" spans="1:37" x14ac:dyDescent="0.3">
      <c r="A1058" s="18">
        <f>'raw data Crude oil'!A1059</f>
        <v>44231</v>
      </c>
      <c r="B1058">
        <f>'raw data Crude oil'!B1059</f>
        <v>58.84</v>
      </c>
      <c r="C1058">
        <f>'raw data Crude oil'!C1059</f>
        <v>58.57</v>
      </c>
      <c r="D1058">
        <f>'raw data Crude oil'!D1059</f>
        <v>58.21</v>
      </c>
      <c r="E1058">
        <f>'raw data Crude oil'!E1059</f>
        <v>57.78</v>
      </c>
      <c r="F1058">
        <f>'raw data Crude oil'!F1059</f>
        <v>57.38</v>
      </c>
      <c r="G1058">
        <f>'raw data Crude oil'!G1059</f>
        <v>56.97</v>
      </c>
      <c r="H1058">
        <f>'raw data Crude oil'!H1059</f>
        <v>56.56</v>
      </c>
      <c r="I1058">
        <f>'raw data Crude oil'!I1059</f>
        <v>56.18</v>
      </c>
      <c r="J1058">
        <f>'raw data Crude oil'!J1059</f>
        <v>55.83</v>
      </c>
      <c r="K1058">
        <f>'raw data Crude oil'!K1059</f>
        <v>55.49</v>
      </c>
      <c r="L1058">
        <f>'raw data Crude oil'!L1059</f>
        <v>55.2</v>
      </c>
      <c r="M1058">
        <f>'raw data Crude oil'!M1059</f>
        <v>54.96</v>
      </c>
      <c r="N1058">
        <f>'raw data Crude oil'!N1059</f>
        <v>56.23</v>
      </c>
      <c r="O1058">
        <f>'raw data Crude oil'!O1059</f>
        <v>56.07</v>
      </c>
      <c r="P1058">
        <f>'raw data Crude oil'!P1059</f>
        <v>55.8</v>
      </c>
      <c r="Q1058">
        <f>'raw data Crude oil'!Q1059</f>
        <v>55.42</v>
      </c>
      <c r="R1058">
        <f>'raw data Crude oil'!R1059</f>
        <v>54.98</v>
      </c>
      <c r="S1058">
        <f>'raw data Crude oil'!S1059</f>
        <v>54.51</v>
      </c>
      <c r="T1058">
        <f>'raw data Crude oil'!T1059</f>
        <v>54.04</v>
      </c>
      <c r="U1058">
        <f>'raw data Crude oil'!U1059</f>
        <v>53.6</v>
      </c>
      <c r="V1058">
        <f>'raw data Crude oil'!V1059</f>
        <v>53.19</v>
      </c>
      <c r="W1058">
        <f>'raw data Crude oil'!W1059</f>
        <v>52.81</v>
      </c>
      <c r="X1058">
        <f>'raw data Crude oil'!X1059</f>
        <v>52.46</v>
      </c>
      <c r="Y1058">
        <f>'raw data Crude oil'!Y1059</f>
        <v>52.12</v>
      </c>
      <c r="Z1058">
        <f>'raw data Crude oil'!Z1059</f>
        <v>57.968000000000004</v>
      </c>
      <c r="AA1058">
        <f>'raw data Crude oil'!AA1059</f>
        <v>57.973999999999997</v>
      </c>
      <c r="AB1058">
        <f>'raw data Crude oil'!AB1059</f>
        <v>57.59</v>
      </c>
      <c r="AC1058">
        <f>'raw data Crude oil'!AC1059</f>
        <v>57.131999999999998</v>
      </c>
      <c r="AD1058">
        <f>'raw data Crude oil'!AD1059</f>
        <v>56.651000000000003</v>
      </c>
      <c r="AE1058">
        <f>'raw data Crude oil'!AE1059</f>
        <v>56.180999999999997</v>
      </c>
      <c r="AF1058">
        <f>'raw data Crude oil'!AF1059</f>
        <v>55.713000000000001</v>
      </c>
      <c r="AG1058">
        <f>'raw data Crude oil'!AG1059</f>
        <v>55.264000000000003</v>
      </c>
      <c r="AH1058">
        <f>'raw data Crude oil'!AH1059</f>
        <v>54.783999999999999</v>
      </c>
      <c r="AI1058">
        <f>'raw data Crude oil'!AI1059</f>
        <v>54.356999999999999</v>
      </c>
      <c r="AJ1058">
        <f>'raw data Crude oil'!AJ1059</f>
        <v>53.978999999999999</v>
      </c>
      <c r="AK1058">
        <f>'raw data Crude oil'!AK1059</f>
        <v>53.779000000000003</v>
      </c>
    </row>
    <row r="1059" spans="1:37" x14ac:dyDescent="0.3">
      <c r="A1059" s="18">
        <f>'raw data Crude oil'!A1060</f>
        <v>44232</v>
      </c>
      <c r="B1059">
        <f>'raw data Crude oil'!B1060</f>
        <v>59.34</v>
      </c>
      <c r="C1059">
        <f>'raw data Crude oil'!C1060</f>
        <v>59.08</v>
      </c>
      <c r="D1059">
        <f>'raw data Crude oil'!D1060</f>
        <v>58.72</v>
      </c>
      <c r="E1059">
        <f>'raw data Crude oil'!E1060</f>
        <v>58.28</v>
      </c>
      <c r="F1059">
        <f>'raw data Crude oil'!F1060</f>
        <v>57.87</v>
      </c>
      <c r="G1059">
        <f>'raw data Crude oil'!G1060</f>
        <v>57.44</v>
      </c>
      <c r="H1059">
        <f>'raw data Crude oil'!H1060</f>
        <v>57.01</v>
      </c>
      <c r="I1059">
        <f>'raw data Crude oil'!I1060</f>
        <v>56.62</v>
      </c>
      <c r="J1059">
        <f>'raw data Crude oil'!J1060</f>
        <v>56.27</v>
      </c>
      <c r="K1059">
        <f>'raw data Crude oil'!K1060</f>
        <v>55.93</v>
      </c>
      <c r="L1059">
        <f>'raw data Crude oil'!L1060</f>
        <v>55.61</v>
      </c>
      <c r="M1059">
        <f>'raw data Crude oil'!M1060</f>
        <v>55.36</v>
      </c>
      <c r="N1059">
        <f>'raw data Crude oil'!N1060</f>
        <v>56.85</v>
      </c>
      <c r="O1059">
        <f>'raw data Crude oil'!O1060</f>
        <v>56.7</v>
      </c>
      <c r="P1059">
        <f>'raw data Crude oil'!P1060</f>
        <v>56.4</v>
      </c>
      <c r="Q1059">
        <f>'raw data Crude oil'!Q1060</f>
        <v>56.01</v>
      </c>
      <c r="R1059">
        <f>'raw data Crude oil'!R1060</f>
        <v>55.56</v>
      </c>
      <c r="S1059">
        <f>'raw data Crude oil'!S1060</f>
        <v>55.07</v>
      </c>
      <c r="T1059">
        <f>'raw data Crude oil'!T1060</f>
        <v>54.58</v>
      </c>
      <c r="U1059">
        <f>'raw data Crude oil'!U1060</f>
        <v>54.1</v>
      </c>
      <c r="V1059">
        <f>'raw data Crude oil'!V1060</f>
        <v>53.67</v>
      </c>
      <c r="W1059">
        <f>'raw data Crude oil'!W1060</f>
        <v>53.27</v>
      </c>
      <c r="X1059">
        <f>'raw data Crude oil'!X1060</f>
        <v>52.89</v>
      </c>
      <c r="Y1059">
        <f>'raw data Crude oil'!Y1060</f>
        <v>52.52</v>
      </c>
      <c r="Z1059">
        <f>'raw data Crude oil'!Z1060</f>
        <v>58.459000000000003</v>
      </c>
      <c r="AA1059">
        <f>'raw data Crude oil'!AA1060</f>
        <v>58.573999999999998</v>
      </c>
      <c r="AB1059">
        <f>'raw data Crude oil'!AB1060</f>
        <v>58.168999999999997</v>
      </c>
      <c r="AC1059">
        <f>'raw data Crude oil'!AC1060</f>
        <v>57.680999999999997</v>
      </c>
      <c r="AD1059">
        <f>'raw data Crude oil'!AD1060</f>
        <v>57.19</v>
      </c>
      <c r="AE1059">
        <f>'raw data Crude oil'!AE1060</f>
        <v>56.69</v>
      </c>
      <c r="AF1059">
        <f>'raw data Crude oil'!AF1060</f>
        <v>56.201999999999998</v>
      </c>
      <c r="AG1059">
        <f>'raw data Crude oil'!AG1060</f>
        <v>55.723999999999997</v>
      </c>
      <c r="AH1059">
        <f>'raw data Crude oil'!AH1060</f>
        <v>55.253999999999998</v>
      </c>
      <c r="AI1059">
        <f>'raw data Crude oil'!AI1060</f>
        <v>54.795000000000002</v>
      </c>
      <c r="AJ1059">
        <f>'raw data Crude oil'!AJ1060</f>
        <v>54.368000000000002</v>
      </c>
      <c r="AK1059">
        <f>'raw data Crude oil'!AK1060</f>
        <v>54.189</v>
      </c>
    </row>
    <row r="1060" spans="1:37" x14ac:dyDescent="0.3">
      <c r="A1060" s="18">
        <f>'raw data Crude oil'!A1061</f>
        <v>44235</v>
      </c>
      <c r="B1060">
        <f>'raw data Crude oil'!B1061</f>
        <v>60.56</v>
      </c>
      <c r="C1060">
        <f>'raw data Crude oil'!C1061</f>
        <v>60.27</v>
      </c>
      <c r="D1060">
        <f>'raw data Crude oil'!D1061</f>
        <v>59.87</v>
      </c>
      <c r="E1060">
        <f>'raw data Crude oil'!E1061</f>
        <v>59.42</v>
      </c>
      <c r="F1060">
        <f>'raw data Crude oil'!F1061</f>
        <v>59</v>
      </c>
      <c r="G1060">
        <f>'raw data Crude oil'!G1061</f>
        <v>58.55</v>
      </c>
      <c r="H1060">
        <f>'raw data Crude oil'!H1061</f>
        <v>58.11</v>
      </c>
      <c r="I1060">
        <f>'raw data Crude oil'!I1061</f>
        <v>57.72</v>
      </c>
      <c r="J1060">
        <f>'raw data Crude oil'!J1061</f>
        <v>57.36</v>
      </c>
      <c r="K1060">
        <f>'raw data Crude oil'!K1061</f>
        <v>57.01</v>
      </c>
      <c r="L1060">
        <f>'raw data Crude oil'!L1061</f>
        <v>56.69</v>
      </c>
      <c r="M1060">
        <f>'raw data Crude oil'!M1061</f>
        <v>56.41</v>
      </c>
      <c r="N1060">
        <f>'raw data Crude oil'!N1061</f>
        <v>57.97</v>
      </c>
      <c r="O1060">
        <f>'raw data Crude oil'!O1061</f>
        <v>57.83</v>
      </c>
      <c r="P1060">
        <f>'raw data Crude oil'!P1061</f>
        <v>57.55</v>
      </c>
      <c r="Q1060">
        <f>'raw data Crude oil'!Q1061</f>
        <v>57.15</v>
      </c>
      <c r="R1060">
        <f>'raw data Crude oil'!R1061</f>
        <v>56.68</v>
      </c>
      <c r="S1060">
        <f>'raw data Crude oil'!S1061</f>
        <v>56.15</v>
      </c>
      <c r="T1060">
        <f>'raw data Crude oil'!T1061</f>
        <v>55.61</v>
      </c>
      <c r="U1060">
        <f>'raw data Crude oil'!U1061</f>
        <v>55.1</v>
      </c>
      <c r="V1060">
        <f>'raw data Crude oil'!V1061</f>
        <v>54.64</v>
      </c>
      <c r="W1060">
        <f>'raw data Crude oil'!W1061</f>
        <v>54.23</v>
      </c>
      <c r="X1060">
        <f>'raw data Crude oil'!X1061</f>
        <v>53.82</v>
      </c>
      <c r="Y1060">
        <f>'raw data Crude oil'!Y1061</f>
        <v>53.43</v>
      </c>
      <c r="Z1060">
        <f>'raw data Crude oil'!Z1061</f>
        <v>59.332000000000001</v>
      </c>
      <c r="AA1060">
        <f>'raw data Crude oil'!AA1061</f>
        <v>59.773000000000003</v>
      </c>
      <c r="AB1060">
        <f>'raw data Crude oil'!AB1061</f>
        <v>59.338999999999999</v>
      </c>
      <c r="AC1060">
        <f>'raw data Crude oil'!AC1061</f>
        <v>58.82</v>
      </c>
      <c r="AD1060">
        <f>'raw data Crude oil'!AD1061</f>
        <v>58.31</v>
      </c>
      <c r="AE1060">
        <f>'raw data Crude oil'!AE1061</f>
        <v>57.8</v>
      </c>
      <c r="AF1060">
        <f>'raw data Crude oil'!AF1061</f>
        <v>57.311999999999998</v>
      </c>
      <c r="AG1060">
        <f>'raw data Crude oil'!AG1061</f>
        <v>56.823999999999998</v>
      </c>
      <c r="AH1060">
        <f>'raw data Crude oil'!AH1061</f>
        <v>56.353000000000002</v>
      </c>
      <c r="AI1060">
        <f>'raw data Crude oil'!AI1061</f>
        <v>55.895000000000003</v>
      </c>
      <c r="AJ1060">
        <f>'raw data Crude oil'!AJ1061</f>
        <v>55.485999999999997</v>
      </c>
      <c r="AK1060">
        <f>'raw data Crude oil'!AK1061</f>
        <v>55.238</v>
      </c>
    </row>
    <row r="1061" spans="1:37" x14ac:dyDescent="0.3">
      <c r="A1061" s="18">
        <f>'raw data Crude oil'!A1062</f>
        <v>44236</v>
      </c>
      <c r="B1061">
        <f>'raw data Crude oil'!B1062</f>
        <v>61.09</v>
      </c>
      <c r="C1061">
        <f>'raw data Crude oil'!C1062</f>
        <v>60.71</v>
      </c>
      <c r="D1061">
        <f>'raw data Crude oil'!D1062</f>
        <v>60.26</v>
      </c>
      <c r="E1061">
        <f>'raw data Crude oil'!E1062</f>
        <v>59.78</v>
      </c>
      <c r="F1061">
        <f>'raw data Crude oil'!F1062</f>
        <v>59.34</v>
      </c>
      <c r="G1061">
        <f>'raw data Crude oil'!G1062</f>
        <v>58.9</v>
      </c>
      <c r="H1061">
        <f>'raw data Crude oil'!H1062</f>
        <v>58.46</v>
      </c>
      <c r="I1061">
        <f>'raw data Crude oil'!I1062</f>
        <v>58.06</v>
      </c>
      <c r="J1061">
        <f>'raw data Crude oil'!J1062</f>
        <v>57.7</v>
      </c>
      <c r="K1061">
        <f>'raw data Crude oil'!K1062</f>
        <v>57.36</v>
      </c>
      <c r="L1061">
        <f>'raw data Crude oil'!L1062</f>
        <v>57.03</v>
      </c>
      <c r="M1061">
        <f>'raw data Crude oil'!M1062</f>
        <v>56.76</v>
      </c>
      <c r="N1061">
        <f>'raw data Crude oil'!N1062</f>
        <v>58.36</v>
      </c>
      <c r="O1061">
        <f>'raw data Crude oil'!O1062</f>
        <v>58.25</v>
      </c>
      <c r="P1061">
        <f>'raw data Crude oil'!P1062</f>
        <v>57.97</v>
      </c>
      <c r="Q1061">
        <f>'raw data Crude oil'!Q1062</f>
        <v>57.56</v>
      </c>
      <c r="R1061">
        <f>'raw data Crude oil'!R1062</f>
        <v>57.06</v>
      </c>
      <c r="S1061">
        <f>'raw data Crude oil'!S1062</f>
        <v>56.53</v>
      </c>
      <c r="T1061">
        <f>'raw data Crude oil'!T1062</f>
        <v>55.97</v>
      </c>
      <c r="U1061">
        <f>'raw data Crude oil'!U1062</f>
        <v>55.44</v>
      </c>
      <c r="V1061">
        <f>'raw data Crude oil'!V1062</f>
        <v>54.96</v>
      </c>
      <c r="W1061">
        <f>'raw data Crude oil'!W1062</f>
        <v>54.52</v>
      </c>
      <c r="X1061">
        <f>'raw data Crude oil'!X1062</f>
        <v>54.1</v>
      </c>
      <c r="Y1061">
        <f>'raw data Crude oil'!Y1062</f>
        <v>53.7</v>
      </c>
      <c r="Z1061">
        <f>'raw data Crude oil'!Z1062</f>
        <v>59.533000000000001</v>
      </c>
      <c r="AA1061">
        <f>'raw data Crude oil'!AA1062</f>
        <v>60.09</v>
      </c>
      <c r="AB1061">
        <f>'raw data Crude oil'!AB1062</f>
        <v>59.656999999999996</v>
      </c>
      <c r="AC1061">
        <f>'raw data Crude oil'!AC1062</f>
        <v>59.148000000000003</v>
      </c>
      <c r="AD1061">
        <f>'raw data Crude oil'!AD1062</f>
        <v>58.64</v>
      </c>
      <c r="AE1061">
        <f>'raw data Crude oil'!AE1062</f>
        <v>58.14</v>
      </c>
      <c r="AF1061">
        <f>'raw data Crude oil'!AF1062</f>
        <v>57.652000000000001</v>
      </c>
      <c r="AG1061">
        <f>'raw data Crude oil'!AG1062</f>
        <v>57.173999999999999</v>
      </c>
      <c r="AH1061">
        <f>'raw data Crude oil'!AH1062</f>
        <v>56.723999999999997</v>
      </c>
      <c r="AI1061">
        <f>'raw data Crude oil'!AI1062</f>
        <v>56.274999999999999</v>
      </c>
      <c r="AJ1061">
        <f>'raw data Crude oil'!AJ1062</f>
        <v>55.847000000000001</v>
      </c>
      <c r="AK1061">
        <f>'raw data Crude oil'!AK1062</f>
        <v>55.597999999999999</v>
      </c>
    </row>
    <row r="1062" spans="1:37" x14ac:dyDescent="0.3">
      <c r="A1062" s="18">
        <f>'raw data Crude oil'!A1063</f>
        <v>44237</v>
      </c>
      <c r="B1062">
        <f>'raw data Crude oil'!B1063</f>
        <v>61.47</v>
      </c>
      <c r="C1062">
        <f>'raw data Crude oil'!C1063</f>
        <v>61.07</v>
      </c>
      <c r="D1062">
        <f>'raw data Crude oil'!D1063</f>
        <v>60.6</v>
      </c>
      <c r="E1062">
        <f>'raw data Crude oil'!E1063</f>
        <v>60.1</v>
      </c>
      <c r="F1062">
        <f>'raw data Crude oil'!F1063</f>
        <v>59.64</v>
      </c>
      <c r="G1062">
        <f>'raw data Crude oil'!G1063</f>
        <v>59.18</v>
      </c>
      <c r="H1062">
        <f>'raw data Crude oil'!H1063</f>
        <v>58.73</v>
      </c>
      <c r="I1062">
        <f>'raw data Crude oil'!I1063</f>
        <v>58.32</v>
      </c>
      <c r="J1062">
        <f>'raw data Crude oil'!J1063</f>
        <v>57.95</v>
      </c>
      <c r="K1062">
        <f>'raw data Crude oil'!K1063</f>
        <v>57.6</v>
      </c>
      <c r="L1062">
        <f>'raw data Crude oil'!L1063</f>
        <v>57.28</v>
      </c>
      <c r="M1062">
        <f>'raw data Crude oil'!M1063</f>
        <v>57</v>
      </c>
      <c r="N1062">
        <f>'raw data Crude oil'!N1063</f>
        <v>58.68</v>
      </c>
      <c r="O1062">
        <f>'raw data Crude oil'!O1063</f>
        <v>58.57</v>
      </c>
      <c r="P1062">
        <f>'raw data Crude oil'!P1063</f>
        <v>58.31</v>
      </c>
      <c r="Q1062">
        <f>'raw data Crude oil'!Q1063</f>
        <v>57.91</v>
      </c>
      <c r="R1062">
        <f>'raw data Crude oil'!R1063</f>
        <v>57.42</v>
      </c>
      <c r="S1062">
        <f>'raw data Crude oil'!S1063</f>
        <v>56.86</v>
      </c>
      <c r="T1062">
        <f>'raw data Crude oil'!T1063</f>
        <v>56.28</v>
      </c>
      <c r="U1062">
        <f>'raw data Crude oil'!U1063</f>
        <v>55.73</v>
      </c>
      <c r="V1062">
        <f>'raw data Crude oil'!V1063</f>
        <v>55.24</v>
      </c>
      <c r="W1062">
        <f>'raw data Crude oil'!W1063</f>
        <v>54.79</v>
      </c>
      <c r="X1062">
        <f>'raw data Crude oil'!X1063</f>
        <v>54.35</v>
      </c>
      <c r="Y1062">
        <f>'raw data Crude oil'!Y1063</f>
        <v>53.95</v>
      </c>
      <c r="Z1062">
        <f>'raw data Crude oil'!Z1063</f>
        <v>59.706000000000003</v>
      </c>
      <c r="AA1062">
        <f>'raw data Crude oil'!AA1063</f>
        <v>60.37</v>
      </c>
      <c r="AB1062">
        <f>'raw data Crude oil'!AB1063</f>
        <v>59.975999999999999</v>
      </c>
      <c r="AC1062">
        <f>'raw data Crude oil'!AC1063</f>
        <v>59.466000000000001</v>
      </c>
      <c r="AD1062">
        <f>'raw data Crude oil'!AD1063</f>
        <v>58.948999999999998</v>
      </c>
      <c r="AE1062">
        <f>'raw data Crude oil'!AE1063</f>
        <v>58.43</v>
      </c>
      <c r="AF1062">
        <f>'raw data Crude oil'!AF1063</f>
        <v>57.920999999999999</v>
      </c>
      <c r="AG1062">
        <f>'raw data Crude oil'!AG1063</f>
        <v>57.433</v>
      </c>
      <c r="AH1062">
        <f>'raw data Crude oil'!AH1063</f>
        <v>56.963000000000001</v>
      </c>
      <c r="AI1062">
        <f>'raw data Crude oil'!AI1063</f>
        <v>56.505000000000003</v>
      </c>
      <c r="AJ1062">
        <f>'raw data Crude oil'!AJ1063</f>
        <v>56.066000000000003</v>
      </c>
      <c r="AK1062">
        <f>'raw data Crude oil'!AK1063</f>
        <v>55.817999999999998</v>
      </c>
    </row>
    <row r="1063" spans="1:37" x14ac:dyDescent="0.3">
      <c r="A1063" s="18">
        <f>'raw data Crude oil'!A1064</f>
        <v>44238</v>
      </c>
      <c r="B1063">
        <f>'raw data Crude oil'!B1064</f>
        <v>61.14</v>
      </c>
      <c r="C1063">
        <f>'raw data Crude oil'!C1064</f>
        <v>60.71</v>
      </c>
      <c r="D1063">
        <f>'raw data Crude oil'!D1064</f>
        <v>60.23</v>
      </c>
      <c r="E1063">
        <f>'raw data Crude oil'!E1064</f>
        <v>59.73</v>
      </c>
      <c r="F1063">
        <f>'raw data Crude oil'!F1064</f>
        <v>59.29</v>
      </c>
      <c r="G1063">
        <f>'raw data Crude oil'!G1064</f>
        <v>58.84</v>
      </c>
      <c r="H1063">
        <f>'raw data Crude oil'!H1064</f>
        <v>58.4</v>
      </c>
      <c r="I1063">
        <f>'raw data Crude oil'!I1064</f>
        <v>58</v>
      </c>
      <c r="J1063">
        <f>'raw data Crude oil'!J1064</f>
        <v>57.64</v>
      </c>
      <c r="K1063">
        <f>'raw data Crude oil'!K1064</f>
        <v>57.3</v>
      </c>
      <c r="L1063">
        <f>'raw data Crude oil'!L1064</f>
        <v>56.98</v>
      </c>
      <c r="M1063">
        <f>'raw data Crude oil'!M1064</f>
        <v>56.71</v>
      </c>
      <c r="N1063">
        <f>'raw data Crude oil'!N1064</f>
        <v>58.24</v>
      </c>
      <c r="O1063">
        <f>'raw data Crude oil'!O1064</f>
        <v>58.14</v>
      </c>
      <c r="P1063">
        <f>'raw data Crude oil'!P1064</f>
        <v>57.88</v>
      </c>
      <c r="Q1063">
        <f>'raw data Crude oil'!Q1064</f>
        <v>57.49</v>
      </c>
      <c r="R1063">
        <f>'raw data Crude oil'!R1064</f>
        <v>57.01</v>
      </c>
      <c r="S1063">
        <f>'raw data Crude oil'!S1064</f>
        <v>56.48</v>
      </c>
      <c r="T1063">
        <f>'raw data Crude oil'!T1064</f>
        <v>55.93</v>
      </c>
      <c r="U1063">
        <f>'raw data Crude oil'!U1064</f>
        <v>55.4</v>
      </c>
      <c r="V1063">
        <f>'raw data Crude oil'!V1064</f>
        <v>54.93</v>
      </c>
      <c r="W1063">
        <f>'raw data Crude oil'!W1064</f>
        <v>54.49</v>
      </c>
      <c r="X1063">
        <f>'raw data Crude oil'!X1064</f>
        <v>54.07</v>
      </c>
      <c r="Y1063">
        <f>'raw data Crude oil'!Y1064</f>
        <v>53.68</v>
      </c>
      <c r="Z1063">
        <f>'raw data Crude oil'!Z1064</f>
        <v>59.548999999999999</v>
      </c>
      <c r="AA1063">
        <f>'raw data Crude oil'!AA1064</f>
        <v>60.088999999999999</v>
      </c>
      <c r="AB1063">
        <f>'raw data Crude oil'!AB1064</f>
        <v>59.655999999999999</v>
      </c>
      <c r="AC1063">
        <f>'raw data Crude oil'!AC1064</f>
        <v>59.107999999999997</v>
      </c>
      <c r="AD1063">
        <f>'raw data Crude oil'!AD1064</f>
        <v>58.6</v>
      </c>
      <c r="AE1063">
        <f>'raw data Crude oil'!AE1064</f>
        <v>58.08</v>
      </c>
      <c r="AF1063">
        <f>'raw data Crude oil'!AF1064</f>
        <v>57.582000000000001</v>
      </c>
      <c r="AG1063">
        <f>'raw data Crude oil'!AG1064</f>
        <v>57.103999999999999</v>
      </c>
      <c r="AH1063">
        <f>'raw data Crude oil'!AH1064</f>
        <v>56.654000000000003</v>
      </c>
      <c r="AI1063">
        <f>'raw data Crude oil'!AI1064</f>
        <v>56.204999999999998</v>
      </c>
      <c r="AJ1063">
        <f>'raw data Crude oil'!AJ1064</f>
        <v>55.796999999999997</v>
      </c>
      <c r="AK1063">
        <f>'raw data Crude oil'!AK1064</f>
        <v>55.548000000000002</v>
      </c>
    </row>
    <row r="1064" spans="1:37" x14ac:dyDescent="0.3">
      <c r="A1064" s="18">
        <f>'raw data Crude oil'!A1065</f>
        <v>44239</v>
      </c>
      <c r="B1064">
        <f>'raw data Crude oil'!B1065</f>
        <v>62.43</v>
      </c>
      <c r="C1064">
        <f>'raw data Crude oil'!C1065</f>
        <v>61.88</v>
      </c>
      <c r="D1064">
        <f>'raw data Crude oil'!D1065</f>
        <v>61.32</v>
      </c>
      <c r="E1064">
        <f>'raw data Crude oil'!E1065</f>
        <v>60.75</v>
      </c>
      <c r="F1064">
        <f>'raw data Crude oil'!F1065</f>
        <v>60.25</v>
      </c>
      <c r="G1064">
        <f>'raw data Crude oil'!G1065</f>
        <v>59.77</v>
      </c>
      <c r="H1064">
        <f>'raw data Crude oil'!H1065</f>
        <v>59.3</v>
      </c>
      <c r="I1064">
        <f>'raw data Crude oil'!I1065</f>
        <v>58.86</v>
      </c>
      <c r="J1064">
        <f>'raw data Crude oil'!J1065</f>
        <v>58.45</v>
      </c>
      <c r="K1064">
        <f>'raw data Crude oil'!K1065</f>
        <v>58.08</v>
      </c>
      <c r="L1064">
        <f>'raw data Crude oil'!L1065</f>
        <v>57.73</v>
      </c>
      <c r="M1064">
        <f>'raw data Crude oil'!M1065</f>
        <v>57.43</v>
      </c>
      <c r="N1064">
        <f>'raw data Crude oil'!N1065</f>
        <v>59.47</v>
      </c>
      <c r="O1064">
        <f>'raw data Crude oil'!O1065</f>
        <v>59.38</v>
      </c>
      <c r="P1064">
        <f>'raw data Crude oil'!P1065</f>
        <v>59.06</v>
      </c>
      <c r="Q1064">
        <f>'raw data Crude oil'!Q1065</f>
        <v>58.6</v>
      </c>
      <c r="R1064">
        <f>'raw data Crude oil'!R1065</f>
        <v>58.05</v>
      </c>
      <c r="S1064">
        <f>'raw data Crude oil'!S1065</f>
        <v>57.46</v>
      </c>
      <c r="T1064">
        <f>'raw data Crude oil'!T1065</f>
        <v>56.86</v>
      </c>
      <c r="U1064">
        <f>'raw data Crude oil'!U1065</f>
        <v>56.28</v>
      </c>
      <c r="V1064">
        <f>'raw data Crude oil'!V1065</f>
        <v>55.76</v>
      </c>
      <c r="W1064">
        <f>'raw data Crude oil'!W1065</f>
        <v>55.29</v>
      </c>
      <c r="X1064">
        <f>'raw data Crude oil'!X1065</f>
        <v>54.83</v>
      </c>
      <c r="Y1064">
        <f>'raw data Crude oil'!Y1065</f>
        <v>54.41</v>
      </c>
      <c r="Z1064">
        <f>'raw data Crude oil'!Z1065</f>
        <v>60.131999999999998</v>
      </c>
      <c r="AA1064">
        <f>'raw data Crude oil'!AA1065</f>
        <v>61.195999999999998</v>
      </c>
      <c r="AB1064">
        <f>'raw data Crude oil'!AB1065</f>
        <v>60.732999999999997</v>
      </c>
      <c r="AC1064">
        <f>'raw data Crude oil'!AC1065</f>
        <v>60.142000000000003</v>
      </c>
      <c r="AD1064">
        <f>'raw data Crude oil'!AD1065</f>
        <v>59.578000000000003</v>
      </c>
      <c r="AE1064">
        <f>'raw data Crude oil'!AE1065</f>
        <v>59.018999999999998</v>
      </c>
      <c r="AF1064">
        <f>'raw data Crude oil'!AF1065</f>
        <v>58.47</v>
      </c>
      <c r="AG1064">
        <f>'raw data Crude oil'!AG1065</f>
        <v>57.951000000000001</v>
      </c>
      <c r="AH1064">
        <f>'raw data Crude oil'!AH1065</f>
        <v>57.462000000000003</v>
      </c>
      <c r="AI1064">
        <f>'raw data Crude oil'!AI1065</f>
        <v>56.994</v>
      </c>
      <c r="AJ1064">
        <f>'raw data Crude oil'!AJ1065</f>
        <v>56.554000000000002</v>
      </c>
      <c r="AK1064">
        <f>'raw data Crude oil'!AK1065</f>
        <v>56.256999999999998</v>
      </c>
    </row>
    <row r="1065" spans="1:37" x14ac:dyDescent="0.3">
      <c r="A1065" s="18">
        <f>'raw data Crude oil'!A1066</f>
        <v>44242</v>
      </c>
      <c r="B1065">
        <f>'raw data Crude oil'!B1066</f>
        <v>63.3</v>
      </c>
      <c r="C1065">
        <f>'raw data Crude oil'!C1066</f>
        <v>62.72</v>
      </c>
      <c r="D1065">
        <f>'raw data Crude oil'!D1066</f>
        <v>62.12</v>
      </c>
      <c r="E1065">
        <f>'raw data Crude oil'!E1066</f>
        <v>61.5</v>
      </c>
      <c r="F1065">
        <f>'raw data Crude oil'!F1066</f>
        <v>60.97</v>
      </c>
      <c r="G1065">
        <f>'raw data Crude oil'!G1066</f>
        <v>60.48</v>
      </c>
      <c r="H1065">
        <f>'raw data Crude oil'!H1066</f>
        <v>60.01</v>
      </c>
      <c r="I1065">
        <f>'raw data Crude oil'!I1066</f>
        <v>59.56</v>
      </c>
      <c r="J1065">
        <f>'raw data Crude oil'!J1066</f>
        <v>59.14</v>
      </c>
      <c r="K1065">
        <f>'raw data Crude oil'!K1066</f>
        <v>58.75</v>
      </c>
      <c r="L1065">
        <f>'raw data Crude oil'!L1066</f>
        <v>58.39</v>
      </c>
      <c r="M1065">
        <f>'raw data Crude oil'!M1066</f>
        <v>58.08</v>
      </c>
      <c r="N1065">
        <f>'raw data Crude oil'!N1066</f>
        <v>59.47</v>
      </c>
      <c r="O1065">
        <f>'raw data Crude oil'!O1066</f>
        <v>59.38</v>
      </c>
      <c r="P1065">
        <f>'raw data Crude oil'!P1066</f>
        <v>59.06</v>
      </c>
      <c r="Q1065">
        <f>'raw data Crude oil'!Q1066</f>
        <v>58.6</v>
      </c>
      <c r="R1065">
        <f>'raw data Crude oil'!R1066</f>
        <v>58.05</v>
      </c>
      <c r="S1065">
        <f>'raw data Crude oil'!S1066</f>
        <v>57.46</v>
      </c>
      <c r="T1065">
        <f>'raw data Crude oil'!T1066</f>
        <v>56.86</v>
      </c>
      <c r="U1065">
        <f>'raw data Crude oil'!U1066</f>
        <v>56.28</v>
      </c>
      <c r="V1065">
        <f>'raw data Crude oil'!V1066</f>
        <v>55.76</v>
      </c>
      <c r="W1065">
        <f>'raw data Crude oil'!W1066</f>
        <v>55.29</v>
      </c>
      <c r="X1065">
        <f>'raw data Crude oil'!X1066</f>
        <v>54.83</v>
      </c>
      <c r="Y1065">
        <f>'raw data Crude oil'!Y1066</f>
        <v>54.41</v>
      </c>
      <c r="Z1065">
        <f>'raw data Crude oil'!Z1066</f>
        <v>60.564999999999998</v>
      </c>
      <c r="AA1065">
        <f>'raw data Crude oil'!AA1066</f>
        <v>61.914000000000001</v>
      </c>
      <c r="AB1065">
        <f>'raw data Crude oil'!AB1066</f>
        <v>61.44</v>
      </c>
      <c r="AC1065">
        <f>'raw data Crude oil'!AC1066</f>
        <v>60.82</v>
      </c>
      <c r="AD1065">
        <f>'raw data Crude oil'!AD1066</f>
        <v>60.238</v>
      </c>
      <c r="AE1065">
        <f>'raw data Crude oil'!AE1066</f>
        <v>59.668999999999997</v>
      </c>
      <c r="AF1065">
        <f>'raw data Crude oil'!AF1066</f>
        <v>59.15</v>
      </c>
      <c r="AG1065">
        <f>'raw data Crude oil'!AG1066</f>
        <v>58.640999999999998</v>
      </c>
      <c r="AH1065">
        <f>'raw data Crude oil'!AH1066</f>
        <v>58.131</v>
      </c>
      <c r="AI1065">
        <f>'raw data Crude oil'!AI1066</f>
        <v>57.664000000000001</v>
      </c>
      <c r="AJ1065">
        <f>'raw data Crude oil'!AJ1066</f>
        <v>57.213000000000001</v>
      </c>
      <c r="AK1065">
        <f>'raw data Crude oil'!AK1066</f>
        <v>56.915999999999997</v>
      </c>
    </row>
    <row r="1066" spans="1:37" x14ac:dyDescent="0.3">
      <c r="A1066" s="18">
        <f>'raw data Crude oil'!A1067</f>
        <v>44243</v>
      </c>
      <c r="B1066">
        <f>'raw data Crude oil'!B1067</f>
        <v>63.35</v>
      </c>
      <c r="C1066">
        <f>'raw data Crude oil'!C1067</f>
        <v>62.76</v>
      </c>
      <c r="D1066">
        <f>'raw data Crude oil'!D1067</f>
        <v>62.17</v>
      </c>
      <c r="E1066">
        <f>'raw data Crude oil'!E1067</f>
        <v>61.56</v>
      </c>
      <c r="F1066">
        <f>'raw data Crude oil'!F1067</f>
        <v>61.02</v>
      </c>
      <c r="G1066">
        <f>'raw data Crude oil'!G1067</f>
        <v>60.52</v>
      </c>
      <c r="H1066">
        <f>'raw data Crude oil'!H1067</f>
        <v>60.05</v>
      </c>
      <c r="I1066">
        <f>'raw data Crude oil'!I1067</f>
        <v>59.62</v>
      </c>
      <c r="J1066">
        <f>'raw data Crude oil'!J1067</f>
        <v>59.2</v>
      </c>
      <c r="K1066">
        <f>'raw data Crude oil'!K1067</f>
        <v>58.81</v>
      </c>
      <c r="L1066">
        <f>'raw data Crude oil'!L1067</f>
        <v>58.46</v>
      </c>
      <c r="M1066">
        <f>'raw data Crude oil'!M1067</f>
        <v>58.15</v>
      </c>
      <c r="N1066">
        <f>'raw data Crude oil'!N1067</f>
        <v>60.05</v>
      </c>
      <c r="O1066">
        <f>'raw data Crude oil'!O1067</f>
        <v>60.08</v>
      </c>
      <c r="P1066">
        <f>'raw data Crude oil'!P1067</f>
        <v>59.78</v>
      </c>
      <c r="Q1066">
        <f>'raw data Crude oil'!Q1067</f>
        <v>59.32</v>
      </c>
      <c r="R1066">
        <f>'raw data Crude oil'!R1067</f>
        <v>58.76</v>
      </c>
      <c r="S1066">
        <f>'raw data Crude oil'!S1067</f>
        <v>58.16</v>
      </c>
      <c r="T1066">
        <f>'raw data Crude oil'!T1067</f>
        <v>57.56</v>
      </c>
      <c r="U1066">
        <f>'raw data Crude oil'!U1067</f>
        <v>56.98</v>
      </c>
      <c r="V1066">
        <f>'raw data Crude oil'!V1067</f>
        <v>56.46</v>
      </c>
      <c r="W1066">
        <f>'raw data Crude oil'!W1067</f>
        <v>55.98</v>
      </c>
      <c r="X1066">
        <f>'raw data Crude oil'!X1067</f>
        <v>55.52</v>
      </c>
      <c r="Y1066">
        <f>'raw data Crude oil'!Y1067</f>
        <v>55.09</v>
      </c>
      <c r="Z1066">
        <f>'raw data Crude oil'!Z1067</f>
        <v>60.588000000000001</v>
      </c>
      <c r="AA1066">
        <f>'raw data Crude oil'!AA1067</f>
        <v>61.954000000000001</v>
      </c>
      <c r="AB1066">
        <f>'raw data Crude oil'!AB1067</f>
        <v>61.451000000000001</v>
      </c>
      <c r="AC1066">
        <f>'raw data Crude oil'!AC1067</f>
        <v>60.859000000000002</v>
      </c>
      <c r="AD1066">
        <f>'raw data Crude oil'!AD1067</f>
        <v>60.256999999999998</v>
      </c>
      <c r="AE1066">
        <f>'raw data Crude oil'!AE1067</f>
        <v>59.689</v>
      </c>
      <c r="AF1066">
        <f>'raw data Crude oil'!AF1067</f>
        <v>59.15</v>
      </c>
      <c r="AG1066">
        <f>'raw data Crude oil'!AG1067</f>
        <v>58.651000000000003</v>
      </c>
      <c r="AH1066">
        <f>'raw data Crude oil'!AH1067</f>
        <v>58.161000000000001</v>
      </c>
      <c r="AI1066">
        <f>'raw data Crude oil'!AI1067</f>
        <v>57.704000000000001</v>
      </c>
      <c r="AJ1066">
        <f>'raw data Crude oil'!AJ1067</f>
        <v>57.273000000000003</v>
      </c>
      <c r="AK1066">
        <f>'raw data Crude oil'!AK1067</f>
        <v>56.996000000000002</v>
      </c>
    </row>
    <row r="1067" spans="1:37" x14ac:dyDescent="0.3">
      <c r="A1067" s="18">
        <f>'raw data Crude oil'!A1068</f>
        <v>44244</v>
      </c>
      <c r="B1067">
        <f>'raw data Crude oil'!B1068</f>
        <v>64.34</v>
      </c>
      <c r="C1067">
        <f>'raw data Crude oil'!C1068</f>
        <v>63.6</v>
      </c>
      <c r="D1067">
        <f>'raw data Crude oil'!D1068</f>
        <v>62.91</v>
      </c>
      <c r="E1067">
        <f>'raw data Crude oil'!E1068</f>
        <v>62.22</v>
      </c>
      <c r="F1067">
        <f>'raw data Crude oil'!F1068</f>
        <v>61.62</v>
      </c>
      <c r="G1067">
        <f>'raw data Crude oil'!G1068</f>
        <v>61.07</v>
      </c>
      <c r="H1067">
        <f>'raw data Crude oil'!H1068</f>
        <v>60.56</v>
      </c>
      <c r="I1067">
        <f>'raw data Crude oil'!I1068</f>
        <v>60.09</v>
      </c>
      <c r="J1067">
        <f>'raw data Crude oil'!J1068</f>
        <v>59.66</v>
      </c>
      <c r="K1067">
        <f>'raw data Crude oil'!K1068</f>
        <v>59.24</v>
      </c>
      <c r="L1067">
        <f>'raw data Crude oil'!L1068</f>
        <v>58.86</v>
      </c>
      <c r="M1067">
        <f>'raw data Crude oil'!M1068</f>
        <v>58.54</v>
      </c>
      <c r="N1067">
        <f>'raw data Crude oil'!N1068</f>
        <v>61.14</v>
      </c>
      <c r="O1067">
        <f>'raw data Crude oil'!O1068</f>
        <v>61.16</v>
      </c>
      <c r="P1067">
        <f>'raw data Crude oil'!P1068</f>
        <v>60.76</v>
      </c>
      <c r="Q1067">
        <f>'raw data Crude oil'!Q1068</f>
        <v>60.18</v>
      </c>
      <c r="R1067">
        <f>'raw data Crude oil'!R1068</f>
        <v>59.52</v>
      </c>
      <c r="S1067">
        <f>'raw data Crude oil'!S1068</f>
        <v>58.83</v>
      </c>
      <c r="T1067">
        <f>'raw data Crude oil'!T1068</f>
        <v>58.15</v>
      </c>
      <c r="U1067">
        <f>'raw data Crude oil'!U1068</f>
        <v>57.5</v>
      </c>
      <c r="V1067">
        <f>'raw data Crude oil'!V1068</f>
        <v>56.93</v>
      </c>
      <c r="W1067">
        <f>'raw data Crude oil'!W1068</f>
        <v>56.42</v>
      </c>
      <c r="X1067">
        <f>'raw data Crude oil'!X1068</f>
        <v>55.93</v>
      </c>
      <c r="Y1067">
        <f>'raw data Crude oil'!Y1068</f>
        <v>55.48</v>
      </c>
      <c r="Z1067">
        <f>'raw data Crude oil'!Z1068</f>
        <v>60.828000000000003</v>
      </c>
      <c r="AA1067">
        <f>'raw data Crude oil'!AA1068</f>
        <v>62.56</v>
      </c>
      <c r="AB1067">
        <f>'raw data Crude oil'!AB1068</f>
        <v>62.006999999999998</v>
      </c>
      <c r="AC1067">
        <f>'raw data Crude oil'!AC1068</f>
        <v>61.363</v>
      </c>
      <c r="AD1067">
        <f>'raw data Crude oil'!AD1068</f>
        <v>60.715000000000003</v>
      </c>
      <c r="AE1067">
        <f>'raw data Crude oil'!AE1068</f>
        <v>60.097000000000001</v>
      </c>
      <c r="AF1067">
        <f>'raw data Crude oil'!AF1068</f>
        <v>59.509</v>
      </c>
      <c r="AG1067">
        <f>'raw data Crude oil'!AG1068</f>
        <v>58.97</v>
      </c>
      <c r="AH1067">
        <f>'raw data Crude oil'!AH1068</f>
        <v>58.48</v>
      </c>
      <c r="AI1067">
        <f>'raw data Crude oil'!AI1068</f>
        <v>58.012999999999998</v>
      </c>
      <c r="AJ1067">
        <f>'raw data Crude oil'!AJ1068</f>
        <v>57.552</v>
      </c>
      <c r="AK1067">
        <f>'raw data Crude oil'!AK1068</f>
        <v>57.284999999999997</v>
      </c>
    </row>
    <row r="1068" spans="1:37" x14ac:dyDescent="0.3">
      <c r="A1068" s="18">
        <f>'raw data Crude oil'!A1069</f>
        <v>44245</v>
      </c>
      <c r="B1068">
        <f>'raw data Crude oil'!B1069</f>
        <v>63.93</v>
      </c>
      <c r="C1068">
        <f>'raw data Crude oil'!C1069</f>
        <v>63.15</v>
      </c>
      <c r="D1068">
        <f>'raw data Crude oil'!D1069</f>
        <v>62.45</v>
      </c>
      <c r="E1068">
        <f>'raw data Crude oil'!E1069</f>
        <v>61.77</v>
      </c>
      <c r="F1068">
        <f>'raw data Crude oil'!F1069</f>
        <v>61.21</v>
      </c>
      <c r="G1068">
        <f>'raw data Crude oil'!G1069</f>
        <v>60.69</v>
      </c>
      <c r="H1068">
        <f>'raw data Crude oil'!H1069</f>
        <v>60.21</v>
      </c>
      <c r="I1068">
        <f>'raw data Crude oil'!I1069</f>
        <v>59.76</v>
      </c>
      <c r="J1068">
        <f>'raw data Crude oil'!J1069</f>
        <v>59.35</v>
      </c>
      <c r="K1068">
        <f>'raw data Crude oil'!K1069</f>
        <v>58.94</v>
      </c>
      <c r="L1068">
        <f>'raw data Crude oil'!L1069</f>
        <v>58.58</v>
      </c>
      <c r="M1068">
        <f>'raw data Crude oil'!M1069</f>
        <v>58.26</v>
      </c>
      <c r="N1068">
        <f>'raw data Crude oil'!N1069</f>
        <v>60.52</v>
      </c>
      <c r="O1068">
        <f>'raw data Crude oil'!O1069</f>
        <v>60.53</v>
      </c>
      <c r="P1068">
        <f>'raw data Crude oil'!P1069</f>
        <v>60.19</v>
      </c>
      <c r="Q1068">
        <f>'raw data Crude oil'!Q1069</f>
        <v>59.67</v>
      </c>
      <c r="R1068">
        <f>'raw data Crude oil'!R1069</f>
        <v>59.05</v>
      </c>
      <c r="S1068">
        <f>'raw data Crude oil'!S1069</f>
        <v>58.39</v>
      </c>
      <c r="T1068">
        <f>'raw data Crude oil'!T1069</f>
        <v>57.74</v>
      </c>
      <c r="U1068">
        <f>'raw data Crude oil'!U1069</f>
        <v>57.12</v>
      </c>
      <c r="V1068">
        <f>'raw data Crude oil'!V1069</f>
        <v>56.58</v>
      </c>
      <c r="W1068">
        <f>'raw data Crude oil'!W1069</f>
        <v>56.1</v>
      </c>
      <c r="X1068">
        <f>'raw data Crude oil'!X1069</f>
        <v>55.63</v>
      </c>
      <c r="Y1068">
        <f>'raw data Crude oil'!Y1069</f>
        <v>55.2</v>
      </c>
      <c r="Z1068">
        <f>'raw data Crude oil'!Z1069</f>
        <v>60.636000000000003</v>
      </c>
      <c r="AA1068">
        <f>'raw data Crude oil'!AA1069</f>
        <v>61.91</v>
      </c>
      <c r="AB1068">
        <f>'raw data Crude oil'!AB1069</f>
        <v>61.408000000000001</v>
      </c>
      <c r="AC1068">
        <f>'raw data Crude oil'!AC1069</f>
        <v>60.786999999999999</v>
      </c>
      <c r="AD1068">
        <f>'raw data Crude oil'!AD1069</f>
        <v>60.195999999999998</v>
      </c>
      <c r="AE1068">
        <f>'raw data Crude oil'!AE1069</f>
        <v>59.637999999999998</v>
      </c>
      <c r="AF1068">
        <f>'raw data Crude oil'!AF1069</f>
        <v>59.11</v>
      </c>
      <c r="AG1068">
        <f>'raw data Crude oil'!AG1069</f>
        <v>58.600999999999999</v>
      </c>
      <c r="AH1068">
        <f>'raw data Crude oil'!AH1069</f>
        <v>58.13</v>
      </c>
      <c r="AI1068">
        <f>'raw data Crude oil'!AI1069</f>
        <v>57.673999999999999</v>
      </c>
      <c r="AJ1068">
        <f>'raw data Crude oil'!AJ1069</f>
        <v>57.231999999999999</v>
      </c>
      <c r="AK1068">
        <f>'raw data Crude oil'!AK1069</f>
        <v>56.945999999999998</v>
      </c>
    </row>
    <row r="1069" spans="1:37" x14ac:dyDescent="0.3">
      <c r="A1069" s="18">
        <f>'raw data Crude oil'!A1070</f>
        <v>44246</v>
      </c>
      <c r="B1069">
        <f>'raw data Crude oil'!B1070</f>
        <v>62.91</v>
      </c>
      <c r="C1069">
        <f>'raw data Crude oil'!C1070</f>
        <v>62.14</v>
      </c>
      <c r="D1069">
        <f>'raw data Crude oil'!D1070</f>
        <v>61.51</v>
      </c>
      <c r="E1069">
        <f>'raw data Crude oil'!E1070</f>
        <v>60.89</v>
      </c>
      <c r="F1069">
        <f>'raw data Crude oil'!F1070</f>
        <v>60.37</v>
      </c>
      <c r="G1069">
        <f>'raw data Crude oil'!G1070</f>
        <v>59.9</v>
      </c>
      <c r="H1069">
        <f>'raw data Crude oil'!H1070</f>
        <v>59.48</v>
      </c>
      <c r="I1069">
        <f>'raw data Crude oil'!I1070</f>
        <v>59.09</v>
      </c>
      <c r="J1069">
        <f>'raw data Crude oil'!J1070</f>
        <v>58.73</v>
      </c>
      <c r="K1069">
        <f>'raw data Crude oil'!K1070</f>
        <v>58.38</v>
      </c>
      <c r="L1069">
        <f>'raw data Crude oil'!L1070</f>
        <v>58.04</v>
      </c>
      <c r="M1069">
        <f>'raw data Crude oil'!M1070</f>
        <v>57.76</v>
      </c>
      <c r="N1069">
        <f>'raw data Crude oil'!N1070</f>
        <v>59.24</v>
      </c>
      <c r="O1069">
        <f>'raw data Crude oil'!O1070</f>
        <v>59.26</v>
      </c>
      <c r="P1069">
        <f>'raw data Crude oil'!P1070</f>
        <v>59.06</v>
      </c>
      <c r="Q1069">
        <f>'raw data Crude oil'!Q1070</f>
        <v>58.66</v>
      </c>
      <c r="R1069">
        <f>'raw data Crude oil'!R1070</f>
        <v>58.12</v>
      </c>
      <c r="S1069">
        <f>'raw data Crude oil'!S1070</f>
        <v>57.52</v>
      </c>
      <c r="T1069">
        <f>'raw data Crude oil'!T1070</f>
        <v>56.92</v>
      </c>
      <c r="U1069">
        <f>'raw data Crude oil'!U1070</f>
        <v>56.35</v>
      </c>
      <c r="V1069">
        <f>'raw data Crude oil'!V1070</f>
        <v>55.85</v>
      </c>
      <c r="W1069">
        <f>'raw data Crude oil'!W1070</f>
        <v>55.41</v>
      </c>
      <c r="X1069">
        <f>'raw data Crude oil'!X1070</f>
        <v>54.99</v>
      </c>
      <c r="Y1069">
        <f>'raw data Crude oil'!Y1070</f>
        <v>54.61</v>
      </c>
      <c r="Z1069">
        <f>'raw data Crude oil'!Z1070</f>
        <v>60.207000000000001</v>
      </c>
      <c r="AA1069">
        <f>'raw data Crude oil'!AA1070</f>
        <v>60.683</v>
      </c>
      <c r="AB1069">
        <f>'raw data Crude oil'!AB1070</f>
        <v>60.3</v>
      </c>
      <c r="AC1069">
        <f>'raw data Crude oil'!AC1070</f>
        <v>59.75</v>
      </c>
      <c r="AD1069">
        <f>'raw data Crude oil'!AD1070</f>
        <v>59.209000000000003</v>
      </c>
      <c r="AE1069">
        <f>'raw data Crude oil'!AE1070</f>
        <v>58.680999999999997</v>
      </c>
      <c r="AF1069">
        <f>'raw data Crude oil'!AF1070</f>
        <v>58.212000000000003</v>
      </c>
      <c r="AG1069">
        <f>'raw data Crude oil'!AG1070</f>
        <v>57.783999999999999</v>
      </c>
      <c r="AH1069">
        <f>'raw data Crude oil'!AH1070</f>
        <v>57.353000000000002</v>
      </c>
      <c r="AI1069">
        <f>'raw data Crude oil'!AI1070</f>
        <v>56.924999999999997</v>
      </c>
      <c r="AJ1069">
        <f>'raw data Crude oil'!AJ1070</f>
        <v>56.506</v>
      </c>
      <c r="AK1069">
        <f>'raw data Crude oil'!AK1070</f>
        <v>56.317</v>
      </c>
    </row>
    <row r="1070" spans="1:37" x14ac:dyDescent="0.3">
      <c r="A1070" s="18">
        <f>'raw data Crude oil'!A1071</f>
        <v>44249</v>
      </c>
      <c r="B1070">
        <f>'raw data Crude oil'!B1071</f>
        <v>65.239999999999995</v>
      </c>
      <c r="C1070">
        <f>'raw data Crude oil'!C1071</f>
        <v>64.36</v>
      </c>
      <c r="D1070">
        <f>'raw data Crude oil'!D1071</f>
        <v>63.69</v>
      </c>
      <c r="E1070">
        <f>'raw data Crude oil'!E1071</f>
        <v>63.03</v>
      </c>
      <c r="F1070">
        <f>'raw data Crude oil'!F1071</f>
        <v>62.45</v>
      </c>
      <c r="G1070">
        <f>'raw data Crude oil'!G1071</f>
        <v>61.92</v>
      </c>
      <c r="H1070">
        <f>'raw data Crude oil'!H1071</f>
        <v>61.44</v>
      </c>
      <c r="I1070">
        <f>'raw data Crude oil'!I1071</f>
        <v>61</v>
      </c>
      <c r="J1070">
        <f>'raw data Crude oil'!J1071</f>
        <v>60.59</v>
      </c>
      <c r="K1070">
        <f>'raw data Crude oil'!K1071</f>
        <v>60.19</v>
      </c>
      <c r="L1070">
        <f>'raw data Crude oil'!L1071</f>
        <v>59.82</v>
      </c>
      <c r="M1070">
        <f>'raw data Crude oil'!M1071</f>
        <v>59.49</v>
      </c>
      <c r="N1070">
        <f>'raw data Crude oil'!N1071</f>
        <v>61.49</v>
      </c>
      <c r="O1070">
        <f>'raw data Crude oil'!O1071</f>
        <v>61.7</v>
      </c>
      <c r="P1070">
        <f>'raw data Crude oil'!P1071</f>
        <v>61.4</v>
      </c>
      <c r="Q1070">
        <f>'raw data Crude oil'!Q1071</f>
        <v>60.9</v>
      </c>
      <c r="R1070">
        <f>'raw data Crude oil'!R1071</f>
        <v>60.27</v>
      </c>
      <c r="S1070">
        <f>'raw data Crude oil'!S1071</f>
        <v>59.59</v>
      </c>
      <c r="T1070">
        <f>'raw data Crude oil'!T1071</f>
        <v>58.91</v>
      </c>
      <c r="U1070">
        <f>'raw data Crude oil'!U1071</f>
        <v>58.28</v>
      </c>
      <c r="V1070">
        <f>'raw data Crude oil'!V1071</f>
        <v>57.72</v>
      </c>
      <c r="W1070">
        <f>'raw data Crude oil'!W1071</f>
        <v>57.21</v>
      </c>
      <c r="X1070">
        <f>'raw data Crude oil'!X1071</f>
        <v>56.73</v>
      </c>
      <c r="Y1070">
        <f>'raw data Crude oil'!Y1071</f>
        <v>56.29</v>
      </c>
      <c r="Z1070">
        <f>'raw data Crude oil'!Z1071</f>
        <v>60.655999999999999</v>
      </c>
      <c r="AA1070">
        <f>'raw data Crude oil'!AA1071</f>
        <v>62.750999999999998</v>
      </c>
      <c r="AB1070">
        <f>'raw data Crude oil'!AB1071</f>
        <v>62.359000000000002</v>
      </c>
      <c r="AC1070">
        <f>'raw data Crude oil'!AC1071</f>
        <v>61.774999999999999</v>
      </c>
      <c r="AD1070">
        <f>'raw data Crude oil'!AD1071</f>
        <v>61.186</v>
      </c>
      <c r="AE1070">
        <f>'raw data Crude oil'!AE1071</f>
        <v>60.618000000000002</v>
      </c>
      <c r="AF1070">
        <f>'raw data Crude oil'!AF1071</f>
        <v>60.1</v>
      </c>
      <c r="AG1070">
        <f>'raw data Crude oil'!AG1071</f>
        <v>59.621000000000002</v>
      </c>
      <c r="AH1070">
        <f>'raw data Crude oil'!AH1071</f>
        <v>59.151000000000003</v>
      </c>
      <c r="AI1070">
        <f>'raw data Crude oil'!AI1071</f>
        <v>58.713000000000001</v>
      </c>
      <c r="AJ1070">
        <f>'raw data Crude oil'!AJ1071</f>
        <v>58.290999999999997</v>
      </c>
      <c r="AK1070">
        <f>'raw data Crude oil'!AK1071</f>
        <v>58.024999999999999</v>
      </c>
    </row>
    <row r="1071" spans="1:37" x14ac:dyDescent="0.3">
      <c r="A1071" s="18">
        <f>'raw data Crude oil'!A1072</f>
        <v>44250</v>
      </c>
      <c r="B1071">
        <f>'raw data Crude oil'!B1072</f>
        <v>65.37</v>
      </c>
      <c r="C1071">
        <f>'raw data Crude oil'!C1072</f>
        <v>64.48</v>
      </c>
      <c r="D1071">
        <f>'raw data Crude oil'!D1072</f>
        <v>63.84</v>
      </c>
      <c r="E1071">
        <f>'raw data Crude oil'!E1072</f>
        <v>63.19</v>
      </c>
      <c r="F1071">
        <f>'raw data Crude oil'!F1072</f>
        <v>62.64</v>
      </c>
      <c r="G1071">
        <f>'raw data Crude oil'!G1072</f>
        <v>62.13</v>
      </c>
      <c r="H1071">
        <f>'raw data Crude oil'!H1072</f>
        <v>61.67</v>
      </c>
      <c r="I1071">
        <f>'raw data Crude oil'!I1072</f>
        <v>61.24</v>
      </c>
      <c r="J1071">
        <f>'raw data Crude oil'!J1072</f>
        <v>60.84</v>
      </c>
      <c r="K1071">
        <f>'raw data Crude oil'!K1072</f>
        <v>60.45</v>
      </c>
      <c r="L1071">
        <f>'raw data Crude oil'!L1072</f>
        <v>60.08</v>
      </c>
      <c r="M1071">
        <f>'raw data Crude oil'!M1072</f>
        <v>59.75</v>
      </c>
      <c r="N1071">
        <f>'raw data Crude oil'!N1072</f>
        <v>61.67</v>
      </c>
      <c r="O1071">
        <f>'raw data Crude oil'!O1072</f>
        <v>61.43</v>
      </c>
      <c r="P1071">
        <f>'raw data Crude oil'!P1072</f>
        <v>60.96</v>
      </c>
      <c r="Q1071">
        <f>'raw data Crude oil'!Q1072</f>
        <v>60.37</v>
      </c>
      <c r="R1071">
        <f>'raw data Crude oil'!R1072</f>
        <v>59.72</v>
      </c>
      <c r="S1071">
        <f>'raw data Crude oil'!S1072</f>
        <v>59.07</v>
      </c>
      <c r="T1071">
        <f>'raw data Crude oil'!T1072</f>
        <v>58.46</v>
      </c>
      <c r="U1071">
        <f>'raw data Crude oil'!U1072</f>
        <v>57.91</v>
      </c>
      <c r="V1071">
        <f>'raw data Crude oil'!V1072</f>
        <v>57.43</v>
      </c>
      <c r="W1071">
        <f>'raw data Crude oil'!W1072</f>
        <v>56.95</v>
      </c>
      <c r="X1071">
        <f>'raw data Crude oil'!X1072</f>
        <v>56.51</v>
      </c>
      <c r="Y1071">
        <f>'raw data Crude oil'!Y1072</f>
        <v>56.11</v>
      </c>
      <c r="Z1071">
        <f>'raw data Crude oil'!Z1072</f>
        <v>60.674999999999997</v>
      </c>
      <c r="AA1071">
        <f>'raw data Crude oil'!AA1072</f>
        <v>62.771999999999998</v>
      </c>
      <c r="AB1071">
        <f>'raw data Crude oil'!AB1072</f>
        <v>62.469000000000001</v>
      </c>
      <c r="AC1071">
        <f>'raw data Crude oil'!AC1072</f>
        <v>61.978000000000002</v>
      </c>
      <c r="AD1071">
        <f>'raw data Crude oil'!AD1072</f>
        <v>61.417000000000002</v>
      </c>
      <c r="AE1071">
        <f>'raw data Crude oil'!AE1072</f>
        <v>60.838999999999999</v>
      </c>
      <c r="AF1071">
        <f>'raw data Crude oil'!AF1072</f>
        <v>60.35</v>
      </c>
      <c r="AG1071">
        <f>'raw data Crude oil'!AG1072</f>
        <v>59.872</v>
      </c>
      <c r="AH1071">
        <f>'raw data Crude oil'!AH1072</f>
        <v>59.411000000000001</v>
      </c>
      <c r="AI1071">
        <f>'raw data Crude oil'!AI1072</f>
        <v>58.982999999999997</v>
      </c>
      <c r="AJ1071">
        <f>'raw data Crude oil'!AJ1072</f>
        <v>58.591000000000001</v>
      </c>
      <c r="AK1071">
        <f>'raw data Crude oil'!AK1072</f>
        <v>58.274999999999999</v>
      </c>
    </row>
    <row r="1072" spans="1:37" x14ac:dyDescent="0.3">
      <c r="A1072" s="18">
        <f>'raw data Crude oil'!A1073</f>
        <v>44251</v>
      </c>
      <c r="B1072">
        <f>'raw data Crude oil'!B1073</f>
        <v>67.040000000000006</v>
      </c>
      <c r="C1072">
        <f>'raw data Crude oil'!C1073</f>
        <v>66.180000000000007</v>
      </c>
      <c r="D1072">
        <f>'raw data Crude oil'!D1073</f>
        <v>65.53</v>
      </c>
      <c r="E1072">
        <f>'raw data Crude oil'!E1073</f>
        <v>64.87</v>
      </c>
      <c r="F1072">
        <f>'raw data Crude oil'!F1073</f>
        <v>64.290000000000006</v>
      </c>
      <c r="G1072">
        <f>'raw data Crude oil'!G1073</f>
        <v>63.76</v>
      </c>
      <c r="H1072">
        <f>'raw data Crude oil'!H1073</f>
        <v>63.27</v>
      </c>
      <c r="I1072">
        <f>'raw data Crude oil'!I1073</f>
        <v>62.81</v>
      </c>
      <c r="J1072">
        <f>'raw data Crude oil'!J1073</f>
        <v>62.38</v>
      </c>
      <c r="K1072">
        <f>'raw data Crude oil'!K1073</f>
        <v>61.96</v>
      </c>
      <c r="L1072">
        <f>'raw data Crude oil'!L1073</f>
        <v>61.56</v>
      </c>
      <c r="M1072">
        <f>'raw data Crude oil'!M1073</f>
        <v>61.2</v>
      </c>
      <c r="N1072">
        <f>'raw data Crude oil'!N1073</f>
        <v>63.22</v>
      </c>
      <c r="O1072">
        <f>'raw data Crude oil'!O1073</f>
        <v>63</v>
      </c>
      <c r="P1072">
        <f>'raw data Crude oil'!P1073</f>
        <v>62.52</v>
      </c>
      <c r="Q1072">
        <f>'raw data Crude oil'!Q1073</f>
        <v>61.93</v>
      </c>
      <c r="R1072">
        <f>'raw data Crude oil'!R1073</f>
        <v>61.29</v>
      </c>
      <c r="S1072">
        <f>'raw data Crude oil'!S1073</f>
        <v>60.64</v>
      </c>
      <c r="T1072">
        <f>'raw data Crude oil'!T1073</f>
        <v>60.03</v>
      </c>
      <c r="U1072">
        <f>'raw data Crude oil'!U1073</f>
        <v>59.47</v>
      </c>
      <c r="V1072">
        <f>'raw data Crude oil'!V1073</f>
        <v>58.98</v>
      </c>
      <c r="W1072">
        <f>'raw data Crude oil'!W1073</f>
        <v>58.5</v>
      </c>
      <c r="X1072">
        <f>'raw data Crude oil'!X1073</f>
        <v>58.05</v>
      </c>
      <c r="Y1072">
        <f>'raw data Crude oil'!Y1073</f>
        <v>57.63</v>
      </c>
      <c r="Z1072">
        <f>'raw data Crude oil'!Z1073</f>
        <v>60.933</v>
      </c>
      <c r="AA1072">
        <f>'raw data Crude oil'!AA1073</f>
        <v>64.602000000000004</v>
      </c>
      <c r="AB1072">
        <f>'raw data Crude oil'!AB1073</f>
        <v>64.198999999999998</v>
      </c>
      <c r="AC1072">
        <f>'raw data Crude oil'!AC1073</f>
        <v>63.674999999999997</v>
      </c>
      <c r="AD1072">
        <f>'raw data Crude oil'!AD1073</f>
        <v>63.076000000000001</v>
      </c>
      <c r="AE1072">
        <f>'raw data Crude oil'!AE1073</f>
        <v>62.488</v>
      </c>
      <c r="AF1072">
        <f>'raw data Crude oil'!AF1073</f>
        <v>61.948999999999998</v>
      </c>
      <c r="AG1072">
        <f>'raw data Crude oil'!AG1073</f>
        <v>61.43</v>
      </c>
      <c r="AH1072">
        <f>'raw data Crude oil'!AH1073</f>
        <v>60.95</v>
      </c>
      <c r="AI1072">
        <f>'raw data Crude oil'!AI1073</f>
        <v>60.491999999999997</v>
      </c>
      <c r="AJ1072">
        <f>'raw data Crude oil'!AJ1073</f>
        <v>60.069000000000003</v>
      </c>
      <c r="AK1072">
        <f>'raw data Crude oil'!AK1073</f>
        <v>59.744</v>
      </c>
    </row>
    <row r="1073" spans="1:37" x14ac:dyDescent="0.3">
      <c r="A1073" s="18">
        <f>'raw data Crude oil'!A1074</f>
        <v>44252</v>
      </c>
      <c r="B1073">
        <f>'raw data Crude oil'!B1074</f>
        <v>66.88</v>
      </c>
      <c r="C1073">
        <f>'raw data Crude oil'!C1074</f>
        <v>66.11</v>
      </c>
      <c r="D1073">
        <f>'raw data Crude oil'!D1074</f>
        <v>65.48</v>
      </c>
      <c r="E1073">
        <f>'raw data Crude oil'!E1074</f>
        <v>64.819999999999993</v>
      </c>
      <c r="F1073">
        <f>'raw data Crude oil'!F1074</f>
        <v>64.23</v>
      </c>
      <c r="G1073">
        <f>'raw data Crude oil'!G1074</f>
        <v>63.68</v>
      </c>
      <c r="H1073">
        <f>'raw data Crude oil'!H1074</f>
        <v>63.19</v>
      </c>
      <c r="I1073">
        <f>'raw data Crude oil'!I1074</f>
        <v>62.74</v>
      </c>
      <c r="J1073">
        <f>'raw data Crude oil'!J1074</f>
        <v>62.32</v>
      </c>
      <c r="K1073">
        <f>'raw data Crude oil'!K1074</f>
        <v>61.9</v>
      </c>
      <c r="L1073">
        <f>'raw data Crude oil'!L1074</f>
        <v>61.5</v>
      </c>
      <c r="M1073">
        <f>'raw data Crude oil'!M1074</f>
        <v>61.14</v>
      </c>
      <c r="N1073">
        <f>'raw data Crude oil'!N1074</f>
        <v>63.53</v>
      </c>
      <c r="O1073">
        <f>'raw data Crude oil'!O1074</f>
        <v>63.22</v>
      </c>
      <c r="P1073">
        <f>'raw data Crude oil'!P1074</f>
        <v>62.7</v>
      </c>
      <c r="Q1073">
        <f>'raw data Crude oil'!Q1074</f>
        <v>62.07</v>
      </c>
      <c r="R1073">
        <f>'raw data Crude oil'!R1074</f>
        <v>61.39</v>
      </c>
      <c r="S1073">
        <f>'raw data Crude oil'!S1074</f>
        <v>60.74</v>
      </c>
      <c r="T1073">
        <f>'raw data Crude oil'!T1074</f>
        <v>60.12</v>
      </c>
      <c r="U1073">
        <f>'raw data Crude oil'!U1074</f>
        <v>59.56</v>
      </c>
      <c r="V1073">
        <f>'raw data Crude oil'!V1074</f>
        <v>59.05</v>
      </c>
      <c r="W1073">
        <f>'raw data Crude oil'!W1074</f>
        <v>58.56</v>
      </c>
      <c r="X1073">
        <f>'raw data Crude oil'!X1074</f>
        <v>58.11</v>
      </c>
      <c r="Y1073">
        <f>'raw data Crude oil'!Y1074</f>
        <v>57.68</v>
      </c>
      <c r="Z1073">
        <f>'raw data Crude oil'!Z1074</f>
        <v>60.878</v>
      </c>
      <c r="AA1073">
        <f>'raw data Crude oil'!AA1074</f>
        <v>64.673000000000002</v>
      </c>
      <c r="AB1073">
        <f>'raw data Crude oil'!AB1074</f>
        <v>64.218999999999994</v>
      </c>
      <c r="AC1073">
        <f>'raw data Crude oil'!AC1074</f>
        <v>63.683999999999997</v>
      </c>
      <c r="AD1073">
        <f>'raw data Crude oil'!AD1074</f>
        <v>63.055</v>
      </c>
      <c r="AE1073">
        <f>'raw data Crude oil'!AE1074</f>
        <v>62.438000000000002</v>
      </c>
      <c r="AF1073">
        <f>'raw data Crude oil'!AF1074</f>
        <v>61.89</v>
      </c>
      <c r="AG1073">
        <f>'raw data Crude oil'!AG1074</f>
        <v>61.360999999999997</v>
      </c>
      <c r="AH1073">
        <f>'raw data Crude oil'!AH1074</f>
        <v>60.9</v>
      </c>
      <c r="AI1073">
        <f>'raw data Crude oil'!AI1074</f>
        <v>60.442</v>
      </c>
      <c r="AJ1073">
        <f>'raw data Crude oil'!AJ1074</f>
        <v>60.029000000000003</v>
      </c>
      <c r="AK1073">
        <f>'raw data Crude oil'!AK1074</f>
        <v>59.694000000000003</v>
      </c>
    </row>
    <row r="1074" spans="1:37" x14ac:dyDescent="0.3">
      <c r="A1074" s="18">
        <f>'raw data Crude oil'!A1075</f>
        <v>44253</v>
      </c>
      <c r="B1074">
        <f>'raw data Crude oil'!B1075</f>
        <v>66.13</v>
      </c>
      <c r="C1074">
        <f>'raw data Crude oil'!C1075</f>
        <v>64.42</v>
      </c>
      <c r="D1074">
        <f>'raw data Crude oil'!D1075</f>
        <v>63.73</v>
      </c>
      <c r="E1074">
        <f>'raw data Crude oil'!E1075</f>
        <v>63.04</v>
      </c>
      <c r="F1074">
        <f>'raw data Crude oil'!F1075</f>
        <v>62.45</v>
      </c>
      <c r="G1074">
        <f>'raw data Crude oil'!G1075</f>
        <v>61.9</v>
      </c>
      <c r="H1074">
        <f>'raw data Crude oil'!H1075</f>
        <v>61.42</v>
      </c>
      <c r="I1074">
        <f>'raw data Crude oil'!I1075</f>
        <v>61</v>
      </c>
      <c r="J1074">
        <f>'raw data Crude oil'!J1075</f>
        <v>60.6</v>
      </c>
      <c r="K1074">
        <f>'raw data Crude oil'!K1075</f>
        <v>60.2</v>
      </c>
      <c r="L1074">
        <f>'raw data Crude oil'!L1075</f>
        <v>59.82</v>
      </c>
      <c r="M1074">
        <f>'raw data Crude oil'!M1075</f>
        <v>59.48</v>
      </c>
      <c r="N1074">
        <f>'raw data Crude oil'!N1075</f>
        <v>61.5</v>
      </c>
      <c r="O1074">
        <f>'raw data Crude oil'!O1075</f>
        <v>61.23</v>
      </c>
      <c r="P1074">
        <f>'raw data Crude oil'!P1075</f>
        <v>60.74</v>
      </c>
      <c r="Q1074">
        <f>'raw data Crude oil'!Q1075</f>
        <v>60.12</v>
      </c>
      <c r="R1074">
        <f>'raw data Crude oil'!R1075</f>
        <v>59.46</v>
      </c>
      <c r="S1074">
        <f>'raw data Crude oil'!S1075</f>
        <v>58.81</v>
      </c>
      <c r="T1074">
        <f>'raw data Crude oil'!T1075</f>
        <v>58.2</v>
      </c>
      <c r="U1074">
        <f>'raw data Crude oil'!U1075</f>
        <v>57.67</v>
      </c>
      <c r="V1074">
        <f>'raw data Crude oil'!V1075</f>
        <v>57.2</v>
      </c>
      <c r="W1074">
        <f>'raw data Crude oil'!W1075</f>
        <v>56.74</v>
      </c>
      <c r="X1074">
        <f>'raw data Crude oil'!X1075</f>
        <v>56.32</v>
      </c>
      <c r="Y1074">
        <f>'raw data Crude oil'!Y1075</f>
        <v>55.92</v>
      </c>
      <c r="Z1074">
        <f>'raw data Crude oil'!Z1075</f>
        <v>60.854999999999997</v>
      </c>
      <c r="AA1074">
        <f>'raw data Crude oil'!AA1075</f>
        <v>62.920999999999999</v>
      </c>
      <c r="AB1074">
        <f>'raw data Crude oil'!AB1075</f>
        <v>62.424999999999997</v>
      </c>
      <c r="AC1074">
        <f>'raw data Crude oil'!AC1075</f>
        <v>61.856000000000002</v>
      </c>
      <c r="AD1074">
        <f>'raw data Crude oil'!AD1075</f>
        <v>61.177</v>
      </c>
      <c r="AE1074">
        <f>'raw data Crude oil'!AE1075</f>
        <v>60.548000000000002</v>
      </c>
      <c r="AF1074">
        <f>'raw data Crude oil'!AF1075</f>
        <v>60.011000000000003</v>
      </c>
      <c r="AG1074">
        <f>'raw data Crude oil'!AG1075</f>
        <v>59.502000000000002</v>
      </c>
      <c r="AH1074">
        <f>'raw data Crude oil'!AH1075</f>
        <v>59.051000000000002</v>
      </c>
      <c r="AI1074">
        <f>'raw data Crude oil'!AI1075</f>
        <v>58.622999999999998</v>
      </c>
      <c r="AJ1074">
        <f>'raw data Crude oil'!AJ1075</f>
        <v>58.2</v>
      </c>
      <c r="AK1074">
        <f>'raw data Crude oil'!AK1075</f>
        <v>57.895000000000003</v>
      </c>
    </row>
    <row r="1075" spans="1:37" x14ac:dyDescent="0.3">
      <c r="A1075" s="18">
        <f>'raw data Crude oil'!A1076</f>
        <v>44256</v>
      </c>
      <c r="B1075">
        <f>'raw data Crude oil'!B1076</f>
        <v>63.69</v>
      </c>
      <c r="C1075">
        <f>'raw data Crude oil'!C1076</f>
        <v>63.02</v>
      </c>
      <c r="D1075">
        <f>'raw data Crude oil'!D1076</f>
        <v>62.33</v>
      </c>
      <c r="E1075">
        <f>'raw data Crude oil'!E1076</f>
        <v>61.76</v>
      </c>
      <c r="F1075">
        <f>'raw data Crude oil'!F1076</f>
        <v>61.24</v>
      </c>
      <c r="G1075">
        <f>'raw data Crude oil'!G1076</f>
        <v>60.77</v>
      </c>
      <c r="H1075">
        <f>'raw data Crude oil'!H1076</f>
        <v>60.35</v>
      </c>
      <c r="I1075">
        <f>'raw data Crude oil'!I1076</f>
        <v>59.96</v>
      </c>
      <c r="J1075">
        <f>'raw data Crude oil'!J1076</f>
        <v>59.59</v>
      </c>
      <c r="K1075">
        <f>'raw data Crude oil'!K1076</f>
        <v>59.23</v>
      </c>
      <c r="L1075">
        <f>'raw data Crude oil'!L1076</f>
        <v>58.9</v>
      </c>
      <c r="M1075">
        <f>'raw data Crude oil'!M1076</f>
        <v>58.59</v>
      </c>
      <c r="N1075">
        <f>'raw data Crude oil'!N1076</f>
        <v>60.64</v>
      </c>
      <c r="O1075">
        <f>'raw data Crude oil'!O1076</f>
        <v>60.42</v>
      </c>
      <c r="P1075">
        <f>'raw data Crude oil'!P1076</f>
        <v>59.96</v>
      </c>
      <c r="Q1075">
        <f>'raw data Crude oil'!Q1076</f>
        <v>59.38</v>
      </c>
      <c r="R1075">
        <f>'raw data Crude oil'!R1076</f>
        <v>58.74</v>
      </c>
      <c r="S1075">
        <f>'raw data Crude oil'!S1076</f>
        <v>58.11</v>
      </c>
      <c r="T1075">
        <f>'raw data Crude oil'!T1076</f>
        <v>57.52</v>
      </c>
      <c r="U1075">
        <f>'raw data Crude oil'!U1076</f>
        <v>57</v>
      </c>
      <c r="V1075">
        <f>'raw data Crude oil'!V1076</f>
        <v>56.52</v>
      </c>
      <c r="W1075">
        <f>'raw data Crude oil'!W1076</f>
        <v>56.07</v>
      </c>
      <c r="X1075">
        <f>'raw data Crude oil'!X1076</f>
        <v>55.67</v>
      </c>
      <c r="Y1075">
        <f>'raw data Crude oil'!Y1076</f>
        <v>55.3</v>
      </c>
      <c r="Z1075">
        <f>'raw data Crude oil'!Z1076</f>
        <v>60.854999999999997</v>
      </c>
      <c r="AA1075">
        <f>'raw data Crude oil'!AA1076</f>
        <v>62.37</v>
      </c>
      <c r="AB1075">
        <f>'raw data Crude oil'!AB1076</f>
        <v>61.747</v>
      </c>
      <c r="AC1075">
        <f>'raw data Crude oil'!AC1076</f>
        <v>61.146000000000001</v>
      </c>
      <c r="AD1075">
        <f>'raw data Crude oil'!AD1076</f>
        <v>60.456000000000003</v>
      </c>
      <c r="AE1075">
        <f>'raw data Crude oil'!AE1076</f>
        <v>59.848999999999997</v>
      </c>
      <c r="AF1075">
        <f>'raw data Crude oil'!AF1076</f>
        <v>59.331000000000003</v>
      </c>
      <c r="AG1075">
        <f>'raw data Crude oil'!AG1076</f>
        <v>58.851999999999997</v>
      </c>
      <c r="AH1075">
        <f>'raw data Crude oil'!AH1076</f>
        <v>58.402000000000001</v>
      </c>
      <c r="AI1075">
        <f>'raw data Crude oil'!AI1076</f>
        <v>57.973999999999997</v>
      </c>
      <c r="AJ1075">
        <f>'raw data Crude oil'!AJ1076</f>
        <v>57.570999999999998</v>
      </c>
      <c r="AK1075">
        <f>'raw data Crude oil'!AK1076</f>
        <v>57.284999999999997</v>
      </c>
    </row>
    <row r="1076" spans="1:37" x14ac:dyDescent="0.3">
      <c r="A1076" s="18">
        <f>'raw data Crude oil'!A1077</f>
        <v>44257</v>
      </c>
      <c r="B1076">
        <f>'raw data Crude oil'!B1077</f>
        <v>62.7</v>
      </c>
      <c r="C1076">
        <f>'raw data Crude oil'!C1077</f>
        <v>62.18</v>
      </c>
      <c r="D1076">
        <f>'raw data Crude oil'!D1077</f>
        <v>61.58</v>
      </c>
      <c r="E1076">
        <f>'raw data Crude oil'!E1077</f>
        <v>61.08</v>
      </c>
      <c r="F1076">
        <f>'raw data Crude oil'!F1077</f>
        <v>60.61</v>
      </c>
      <c r="G1076">
        <f>'raw data Crude oil'!G1077</f>
        <v>60.18</v>
      </c>
      <c r="H1076">
        <f>'raw data Crude oil'!H1077</f>
        <v>59.79</v>
      </c>
      <c r="I1076">
        <f>'raw data Crude oil'!I1077</f>
        <v>59.44</v>
      </c>
      <c r="J1076">
        <f>'raw data Crude oil'!J1077</f>
        <v>59.1</v>
      </c>
      <c r="K1076">
        <f>'raw data Crude oil'!K1077</f>
        <v>58.79</v>
      </c>
      <c r="L1076">
        <f>'raw data Crude oil'!L1077</f>
        <v>58.51</v>
      </c>
      <c r="M1076">
        <f>'raw data Crude oil'!M1077</f>
        <v>58.25</v>
      </c>
      <c r="N1076">
        <f>'raw data Crude oil'!N1077</f>
        <v>59.75</v>
      </c>
      <c r="O1076">
        <f>'raw data Crude oil'!O1077</f>
        <v>59.57</v>
      </c>
      <c r="P1076">
        <f>'raw data Crude oil'!P1077</f>
        <v>59.17</v>
      </c>
      <c r="Q1076">
        <f>'raw data Crude oil'!Q1077</f>
        <v>58.65</v>
      </c>
      <c r="R1076">
        <f>'raw data Crude oil'!R1077</f>
        <v>58.08</v>
      </c>
      <c r="S1076">
        <f>'raw data Crude oil'!S1077</f>
        <v>57.51</v>
      </c>
      <c r="T1076">
        <f>'raw data Crude oil'!T1077</f>
        <v>56.97</v>
      </c>
      <c r="U1076">
        <f>'raw data Crude oil'!U1077</f>
        <v>56.49</v>
      </c>
      <c r="V1076">
        <f>'raw data Crude oil'!V1077</f>
        <v>56.06</v>
      </c>
      <c r="W1076">
        <f>'raw data Crude oil'!W1077</f>
        <v>55.65</v>
      </c>
      <c r="X1076">
        <f>'raw data Crude oil'!X1077</f>
        <v>55.29</v>
      </c>
      <c r="Y1076">
        <f>'raw data Crude oil'!Y1077</f>
        <v>54.95</v>
      </c>
      <c r="Z1076">
        <f>'raw data Crude oil'!Z1077</f>
        <v>61.392000000000003</v>
      </c>
      <c r="AA1076">
        <f>'raw data Crude oil'!AA1077</f>
        <v>60.780999999999999</v>
      </c>
      <c r="AB1076">
        <f>'raw data Crude oil'!AB1077</f>
        <v>60.281999999999996</v>
      </c>
      <c r="AC1076">
        <f>'raw data Crude oil'!AC1077</f>
        <v>59.689</v>
      </c>
      <c r="AD1076">
        <f>'raw data Crude oil'!AD1077</f>
        <v>59.12</v>
      </c>
      <c r="AE1076">
        <f>'raw data Crude oil'!AE1077</f>
        <v>58.661999999999999</v>
      </c>
      <c r="AF1076">
        <f>'raw data Crude oil'!AF1077</f>
        <v>58.234000000000002</v>
      </c>
      <c r="AG1076">
        <f>'raw data Crude oil'!AG1077</f>
        <v>57.804000000000002</v>
      </c>
      <c r="AH1076">
        <f>'raw data Crude oil'!AH1077</f>
        <v>57.405999999999999</v>
      </c>
      <c r="AI1076">
        <f>'raw data Crude oil'!AI1077</f>
        <v>57.066000000000003</v>
      </c>
      <c r="AJ1076">
        <f>'raw data Crude oil'!AJ1077</f>
        <v>56.828000000000003</v>
      </c>
      <c r="AK1076">
        <f>'raw data Crude oil'!AK1077</f>
        <v>56.597999999999999</v>
      </c>
    </row>
    <row r="1077" spans="1:37" x14ac:dyDescent="0.3">
      <c r="A1077" s="18">
        <f>'raw data Crude oil'!A1078</f>
        <v>44258</v>
      </c>
      <c r="B1077">
        <f>'raw data Crude oil'!B1078</f>
        <v>64.069999999999993</v>
      </c>
      <c r="C1077">
        <f>'raw data Crude oil'!C1078</f>
        <v>63.57</v>
      </c>
      <c r="D1077">
        <f>'raw data Crude oil'!D1078</f>
        <v>62.95</v>
      </c>
      <c r="E1077">
        <f>'raw data Crude oil'!E1078</f>
        <v>62.43</v>
      </c>
      <c r="F1077">
        <f>'raw data Crude oil'!F1078</f>
        <v>61.94</v>
      </c>
      <c r="G1077">
        <f>'raw data Crude oil'!G1078</f>
        <v>61.48</v>
      </c>
      <c r="H1077">
        <f>'raw data Crude oil'!H1078</f>
        <v>61.06</v>
      </c>
      <c r="I1077">
        <f>'raw data Crude oil'!I1078</f>
        <v>60.67</v>
      </c>
      <c r="J1077">
        <f>'raw data Crude oil'!J1078</f>
        <v>60.31</v>
      </c>
      <c r="K1077">
        <f>'raw data Crude oil'!K1078</f>
        <v>59.97</v>
      </c>
      <c r="L1077">
        <f>'raw data Crude oil'!L1078</f>
        <v>59.66</v>
      </c>
      <c r="M1077">
        <f>'raw data Crude oil'!M1078</f>
        <v>59.37</v>
      </c>
      <c r="N1077">
        <f>'raw data Crude oil'!N1078</f>
        <v>61.28</v>
      </c>
      <c r="O1077">
        <f>'raw data Crude oil'!O1078</f>
        <v>61.1</v>
      </c>
      <c r="P1077">
        <f>'raw data Crude oil'!P1078</f>
        <v>60.69</v>
      </c>
      <c r="Q1077">
        <f>'raw data Crude oil'!Q1078</f>
        <v>60.15</v>
      </c>
      <c r="R1077">
        <f>'raw data Crude oil'!R1078</f>
        <v>59.55</v>
      </c>
      <c r="S1077">
        <f>'raw data Crude oil'!S1078</f>
        <v>58.94</v>
      </c>
      <c r="T1077">
        <f>'raw data Crude oil'!T1078</f>
        <v>58.37</v>
      </c>
      <c r="U1077">
        <f>'raw data Crude oil'!U1078</f>
        <v>57.86</v>
      </c>
      <c r="V1077">
        <f>'raw data Crude oil'!V1078</f>
        <v>57.4</v>
      </c>
      <c r="W1077">
        <f>'raw data Crude oil'!W1078</f>
        <v>56.97</v>
      </c>
      <c r="X1077">
        <f>'raw data Crude oil'!X1078</f>
        <v>56.57</v>
      </c>
      <c r="Y1077">
        <f>'raw data Crude oil'!Y1078</f>
        <v>56.19</v>
      </c>
      <c r="Z1077">
        <f>'raw data Crude oil'!Z1078</f>
        <v>62.597000000000001</v>
      </c>
      <c r="AA1077">
        <f>'raw data Crude oil'!AA1078</f>
        <v>62.12</v>
      </c>
      <c r="AB1077">
        <f>'raw data Crude oil'!AB1078</f>
        <v>61.63</v>
      </c>
      <c r="AC1077">
        <f>'raw data Crude oil'!AC1078</f>
        <v>61.018000000000001</v>
      </c>
      <c r="AD1077">
        <f>'raw data Crude oil'!AD1078</f>
        <v>60.429000000000002</v>
      </c>
      <c r="AE1077">
        <f>'raw data Crude oil'!AE1078</f>
        <v>59.951000000000001</v>
      </c>
      <c r="AF1077">
        <f>'raw data Crude oil'!AF1078</f>
        <v>59.481999999999999</v>
      </c>
      <c r="AG1077">
        <f>'raw data Crude oil'!AG1078</f>
        <v>59.063000000000002</v>
      </c>
      <c r="AH1077">
        <f>'raw data Crude oil'!AH1078</f>
        <v>58.645000000000003</v>
      </c>
      <c r="AI1077">
        <f>'raw data Crude oil'!AI1078</f>
        <v>58.262999999999998</v>
      </c>
      <c r="AJ1077">
        <f>'raw data Crude oil'!AJ1078</f>
        <v>58.006</v>
      </c>
      <c r="AK1077">
        <f>'raw data Crude oil'!AK1078</f>
        <v>57.777000000000001</v>
      </c>
    </row>
    <row r="1078" spans="1:37" x14ac:dyDescent="0.3">
      <c r="A1078" s="18">
        <f>'raw data Crude oil'!A1079</f>
        <v>44259</v>
      </c>
      <c r="B1078">
        <f>'raw data Crude oil'!B1079</f>
        <v>66.739999999999995</v>
      </c>
      <c r="C1078">
        <f>'raw data Crude oil'!C1079</f>
        <v>66.2</v>
      </c>
      <c r="D1078">
        <f>'raw data Crude oil'!D1079</f>
        <v>65.47</v>
      </c>
      <c r="E1078">
        <f>'raw data Crude oil'!E1079</f>
        <v>64.84</v>
      </c>
      <c r="F1078">
        <f>'raw data Crude oil'!F1079</f>
        <v>64.23</v>
      </c>
      <c r="G1078">
        <f>'raw data Crude oil'!G1079</f>
        <v>63.66</v>
      </c>
      <c r="H1078">
        <f>'raw data Crude oil'!H1079</f>
        <v>63.13</v>
      </c>
      <c r="I1078">
        <f>'raw data Crude oil'!I1079</f>
        <v>62.64</v>
      </c>
      <c r="J1078">
        <f>'raw data Crude oil'!J1079</f>
        <v>62.19</v>
      </c>
      <c r="K1078">
        <f>'raw data Crude oil'!K1079</f>
        <v>61.78</v>
      </c>
      <c r="L1078">
        <f>'raw data Crude oil'!L1079</f>
        <v>61.39</v>
      </c>
      <c r="M1078">
        <f>'raw data Crude oil'!M1079</f>
        <v>61.03</v>
      </c>
      <c r="N1078">
        <f>'raw data Crude oil'!N1079</f>
        <v>63.83</v>
      </c>
      <c r="O1078">
        <f>'raw data Crude oil'!O1079</f>
        <v>63.62</v>
      </c>
      <c r="P1078">
        <f>'raw data Crude oil'!P1079</f>
        <v>63.15</v>
      </c>
      <c r="Q1078">
        <f>'raw data Crude oil'!Q1079</f>
        <v>62.52</v>
      </c>
      <c r="R1078">
        <f>'raw data Crude oil'!R1079</f>
        <v>61.8</v>
      </c>
      <c r="S1078">
        <f>'raw data Crude oil'!S1079</f>
        <v>61.07</v>
      </c>
      <c r="T1078">
        <f>'raw data Crude oil'!T1079</f>
        <v>60.38</v>
      </c>
      <c r="U1078">
        <f>'raw data Crude oil'!U1079</f>
        <v>59.77</v>
      </c>
      <c r="V1078">
        <f>'raw data Crude oil'!V1079</f>
        <v>59.21</v>
      </c>
      <c r="W1078">
        <f>'raw data Crude oil'!W1079</f>
        <v>58.69</v>
      </c>
      <c r="X1078">
        <f>'raw data Crude oil'!X1079</f>
        <v>58.2</v>
      </c>
      <c r="Y1078">
        <f>'raw data Crude oil'!Y1079</f>
        <v>57.76</v>
      </c>
      <c r="Z1078">
        <f>'raw data Crude oil'!Z1079</f>
        <v>64.89</v>
      </c>
      <c r="AA1078">
        <f>'raw data Crude oil'!AA1079</f>
        <v>64.875</v>
      </c>
      <c r="AB1078">
        <f>'raw data Crude oil'!AB1079</f>
        <v>64.27</v>
      </c>
      <c r="AC1078">
        <f>'raw data Crude oil'!AC1079</f>
        <v>63.572000000000003</v>
      </c>
      <c r="AD1078">
        <f>'raw data Crude oil'!AD1079</f>
        <v>62.884</v>
      </c>
      <c r="AE1078">
        <f>'raw data Crude oil'!AE1079</f>
        <v>62.286000000000001</v>
      </c>
      <c r="AF1078">
        <f>'raw data Crude oil'!AF1079</f>
        <v>61.718000000000004</v>
      </c>
      <c r="AG1078">
        <f>'raw data Crude oil'!AG1079</f>
        <v>61.179000000000002</v>
      </c>
      <c r="AH1078">
        <f>'raw data Crude oil'!AH1079</f>
        <v>60.691000000000003</v>
      </c>
      <c r="AI1078">
        <f>'raw data Crude oil'!AI1079</f>
        <v>60.246000000000002</v>
      </c>
      <c r="AJ1078">
        <f>'raw data Crude oil'!AJ1079</f>
        <v>59.883000000000003</v>
      </c>
      <c r="AK1078">
        <f>'raw data Crude oil'!AK1079</f>
        <v>59.563000000000002</v>
      </c>
    </row>
    <row r="1079" spans="1:37" x14ac:dyDescent="0.3">
      <c r="A1079" s="18">
        <f>'raw data Crude oil'!A1080</f>
        <v>44260</v>
      </c>
      <c r="B1079">
        <f>'raw data Crude oil'!B1080</f>
        <v>69.36</v>
      </c>
      <c r="C1079">
        <f>'raw data Crude oil'!C1080</f>
        <v>68.680000000000007</v>
      </c>
      <c r="D1079">
        <f>'raw data Crude oil'!D1080</f>
        <v>67.83</v>
      </c>
      <c r="E1079">
        <f>'raw data Crude oil'!E1080</f>
        <v>67.08</v>
      </c>
      <c r="F1079">
        <f>'raw data Crude oil'!F1080</f>
        <v>66.38</v>
      </c>
      <c r="G1079">
        <f>'raw data Crude oil'!G1080</f>
        <v>65.73</v>
      </c>
      <c r="H1079">
        <f>'raw data Crude oil'!H1080</f>
        <v>65.13</v>
      </c>
      <c r="I1079">
        <f>'raw data Crude oil'!I1080</f>
        <v>64.58</v>
      </c>
      <c r="J1079">
        <f>'raw data Crude oil'!J1080</f>
        <v>64.069999999999993</v>
      </c>
      <c r="K1079">
        <f>'raw data Crude oil'!K1080</f>
        <v>63.6</v>
      </c>
      <c r="L1079">
        <f>'raw data Crude oil'!L1080</f>
        <v>63.17</v>
      </c>
      <c r="M1079">
        <f>'raw data Crude oil'!M1080</f>
        <v>62.77</v>
      </c>
      <c r="N1079">
        <f>'raw data Crude oil'!N1080</f>
        <v>66.09</v>
      </c>
      <c r="O1079">
        <f>'raw data Crude oil'!O1080</f>
        <v>65.92</v>
      </c>
      <c r="P1079">
        <f>'raw data Crude oil'!P1080</f>
        <v>65.45</v>
      </c>
      <c r="Q1079">
        <f>'raw data Crude oil'!Q1080</f>
        <v>64.81</v>
      </c>
      <c r="R1079">
        <f>'raw data Crude oil'!R1080</f>
        <v>64.069999999999993</v>
      </c>
      <c r="S1079">
        <f>'raw data Crude oil'!S1080</f>
        <v>63.3</v>
      </c>
      <c r="T1079">
        <f>'raw data Crude oil'!T1080</f>
        <v>62.54</v>
      </c>
      <c r="U1079">
        <f>'raw data Crude oil'!U1080</f>
        <v>61.85</v>
      </c>
      <c r="V1079">
        <f>'raw data Crude oil'!V1080</f>
        <v>61.22</v>
      </c>
      <c r="W1079">
        <f>'raw data Crude oil'!W1080</f>
        <v>60.63</v>
      </c>
      <c r="X1079">
        <f>'raw data Crude oil'!X1080</f>
        <v>60.09</v>
      </c>
      <c r="Y1079">
        <f>'raw data Crude oil'!Y1080</f>
        <v>59.59</v>
      </c>
      <c r="Z1079">
        <f>'raw data Crude oil'!Z1080</f>
        <v>66.754999999999995</v>
      </c>
      <c r="AA1079">
        <f>'raw data Crude oil'!AA1080</f>
        <v>67.17</v>
      </c>
      <c r="AB1079">
        <f>'raw data Crude oil'!AB1080</f>
        <v>66.448999999999998</v>
      </c>
      <c r="AC1079">
        <f>'raw data Crude oil'!AC1080</f>
        <v>65.628</v>
      </c>
      <c r="AD1079">
        <f>'raw data Crude oil'!AD1080</f>
        <v>64.849999999999994</v>
      </c>
      <c r="AE1079">
        <f>'raw data Crude oil'!AE1080</f>
        <v>64.183000000000007</v>
      </c>
      <c r="AF1079">
        <f>'raw data Crude oil'!AF1080</f>
        <v>63.545000000000002</v>
      </c>
      <c r="AG1079">
        <f>'raw data Crude oil'!AG1080</f>
        <v>62.966000000000001</v>
      </c>
      <c r="AH1079">
        <f>'raw data Crude oil'!AH1080</f>
        <v>62.439</v>
      </c>
      <c r="AI1079">
        <f>'raw data Crude oil'!AI1080</f>
        <v>61.933</v>
      </c>
      <c r="AJ1079">
        <f>'raw data Crude oil'!AJ1080</f>
        <v>61.530999999999999</v>
      </c>
      <c r="AK1079">
        <f>'raw data Crude oil'!AK1080</f>
        <v>61.151000000000003</v>
      </c>
    </row>
    <row r="1080" spans="1:37" x14ac:dyDescent="0.3">
      <c r="A1080" s="18">
        <f>'raw data Crude oil'!A1081</f>
        <v>44263</v>
      </c>
      <c r="B1080">
        <f>'raw data Crude oil'!B1081</f>
        <v>68.239999999999995</v>
      </c>
      <c r="C1080">
        <f>'raw data Crude oil'!C1081</f>
        <v>67.7</v>
      </c>
      <c r="D1080">
        <f>'raw data Crude oil'!D1081</f>
        <v>66.930000000000007</v>
      </c>
      <c r="E1080">
        <f>'raw data Crude oil'!E1081</f>
        <v>66.27</v>
      </c>
      <c r="F1080">
        <f>'raw data Crude oil'!F1081</f>
        <v>65.64</v>
      </c>
      <c r="G1080">
        <f>'raw data Crude oil'!G1081</f>
        <v>65.03</v>
      </c>
      <c r="H1080">
        <f>'raw data Crude oil'!H1081</f>
        <v>64.47</v>
      </c>
      <c r="I1080">
        <f>'raw data Crude oil'!I1081</f>
        <v>63.96</v>
      </c>
      <c r="J1080">
        <f>'raw data Crude oil'!J1081</f>
        <v>63.48</v>
      </c>
      <c r="K1080">
        <f>'raw data Crude oil'!K1081</f>
        <v>63.04</v>
      </c>
      <c r="L1080">
        <f>'raw data Crude oil'!L1081</f>
        <v>62.63</v>
      </c>
      <c r="M1080">
        <f>'raw data Crude oil'!M1081</f>
        <v>62.25</v>
      </c>
      <c r="N1080">
        <f>'raw data Crude oil'!N1081</f>
        <v>65.05</v>
      </c>
      <c r="O1080">
        <f>'raw data Crude oil'!O1081</f>
        <v>64.930000000000007</v>
      </c>
      <c r="P1080">
        <f>'raw data Crude oil'!P1081</f>
        <v>64.52</v>
      </c>
      <c r="Q1080">
        <f>'raw data Crude oil'!Q1081</f>
        <v>63.94</v>
      </c>
      <c r="R1080">
        <f>'raw data Crude oil'!R1081</f>
        <v>63.27</v>
      </c>
      <c r="S1080">
        <f>'raw data Crude oil'!S1081</f>
        <v>62.55</v>
      </c>
      <c r="T1080">
        <f>'raw data Crude oil'!T1081</f>
        <v>61.85</v>
      </c>
      <c r="U1080">
        <f>'raw data Crude oil'!U1081</f>
        <v>61.21</v>
      </c>
      <c r="V1080">
        <f>'raw data Crude oil'!V1081</f>
        <v>60.61</v>
      </c>
      <c r="W1080">
        <f>'raw data Crude oil'!W1081</f>
        <v>60.06</v>
      </c>
      <c r="X1080">
        <f>'raw data Crude oil'!X1081</f>
        <v>59.54</v>
      </c>
      <c r="Y1080">
        <f>'raw data Crude oil'!Y1081</f>
        <v>59.06</v>
      </c>
      <c r="Z1080">
        <f>'raw data Crude oil'!Z1081</f>
        <v>65.936000000000007</v>
      </c>
      <c r="AA1080">
        <f>'raw data Crude oil'!AA1081</f>
        <v>66.007999999999996</v>
      </c>
      <c r="AB1080">
        <f>'raw data Crude oil'!AB1081</f>
        <v>65.334000000000003</v>
      </c>
      <c r="AC1080">
        <f>'raw data Crude oil'!AC1081</f>
        <v>64.626000000000005</v>
      </c>
      <c r="AD1080">
        <f>'raw data Crude oil'!AD1081</f>
        <v>63.914000000000001</v>
      </c>
      <c r="AE1080">
        <f>'raw data Crude oil'!AE1081</f>
        <v>63.313000000000002</v>
      </c>
      <c r="AF1080">
        <f>'raw data Crude oil'!AF1081</f>
        <v>62.756999999999998</v>
      </c>
      <c r="AG1080">
        <f>'raw data Crude oil'!AG1081</f>
        <v>62.226999999999997</v>
      </c>
      <c r="AH1080">
        <f>'raw data Crude oil'!AH1081</f>
        <v>61.73</v>
      </c>
      <c r="AI1080">
        <f>'raw data Crude oil'!AI1081</f>
        <v>61.253999999999998</v>
      </c>
      <c r="AJ1080">
        <f>'raw data Crude oil'!AJ1081</f>
        <v>60.881999999999998</v>
      </c>
      <c r="AK1080">
        <f>'raw data Crude oil'!AK1081</f>
        <v>60.542000000000002</v>
      </c>
    </row>
    <row r="1081" spans="1:37" x14ac:dyDescent="0.3">
      <c r="A1081" s="18">
        <f>'raw data Crude oil'!A1082</f>
        <v>44264</v>
      </c>
      <c r="B1081">
        <f>'raw data Crude oil'!B1082</f>
        <v>67.52</v>
      </c>
      <c r="C1081">
        <f>'raw data Crude oil'!C1082</f>
        <v>67.05</v>
      </c>
      <c r="D1081">
        <f>'raw data Crude oil'!D1082</f>
        <v>66.349999999999994</v>
      </c>
      <c r="E1081">
        <f>'raw data Crude oil'!E1082</f>
        <v>65.739999999999995</v>
      </c>
      <c r="F1081">
        <f>'raw data Crude oil'!F1082</f>
        <v>65.14</v>
      </c>
      <c r="G1081">
        <f>'raw data Crude oil'!G1082</f>
        <v>64.56</v>
      </c>
      <c r="H1081">
        <f>'raw data Crude oil'!H1082</f>
        <v>64.03</v>
      </c>
      <c r="I1081">
        <f>'raw data Crude oil'!I1082</f>
        <v>63.53</v>
      </c>
      <c r="J1081">
        <f>'raw data Crude oil'!J1082</f>
        <v>63.06</v>
      </c>
      <c r="K1081">
        <f>'raw data Crude oil'!K1082</f>
        <v>62.63</v>
      </c>
      <c r="L1081">
        <f>'raw data Crude oil'!L1082</f>
        <v>62.24</v>
      </c>
      <c r="M1081">
        <f>'raw data Crude oil'!M1082</f>
        <v>61.87</v>
      </c>
      <c r="N1081">
        <f>'raw data Crude oil'!N1082</f>
        <v>64.010000000000005</v>
      </c>
      <c r="O1081">
        <f>'raw data Crude oil'!O1082</f>
        <v>63.99</v>
      </c>
      <c r="P1081">
        <f>'raw data Crude oil'!P1082</f>
        <v>63.69</v>
      </c>
      <c r="Q1081">
        <f>'raw data Crude oil'!Q1082</f>
        <v>63.2</v>
      </c>
      <c r="R1081">
        <f>'raw data Crude oil'!R1082</f>
        <v>62.61</v>
      </c>
      <c r="S1081">
        <f>'raw data Crude oil'!S1082</f>
        <v>61.96</v>
      </c>
      <c r="T1081">
        <f>'raw data Crude oil'!T1082</f>
        <v>61.3</v>
      </c>
      <c r="U1081">
        <f>'raw data Crude oil'!U1082</f>
        <v>60.69</v>
      </c>
      <c r="V1081">
        <f>'raw data Crude oil'!V1082</f>
        <v>60.13</v>
      </c>
      <c r="W1081">
        <f>'raw data Crude oil'!W1082</f>
        <v>59.6</v>
      </c>
      <c r="X1081">
        <f>'raw data Crude oil'!X1082</f>
        <v>59.1</v>
      </c>
      <c r="Y1081">
        <f>'raw data Crude oil'!Y1082</f>
        <v>58.63</v>
      </c>
      <c r="Z1081">
        <f>'raw data Crude oil'!Z1082</f>
        <v>65.411000000000001</v>
      </c>
      <c r="AA1081">
        <f>'raw data Crude oil'!AA1082</f>
        <v>65.266999999999996</v>
      </c>
      <c r="AB1081">
        <f>'raw data Crude oil'!AB1082</f>
        <v>64.635000000000005</v>
      </c>
      <c r="AC1081">
        <f>'raw data Crude oil'!AC1082</f>
        <v>63.963000000000001</v>
      </c>
      <c r="AD1081">
        <f>'raw data Crude oil'!AD1082</f>
        <v>63.314</v>
      </c>
      <c r="AE1081">
        <f>'raw data Crude oil'!AE1082</f>
        <v>62.765999999999998</v>
      </c>
      <c r="AF1081">
        <f>'raw data Crude oil'!AF1082</f>
        <v>62.237000000000002</v>
      </c>
      <c r="AG1081">
        <f>'raw data Crude oil'!AG1082</f>
        <v>61.718000000000004</v>
      </c>
      <c r="AH1081">
        <f>'raw data Crude oil'!AH1082</f>
        <v>61.24</v>
      </c>
      <c r="AI1081">
        <f>'raw data Crude oil'!AI1082</f>
        <v>60.786000000000001</v>
      </c>
      <c r="AJ1081">
        <f>'raw data Crude oil'!AJ1082</f>
        <v>60.421999999999997</v>
      </c>
      <c r="AK1081">
        <f>'raw data Crude oil'!AK1082</f>
        <v>60.082999999999998</v>
      </c>
    </row>
    <row r="1082" spans="1:37" x14ac:dyDescent="0.3">
      <c r="A1082" s="18">
        <f>'raw data Crude oil'!A1083</f>
        <v>44265</v>
      </c>
      <c r="B1082">
        <f>'raw data Crude oil'!B1083</f>
        <v>67.900000000000006</v>
      </c>
      <c r="C1082">
        <f>'raw data Crude oil'!C1083</f>
        <v>67.38</v>
      </c>
      <c r="D1082">
        <f>'raw data Crude oil'!D1083</f>
        <v>66.650000000000006</v>
      </c>
      <c r="E1082">
        <f>'raw data Crude oil'!E1083</f>
        <v>66.010000000000005</v>
      </c>
      <c r="F1082">
        <f>'raw data Crude oil'!F1083</f>
        <v>65.38</v>
      </c>
      <c r="G1082">
        <f>'raw data Crude oil'!G1083</f>
        <v>64.77</v>
      </c>
      <c r="H1082">
        <f>'raw data Crude oil'!H1083</f>
        <v>64.22</v>
      </c>
      <c r="I1082">
        <f>'raw data Crude oil'!I1083</f>
        <v>63.7</v>
      </c>
      <c r="J1082">
        <f>'raw data Crude oil'!J1083</f>
        <v>63.22</v>
      </c>
      <c r="K1082">
        <f>'raw data Crude oil'!K1083</f>
        <v>62.77</v>
      </c>
      <c r="L1082">
        <f>'raw data Crude oil'!L1083</f>
        <v>62.36</v>
      </c>
      <c r="M1082">
        <f>'raw data Crude oil'!M1083</f>
        <v>61.99</v>
      </c>
      <c r="N1082">
        <f>'raw data Crude oil'!N1083</f>
        <v>64.44</v>
      </c>
      <c r="O1082">
        <f>'raw data Crude oil'!O1083</f>
        <v>64.42</v>
      </c>
      <c r="P1082">
        <f>'raw data Crude oil'!P1083</f>
        <v>64.09</v>
      </c>
      <c r="Q1082">
        <f>'raw data Crude oil'!Q1083</f>
        <v>63.58</v>
      </c>
      <c r="R1082">
        <f>'raw data Crude oil'!R1083</f>
        <v>62.96</v>
      </c>
      <c r="S1082">
        <f>'raw data Crude oil'!S1083</f>
        <v>62.28</v>
      </c>
      <c r="T1082">
        <f>'raw data Crude oil'!T1083</f>
        <v>61.6</v>
      </c>
      <c r="U1082">
        <f>'raw data Crude oil'!U1083</f>
        <v>60.97</v>
      </c>
      <c r="V1082">
        <f>'raw data Crude oil'!V1083</f>
        <v>60.38</v>
      </c>
      <c r="W1082">
        <f>'raw data Crude oil'!W1083</f>
        <v>59.81</v>
      </c>
      <c r="X1082">
        <f>'raw data Crude oil'!X1083</f>
        <v>59.29</v>
      </c>
      <c r="Y1082">
        <f>'raw data Crude oil'!Y1083</f>
        <v>58.8</v>
      </c>
      <c r="Z1082">
        <f>'raw data Crude oil'!Z1083</f>
        <v>65.546999999999997</v>
      </c>
      <c r="AA1082">
        <f>'raw data Crude oil'!AA1083</f>
        <v>65.484999999999999</v>
      </c>
      <c r="AB1082">
        <f>'raw data Crude oil'!AB1083</f>
        <v>64.789000000000001</v>
      </c>
      <c r="AC1082">
        <f>'raw data Crude oil'!AC1083</f>
        <v>64.100999999999999</v>
      </c>
      <c r="AD1082">
        <f>'raw data Crude oil'!AD1083</f>
        <v>63.432000000000002</v>
      </c>
      <c r="AE1082">
        <f>'raw data Crude oil'!AE1083</f>
        <v>62.875</v>
      </c>
      <c r="AF1082">
        <f>'raw data Crude oil'!AF1083</f>
        <v>62.356000000000002</v>
      </c>
      <c r="AG1082">
        <f>'raw data Crude oil'!AG1083</f>
        <v>61.807000000000002</v>
      </c>
      <c r="AH1082">
        <f>'raw data Crude oil'!AH1083</f>
        <v>61.31</v>
      </c>
      <c r="AI1082">
        <f>'raw data Crude oil'!AI1083</f>
        <v>60.823999999999998</v>
      </c>
      <c r="AJ1082">
        <f>'raw data Crude oil'!AJ1083</f>
        <v>60.472000000000001</v>
      </c>
      <c r="AK1082">
        <f>'raw data Crude oil'!AK1083</f>
        <v>60.112000000000002</v>
      </c>
    </row>
    <row r="1083" spans="1:37" x14ac:dyDescent="0.3">
      <c r="A1083" s="18">
        <f>'raw data Crude oil'!A1084</f>
        <v>44266</v>
      </c>
      <c r="B1083">
        <f>'raw data Crude oil'!B1084</f>
        <v>69.63</v>
      </c>
      <c r="C1083">
        <f>'raw data Crude oil'!C1084</f>
        <v>69</v>
      </c>
      <c r="D1083">
        <f>'raw data Crude oil'!D1084</f>
        <v>68.19</v>
      </c>
      <c r="E1083">
        <f>'raw data Crude oil'!E1084</f>
        <v>67.489999999999995</v>
      </c>
      <c r="F1083">
        <f>'raw data Crude oil'!F1084</f>
        <v>66.81</v>
      </c>
      <c r="G1083">
        <f>'raw data Crude oil'!G1084</f>
        <v>66.150000000000006</v>
      </c>
      <c r="H1083">
        <f>'raw data Crude oil'!H1084</f>
        <v>65.540000000000006</v>
      </c>
      <c r="I1083">
        <f>'raw data Crude oil'!I1084</f>
        <v>64.98</v>
      </c>
      <c r="J1083">
        <f>'raw data Crude oil'!J1084</f>
        <v>64.47</v>
      </c>
      <c r="K1083">
        <f>'raw data Crude oil'!K1084</f>
        <v>63.99</v>
      </c>
      <c r="L1083">
        <f>'raw data Crude oil'!L1084</f>
        <v>63.54</v>
      </c>
      <c r="M1083">
        <f>'raw data Crude oil'!M1084</f>
        <v>63.14</v>
      </c>
      <c r="N1083">
        <f>'raw data Crude oil'!N1084</f>
        <v>66.02</v>
      </c>
      <c r="O1083">
        <f>'raw data Crude oil'!O1084</f>
        <v>66</v>
      </c>
      <c r="P1083">
        <f>'raw data Crude oil'!P1084</f>
        <v>65.66</v>
      </c>
      <c r="Q1083">
        <f>'raw data Crude oil'!Q1084</f>
        <v>65.11</v>
      </c>
      <c r="R1083">
        <f>'raw data Crude oil'!R1084</f>
        <v>64.430000000000007</v>
      </c>
      <c r="S1083">
        <f>'raw data Crude oil'!S1084</f>
        <v>63.7</v>
      </c>
      <c r="T1083">
        <f>'raw data Crude oil'!T1084</f>
        <v>62.97</v>
      </c>
      <c r="U1083">
        <f>'raw data Crude oil'!U1084</f>
        <v>62.28</v>
      </c>
      <c r="V1083">
        <f>'raw data Crude oil'!V1084</f>
        <v>61.64</v>
      </c>
      <c r="W1083">
        <f>'raw data Crude oil'!W1084</f>
        <v>61.04</v>
      </c>
      <c r="X1083">
        <f>'raw data Crude oil'!X1084</f>
        <v>60.48</v>
      </c>
      <c r="Y1083">
        <f>'raw data Crude oil'!Y1084</f>
        <v>59.95</v>
      </c>
      <c r="Z1083">
        <f>'raw data Crude oil'!Z1084</f>
        <v>66.622</v>
      </c>
      <c r="AA1083">
        <f>'raw data Crude oil'!AA1084</f>
        <v>67.141000000000005</v>
      </c>
      <c r="AB1083">
        <f>'raw data Crude oil'!AB1084</f>
        <v>66.382999999999996</v>
      </c>
      <c r="AC1083">
        <f>'raw data Crude oil'!AC1084</f>
        <v>65.638999999999996</v>
      </c>
      <c r="AD1083">
        <f>'raw data Crude oil'!AD1084</f>
        <v>64.92</v>
      </c>
      <c r="AE1083">
        <f>'raw data Crude oil'!AE1084</f>
        <v>64.302000000000007</v>
      </c>
      <c r="AF1083">
        <f>'raw data Crude oil'!AF1084</f>
        <v>63.715000000000003</v>
      </c>
      <c r="AG1083">
        <f>'raw data Crude oil'!AG1084</f>
        <v>63.155999999999999</v>
      </c>
      <c r="AH1083">
        <f>'raw data Crude oil'!AH1084</f>
        <v>62.628</v>
      </c>
      <c r="AI1083">
        <f>'raw data Crude oil'!AI1084</f>
        <v>62.110999999999997</v>
      </c>
      <c r="AJ1083">
        <f>'raw data Crude oil'!AJ1084</f>
        <v>61.720999999999997</v>
      </c>
      <c r="AK1083">
        <f>'raw data Crude oil'!AK1084</f>
        <v>61.33</v>
      </c>
    </row>
    <row r="1084" spans="1:37" x14ac:dyDescent="0.3">
      <c r="A1084" s="18">
        <f>'raw data Crude oil'!A1085</f>
        <v>44267</v>
      </c>
      <c r="B1084">
        <f>'raw data Crude oil'!B1085</f>
        <v>69.22</v>
      </c>
      <c r="C1084">
        <f>'raw data Crude oil'!C1085</f>
        <v>68.680000000000007</v>
      </c>
      <c r="D1084">
        <f>'raw data Crude oil'!D1085</f>
        <v>67.92</v>
      </c>
      <c r="E1084">
        <f>'raw data Crude oil'!E1085</f>
        <v>67.25</v>
      </c>
      <c r="F1084">
        <f>'raw data Crude oil'!F1085</f>
        <v>66.599999999999994</v>
      </c>
      <c r="G1084">
        <f>'raw data Crude oil'!G1085</f>
        <v>65.95</v>
      </c>
      <c r="H1084">
        <f>'raw data Crude oil'!H1085</f>
        <v>65.349999999999994</v>
      </c>
      <c r="I1084">
        <f>'raw data Crude oil'!I1085</f>
        <v>64.790000000000006</v>
      </c>
      <c r="J1084">
        <f>'raw data Crude oil'!J1085</f>
        <v>64.290000000000006</v>
      </c>
      <c r="K1084">
        <f>'raw data Crude oil'!K1085</f>
        <v>63.81</v>
      </c>
      <c r="L1084">
        <f>'raw data Crude oil'!L1085</f>
        <v>63.38</v>
      </c>
      <c r="M1084">
        <f>'raw data Crude oil'!M1085</f>
        <v>62.98</v>
      </c>
      <c r="N1084">
        <f>'raw data Crude oil'!N1085</f>
        <v>65.61</v>
      </c>
      <c r="O1084">
        <f>'raw data Crude oil'!O1085</f>
        <v>65.64</v>
      </c>
      <c r="P1084">
        <f>'raw data Crude oil'!P1085</f>
        <v>65.36</v>
      </c>
      <c r="Q1084">
        <f>'raw data Crude oil'!Q1085</f>
        <v>64.84</v>
      </c>
      <c r="R1084">
        <f>'raw data Crude oil'!R1085</f>
        <v>64.19</v>
      </c>
      <c r="S1084">
        <f>'raw data Crude oil'!S1085</f>
        <v>63.48</v>
      </c>
      <c r="T1084">
        <f>'raw data Crude oil'!T1085</f>
        <v>62.76</v>
      </c>
      <c r="U1084">
        <f>'raw data Crude oil'!U1085</f>
        <v>62.09</v>
      </c>
      <c r="V1084">
        <f>'raw data Crude oil'!V1085</f>
        <v>61.46</v>
      </c>
      <c r="W1084">
        <f>'raw data Crude oil'!W1085</f>
        <v>60.86</v>
      </c>
      <c r="X1084">
        <f>'raw data Crude oil'!X1085</f>
        <v>60.31</v>
      </c>
      <c r="Y1084">
        <f>'raw data Crude oil'!Y1085</f>
        <v>59.79</v>
      </c>
      <c r="Z1084">
        <f>'raw data Crude oil'!Z1085</f>
        <v>66.576999999999998</v>
      </c>
      <c r="AA1084">
        <f>'raw data Crude oil'!AA1085</f>
        <v>67.043999999999997</v>
      </c>
      <c r="AB1084">
        <f>'raw data Crude oil'!AB1085</f>
        <v>66.286000000000001</v>
      </c>
      <c r="AC1084">
        <f>'raw data Crude oil'!AC1085</f>
        <v>65.53</v>
      </c>
      <c r="AD1084">
        <f>'raw data Crude oil'!AD1085</f>
        <v>64.83</v>
      </c>
      <c r="AE1084">
        <f>'raw data Crude oil'!AE1085</f>
        <v>64.222999999999999</v>
      </c>
      <c r="AF1084">
        <f>'raw data Crude oil'!AF1085</f>
        <v>63.655000000000001</v>
      </c>
      <c r="AG1084">
        <f>'raw data Crude oil'!AG1085</f>
        <v>63.085999999999999</v>
      </c>
      <c r="AH1084">
        <f>'raw data Crude oil'!AH1085</f>
        <v>62.558</v>
      </c>
      <c r="AI1084">
        <f>'raw data Crude oil'!AI1085</f>
        <v>62.042999999999999</v>
      </c>
      <c r="AJ1084">
        <f>'raw data Crude oil'!AJ1085</f>
        <v>61.651000000000003</v>
      </c>
      <c r="AK1084">
        <f>'raw data Crude oil'!AK1085</f>
        <v>61.280999999999999</v>
      </c>
    </row>
    <row r="1085" spans="1:37" x14ac:dyDescent="0.3">
      <c r="A1085" s="18">
        <f>'raw data Crude oil'!A1086</f>
        <v>44270</v>
      </c>
      <c r="B1085">
        <f>'raw data Crude oil'!B1086</f>
        <v>68.88</v>
      </c>
      <c r="C1085">
        <f>'raw data Crude oil'!C1086</f>
        <v>68.33</v>
      </c>
      <c r="D1085">
        <f>'raw data Crude oil'!D1086</f>
        <v>67.58</v>
      </c>
      <c r="E1085">
        <f>'raw data Crude oil'!E1086</f>
        <v>66.92</v>
      </c>
      <c r="F1085">
        <f>'raw data Crude oil'!F1086</f>
        <v>66.290000000000006</v>
      </c>
      <c r="G1085">
        <f>'raw data Crude oil'!G1086</f>
        <v>65.67</v>
      </c>
      <c r="H1085">
        <f>'raw data Crude oil'!H1086</f>
        <v>65.099999999999994</v>
      </c>
      <c r="I1085">
        <f>'raw data Crude oil'!I1086</f>
        <v>64.55</v>
      </c>
      <c r="J1085">
        <f>'raw data Crude oil'!J1086</f>
        <v>64.06</v>
      </c>
      <c r="K1085">
        <f>'raw data Crude oil'!K1086</f>
        <v>63.6</v>
      </c>
      <c r="L1085">
        <f>'raw data Crude oil'!L1086</f>
        <v>63.17</v>
      </c>
      <c r="M1085">
        <f>'raw data Crude oil'!M1086</f>
        <v>62.77</v>
      </c>
      <c r="N1085">
        <f>'raw data Crude oil'!N1086</f>
        <v>65.39</v>
      </c>
      <c r="O1085">
        <f>'raw data Crude oil'!O1086</f>
        <v>65.44</v>
      </c>
      <c r="P1085">
        <f>'raw data Crude oil'!P1086</f>
        <v>65.2</v>
      </c>
      <c r="Q1085">
        <f>'raw data Crude oil'!Q1086</f>
        <v>64.709999999999994</v>
      </c>
      <c r="R1085">
        <f>'raw data Crude oil'!R1086</f>
        <v>64.069999999999993</v>
      </c>
      <c r="S1085">
        <f>'raw data Crude oil'!S1086</f>
        <v>63.36</v>
      </c>
      <c r="T1085">
        <f>'raw data Crude oil'!T1086</f>
        <v>62.65</v>
      </c>
      <c r="U1085">
        <f>'raw data Crude oil'!U1086</f>
        <v>61.98</v>
      </c>
      <c r="V1085">
        <f>'raw data Crude oil'!V1086</f>
        <v>61.35</v>
      </c>
      <c r="W1085">
        <f>'raw data Crude oil'!W1086</f>
        <v>60.76</v>
      </c>
      <c r="X1085">
        <f>'raw data Crude oil'!X1086</f>
        <v>60.2</v>
      </c>
      <c r="Y1085">
        <f>'raw data Crude oil'!Y1086</f>
        <v>59.69</v>
      </c>
      <c r="Z1085">
        <f>'raw data Crude oil'!Z1086</f>
        <v>66.331999999999994</v>
      </c>
      <c r="AA1085">
        <f>'raw data Crude oil'!AA1086</f>
        <v>66.554000000000002</v>
      </c>
      <c r="AB1085">
        <f>'raw data Crude oil'!AB1086</f>
        <v>65.837000000000003</v>
      </c>
      <c r="AC1085">
        <f>'raw data Crude oil'!AC1086</f>
        <v>65.131</v>
      </c>
      <c r="AD1085">
        <f>'raw data Crude oil'!AD1086</f>
        <v>64.451999999999998</v>
      </c>
      <c r="AE1085">
        <f>'raw data Crude oil'!AE1086</f>
        <v>63.874000000000002</v>
      </c>
      <c r="AF1085">
        <f>'raw data Crude oil'!AF1086</f>
        <v>63.314999999999998</v>
      </c>
      <c r="AG1085">
        <f>'raw data Crude oil'!AG1086</f>
        <v>62.777000000000001</v>
      </c>
      <c r="AH1085">
        <f>'raw data Crude oil'!AH1086</f>
        <v>62.238999999999997</v>
      </c>
      <c r="AI1085">
        <f>'raw data Crude oil'!AI1086</f>
        <v>61.732999999999997</v>
      </c>
      <c r="AJ1085">
        <f>'raw data Crude oil'!AJ1086</f>
        <v>61.350999999999999</v>
      </c>
      <c r="AK1085">
        <f>'raw data Crude oil'!AK1086</f>
        <v>61.002000000000002</v>
      </c>
    </row>
    <row r="1086" spans="1:37" x14ac:dyDescent="0.3">
      <c r="A1086" s="18">
        <f>'raw data Crude oil'!A1087</f>
        <v>44271</v>
      </c>
      <c r="B1086">
        <f>'raw data Crude oil'!B1087</f>
        <v>68.39</v>
      </c>
      <c r="C1086">
        <f>'raw data Crude oil'!C1087</f>
        <v>67.87</v>
      </c>
      <c r="D1086">
        <f>'raw data Crude oil'!D1087</f>
        <v>67.180000000000007</v>
      </c>
      <c r="E1086">
        <f>'raw data Crude oil'!E1087</f>
        <v>66.569999999999993</v>
      </c>
      <c r="F1086">
        <f>'raw data Crude oil'!F1087</f>
        <v>65.97</v>
      </c>
      <c r="G1086">
        <f>'raw data Crude oil'!G1087</f>
        <v>65.38</v>
      </c>
      <c r="H1086">
        <f>'raw data Crude oil'!H1087</f>
        <v>64.83</v>
      </c>
      <c r="I1086">
        <f>'raw data Crude oil'!I1087</f>
        <v>64.290000000000006</v>
      </c>
      <c r="J1086">
        <f>'raw data Crude oil'!J1087</f>
        <v>63.81</v>
      </c>
      <c r="K1086">
        <f>'raw data Crude oil'!K1087</f>
        <v>63.36</v>
      </c>
      <c r="L1086">
        <f>'raw data Crude oil'!L1087</f>
        <v>62.95</v>
      </c>
      <c r="M1086">
        <f>'raw data Crude oil'!M1087</f>
        <v>62.58</v>
      </c>
      <c r="N1086">
        <f>'raw data Crude oil'!N1087</f>
        <v>64.8</v>
      </c>
      <c r="O1086">
        <f>'raw data Crude oil'!O1087</f>
        <v>64.86</v>
      </c>
      <c r="P1086">
        <f>'raw data Crude oil'!P1087</f>
        <v>64.680000000000007</v>
      </c>
      <c r="Q1086">
        <f>'raw data Crude oil'!Q1087</f>
        <v>64.25</v>
      </c>
      <c r="R1086">
        <f>'raw data Crude oil'!R1087</f>
        <v>63.68</v>
      </c>
      <c r="S1086">
        <f>'raw data Crude oil'!S1087</f>
        <v>63.02</v>
      </c>
      <c r="T1086">
        <f>'raw data Crude oil'!T1087</f>
        <v>62.35</v>
      </c>
      <c r="U1086">
        <f>'raw data Crude oil'!U1087</f>
        <v>61.71</v>
      </c>
      <c r="V1086">
        <f>'raw data Crude oil'!V1087</f>
        <v>61.1</v>
      </c>
      <c r="W1086">
        <f>'raw data Crude oil'!W1087</f>
        <v>60.52</v>
      </c>
      <c r="X1086">
        <f>'raw data Crude oil'!X1087</f>
        <v>59.98</v>
      </c>
      <c r="Y1086">
        <f>'raw data Crude oil'!Y1087</f>
        <v>59.48</v>
      </c>
      <c r="Z1086">
        <f>'raw data Crude oil'!Z1087</f>
        <v>66.034999999999997</v>
      </c>
      <c r="AA1086">
        <f>'raw data Crude oil'!AA1087</f>
        <v>66.096999999999994</v>
      </c>
      <c r="AB1086">
        <f>'raw data Crude oil'!AB1087</f>
        <v>65.441999999999993</v>
      </c>
      <c r="AC1086">
        <f>'raw data Crude oil'!AC1087</f>
        <v>64.772999999999996</v>
      </c>
      <c r="AD1086">
        <f>'raw data Crude oil'!AD1087</f>
        <v>64.132999999999996</v>
      </c>
      <c r="AE1086">
        <f>'raw data Crude oil'!AE1087</f>
        <v>63.575000000000003</v>
      </c>
      <c r="AF1086">
        <f>'raw data Crude oil'!AF1087</f>
        <v>63.034999999999997</v>
      </c>
      <c r="AG1086">
        <f>'raw data Crude oil'!AG1087</f>
        <v>62.517000000000003</v>
      </c>
      <c r="AH1086">
        <f>'raw data Crude oil'!AH1087</f>
        <v>61.99</v>
      </c>
      <c r="AI1086">
        <f>'raw data Crude oil'!AI1087</f>
        <v>61.494</v>
      </c>
      <c r="AJ1086">
        <f>'raw data Crude oil'!AJ1087</f>
        <v>61.122</v>
      </c>
      <c r="AK1086">
        <f>'raw data Crude oil'!AK1087</f>
        <v>60.792000000000002</v>
      </c>
    </row>
    <row r="1087" spans="1:37" x14ac:dyDescent="0.3">
      <c r="A1087" s="18">
        <f>'raw data Crude oil'!A1088</f>
        <v>44272</v>
      </c>
      <c r="B1087">
        <f>'raw data Crude oil'!B1088</f>
        <v>68</v>
      </c>
      <c r="C1087">
        <f>'raw data Crude oil'!C1088</f>
        <v>67.569999999999993</v>
      </c>
      <c r="D1087">
        <f>'raw data Crude oil'!D1088</f>
        <v>66.98</v>
      </c>
      <c r="E1087">
        <f>'raw data Crude oil'!E1088</f>
        <v>66.47</v>
      </c>
      <c r="F1087">
        <f>'raw data Crude oil'!F1088</f>
        <v>65.92</v>
      </c>
      <c r="G1087">
        <f>'raw data Crude oil'!G1088</f>
        <v>65.36</v>
      </c>
      <c r="H1087">
        <f>'raw data Crude oil'!H1088</f>
        <v>64.84</v>
      </c>
      <c r="I1087">
        <f>'raw data Crude oil'!I1088</f>
        <v>64.319999999999993</v>
      </c>
      <c r="J1087">
        <f>'raw data Crude oil'!J1088</f>
        <v>63.86</v>
      </c>
      <c r="K1087">
        <f>'raw data Crude oil'!K1088</f>
        <v>63.42</v>
      </c>
      <c r="L1087">
        <f>'raw data Crude oil'!L1088</f>
        <v>63.03</v>
      </c>
      <c r="M1087">
        <f>'raw data Crude oil'!M1088</f>
        <v>62.68</v>
      </c>
      <c r="N1087">
        <f>'raw data Crude oil'!N1088</f>
        <v>64.599999999999994</v>
      </c>
      <c r="O1087">
        <f>'raw data Crude oil'!O1088</f>
        <v>64.63</v>
      </c>
      <c r="P1087">
        <f>'raw data Crude oil'!P1088</f>
        <v>64.45</v>
      </c>
      <c r="Q1087">
        <f>'raw data Crude oil'!Q1088</f>
        <v>64.05</v>
      </c>
      <c r="R1087">
        <f>'raw data Crude oil'!R1088</f>
        <v>63.5</v>
      </c>
      <c r="S1087">
        <f>'raw data Crude oil'!S1088</f>
        <v>62.88</v>
      </c>
      <c r="T1087">
        <f>'raw data Crude oil'!T1088</f>
        <v>62.24</v>
      </c>
      <c r="U1087">
        <f>'raw data Crude oil'!U1088</f>
        <v>61.62</v>
      </c>
      <c r="V1087">
        <f>'raw data Crude oil'!V1088</f>
        <v>61.05</v>
      </c>
      <c r="W1087">
        <f>'raw data Crude oil'!W1088</f>
        <v>60.5</v>
      </c>
      <c r="X1087">
        <f>'raw data Crude oil'!X1088</f>
        <v>59.98</v>
      </c>
      <c r="Y1087">
        <f>'raw data Crude oil'!Y1088</f>
        <v>59.5</v>
      </c>
      <c r="Z1087">
        <f>'raw data Crude oil'!Z1088</f>
        <v>65.739999999999995</v>
      </c>
      <c r="AA1087">
        <f>'raw data Crude oil'!AA1088</f>
        <v>65.542000000000002</v>
      </c>
      <c r="AB1087">
        <f>'raw data Crude oil'!AB1088</f>
        <v>65.090999999999994</v>
      </c>
      <c r="AC1087">
        <f>'raw data Crude oil'!AC1088</f>
        <v>64.534999999999997</v>
      </c>
      <c r="AD1087">
        <f>'raw data Crude oil'!AD1088</f>
        <v>63.994999999999997</v>
      </c>
      <c r="AE1087">
        <f>'raw data Crude oil'!AE1088</f>
        <v>63.496000000000002</v>
      </c>
      <c r="AF1087">
        <f>'raw data Crude oil'!AF1088</f>
        <v>63.006</v>
      </c>
      <c r="AG1087">
        <f>'raw data Crude oil'!AG1088</f>
        <v>62.508000000000003</v>
      </c>
      <c r="AH1087">
        <f>'raw data Crude oil'!AH1088</f>
        <v>62.02</v>
      </c>
      <c r="AI1087">
        <f>'raw data Crude oil'!AI1088</f>
        <v>61.526000000000003</v>
      </c>
      <c r="AJ1087">
        <f>'raw data Crude oil'!AJ1088</f>
        <v>61.183</v>
      </c>
      <c r="AK1087">
        <f>'raw data Crude oil'!AK1088</f>
        <v>60.863</v>
      </c>
    </row>
    <row r="1088" spans="1:37" x14ac:dyDescent="0.3">
      <c r="A1088" s="18">
        <f>'raw data Crude oil'!A1089</f>
        <v>44273</v>
      </c>
      <c r="B1088">
        <f>'raw data Crude oil'!B1089</f>
        <v>63.28</v>
      </c>
      <c r="C1088">
        <f>'raw data Crude oil'!C1089</f>
        <v>63.03</v>
      </c>
      <c r="D1088">
        <f>'raw data Crude oil'!D1089</f>
        <v>62.61</v>
      </c>
      <c r="E1088">
        <f>'raw data Crude oil'!E1089</f>
        <v>62.25</v>
      </c>
      <c r="F1088">
        <f>'raw data Crude oil'!F1089</f>
        <v>61.87</v>
      </c>
      <c r="G1088">
        <f>'raw data Crude oil'!G1089</f>
        <v>61.47</v>
      </c>
      <c r="H1088">
        <f>'raw data Crude oil'!H1089</f>
        <v>61.08</v>
      </c>
      <c r="I1088">
        <f>'raw data Crude oil'!I1089</f>
        <v>60.68</v>
      </c>
      <c r="J1088">
        <f>'raw data Crude oil'!J1089</f>
        <v>60.34</v>
      </c>
      <c r="K1088">
        <f>'raw data Crude oil'!K1089</f>
        <v>60.02</v>
      </c>
      <c r="L1088">
        <f>'raw data Crude oil'!L1089</f>
        <v>59.75</v>
      </c>
      <c r="M1088">
        <f>'raw data Crude oil'!M1089</f>
        <v>59.5</v>
      </c>
      <c r="N1088">
        <f>'raw data Crude oil'!N1089</f>
        <v>60</v>
      </c>
      <c r="O1088">
        <f>'raw data Crude oil'!O1089</f>
        <v>60.06</v>
      </c>
      <c r="P1088">
        <f>'raw data Crude oil'!P1089</f>
        <v>59.94</v>
      </c>
      <c r="Q1088">
        <f>'raw data Crude oil'!Q1089</f>
        <v>59.66</v>
      </c>
      <c r="R1088">
        <f>'raw data Crude oil'!R1089</f>
        <v>59.25</v>
      </c>
      <c r="S1088">
        <f>'raw data Crude oil'!S1089</f>
        <v>58.78</v>
      </c>
      <c r="T1088">
        <f>'raw data Crude oil'!T1089</f>
        <v>58.3</v>
      </c>
      <c r="U1088">
        <f>'raw data Crude oil'!U1089</f>
        <v>57.82</v>
      </c>
      <c r="V1088">
        <f>'raw data Crude oil'!V1089</f>
        <v>57.39</v>
      </c>
      <c r="W1088">
        <f>'raw data Crude oil'!W1089</f>
        <v>56.97</v>
      </c>
      <c r="X1088">
        <f>'raw data Crude oil'!X1089</f>
        <v>56.59</v>
      </c>
      <c r="Y1088">
        <f>'raw data Crude oil'!Y1089</f>
        <v>56.23</v>
      </c>
      <c r="Z1088">
        <f>'raw data Crude oil'!Z1089</f>
        <v>64.016000000000005</v>
      </c>
      <c r="AA1088">
        <f>'raw data Crude oil'!AA1089</f>
        <v>61.216999999999999</v>
      </c>
      <c r="AB1088">
        <f>'raw data Crude oil'!AB1089</f>
        <v>60.829000000000001</v>
      </c>
      <c r="AC1088">
        <f>'raw data Crude oil'!AC1089</f>
        <v>60.387999999999998</v>
      </c>
      <c r="AD1088">
        <f>'raw data Crude oil'!AD1089</f>
        <v>59.948999999999998</v>
      </c>
      <c r="AE1088">
        <f>'raw data Crude oil'!AE1089</f>
        <v>59.634</v>
      </c>
      <c r="AF1088">
        <f>'raw data Crude oil'!AF1089</f>
        <v>59.292999999999999</v>
      </c>
      <c r="AG1088">
        <f>'raw data Crude oil'!AG1089</f>
        <v>58.914000000000001</v>
      </c>
      <c r="AH1088">
        <f>'raw data Crude oil'!AH1089</f>
        <v>58.555</v>
      </c>
      <c r="AI1088">
        <f>'raw data Crude oil'!AI1089</f>
        <v>58.207000000000001</v>
      </c>
      <c r="AJ1088">
        <f>'raw data Crude oil'!AJ1089</f>
        <v>57.978000000000002</v>
      </c>
      <c r="AK1088">
        <f>'raw data Crude oil'!AK1089</f>
        <v>57.759</v>
      </c>
    </row>
    <row r="1089" spans="1:37" x14ac:dyDescent="0.3">
      <c r="A1089" s="18">
        <f>'raw data Crude oil'!A1090</f>
        <v>44274</v>
      </c>
      <c r="B1089">
        <f>'raw data Crude oil'!B1090</f>
        <v>64.53</v>
      </c>
      <c r="C1089">
        <f>'raw data Crude oil'!C1090</f>
        <v>64.349999999999994</v>
      </c>
      <c r="D1089">
        <f>'raw data Crude oil'!D1090</f>
        <v>63.9</v>
      </c>
      <c r="E1089">
        <f>'raw data Crude oil'!E1090</f>
        <v>63.5</v>
      </c>
      <c r="F1089">
        <f>'raw data Crude oil'!F1090</f>
        <v>63.08</v>
      </c>
      <c r="G1089">
        <f>'raw data Crude oil'!G1090</f>
        <v>62.62</v>
      </c>
      <c r="H1089">
        <f>'raw data Crude oil'!H1090</f>
        <v>62.16</v>
      </c>
      <c r="I1089">
        <f>'raw data Crude oil'!I1090</f>
        <v>61.71</v>
      </c>
      <c r="J1089">
        <f>'raw data Crude oil'!J1090</f>
        <v>61.32</v>
      </c>
      <c r="K1089">
        <f>'raw data Crude oil'!K1090</f>
        <v>60.96</v>
      </c>
      <c r="L1089">
        <f>'raw data Crude oil'!L1090</f>
        <v>60.63</v>
      </c>
      <c r="M1089">
        <f>'raw data Crude oil'!M1090</f>
        <v>60.34</v>
      </c>
      <c r="N1089">
        <f>'raw data Crude oil'!N1090</f>
        <v>61.42</v>
      </c>
      <c r="O1089">
        <f>'raw data Crude oil'!O1090</f>
        <v>61.44</v>
      </c>
      <c r="P1089">
        <f>'raw data Crude oil'!P1090</f>
        <v>61.31</v>
      </c>
      <c r="Q1089">
        <f>'raw data Crude oil'!Q1090</f>
        <v>61.01</v>
      </c>
      <c r="R1089">
        <f>'raw data Crude oil'!R1090</f>
        <v>60.57</v>
      </c>
      <c r="S1089">
        <f>'raw data Crude oil'!S1090</f>
        <v>60.05</v>
      </c>
      <c r="T1089">
        <f>'raw data Crude oil'!T1090</f>
        <v>59.5</v>
      </c>
      <c r="U1089">
        <f>'raw data Crude oil'!U1090</f>
        <v>58.97</v>
      </c>
      <c r="V1089">
        <f>'raw data Crude oil'!V1090</f>
        <v>58.47</v>
      </c>
      <c r="W1089">
        <f>'raw data Crude oil'!W1090</f>
        <v>57.99</v>
      </c>
      <c r="X1089">
        <f>'raw data Crude oil'!X1090</f>
        <v>57.55</v>
      </c>
      <c r="Y1089">
        <f>'raw data Crude oil'!Y1090</f>
        <v>57.15</v>
      </c>
      <c r="Z1089">
        <f>'raw data Crude oil'!Z1090</f>
        <v>64.617000000000004</v>
      </c>
      <c r="AA1089">
        <f>'raw data Crude oil'!AA1090</f>
        <v>62.759</v>
      </c>
      <c r="AB1089">
        <f>'raw data Crude oil'!AB1090</f>
        <v>62.26</v>
      </c>
      <c r="AC1089">
        <f>'raw data Crude oil'!AC1090</f>
        <v>61.726999999999997</v>
      </c>
      <c r="AD1089">
        <f>'raw data Crude oil'!AD1090</f>
        <v>61.228999999999999</v>
      </c>
      <c r="AE1089">
        <f>'raw data Crude oil'!AE1090</f>
        <v>60.789000000000001</v>
      </c>
      <c r="AF1089">
        <f>'raw data Crude oil'!AF1090</f>
        <v>60.38</v>
      </c>
      <c r="AG1089">
        <f>'raw data Crude oil'!AG1090</f>
        <v>59.960999999999999</v>
      </c>
      <c r="AH1089">
        <f>'raw data Crude oil'!AH1090</f>
        <v>59.554000000000002</v>
      </c>
      <c r="AI1089">
        <f>'raw data Crude oil'!AI1090</f>
        <v>59.170999999999999</v>
      </c>
      <c r="AJ1089">
        <f>'raw data Crude oil'!AJ1090</f>
        <v>58.886000000000003</v>
      </c>
      <c r="AK1089">
        <f>'raw data Crude oil'!AK1090</f>
        <v>58.627000000000002</v>
      </c>
    </row>
    <row r="1090" spans="1:37" x14ac:dyDescent="0.3">
      <c r="A1090" s="18">
        <f>'raw data Crude oil'!A1091</f>
        <v>44277</v>
      </c>
      <c r="B1090">
        <f>'raw data Crude oil'!B1091</f>
        <v>64.62</v>
      </c>
      <c r="C1090">
        <f>'raw data Crude oil'!C1091</f>
        <v>64.52</v>
      </c>
      <c r="D1090">
        <f>'raw data Crude oil'!D1091</f>
        <v>64.099999999999994</v>
      </c>
      <c r="E1090">
        <f>'raw data Crude oil'!E1091</f>
        <v>63.72</v>
      </c>
      <c r="F1090">
        <f>'raw data Crude oil'!F1091</f>
        <v>63.31</v>
      </c>
      <c r="G1090">
        <f>'raw data Crude oil'!G1091</f>
        <v>62.86</v>
      </c>
      <c r="H1090">
        <f>'raw data Crude oil'!H1091</f>
        <v>62.41</v>
      </c>
      <c r="I1090">
        <f>'raw data Crude oil'!I1091</f>
        <v>61.97</v>
      </c>
      <c r="J1090">
        <f>'raw data Crude oil'!J1091</f>
        <v>61.57</v>
      </c>
      <c r="K1090">
        <f>'raw data Crude oil'!K1091</f>
        <v>61.2</v>
      </c>
      <c r="L1090">
        <f>'raw data Crude oil'!L1091</f>
        <v>60.88</v>
      </c>
      <c r="M1090">
        <f>'raw data Crude oil'!M1091</f>
        <v>60.59</v>
      </c>
      <c r="N1090">
        <f>'raw data Crude oil'!N1091</f>
        <v>61.55</v>
      </c>
      <c r="O1090">
        <f>'raw data Crude oil'!O1091</f>
        <v>61.56</v>
      </c>
      <c r="P1090">
        <f>'raw data Crude oil'!P1091</f>
        <v>61.49</v>
      </c>
      <c r="Q1090">
        <f>'raw data Crude oil'!Q1091</f>
        <v>61.23</v>
      </c>
      <c r="R1090">
        <f>'raw data Crude oil'!R1091</f>
        <v>60.81</v>
      </c>
      <c r="S1090">
        <f>'raw data Crude oil'!S1091</f>
        <v>60.3</v>
      </c>
      <c r="T1090">
        <f>'raw data Crude oil'!T1091</f>
        <v>59.76</v>
      </c>
      <c r="U1090">
        <f>'raw data Crude oil'!U1091</f>
        <v>59.22</v>
      </c>
      <c r="V1090">
        <f>'raw data Crude oil'!V1091</f>
        <v>58.71</v>
      </c>
      <c r="W1090">
        <f>'raw data Crude oil'!W1091</f>
        <v>58.24</v>
      </c>
      <c r="X1090">
        <f>'raw data Crude oil'!X1091</f>
        <v>57.77</v>
      </c>
      <c r="Y1090">
        <f>'raw data Crude oil'!Y1091</f>
        <v>57.38</v>
      </c>
      <c r="Z1090">
        <f>'raw data Crude oil'!Z1091</f>
        <v>64.73</v>
      </c>
      <c r="AA1090">
        <f>'raw data Crude oil'!AA1091</f>
        <v>63.12</v>
      </c>
      <c r="AB1090">
        <f>'raw data Crude oil'!AB1091</f>
        <v>62.584000000000003</v>
      </c>
      <c r="AC1090">
        <f>'raw data Crude oil'!AC1091</f>
        <v>62.021000000000001</v>
      </c>
      <c r="AD1090">
        <f>'raw data Crude oil'!AD1091</f>
        <v>61.52</v>
      </c>
      <c r="AE1090">
        <f>'raw data Crude oil'!AE1091</f>
        <v>61.115000000000002</v>
      </c>
      <c r="AF1090">
        <f>'raw data Crude oil'!AF1091</f>
        <v>60.7</v>
      </c>
      <c r="AG1090">
        <f>'raw data Crude oil'!AG1091</f>
        <v>60.280999999999999</v>
      </c>
      <c r="AH1090">
        <f>'raw data Crude oil'!AH1091</f>
        <v>59.863</v>
      </c>
      <c r="AI1090">
        <f>'raw data Crude oil'!AI1091</f>
        <v>59.472000000000001</v>
      </c>
      <c r="AJ1090">
        <f>'raw data Crude oil'!AJ1091</f>
        <v>59.195999999999998</v>
      </c>
      <c r="AK1090">
        <f>'raw data Crude oil'!AK1091</f>
        <v>58.947000000000003</v>
      </c>
    </row>
    <row r="1091" spans="1:37" x14ac:dyDescent="0.3">
      <c r="A1091" s="18">
        <f>'raw data Crude oil'!A1092</f>
        <v>44278</v>
      </c>
      <c r="B1091">
        <f>'raw data Crude oil'!B1092</f>
        <v>60.79</v>
      </c>
      <c r="C1091">
        <f>'raw data Crude oil'!C1092</f>
        <v>60.86</v>
      </c>
      <c r="D1091">
        <f>'raw data Crude oil'!D1092</f>
        <v>60.56</v>
      </c>
      <c r="E1091">
        <f>'raw data Crude oil'!E1092</f>
        <v>60.31</v>
      </c>
      <c r="F1091">
        <f>'raw data Crude oil'!F1092</f>
        <v>60.04</v>
      </c>
      <c r="G1091">
        <f>'raw data Crude oil'!G1092</f>
        <v>59.74</v>
      </c>
      <c r="H1091">
        <f>'raw data Crude oil'!H1092</f>
        <v>59.45</v>
      </c>
      <c r="I1091">
        <f>'raw data Crude oil'!I1092</f>
        <v>59.15</v>
      </c>
      <c r="J1091">
        <f>'raw data Crude oil'!J1092</f>
        <v>58.88</v>
      </c>
      <c r="K1091">
        <f>'raw data Crude oil'!K1092</f>
        <v>58.63</v>
      </c>
      <c r="L1091">
        <f>'raw data Crude oil'!L1092</f>
        <v>58.4</v>
      </c>
      <c r="M1091">
        <f>'raw data Crude oil'!M1092</f>
        <v>58.21</v>
      </c>
      <c r="N1091">
        <f>'raw data Crude oil'!N1092</f>
        <v>57.76</v>
      </c>
      <c r="O1091">
        <f>'raw data Crude oil'!O1092</f>
        <v>57.78</v>
      </c>
      <c r="P1091">
        <f>'raw data Crude oil'!P1092</f>
        <v>57.64</v>
      </c>
      <c r="Q1091">
        <f>'raw data Crude oil'!Q1092</f>
        <v>57.38</v>
      </c>
      <c r="R1091">
        <f>'raw data Crude oil'!R1092</f>
        <v>57.03</v>
      </c>
      <c r="S1091">
        <f>'raw data Crude oil'!S1092</f>
        <v>56.64</v>
      </c>
      <c r="T1091">
        <f>'raw data Crude oil'!T1092</f>
        <v>56.27</v>
      </c>
      <c r="U1091">
        <f>'raw data Crude oil'!U1092</f>
        <v>55.93</v>
      </c>
      <c r="V1091">
        <f>'raw data Crude oil'!V1092</f>
        <v>55.59</v>
      </c>
      <c r="W1091">
        <f>'raw data Crude oil'!W1092</f>
        <v>55.27</v>
      </c>
      <c r="X1091">
        <f>'raw data Crude oil'!X1092</f>
        <v>54.97</v>
      </c>
      <c r="Y1091">
        <f>'raw data Crude oil'!Y1092</f>
        <v>54.69</v>
      </c>
      <c r="Z1091">
        <f>'raw data Crude oil'!Z1092</f>
        <v>63.734000000000002</v>
      </c>
      <c r="AA1091">
        <f>'raw data Crude oil'!AA1092</f>
        <v>59.445999999999998</v>
      </c>
      <c r="AB1091">
        <f>'raw data Crude oil'!AB1092</f>
        <v>59.045999999999999</v>
      </c>
      <c r="AC1091">
        <f>'raw data Crude oil'!AC1092</f>
        <v>58.597999999999999</v>
      </c>
      <c r="AD1091">
        <f>'raw data Crude oil'!AD1092</f>
        <v>58.246000000000002</v>
      </c>
      <c r="AE1091">
        <f>'raw data Crude oil'!AE1092</f>
        <v>57.957000000000001</v>
      </c>
      <c r="AF1091">
        <f>'raw data Crude oil'!AF1092</f>
        <v>57.706000000000003</v>
      </c>
      <c r="AG1091">
        <f>'raw data Crude oil'!AG1092</f>
        <v>57.436999999999998</v>
      </c>
      <c r="AH1091">
        <f>'raw data Crude oil'!AH1092</f>
        <v>57.158999999999999</v>
      </c>
      <c r="AI1091">
        <f>'raw data Crude oil'!AI1092</f>
        <v>56.88</v>
      </c>
      <c r="AJ1091">
        <f>'raw data Crude oil'!AJ1092</f>
        <v>56.701000000000001</v>
      </c>
      <c r="AK1091">
        <f>'raw data Crude oil'!AK1092</f>
        <v>56.540999999999997</v>
      </c>
    </row>
    <row r="1092" spans="1:37" x14ac:dyDescent="0.3">
      <c r="A1092" s="18">
        <f>'raw data Crude oil'!A1093</f>
        <v>44279</v>
      </c>
      <c r="B1092">
        <f>'raw data Crude oil'!B1093</f>
        <v>64.41</v>
      </c>
      <c r="C1092">
        <f>'raw data Crude oil'!C1093</f>
        <v>64.25</v>
      </c>
      <c r="D1092">
        <f>'raw data Crude oil'!D1093</f>
        <v>63.82</v>
      </c>
      <c r="E1092">
        <f>'raw data Crude oil'!E1093</f>
        <v>63.46</v>
      </c>
      <c r="F1092">
        <f>'raw data Crude oil'!F1093</f>
        <v>63.08</v>
      </c>
      <c r="G1092">
        <f>'raw data Crude oil'!G1093</f>
        <v>62.66</v>
      </c>
      <c r="H1092">
        <f>'raw data Crude oil'!H1093</f>
        <v>62.26</v>
      </c>
      <c r="I1092">
        <f>'raw data Crude oil'!I1093</f>
        <v>61.85</v>
      </c>
      <c r="J1092">
        <f>'raw data Crude oil'!J1093</f>
        <v>61.5</v>
      </c>
      <c r="K1092">
        <f>'raw data Crude oil'!K1093</f>
        <v>61.18</v>
      </c>
      <c r="L1092">
        <f>'raw data Crude oil'!L1093</f>
        <v>60.87</v>
      </c>
      <c r="M1092">
        <f>'raw data Crude oil'!M1093</f>
        <v>60.6</v>
      </c>
      <c r="N1092">
        <f>'raw data Crude oil'!N1093</f>
        <v>61.18</v>
      </c>
      <c r="O1092">
        <f>'raw data Crude oil'!O1093</f>
        <v>61.16</v>
      </c>
      <c r="P1092">
        <f>'raw data Crude oil'!P1093</f>
        <v>60.96</v>
      </c>
      <c r="Q1092">
        <f>'raw data Crude oil'!Q1093</f>
        <v>60.6</v>
      </c>
      <c r="R1092">
        <f>'raw data Crude oil'!R1093</f>
        <v>60.12</v>
      </c>
      <c r="S1092">
        <f>'raw data Crude oil'!S1093</f>
        <v>59.61</v>
      </c>
      <c r="T1092">
        <f>'raw data Crude oil'!T1093</f>
        <v>59.1</v>
      </c>
      <c r="U1092">
        <f>'raw data Crude oil'!U1093</f>
        <v>58.62</v>
      </c>
      <c r="V1092">
        <f>'raw data Crude oil'!V1093</f>
        <v>58.15</v>
      </c>
      <c r="W1092">
        <f>'raw data Crude oil'!W1093</f>
        <v>57.73</v>
      </c>
      <c r="X1092">
        <f>'raw data Crude oil'!X1093</f>
        <v>57.35</v>
      </c>
      <c r="Y1092">
        <f>'raw data Crude oil'!Y1093</f>
        <v>56.99</v>
      </c>
      <c r="Z1092">
        <f>'raw data Crude oil'!Z1093</f>
        <v>64.578000000000003</v>
      </c>
      <c r="AA1092">
        <f>'raw data Crude oil'!AA1093</f>
        <v>62.56</v>
      </c>
      <c r="AB1092">
        <f>'raw data Crude oil'!AB1093</f>
        <v>62.066000000000003</v>
      </c>
      <c r="AC1092">
        <f>'raw data Crude oil'!AC1093</f>
        <v>61.573</v>
      </c>
      <c r="AD1092">
        <f>'raw data Crude oil'!AD1093</f>
        <v>61.121000000000002</v>
      </c>
      <c r="AE1092">
        <f>'raw data Crude oil'!AE1093</f>
        <v>60.792000000000002</v>
      </c>
      <c r="AF1092">
        <f>'raw data Crude oil'!AF1093</f>
        <v>60.441000000000003</v>
      </c>
      <c r="AG1092">
        <f>'raw data Crude oil'!AG1093</f>
        <v>60.063000000000002</v>
      </c>
      <c r="AH1092">
        <f>'raw data Crude oil'!AH1093</f>
        <v>59.695</v>
      </c>
      <c r="AI1092">
        <f>'raw data Crude oil'!AI1093</f>
        <v>59.343000000000004</v>
      </c>
      <c r="AJ1092">
        <f>'raw data Crude oil'!AJ1093</f>
        <v>59.087000000000003</v>
      </c>
      <c r="AK1092">
        <f>'raw data Crude oil'!AK1093</f>
        <v>58.837000000000003</v>
      </c>
    </row>
    <row r="1093" spans="1:37" x14ac:dyDescent="0.3">
      <c r="A1093" s="18">
        <f>'raw data Crude oil'!A1094</f>
        <v>44280</v>
      </c>
      <c r="B1093">
        <f>'raw data Crude oil'!B1094</f>
        <v>61.95</v>
      </c>
      <c r="C1093">
        <f>'raw data Crude oil'!C1094</f>
        <v>61.8</v>
      </c>
      <c r="D1093">
        <f>'raw data Crude oil'!D1094</f>
        <v>61.4</v>
      </c>
      <c r="E1093">
        <f>'raw data Crude oil'!E1094</f>
        <v>61.07</v>
      </c>
      <c r="F1093">
        <f>'raw data Crude oil'!F1094</f>
        <v>60.72</v>
      </c>
      <c r="G1093">
        <f>'raw data Crude oil'!G1094</f>
        <v>60.34</v>
      </c>
      <c r="H1093">
        <f>'raw data Crude oil'!H1094</f>
        <v>59.98</v>
      </c>
      <c r="I1093">
        <f>'raw data Crude oil'!I1094</f>
        <v>59.61</v>
      </c>
      <c r="J1093">
        <f>'raw data Crude oil'!J1094</f>
        <v>59.31</v>
      </c>
      <c r="K1093">
        <f>'raw data Crude oil'!K1094</f>
        <v>59.02</v>
      </c>
      <c r="L1093">
        <f>'raw data Crude oil'!L1094</f>
        <v>58.75</v>
      </c>
      <c r="M1093">
        <f>'raw data Crude oil'!M1094</f>
        <v>58.51</v>
      </c>
      <c r="N1093">
        <f>'raw data Crude oil'!N1094</f>
        <v>58.56</v>
      </c>
      <c r="O1093">
        <f>'raw data Crude oil'!O1094</f>
        <v>58.57</v>
      </c>
      <c r="P1093">
        <f>'raw data Crude oil'!P1094</f>
        <v>58.4</v>
      </c>
      <c r="Q1093">
        <f>'raw data Crude oil'!Q1094</f>
        <v>58.07</v>
      </c>
      <c r="R1093">
        <f>'raw data Crude oil'!R1094</f>
        <v>57.66</v>
      </c>
      <c r="S1093">
        <f>'raw data Crude oil'!S1094</f>
        <v>57.22</v>
      </c>
      <c r="T1093">
        <f>'raw data Crude oil'!T1094</f>
        <v>56.79</v>
      </c>
      <c r="U1093">
        <f>'raw data Crude oil'!U1094</f>
        <v>56.36</v>
      </c>
      <c r="V1093">
        <f>'raw data Crude oil'!V1094</f>
        <v>55.97</v>
      </c>
      <c r="W1093">
        <f>'raw data Crude oil'!W1094</f>
        <v>55.6</v>
      </c>
      <c r="X1093">
        <f>'raw data Crude oil'!X1094</f>
        <v>55.26</v>
      </c>
      <c r="Y1093">
        <f>'raw data Crude oil'!Y1094</f>
        <v>54.94</v>
      </c>
      <c r="Z1093">
        <f>'raw data Crude oil'!Z1094</f>
        <v>64.094999999999999</v>
      </c>
      <c r="AA1093">
        <f>'raw data Crude oil'!AA1094</f>
        <v>60.341000000000001</v>
      </c>
      <c r="AB1093">
        <f>'raw data Crude oil'!AB1094</f>
        <v>59.798999999999999</v>
      </c>
      <c r="AC1093">
        <f>'raw data Crude oil'!AC1094</f>
        <v>59.293999999999997</v>
      </c>
      <c r="AD1093">
        <f>'raw data Crude oil'!AD1094</f>
        <v>58.872999999999998</v>
      </c>
      <c r="AE1093">
        <f>'raw data Crude oil'!AE1094</f>
        <v>58.524000000000001</v>
      </c>
      <c r="AF1093">
        <f>'raw data Crude oil'!AF1094</f>
        <v>58.213000000000001</v>
      </c>
      <c r="AG1093">
        <f>'raw data Crude oil'!AG1094</f>
        <v>57.875999999999998</v>
      </c>
      <c r="AH1093">
        <f>'raw data Crude oil'!AH1094</f>
        <v>57.536999999999999</v>
      </c>
      <c r="AI1093">
        <f>'raw data Crude oil'!AI1094</f>
        <v>57.216999999999999</v>
      </c>
      <c r="AJ1093">
        <f>'raw data Crude oil'!AJ1094</f>
        <v>56.969000000000001</v>
      </c>
      <c r="AK1093">
        <f>'raw data Crude oil'!AK1094</f>
        <v>56.75</v>
      </c>
    </row>
    <row r="1094" spans="1:37" x14ac:dyDescent="0.3">
      <c r="A1094" s="18">
        <f>'raw data Crude oil'!A1095</f>
        <v>44281</v>
      </c>
      <c r="B1094">
        <f>'raw data Crude oil'!B1095</f>
        <v>64.569999999999993</v>
      </c>
      <c r="C1094">
        <f>'raw data Crude oil'!C1095</f>
        <v>64.430000000000007</v>
      </c>
      <c r="D1094">
        <f>'raw data Crude oil'!D1095</f>
        <v>63.95</v>
      </c>
      <c r="E1094">
        <f>'raw data Crude oil'!E1095</f>
        <v>63.55</v>
      </c>
      <c r="F1094">
        <f>'raw data Crude oil'!F1095</f>
        <v>63.09</v>
      </c>
      <c r="G1094">
        <f>'raw data Crude oil'!G1095</f>
        <v>62.62</v>
      </c>
      <c r="H1094">
        <f>'raw data Crude oil'!H1095</f>
        <v>62.16</v>
      </c>
      <c r="I1094">
        <f>'raw data Crude oil'!I1095</f>
        <v>61.71</v>
      </c>
      <c r="J1094">
        <f>'raw data Crude oil'!J1095</f>
        <v>61.33</v>
      </c>
      <c r="K1094">
        <f>'raw data Crude oil'!K1095</f>
        <v>60.98</v>
      </c>
      <c r="L1094">
        <f>'raw data Crude oil'!L1095</f>
        <v>60.65</v>
      </c>
      <c r="M1094">
        <f>'raw data Crude oil'!M1095</f>
        <v>60.37</v>
      </c>
      <c r="N1094">
        <f>'raw data Crude oil'!N1095</f>
        <v>60.97</v>
      </c>
      <c r="O1094">
        <f>'raw data Crude oil'!O1095</f>
        <v>60.96</v>
      </c>
      <c r="P1094">
        <f>'raw data Crude oil'!P1095</f>
        <v>60.76</v>
      </c>
      <c r="Q1094">
        <f>'raw data Crude oil'!Q1095</f>
        <v>60.4</v>
      </c>
      <c r="R1094">
        <f>'raw data Crude oil'!R1095</f>
        <v>59.93</v>
      </c>
      <c r="S1094">
        <f>'raw data Crude oil'!S1095</f>
        <v>59.42</v>
      </c>
      <c r="T1094">
        <f>'raw data Crude oil'!T1095</f>
        <v>58.92</v>
      </c>
      <c r="U1094">
        <f>'raw data Crude oil'!U1095</f>
        <v>58.44</v>
      </c>
      <c r="V1094">
        <f>'raw data Crude oil'!V1095</f>
        <v>57.98</v>
      </c>
      <c r="W1094">
        <f>'raw data Crude oil'!W1095</f>
        <v>57.56</v>
      </c>
      <c r="X1094">
        <f>'raw data Crude oil'!X1095</f>
        <v>57.17</v>
      </c>
      <c r="Y1094">
        <f>'raw data Crude oil'!Y1095</f>
        <v>56.8</v>
      </c>
      <c r="Z1094">
        <f>'raw data Crude oil'!Z1095</f>
        <v>64.405000000000001</v>
      </c>
      <c r="AA1094">
        <f>'raw data Crude oil'!AA1095</f>
        <v>62.938000000000002</v>
      </c>
      <c r="AB1094">
        <f>'raw data Crude oil'!AB1095</f>
        <v>62.348999999999997</v>
      </c>
      <c r="AC1094">
        <f>'raw data Crude oil'!AC1095</f>
        <v>61.774000000000001</v>
      </c>
      <c r="AD1094">
        <f>'raw data Crude oil'!AD1095</f>
        <v>61.209000000000003</v>
      </c>
      <c r="AE1094">
        <f>'raw data Crude oil'!AE1095</f>
        <v>60.749000000000002</v>
      </c>
      <c r="AF1094">
        <f>'raw data Crude oil'!AF1095</f>
        <v>60.35</v>
      </c>
      <c r="AG1094">
        <f>'raw data Crude oil'!AG1095</f>
        <v>59.951999999999998</v>
      </c>
      <c r="AH1094">
        <f>'raw data Crude oil'!AH1095</f>
        <v>59.533999999999999</v>
      </c>
      <c r="AI1094">
        <f>'raw data Crude oil'!AI1095</f>
        <v>59.140999999999998</v>
      </c>
      <c r="AJ1094">
        <f>'raw data Crude oil'!AJ1095</f>
        <v>58.866999999999997</v>
      </c>
      <c r="AK1094">
        <f>'raw data Crude oil'!AK1095</f>
        <v>58.606999999999999</v>
      </c>
    </row>
    <row r="1095" spans="1:37" x14ac:dyDescent="0.3">
      <c r="A1095" s="18">
        <f>'raw data Crude oil'!A1096</f>
        <v>44284</v>
      </c>
      <c r="B1095">
        <f>'raw data Crude oil'!B1096</f>
        <v>64.98</v>
      </c>
      <c r="C1095">
        <f>'raw data Crude oil'!C1096</f>
        <v>64.92</v>
      </c>
      <c r="D1095">
        <f>'raw data Crude oil'!D1096</f>
        <v>64.37</v>
      </c>
      <c r="E1095">
        <f>'raw data Crude oil'!E1096</f>
        <v>63.92</v>
      </c>
      <c r="F1095">
        <f>'raw data Crude oil'!F1096</f>
        <v>63.43</v>
      </c>
      <c r="G1095">
        <f>'raw data Crude oil'!G1096</f>
        <v>62.92</v>
      </c>
      <c r="H1095">
        <f>'raw data Crude oil'!H1096</f>
        <v>62.44</v>
      </c>
      <c r="I1095">
        <f>'raw data Crude oil'!I1096</f>
        <v>61.97</v>
      </c>
      <c r="J1095">
        <f>'raw data Crude oil'!J1096</f>
        <v>61.57</v>
      </c>
      <c r="K1095">
        <f>'raw data Crude oil'!K1096</f>
        <v>61.19</v>
      </c>
      <c r="L1095">
        <f>'raw data Crude oil'!L1096</f>
        <v>60.84</v>
      </c>
      <c r="M1095">
        <f>'raw data Crude oil'!M1096</f>
        <v>60.54</v>
      </c>
      <c r="N1095">
        <f>'raw data Crude oil'!N1096</f>
        <v>61.56</v>
      </c>
      <c r="O1095">
        <f>'raw data Crude oil'!O1096</f>
        <v>61.53</v>
      </c>
      <c r="P1095">
        <f>'raw data Crude oil'!P1096</f>
        <v>61.3</v>
      </c>
      <c r="Q1095">
        <f>'raw data Crude oil'!Q1096</f>
        <v>60.87</v>
      </c>
      <c r="R1095">
        <f>'raw data Crude oil'!R1096</f>
        <v>60.33</v>
      </c>
      <c r="S1095">
        <f>'raw data Crude oil'!S1096</f>
        <v>59.75</v>
      </c>
      <c r="T1095">
        <f>'raw data Crude oil'!T1096</f>
        <v>59.21</v>
      </c>
      <c r="U1095">
        <f>'raw data Crude oil'!U1096</f>
        <v>58.68</v>
      </c>
      <c r="V1095">
        <f>'raw data Crude oil'!V1096</f>
        <v>58.19</v>
      </c>
      <c r="W1095">
        <f>'raw data Crude oil'!W1096</f>
        <v>57.74</v>
      </c>
      <c r="X1095">
        <f>'raw data Crude oil'!X1096</f>
        <v>57.33</v>
      </c>
      <c r="Y1095">
        <f>'raw data Crude oil'!Y1096</f>
        <v>56.94</v>
      </c>
      <c r="Z1095">
        <f>'raw data Crude oil'!Z1096</f>
        <v>64.454999999999998</v>
      </c>
      <c r="AA1095">
        <f>'raw data Crude oil'!AA1096</f>
        <v>63.404000000000003</v>
      </c>
      <c r="AB1095">
        <f>'raw data Crude oil'!AB1096</f>
        <v>62.716999999999999</v>
      </c>
      <c r="AC1095">
        <f>'raw data Crude oil'!AC1096</f>
        <v>62.088000000000001</v>
      </c>
      <c r="AD1095">
        <f>'raw data Crude oil'!AD1096</f>
        <v>61.517000000000003</v>
      </c>
      <c r="AE1095">
        <f>'raw data Crude oil'!AE1096</f>
        <v>61.037999999999997</v>
      </c>
      <c r="AF1095">
        <f>'raw data Crude oil'!AF1096</f>
        <v>60.609000000000002</v>
      </c>
      <c r="AG1095">
        <f>'raw data Crude oil'!AG1096</f>
        <v>60.191000000000003</v>
      </c>
      <c r="AH1095">
        <f>'raw data Crude oil'!AH1096</f>
        <v>59.753</v>
      </c>
      <c r="AI1095">
        <f>'raw data Crude oil'!AI1096</f>
        <v>59.33</v>
      </c>
      <c r="AJ1095">
        <f>'raw data Crude oil'!AJ1096</f>
        <v>59.055999999999997</v>
      </c>
      <c r="AK1095">
        <f>'raw data Crude oil'!AK1096</f>
        <v>58.777000000000001</v>
      </c>
    </row>
    <row r="1096" spans="1:37" x14ac:dyDescent="0.3">
      <c r="A1096" s="18">
        <f>'raw data Crude oil'!A1097</f>
        <v>44285</v>
      </c>
      <c r="B1096">
        <f>'raw data Crude oil'!B1097</f>
        <v>64.14</v>
      </c>
      <c r="C1096">
        <f>'raw data Crude oil'!C1097</f>
        <v>64.17</v>
      </c>
      <c r="D1096">
        <f>'raw data Crude oil'!D1097</f>
        <v>63.61</v>
      </c>
      <c r="E1096">
        <f>'raw data Crude oil'!E1097</f>
        <v>63.15</v>
      </c>
      <c r="F1096">
        <f>'raw data Crude oil'!F1097</f>
        <v>62.65</v>
      </c>
      <c r="G1096">
        <f>'raw data Crude oil'!G1097</f>
        <v>62.16</v>
      </c>
      <c r="H1096">
        <f>'raw data Crude oil'!H1097</f>
        <v>61.69</v>
      </c>
      <c r="I1096">
        <f>'raw data Crude oil'!I1097</f>
        <v>61.24</v>
      </c>
      <c r="J1096">
        <f>'raw data Crude oil'!J1097</f>
        <v>60.84</v>
      </c>
      <c r="K1096">
        <f>'raw data Crude oil'!K1097</f>
        <v>60.47</v>
      </c>
      <c r="L1096">
        <f>'raw data Crude oil'!L1097</f>
        <v>60.13</v>
      </c>
      <c r="M1096">
        <f>'raw data Crude oil'!M1097</f>
        <v>59.83</v>
      </c>
      <c r="N1096">
        <f>'raw data Crude oil'!N1097</f>
        <v>60.55</v>
      </c>
      <c r="O1096">
        <f>'raw data Crude oil'!O1097</f>
        <v>60.56</v>
      </c>
      <c r="P1096">
        <f>'raw data Crude oil'!P1097</f>
        <v>60.35</v>
      </c>
      <c r="Q1096">
        <f>'raw data Crude oil'!Q1097</f>
        <v>59.94</v>
      </c>
      <c r="R1096">
        <f>'raw data Crude oil'!R1097</f>
        <v>59.42</v>
      </c>
      <c r="S1096">
        <f>'raw data Crude oil'!S1097</f>
        <v>58.87</v>
      </c>
      <c r="T1096">
        <f>'raw data Crude oil'!T1097</f>
        <v>58.35</v>
      </c>
      <c r="U1096">
        <f>'raw data Crude oil'!U1097</f>
        <v>57.85</v>
      </c>
      <c r="V1096">
        <f>'raw data Crude oil'!V1097</f>
        <v>57.38</v>
      </c>
      <c r="W1096">
        <f>'raw data Crude oil'!W1097</f>
        <v>56.94</v>
      </c>
      <c r="X1096">
        <f>'raw data Crude oil'!X1097</f>
        <v>56.54</v>
      </c>
      <c r="Y1096">
        <f>'raw data Crude oil'!Y1097</f>
        <v>56.16</v>
      </c>
      <c r="Z1096">
        <f>'raw data Crude oil'!Z1097</f>
        <v>64.415000000000006</v>
      </c>
      <c r="AA1096">
        <f>'raw data Crude oil'!AA1097</f>
        <v>62.622999999999998</v>
      </c>
      <c r="AB1096">
        <f>'raw data Crude oil'!AB1097</f>
        <v>61.936</v>
      </c>
      <c r="AC1096">
        <f>'raw data Crude oil'!AC1097</f>
        <v>61.307000000000002</v>
      </c>
      <c r="AD1096">
        <f>'raw data Crude oil'!AD1097</f>
        <v>60.718000000000004</v>
      </c>
      <c r="AE1096">
        <f>'raw data Crude oil'!AE1097</f>
        <v>60.268999999999998</v>
      </c>
      <c r="AF1096">
        <f>'raw data Crude oil'!AF1097</f>
        <v>59.83</v>
      </c>
      <c r="AG1096">
        <f>'raw data Crude oil'!AG1097</f>
        <v>59.390999999999998</v>
      </c>
      <c r="AH1096">
        <f>'raw data Crude oil'!AH1097</f>
        <v>58.972999999999999</v>
      </c>
      <c r="AI1096">
        <f>'raw data Crude oil'!AI1097</f>
        <v>58.57</v>
      </c>
      <c r="AJ1096">
        <f>'raw data Crude oil'!AJ1097</f>
        <v>58.286000000000001</v>
      </c>
      <c r="AK1096">
        <f>'raw data Crude oil'!AK1097</f>
        <v>58.036999999999999</v>
      </c>
    </row>
    <row r="1097" spans="1:37" x14ac:dyDescent="0.3">
      <c r="A1097" s="18">
        <f>'raw data Crude oil'!A1098</f>
        <v>44286</v>
      </c>
      <c r="B1097">
        <f>'raw data Crude oil'!B1098</f>
        <v>63.54</v>
      </c>
      <c r="C1097">
        <f>'raw data Crude oil'!C1098</f>
        <v>62.74</v>
      </c>
      <c r="D1097">
        <f>'raw data Crude oil'!D1098</f>
        <v>62.31</v>
      </c>
      <c r="E1097">
        <f>'raw data Crude oil'!E1098</f>
        <v>61.92</v>
      </c>
      <c r="F1097">
        <f>'raw data Crude oil'!F1098</f>
        <v>61.49</v>
      </c>
      <c r="G1097">
        <f>'raw data Crude oil'!G1098</f>
        <v>61.05</v>
      </c>
      <c r="H1097">
        <f>'raw data Crude oil'!H1098</f>
        <v>60.63</v>
      </c>
      <c r="I1097">
        <f>'raw data Crude oil'!I1098</f>
        <v>60.22</v>
      </c>
      <c r="J1097">
        <f>'raw data Crude oil'!J1098</f>
        <v>59.86</v>
      </c>
      <c r="K1097">
        <f>'raw data Crude oil'!K1098</f>
        <v>59.51</v>
      </c>
      <c r="L1097">
        <f>'raw data Crude oil'!L1098</f>
        <v>59.2</v>
      </c>
      <c r="M1097">
        <f>'raw data Crude oil'!M1098</f>
        <v>58.92</v>
      </c>
      <c r="N1097">
        <f>'raw data Crude oil'!N1098</f>
        <v>59.16</v>
      </c>
      <c r="O1097">
        <f>'raw data Crude oil'!O1098</f>
        <v>59.18</v>
      </c>
      <c r="P1097">
        <f>'raw data Crude oil'!P1098</f>
        <v>59.03</v>
      </c>
      <c r="Q1097">
        <f>'raw data Crude oil'!Q1098</f>
        <v>58.69</v>
      </c>
      <c r="R1097">
        <f>'raw data Crude oil'!R1098</f>
        <v>58.24</v>
      </c>
      <c r="S1097">
        <f>'raw data Crude oil'!S1098</f>
        <v>57.76</v>
      </c>
      <c r="T1097">
        <f>'raw data Crude oil'!T1098</f>
        <v>57.29</v>
      </c>
      <c r="U1097">
        <f>'raw data Crude oil'!U1098</f>
        <v>56.85</v>
      </c>
      <c r="V1097">
        <f>'raw data Crude oil'!V1098</f>
        <v>56.42</v>
      </c>
      <c r="W1097">
        <f>'raw data Crude oil'!W1098</f>
        <v>56.02</v>
      </c>
      <c r="X1097">
        <f>'raw data Crude oil'!X1098</f>
        <v>55.65</v>
      </c>
      <c r="Y1097">
        <f>'raw data Crude oil'!Y1098</f>
        <v>55.31</v>
      </c>
      <c r="Z1097">
        <f>'raw data Crude oil'!Z1098</f>
        <v>64.414000000000001</v>
      </c>
      <c r="AA1097">
        <f>'raw data Crude oil'!AA1098</f>
        <v>61.2</v>
      </c>
      <c r="AB1097">
        <f>'raw data Crude oil'!AB1098</f>
        <v>60.552999999999997</v>
      </c>
      <c r="AC1097">
        <f>'raw data Crude oil'!AC1098</f>
        <v>59.97</v>
      </c>
      <c r="AD1097">
        <f>'raw data Crude oil'!AD1098</f>
        <v>59.49</v>
      </c>
      <c r="AE1097">
        <f>'raw data Crude oil'!AE1098</f>
        <v>59.100999999999999</v>
      </c>
      <c r="AF1097">
        <f>'raw data Crude oil'!AF1098</f>
        <v>58.710999999999999</v>
      </c>
      <c r="AG1097">
        <f>'raw data Crude oil'!AG1098</f>
        <v>58.353000000000002</v>
      </c>
      <c r="AH1097">
        <f>'raw data Crude oil'!AH1098</f>
        <v>57.944000000000003</v>
      </c>
      <c r="AI1097">
        <f>'raw data Crude oil'!AI1098</f>
        <v>57.652999999999999</v>
      </c>
      <c r="AJ1097">
        <f>'raw data Crude oil'!AJ1098</f>
        <v>57.387</v>
      </c>
      <c r="AK1097">
        <f>'raw data Crude oil'!AK1098</f>
        <v>57.118000000000002</v>
      </c>
    </row>
    <row r="1098" spans="1:37" x14ac:dyDescent="0.3">
      <c r="A1098" s="18">
        <f>'raw data Crude oil'!A1099</f>
        <v>44287</v>
      </c>
      <c r="B1098">
        <f>'raw data Crude oil'!B1099</f>
        <v>64.86</v>
      </c>
      <c r="C1098">
        <f>'raw data Crude oil'!C1099</f>
        <v>64.459999999999994</v>
      </c>
      <c r="D1098">
        <f>'raw data Crude oil'!D1099</f>
        <v>64.12</v>
      </c>
      <c r="E1098">
        <f>'raw data Crude oil'!E1099</f>
        <v>63.73</v>
      </c>
      <c r="F1098">
        <f>'raw data Crude oil'!F1099</f>
        <v>63.31</v>
      </c>
      <c r="G1098">
        <f>'raw data Crude oil'!G1099</f>
        <v>62.9</v>
      </c>
      <c r="H1098">
        <f>'raw data Crude oil'!H1099</f>
        <v>62.49</v>
      </c>
      <c r="I1098">
        <f>'raw data Crude oil'!I1099</f>
        <v>62.13</v>
      </c>
      <c r="J1098">
        <f>'raw data Crude oil'!J1099</f>
        <v>61.78</v>
      </c>
      <c r="K1098">
        <f>'raw data Crude oil'!K1099</f>
        <v>61.47</v>
      </c>
      <c r="L1098">
        <f>'raw data Crude oil'!L1099</f>
        <v>61.18</v>
      </c>
      <c r="M1098">
        <f>'raw data Crude oil'!M1099</f>
        <v>60.92</v>
      </c>
      <c r="N1098">
        <f>'raw data Crude oil'!N1099</f>
        <v>61.45</v>
      </c>
      <c r="O1098">
        <f>'raw data Crude oil'!O1099</f>
        <v>61.48</v>
      </c>
      <c r="P1098">
        <f>'raw data Crude oil'!P1099</f>
        <v>61.35</v>
      </c>
      <c r="Q1098">
        <f>'raw data Crude oil'!Q1099</f>
        <v>61.04</v>
      </c>
      <c r="R1098">
        <f>'raw data Crude oil'!R1099</f>
        <v>60.62</v>
      </c>
      <c r="S1098">
        <f>'raw data Crude oil'!S1099</f>
        <v>60.17</v>
      </c>
      <c r="T1098">
        <f>'raw data Crude oil'!T1099</f>
        <v>59.72</v>
      </c>
      <c r="U1098">
        <f>'raw data Crude oil'!U1099</f>
        <v>59.29</v>
      </c>
      <c r="V1098">
        <f>'raw data Crude oil'!V1099</f>
        <v>58.89</v>
      </c>
      <c r="W1098">
        <f>'raw data Crude oil'!W1099</f>
        <v>58.5</v>
      </c>
      <c r="X1098">
        <f>'raw data Crude oil'!X1099</f>
        <v>58.15</v>
      </c>
      <c r="Y1098">
        <f>'raw data Crude oil'!Y1099</f>
        <v>57.8</v>
      </c>
      <c r="Z1098">
        <f>'raw data Crude oil'!Z1099</f>
        <v>64.414000000000001</v>
      </c>
      <c r="AA1098">
        <f>'raw data Crude oil'!AA1099</f>
        <v>63.2</v>
      </c>
      <c r="AB1098">
        <f>'raw data Crude oil'!AB1099</f>
        <v>62.578000000000003</v>
      </c>
      <c r="AC1098">
        <f>'raw data Crude oil'!AC1099</f>
        <v>62.031999999999996</v>
      </c>
      <c r="AD1098">
        <f>'raw data Crude oil'!AD1099</f>
        <v>61.561</v>
      </c>
      <c r="AE1098">
        <f>'raw data Crude oil'!AE1099</f>
        <v>61.201000000000001</v>
      </c>
      <c r="AF1098">
        <f>'raw data Crude oil'!AF1099</f>
        <v>60.841000000000001</v>
      </c>
      <c r="AG1098">
        <f>'raw data Crude oil'!AG1099</f>
        <v>60.463000000000001</v>
      </c>
      <c r="AH1098">
        <f>'raw data Crude oil'!AH1099</f>
        <v>60.094000000000001</v>
      </c>
      <c r="AI1098">
        <f>'raw data Crude oil'!AI1099</f>
        <v>59.743000000000002</v>
      </c>
      <c r="AJ1098">
        <f>'raw data Crude oil'!AJ1099</f>
        <v>59.496000000000002</v>
      </c>
      <c r="AK1098">
        <f>'raw data Crude oil'!AK1099</f>
        <v>59.277000000000001</v>
      </c>
    </row>
    <row r="1099" spans="1:37" x14ac:dyDescent="0.3">
      <c r="A1099" s="18">
        <f>'raw data Crude oil'!A1100</f>
        <v>44291</v>
      </c>
      <c r="B1099">
        <f>'raw data Crude oil'!B1100</f>
        <v>62.15</v>
      </c>
      <c r="C1099">
        <f>'raw data Crude oil'!C1100</f>
        <v>61.83</v>
      </c>
      <c r="D1099">
        <f>'raw data Crude oil'!D1100</f>
        <v>61.58</v>
      </c>
      <c r="E1099">
        <f>'raw data Crude oil'!E1100</f>
        <v>61.29</v>
      </c>
      <c r="F1099">
        <f>'raw data Crude oil'!F1100</f>
        <v>60.98</v>
      </c>
      <c r="G1099">
        <f>'raw data Crude oil'!G1100</f>
        <v>60.67</v>
      </c>
      <c r="H1099">
        <f>'raw data Crude oil'!H1100</f>
        <v>60.37</v>
      </c>
      <c r="I1099">
        <f>'raw data Crude oil'!I1100</f>
        <v>60.1</v>
      </c>
      <c r="J1099">
        <f>'raw data Crude oil'!J1100</f>
        <v>59.85</v>
      </c>
      <c r="K1099">
        <f>'raw data Crude oil'!K1100</f>
        <v>59.63</v>
      </c>
      <c r="L1099">
        <f>'raw data Crude oil'!L1100</f>
        <v>59.43</v>
      </c>
      <c r="M1099">
        <f>'raw data Crude oil'!M1100</f>
        <v>59.25</v>
      </c>
      <c r="N1099">
        <f>'raw data Crude oil'!N1100</f>
        <v>58.65</v>
      </c>
      <c r="O1099">
        <f>'raw data Crude oil'!O1100</f>
        <v>58.68</v>
      </c>
      <c r="P1099">
        <f>'raw data Crude oil'!P1100</f>
        <v>58.61</v>
      </c>
      <c r="Q1099">
        <f>'raw data Crude oil'!Q1100</f>
        <v>58.39</v>
      </c>
      <c r="R1099">
        <f>'raw data Crude oil'!R1100</f>
        <v>58.08</v>
      </c>
      <c r="S1099">
        <f>'raw data Crude oil'!S1100</f>
        <v>57.74</v>
      </c>
      <c r="T1099">
        <f>'raw data Crude oil'!T1100</f>
        <v>57.4</v>
      </c>
      <c r="U1099">
        <f>'raw data Crude oil'!U1100</f>
        <v>57.07</v>
      </c>
      <c r="V1099">
        <f>'raw data Crude oil'!V1100</f>
        <v>56.75</v>
      </c>
      <c r="W1099">
        <f>'raw data Crude oil'!W1100</f>
        <v>56.46</v>
      </c>
      <c r="X1099">
        <f>'raw data Crude oil'!X1100</f>
        <v>56.18</v>
      </c>
      <c r="Y1099">
        <f>'raw data Crude oil'!Y1100</f>
        <v>55.92</v>
      </c>
      <c r="Z1099">
        <f>'raw data Crude oil'!Z1100</f>
        <v>60.52</v>
      </c>
      <c r="AA1099">
        <f>'raw data Crude oil'!AA1100</f>
        <v>59.686</v>
      </c>
      <c r="AB1099">
        <f>'raw data Crude oil'!AB1100</f>
        <v>59.197000000000003</v>
      </c>
      <c r="AC1099">
        <f>'raw data Crude oil'!AC1100</f>
        <v>58.856000000000002</v>
      </c>
      <c r="AD1099">
        <f>'raw data Crude oil'!AD1100</f>
        <v>58.616</v>
      </c>
      <c r="AE1099">
        <f>'raw data Crude oil'!AE1100</f>
        <v>58.386000000000003</v>
      </c>
      <c r="AF1099">
        <f>'raw data Crude oil'!AF1100</f>
        <v>58.116999999999997</v>
      </c>
      <c r="AG1099">
        <f>'raw data Crude oil'!AG1100</f>
        <v>57.838999999999999</v>
      </c>
      <c r="AH1099">
        <f>'raw data Crude oil'!AH1100</f>
        <v>57.591000000000001</v>
      </c>
      <c r="AI1099">
        <f>'raw data Crude oil'!AI1100</f>
        <v>57.4</v>
      </c>
      <c r="AJ1099">
        <f>'raw data Crude oil'!AJ1100</f>
        <v>57.271000000000001</v>
      </c>
      <c r="AK1099">
        <f>'raw data Crude oil'!AK1100</f>
        <v>57.142000000000003</v>
      </c>
    </row>
    <row r="1100" spans="1:37" x14ac:dyDescent="0.3">
      <c r="A1100" s="18">
        <f>'raw data Crude oil'!A1101</f>
        <v>44292</v>
      </c>
      <c r="B1100">
        <f>'raw data Crude oil'!B1101</f>
        <v>62.74</v>
      </c>
      <c r="C1100">
        <f>'raw data Crude oil'!C1101</f>
        <v>62.43</v>
      </c>
      <c r="D1100">
        <f>'raw data Crude oil'!D1101</f>
        <v>62.18</v>
      </c>
      <c r="E1100">
        <f>'raw data Crude oil'!E1101</f>
        <v>61.9</v>
      </c>
      <c r="F1100">
        <f>'raw data Crude oil'!F1101</f>
        <v>61.59</v>
      </c>
      <c r="G1100">
        <f>'raw data Crude oil'!G1101</f>
        <v>61.29</v>
      </c>
      <c r="H1100">
        <f>'raw data Crude oil'!H1101</f>
        <v>61</v>
      </c>
      <c r="I1100">
        <f>'raw data Crude oil'!I1101</f>
        <v>60.73</v>
      </c>
      <c r="J1100">
        <f>'raw data Crude oil'!J1101</f>
        <v>60.47</v>
      </c>
      <c r="K1100">
        <f>'raw data Crude oil'!K1101</f>
        <v>60.25</v>
      </c>
      <c r="L1100">
        <f>'raw data Crude oil'!L1101</f>
        <v>60.05</v>
      </c>
      <c r="M1100">
        <f>'raw data Crude oil'!M1101</f>
        <v>59.86</v>
      </c>
      <c r="N1100">
        <f>'raw data Crude oil'!N1101</f>
        <v>59.33</v>
      </c>
      <c r="O1100">
        <f>'raw data Crude oil'!O1101</f>
        <v>59.37</v>
      </c>
      <c r="P1100">
        <f>'raw data Crude oil'!P1101</f>
        <v>59.32</v>
      </c>
      <c r="Q1100">
        <f>'raw data Crude oil'!Q1101</f>
        <v>59.13</v>
      </c>
      <c r="R1100">
        <f>'raw data Crude oil'!R1101</f>
        <v>58.84</v>
      </c>
      <c r="S1100">
        <f>'raw data Crude oil'!S1101</f>
        <v>58.51</v>
      </c>
      <c r="T1100">
        <f>'raw data Crude oil'!T1101</f>
        <v>58.18</v>
      </c>
      <c r="U1100">
        <f>'raw data Crude oil'!U1101</f>
        <v>57.84</v>
      </c>
      <c r="V1100">
        <f>'raw data Crude oil'!V1101</f>
        <v>57.51</v>
      </c>
      <c r="W1100">
        <f>'raw data Crude oil'!W1101</f>
        <v>57.2</v>
      </c>
      <c r="X1100">
        <f>'raw data Crude oil'!X1101</f>
        <v>56.93</v>
      </c>
      <c r="Y1100">
        <f>'raw data Crude oil'!Y1101</f>
        <v>56.67</v>
      </c>
      <c r="Z1100">
        <f>'raw data Crude oil'!Z1101</f>
        <v>61.103999999999999</v>
      </c>
      <c r="AA1100">
        <f>'raw data Crude oil'!AA1101</f>
        <v>60.375999999999998</v>
      </c>
      <c r="AB1100">
        <f>'raw data Crude oil'!AB1101</f>
        <v>59.823</v>
      </c>
      <c r="AC1100">
        <f>'raw data Crude oil'!AC1101</f>
        <v>59.44</v>
      </c>
      <c r="AD1100">
        <f>'raw data Crude oil'!AD1101</f>
        <v>59.195999999999998</v>
      </c>
      <c r="AE1100">
        <f>'raw data Crude oil'!AE1101</f>
        <v>58.957000000000001</v>
      </c>
      <c r="AF1100">
        <f>'raw data Crude oil'!AF1101</f>
        <v>58.716999999999999</v>
      </c>
      <c r="AG1100">
        <f>'raw data Crude oil'!AG1101</f>
        <v>58.468000000000004</v>
      </c>
      <c r="AH1100">
        <f>'raw data Crude oil'!AH1101</f>
        <v>58.220999999999997</v>
      </c>
      <c r="AI1100">
        <f>'raw data Crude oil'!AI1101</f>
        <v>58.02</v>
      </c>
      <c r="AJ1100">
        <f>'raw data Crude oil'!AJ1101</f>
        <v>57.850999999999999</v>
      </c>
      <c r="AK1100">
        <f>'raw data Crude oil'!AK1101</f>
        <v>57.683</v>
      </c>
    </row>
    <row r="1101" spans="1:37" x14ac:dyDescent="0.3">
      <c r="A1101" s="18">
        <f>'raw data Crude oil'!A1102</f>
        <v>44293</v>
      </c>
      <c r="B1101">
        <f>'raw data Crude oil'!B1102</f>
        <v>63.16</v>
      </c>
      <c r="C1101">
        <f>'raw data Crude oil'!C1102</f>
        <v>62.81</v>
      </c>
      <c r="D1101">
        <f>'raw data Crude oil'!D1102</f>
        <v>62.51</v>
      </c>
      <c r="E1101">
        <f>'raw data Crude oil'!E1102</f>
        <v>62.2</v>
      </c>
      <c r="F1101">
        <f>'raw data Crude oil'!F1102</f>
        <v>61.88</v>
      </c>
      <c r="G1101">
        <f>'raw data Crude oil'!G1102</f>
        <v>61.57</v>
      </c>
      <c r="H1101">
        <f>'raw data Crude oil'!H1102</f>
        <v>61.24</v>
      </c>
      <c r="I1101">
        <f>'raw data Crude oil'!I1102</f>
        <v>60.95</v>
      </c>
      <c r="J1101">
        <f>'raw data Crude oil'!J1102</f>
        <v>60.68</v>
      </c>
      <c r="K1101">
        <f>'raw data Crude oil'!K1102</f>
        <v>60.45</v>
      </c>
      <c r="L1101">
        <f>'raw data Crude oil'!L1102</f>
        <v>60.24</v>
      </c>
      <c r="M1101">
        <f>'raw data Crude oil'!M1102</f>
        <v>60.05</v>
      </c>
      <c r="N1101">
        <f>'raw data Crude oil'!N1102</f>
        <v>59.77</v>
      </c>
      <c r="O1101">
        <f>'raw data Crude oil'!O1102</f>
        <v>59.81</v>
      </c>
      <c r="P1101">
        <f>'raw data Crude oil'!P1102</f>
        <v>59.73</v>
      </c>
      <c r="Q1101">
        <f>'raw data Crude oil'!Q1102</f>
        <v>59.5</v>
      </c>
      <c r="R1101">
        <f>'raw data Crude oil'!R1102</f>
        <v>59.19</v>
      </c>
      <c r="S1101">
        <f>'raw data Crude oil'!S1102</f>
        <v>58.83</v>
      </c>
      <c r="T1101">
        <f>'raw data Crude oil'!T1102</f>
        <v>58.48</v>
      </c>
      <c r="U1101">
        <f>'raw data Crude oil'!U1102</f>
        <v>58.13</v>
      </c>
      <c r="V1101">
        <f>'raw data Crude oil'!V1102</f>
        <v>57.78</v>
      </c>
      <c r="W1101">
        <f>'raw data Crude oil'!W1102</f>
        <v>57.46</v>
      </c>
      <c r="X1101">
        <f>'raw data Crude oil'!X1102</f>
        <v>57.17</v>
      </c>
      <c r="Y1101">
        <f>'raw data Crude oil'!Y1102</f>
        <v>56.92</v>
      </c>
      <c r="Z1101">
        <f>'raw data Crude oil'!Z1102</f>
        <v>61.423000000000002</v>
      </c>
      <c r="AA1101">
        <f>'raw data Crude oil'!AA1102</f>
        <v>60.731000000000002</v>
      </c>
      <c r="AB1101">
        <f>'raw data Crude oil'!AB1102</f>
        <v>60.186</v>
      </c>
      <c r="AC1101">
        <f>'raw data Crude oil'!AC1102</f>
        <v>59.825000000000003</v>
      </c>
      <c r="AD1101">
        <f>'raw data Crude oil'!AD1102</f>
        <v>59.566000000000003</v>
      </c>
      <c r="AE1101">
        <f>'raw data Crude oil'!AE1102</f>
        <v>59.325000000000003</v>
      </c>
      <c r="AF1101">
        <f>'raw data Crude oil'!AF1102</f>
        <v>59.036000000000001</v>
      </c>
      <c r="AG1101">
        <f>'raw data Crude oil'!AG1102</f>
        <v>58.747999999999998</v>
      </c>
      <c r="AH1101">
        <f>'raw data Crude oil'!AH1102</f>
        <v>58.48</v>
      </c>
      <c r="AI1101">
        <f>'raw data Crude oil'!AI1102</f>
        <v>58.23</v>
      </c>
      <c r="AJ1101">
        <f>'raw data Crude oil'!AJ1102</f>
        <v>58.040999999999997</v>
      </c>
      <c r="AK1101">
        <f>'raw data Crude oil'!AK1102</f>
        <v>57.872999999999998</v>
      </c>
    </row>
    <row r="1102" spans="1:37" x14ac:dyDescent="0.3">
      <c r="A1102" s="18">
        <f>'raw data Crude oil'!A1103</f>
        <v>44294</v>
      </c>
      <c r="B1102">
        <f>'raw data Crude oil'!B1103</f>
        <v>63.2</v>
      </c>
      <c r="C1102">
        <f>'raw data Crude oil'!C1103</f>
        <v>62.71</v>
      </c>
      <c r="D1102">
        <f>'raw data Crude oil'!D1103</f>
        <v>62.33</v>
      </c>
      <c r="E1102">
        <f>'raw data Crude oil'!E1103</f>
        <v>61.97</v>
      </c>
      <c r="F1102">
        <f>'raw data Crude oil'!F1103</f>
        <v>61.59</v>
      </c>
      <c r="G1102">
        <f>'raw data Crude oil'!G1103</f>
        <v>61.23</v>
      </c>
      <c r="H1102">
        <f>'raw data Crude oil'!H1103</f>
        <v>60.86</v>
      </c>
      <c r="I1102">
        <f>'raw data Crude oil'!I1103</f>
        <v>60.54</v>
      </c>
      <c r="J1102">
        <f>'raw data Crude oil'!J1103</f>
        <v>60.25</v>
      </c>
      <c r="K1102">
        <f>'raw data Crude oil'!K1103</f>
        <v>59.99</v>
      </c>
      <c r="L1102">
        <f>'raw data Crude oil'!L1103</f>
        <v>59.75</v>
      </c>
      <c r="M1102">
        <f>'raw data Crude oil'!M1103</f>
        <v>59.53</v>
      </c>
      <c r="N1102">
        <f>'raw data Crude oil'!N1103</f>
        <v>59.6</v>
      </c>
      <c r="O1102">
        <f>'raw data Crude oil'!O1103</f>
        <v>59.63</v>
      </c>
      <c r="P1102">
        <f>'raw data Crude oil'!P1103</f>
        <v>59.52</v>
      </c>
      <c r="Q1102">
        <f>'raw data Crude oil'!Q1103</f>
        <v>59.25</v>
      </c>
      <c r="R1102">
        <f>'raw data Crude oil'!R1103</f>
        <v>58.89</v>
      </c>
      <c r="S1102">
        <f>'raw data Crude oil'!S1103</f>
        <v>58.49</v>
      </c>
      <c r="T1102">
        <f>'raw data Crude oil'!T1103</f>
        <v>58.09</v>
      </c>
      <c r="U1102">
        <f>'raw data Crude oil'!U1103</f>
        <v>57.69</v>
      </c>
      <c r="V1102">
        <f>'raw data Crude oil'!V1103</f>
        <v>57.31</v>
      </c>
      <c r="W1102">
        <f>'raw data Crude oil'!W1103</f>
        <v>56.95</v>
      </c>
      <c r="X1102">
        <f>'raw data Crude oil'!X1103</f>
        <v>56.63</v>
      </c>
      <c r="Y1102">
        <f>'raw data Crude oil'!Y1103</f>
        <v>56.33</v>
      </c>
      <c r="Z1102">
        <f>'raw data Crude oil'!Z1103</f>
        <v>61.445</v>
      </c>
      <c r="AA1102">
        <f>'raw data Crude oil'!AA1103</f>
        <v>60.704000000000001</v>
      </c>
      <c r="AB1102">
        <f>'raw data Crude oil'!AB1103</f>
        <v>60.094000000000001</v>
      </c>
      <c r="AC1102">
        <f>'raw data Crude oil'!AC1103</f>
        <v>59.652999999999999</v>
      </c>
      <c r="AD1102">
        <f>'raw data Crude oil'!AD1103</f>
        <v>59.314</v>
      </c>
      <c r="AE1102">
        <f>'raw data Crude oil'!AE1103</f>
        <v>59.012999999999998</v>
      </c>
      <c r="AF1102">
        <f>'raw data Crude oil'!AF1103</f>
        <v>58.674999999999997</v>
      </c>
      <c r="AG1102">
        <f>'raw data Crude oil'!AG1103</f>
        <v>58.366999999999997</v>
      </c>
      <c r="AH1102">
        <f>'raw data Crude oil'!AH1103</f>
        <v>58.076999999999998</v>
      </c>
      <c r="AI1102">
        <f>'raw data Crude oil'!AI1103</f>
        <v>57.848999999999997</v>
      </c>
      <c r="AJ1102">
        <f>'raw data Crude oil'!AJ1103</f>
        <v>57.628999999999998</v>
      </c>
      <c r="AK1102">
        <f>'raw data Crude oil'!AK1103</f>
        <v>57.420999999999999</v>
      </c>
    </row>
    <row r="1103" spans="1:37" x14ac:dyDescent="0.3">
      <c r="A1103" s="18">
        <f>'raw data Crude oil'!A1104</f>
        <v>44295</v>
      </c>
      <c r="B1103">
        <f>'raw data Crude oil'!B1104</f>
        <v>62.95</v>
      </c>
      <c r="C1103">
        <f>'raw data Crude oil'!C1104</f>
        <v>62.53</v>
      </c>
      <c r="D1103">
        <f>'raw data Crude oil'!D1104</f>
        <v>62.17</v>
      </c>
      <c r="E1103">
        <f>'raw data Crude oil'!E1104</f>
        <v>61.81</v>
      </c>
      <c r="F1103">
        <f>'raw data Crude oil'!F1104</f>
        <v>61.45</v>
      </c>
      <c r="G1103">
        <f>'raw data Crude oil'!G1104</f>
        <v>61.11</v>
      </c>
      <c r="H1103">
        <f>'raw data Crude oil'!H1104</f>
        <v>60.76</v>
      </c>
      <c r="I1103">
        <f>'raw data Crude oil'!I1104</f>
        <v>60.46</v>
      </c>
      <c r="J1103">
        <f>'raw data Crude oil'!J1104</f>
        <v>60.18</v>
      </c>
      <c r="K1103">
        <f>'raw data Crude oil'!K1104</f>
        <v>59.94</v>
      </c>
      <c r="L1103">
        <f>'raw data Crude oil'!L1104</f>
        <v>59.72</v>
      </c>
      <c r="M1103">
        <f>'raw data Crude oil'!M1104</f>
        <v>59.51</v>
      </c>
      <c r="N1103">
        <f>'raw data Crude oil'!N1104</f>
        <v>59.32</v>
      </c>
      <c r="O1103">
        <f>'raw data Crude oil'!O1104</f>
        <v>59.35</v>
      </c>
      <c r="P1103">
        <f>'raw data Crude oil'!P1104</f>
        <v>59.27</v>
      </c>
      <c r="Q1103">
        <f>'raw data Crude oil'!Q1104</f>
        <v>59.04</v>
      </c>
      <c r="R1103">
        <f>'raw data Crude oil'!R1104</f>
        <v>58.71</v>
      </c>
      <c r="S1103">
        <f>'raw data Crude oil'!S1104</f>
        <v>58.34</v>
      </c>
      <c r="T1103">
        <f>'raw data Crude oil'!T1104</f>
        <v>57.97</v>
      </c>
      <c r="U1103">
        <f>'raw data Crude oil'!U1104</f>
        <v>57.6</v>
      </c>
      <c r="V1103">
        <f>'raw data Crude oil'!V1104</f>
        <v>57.24</v>
      </c>
      <c r="W1103">
        <f>'raw data Crude oil'!W1104</f>
        <v>56.91</v>
      </c>
      <c r="X1103">
        <f>'raw data Crude oil'!X1104</f>
        <v>56.62</v>
      </c>
      <c r="Y1103">
        <f>'raw data Crude oil'!Y1104</f>
        <v>56.34</v>
      </c>
      <c r="Z1103">
        <f>'raw data Crude oil'!Z1104</f>
        <v>61.176000000000002</v>
      </c>
      <c r="AA1103">
        <f>'raw data Crude oil'!AA1104</f>
        <v>60.485999999999997</v>
      </c>
      <c r="AB1103">
        <f>'raw data Crude oil'!AB1104</f>
        <v>59.893999999999998</v>
      </c>
      <c r="AC1103">
        <f>'raw data Crude oil'!AC1104</f>
        <v>59.463999999999999</v>
      </c>
      <c r="AD1103">
        <f>'raw data Crude oil'!AD1104</f>
        <v>59.134999999999998</v>
      </c>
      <c r="AE1103">
        <f>'raw data Crude oil'!AE1104</f>
        <v>58.863999999999997</v>
      </c>
      <c r="AF1103">
        <f>'raw data Crude oil'!AF1104</f>
        <v>58.566000000000003</v>
      </c>
      <c r="AG1103">
        <f>'raw data Crude oil'!AG1104</f>
        <v>58.256999999999998</v>
      </c>
      <c r="AH1103">
        <f>'raw data Crude oil'!AH1104</f>
        <v>57.969000000000001</v>
      </c>
      <c r="AI1103">
        <f>'raw data Crude oil'!AI1104</f>
        <v>57.76</v>
      </c>
      <c r="AJ1103">
        <f>'raw data Crude oil'!AJ1104</f>
        <v>57.58</v>
      </c>
      <c r="AK1103">
        <f>'raw data Crude oil'!AK1104</f>
        <v>57.381</v>
      </c>
    </row>
    <row r="1104" spans="1:37" x14ac:dyDescent="0.3">
      <c r="A1104" s="18">
        <f>'raw data Crude oil'!A1105</f>
        <v>44298</v>
      </c>
      <c r="B1104">
        <f>'raw data Crude oil'!B1105</f>
        <v>63.28</v>
      </c>
      <c r="C1104">
        <f>'raw data Crude oil'!C1105</f>
        <v>62.86</v>
      </c>
      <c r="D1104">
        <f>'raw data Crude oil'!D1105</f>
        <v>62.5</v>
      </c>
      <c r="E1104">
        <f>'raw data Crude oil'!E1105</f>
        <v>62.15</v>
      </c>
      <c r="F1104">
        <f>'raw data Crude oil'!F1105</f>
        <v>61.8</v>
      </c>
      <c r="G1104">
        <f>'raw data Crude oil'!G1105</f>
        <v>61.48</v>
      </c>
      <c r="H1104">
        <f>'raw data Crude oil'!H1105</f>
        <v>61.15</v>
      </c>
      <c r="I1104">
        <f>'raw data Crude oil'!I1105</f>
        <v>60.86</v>
      </c>
      <c r="J1104">
        <f>'raw data Crude oil'!J1105</f>
        <v>60.6</v>
      </c>
      <c r="K1104">
        <f>'raw data Crude oil'!K1105</f>
        <v>60.37</v>
      </c>
      <c r="L1104">
        <f>'raw data Crude oil'!L1105</f>
        <v>60.16</v>
      </c>
      <c r="M1104">
        <f>'raw data Crude oil'!M1105</f>
        <v>59.96</v>
      </c>
      <c r="N1104">
        <f>'raw data Crude oil'!N1105</f>
        <v>59.7</v>
      </c>
      <c r="O1104">
        <f>'raw data Crude oil'!O1105</f>
        <v>59.75</v>
      </c>
      <c r="P1104">
        <f>'raw data Crude oil'!P1105</f>
        <v>59.69</v>
      </c>
      <c r="Q1104">
        <f>'raw data Crude oil'!Q1105</f>
        <v>59.48</v>
      </c>
      <c r="R1104">
        <f>'raw data Crude oil'!R1105</f>
        <v>59.17</v>
      </c>
      <c r="S1104">
        <f>'raw data Crude oil'!S1105</f>
        <v>58.82</v>
      </c>
      <c r="T1104">
        <f>'raw data Crude oil'!T1105</f>
        <v>58.46</v>
      </c>
      <c r="U1104">
        <f>'raw data Crude oil'!U1105</f>
        <v>58.09</v>
      </c>
      <c r="V1104">
        <f>'raw data Crude oil'!V1105</f>
        <v>57.75</v>
      </c>
      <c r="W1104">
        <f>'raw data Crude oil'!W1105</f>
        <v>57.42</v>
      </c>
      <c r="X1104">
        <f>'raw data Crude oil'!X1105</f>
        <v>57.13</v>
      </c>
      <c r="Y1104">
        <f>'raw data Crude oil'!Y1105</f>
        <v>56.86</v>
      </c>
      <c r="Z1104">
        <f>'raw data Crude oil'!Z1105</f>
        <v>61.298999999999999</v>
      </c>
      <c r="AA1104">
        <f>'raw data Crude oil'!AA1105</f>
        <v>60.756</v>
      </c>
      <c r="AB1104">
        <f>'raw data Crude oil'!AB1105</f>
        <v>60.194000000000003</v>
      </c>
      <c r="AC1104">
        <f>'raw data Crude oil'!AC1105</f>
        <v>59.804000000000002</v>
      </c>
      <c r="AD1104">
        <f>'raw data Crude oil'!AD1105</f>
        <v>59.484999999999999</v>
      </c>
      <c r="AE1104">
        <f>'raw data Crude oil'!AE1105</f>
        <v>59.22</v>
      </c>
      <c r="AF1104">
        <f>'raw data Crude oil'!AF1105</f>
        <v>58.936</v>
      </c>
      <c r="AG1104">
        <f>'raw data Crude oil'!AG1105</f>
        <v>58.637999999999998</v>
      </c>
      <c r="AH1104">
        <f>'raw data Crude oil'!AH1105</f>
        <v>58.36</v>
      </c>
      <c r="AI1104">
        <f>'raw data Crude oil'!AI1105</f>
        <v>58.16</v>
      </c>
      <c r="AJ1104">
        <f>'raw data Crude oil'!AJ1105</f>
        <v>57.97</v>
      </c>
      <c r="AK1104">
        <f>'raw data Crude oil'!AK1105</f>
        <v>57.792000000000002</v>
      </c>
    </row>
    <row r="1105" spans="1:37" x14ac:dyDescent="0.3">
      <c r="A1105" s="18">
        <f>'raw data Crude oil'!A1106</f>
        <v>44299</v>
      </c>
      <c r="B1105">
        <f>'raw data Crude oil'!B1106</f>
        <v>63.67</v>
      </c>
      <c r="C1105">
        <f>'raw data Crude oil'!C1106</f>
        <v>63.28</v>
      </c>
      <c r="D1105">
        <f>'raw data Crude oil'!D1106</f>
        <v>62.93</v>
      </c>
      <c r="E1105">
        <f>'raw data Crude oil'!E1106</f>
        <v>62.6</v>
      </c>
      <c r="F1105">
        <f>'raw data Crude oil'!F1106</f>
        <v>62.27</v>
      </c>
      <c r="G1105">
        <f>'raw data Crude oil'!G1106</f>
        <v>61.97</v>
      </c>
      <c r="H1105">
        <f>'raw data Crude oil'!H1106</f>
        <v>61.66</v>
      </c>
      <c r="I1105">
        <f>'raw data Crude oil'!I1106</f>
        <v>61.38</v>
      </c>
      <c r="J1105">
        <f>'raw data Crude oil'!J1106</f>
        <v>61.11</v>
      </c>
      <c r="K1105">
        <f>'raw data Crude oil'!K1106</f>
        <v>60.89</v>
      </c>
      <c r="L1105">
        <f>'raw data Crude oil'!L1106</f>
        <v>60.68</v>
      </c>
      <c r="M1105">
        <f>'raw data Crude oil'!M1106</f>
        <v>60.47</v>
      </c>
      <c r="N1105">
        <f>'raw data Crude oil'!N1106</f>
        <v>60.18</v>
      </c>
      <c r="O1105">
        <f>'raw data Crude oil'!O1106</f>
        <v>60.24</v>
      </c>
      <c r="P1105">
        <f>'raw data Crude oil'!P1106</f>
        <v>60.19</v>
      </c>
      <c r="Q1105">
        <f>'raw data Crude oil'!Q1106</f>
        <v>60</v>
      </c>
      <c r="R1105">
        <f>'raw data Crude oil'!R1106</f>
        <v>59.71</v>
      </c>
      <c r="S1105">
        <f>'raw data Crude oil'!S1106</f>
        <v>59.38</v>
      </c>
      <c r="T1105">
        <f>'raw data Crude oil'!T1106</f>
        <v>59.03</v>
      </c>
      <c r="U1105">
        <f>'raw data Crude oil'!U1106</f>
        <v>58.68</v>
      </c>
      <c r="V1105">
        <f>'raw data Crude oil'!V1106</f>
        <v>58.33</v>
      </c>
      <c r="W1105">
        <f>'raw data Crude oil'!W1106</f>
        <v>58</v>
      </c>
      <c r="X1105">
        <f>'raw data Crude oil'!X1106</f>
        <v>57.69</v>
      </c>
      <c r="Y1105">
        <f>'raw data Crude oil'!Y1106</f>
        <v>57.41</v>
      </c>
      <c r="Z1105">
        <f>'raw data Crude oil'!Z1106</f>
        <v>61.558</v>
      </c>
      <c r="AA1105">
        <f>'raw data Crude oil'!AA1106</f>
        <v>61.177</v>
      </c>
      <c r="AB1105">
        <f>'raw data Crude oil'!AB1106</f>
        <v>60.645000000000003</v>
      </c>
      <c r="AC1105">
        <f>'raw data Crude oil'!AC1106</f>
        <v>60.274999999999999</v>
      </c>
      <c r="AD1105">
        <f>'raw data Crude oil'!AD1106</f>
        <v>59.975999999999999</v>
      </c>
      <c r="AE1105">
        <f>'raw data Crude oil'!AE1106</f>
        <v>59.716000000000001</v>
      </c>
      <c r="AF1105">
        <f>'raw data Crude oil'!AF1106</f>
        <v>59.427</v>
      </c>
      <c r="AG1105">
        <f>'raw data Crude oil'!AG1106</f>
        <v>59.148000000000003</v>
      </c>
      <c r="AH1105">
        <f>'raw data Crude oil'!AH1106</f>
        <v>58.871000000000002</v>
      </c>
      <c r="AI1105">
        <f>'raw data Crude oil'!AI1106</f>
        <v>58.68</v>
      </c>
      <c r="AJ1105">
        <f>'raw data Crude oil'!AJ1106</f>
        <v>58.5</v>
      </c>
      <c r="AK1105">
        <f>'raw data Crude oil'!AK1106</f>
        <v>58.320999999999998</v>
      </c>
    </row>
    <row r="1106" spans="1:37" x14ac:dyDescent="0.3">
      <c r="A1106" s="18">
        <f>'raw data Crude oil'!A1107</f>
        <v>44300</v>
      </c>
      <c r="B1106">
        <f>'raw data Crude oil'!B1107</f>
        <v>66.58</v>
      </c>
      <c r="C1106">
        <f>'raw data Crude oil'!C1107</f>
        <v>66.150000000000006</v>
      </c>
      <c r="D1106">
        <f>'raw data Crude oil'!D1107</f>
        <v>65.739999999999995</v>
      </c>
      <c r="E1106">
        <f>'raw data Crude oil'!E1107</f>
        <v>65.34</v>
      </c>
      <c r="F1106">
        <f>'raw data Crude oil'!F1107</f>
        <v>64.930000000000007</v>
      </c>
      <c r="G1106">
        <f>'raw data Crude oil'!G1107</f>
        <v>64.540000000000006</v>
      </c>
      <c r="H1106">
        <f>'raw data Crude oil'!H1107</f>
        <v>64.14</v>
      </c>
      <c r="I1106">
        <f>'raw data Crude oil'!I1107</f>
        <v>63.78</v>
      </c>
      <c r="J1106">
        <f>'raw data Crude oil'!J1107</f>
        <v>63.43</v>
      </c>
      <c r="K1106">
        <f>'raw data Crude oil'!K1107</f>
        <v>63.12</v>
      </c>
      <c r="L1106">
        <f>'raw data Crude oil'!L1107</f>
        <v>62.82</v>
      </c>
      <c r="M1106">
        <f>'raw data Crude oil'!M1107</f>
        <v>62.53</v>
      </c>
      <c r="N1106">
        <f>'raw data Crude oil'!N1107</f>
        <v>63.15</v>
      </c>
      <c r="O1106">
        <f>'raw data Crude oil'!O1107</f>
        <v>63.22</v>
      </c>
      <c r="P1106">
        <f>'raw data Crude oil'!P1107</f>
        <v>63.12</v>
      </c>
      <c r="Q1106">
        <f>'raw data Crude oil'!Q1107</f>
        <v>62.85</v>
      </c>
      <c r="R1106">
        <f>'raw data Crude oil'!R1107</f>
        <v>62.47</v>
      </c>
      <c r="S1106">
        <f>'raw data Crude oil'!S1107</f>
        <v>62.03</v>
      </c>
      <c r="T1106">
        <f>'raw data Crude oil'!T1107</f>
        <v>61.58</v>
      </c>
      <c r="U1106">
        <f>'raw data Crude oil'!U1107</f>
        <v>61.12</v>
      </c>
      <c r="V1106">
        <f>'raw data Crude oil'!V1107</f>
        <v>60.67</v>
      </c>
      <c r="W1106">
        <f>'raw data Crude oil'!W1107</f>
        <v>60.24</v>
      </c>
      <c r="X1106">
        <f>'raw data Crude oil'!X1107</f>
        <v>59.84</v>
      </c>
      <c r="Y1106">
        <f>'raw data Crude oil'!Y1107</f>
        <v>59.46</v>
      </c>
      <c r="Z1106">
        <f>'raw data Crude oil'!Z1107</f>
        <v>63.25</v>
      </c>
      <c r="AA1106">
        <f>'raw data Crude oil'!AA1107</f>
        <v>64.051000000000002</v>
      </c>
      <c r="AB1106">
        <f>'raw data Crude oil'!AB1107</f>
        <v>63.462000000000003</v>
      </c>
      <c r="AC1106">
        <f>'raw data Crude oil'!AC1107</f>
        <v>63.011000000000003</v>
      </c>
      <c r="AD1106">
        <f>'raw data Crude oil'!AD1107</f>
        <v>62.652000000000001</v>
      </c>
      <c r="AE1106">
        <f>'raw data Crude oil'!AE1107</f>
        <v>62.292000000000002</v>
      </c>
      <c r="AF1106">
        <f>'raw data Crude oil'!AF1107</f>
        <v>61.933</v>
      </c>
      <c r="AG1106">
        <f>'raw data Crude oil'!AG1107</f>
        <v>61.584000000000003</v>
      </c>
      <c r="AH1106">
        <f>'raw data Crude oil'!AH1107</f>
        <v>61.232999999999997</v>
      </c>
      <c r="AI1106">
        <f>'raw data Crude oil'!AI1107</f>
        <v>60.926000000000002</v>
      </c>
      <c r="AJ1106">
        <f>'raw data Crude oil'!AJ1107</f>
        <v>60.646000000000001</v>
      </c>
      <c r="AK1106">
        <f>'raw data Crude oil'!AK1107</f>
        <v>60.398000000000003</v>
      </c>
    </row>
    <row r="1107" spans="1:37" x14ac:dyDescent="0.3">
      <c r="A1107" s="18">
        <f>'raw data Crude oil'!A1108</f>
        <v>44301</v>
      </c>
      <c r="B1107">
        <f>'raw data Crude oil'!B1108</f>
        <v>66.94</v>
      </c>
      <c r="C1107">
        <f>'raw data Crude oil'!C1108</f>
        <v>66.45</v>
      </c>
      <c r="D1107">
        <f>'raw data Crude oil'!D1108</f>
        <v>65.989999999999995</v>
      </c>
      <c r="E1107">
        <f>'raw data Crude oil'!E1108</f>
        <v>65.53</v>
      </c>
      <c r="F1107">
        <f>'raw data Crude oil'!F1108</f>
        <v>65.069999999999993</v>
      </c>
      <c r="G1107">
        <f>'raw data Crude oil'!G1108</f>
        <v>64.64</v>
      </c>
      <c r="H1107">
        <f>'raw data Crude oil'!H1108</f>
        <v>64.209999999999994</v>
      </c>
      <c r="I1107">
        <f>'raw data Crude oil'!I1108</f>
        <v>63.81</v>
      </c>
      <c r="J1107">
        <f>'raw data Crude oil'!J1108</f>
        <v>63.43</v>
      </c>
      <c r="K1107">
        <f>'raw data Crude oil'!K1108</f>
        <v>63.09</v>
      </c>
      <c r="L1107">
        <f>'raw data Crude oil'!L1108</f>
        <v>62.77</v>
      </c>
      <c r="M1107">
        <f>'raw data Crude oil'!M1108</f>
        <v>62.46</v>
      </c>
      <c r="N1107">
        <f>'raw data Crude oil'!N1108</f>
        <v>63.46</v>
      </c>
      <c r="O1107">
        <f>'raw data Crude oil'!O1108</f>
        <v>63.51</v>
      </c>
      <c r="P1107">
        <f>'raw data Crude oil'!P1108</f>
        <v>63.4</v>
      </c>
      <c r="Q1107">
        <f>'raw data Crude oil'!Q1108</f>
        <v>63.11</v>
      </c>
      <c r="R1107">
        <f>'raw data Crude oil'!R1108</f>
        <v>62.67</v>
      </c>
      <c r="S1107">
        <f>'raw data Crude oil'!S1108</f>
        <v>62.15</v>
      </c>
      <c r="T1107">
        <f>'raw data Crude oil'!T1108</f>
        <v>61.65</v>
      </c>
      <c r="U1107">
        <f>'raw data Crude oil'!U1108</f>
        <v>61.15</v>
      </c>
      <c r="V1107">
        <f>'raw data Crude oil'!V1108</f>
        <v>60.65</v>
      </c>
      <c r="W1107">
        <f>'raw data Crude oil'!W1108</f>
        <v>60.17</v>
      </c>
      <c r="X1107">
        <f>'raw data Crude oil'!X1108</f>
        <v>59.73</v>
      </c>
      <c r="Y1107">
        <f>'raw data Crude oil'!Y1108</f>
        <v>59.33</v>
      </c>
      <c r="Z1107">
        <f>'raw data Crude oil'!Z1108</f>
        <v>63.481999999999999</v>
      </c>
      <c r="AA1107">
        <f>'raw data Crude oil'!AA1108</f>
        <v>64.486000000000004</v>
      </c>
      <c r="AB1107">
        <f>'raw data Crude oil'!AB1108</f>
        <v>63.866999999999997</v>
      </c>
      <c r="AC1107">
        <f>'raw data Crude oil'!AC1108</f>
        <v>63.348999999999997</v>
      </c>
      <c r="AD1107">
        <f>'raw data Crude oil'!AD1108</f>
        <v>62.93</v>
      </c>
      <c r="AE1107">
        <f>'raw data Crude oil'!AE1108</f>
        <v>62.5</v>
      </c>
      <c r="AF1107">
        <f>'raw data Crude oil'!AF1108</f>
        <v>62.091000000000001</v>
      </c>
      <c r="AG1107">
        <f>'raw data Crude oil'!AG1108</f>
        <v>61.662999999999997</v>
      </c>
      <c r="AH1107">
        <f>'raw data Crude oil'!AH1108</f>
        <v>61.28</v>
      </c>
      <c r="AI1107">
        <f>'raw data Crude oil'!AI1108</f>
        <v>60.975000000000001</v>
      </c>
      <c r="AJ1107">
        <f>'raw data Crude oil'!AJ1108</f>
        <v>60.704999999999998</v>
      </c>
      <c r="AK1107">
        <f>'raw data Crude oil'!AK1108</f>
        <v>60.427</v>
      </c>
    </row>
    <row r="1108" spans="1:37" x14ac:dyDescent="0.3">
      <c r="A1108" s="18">
        <f>'raw data Crude oil'!A1109</f>
        <v>44302</v>
      </c>
      <c r="B1108">
        <f>'raw data Crude oil'!B1109</f>
        <v>66.77</v>
      </c>
      <c r="C1108">
        <f>'raw data Crude oil'!C1109</f>
        <v>66.290000000000006</v>
      </c>
      <c r="D1108">
        <f>'raw data Crude oil'!D1109</f>
        <v>65.81</v>
      </c>
      <c r="E1108">
        <f>'raw data Crude oil'!E1109</f>
        <v>65.349999999999994</v>
      </c>
      <c r="F1108">
        <f>'raw data Crude oil'!F1109</f>
        <v>64.89</v>
      </c>
      <c r="G1108">
        <f>'raw data Crude oil'!G1109</f>
        <v>64.45</v>
      </c>
      <c r="H1108">
        <f>'raw data Crude oil'!H1109</f>
        <v>64.02</v>
      </c>
      <c r="I1108">
        <f>'raw data Crude oil'!I1109</f>
        <v>63.62</v>
      </c>
      <c r="J1108">
        <f>'raw data Crude oil'!J1109</f>
        <v>63.24</v>
      </c>
      <c r="K1108">
        <f>'raw data Crude oil'!K1109</f>
        <v>62.89</v>
      </c>
      <c r="L1108">
        <f>'raw data Crude oil'!L1109</f>
        <v>62.58</v>
      </c>
      <c r="M1108">
        <f>'raw data Crude oil'!M1109</f>
        <v>62.27</v>
      </c>
      <c r="N1108">
        <f>'raw data Crude oil'!N1109</f>
        <v>63.13</v>
      </c>
      <c r="O1108">
        <f>'raw data Crude oil'!O1109</f>
        <v>63.19</v>
      </c>
      <c r="P1108">
        <f>'raw data Crude oil'!P1109</f>
        <v>63.09</v>
      </c>
      <c r="Q1108">
        <f>'raw data Crude oil'!Q1109</f>
        <v>62.81</v>
      </c>
      <c r="R1108">
        <f>'raw data Crude oil'!R1109</f>
        <v>62.38</v>
      </c>
      <c r="S1108">
        <f>'raw data Crude oil'!S1109</f>
        <v>61.88</v>
      </c>
      <c r="T1108">
        <f>'raw data Crude oil'!T1109</f>
        <v>61.37</v>
      </c>
      <c r="U1108">
        <f>'raw data Crude oil'!U1109</f>
        <v>60.85</v>
      </c>
      <c r="V1108">
        <f>'raw data Crude oil'!V1109</f>
        <v>60.35</v>
      </c>
      <c r="W1108">
        <f>'raw data Crude oil'!W1109</f>
        <v>59.88</v>
      </c>
      <c r="X1108">
        <f>'raw data Crude oil'!X1109</f>
        <v>59.44</v>
      </c>
      <c r="Y1108">
        <f>'raw data Crude oil'!Y1109</f>
        <v>59.03</v>
      </c>
      <c r="Z1108">
        <f>'raw data Crude oil'!Z1109</f>
        <v>63.433</v>
      </c>
      <c r="AA1108">
        <f>'raw data Crude oil'!AA1109</f>
        <v>64.373999999999995</v>
      </c>
      <c r="AB1108">
        <f>'raw data Crude oil'!AB1109</f>
        <v>63.749000000000002</v>
      </c>
      <c r="AC1108">
        <f>'raw data Crude oil'!AC1109</f>
        <v>63.249000000000002</v>
      </c>
      <c r="AD1108">
        <f>'raw data Crude oil'!AD1109</f>
        <v>62.802999999999997</v>
      </c>
      <c r="AE1108">
        <f>'raw data Crude oil'!AE1109</f>
        <v>62.38</v>
      </c>
      <c r="AF1108">
        <f>'raw data Crude oil'!AF1109</f>
        <v>61.960999999999999</v>
      </c>
      <c r="AG1108">
        <f>'raw data Crude oil'!AG1109</f>
        <v>61.512999999999998</v>
      </c>
      <c r="AH1108">
        <f>'raw data Crude oil'!AH1109</f>
        <v>61.1</v>
      </c>
      <c r="AI1108">
        <f>'raw data Crude oil'!AI1109</f>
        <v>60.784999999999997</v>
      </c>
      <c r="AJ1108">
        <f>'raw data Crude oil'!AJ1109</f>
        <v>60.515000000000001</v>
      </c>
      <c r="AK1108">
        <f>'raw data Crude oil'!AK1109</f>
        <v>60.237000000000002</v>
      </c>
    </row>
    <row r="1109" spans="1:37" x14ac:dyDescent="0.3">
      <c r="A1109" s="18">
        <f>'raw data Crude oil'!A1110</f>
        <v>44305</v>
      </c>
      <c r="B1109">
        <f>'raw data Crude oil'!B1110</f>
        <v>67.05</v>
      </c>
      <c r="C1109">
        <f>'raw data Crude oil'!C1110</f>
        <v>66.459999999999994</v>
      </c>
      <c r="D1109">
        <f>'raw data Crude oil'!D1110</f>
        <v>65.930000000000007</v>
      </c>
      <c r="E1109">
        <f>'raw data Crude oil'!E1110</f>
        <v>65.45</v>
      </c>
      <c r="F1109">
        <f>'raw data Crude oil'!F1110</f>
        <v>64.97</v>
      </c>
      <c r="G1109">
        <f>'raw data Crude oil'!G1110</f>
        <v>64.53</v>
      </c>
      <c r="H1109">
        <f>'raw data Crude oil'!H1110</f>
        <v>64.08</v>
      </c>
      <c r="I1109">
        <f>'raw data Crude oil'!I1110</f>
        <v>63.67</v>
      </c>
      <c r="J1109">
        <f>'raw data Crude oil'!J1110</f>
        <v>63.28</v>
      </c>
      <c r="K1109">
        <f>'raw data Crude oil'!K1110</f>
        <v>62.93</v>
      </c>
      <c r="L1109">
        <f>'raw data Crude oil'!L1110</f>
        <v>62.6</v>
      </c>
      <c r="M1109">
        <f>'raw data Crude oil'!M1110</f>
        <v>62.3</v>
      </c>
      <c r="N1109">
        <f>'raw data Crude oil'!N1110</f>
        <v>63.38</v>
      </c>
      <c r="O1109">
        <f>'raw data Crude oil'!O1110</f>
        <v>63.43</v>
      </c>
      <c r="P1109">
        <f>'raw data Crude oil'!P1110</f>
        <v>63.31</v>
      </c>
      <c r="Q1109">
        <f>'raw data Crude oil'!Q1110</f>
        <v>63</v>
      </c>
      <c r="R1109">
        <f>'raw data Crude oil'!R1110</f>
        <v>62.53</v>
      </c>
      <c r="S1109">
        <f>'raw data Crude oil'!S1110</f>
        <v>62</v>
      </c>
      <c r="T1109">
        <f>'raw data Crude oil'!T1110</f>
        <v>61.47</v>
      </c>
      <c r="U1109">
        <f>'raw data Crude oil'!U1110</f>
        <v>60.93</v>
      </c>
      <c r="V1109">
        <f>'raw data Crude oil'!V1110</f>
        <v>60.41</v>
      </c>
      <c r="W1109">
        <f>'raw data Crude oil'!W1110</f>
        <v>59.91</v>
      </c>
      <c r="X1109">
        <f>'raw data Crude oil'!X1110</f>
        <v>59.47</v>
      </c>
      <c r="Y1109">
        <f>'raw data Crude oil'!Y1110</f>
        <v>59.06</v>
      </c>
      <c r="Z1109">
        <f>'raw data Crude oil'!Z1110</f>
        <v>63.469000000000001</v>
      </c>
      <c r="AA1109">
        <f>'raw data Crude oil'!AA1110</f>
        <v>64.480999999999995</v>
      </c>
      <c r="AB1109">
        <f>'raw data Crude oil'!AB1110</f>
        <v>63.841999999999999</v>
      </c>
      <c r="AC1109">
        <f>'raw data Crude oil'!AC1110</f>
        <v>63.323</v>
      </c>
      <c r="AD1109">
        <f>'raw data Crude oil'!AD1110</f>
        <v>62.875</v>
      </c>
      <c r="AE1109">
        <f>'raw data Crude oil'!AE1110</f>
        <v>62.43</v>
      </c>
      <c r="AF1109">
        <f>'raw data Crude oil'!AF1110</f>
        <v>61.982999999999997</v>
      </c>
      <c r="AG1109">
        <f>'raw data Crude oil'!AG1110</f>
        <v>61.542000000000002</v>
      </c>
      <c r="AH1109">
        <f>'raw data Crude oil'!AH1110</f>
        <v>61.12</v>
      </c>
      <c r="AI1109">
        <f>'raw data Crude oil'!AI1110</f>
        <v>60.823999999999998</v>
      </c>
      <c r="AJ1109">
        <f>'raw data Crude oil'!AJ1110</f>
        <v>60.534999999999997</v>
      </c>
      <c r="AK1109">
        <f>'raw data Crude oil'!AK1110</f>
        <v>60.268000000000001</v>
      </c>
    </row>
    <row r="1110" spans="1:37" x14ac:dyDescent="0.3">
      <c r="A1110" s="18">
        <f>'raw data Crude oil'!A1111</f>
        <v>44306</v>
      </c>
      <c r="B1110">
        <f>'raw data Crude oil'!B1111</f>
        <v>66.569999999999993</v>
      </c>
      <c r="C1110">
        <f>'raw data Crude oil'!C1111</f>
        <v>65.92</v>
      </c>
      <c r="D1110">
        <f>'raw data Crude oil'!D1111</f>
        <v>65.37</v>
      </c>
      <c r="E1110">
        <f>'raw data Crude oil'!E1111</f>
        <v>64.88</v>
      </c>
      <c r="F1110">
        <f>'raw data Crude oil'!F1111</f>
        <v>64.400000000000006</v>
      </c>
      <c r="G1110">
        <f>'raw data Crude oil'!G1111</f>
        <v>63.96</v>
      </c>
      <c r="H1110">
        <f>'raw data Crude oil'!H1111</f>
        <v>63.51</v>
      </c>
      <c r="I1110">
        <f>'raw data Crude oil'!I1111</f>
        <v>63.11</v>
      </c>
      <c r="J1110">
        <f>'raw data Crude oil'!J1111</f>
        <v>62.72</v>
      </c>
      <c r="K1110">
        <f>'raw data Crude oil'!K1111</f>
        <v>62.37</v>
      </c>
      <c r="L1110">
        <f>'raw data Crude oil'!L1111</f>
        <v>62.04</v>
      </c>
      <c r="M1110">
        <f>'raw data Crude oil'!M1111</f>
        <v>61.74</v>
      </c>
      <c r="N1110">
        <f>'raw data Crude oil'!N1111</f>
        <v>62.44</v>
      </c>
      <c r="O1110">
        <f>'raw data Crude oil'!O1111</f>
        <v>62.67</v>
      </c>
      <c r="P1110">
        <f>'raw data Crude oil'!P1111</f>
        <v>62.6</v>
      </c>
      <c r="Q1110">
        <f>'raw data Crude oil'!Q1111</f>
        <v>62.31</v>
      </c>
      <c r="R1110">
        <f>'raw data Crude oil'!R1111</f>
        <v>61.87</v>
      </c>
      <c r="S1110">
        <f>'raw data Crude oil'!S1111</f>
        <v>61.33</v>
      </c>
      <c r="T1110">
        <f>'raw data Crude oil'!T1111</f>
        <v>60.8</v>
      </c>
      <c r="U1110">
        <f>'raw data Crude oil'!U1111</f>
        <v>60.27</v>
      </c>
      <c r="V1110">
        <f>'raw data Crude oil'!V1111</f>
        <v>59.76</v>
      </c>
      <c r="W1110">
        <f>'raw data Crude oil'!W1111</f>
        <v>59.27</v>
      </c>
      <c r="X1110">
        <f>'raw data Crude oil'!X1111</f>
        <v>58.83</v>
      </c>
      <c r="Y1110">
        <f>'raw data Crude oil'!Y1111</f>
        <v>58.42</v>
      </c>
      <c r="Z1110">
        <f>'raw data Crude oil'!Z1111</f>
        <v>63.267000000000003</v>
      </c>
      <c r="AA1110">
        <f>'raw data Crude oil'!AA1111</f>
        <v>63.878</v>
      </c>
      <c r="AB1110">
        <f>'raw data Crude oil'!AB1111</f>
        <v>63.247999999999998</v>
      </c>
      <c r="AC1110">
        <f>'raw data Crude oil'!AC1111</f>
        <v>62.722999999999999</v>
      </c>
      <c r="AD1110">
        <f>'raw data Crude oil'!AD1111</f>
        <v>62.24</v>
      </c>
      <c r="AE1110">
        <f>'raw data Crude oil'!AE1111</f>
        <v>61.78</v>
      </c>
      <c r="AF1110">
        <f>'raw data Crude oil'!AF1111</f>
        <v>61.331000000000003</v>
      </c>
      <c r="AG1110">
        <f>'raw data Crude oil'!AG1111</f>
        <v>60.932000000000002</v>
      </c>
      <c r="AH1110">
        <f>'raw data Crude oil'!AH1111</f>
        <v>60.56</v>
      </c>
      <c r="AI1110">
        <f>'raw data Crude oil'!AI1111</f>
        <v>60.264000000000003</v>
      </c>
      <c r="AJ1110">
        <f>'raw data Crude oil'!AJ1111</f>
        <v>59.975000000000001</v>
      </c>
      <c r="AK1110">
        <f>'raw data Crude oil'!AK1111</f>
        <v>59.697000000000003</v>
      </c>
    </row>
    <row r="1111" spans="1:37" x14ac:dyDescent="0.3">
      <c r="A1111" s="18">
        <f>'raw data Crude oil'!A1112</f>
        <v>44307</v>
      </c>
      <c r="B1111">
        <f>'raw data Crude oil'!B1112</f>
        <v>65.319999999999993</v>
      </c>
      <c r="C1111">
        <f>'raw data Crude oil'!C1112</f>
        <v>64.680000000000007</v>
      </c>
      <c r="D1111">
        <f>'raw data Crude oil'!D1112</f>
        <v>64.17</v>
      </c>
      <c r="E1111">
        <f>'raw data Crude oil'!E1112</f>
        <v>63.72</v>
      </c>
      <c r="F1111">
        <f>'raw data Crude oil'!F1112</f>
        <v>63.29</v>
      </c>
      <c r="G1111">
        <f>'raw data Crude oil'!G1112</f>
        <v>62.89</v>
      </c>
      <c r="H1111">
        <f>'raw data Crude oil'!H1112</f>
        <v>62.5</v>
      </c>
      <c r="I1111">
        <f>'raw data Crude oil'!I1112</f>
        <v>62.13</v>
      </c>
      <c r="J1111">
        <f>'raw data Crude oil'!J1112</f>
        <v>61.79</v>
      </c>
      <c r="K1111">
        <f>'raw data Crude oil'!K1112</f>
        <v>61.47</v>
      </c>
      <c r="L1111">
        <f>'raw data Crude oil'!L1112</f>
        <v>61.17</v>
      </c>
      <c r="M1111">
        <f>'raw data Crude oil'!M1112</f>
        <v>60.9</v>
      </c>
      <c r="N1111">
        <f>'raw data Crude oil'!N1112</f>
        <v>61.35</v>
      </c>
      <c r="O1111">
        <f>'raw data Crude oil'!O1112</f>
        <v>61.27</v>
      </c>
      <c r="P1111">
        <f>'raw data Crude oil'!P1112</f>
        <v>61.01</v>
      </c>
      <c r="Q1111">
        <f>'raw data Crude oil'!Q1112</f>
        <v>60.63</v>
      </c>
      <c r="R1111">
        <f>'raw data Crude oil'!R1112</f>
        <v>60.17</v>
      </c>
      <c r="S1111">
        <f>'raw data Crude oil'!S1112</f>
        <v>59.71</v>
      </c>
      <c r="T1111">
        <f>'raw data Crude oil'!T1112</f>
        <v>59.26</v>
      </c>
      <c r="U1111">
        <f>'raw data Crude oil'!U1112</f>
        <v>58.81</v>
      </c>
      <c r="V1111">
        <f>'raw data Crude oil'!V1112</f>
        <v>58.38</v>
      </c>
      <c r="W1111">
        <f>'raw data Crude oil'!W1112</f>
        <v>57.99</v>
      </c>
      <c r="X1111">
        <f>'raw data Crude oil'!X1112</f>
        <v>57.62</v>
      </c>
      <c r="Y1111">
        <f>'raw data Crude oil'!Y1112</f>
        <v>57.28</v>
      </c>
      <c r="Z1111">
        <f>'raw data Crude oil'!Z1112</f>
        <v>62.753999999999998</v>
      </c>
      <c r="AA1111">
        <f>'raw data Crude oil'!AA1112</f>
        <v>62.496000000000002</v>
      </c>
      <c r="AB1111">
        <f>'raw data Crude oil'!AB1112</f>
        <v>61.92</v>
      </c>
      <c r="AC1111">
        <f>'raw data Crude oil'!AC1112</f>
        <v>61.445</v>
      </c>
      <c r="AD1111">
        <f>'raw data Crude oil'!AD1112</f>
        <v>61.012</v>
      </c>
      <c r="AE1111">
        <f>'raw data Crude oil'!AE1112</f>
        <v>60.612000000000002</v>
      </c>
      <c r="AF1111">
        <f>'raw data Crude oil'!AF1112</f>
        <v>60.222000000000001</v>
      </c>
      <c r="AG1111">
        <f>'raw data Crude oil'!AG1112</f>
        <v>59.865000000000002</v>
      </c>
      <c r="AH1111">
        <f>'raw data Crude oil'!AH1112</f>
        <v>59.561999999999998</v>
      </c>
      <c r="AI1111">
        <f>'raw data Crude oil'!AI1112</f>
        <v>59.265999999999998</v>
      </c>
      <c r="AJ1111">
        <f>'raw data Crude oil'!AJ1112</f>
        <v>59.006999999999998</v>
      </c>
      <c r="AK1111">
        <f>'raw data Crude oil'!AK1112</f>
        <v>58.749000000000002</v>
      </c>
    </row>
    <row r="1112" spans="1:37" x14ac:dyDescent="0.3">
      <c r="A1112" s="18">
        <f>'raw data Crude oil'!A1113</f>
        <v>44308</v>
      </c>
      <c r="B1112">
        <f>'raw data Crude oil'!B1113</f>
        <v>65.400000000000006</v>
      </c>
      <c r="C1112">
        <f>'raw data Crude oil'!C1113</f>
        <v>64.75</v>
      </c>
      <c r="D1112">
        <f>'raw data Crude oil'!D1113</f>
        <v>64.239999999999995</v>
      </c>
      <c r="E1112">
        <f>'raw data Crude oil'!E1113</f>
        <v>63.81</v>
      </c>
      <c r="F1112">
        <f>'raw data Crude oil'!F1113</f>
        <v>63.39</v>
      </c>
      <c r="G1112">
        <f>'raw data Crude oil'!G1113</f>
        <v>63.02</v>
      </c>
      <c r="H1112">
        <f>'raw data Crude oil'!H1113</f>
        <v>62.65</v>
      </c>
      <c r="I1112">
        <f>'raw data Crude oil'!I1113</f>
        <v>62.32</v>
      </c>
      <c r="J1112">
        <f>'raw data Crude oil'!J1113</f>
        <v>62</v>
      </c>
      <c r="K1112">
        <f>'raw data Crude oil'!K1113</f>
        <v>61.72</v>
      </c>
      <c r="L1112">
        <f>'raw data Crude oil'!L1113</f>
        <v>61.45</v>
      </c>
      <c r="M1112">
        <f>'raw data Crude oil'!M1113</f>
        <v>61.21</v>
      </c>
      <c r="N1112">
        <f>'raw data Crude oil'!N1113</f>
        <v>61.43</v>
      </c>
      <c r="O1112">
        <f>'raw data Crude oil'!O1113</f>
        <v>61.34</v>
      </c>
      <c r="P1112">
        <f>'raw data Crude oil'!P1113</f>
        <v>61.07</v>
      </c>
      <c r="Q1112">
        <f>'raw data Crude oil'!Q1113</f>
        <v>60.7</v>
      </c>
      <c r="R1112">
        <f>'raw data Crude oil'!R1113</f>
        <v>60.29</v>
      </c>
      <c r="S1112">
        <f>'raw data Crude oil'!S1113</f>
        <v>59.87</v>
      </c>
      <c r="T1112">
        <f>'raw data Crude oil'!T1113</f>
        <v>59.46</v>
      </c>
      <c r="U1112">
        <f>'raw data Crude oil'!U1113</f>
        <v>59.03</v>
      </c>
      <c r="V1112">
        <f>'raw data Crude oil'!V1113</f>
        <v>58.63</v>
      </c>
      <c r="W1112">
        <f>'raw data Crude oil'!W1113</f>
        <v>58.26</v>
      </c>
      <c r="X1112">
        <f>'raw data Crude oil'!X1113</f>
        <v>57.92</v>
      </c>
      <c r="Y1112">
        <f>'raw data Crude oil'!Y1113</f>
        <v>57.61</v>
      </c>
      <c r="Z1112">
        <f>'raw data Crude oil'!Z1113</f>
        <v>62.722999999999999</v>
      </c>
      <c r="AA1112">
        <f>'raw data Crude oil'!AA1113</f>
        <v>62.540999999999997</v>
      </c>
      <c r="AB1112">
        <f>'raw data Crude oil'!AB1113</f>
        <v>61.95</v>
      </c>
      <c r="AC1112">
        <f>'raw data Crude oil'!AC1113</f>
        <v>61.470999999999997</v>
      </c>
      <c r="AD1112">
        <f>'raw data Crude oil'!AD1113</f>
        <v>61.052999999999997</v>
      </c>
      <c r="AE1112">
        <f>'raw data Crude oil'!AE1113</f>
        <v>60.692999999999998</v>
      </c>
      <c r="AF1112">
        <f>'raw data Crude oil'!AF1113</f>
        <v>60.344000000000001</v>
      </c>
      <c r="AG1112">
        <f>'raw data Crude oil'!AG1113</f>
        <v>60.015000000000001</v>
      </c>
      <c r="AH1112">
        <f>'raw data Crude oil'!AH1113</f>
        <v>59.725999999999999</v>
      </c>
      <c r="AI1112">
        <f>'raw data Crude oil'!AI1113</f>
        <v>59.487000000000002</v>
      </c>
      <c r="AJ1112">
        <f>'raw data Crude oil'!AJ1113</f>
        <v>59.258000000000003</v>
      </c>
      <c r="AK1112">
        <f>'raw data Crude oil'!AK1113</f>
        <v>59.03</v>
      </c>
    </row>
    <row r="1113" spans="1:37" x14ac:dyDescent="0.3">
      <c r="A1113" s="18">
        <f>'raw data Crude oil'!A1114</f>
        <v>44309</v>
      </c>
      <c r="B1113">
        <f>'raw data Crude oil'!B1114</f>
        <v>66.11</v>
      </c>
      <c r="C1113">
        <f>'raw data Crude oil'!C1114</f>
        <v>65.42</v>
      </c>
      <c r="D1113">
        <f>'raw data Crude oil'!D1114</f>
        <v>64.930000000000007</v>
      </c>
      <c r="E1113">
        <f>'raw data Crude oil'!E1114</f>
        <v>64.510000000000005</v>
      </c>
      <c r="F1113">
        <f>'raw data Crude oil'!F1114</f>
        <v>64.08</v>
      </c>
      <c r="G1113">
        <f>'raw data Crude oil'!G1114</f>
        <v>63.69</v>
      </c>
      <c r="H1113">
        <f>'raw data Crude oil'!H1114</f>
        <v>63.3</v>
      </c>
      <c r="I1113">
        <f>'raw data Crude oil'!I1114</f>
        <v>62.96</v>
      </c>
      <c r="J1113">
        <f>'raw data Crude oil'!J1114</f>
        <v>62.64</v>
      </c>
      <c r="K1113">
        <f>'raw data Crude oil'!K1114</f>
        <v>62.35</v>
      </c>
      <c r="L1113">
        <f>'raw data Crude oil'!L1114</f>
        <v>62.07</v>
      </c>
      <c r="M1113">
        <f>'raw data Crude oil'!M1114</f>
        <v>61.82</v>
      </c>
      <c r="N1113">
        <f>'raw data Crude oil'!N1114</f>
        <v>62.14</v>
      </c>
      <c r="O1113">
        <f>'raw data Crude oil'!O1114</f>
        <v>62.02</v>
      </c>
      <c r="P1113">
        <f>'raw data Crude oil'!P1114</f>
        <v>61.72</v>
      </c>
      <c r="Q1113">
        <f>'raw data Crude oil'!Q1114</f>
        <v>61.34</v>
      </c>
      <c r="R1113">
        <f>'raw data Crude oil'!R1114</f>
        <v>60.92</v>
      </c>
      <c r="S1113">
        <f>'raw data Crude oil'!S1114</f>
        <v>60.5</v>
      </c>
      <c r="T1113">
        <f>'raw data Crude oil'!T1114</f>
        <v>60.07</v>
      </c>
      <c r="U1113">
        <f>'raw data Crude oil'!U1114</f>
        <v>59.65</v>
      </c>
      <c r="V1113">
        <f>'raw data Crude oil'!V1114</f>
        <v>59.24</v>
      </c>
      <c r="W1113">
        <f>'raw data Crude oil'!W1114</f>
        <v>58.86</v>
      </c>
      <c r="X1113">
        <f>'raw data Crude oil'!X1114</f>
        <v>58.51</v>
      </c>
      <c r="Y1113">
        <f>'raw data Crude oil'!Y1114</f>
        <v>58.19</v>
      </c>
      <c r="Z1113">
        <f>'raw data Crude oil'!Z1114</f>
        <v>62.835999999999999</v>
      </c>
      <c r="AA1113">
        <f>'raw data Crude oil'!AA1114</f>
        <v>63.093000000000004</v>
      </c>
      <c r="AB1113">
        <f>'raw data Crude oil'!AB1114</f>
        <v>62.543999999999997</v>
      </c>
      <c r="AC1113">
        <f>'raw data Crude oil'!AC1114</f>
        <v>62.100999999999999</v>
      </c>
      <c r="AD1113">
        <f>'raw data Crude oil'!AD1114</f>
        <v>61.692</v>
      </c>
      <c r="AE1113">
        <f>'raw data Crude oil'!AE1114</f>
        <v>61.311999999999998</v>
      </c>
      <c r="AF1113">
        <f>'raw data Crude oil'!AF1114</f>
        <v>60.963999999999999</v>
      </c>
      <c r="AG1113">
        <f>'raw data Crude oil'!AG1114</f>
        <v>60.625</v>
      </c>
      <c r="AH1113">
        <f>'raw data Crude oil'!AH1114</f>
        <v>60.344999999999999</v>
      </c>
      <c r="AI1113">
        <f>'raw data Crude oil'!AI1114</f>
        <v>60.067</v>
      </c>
      <c r="AJ1113">
        <f>'raw data Crude oil'!AJ1114</f>
        <v>59.808</v>
      </c>
      <c r="AK1113">
        <f>'raw data Crude oil'!AK1114</f>
        <v>59.558999999999997</v>
      </c>
    </row>
    <row r="1114" spans="1:37" x14ac:dyDescent="0.3">
      <c r="A1114" s="18">
        <f>'raw data Crude oil'!A1115</f>
        <v>44312</v>
      </c>
      <c r="B1114">
        <f>'raw data Crude oil'!B1115</f>
        <v>65.650000000000006</v>
      </c>
      <c r="C1114">
        <f>'raw data Crude oil'!C1115</f>
        <v>65.03</v>
      </c>
      <c r="D1114">
        <f>'raw data Crude oil'!D1115</f>
        <v>64.61</v>
      </c>
      <c r="E1114">
        <f>'raw data Crude oil'!E1115</f>
        <v>64.239999999999995</v>
      </c>
      <c r="F1114">
        <f>'raw data Crude oil'!F1115</f>
        <v>63.85</v>
      </c>
      <c r="G1114">
        <f>'raw data Crude oil'!G1115</f>
        <v>63.49</v>
      </c>
      <c r="H1114">
        <f>'raw data Crude oil'!H1115</f>
        <v>63.12</v>
      </c>
      <c r="I1114">
        <f>'raw data Crude oil'!I1115</f>
        <v>62.8</v>
      </c>
      <c r="J1114">
        <f>'raw data Crude oil'!J1115</f>
        <v>62.51</v>
      </c>
      <c r="K1114">
        <f>'raw data Crude oil'!K1115</f>
        <v>62.24</v>
      </c>
      <c r="L1114">
        <f>'raw data Crude oil'!L1115</f>
        <v>61.99</v>
      </c>
      <c r="M1114">
        <f>'raw data Crude oil'!M1115</f>
        <v>61.76</v>
      </c>
      <c r="N1114">
        <f>'raw data Crude oil'!N1115</f>
        <v>61.91</v>
      </c>
      <c r="O1114">
        <f>'raw data Crude oil'!O1115</f>
        <v>61.8</v>
      </c>
      <c r="P1114">
        <f>'raw data Crude oil'!P1115</f>
        <v>61.52</v>
      </c>
      <c r="Q1114">
        <f>'raw data Crude oil'!Q1115</f>
        <v>61.14</v>
      </c>
      <c r="R1114">
        <f>'raw data Crude oil'!R1115</f>
        <v>60.71</v>
      </c>
      <c r="S1114">
        <f>'raw data Crude oil'!S1115</f>
        <v>60.28</v>
      </c>
      <c r="T1114">
        <f>'raw data Crude oil'!T1115</f>
        <v>59.86</v>
      </c>
      <c r="U1114">
        <f>'raw data Crude oil'!U1115</f>
        <v>59.44</v>
      </c>
      <c r="V1114">
        <f>'raw data Crude oil'!V1115</f>
        <v>59.05</v>
      </c>
      <c r="W1114">
        <f>'raw data Crude oil'!W1115</f>
        <v>58.69</v>
      </c>
      <c r="X1114">
        <f>'raw data Crude oil'!X1115</f>
        <v>58.35</v>
      </c>
      <c r="Y1114">
        <f>'raw data Crude oil'!Y1115</f>
        <v>58.05</v>
      </c>
      <c r="Z1114">
        <f>'raw data Crude oil'!Z1115</f>
        <v>62.683999999999997</v>
      </c>
      <c r="AA1114">
        <f>'raw data Crude oil'!AA1115</f>
        <v>62.67</v>
      </c>
      <c r="AB1114">
        <f>'raw data Crude oil'!AB1115</f>
        <v>62.170999999999999</v>
      </c>
      <c r="AC1114">
        <f>'raw data Crude oil'!AC1115</f>
        <v>61.753</v>
      </c>
      <c r="AD1114">
        <f>'raw data Crude oil'!AD1115</f>
        <v>61.384</v>
      </c>
      <c r="AE1114">
        <f>'raw data Crude oil'!AE1115</f>
        <v>61.033000000000001</v>
      </c>
      <c r="AF1114">
        <f>'raw data Crude oil'!AF1115</f>
        <v>60.715000000000003</v>
      </c>
      <c r="AG1114">
        <f>'raw data Crude oil'!AG1115</f>
        <v>60.396999999999998</v>
      </c>
      <c r="AH1114">
        <f>'raw data Crude oil'!AH1115</f>
        <v>60.127000000000002</v>
      </c>
      <c r="AI1114">
        <f>'raw data Crude oil'!AI1115</f>
        <v>59.887999999999998</v>
      </c>
      <c r="AJ1114">
        <f>'raw data Crude oil'!AJ1115</f>
        <v>59.658999999999999</v>
      </c>
      <c r="AK1114">
        <f>'raw data Crude oil'!AK1115</f>
        <v>59.43</v>
      </c>
    </row>
    <row r="1115" spans="1:37" x14ac:dyDescent="0.3">
      <c r="A1115" s="18">
        <f>'raw data Crude oil'!A1116</f>
        <v>44313</v>
      </c>
      <c r="B1115">
        <f>'raw data Crude oil'!B1116</f>
        <v>66.42</v>
      </c>
      <c r="C1115">
        <f>'raw data Crude oil'!C1116</f>
        <v>65.87</v>
      </c>
      <c r="D1115">
        <f>'raw data Crude oil'!D1116</f>
        <v>65.47</v>
      </c>
      <c r="E1115">
        <f>'raw data Crude oil'!E1116</f>
        <v>65.099999999999994</v>
      </c>
      <c r="F1115">
        <f>'raw data Crude oil'!F1116</f>
        <v>64.7</v>
      </c>
      <c r="G1115">
        <f>'raw data Crude oil'!G1116</f>
        <v>64.319999999999993</v>
      </c>
      <c r="H1115">
        <f>'raw data Crude oil'!H1116</f>
        <v>63.93</v>
      </c>
      <c r="I1115">
        <f>'raw data Crude oil'!I1116</f>
        <v>63.59</v>
      </c>
      <c r="J1115">
        <f>'raw data Crude oil'!J1116</f>
        <v>63.27</v>
      </c>
      <c r="K1115">
        <f>'raw data Crude oil'!K1116</f>
        <v>63</v>
      </c>
      <c r="L1115">
        <f>'raw data Crude oil'!L1116</f>
        <v>62.74</v>
      </c>
      <c r="M1115">
        <f>'raw data Crude oil'!M1116</f>
        <v>62.51</v>
      </c>
      <c r="N1115">
        <f>'raw data Crude oil'!N1116</f>
        <v>62.94</v>
      </c>
      <c r="O1115">
        <f>'raw data Crude oil'!O1116</f>
        <v>62.8</v>
      </c>
      <c r="P1115">
        <f>'raw data Crude oil'!P1116</f>
        <v>62.48</v>
      </c>
      <c r="Q1115">
        <f>'raw data Crude oil'!Q1116</f>
        <v>62.06</v>
      </c>
      <c r="R1115">
        <f>'raw data Crude oil'!R1116</f>
        <v>61.59</v>
      </c>
      <c r="S1115">
        <f>'raw data Crude oil'!S1116</f>
        <v>61.13</v>
      </c>
      <c r="T1115">
        <f>'raw data Crude oil'!T1116</f>
        <v>60.68</v>
      </c>
      <c r="U1115">
        <f>'raw data Crude oil'!U1116</f>
        <v>60.24</v>
      </c>
      <c r="V1115">
        <f>'raw data Crude oil'!V1116</f>
        <v>59.83</v>
      </c>
      <c r="W1115">
        <f>'raw data Crude oil'!W1116</f>
        <v>59.45</v>
      </c>
      <c r="X1115">
        <f>'raw data Crude oil'!X1116</f>
        <v>59.09</v>
      </c>
      <c r="Y1115">
        <f>'raw data Crude oil'!Y1116</f>
        <v>58.77</v>
      </c>
      <c r="Z1115">
        <f>'raw data Crude oil'!Z1116</f>
        <v>62.822000000000003</v>
      </c>
      <c r="AA1115">
        <f>'raw data Crude oil'!AA1116</f>
        <v>63.601999999999997</v>
      </c>
      <c r="AB1115">
        <f>'raw data Crude oil'!AB1116</f>
        <v>63.082999999999998</v>
      </c>
      <c r="AC1115">
        <f>'raw data Crude oil'!AC1116</f>
        <v>62.692</v>
      </c>
      <c r="AD1115">
        <f>'raw data Crude oil'!AD1116</f>
        <v>62.328000000000003</v>
      </c>
      <c r="AE1115">
        <f>'raw data Crude oil'!AE1116</f>
        <v>61.962000000000003</v>
      </c>
      <c r="AF1115">
        <f>'raw data Crude oil'!AF1116</f>
        <v>61.613999999999997</v>
      </c>
      <c r="AG1115">
        <f>'raw data Crude oil'!AG1116</f>
        <v>61.274999999999999</v>
      </c>
      <c r="AH1115">
        <f>'raw data Crude oil'!AH1116</f>
        <v>60.947000000000003</v>
      </c>
      <c r="AI1115">
        <f>'raw data Crude oil'!AI1116</f>
        <v>60.707999999999998</v>
      </c>
      <c r="AJ1115">
        <f>'raw data Crude oil'!AJ1116</f>
        <v>60.469000000000001</v>
      </c>
      <c r="AK1115">
        <f>'raw data Crude oil'!AK1116</f>
        <v>60.25</v>
      </c>
    </row>
    <row r="1116" spans="1:37" x14ac:dyDescent="0.3">
      <c r="A1116" s="18">
        <f>'raw data Crude oil'!A1117</f>
        <v>44314</v>
      </c>
      <c r="B1116">
        <f>'raw data Crude oil'!B1117</f>
        <v>67.27</v>
      </c>
      <c r="C1116">
        <f>'raw data Crude oil'!C1117</f>
        <v>66.78</v>
      </c>
      <c r="D1116">
        <f>'raw data Crude oil'!D1117</f>
        <v>66.38</v>
      </c>
      <c r="E1116">
        <f>'raw data Crude oil'!E1117</f>
        <v>65.98</v>
      </c>
      <c r="F1116">
        <f>'raw data Crude oil'!F1117</f>
        <v>65.540000000000006</v>
      </c>
      <c r="G1116">
        <f>'raw data Crude oil'!G1117</f>
        <v>65.12</v>
      </c>
      <c r="H1116">
        <f>'raw data Crude oil'!H1117</f>
        <v>64.69</v>
      </c>
      <c r="I1116">
        <f>'raw data Crude oil'!I1117</f>
        <v>64.31</v>
      </c>
      <c r="J1116">
        <f>'raw data Crude oil'!J1117</f>
        <v>63.96</v>
      </c>
      <c r="K1116">
        <f>'raw data Crude oil'!K1117</f>
        <v>63.66</v>
      </c>
      <c r="L1116">
        <f>'raw data Crude oil'!L1117</f>
        <v>63.38</v>
      </c>
      <c r="M1116">
        <f>'raw data Crude oil'!M1117</f>
        <v>63.12</v>
      </c>
      <c r="N1116">
        <f>'raw data Crude oil'!N1117</f>
        <v>63.86</v>
      </c>
      <c r="O1116">
        <f>'raw data Crude oil'!O1117</f>
        <v>63.75</v>
      </c>
      <c r="P1116">
        <f>'raw data Crude oil'!P1117</f>
        <v>63.44</v>
      </c>
      <c r="Q1116">
        <f>'raw data Crude oil'!Q1117</f>
        <v>63</v>
      </c>
      <c r="R1116">
        <f>'raw data Crude oil'!R1117</f>
        <v>62.48</v>
      </c>
      <c r="S1116">
        <f>'raw data Crude oil'!S1117</f>
        <v>61.96</v>
      </c>
      <c r="T1116">
        <f>'raw data Crude oil'!T1117</f>
        <v>61.45</v>
      </c>
      <c r="U1116">
        <f>'raw data Crude oil'!U1117</f>
        <v>60.96</v>
      </c>
      <c r="V1116">
        <f>'raw data Crude oil'!V1117</f>
        <v>60.5</v>
      </c>
      <c r="W1116">
        <f>'raw data Crude oil'!W1117</f>
        <v>60.07</v>
      </c>
      <c r="X1116">
        <f>'raw data Crude oil'!X1117</f>
        <v>59.68</v>
      </c>
      <c r="Y1116">
        <f>'raw data Crude oil'!Y1117</f>
        <v>59.33</v>
      </c>
      <c r="Z1116">
        <f>'raw data Crude oil'!Z1117</f>
        <v>62.884</v>
      </c>
      <c r="AA1116">
        <f>'raw data Crude oil'!AA1117</f>
        <v>64.602000000000004</v>
      </c>
      <c r="AB1116">
        <f>'raw data Crude oil'!AB1117</f>
        <v>64.091999999999999</v>
      </c>
      <c r="AC1116">
        <f>'raw data Crude oil'!AC1117</f>
        <v>63.66</v>
      </c>
      <c r="AD1116">
        <f>'raw data Crude oil'!AD1117</f>
        <v>63.241</v>
      </c>
      <c r="AE1116">
        <f>'raw data Crude oil'!AE1117</f>
        <v>62.83</v>
      </c>
      <c r="AF1116">
        <f>'raw data Crude oil'!AF1117</f>
        <v>62.421999999999997</v>
      </c>
      <c r="AG1116">
        <f>'raw data Crude oil'!AG1117</f>
        <v>62.014000000000003</v>
      </c>
      <c r="AH1116">
        <f>'raw data Crude oil'!AH1117</f>
        <v>61.654000000000003</v>
      </c>
      <c r="AI1116">
        <f>'raw data Crude oil'!AI1117</f>
        <v>61.396999999999998</v>
      </c>
      <c r="AJ1116">
        <f>'raw data Crude oil'!AJ1117</f>
        <v>61.137</v>
      </c>
      <c r="AK1116">
        <f>'raw data Crude oil'!AK1117</f>
        <v>60.889000000000003</v>
      </c>
    </row>
    <row r="1117" spans="1:37" x14ac:dyDescent="0.3">
      <c r="A1117" s="18">
        <f>'raw data Crude oil'!A1118</f>
        <v>44315</v>
      </c>
      <c r="B1117">
        <f>'raw data Crude oil'!B1118</f>
        <v>68.56</v>
      </c>
      <c r="C1117">
        <f>'raw data Crude oil'!C1118</f>
        <v>68.05</v>
      </c>
      <c r="D1117">
        <f>'raw data Crude oil'!D1118</f>
        <v>67.58</v>
      </c>
      <c r="E1117">
        <f>'raw data Crude oil'!E1118</f>
        <v>67.099999999999994</v>
      </c>
      <c r="F1117">
        <f>'raw data Crude oil'!F1118</f>
        <v>66.59</v>
      </c>
      <c r="G1117">
        <f>'raw data Crude oil'!G1118</f>
        <v>66.099999999999994</v>
      </c>
      <c r="H1117">
        <f>'raw data Crude oil'!H1118</f>
        <v>65.61</v>
      </c>
      <c r="I1117">
        <f>'raw data Crude oil'!I1118</f>
        <v>65.180000000000007</v>
      </c>
      <c r="J1117">
        <f>'raw data Crude oil'!J1118</f>
        <v>64.790000000000006</v>
      </c>
      <c r="K1117">
        <f>'raw data Crude oil'!K1118</f>
        <v>64.45</v>
      </c>
      <c r="L1117">
        <f>'raw data Crude oil'!L1118</f>
        <v>64.14</v>
      </c>
      <c r="M1117">
        <f>'raw data Crude oil'!M1118</f>
        <v>63.85</v>
      </c>
      <c r="N1117">
        <f>'raw data Crude oil'!N1118</f>
        <v>65.010000000000005</v>
      </c>
      <c r="O1117">
        <f>'raw data Crude oil'!O1118</f>
        <v>64.88</v>
      </c>
      <c r="P1117">
        <f>'raw data Crude oil'!P1118</f>
        <v>64.52</v>
      </c>
      <c r="Q1117">
        <f>'raw data Crude oil'!Q1118</f>
        <v>64.02</v>
      </c>
      <c r="R1117">
        <f>'raw data Crude oil'!R1118</f>
        <v>63.45</v>
      </c>
      <c r="S1117">
        <f>'raw data Crude oil'!S1118</f>
        <v>62.9</v>
      </c>
      <c r="T1117">
        <f>'raw data Crude oil'!T1118</f>
        <v>62.36</v>
      </c>
      <c r="U1117">
        <f>'raw data Crude oil'!U1118</f>
        <v>61.84</v>
      </c>
      <c r="V1117">
        <f>'raw data Crude oil'!V1118</f>
        <v>61.34</v>
      </c>
      <c r="W1117">
        <f>'raw data Crude oil'!W1118</f>
        <v>60.88</v>
      </c>
      <c r="X1117">
        <f>'raw data Crude oil'!X1118</f>
        <v>60.46</v>
      </c>
      <c r="Y1117">
        <f>'raw data Crude oil'!Y1118</f>
        <v>60.08</v>
      </c>
      <c r="Z1117">
        <f>'raw data Crude oil'!Z1118</f>
        <v>62.935000000000002</v>
      </c>
      <c r="AA1117">
        <f>'raw data Crude oil'!AA1118</f>
        <v>65.655000000000001</v>
      </c>
      <c r="AB1117">
        <f>'raw data Crude oil'!AB1118</f>
        <v>65.177999999999997</v>
      </c>
      <c r="AC1117">
        <f>'raw data Crude oil'!AC1118</f>
        <v>64.716999999999999</v>
      </c>
      <c r="AD1117">
        <f>'raw data Crude oil'!AD1118</f>
        <v>64.268000000000001</v>
      </c>
      <c r="AE1117">
        <f>'raw data Crude oil'!AE1118</f>
        <v>63.808</v>
      </c>
      <c r="AF1117">
        <f>'raw data Crude oil'!AF1118</f>
        <v>63.34</v>
      </c>
      <c r="AG1117">
        <f>'raw data Crude oil'!AG1118</f>
        <v>62.902000000000001</v>
      </c>
      <c r="AH1117">
        <f>'raw data Crude oil'!AH1118</f>
        <v>62.5</v>
      </c>
      <c r="AI1117">
        <f>'raw data Crude oil'!AI1118</f>
        <v>62.215000000000003</v>
      </c>
      <c r="AJ1117">
        <f>'raw data Crude oil'!AJ1118</f>
        <v>61.926000000000002</v>
      </c>
      <c r="AK1117">
        <f>'raw data Crude oil'!AK1118</f>
        <v>61.646999999999998</v>
      </c>
    </row>
    <row r="1118" spans="1:37" x14ac:dyDescent="0.3">
      <c r="A1118" s="18">
        <f>'raw data Crude oil'!A1119</f>
        <v>44316</v>
      </c>
      <c r="B1118">
        <f>'raw data Crude oil'!B1119</f>
        <v>67.25</v>
      </c>
      <c r="C1118">
        <f>'raw data Crude oil'!C1119</f>
        <v>66.760000000000005</v>
      </c>
      <c r="D1118">
        <f>'raw data Crude oil'!D1119</f>
        <v>66.28</v>
      </c>
      <c r="E1118">
        <f>'raw data Crude oil'!E1119</f>
        <v>65.8</v>
      </c>
      <c r="F1118">
        <f>'raw data Crude oil'!F1119</f>
        <v>65.3</v>
      </c>
      <c r="G1118">
        <f>'raw data Crude oil'!G1119</f>
        <v>64.819999999999993</v>
      </c>
      <c r="H1118">
        <f>'raw data Crude oil'!H1119</f>
        <v>64.349999999999994</v>
      </c>
      <c r="I1118">
        <f>'raw data Crude oil'!I1119</f>
        <v>63.94</v>
      </c>
      <c r="J1118">
        <f>'raw data Crude oil'!J1119</f>
        <v>63.56</v>
      </c>
      <c r="K1118">
        <f>'raw data Crude oil'!K1119</f>
        <v>63.24</v>
      </c>
      <c r="L1118">
        <f>'raw data Crude oil'!L1119</f>
        <v>62.94</v>
      </c>
      <c r="M1118">
        <f>'raw data Crude oil'!M1119</f>
        <v>62.67</v>
      </c>
      <c r="N1118">
        <f>'raw data Crude oil'!N1119</f>
        <v>63.58</v>
      </c>
      <c r="O1118">
        <f>'raw data Crude oil'!O1119</f>
        <v>63.48</v>
      </c>
      <c r="P1118">
        <f>'raw data Crude oil'!P1119</f>
        <v>63.14</v>
      </c>
      <c r="Q1118">
        <f>'raw data Crude oil'!Q1119</f>
        <v>62.65</v>
      </c>
      <c r="R1118">
        <f>'raw data Crude oil'!R1119</f>
        <v>62.1</v>
      </c>
      <c r="S1118">
        <f>'raw data Crude oil'!S1119</f>
        <v>61.55</v>
      </c>
      <c r="T1118">
        <f>'raw data Crude oil'!T1119</f>
        <v>61.03</v>
      </c>
      <c r="U1118">
        <f>'raw data Crude oil'!U1119</f>
        <v>60.53</v>
      </c>
      <c r="V1118">
        <f>'raw data Crude oil'!V1119</f>
        <v>60.05</v>
      </c>
      <c r="W1118">
        <f>'raw data Crude oil'!W1119</f>
        <v>59.61</v>
      </c>
      <c r="X1118">
        <f>'raw data Crude oil'!X1119</f>
        <v>59.21</v>
      </c>
      <c r="Y1118">
        <f>'raw data Crude oil'!Y1119</f>
        <v>58.85</v>
      </c>
      <c r="Z1118">
        <f>'raw data Crude oil'!Z1119</f>
        <v>62.893999999999998</v>
      </c>
      <c r="AA1118">
        <f>'raw data Crude oil'!AA1119</f>
        <v>64.284000000000006</v>
      </c>
      <c r="AB1118">
        <f>'raw data Crude oil'!AB1119</f>
        <v>63.798000000000002</v>
      </c>
      <c r="AC1118">
        <f>'raw data Crude oil'!AC1119</f>
        <v>63.363</v>
      </c>
      <c r="AD1118">
        <f>'raw data Crude oil'!AD1119</f>
        <v>62.904000000000003</v>
      </c>
      <c r="AE1118">
        <f>'raw data Crude oil'!AE1119</f>
        <v>62.429000000000002</v>
      </c>
      <c r="AF1118">
        <f>'raw data Crude oil'!AF1119</f>
        <v>61.99</v>
      </c>
      <c r="AG1118">
        <f>'raw data Crude oil'!AG1119</f>
        <v>61.573</v>
      </c>
      <c r="AH1118">
        <f>'raw data Crude oil'!AH1119</f>
        <v>61.182000000000002</v>
      </c>
      <c r="AI1118">
        <f>'raw data Crude oil'!AI1119</f>
        <v>60.915999999999997</v>
      </c>
      <c r="AJ1118">
        <f>'raw data Crude oil'!AJ1119</f>
        <v>60.627000000000002</v>
      </c>
      <c r="AK1118">
        <f>'raw data Crude oil'!AK1119</f>
        <v>60.378</v>
      </c>
    </row>
    <row r="1119" spans="1:37" x14ac:dyDescent="0.3">
      <c r="A1119" s="18">
        <f>'raw data Crude oil'!A1120</f>
        <v>44319</v>
      </c>
      <c r="B1119">
        <f>'raw data Crude oil'!B1120</f>
        <v>67.56</v>
      </c>
      <c r="C1119">
        <f>'raw data Crude oil'!C1120</f>
        <v>67.14</v>
      </c>
      <c r="D1119">
        <f>'raw data Crude oil'!D1120</f>
        <v>66.7</v>
      </c>
      <c r="E1119">
        <f>'raw data Crude oil'!E1120</f>
        <v>66.22</v>
      </c>
      <c r="F1119">
        <f>'raw data Crude oil'!F1120</f>
        <v>65.739999999999995</v>
      </c>
      <c r="G1119">
        <f>'raw data Crude oil'!G1120</f>
        <v>65.260000000000005</v>
      </c>
      <c r="H1119">
        <f>'raw data Crude oil'!H1120</f>
        <v>64.84</v>
      </c>
      <c r="I1119">
        <f>'raw data Crude oil'!I1120</f>
        <v>64.45</v>
      </c>
      <c r="J1119">
        <f>'raw data Crude oil'!J1120</f>
        <v>64.12</v>
      </c>
      <c r="K1119">
        <f>'raw data Crude oil'!K1120</f>
        <v>63.81</v>
      </c>
      <c r="L1119">
        <f>'raw data Crude oil'!L1120</f>
        <v>63.52</v>
      </c>
      <c r="M1119">
        <f>'raw data Crude oil'!M1120</f>
        <v>63.23</v>
      </c>
      <c r="N1119">
        <f>'raw data Crude oil'!N1120</f>
        <v>64.489999999999995</v>
      </c>
      <c r="O1119">
        <f>'raw data Crude oil'!O1120</f>
        <v>64.41</v>
      </c>
      <c r="P1119">
        <f>'raw data Crude oil'!P1120</f>
        <v>64.099999999999994</v>
      </c>
      <c r="Q1119">
        <f>'raw data Crude oil'!Q1120</f>
        <v>63.62</v>
      </c>
      <c r="R1119">
        <f>'raw data Crude oil'!R1120</f>
        <v>63.07</v>
      </c>
      <c r="S1119">
        <f>'raw data Crude oil'!S1120</f>
        <v>62.53</v>
      </c>
      <c r="T1119">
        <f>'raw data Crude oil'!T1120</f>
        <v>62</v>
      </c>
      <c r="U1119">
        <f>'raw data Crude oil'!U1120</f>
        <v>61.5</v>
      </c>
      <c r="V1119">
        <f>'raw data Crude oil'!V1120</f>
        <v>61.01</v>
      </c>
      <c r="W1119">
        <f>'raw data Crude oil'!W1120</f>
        <v>60.55</v>
      </c>
      <c r="X1119">
        <f>'raw data Crude oil'!X1120</f>
        <v>60.13</v>
      </c>
      <c r="Y1119">
        <f>'raw data Crude oil'!Y1120</f>
        <v>59.75</v>
      </c>
      <c r="Z1119">
        <f>'raw data Crude oil'!Z1120</f>
        <v>62.893999999999998</v>
      </c>
      <c r="AA1119">
        <f>'raw data Crude oil'!AA1120</f>
        <v>65.069999999999993</v>
      </c>
      <c r="AB1119">
        <f>'raw data Crude oil'!AB1120</f>
        <v>64.66</v>
      </c>
      <c r="AC1119">
        <f>'raw data Crude oil'!AC1120</f>
        <v>64.207999999999998</v>
      </c>
      <c r="AD1119">
        <f>'raw data Crude oil'!AD1120</f>
        <v>63.768000000000001</v>
      </c>
      <c r="AE1119">
        <f>'raw data Crude oil'!AE1120</f>
        <v>63.308</v>
      </c>
      <c r="AF1119">
        <f>'raw data Crude oil'!AF1120</f>
        <v>62.88</v>
      </c>
      <c r="AG1119">
        <f>'raw data Crude oil'!AG1120</f>
        <v>62.472000000000001</v>
      </c>
      <c r="AH1119">
        <f>'raw data Crude oil'!AH1120</f>
        <v>62.070999999999998</v>
      </c>
      <c r="AI1119">
        <f>'raw data Crude oil'!AI1120</f>
        <v>61.765000000000001</v>
      </c>
      <c r="AJ1119">
        <f>'raw data Crude oil'!AJ1120</f>
        <v>61.466000000000001</v>
      </c>
      <c r="AK1119">
        <f>'raw data Crude oil'!AK1120</f>
        <v>61.197000000000003</v>
      </c>
    </row>
    <row r="1120" spans="1:37" x14ac:dyDescent="0.3">
      <c r="A1120" s="18">
        <f>'raw data Crude oil'!A1121</f>
        <v>44320</v>
      </c>
      <c r="B1120">
        <f>'raw data Crude oil'!B1121</f>
        <v>68.88</v>
      </c>
      <c r="C1120">
        <f>'raw data Crude oil'!C1121</f>
        <v>68.45</v>
      </c>
      <c r="D1120">
        <f>'raw data Crude oil'!D1121</f>
        <v>68</v>
      </c>
      <c r="E1120">
        <f>'raw data Crude oil'!E1121</f>
        <v>67.510000000000005</v>
      </c>
      <c r="F1120">
        <f>'raw data Crude oil'!F1121</f>
        <v>67.02</v>
      </c>
      <c r="G1120">
        <f>'raw data Crude oil'!G1121</f>
        <v>66.52</v>
      </c>
      <c r="H1120">
        <f>'raw data Crude oil'!H1121</f>
        <v>66.09</v>
      </c>
      <c r="I1120">
        <f>'raw data Crude oil'!I1121</f>
        <v>65.680000000000007</v>
      </c>
      <c r="J1120">
        <f>'raw data Crude oil'!J1121</f>
        <v>65.319999999999993</v>
      </c>
      <c r="K1120">
        <f>'raw data Crude oil'!K1121</f>
        <v>64.989999999999995</v>
      </c>
      <c r="L1120">
        <f>'raw data Crude oil'!L1121</f>
        <v>64.67</v>
      </c>
      <c r="M1120">
        <f>'raw data Crude oil'!M1121</f>
        <v>64.36</v>
      </c>
      <c r="N1120">
        <f>'raw data Crude oil'!N1121</f>
        <v>65.69</v>
      </c>
      <c r="O1120">
        <f>'raw data Crude oil'!O1121</f>
        <v>65.61</v>
      </c>
      <c r="P1120">
        <f>'raw data Crude oil'!P1121</f>
        <v>65.33</v>
      </c>
      <c r="Q1120">
        <f>'raw data Crude oil'!Q1121</f>
        <v>64.87</v>
      </c>
      <c r="R1120">
        <f>'raw data Crude oil'!R1121</f>
        <v>64.33</v>
      </c>
      <c r="S1120">
        <f>'raw data Crude oil'!S1121</f>
        <v>63.78</v>
      </c>
      <c r="T1120">
        <f>'raw data Crude oil'!T1121</f>
        <v>63.26</v>
      </c>
      <c r="U1120">
        <f>'raw data Crude oil'!U1121</f>
        <v>62.74</v>
      </c>
      <c r="V1120">
        <f>'raw data Crude oil'!V1121</f>
        <v>62.25</v>
      </c>
      <c r="W1120">
        <f>'raw data Crude oil'!W1121</f>
        <v>61.78</v>
      </c>
      <c r="X1120">
        <f>'raw data Crude oil'!X1121</f>
        <v>61.34</v>
      </c>
      <c r="Y1120">
        <f>'raw data Crude oil'!Y1121</f>
        <v>60.93</v>
      </c>
      <c r="Z1120">
        <f>'raw data Crude oil'!Z1121</f>
        <v>66.421000000000006</v>
      </c>
      <c r="AA1120">
        <f>'raw data Crude oil'!AA1121</f>
        <v>66.11</v>
      </c>
      <c r="AB1120">
        <f>'raw data Crude oil'!AB1121</f>
        <v>65.617999999999995</v>
      </c>
      <c r="AC1120">
        <f>'raw data Crude oil'!AC1121</f>
        <v>65.147999999999996</v>
      </c>
      <c r="AD1120">
        <f>'raw data Crude oil'!AD1121</f>
        <v>64.667000000000002</v>
      </c>
      <c r="AE1120">
        <f>'raw data Crude oil'!AE1121</f>
        <v>64.209999999999994</v>
      </c>
      <c r="AF1120">
        <f>'raw data Crude oil'!AF1121</f>
        <v>63.771000000000001</v>
      </c>
      <c r="AG1120">
        <f>'raw data Crude oil'!AG1121</f>
        <v>63.338999999999999</v>
      </c>
      <c r="AH1120">
        <f>'raw data Crude oil'!AH1121</f>
        <v>63.024000000000001</v>
      </c>
      <c r="AI1120">
        <f>'raw data Crude oil'!AI1121</f>
        <v>62.723999999999997</v>
      </c>
      <c r="AJ1120">
        <f>'raw data Crude oil'!AJ1121</f>
        <v>62.417000000000002</v>
      </c>
      <c r="AK1120">
        <f>'raw data Crude oil'!AK1121</f>
        <v>62.136000000000003</v>
      </c>
    </row>
    <row r="1121" spans="1:37" x14ac:dyDescent="0.3">
      <c r="A1121" s="18">
        <f>'raw data Crude oil'!A1122</f>
        <v>44321</v>
      </c>
      <c r="B1121">
        <f>'raw data Crude oil'!B1122</f>
        <v>68.959999999999994</v>
      </c>
      <c r="C1121">
        <f>'raw data Crude oil'!C1122</f>
        <v>68.55</v>
      </c>
      <c r="D1121">
        <f>'raw data Crude oil'!D1122</f>
        <v>68.099999999999994</v>
      </c>
      <c r="E1121">
        <f>'raw data Crude oil'!E1122</f>
        <v>67.61</v>
      </c>
      <c r="F1121">
        <f>'raw data Crude oil'!F1122</f>
        <v>67.13</v>
      </c>
      <c r="G1121">
        <f>'raw data Crude oil'!G1122</f>
        <v>66.64</v>
      </c>
      <c r="H1121">
        <f>'raw data Crude oil'!H1122</f>
        <v>66.209999999999994</v>
      </c>
      <c r="I1121">
        <f>'raw data Crude oil'!I1122</f>
        <v>65.81</v>
      </c>
      <c r="J1121">
        <f>'raw data Crude oil'!J1122</f>
        <v>65.45</v>
      </c>
      <c r="K1121">
        <f>'raw data Crude oil'!K1122</f>
        <v>65.12</v>
      </c>
      <c r="L1121">
        <f>'raw data Crude oil'!L1122</f>
        <v>64.8</v>
      </c>
      <c r="M1121">
        <f>'raw data Crude oil'!M1122</f>
        <v>64.489999999999995</v>
      </c>
      <c r="N1121">
        <f>'raw data Crude oil'!N1122</f>
        <v>65.63</v>
      </c>
      <c r="O1121">
        <f>'raw data Crude oil'!O1122</f>
        <v>65.59</v>
      </c>
      <c r="P1121">
        <f>'raw data Crude oil'!P1122</f>
        <v>65.349999999999994</v>
      </c>
      <c r="Q1121">
        <f>'raw data Crude oil'!Q1122</f>
        <v>64.91</v>
      </c>
      <c r="R1121">
        <f>'raw data Crude oil'!R1122</f>
        <v>64.37</v>
      </c>
      <c r="S1121">
        <f>'raw data Crude oil'!S1122</f>
        <v>63.83</v>
      </c>
      <c r="T1121">
        <f>'raw data Crude oil'!T1122</f>
        <v>63.31</v>
      </c>
      <c r="U1121">
        <f>'raw data Crude oil'!U1122</f>
        <v>62.8</v>
      </c>
      <c r="V1121">
        <f>'raw data Crude oil'!V1122</f>
        <v>62.31</v>
      </c>
      <c r="W1121">
        <f>'raw data Crude oil'!W1122</f>
        <v>61.84</v>
      </c>
      <c r="X1121">
        <f>'raw data Crude oil'!X1122</f>
        <v>61.41</v>
      </c>
      <c r="Y1121">
        <f>'raw data Crude oil'!Y1122</f>
        <v>61</v>
      </c>
      <c r="Z1121">
        <f>'raw data Crude oil'!Z1122</f>
        <v>66.792000000000002</v>
      </c>
      <c r="AA1121">
        <f>'raw data Crude oil'!AA1122</f>
        <v>66.400000000000006</v>
      </c>
      <c r="AB1121">
        <f>'raw data Crude oil'!AB1122</f>
        <v>65.867999999999995</v>
      </c>
      <c r="AC1121">
        <f>'raw data Crude oil'!AC1122</f>
        <v>65.358000000000004</v>
      </c>
      <c r="AD1121">
        <f>'raw data Crude oil'!AD1122</f>
        <v>64.858000000000004</v>
      </c>
      <c r="AE1121">
        <f>'raw data Crude oil'!AE1122</f>
        <v>64.38</v>
      </c>
      <c r="AF1121">
        <f>'raw data Crude oil'!AF1122</f>
        <v>63.921999999999997</v>
      </c>
      <c r="AG1121">
        <f>'raw data Crude oil'!AG1122</f>
        <v>63.518999999999998</v>
      </c>
      <c r="AH1121">
        <f>'raw data Crude oil'!AH1122</f>
        <v>63.213999999999999</v>
      </c>
      <c r="AI1121">
        <f>'raw data Crude oil'!AI1122</f>
        <v>62.914000000000001</v>
      </c>
      <c r="AJ1121">
        <f>'raw data Crude oil'!AJ1122</f>
        <v>62.616999999999997</v>
      </c>
      <c r="AK1121">
        <f>'raw data Crude oil'!AK1122</f>
        <v>62.326000000000001</v>
      </c>
    </row>
    <row r="1122" spans="1:37" x14ac:dyDescent="0.3">
      <c r="A1122" s="18">
        <f>'raw data Crude oil'!A1123</f>
        <v>44322</v>
      </c>
      <c r="B1122">
        <f>'raw data Crude oil'!B1123</f>
        <v>68.09</v>
      </c>
      <c r="C1122">
        <f>'raw data Crude oil'!C1123</f>
        <v>67.72</v>
      </c>
      <c r="D1122">
        <f>'raw data Crude oil'!D1123</f>
        <v>67.3</v>
      </c>
      <c r="E1122">
        <f>'raw data Crude oil'!E1123</f>
        <v>66.849999999999994</v>
      </c>
      <c r="F1122">
        <f>'raw data Crude oil'!F1123</f>
        <v>66.41</v>
      </c>
      <c r="G1122">
        <f>'raw data Crude oil'!G1123</f>
        <v>65.97</v>
      </c>
      <c r="H1122">
        <f>'raw data Crude oil'!H1123</f>
        <v>65.59</v>
      </c>
      <c r="I1122">
        <f>'raw data Crude oil'!I1123</f>
        <v>65.22</v>
      </c>
      <c r="J1122">
        <f>'raw data Crude oil'!J1123</f>
        <v>64.900000000000006</v>
      </c>
      <c r="K1122">
        <f>'raw data Crude oil'!K1123</f>
        <v>64.61</v>
      </c>
      <c r="L1122">
        <f>'raw data Crude oil'!L1123</f>
        <v>64.33</v>
      </c>
      <c r="M1122">
        <f>'raw data Crude oil'!M1123</f>
        <v>64.05</v>
      </c>
      <c r="N1122">
        <f>'raw data Crude oil'!N1123</f>
        <v>64.709999999999994</v>
      </c>
      <c r="O1122">
        <f>'raw data Crude oil'!O1123</f>
        <v>64.67</v>
      </c>
      <c r="P1122">
        <f>'raw data Crude oil'!P1123</f>
        <v>64.47</v>
      </c>
      <c r="Q1122">
        <f>'raw data Crude oil'!Q1123</f>
        <v>64.11</v>
      </c>
      <c r="R1122">
        <f>'raw data Crude oil'!R1123</f>
        <v>63.66</v>
      </c>
      <c r="S1122">
        <f>'raw data Crude oil'!S1123</f>
        <v>63.19</v>
      </c>
      <c r="T1122">
        <f>'raw data Crude oil'!T1123</f>
        <v>62.71</v>
      </c>
      <c r="U1122">
        <f>'raw data Crude oil'!U1123</f>
        <v>62.25</v>
      </c>
      <c r="V1122">
        <f>'raw data Crude oil'!V1123</f>
        <v>61.8</v>
      </c>
      <c r="W1122">
        <f>'raw data Crude oil'!W1123</f>
        <v>61.38</v>
      </c>
      <c r="X1122">
        <f>'raw data Crude oil'!X1123</f>
        <v>60.99</v>
      </c>
      <c r="Y1122">
        <f>'raw data Crude oil'!Y1123</f>
        <v>60.62</v>
      </c>
      <c r="Z1122">
        <f>'raw data Crude oil'!Z1123</f>
        <v>65.968000000000004</v>
      </c>
      <c r="AA1122">
        <f>'raw data Crude oil'!AA1123</f>
        <v>65.471000000000004</v>
      </c>
      <c r="AB1122">
        <f>'raw data Crude oil'!AB1123</f>
        <v>64.98</v>
      </c>
      <c r="AC1122">
        <f>'raw data Crude oil'!AC1123</f>
        <v>64.52</v>
      </c>
      <c r="AD1122">
        <f>'raw data Crude oil'!AD1123</f>
        <v>64.08</v>
      </c>
      <c r="AE1122">
        <f>'raw data Crude oil'!AE1123</f>
        <v>63.661999999999999</v>
      </c>
      <c r="AF1122">
        <f>'raw data Crude oil'!AF1123</f>
        <v>63.253</v>
      </c>
      <c r="AG1122">
        <f>'raw data Crude oil'!AG1123</f>
        <v>62.872</v>
      </c>
      <c r="AH1122">
        <f>'raw data Crude oil'!AH1123</f>
        <v>62.585999999999999</v>
      </c>
      <c r="AI1122">
        <f>'raw data Crude oil'!AI1123</f>
        <v>62.326000000000001</v>
      </c>
      <c r="AJ1122">
        <f>'raw data Crude oil'!AJ1123</f>
        <v>62.067999999999998</v>
      </c>
      <c r="AK1122">
        <f>'raw data Crude oil'!AK1123</f>
        <v>61.828000000000003</v>
      </c>
    </row>
    <row r="1123" spans="1:37" x14ac:dyDescent="0.3">
      <c r="A1123" s="18">
        <f>'raw data Crude oil'!A1124</f>
        <v>44323</v>
      </c>
      <c r="B1123">
        <f>'raw data Crude oil'!B1124</f>
        <v>68.28</v>
      </c>
      <c r="C1123">
        <f>'raw data Crude oil'!C1124</f>
        <v>68</v>
      </c>
      <c r="D1123">
        <f>'raw data Crude oil'!D1124</f>
        <v>67.61</v>
      </c>
      <c r="E1123">
        <f>'raw data Crude oil'!E1124</f>
        <v>67.2</v>
      </c>
      <c r="F1123">
        <f>'raw data Crude oil'!F1124</f>
        <v>66.790000000000006</v>
      </c>
      <c r="G1123">
        <f>'raw data Crude oil'!G1124</f>
        <v>66.37</v>
      </c>
      <c r="H1123">
        <f>'raw data Crude oil'!H1124</f>
        <v>66</v>
      </c>
      <c r="I1123">
        <f>'raw data Crude oil'!I1124</f>
        <v>65.650000000000006</v>
      </c>
      <c r="J1123">
        <f>'raw data Crude oil'!J1124</f>
        <v>65.33</v>
      </c>
      <c r="K1123">
        <f>'raw data Crude oil'!K1124</f>
        <v>65.040000000000006</v>
      </c>
      <c r="L1123">
        <f>'raw data Crude oil'!L1124</f>
        <v>64.760000000000005</v>
      </c>
      <c r="M1123">
        <f>'raw data Crude oil'!M1124</f>
        <v>64.48</v>
      </c>
      <c r="N1123">
        <f>'raw data Crude oil'!N1124</f>
        <v>64.900000000000006</v>
      </c>
      <c r="O1123">
        <f>'raw data Crude oil'!O1124</f>
        <v>64.88</v>
      </c>
      <c r="P1123">
        <f>'raw data Crude oil'!P1124</f>
        <v>64.709999999999994</v>
      </c>
      <c r="Q1123">
        <f>'raw data Crude oil'!Q1124</f>
        <v>64.38</v>
      </c>
      <c r="R1123">
        <f>'raw data Crude oil'!R1124</f>
        <v>63.97</v>
      </c>
      <c r="S1123">
        <f>'raw data Crude oil'!S1124</f>
        <v>63.53</v>
      </c>
      <c r="T1123">
        <f>'raw data Crude oil'!T1124</f>
        <v>63.07</v>
      </c>
      <c r="U1123">
        <f>'raw data Crude oil'!U1124</f>
        <v>62.61</v>
      </c>
      <c r="V1123">
        <f>'raw data Crude oil'!V1124</f>
        <v>62.17</v>
      </c>
      <c r="W1123">
        <f>'raw data Crude oil'!W1124</f>
        <v>61.75</v>
      </c>
      <c r="X1123">
        <f>'raw data Crude oil'!X1124</f>
        <v>61.36</v>
      </c>
      <c r="Y1123">
        <f>'raw data Crude oil'!Y1124</f>
        <v>60.99</v>
      </c>
      <c r="Z1123">
        <f>'raw data Crude oil'!Z1124</f>
        <v>66.183000000000007</v>
      </c>
      <c r="AA1123">
        <f>'raw data Crude oil'!AA1124</f>
        <v>65.707999999999998</v>
      </c>
      <c r="AB1123">
        <f>'raw data Crude oil'!AB1124</f>
        <v>65.221999999999994</v>
      </c>
      <c r="AC1123">
        <f>'raw data Crude oil'!AC1124</f>
        <v>64.805000000000007</v>
      </c>
      <c r="AD1123">
        <f>'raw data Crude oil'!AD1124</f>
        <v>64.405000000000001</v>
      </c>
      <c r="AE1123">
        <f>'raw data Crude oil'!AE1124</f>
        <v>64.001999999999995</v>
      </c>
      <c r="AF1123">
        <f>'raw data Crude oil'!AF1124</f>
        <v>63.643999999999998</v>
      </c>
      <c r="AG1123">
        <f>'raw data Crude oil'!AG1124</f>
        <v>63.262</v>
      </c>
      <c r="AH1123">
        <f>'raw data Crude oil'!AH1124</f>
        <v>62.975999999999999</v>
      </c>
      <c r="AI1123">
        <f>'raw data Crude oil'!AI1124</f>
        <v>62.716000000000001</v>
      </c>
      <c r="AJ1123">
        <f>'raw data Crude oil'!AJ1124</f>
        <v>62.468000000000004</v>
      </c>
      <c r="AK1123">
        <f>'raw data Crude oil'!AK1124</f>
        <v>62.238</v>
      </c>
    </row>
    <row r="1124" spans="1:37" x14ac:dyDescent="0.3">
      <c r="A1124" s="18">
        <f>'raw data Crude oil'!A1125</f>
        <v>44326</v>
      </c>
      <c r="B1124">
        <f>'raw data Crude oil'!B1125</f>
        <v>68.319999999999993</v>
      </c>
      <c r="C1124">
        <f>'raw data Crude oil'!C1125</f>
        <v>68.09</v>
      </c>
      <c r="D1124">
        <f>'raw data Crude oil'!D1125</f>
        <v>67.73</v>
      </c>
      <c r="E1124">
        <f>'raw data Crude oil'!E1125</f>
        <v>67.34</v>
      </c>
      <c r="F1124">
        <f>'raw data Crude oil'!F1125</f>
        <v>66.959999999999994</v>
      </c>
      <c r="G1124">
        <f>'raw data Crude oil'!G1125</f>
        <v>66.56</v>
      </c>
      <c r="H1124">
        <f>'raw data Crude oil'!H1125</f>
        <v>66.209999999999994</v>
      </c>
      <c r="I1124">
        <f>'raw data Crude oil'!I1125</f>
        <v>65.87</v>
      </c>
      <c r="J1124">
        <f>'raw data Crude oil'!J1125</f>
        <v>65.56</v>
      </c>
      <c r="K1124">
        <f>'raw data Crude oil'!K1125</f>
        <v>65.28</v>
      </c>
      <c r="L1124">
        <f>'raw data Crude oil'!L1125</f>
        <v>65.010000000000005</v>
      </c>
      <c r="M1124">
        <f>'raw data Crude oil'!M1125</f>
        <v>64.73</v>
      </c>
      <c r="N1124">
        <f>'raw data Crude oil'!N1125</f>
        <v>64.92</v>
      </c>
      <c r="O1124">
        <f>'raw data Crude oil'!O1125</f>
        <v>64.930000000000007</v>
      </c>
      <c r="P1124">
        <f>'raw data Crude oil'!P1125</f>
        <v>64.78</v>
      </c>
      <c r="Q1124">
        <f>'raw data Crude oil'!Q1125</f>
        <v>64.48</v>
      </c>
      <c r="R1124">
        <f>'raw data Crude oil'!R1125</f>
        <v>64.09</v>
      </c>
      <c r="S1124">
        <f>'raw data Crude oil'!S1125</f>
        <v>63.66</v>
      </c>
      <c r="T1124">
        <f>'raw data Crude oil'!T1125</f>
        <v>63.22</v>
      </c>
      <c r="U1124">
        <f>'raw data Crude oil'!U1125</f>
        <v>62.78</v>
      </c>
      <c r="V1124">
        <f>'raw data Crude oil'!V1125</f>
        <v>62.34</v>
      </c>
      <c r="W1124">
        <f>'raw data Crude oil'!W1125</f>
        <v>61.94</v>
      </c>
      <c r="X1124">
        <f>'raw data Crude oil'!X1125</f>
        <v>61.55</v>
      </c>
      <c r="Y1124">
        <f>'raw data Crude oil'!Y1125</f>
        <v>61.2</v>
      </c>
      <c r="Z1124">
        <f>'raw data Crude oil'!Z1125</f>
        <v>66.3</v>
      </c>
      <c r="AA1124">
        <f>'raw data Crude oil'!AA1125</f>
        <v>65.799000000000007</v>
      </c>
      <c r="AB1124">
        <f>'raw data Crude oil'!AB1125</f>
        <v>65.319999999999993</v>
      </c>
      <c r="AC1124">
        <f>'raw data Crude oil'!AC1125</f>
        <v>64.929000000000002</v>
      </c>
      <c r="AD1124">
        <f>'raw data Crude oil'!AD1125</f>
        <v>64.539000000000001</v>
      </c>
      <c r="AE1124">
        <f>'raw data Crude oil'!AE1125</f>
        <v>64.176000000000002</v>
      </c>
      <c r="AF1124">
        <f>'raw data Crude oil'!AF1125</f>
        <v>63.825000000000003</v>
      </c>
      <c r="AG1124">
        <f>'raw data Crude oil'!AG1125</f>
        <v>63.493000000000002</v>
      </c>
      <c r="AH1124">
        <f>'raw data Crude oil'!AH1125</f>
        <v>63.207000000000001</v>
      </c>
      <c r="AI1124">
        <f>'raw data Crude oil'!AI1125</f>
        <v>62.947000000000003</v>
      </c>
      <c r="AJ1124">
        <f>'raw data Crude oil'!AJ1125</f>
        <v>62.698</v>
      </c>
      <c r="AK1124">
        <f>'raw data Crude oil'!AK1125</f>
        <v>62.457999999999998</v>
      </c>
    </row>
    <row r="1125" spans="1:37" x14ac:dyDescent="0.3">
      <c r="A1125" s="18">
        <f>'raw data Crude oil'!A1126</f>
        <v>44327</v>
      </c>
      <c r="B1125">
        <f>'raw data Crude oil'!B1126</f>
        <v>68.55</v>
      </c>
      <c r="C1125">
        <f>'raw data Crude oil'!C1126</f>
        <v>68.37</v>
      </c>
      <c r="D1125">
        <f>'raw data Crude oil'!D1126</f>
        <v>68.040000000000006</v>
      </c>
      <c r="E1125">
        <f>'raw data Crude oil'!E1126</f>
        <v>67.680000000000007</v>
      </c>
      <c r="F1125">
        <f>'raw data Crude oil'!F1126</f>
        <v>67.33</v>
      </c>
      <c r="G1125">
        <f>'raw data Crude oil'!G1126</f>
        <v>66.95</v>
      </c>
      <c r="H1125">
        <f>'raw data Crude oil'!H1126</f>
        <v>66.61</v>
      </c>
      <c r="I1125">
        <f>'raw data Crude oil'!I1126</f>
        <v>66.28</v>
      </c>
      <c r="J1125">
        <f>'raw data Crude oil'!J1126</f>
        <v>65.98</v>
      </c>
      <c r="K1125">
        <f>'raw data Crude oil'!K1126</f>
        <v>65.709999999999994</v>
      </c>
      <c r="L1125">
        <f>'raw data Crude oil'!L1126</f>
        <v>65.44</v>
      </c>
      <c r="M1125">
        <f>'raw data Crude oil'!M1126</f>
        <v>65.180000000000007</v>
      </c>
      <c r="N1125">
        <f>'raw data Crude oil'!N1126</f>
        <v>65.28</v>
      </c>
      <c r="O1125">
        <f>'raw data Crude oil'!O1126</f>
        <v>65.3</v>
      </c>
      <c r="P1125">
        <f>'raw data Crude oil'!P1126</f>
        <v>65.150000000000006</v>
      </c>
      <c r="Q1125">
        <f>'raw data Crude oil'!Q1126</f>
        <v>64.86</v>
      </c>
      <c r="R1125">
        <f>'raw data Crude oil'!R1126</f>
        <v>64.489999999999995</v>
      </c>
      <c r="S1125">
        <f>'raw data Crude oil'!S1126</f>
        <v>64.08</v>
      </c>
      <c r="T1125">
        <f>'raw data Crude oil'!T1126</f>
        <v>63.66</v>
      </c>
      <c r="U1125">
        <f>'raw data Crude oil'!U1126</f>
        <v>63.23</v>
      </c>
      <c r="V1125">
        <f>'raw data Crude oil'!V1126</f>
        <v>62.81</v>
      </c>
      <c r="W1125">
        <f>'raw data Crude oil'!W1126</f>
        <v>62.41</v>
      </c>
      <c r="X1125">
        <f>'raw data Crude oil'!X1126</f>
        <v>62.03</v>
      </c>
      <c r="Y1125">
        <f>'raw data Crude oil'!Y1126</f>
        <v>61.65</v>
      </c>
      <c r="Z1125">
        <f>'raw data Crude oil'!Z1126</f>
        <v>66.349000000000004</v>
      </c>
      <c r="AA1125">
        <f>'raw data Crude oil'!AA1126</f>
        <v>66.004999999999995</v>
      </c>
      <c r="AB1125">
        <f>'raw data Crude oil'!AB1126</f>
        <v>65.585999999999999</v>
      </c>
      <c r="AC1125">
        <f>'raw data Crude oil'!AC1126</f>
        <v>65.216999999999999</v>
      </c>
      <c r="AD1125">
        <f>'raw data Crude oil'!AD1126</f>
        <v>64.852999999999994</v>
      </c>
      <c r="AE1125">
        <f>'raw data Crude oil'!AE1126</f>
        <v>64.513999999999996</v>
      </c>
      <c r="AF1125">
        <f>'raw data Crude oil'!AF1126</f>
        <v>64.185000000000002</v>
      </c>
      <c r="AG1125">
        <f>'raw data Crude oil'!AG1126</f>
        <v>63.863999999999997</v>
      </c>
      <c r="AH1125">
        <f>'raw data Crude oil'!AH1126</f>
        <v>63.597000000000001</v>
      </c>
      <c r="AI1125">
        <f>'raw data Crude oil'!AI1126</f>
        <v>63.337000000000003</v>
      </c>
      <c r="AJ1125">
        <f>'raw data Crude oil'!AJ1126</f>
        <v>63.088999999999999</v>
      </c>
      <c r="AK1125">
        <f>'raw data Crude oil'!AK1126</f>
        <v>62.868000000000002</v>
      </c>
    </row>
    <row r="1126" spans="1:37" x14ac:dyDescent="0.3">
      <c r="A1126" s="18">
        <f>'raw data Crude oil'!A1127</f>
        <v>44328</v>
      </c>
      <c r="B1126">
        <f>'raw data Crude oil'!B1127</f>
        <v>69.319999999999993</v>
      </c>
      <c r="C1126">
        <f>'raw data Crude oil'!C1127</f>
        <v>69.14</v>
      </c>
      <c r="D1126">
        <f>'raw data Crude oil'!D1127</f>
        <v>68.8</v>
      </c>
      <c r="E1126">
        <f>'raw data Crude oil'!E1127</f>
        <v>68.430000000000007</v>
      </c>
      <c r="F1126">
        <f>'raw data Crude oil'!F1127</f>
        <v>68.069999999999993</v>
      </c>
      <c r="G1126">
        <f>'raw data Crude oil'!G1127</f>
        <v>67.680000000000007</v>
      </c>
      <c r="H1126">
        <f>'raw data Crude oil'!H1127</f>
        <v>67.319999999999993</v>
      </c>
      <c r="I1126">
        <f>'raw data Crude oil'!I1127</f>
        <v>66.98</v>
      </c>
      <c r="J1126">
        <f>'raw data Crude oil'!J1127</f>
        <v>66.680000000000007</v>
      </c>
      <c r="K1126">
        <f>'raw data Crude oil'!K1127</f>
        <v>66.400000000000006</v>
      </c>
      <c r="L1126">
        <f>'raw data Crude oil'!L1127</f>
        <v>66.12</v>
      </c>
      <c r="M1126">
        <f>'raw data Crude oil'!M1127</f>
        <v>65.849999999999994</v>
      </c>
      <c r="N1126">
        <f>'raw data Crude oil'!N1127</f>
        <v>66.08</v>
      </c>
      <c r="O1126">
        <f>'raw data Crude oil'!O1127</f>
        <v>66.099999999999994</v>
      </c>
      <c r="P1126">
        <f>'raw data Crude oil'!P1127</f>
        <v>65.95</v>
      </c>
      <c r="Q1126">
        <f>'raw data Crude oil'!Q1127</f>
        <v>65.650000000000006</v>
      </c>
      <c r="R1126">
        <f>'raw data Crude oil'!R1127</f>
        <v>65.28</v>
      </c>
      <c r="S1126">
        <f>'raw data Crude oil'!S1127</f>
        <v>64.87</v>
      </c>
      <c r="T1126">
        <f>'raw data Crude oil'!T1127</f>
        <v>64.45</v>
      </c>
      <c r="U1126">
        <f>'raw data Crude oil'!U1127</f>
        <v>64.010000000000005</v>
      </c>
      <c r="V1126">
        <f>'raw data Crude oil'!V1127</f>
        <v>63.58</v>
      </c>
      <c r="W1126">
        <f>'raw data Crude oil'!W1127</f>
        <v>63.17</v>
      </c>
      <c r="X1126">
        <f>'raw data Crude oil'!X1127</f>
        <v>62.79</v>
      </c>
      <c r="Y1126">
        <f>'raw data Crude oil'!Y1127</f>
        <v>62.44</v>
      </c>
      <c r="Z1126">
        <f>'raw data Crude oil'!Z1127</f>
        <v>66.751999999999995</v>
      </c>
      <c r="AA1126">
        <f>'raw data Crude oil'!AA1127</f>
        <v>66.754999999999995</v>
      </c>
      <c r="AB1126">
        <f>'raw data Crude oil'!AB1127</f>
        <v>66.332999999999998</v>
      </c>
      <c r="AC1126">
        <f>'raw data Crude oil'!AC1127</f>
        <v>65.944000000000003</v>
      </c>
      <c r="AD1126">
        <f>'raw data Crude oil'!AD1127</f>
        <v>65.581999999999994</v>
      </c>
      <c r="AE1126">
        <f>'raw data Crude oil'!AE1127</f>
        <v>65.222999999999999</v>
      </c>
      <c r="AF1126">
        <f>'raw data Crude oil'!AF1127</f>
        <v>64.875</v>
      </c>
      <c r="AG1126">
        <f>'raw data Crude oil'!AG1127</f>
        <v>64.554000000000002</v>
      </c>
      <c r="AH1126">
        <f>'raw data Crude oil'!AH1127</f>
        <v>64.277000000000001</v>
      </c>
      <c r="AI1126">
        <f>'raw data Crude oil'!AI1127</f>
        <v>64.025999999999996</v>
      </c>
      <c r="AJ1126">
        <f>'raw data Crude oil'!AJ1127</f>
        <v>63.768000000000001</v>
      </c>
      <c r="AK1126">
        <f>'raw data Crude oil'!AK1127</f>
        <v>63.518000000000001</v>
      </c>
    </row>
    <row r="1127" spans="1:37" x14ac:dyDescent="0.3">
      <c r="A1127" s="18">
        <f>'raw data Crude oil'!A1128</f>
        <v>44329</v>
      </c>
      <c r="B1127">
        <f>'raw data Crude oil'!B1128</f>
        <v>67.05</v>
      </c>
      <c r="C1127">
        <f>'raw data Crude oil'!C1128</f>
        <v>66.88</v>
      </c>
      <c r="D1127">
        <f>'raw data Crude oil'!D1128</f>
        <v>66.56</v>
      </c>
      <c r="E1127">
        <f>'raw data Crude oil'!E1128</f>
        <v>66.19</v>
      </c>
      <c r="F1127">
        <f>'raw data Crude oil'!F1128</f>
        <v>65.84</v>
      </c>
      <c r="G1127">
        <f>'raw data Crude oil'!G1128</f>
        <v>65.459999999999994</v>
      </c>
      <c r="H1127">
        <f>'raw data Crude oil'!H1128</f>
        <v>65.12</v>
      </c>
      <c r="I1127">
        <f>'raw data Crude oil'!I1128</f>
        <v>64.8</v>
      </c>
      <c r="J1127">
        <f>'raw data Crude oil'!J1128</f>
        <v>64.510000000000005</v>
      </c>
      <c r="K1127">
        <f>'raw data Crude oil'!K1128</f>
        <v>64.25</v>
      </c>
      <c r="L1127">
        <f>'raw data Crude oil'!L1128</f>
        <v>64</v>
      </c>
      <c r="M1127">
        <f>'raw data Crude oil'!M1128</f>
        <v>63.75</v>
      </c>
      <c r="N1127">
        <f>'raw data Crude oil'!N1128</f>
        <v>63.82</v>
      </c>
      <c r="O1127">
        <f>'raw data Crude oil'!O1128</f>
        <v>63.84</v>
      </c>
      <c r="P1127">
        <f>'raw data Crude oil'!P1128</f>
        <v>63.69</v>
      </c>
      <c r="Q1127">
        <f>'raw data Crude oil'!Q1128</f>
        <v>63.4</v>
      </c>
      <c r="R1127">
        <f>'raw data Crude oil'!R1128</f>
        <v>63.04</v>
      </c>
      <c r="S1127">
        <f>'raw data Crude oil'!S1128</f>
        <v>62.65</v>
      </c>
      <c r="T1127">
        <f>'raw data Crude oil'!T1128</f>
        <v>62.24</v>
      </c>
      <c r="U1127">
        <f>'raw data Crude oil'!U1128</f>
        <v>61.82</v>
      </c>
      <c r="V1127">
        <f>'raw data Crude oil'!V1128</f>
        <v>61.41</v>
      </c>
      <c r="W1127">
        <f>'raw data Crude oil'!W1128</f>
        <v>61.02</v>
      </c>
      <c r="X1127">
        <f>'raw data Crude oil'!X1128</f>
        <v>60.66</v>
      </c>
      <c r="Y1127">
        <f>'raw data Crude oil'!Y1128</f>
        <v>60.33</v>
      </c>
      <c r="Z1127">
        <f>'raw data Crude oil'!Z1128</f>
        <v>65.442999999999998</v>
      </c>
      <c r="AA1127">
        <f>'raw data Crude oil'!AA1128</f>
        <v>64.495000000000005</v>
      </c>
      <c r="AB1127">
        <f>'raw data Crude oil'!AB1128</f>
        <v>64.067999999999998</v>
      </c>
      <c r="AC1127">
        <f>'raw data Crude oil'!AC1128</f>
        <v>63.683999999999997</v>
      </c>
      <c r="AD1127">
        <f>'raw data Crude oil'!AD1128</f>
        <v>63.323</v>
      </c>
      <c r="AE1127">
        <f>'raw data Crude oil'!AE1128</f>
        <v>62.984000000000002</v>
      </c>
      <c r="AF1127">
        <f>'raw data Crude oil'!AF1128</f>
        <v>62.655000000000001</v>
      </c>
      <c r="AG1127">
        <f>'raw data Crude oil'!AG1128</f>
        <v>62.335000000000001</v>
      </c>
      <c r="AH1127">
        <f>'raw data Crude oil'!AH1128</f>
        <v>62.088000000000001</v>
      </c>
      <c r="AI1127">
        <f>'raw data Crude oil'!AI1128</f>
        <v>61.857999999999997</v>
      </c>
      <c r="AJ1127">
        <f>'raw data Crude oil'!AJ1128</f>
        <v>61.628999999999998</v>
      </c>
      <c r="AK1127">
        <f>'raw data Crude oil'!AK1128</f>
        <v>61.418999999999997</v>
      </c>
    </row>
    <row r="1128" spans="1:37" x14ac:dyDescent="0.3">
      <c r="A1128" s="18">
        <f>'raw data Crude oil'!A1129</f>
        <v>44330</v>
      </c>
      <c r="B1128">
        <f>'raw data Crude oil'!B1129</f>
        <v>68.709999999999994</v>
      </c>
      <c r="C1128">
        <f>'raw data Crude oil'!C1129</f>
        <v>68.38</v>
      </c>
      <c r="D1128">
        <f>'raw data Crude oil'!D1129</f>
        <v>67.959999999999994</v>
      </c>
      <c r="E1128">
        <f>'raw data Crude oil'!E1129</f>
        <v>67.5</v>
      </c>
      <c r="F1128">
        <f>'raw data Crude oil'!F1129</f>
        <v>67.069999999999993</v>
      </c>
      <c r="G1128">
        <f>'raw data Crude oil'!G1129</f>
        <v>66.63</v>
      </c>
      <c r="H1128">
        <f>'raw data Crude oil'!H1129</f>
        <v>66.22</v>
      </c>
      <c r="I1128">
        <f>'raw data Crude oil'!I1129</f>
        <v>65.849999999999994</v>
      </c>
      <c r="J1128">
        <f>'raw data Crude oil'!J1129</f>
        <v>65.52</v>
      </c>
      <c r="K1128">
        <f>'raw data Crude oil'!K1129</f>
        <v>65.209999999999994</v>
      </c>
      <c r="L1128">
        <f>'raw data Crude oil'!L1129</f>
        <v>64.930000000000007</v>
      </c>
      <c r="M1128">
        <f>'raw data Crude oil'!M1129</f>
        <v>64.66</v>
      </c>
      <c r="N1128">
        <f>'raw data Crude oil'!N1129</f>
        <v>65.37</v>
      </c>
      <c r="O1128">
        <f>'raw data Crude oil'!O1129</f>
        <v>65.36</v>
      </c>
      <c r="P1128">
        <f>'raw data Crude oil'!P1129</f>
        <v>65.16</v>
      </c>
      <c r="Q1128">
        <f>'raw data Crude oil'!Q1129</f>
        <v>64.8</v>
      </c>
      <c r="R1128">
        <f>'raw data Crude oil'!R1129</f>
        <v>64.36</v>
      </c>
      <c r="S1128">
        <f>'raw data Crude oil'!S1129</f>
        <v>63.89</v>
      </c>
      <c r="T1128">
        <f>'raw data Crude oil'!T1129</f>
        <v>63.42</v>
      </c>
      <c r="U1128">
        <f>'raw data Crude oil'!U1129</f>
        <v>62.95</v>
      </c>
      <c r="V1128">
        <f>'raw data Crude oil'!V1129</f>
        <v>62.5</v>
      </c>
      <c r="W1128">
        <f>'raw data Crude oil'!W1129</f>
        <v>62.07</v>
      </c>
      <c r="X1128">
        <f>'raw data Crude oil'!X1129</f>
        <v>61.67</v>
      </c>
      <c r="Y1128">
        <f>'raw data Crude oil'!Y1129</f>
        <v>61.3</v>
      </c>
      <c r="Z1128">
        <f>'raw data Crude oil'!Z1129</f>
        <v>66.335999999999999</v>
      </c>
      <c r="AA1128">
        <f>'raw data Crude oil'!AA1129</f>
        <v>66.100999999999999</v>
      </c>
      <c r="AB1128">
        <f>'raw data Crude oil'!AB1129</f>
        <v>65.578999999999994</v>
      </c>
      <c r="AC1128">
        <f>'raw data Crude oil'!AC1129</f>
        <v>65.105000000000004</v>
      </c>
      <c r="AD1128">
        <f>'raw data Crude oil'!AD1129</f>
        <v>64.67</v>
      </c>
      <c r="AE1128">
        <f>'raw data Crude oil'!AE1129</f>
        <v>64.25</v>
      </c>
      <c r="AF1128">
        <f>'raw data Crude oil'!AF1129</f>
        <v>63.853000000000002</v>
      </c>
      <c r="AG1128">
        <f>'raw data Crude oil'!AG1129</f>
        <v>63.470999999999997</v>
      </c>
      <c r="AH1128">
        <f>'raw data Crude oil'!AH1129</f>
        <v>63.164999999999999</v>
      </c>
      <c r="AI1128">
        <f>'raw data Crude oil'!AI1129</f>
        <v>62.875999999999998</v>
      </c>
      <c r="AJ1128">
        <f>'raw data Crude oil'!AJ1129</f>
        <v>62.618000000000002</v>
      </c>
      <c r="AK1128">
        <f>'raw data Crude oil'!AK1129</f>
        <v>62.366999999999997</v>
      </c>
    </row>
    <row r="1129" spans="1:37" x14ac:dyDescent="0.3">
      <c r="A1129" s="18">
        <f>'raw data Crude oil'!A1130</f>
        <v>44333</v>
      </c>
      <c r="B1129">
        <f>'raw data Crude oil'!B1130</f>
        <v>69.459999999999994</v>
      </c>
      <c r="C1129">
        <f>'raw data Crude oil'!C1130</f>
        <v>69.14</v>
      </c>
      <c r="D1129">
        <f>'raw data Crude oil'!D1130</f>
        <v>68.69</v>
      </c>
      <c r="E1129">
        <f>'raw data Crude oil'!E1130</f>
        <v>68.2</v>
      </c>
      <c r="F1129">
        <f>'raw data Crude oil'!F1130</f>
        <v>67.72</v>
      </c>
      <c r="G1129">
        <f>'raw data Crude oil'!G1130</f>
        <v>67.23</v>
      </c>
      <c r="H1129">
        <f>'raw data Crude oil'!H1130</f>
        <v>66.790000000000006</v>
      </c>
      <c r="I1129">
        <f>'raw data Crude oil'!I1130</f>
        <v>66.38</v>
      </c>
      <c r="J1129">
        <f>'raw data Crude oil'!J1130</f>
        <v>66.010000000000005</v>
      </c>
      <c r="K1129">
        <f>'raw data Crude oil'!K1130</f>
        <v>65.67</v>
      </c>
      <c r="L1129">
        <f>'raw data Crude oil'!L1130</f>
        <v>65.36</v>
      </c>
      <c r="M1129">
        <f>'raw data Crude oil'!M1130</f>
        <v>65.06</v>
      </c>
      <c r="N1129">
        <f>'raw data Crude oil'!N1130</f>
        <v>66.27</v>
      </c>
      <c r="O1129">
        <f>'raw data Crude oil'!O1130</f>
        <v>66.28</v>
      </c>
      <c r="P1129">
        <f>'raw data Crude oil'!P1130</f>
        <v>66.069999999999993</v>
      </c>
      <c r="Q1129">
        <f>'raw data Crude oil'!Q1130</f>
        <v>65.680000000000007</v>
      </c>
      <c r="R1129">
        <f>'raw data Crude oil'!R1130</f>
        <v>65.180000000000007</v>
      </c>
      <c r="S1129">
        <f>'raw data Crude oil'!S1130</f>
        <v>64.66</v>
      </c>
      <c r="T1129">
        <f>'raw data Crude oil'!T1130</f>
        <v>64.150000000000006</v>
      </c>
      <c r="U1129">
        <f>'raw data Crude oil'!U1130</f>
        <v>63.64</v>
      </c>
      <c r="V1129">
        <f>'raw data Crude oil'!V1130</f>
        <v>63.16</v>
      </c>
      <c r="W1129">
        <f>'raw data Crude oil'!W1130</f>
        <v>62.69</v>
      </c>
      <c r="X1129">
        <f>'raw data Crude oil'!X1130</f>
        <v>62.26</v>
      </c>
      <c r="Y1129">
        <f>'raw data Crude oil'!Y1130</f>
        <v>61.86</v>
      </c>
      <c r="Z1129">
        <f>'raw data Crude oil'!Z1130</f>
        <v>66.92</v>
      </c>
      <c r="AA1129">
        <f>'raw data Crude oil'!AA1130</f>
        <v>66.97</v>
      </c>
      <c r="AB1129">
        <f>'raw data Crude oil'!AB1130</f>
        <v>66.397999999999996</v>
      </c>
      <c r="AC1129">
        <f>'raw data Crude oil'!AC1130</f>
        <v>65.863</v>
      </c>
      <c r="AD1129">
        <f>'raw data Crude oil'!AD1130</f>
        <v>65.378</v>
      </c>
      <c r="AE1129">
        <f>'raw data Crude oil'!AE1130</f>
        <v>64.918999999999997</v>
      </c>
      <c r="AF1129">
        <f>'raw data Crude oil'!AF1130</f>
        <v>64.491</v>
      </c>
      <c r="AG1129">
        <f>'raw data Crude oil'!AG1130</f>
        <v>64.078000000000003</v>
      </c>
      <c r="AH1129">
        <f>'raw data Crude oil'!AH1130</f>
        <v>63.734000000000002</v>
      </c>
      <c r="AI1129">
        <f>'raw data Crude oil'!AI1130</f>
        <v>63.405000000000001</v>
      </c>
      <c r="AJ1129">
        <f>'raw data Crude oil'!AJ1130</f>
        <v>63.106999999999999</v>
      </c>
      <c r="AK1129">
        <f>'raw data Crude oil'!AK1130</f>
        <v>62.835999999999999</v>
      </c>
    </row>
    <row r="1130" spans="1:37" x14ac:dyDescent="0.3">
      <c r="A1130" s="18">
        <f>'raw data Crude oil'!A1131</f>
        <v>44334</v>
      </c>
      <c r="B1130">
        <f>'raw data Crude oil'!B1131</f>
        <v>68.709999999999994</v>
      </c>
      <c r="C1130">
        <f>'raw data Crude oil'!C1131</f>
        <v>68.52</v>
      </c>
      <c r="D1130">
        <f>'raw data Crude oil'!D1131</f>
        <v>68.11</v>
      </c>
      <c r="E1130">
        <f>'raw data Crude oil'!E1131</f>
        <v>67.650000000000006</v>
      </c>
      <c r="F1130">
        <f>'raw data Crude oil'!F1131</f>
        <v>67.180000000000007</v>
      </c>
      <c r="G1130">
        <f>'raw data Crude oil'!G1131</f>
        <v>66.7</v>
      </c>
      <c r="H1130">
        <f>'raw data Crude oil'!H1131</f>
        <v>66.27</v>
      </c>
      <c r="I1130">
        <f>'raw data Crude oil'!I1131</f>
        <v>65.88</v>
      </c>
      <c r="J1130">
        <f>'raw data Crude oil'!J1131</f>
        <v>65.53</v>
      </c>
      <c r="K1130">
        <f>'raw data Crude oil'!K1131</f>
        <v>65.2</v>
      </c>
      <c r="L1130">
        <f>'raw data Crude oil'!L1131</f>
        <v>64.91</v>
      </c>
      <c r="M1130">
        <f>'raw data Crude oil'!M1131</f>
        <v>64.62</v>
      </c>
      <c r="N1130">
        <f>'raw data Crude oil'!N1131</f>
        <v>65.489999999999995</v>
      </c>
      <c r="O1130">
        <f>'raw data Crude oil'!O1131</f>
        <v>65.5</v>
      </c>
      <c r="P1130">
        <f>'raw data Crude oil'!P1131</f>
        <v>65.33</v>
      </c>
      <c r="Q1130">
        <f>'raw data Crude oil'!Q1131</f>
        <v>64.97</v>
      </c>
      <c r="R1130">
        <f>'raw data Crude oil'!R1131</f>
        <v>64.489999999999995</v>
      </c>
      <c r="S1130">
        <f>'raw data Crude oil'!S1131</f>
        <v>63.99</v>
      </c>
      <c r="T1130">
        <f>'raw data Crude oil'!T1131</f>
        <v>63.51</v>
      </c>
      <c r="U1130">
        <f>'raw data Crude oil'!U1131</f>
        <v>63.03</v>
      </c>
      <c r="V1130">
        <f>'raw data Crude oil'!V1131</f>
        <v>62.57</v>
      </c>
      <c r="W1130">
        <f>'raw data Crude oil'!W1131</f>
        <v>62.13</v>
      </c>
      <c r="X1130">
        <f>'raw data Crude oil'!X1131</f>
        <v>61.72</v>
      </c>
      <c r="Y1130">
        <f>'raw data Crude oil'!Y1131</f>
        <v>61.34</v>
      </c>
      <c r="Z1130">
        <f>'raw data Crude oil'!Z1131</f>
        <v>66.77</v>
      </c>
      <c r="AA1130">
        <f>'raw data Crude oil'!AA1131</f>
        <v>66.450999999999993</v>
      </c>
      <c r="AB1130">
        <f>'raw data Crude oil'!AB1131</f>
        <v>65.838999999999999</v>
      </c>
      <c r="AC1130">
        <f>'raw data Crude oil'!AC1131</f>
        <v>65.349000000000004</v>
      </c>
      <c r="AD1130">
        <f>'raw data Crude oil'!AD1131</f>
        <v>64.878</v>
      </c>
      <c r="AE1130">
        <f>'raw data Crude oil'!AE1131</f>
        <v>64.430000000000007</v>
      </c>
      <c r="AF1130">
        <f>'raw data Crude oil'!AF1131</f>
        <v>63.991999999999997</v>
      </c>
      <c r="AG1130">
        <f>'raw data Crude oil'!AG1131</f>
        <v>63.61</v>
      </c>
      <c r="AH1130">
        <f>'raw data Crude oil'!AH1131</f>
        <v>63.283999999999999</v>
      </c>
      <c r="AI1130">
        <f>'raw data Crude oil'!AI1131</f>
        <v>62.966000000000001</v>
      </c>
      <c r="AJ1130">
        <f>'raw data Crude oil'!AJ1131</f>
        <v>62.686999999999998</v>
      </c>
      <c r="AK1130">
        <f>'raw data Crude oil'!AK1131</f>
        <v>62.396999999999998</v>
      </c>
    </row>
    <row r="1131" spans="1:37" x14ac:dyDescent="0.3">
      <c r="A1131" s="18">
        <f>'raw data Crude oil'!A1132</f>
        <v>44335</v>
      </c>
      <c r="B1131">
        <f>'raw data Crude oil'!B1132</f>
        <v>66.66</v>
      </c>
      <c r="C1131">
        <f>'raw data Crude oil'!C1132</f>
        <v>66.53</v>
      </c>
      <c r="D1131">
        <f>'raw data Crude oil'!D1132</f>
        <v>66.150000000000006</v>
      </c>
      <c r="E1131">
        <f>'raw data Crude oil'!E1132</f>
        <v>65.709999999999994</v>
      </c>
      <c r="F1131">
        <f>'raw data Crude oil'!F1132</f>
        <v>65.25</v>
      </c>
      <c r="G1131">
        <f>'raw data Crude oil'!G1132</f>
        <v>64.790000000000006</v>
      </c>
      <c r="H1131">
        <f>'raw data Crude oil'!H1132</f>
        <v>64.39</v>
      </c>
      <c r="I1131">
        <f>'raw data Crude oil'!I1132</f>
        <v>64.02</v>
      </c>
      <c r="J1131">
        <f>'raw data Crude oil'!J1132</f>
        <v>63.7</v>
      </c>
      <c r="K1131">
        <f>'raw data Crude oil'!K1132</f>
        <v>63.41</v>
      </c>
      <c r="L1131">
        <f>'raw data Crude oil'!L1132</f>
        <v>63.14</v>
      </c>
      <c r="M1131">
        <f>'raw data Crude oil'!M1132</f>
        <v>62.87</v>
      </c>
      <c r="N1131">
        <f>'raw data Crude oil'!N1132</f>
        <v>63.36</v>
      </c>
      <c r="O1131">
        <f>'raw data Crude oil'!O1132</f>
        <v>63.35</v>
      </c>
      <c r="P1131">
        <f>'raw data Crude oil'!P1132</f>
        <v>63.18</v>
      </c>
      <c r="Q1131">
        <f>'raw data Crude oil'!Q1132</f>
        <v>62.84</v>
      </c>
      <c r="R1131">
        <f>'raw data Crude oil'!R1132</f>
        <v>62.41</v>
      </c>
      <c r="S1131">
        <f>'raw data Crude oil'!S1132</f>
        <v>61.96</v>
      </c>
      <c r="T1131">
        <f>'raw data Crude oil'!T1132</f>
        <v>61.52</v>
      </c>
      <c r="U1131">
        <f>'raw data Crude oil'!U1132</f>
        <v>61.07</v>
      </c>
      <c r="V1131">
        <f>'raw data Crude oil'!V1132</f>
        <v>60.63</v>
      </c>
      <c r="W1131">
        <f>'raw data Crude oil'!W1132</f>
        <v>60.23</v>
      </c>
      <c r="X1131">
        <f>'raw data Crude oil'!X1132</f>
        <v>59.86</v>
      </c>
      <c r="Y1131">
        <f>'raw data Crude oil'!Y1132</f>
        <v>59.52</v>
      </c>
      <c r="Z1131">
        <f>'raw data Crude oil'!Z1132</f>
        <v>65.92</v>
      </c>
      <c r="AA1131">
        <f>'raw data Crude oil'!AA1132</f>
        <v>64.352999999999994</v>
      </c>
      <c r="AB1131">
        <f>'raw data Crude oil'!AB1132</f>
        <v>63.78</v>
      </c>
      <c r="AC1131">
        <f>'raw data Crude oil'!AC1132</f>
        <v>63.319000000000003</v>
      </c>
      <c r="AD1131">
        <f>'raw data Crude oil'!AD1132</f>
        <v>62.869</v>
      </c>
      <c r="AE1131">
        <f>'raw data Crude oil'!AE1132</f>
        <v>62.430999999999997</v>
      </c>
      <c r="AF1131">
        <f>'raw data Crude oil'!AF1132</f>
        <v>62.042999999999999</v>
      </c>
      <c r="AG1131">
        <f>'raw data Crude oil'!AG1132</f>
        <v>61.682000000000002</v>
      </c>
      <c r="AH1131">
        <f>'raw data Crude oil'!AH1132</f>
        <v>61.396000000000001</v>
      </c>
      <c r="AI1131">
        <f>'raw data Crude oil'!AI1132</f>
        <v>61.146999999999998</v>
      </c>
      <c r="AJ1131">
        <f>'raw data Crude oil'!AJ1132</f>
        <v>60.898000000000003</v>
      </c>
      <c r="AK1131">
        <f>'raw data Crude oil'!AK1132</f>
        <v>60.649000000000001</v>
      </c>
    </row>
    <row r="1132" spans="1:37" x14ac:dyDescent="0.3">
      <c r="A1132" s="18">
        <f>'raw data Crude oil'!A1133</f>
        <v>44336</v>
      </c>
      <c r="B1132">
        <f>'raw data Crude oil'!B1133</f>
        <v>65.11</v>
      </c>
      <c r="C1132">
        <f>'raw data Crude oil'!C1133</f>
        <v>65.069999999999993</v>
      </c>
      <c r="D1132">
        <f>'raw data Crude oil'!D1133</f>
        <v>64.77</v>
      </c>
      <c r="E1132">
        <f>'raw data Crude oil'!E1133</f>
        <v>64.42</v>
      </c>
      <c r="F1132">
        <f>'raw data Crude oil'!F1133</f>
        <v>64.040000000000006</v>
      </c>
      <c r="G1132">
        <f>'raw data Crude oil'!G1133</f>
        <v>63.65</v>
      </c>
      <c r="H1132">
        <f>'raw data Crude oil'!H1133</f>
        <v>63.31</v>
      </c>
      <c r="I1132">
        <f>'raw data Crude oil'!I1133</f>
        <v>63</v>
      </c>
      <c r="J1132">
        <f>'raw data Crude oil'!J1133</f>
        <v>62.71</v>
      </c>
      <c r="K1132">
        <f>'raw data Crude oil'!K1133</f>
        <v>62.46</v>
      </c>
      <c r="L1132">
        <f>'raw data Crude oil'!L1133</f>
        <v>62.22</v>
      </c>
      <c r="M1132">
        <f>'raw data Crude oil'!M1133</f>
        <v>61.99</v>
      </c>
      <c r="N1132">
        <f>'raw data Crude oil'!N1133</f>
        <v>62.05</v>
      </c>
      <c r="O1132">
        <f>'raw data Crude oil'!O1133</f>
        <v>61.94</v>
      </c>
      <c r="P1132">
        <f>'raw data Crude oil'!P1133</f>
        <v>61.79</v>
      </c>
      <c r="Q1132">
        <f>'raw data Crude oil'!Q1133</f>
        <v>61.49</v>
      </c>
      <c r="R1132">
        <f>'raw data Crude oil'!R1133</f>
        <v>61.11</v>
      </c>
      <c r="S1132">
        <f>'raw data Crude oil'!S1133</f>
        <v>60.7</v>
      </c>
      <c r="T1132">
        <f>'raw data Crude oil'!T1133</f>
        <v>60.31</v>
      </c>
      <c r="U1132">
        <f>'raw data Crude oil'!U1133</f>
        <v>59.9</v>
      </c>
      <c r="V1132">
        <f>'raw data Crude oil'!V1133</f>
        <v>59.51</v>
      </c>
      <c r="W1132">
        <f>'raw data Crude oil'!W1133</f>
        <v>59.15</v>
      </c>
      <c r="X1132">
        <f>'raw data Crude oil'!X1133</f>
        <v>58.82</v>
      </c>
      <c r="Y1132">
        <f>'raw data Crude oil'!Y1133</f>
        <v>58.52</v>
      </c>
      <c r="Z1132">
        <f>'raw data Crude oil'!Z1133</f>
        <v>65.382000000000005</v>
      </c>
      <c r="AA1132">
        <f>'raw data Crude oil'!AA1133</f>
        <v>62.776000000000003</v>
      </c>
      <c r="AB1132">
        <f>'raw data Crude oil'!AB1133</f>
        <v>62.314</v>
      </c>
      <c r="AC1132">
        <f>'raw data Crude oil'!AC1133</f>
        <v>61.953000000000003</v>
      </c>
      <c r="AD1132">
        <f>'raw data Crude oil'!AD1133</f>
        <v>61.591999999999999</v>
      </c>
      <c r="AE1132">
        <f>'raw data Crude oil'!AE1133</f>
        <v>61.249000000000002</v>
      </c>
      <c r="AF1132">
        <f>'raw data Crude oil'!AF1133</f>
        <v>60.915999999999997</v>
      </c>
      <c r="AG1132">
        <f>'raw data Crude oil'!AG1133</f>
        <v>60.585000000000001</v>
      </c>
      <c r="AH1132">
        <f>'raw data Crude oil'!AH1133</f>
        <v>60.317999999999998</v>
      </c>
      <c r="AI1132">
        <f>'raw data Crude oil'!AI1133</f>
        <v>60.107999999999997</v>
      </c>
      <c r="AJ1132">
        <f>'raw data Crude oil'!AJ1133</f>
        <v>59.9</v>
      </c>
      <c r="AK1132">
        <f>'raw data Crude oil'!AK1133</f>
        <v>59.7</v>
      </c>
    </row>
    <row r="1133" spans="1:37" x14ac:dyDescent="0.3">
      <c r="A1133" s="18">
        <f>'raw data Crude oil'!A1134</f>
        <v>44337</v>
      </c>
      <c r="B1133">
        <f>'raw data Crude oil'!B1134</f>
        <v>66.44</v>
      </c>
      <c r="C1133">
        <f>'raw data Crude oil'!C1134</f>
        <v>66.349999999999994</v>
      </c>
      <c r="D1133">
        <f>'raw data Crude oil'!D1134</f>
        <v>66.02</v>
      </c>
      <c r="E1133">
        <f>'raw data Crude oil'!E1134</f>
        <v>65.64</v>
      </c>
      <c r="F1133">
        <f>'raw data Crude oil'!F1134</f>
        <v>65.25</v>
      </c>
      <c r="G1133">
        <f>'raw data Crude oil'!G1134</f>
        <v>64.849999999999994</v>
      </c>
      <c r="H1133">
        <f>'raw data Crude oil'!H1134</f>
        <v>64.489999999999995</v>
      </c>
      <c r="I1133">
        <f>'raw data Crude oil'!I1134</f>
        <v>64.16</v>
      </c>
      <c r="J1133">
        <f>'raw data Crude oil'!J1134</f>
        <v>63.87</v>
      </c>
      <c r="K1133">
        <f>'raw data Crude oil'!K1134</f>
        <v>63.6</v>
      </c>
      <c r="L1133">
        <f>'raw data Crude oil'!L1134</f>
        <v>63.35</v>
      </c>
      <c r="M1133">
        <f>'raw data Crude oil'!M1134</f>
        <v>63.11</v>
      </c>
      <c r="N1133">
        <f>'raw data Crude oil'!N1134</f>
        <v>63.58</v>
      </c>
      <c r="O1133">
        <f>'raw data Crude oil'!O1134</f>
        <v>63.36</v>
      </c>
      <c r="P1133">
        <f>'raw data Crude oil'!P1134</f>
        <v>62.99</v>
      </c>
      <c r="Q1133">
        <f>'raw data Crude oil'!Q1134</f>
        <v>62.54</v>
      </c>
      <c r="R1133">
        <f>'raw data Crude oil'!R1134</f>
        <v>62.09</v>
      </c>
      <c r="S1133">
        <f>'raw data Crude oil'!S1134</f>
        <v>61.65</v>
      </c>
      <c r="T1133">
        <f>'raw data Crude oil'!T1134</f>
        <v>61.2</v>
      </c>
      <c r="U1133">
        <f>'raw data Crude oil'!U1134</f>
        <v>60.78</v>
      </c>
      <c r="V1133">
        <f>'raw data Crude oil'!V1134</f>
        <v>60.41</v>
      </c>
      <c r="W1133">
        <f>'raw data Crude oil'!W1134</f>
        <v>60.04</v>
      </c>
      <c r="X1133">
        <f>'raw data Crude oil'!X1134</f>
        <v>59.7</v>
      </c>
      <c r="Y1133">
        <f>'raw data Crude oil'!Y1134</f>
        <v>59.39</v>
      </c>
      <c r="Z1133">
        <f>'raw data Crude oil'!Z1134</f>
        <v>65.766000000000005</v>
      </c>
      <c r="AA1133">
        <f>'raw data Crude oil'!AA1134</f>
        <v>64.084999999999994</v>
      </c>
      <c r="AB1133">
        <f>'raw data Crude oil'!AB1134</f>
        <v>63.563000000000002</v>
      </c>
      <c r="AC1133">
        <f>'raw data Crude oil'!AC1134</f>
        <v>63.171999999999997</v>
      </c>
      <c r="AD1133">
        <f>'raw data Crude oil'!AD1134</f>
        <v>62.792000000000002</v>
      </c>
      <c r="AE1133">
        <f>'raw data Crude oil'!AE1134</f>
        <v>62.433</v>
      </c>
      <c r="AF1133">
        <f>'raw data Crude oil'!AF1134</f>
        <v>62.085000000000001</v>
      </c>
      <c r="AG1133">
        <f>'raw data Crude oil'!AG1134</f>
        <v>61.744999999999997</v>
      </c>
      <c r="AH1133">
        <f>'raw data Crude oil'!AH1134</f>
        <v>61.476999999999997</v>
      </c>
      <c r="AI1133">
        <f>'raw data Crude oil'!AI1134</f>
        <v>61.228000000000002</v>
      </c>
      <c r="AJ1133">
        <f>'raw data Crude oil'!AJ1134</f>
        <v>61.01</v>
      </c>
      <c r="AK1133">
        <f>'raw data Crude oil'!AK1134</f>
        <v>60.789000000000001</v>
      </c>
    </row>
    <row r="1134" spans="1:37" x14ac:dyDescent="0.3">
      <c r="A1134" s="18">
        <f>'raw data Crude oil'!A1135</f>
        <v>44340</v>
      </c>
      <c r="B1134">
        <f>'raw data Crude oil'!B1135</f>
        <v>68.459999999999994</v>
      </c>
      <c r="C1134">
        <f>'raw data Crude oil'!C1135</f>
        <v>68.37</v>
      </c>
      <c r="D1134">
        <f>'raw data Crude oil'!D1135</f>
        <v>68.010000000000005</v>
      </c>
      <c r="E1134">
        <f>'raw data Crude oil'!E1135</f>
        <v>67.59</v>
      </c>
      <c r="F1134">
        <f>'raw data Crude oil'!F1135</f>
        <v>67.17</v>
      </c>
      <c r="G1134">
        <f>'raw data Crude oil'!G1135</f>
        <v>66.739999999999995</v>
      </c>
      <c r="H1134">
        <f>'raw data Crude oil'!H1135</f>
        <v>66.349999999999994</v>
      </c>
      <c r="I1134">
        <f>'raw data Crude oil'!I1135</f>
        <v>65.97</v>
      </c>
      <c r="J1134">
        <f>'raw data Crude oil'!J1135</f>
        <v>65.64</v>
      </c>
      <c r="K1134">
        <f>'raw data Crude oil'!K1135</f>
        <v>65.33</v>
      </c>
      <c r="L1134">
        <f>'raw data Crude oil'!L1135</f>
        <v>65.040000000000006</v>
      </c>
      <c r="M1134">
        <f>'raw data Crude oil'!M1135</f>
        <v>64.75</v>
      </c>
      <c r="N1134">
        <f>'raw data Crude oil'!N1135</f>
        <v>66.05</v>
      </c>
      <c r="O1134">
        <f>'raw data Crude oil'!O1135</f>
        <v>65.78</v>
      </c>
      <c r="P1134">
        <f>'raw data Crude oil'!P1135</f>
        <v>65.319999999999993</v>
      </c>
      <c r="Q1134">
        <f>'raw data Crude oil'!Q1135</f>
        <v>64.790000000000006</v>
      </c>
      <c r="R1134">
        <f>'raw data Crude oil'!R1135</f>
        <v>64.25</v>
      </c>
      <c r="S1134">
        <f>'raw data Crude oil'!S1135</f>
        <v>63.73</v>
      </c>
      <c r="T1134">
        <f>'raw data Crude oil'!T1135</f>
        <v>63.23</v>
      </c>
      <c r="U1134">
        <f>'raw data Crude oil'!U1135</f>
        <v>62.75</v>
      </c>
      <c r="V1134">
        <f>'raw data Crude oil'!V1135</f>
        <v>62.3</v>
      </c>
      <c r="W1134">
        <f>'raw data Crude oil'!W1135</f>
        <v>61.89</v>
      </c>
      <c r="X1134">
        <f>'raw data Crude oil'!X1135</f>
        <v>61.51</v>
      </c>
      <c r="Y1134">
        <f>'raw data Crude oil'!Y1135</f>
        <v>61.16</v>
      </c>
      <c r="Z1134">
        <f>'raw data Crude oil'!Z1135</f>
        <v>66.254000000000005</v>
      </c>
      <c r="AA1134">
        <f>'raw data Crude oil'!AA1135</f>
        <v>66.233999999999995</v>
      </c>
      <c r="AB1134">
        <f>'raw data Crude oil'!AB1135</f>
        <v>65.620999999999995</v>
      </c>
      <c r="AC1134">
        <f>'raw data Crude oil'!AC1135</f>
        <v>65.171000000000006</v>
      </c>
      <c r="AD1134">
        <f>'raw data Crude oil'!AD1135</f>
        <v>64.760000000000005</v>
      </c>
      <c r="AE1134">
        <f>'raw data Crude oil'!AE1135</f>
        <v>64.370999999999995</v>
      </c>
      <c r="AF1134">
        <f>'raw data Crude oil'!AF1135</f>
        <v>64.003</v>
      </c>
      <c r="AG1134">
        <f>'raw data Crude oil'!AG1135</f>
        <v>63.640999999999998</v>
      </c>
      <c r="AH1134">
        <f>'raw data Crude oil'!AH1135</f>
        <v>63.325000000000003</v>
      </c>
      <c r="AI1134">
        <f>'raw data Crude oil'!AI1135</f>
        <v>63.026000000000003</v>
      </c>
      <c r="AJ1134">
        <f>'raw data Crude oil'!AJ1135</f>
        <v>62.737000000000002</v>
      </c>
      <c r="AK1134">
        <f>'raw data Crude oil'!AK1135</f>
        <v>62.487000000000002</v>
      </c>
    </row>
    <row r="1135" spans="1:37" x14ac:dyDescent="0.3">
      <c r="A1135" s="18">
        <f>'raw data Crude oil'!A1136</f>
        <v>44341</v>
      </c>
      <c r="B1135">
        <f>'raw data Crude oil'!B1136</f>
        <v>68.650000000000006</v>
      </c>
      <c r="C1135">
        <f>'raw data Crude oil'!C1136</f>
        <v>68.489999999999995</v>
      </c>
      <c r="D1135">
        <f>'raw data Crude oil'!D1136</f>
        <v>68.08</v>
      </c>
      <c r="E1135">
        <f>'raw data Crude oil'!E1136</f>
        <v>67.61</v>
      </c>
      <c r="F1135">
        <f>'raw data Crude oil'!F1136</f>
        <v>67.17</v>
      </c>
      <c r="G1135">
        <f>'raw data Crude oil'!G1136</f>
        <v>66.73</v>
      </c>
      <c r="H1135">
        <f>'raw data Crude oil'!H1136</f>
        <v>66.33</v>
      </c>
      <c r="I1135">
        <f>'raw data Crude oil'!I1136</f>
        <v>65.95</v>
      </c>
      <c r="J1135">
        <f>'raw data Crude oil'!J1136</f>
        <v>65.61</v>
      </c>
      <c r="K1135">
        <f>'raw data Crude oil'!K1136</f>
        <v>65.3</v>
      </c>
      <c r="L1135">
        <f>'raw data Crude oil'!L1136</f>
        <v>65.010000000000005</v>
      </c>
      <c r="M1135">
        <f>'raw data Crude oil'!M1136</f>
        <v>64.72</v>
      </c>
      <c r="N1135">
        <f>'raw data Crude oil'!N1136</f>
        <v>66.069999999999993</v>
      </c>
      <c r="O1135">
        <f>'raw data Crude oil'!O1136</f>
        <v>65.790000000000006</v>
      </c>
      <c r="P1135">
        <f>'raw data Crude oil'!P1136</f>
        <v>65.319999999999993</v>
      </c>
      <c r="Q1135">
        <f>'raw data Crude oil'!Q1136</f>
        <v>64.78</v>
      </c>
      <c r="R1135">
        <f>'raw data Crude oil'!R1136</f>
        <v>64.25</v>
      </c>
      <c r="S1135">
        <f>'raw data Crude oil'!S1136</f>
        <v>63.72</v>
      </c>
      <c r="T1135">
        <f>'raw data Crude oil'!T1136</f>
        <v>63.22</v>
      </c>
      <c r="U1135">
        <f>'raw data Crude oil'!U1136</f>
        <v>62.74</v>
      </c>
      <c r="V1135">
        <f>'raw data Crude oil'!V1136</f>
        <v>62.29</v>
      </c>
      <c r="W1135">
        <f>'raw data Crude oil'!W1136</f>
        <v>61.88</v>
      </c>
      <c r="X1135">
        <f>'raw data Crude oil'!X1136</f>
        <v>61.51</v>
      </c>
      <c r="Y1135">
        <f>'raw data Crude oil'!Y1136</f>
        <v>61.16</v>
      </c>
      <c r="Z1135">
        <f>'raw data Crude oil'!Z1136</f>
        <v>66.296000000000006</v>
      </c>
      <c r="AA1135">
        <f>'raw data Crude oil'!AA1136</f>
        <v>66.381</v>
      </c>
      <c r="AB1135">
        <f>'raw data Crude oil'!AB1136</f>
        <v>65.718999999999994</v>
      </c>
      <c r="AC1135">
        <f>'raw data Crude oil'!AC1136</f>
        <v>65.25</v>
      </c>
      <c r="AD1135">
        <f>'raw data Crude oil'!AD1136</f>
        <v>64.81</v>
      </c>
      <c r="AE1135">
        <f>'raw data Crude oil'!AE1136</f>
        <v>64.391000000000005</v>
      </c>
      <c r="AF1135">
        <f>'raw data Crude oil'!AF1136</f>
        <v>64.022999999999996</v>
      </c>
      <c r="AG1135">
        <f>'raw data Crude oil'!AG1136</f>
        <v>63.66</v>
      </c>
      <c r="AH1135">
        <f>'raw data Crude oil'!AH1136</f>
        <v>63.335000000000001</v>
      </c>
      <c r="AI1135">
        <f>'raw data Crude oil'!AI1136</f>
        <v>63.036000000000001</v>
      </c>
      <c r="AJ1135">
        <f>'raw data Crude oil'!AJ1136</f>
        <v>62.747</v>
      </c>
      <c r="AK1135">
        <f>'raw data Crude oil'!AK1136</f>
        <v>62.497</v>
      </c>
    </row>
    <row r="1136" spans="1:37" x14ac:dyDescent="0.3">
      <c r="A1136" s="18">
        <f>'raw data Crude oil'!A1137</f>
        <v>44342</v>
      </c>
      <c r="B1136">
        <f>'raw data Crude oil'!B1137</f>
        <v>68.87</v>
      </c>
      <c r="C1136">
        <f>'raw data Crude oil'!C1137</f>
        <v>68.73</v>
      </c>
      <c r="D1136">
        <f>'raw data Crude oil'!D1137</f>
        <v>68.319999999999993</v>
      </c>
      <c r="E1136">
        <f>'raw data Crude oil'!E1137</f>
        <v>67.849999999999994</v>
      </c>
      <c r="F1136">
        <f>'raw data Crude oil'!F1137</f>
        <v>67.41</v>
      </c>
      <c r="G1136">
        <f>'raw data Crude oil'!G1137</f>
        <v>66.98</v>
      </c>
      <c r="H1136">
        <f>'raw data Crude oil'!H1137</f>
        <v>66.58</v>
      </c>
      <c r="I1136">
        <f>'raw data Crude oil'!I1137</f>
        <v>66.19</v>
      </c>
      <c r="J1136">
        <f>'raw data Crude oil'!J1137</f>
        <v>65.849999999999994</v>
      </c>
      <c r="K1136">
        <f>'raw data Crude oil'!K1137</f>
        <v>65.53</v>
      </c>
      <c r="L1136">
        <f>'raw data Crude oil'!L1137</f>
        <v>65.239999999999995</v>
      </c>
      <c r="M1136">
        <f>'raw data Crude oil'!M1137</f>
        <v>64.94</v>
      </c>
      <c r="N1136">
        <f>'raw data Crude oil'!N1137</f>
        <v>66.209999999999994</v>
      </c>
      <c r="O1136">
        <f>'raw data Crude oil'!O1137</f>
        <v>65.959999999999994</v>
      </c>
      <c r="P1136">
        <f>'raw data Crude oil'!P1137</f>
        <v>65.510000000000005</v>
      </c>
      <c r="Q1136">
        <f>'raw data Crude oil'!Q1137</f>
        <v>64.98</v>
      </c>
      <c r="R1136">
        <f>'raw data Crude oil'!R1137</f>
        <v>64.459999999999994</v>
      </c>
      <c r="S1136">
        <f>'raw data Crude oil'!S1137</f>
        <v>63.94</v>
      </c>
      <c r="T1136">
        <f>'raw data Crude oil'!T1137</f>
        <v>63.43</v>
      </c>
      <c r="U1136">
        <f>'raw data Crude oil'!U1137</f>
        <v>62.94</v>
      </c>
      <c r="V1136">
        <f>'raw data Crude oil'!V1137</f>
        <v>62.5</v>
      </c>
      <c r="W1136">
        <f>'raw data Crude oil'!W1137</f>
        <v>62.09</v>
      </c>
      <c r="X1136">
        <f>'raw data Crude oil'!X1137</f>
        <v>61.71</v>
      </c>
      <c r="Y1136">
        <f>'raw data Crude oil'!Y1137</f>
        <v>61.37</v>
      </c>
      <c r="Z1136">
        <f>'raw data Crude oil'!Z1137</f>
        <v>66.332999999999998</v>
      </c>
      <c r="AA1136">
        <f>'raw data Crude oil'!AA1137</f>
        <v>66.611000000000004</v>
      </c>
      <c r="AB1136">
        <f>'raw data Crude oil'!AB1137</f>
        <v>65.938999999999993</v>
      </c>
      <c r="AC1136">
        <f>'raw data Crude oil'!AC1137</f>
        <v>65.44</v>
      </c>
      <c r="AD1136">
        <f>'raw data Crude oil'!AD1137</f>
        <v>64.989999999999995</v>
      </c>
      <c r="AE1136">
        <f>'raw data Crude oil'!AE1137</f>
        <v>64.581000000000003</v>
      </c>
      <c r="AF1136">
        <f>'raw data Crude oil'!AF1137</f>
        <v>64.221999999999994</v>
      </c>
      <c r="AG1136">
        <f>'raw data Crude oil'!AG1137</f>
        <v>63.88</v>
      </c>
      <c r="AH1136">
        <f>'raw data Crude oil'!AH1137</f>
        <v>63.564999999999998</v>
      </c>
      <c r="AI1136">
        <f>'raw data Crude oil'!AI1137</f>
        <v>63.256</v>
      </c>
      <c r="AJ1136">
        <f>'raw data Crude oil'!AJ1137</f>
        <v>62.966999999999999</v>
      </c>
      <c r="AK1136">
        <f>'raw data Crude oil'!AK1137</f>
        <v>62.697000000000003</v>
      </c>
    </row>
    <row r="1137" spans="1:37" x14ac:dyDescent="0.3">
      <c r="A1137" s="18">
        <f>'raw data Crude oil'!A1138</f>
        <v>44343</v>
      </c>
      <c r="B1137">
        <f>'raw data Crude oil'!B1138</f>
        <v>69.459999999999994</v>
      </c>
      <c r="C1137">
        <f>'raw data Crude oil'!C1138</f>
        <v>69.2</v>
      </c>
      <c r="D1137">
        <f>'raw data Crude oil'!D1138</f>
        <v>68.81</v>
      </c>
      <c r="E1137">
        <f>'raw data Crude oil'!E1138</f>
        <v>68.319999999999993</v>
      </c>
      <c r="F1137">
        <f>'raw data Crude oil'!F1138</f>
        <v>67.849999999999994</v>
      </c>
      <c r="G1137">
        <f>'raw data Crude oil'!G1138</f>
        <v>67.38</v>
      </c>
      <c r="H1137">
        <f>'raw data Crude oil'!H1138</f>
        <v>66.95</v>
      </c>
      <c r="I1137">
        <f>'raw data Crude oil'!I1138</f>
        <v>66.55</v>
      </c>
      <c r="J1137">
        <f>'raw data Crude oil'!J1138</f>
        <v>66.180000000000007</v>
      </c>
      <c r="K1137">
        <f>'raw data Crude oil'!K1138</f>
        <v>65.84</v>
      </c>
      <c r="L1137">
        <f>'raw data Crude oil'!L1138</f>
        <v>65.540000000000006</v>
      </c>
      <c r="M1137">
        <f>'raw data Crude oil'!M1138</f>
        <v>65.239999999999995</v>
      </c>
      <c r="N1137">
        <f>'raw data Crude oil'!N1138</f>
        <v>66.849999999999994</v>
      </c>
      <c r="O1137">
        <f>'raw data Crude oil'!O1138</f>
        <v>66.599999999999994</v>
      </c>
      <c r="P1137">
        <f>'raw data Crude oil'!P1138</f>
        <v>66.12</v>
      </c>
      <c r="Q1137">
        <f>'raw data Crude oil'!Q1138</f>
        <v>65.56</v>
      </c>
      <c r="R1137">
        <f>'raw data Crude oil'!R1138</f>
        <v>65</v>
      </c>
      <c r="S1137">
        <f>'raw data Crude oil'!S1138</f>
        <v>64.45</v>
      </c>
      <c r="T1137">
        <f>'raw data Crude oil'!T1138</f>
        <v>63.9</v>
      </c>
      <c r="U1137">
        <f>'raw data Crude oil'!U1138</f>
        <v>63.39</v>
      </c>
      <c r="V1137">
        <f>'raw data Crude oil'!V1138</f>
        <v>62.93</v>
      </c>
      <c r="W1137">
        <f>'raw data Crude oil'!W1138</f>
        <v>62.5</v>
      </c>
      <c r="X1137">
        <f>'raw data Crude oil'!X1138</f>
        <v>62.1</v>
      </c>
      <c r="Y1137">
        <f>'raw data Crude oil'!Y1138</f>
        <v>61.74</v>
      </c>
      <c r="Z1137">
        <f>'raw data Crude oil'!Z1138</f>
        <v>66.334999999999994</v>
      </c>
      <c r="AA1137">
        <f>'raw data Crude oil'!AA1138</f>
        <v>67.122</v>
      </c>
      <c r="AB1137">
        <f>'raw data Crude oil'!AB1138</f>
        <v>66.438000000000002</v>
      </c>
      <c r="AC1137">
        <f>'raw data Crude oil'!AC1138</f>
        <v>65.945999999999998</v>
      </c>
      <c r="AD1137">
        <f>'raw data Crude oil'!AD1138</f>
        <v>65.475999999999999</v>
      </c>
      <c r="AE1137">
        <f>'raw data Crude oil'!AE1138</f>
        <v>65.040000000000006</v>
      </c>
      <c r="AF1137">
        <f>'raw data Crude oil'!AF1138</f>
        <v>64.652000000000001</v>
      </c>
      <c r="AG1137">
        <f>'raw data Crude oil'!AG1138</f>
        <v>64.238</v>
      </c>
      <c r="AH1137">
        <f>'raw data Crude oil'!AH1138</f>
        <v>63.893999999999998</v>
      </c>
      <c r="AI1137">
        <f>'raw data Crude oil'!AI1138</f>
        <v>63.564999999999998</v>
      </c>
      <c r="AJ1137">
        <f>'raw data Crude oil'!AJ1138</f>
        <v>63.267000000000003</v>
      </c>
      <c r="AK1137">
        <f>'raw data Crude oil'!AK1138</f>
        <v>62.996000000000002</v>
      </c>
    </row>
    <row r="1138" spans="1:37" x14ac:dyDescent="0.3">
      <c r="A1138" s="18">
        <f>'raw data Crude oil'!A1139</f>
        <v>44344</v>
      </c>
      <c r="B1138">
        <f>'raw data Crude oil'!B1139</f>
        <v>69.63</v>
      </c>
      <c r="C1138">
        <f>'raw data Crude oil'!C1139</f>
        <v>68.72</v>
      </c>
      <c r="D1138">
        <f>'raw data Crude oil'!D1139</f>
        <v>68.34</v>
      </c>
      <c r="E1138">
        <f>'raw data Crude oil'!E1139</f>
        <v>67.849999999999994</v>
      </c>
      <c r="F1138">
        <f>'raw data Crude oil'!F1139</f>
        <v>67.37</v>
      </c>
      <c r="G1138">
        <f>'raw data Crude oil'!G1139</f>
        <v>66.900000000000006</v>
      </c>
      <c r="H1138">
        <f>'raw data Crude oil'!H1139</f>
        <v>66.47</v>
      </c>
      <c r="I1138">
        <f>'raw data Crude oil'!I1139</f>
        <v>66.069999999999993</v>
      </c>
      <c r="J1138">
        <f>'raw data Crude oil'!J1139</f>
        <v>65.7</v>
      </c>
      <c r="K1138">
        <f>'raw data Crude oil'!K1139</f>
        <v>65.37</v>
      </c>
      <c r="L1138">
        <f>'raw data Crude oil'!L1139</f>
        <v>65.069999999999993</v>
      </c>
      <c r="M1138">
        <f>'raw data Crude oil'!M1139</f>
        <v>64.760000000000005</v>
      </c>
      <c r="N1138">
        <f>'raw data Crude oil'!N1139</f>
        <v>66.319999999999993</v>
      </c>
      <c r="O1138">
        <f>'raw data Crude oil'!O1139</f>
        <v>66.099999999999994</v>
      </c>
      <c r="P1138">
        <f>'raw data Crude oil'!P1139</f>
        <v>65.599999999999994</v>
      </c>
      <c r="Q1138">
        <f>'raw data Crude oil'!Q1139</f>
        <v>65.02</v>
      </c>
      <c r="R1138">
        <f>'raw data Crude oil'!R1139</f>
        <v>64.45</v>
      </c>
      <c r="S1138">
        <f>'raw data Crude oil'!S1139</f>
        <v>63.91</v>
      </c>
      <c r="T1138">
        <f>'raw data Crude oil'!T1139</f>
        <v>63.37</v>
      </c>
      <c r="U1138">
        <f>'raw data Crude oil'!U1139</f>
        <v>62.86</v>
      </c>
      <c r="V1138">
        <f>'raw data Crude oil'!V1139</f>
        <v>62.4</v>
      </c>
      <c r="W1138">
        <f>'raw data Crude oil'!W1139</f>
        <v>61.97</v>
      </c>
      <c r="X1138">
        <f>'raw data Crude oil'!X1139</f>
        <v>61.58</v>
      </c>
      <c r="Y1138">
        <f>'raw data Crude oil'!Y1139</f>
        <v>61.22</v>
      </c>
      <c r="Z1138">
        <f>'raw data Crude oil'!Z1139</f>
        <v>66.293000000000006</v>
      </c>
      <c r="AA1138">
        <f>'raw data Crude oil'!AA1139</f>
        <v>66.733000000000004</v>
      </c>
      <c r="AB1138">
        <f>'raw data Crude oil'!AB1139</f>
        <v>65.998000000000005</v>
      </c>
      <c r="AC1138">
        <f>'raw data Crude oil'!AC1139</f>
        <v>65.498000000000005</v>
      </c>
      <c r="AD1138">
        <f>'raw data Crude oil'!AD1139</f>
        <v>65.019000000000005</v>
      </c>
      <c r="AE1138">
        <f>'raw data Crude oil'!AE1139</f>
        <v>64.569999999999993</v>
      </c>
      <c r="AF1138">
        <f>'raw data Crude oil'!AF1139</f>
        <v>64.152000000000001</v>
      </c>
      <c r="AG1138">
        <f>'raw data Crude oil'!AG1139</f>
        <v>63.758000000000003</v>
      </c>
      <c r="AH1138">
        <f>'raw data Crude oil'!AH1139</f>
        <v>63.414000000000001</v>
      </c>
      <c r="AI1138">
        <f>'raw data Crude oil'!AI1139</f>
        <v>63.094999999999999</v>
      </c>
      <c r="AJ1138">
        <f>'raw data Crude oil'!AJ1139</f>
        <v>62.796999999999997</v>
      </c>
      <c r="AK1138">
        <f>'raw data Crude oil'!AK1139</f>
        <v>62.515999999999998</v>
      </c>
    </row>
    <row r="1139" spans="1:37" x14ac:dyDescent="0.3">
      <c r="A1139" s="18">
        <f>'raw data Crude oil'!A1140</f>
        <v>44347</v>
      </c>
      <c r="B1139">
        <f>'raw data Crude oil'!B1140</f>
        <v>69.319999999999993</v>
      </c>
      <c r="C1139">
        <f>'raw data Crude oil'!C1140</f>
        <v>68.95</v>
      </c>
      <c r="D1139">
        <f>'raw data Crude oil'!D1140</f>
        <v>68.45</v>
      </c>
      <c r="E1139">
        <f>'raw data Crude oil'!E1140</f>
        <v>67.959999999999994</v>
      </c>
      <c r="F1139">
        <f>'raw data Crude oil'!F1140</f>
        <v>67.48</v>
      </c>
      <c r="G1139">
        <f>'raw data Crude oil'!G1140</f>
        <v>67.05</v>
      </c>
      <c r="H1139">
        <f>'raw data Crude oil'!H1140</f>
        <v>66.64</v>
      </c>
      <c r="I1139">
        <f>'raw data Crude oil'!I1140</f>
        <v>66.27</v>
      </c>
      <c r="J1139">
        <f>'raw data Crude oil'!J1140</f>
        <v>65.930000000000007</v>
      </c>
      <c r="K1139">
        <f>'raw data Crude oil'!K1140</f>
        <v>65.62</v>
      </c>
      <c r="L1139">
        <f>'raw data Crude oil'!L1140</f>
        <v>65.31</v>
      </c>
      <c r="M1139">
        <f>'raw data Crude oil'!M1140</f>
        <v>65.02</v>
      </c>
      <c r="N1139">
        <f>'raw data Crude oil'!N1140</f>
        <v>66.319999999999993</v>
      </c>
      <c r="O1139">
        <f>'raw data Crude oil'!O1140</f>
        <v>66.099999999999994</v>
      </c>
      <c r="P1139">
        <f>'raw data Crude oil'!P1140</f>
        <v>65.599999999999994</v>
      </c>
      <c r="Q1139">
        <f>'raw data Crude oil'!Q1140</f>
        <v>65.02</v>
      </c>
      <c r="R1139">
        <f>'raw data Crude oil'!R1140</f>
        <v>64.45</v>
      </c>
      <c r="S1139">
        <f>'raw data Crude oil'!S1140</f>
        <v>63.91</v>
      </c>
      <c r="T1139">
        <f>'raw data Crude oil'!T1140</f>
        <v>63.37</v>
      </c>
      <c r="U1139">
        <f>'raw data Crude oil'!U1140</f>
        <v>62.86</v>
      </c>
      <c r="V1139">
        <f>'raw data Crude oil'!V1140</f>
        <v>62.4</v>
      </c>
      <c r="W1139">
        <f>'raw data Crude oil'!W1140</f>
        <v>61.97</v>
      </c>
      <c r="X1139">
        <f>'raw data Crude oil'!X1140</f>
        <v>61.58</v>
      </c>
      <c r="Y1139">
        <f>'raw data Crude oil'!Y1140</f>
        <v>61.22</v>
      </c>
      <c r="Z1139">
        <f>'raw data Crude oil'!Z1140</f>
        <v>66.313999999999993</v>
      </c>
      <c r="AA1139">
        <f>'raw data Crude oil'!AA1140</f>
        <v>67.427000000000007</v>
      </c>
      <c r="AB1139">
        <f>'raw data Crude oil'!AB1140</f>
        <v>66.659000000000006</v>
      </c>
      <c r="AC1139">
        <f>'raw data Crude oil'!AC1140</f>
        <v>66.123000000000005</v>
      </c>
      <c r="AD1139">
        <f>'raw data Crude oil'!AD1140</f>
        <v>65.628</v>
      </c>
      <c r="AE1139">
        <f>'raw data Crude oil'!AE1140</f>
        <v>65.17</v>
      </c>
      <c r="AF1139">
        <f>'raw data Crude oil'!AF1140</f>
        <v>64.751000000000005</v>
      </c>
      <c r="AG1139">
        <f>'raw data Crude oil'!AG1140</f>
        <v>64.347999999999999</v>
      </c>
      <c r="AH1139">
        <f>'raw data Crude oil'!AH1140</f>
        <v>64.013999999999996</v>
      </c>
      <c r="AI1139">
        <f>'raw data Crude oil'!AI1140</f>
        <v>63.685000000000002</v>
      </c>
      <c r="AJ1139">
        <f>'raw data Crude oil'!AJ1140</f>
        <v>63.387</v>
      </c>
      <c r="AK1139">
        <f>'raw data Crude oil'!AK1140</f>
        <v>63.085999999999999</v>
      </c>
    </row>
    <row r="1140" spans="1:37" x14ac:dyDescent="0.3">
      <c r="A1140" s="18">
        <f>'raw data Crude oil'!A1141</f>
        <v>44348</v>
      </c>
      <c r="B1140">
        <f>'raw data Crude oil'!B1141</f>
        <v>70.25</v>
      </c>
      <c r="C1140">
        <f>'raw data Crude oil'!C1141</f>
        <v>69.849999999999994</v>
      </c>
      <c r="D1140">
        <f>'raw data Crude oil'!D1141</f>
        <v>69.33</v>
      </c>
      <c r="E1140">
        <f>'raw data Crude oil'!E1141</f>
        <v>68.819999999999993</v>
      </c>
      <c r="F1140">
        <f>'raw data Crude oil'!F1141</f>
        <v>68.319999999999993</v>
      </c>
      <c r="G1140">
        <f>'raw data Crude oil'!G1141</f>
        <v>67.86</v>
      </c>
      <c r="H1140">
        <f>'raw data Crude oil'!H1141</f>
        <v>67.430000000000007</v>
      </c>
      <c r="I1140">
        <f>'raw data Crude oil'!I1141</f>
        <v>67.03</v>
      </c>
      <c r="J1140">
        <f>'raw data Crude oil'!J1141</f>
        <v>66.680000000000007</v>
      </c>
      <c r="K1140">
        <f>'raw data Crude oil'!K1141</f>
        <v>66.349999999999994</v>
      </c>
      <c r="L1140">
        <f>'raw data Crude oil'!L1141</f>
        <v>66.02</v>
      </c>
      <c r="M1140">
        <f>'raw data Crude oil'!M1141</f>
        <v>65.72</v>
      </c>
      <c r="N1140">
        <f>'raw data Crude oil'!N1141</f>
        <v>67.72</v>
      </c>
      <c r="O1140">
        <f>'raw data Crude oil'!O1141</f>
        <v>67.52</v>
      </c>
      <c r="P1140">
        <f>'raw data Crude oil'!P1141</f>
        <v>67.06</v>
      </c>
      <c r="Q1140">
        <f>'raw data Crude oil'!Q1141</f>
        <v>66.47</v>
      </c>
      <c r="R1140">
        <f>'raw data Crude oil'!R1141</f>
        <v>65.87</v>
      </c>
      <c r="S1140">
        <f>'raw data Crude oil'!S1141</f>
        <v>65.290000000000006</v>
      </c>
      <c r="T1140">
        <f>'raw data Crude oil'!T1141</f>
        <v>64.739999999999995</v>
      </c>
      <c r="U1140">
        <f>'raw data Crude oil'!U1141</f>
        <v>64.2</v>
      </c>
      <c r="V1140">
        <f>'raw data Crude oil'!V1141</f>
        <v>63.71</v>
      </c>
      <c r="W1140">
        <f>'raw data Crude oil'!W1141</f>
        <v>63.25</v>
      </c>
      <c r="X1140">
        <f>'raw data Crude oil'!X1141</f>
        <v>62.83</v>
      </c>
      <c r="Y1140">
        <f>'raw data Crude oil'!Y1141</f>
        <v>62.44</v>
      </c>
      <c r="Z1140">
        <f>'raw data Crude oil'!Z1141</f>
        <v>66.313999999999993</v>
      </c>
      <c r="AA1140">
        <f>'raw data Crude oil'!AA1141</f>
        <v>68.468999999999994</v>
      </c>
      <c r="AB1140">
        <f>'raw data Crude oil'!AB1141</f>
        <v>67.570999999999998</v>
      </c>
      <c r="AC1140">
        <f>'raw data Crude oil'!AC1141</f>
        <v>66.989999999999995</v>
      </c>
      <c r="AD1140">
        <f>'raw data Crude oil'!AD1141</f>
        <v>66.486999999999995</v>
      </c>
      <c r="AE1140">
        <f>'raw data Crude oil'!AE1141</f>
        <v>66.016000000000005</v>
      </c>
      <c r="AF1140">
        <f>'raw data Crude oil'!AF1141</f>
        <v>65.596000000000004</v>
      </c>
      <c r="AG1140">
        <f>'raw data Crude oil'!AG1141</f>
        <v>65.171000000000006</v>
      </c>
      <c r="AH1140">
        <f>'raw data Crude oil'!AH1141</f>
        <v>64.802999999999997</v>
      </c>
      <c r="AI1140">
        <f>'raw data Crude oil'!AI1141</f>
        <v>64.444000000000003</v>
      </c>
      <c r="AJ1140">
        <f>'raw data Crude oil'!AJ1141</f>
        <v>64.126000000000005</v>
      </c>
      <c r="AK1140">
        <f>'raw data Crude oil'!AK1141</f>
        <v>63.814999999999998</v>
      </c>
    </row>
    <row r="1141" spans="1:37" x14ac:dyDescent="0.3">
      <c r="A1141" s="18">
        <f>'raw data Crude oil'!A1142</f>
        <v>44349</v>
      </c>
      <c r="B1141">
        <f>'raw data Crude oil'!B1142</f>
        <v>71.349999999999994</v>
      </c>
      <c r="C1141">
        <f>'raw data Crude oil'!C1142</f>
        <v>70.95</v>
      </c>
      <c r="D1141">
        <f>'raw data Crude oil'!D1142</f>
        <v>70.400000000000006</v>
      </c>
      <c r="E1141">
        <f>'raw data Crude oil'!E1142</f>
        <v>69.87</v>
      </c>
      <c r="F1141">
        <f>'raw data Crude oil'!F1142</f>
        <v>69.34</v>
      </c>
      <c r="G1141">
        <f>'raw data Crude oil'!G1142</f>
        <v>68.849999999999994</v>
      </c>
      <c r="H1141">
        <f>'raw data Crude oil'!H1142</f>
        <v>68.38</v>
      </c>
      <c r="I1141">
        <f>'raw data Crude oil'!I1142</f>
        <v>67.95</v>
      </c>
      <c r="J1141">
        <f>'raw data Crude oil'!J1142</f>
        <v>67.55</v>
      </c>
      <c r="K1141">
        <f>'raw data Crude oil'!K1142</f>
        <v>67.19</v>
      </c>
      <c r="L1141">
        <f>'raw data Crude oil'!L1142</f>
        <v>66.83</v>
      </c>
      <c r="M1141">
        <f>'raw data Crude oil'!M1142</f>
        <v>66.489999999999995</v>
      </c>
      <c r="N1141">
        <f>'raw data Crude oil'!N1142</f>
        <v>68.83</v>
      </c>
      <c r="O1141">
        <f>'raw data Crude oil'!O1142</f>
        <v>68.63</v>
      </c>
      <c r="P1141">
        <f>'raw data Crude oil'!P1142</f>
        <v>68.17</v>
      </c>
      <c r="Q1141">
        <f>'raw data Crude oil'!Q1142</f>
        <v>67.55</v>
      </c>
      <c r="R1141">
        <f>'raw data Crude oil'!R1142</f>
        <v>66.92</v>
      </c>
      <c r="S1141">
        <f>'raw data Crude oil'!S1142</f>
        <v>66.3</v>
      </c>
      <c r="T1141">
        <f>'raw data Crude oil'!T1142</f>
        <v>65.709999999999994</v>
      </c>
      <c r="U1141">
        <f>'raw data Crude oil'!U1142</f>
        <v>65.14</v>
      </c>
      <c r="V1141">
        <f>'raw data Crude oil'!V1142</f>
        <v>64.61</v>
      </c>
      <c r="W1141">
        <f>'raw data Crude oil'!W1142</f>
        <v>64.13</v>
      </c>
      <c r="X1141">
        <f>'raw data Crude oil'!X1142</f>
        <v>63.67</v>
      </c>
      <c r="Y1141">
        <f>'raw data Crude oil'!Y1142</f>
        <v>63.23</v>
      </c>
      <c r="Z1141">
        <f>'raw data Crude oil'!Z1142</f>
        <v>69.507000000000005</v>
      </c>
      <c r="AA1141">
        <f>'raw data Crude oil'!AA1142</f>
        <v>68.655000000000001</v>
      </c>
      <c r="AB1141">
        <f>'raw data Crude oil'!AB1142</f>
        <v>68.046000000000006</v>
      </c>
      <c r="AC1141">
        <f>'raw data Crude oil'!AC1142</f>
        <v>67.536000000000001</v>
      </c>
      <c r="AD1141">
        <f>'raw data Crude oil'!AD1142</f>
        <v>67.037000000000006</v>
      </c>
      <c r="AE1141">
        <f>'raw data Crude oil'!AE1142</f>
        <v>66.569000000000003</v>
      </c>
      <c r="AF1141">
        <f>'raw data Crude oil'!AF1142</f>
        <v>66.113</v>
      </c>
      <c r="AG1141">
        <f>'raw data Crude oil'!AG1142</f>
        <v>65.700999999999993</v>
      </c>
      <c r="AH1141">
        <f>'raw data Crude oil'!AH1142</f>
        <v>65.292000000000002</v>
      </c>
      <c r="AI1141">
        <f>'raw data Crude oil'!AI1142</f>
        <v>64.933999999999997</v>
      </c>
      <c r="AJ1141">
        <f>'raw data Crude oil'!AJ1142</f>
        <v>64.613</v>
      </c>
      <c r="AK1141">
        <f>'raw data Crude oil'!AK1142</f>
        <v>64.295000000000002</v>
      </c>
    </row>
    <row r="1142" spans="1:37" x14ac:dyDescent="0.3">
      <c r="A1142" s="18">
        <f>'raw data Crude oil'!A1143</f>
        <v>44350</v>
      </c>
      <c r="B1142">
        <f>'raw data Crude oil'!B1143</f>
        <v>71.31</v>
      </c>
      <c r="C1142">
        <f>'raw data Crude oil'!C1143</f>
        <v>70.89</v>
      </c>
      <c r="D1142">
        <f>'raw data Crude oil'!D1143</f>
        <v>70.34</v>
      </c>
      <c r="E1142">
        <f>'raw data Crude oil'!E1143</f>
        <v>69.81</v>
      </c>
      <c r="F1142">
        <f>'raw data Crude oil'!F1143</f>
        <v>69.28</v>
      </c>
      <c r="G1142">
        <f>'raw data Crude oil'!G1143</f>
        <v>68.8</v>
      </c>
      <c r="H1142">
        <f>'raw data Crude oil'!H1143</f>
        <v>68.34</v>
      </c>
      <c r="I1142">
        <f>'raw data Crude oil'!I1143</f>
        <v>67.92</v>
      </c>
      <c r="J1142">
        <f>'raw data Crude oil'!J1143</f>
        <v>67.53</v>
      </c>
      <c r="K1142">
        <f>'raw data Crude oil'!K1143</f>
        <v>67.16</v>
      </c>
      <c r="L1142">
        <f>'raw data Crude oil'!L1143</f>
        <v>66.790000000000006</v>
      </c>
      <c r="M1142">
        <f>'raw data Crude oil'!M1143</f>
        <v>66.459999999999994</v>
      </c>
      <c r="N1142">
        <f>'raw data Crude oil'!N1143</f>
        <v>68.81</v>
      </c>
      <c r="O1142">
        <f>'raw data Crude oil'!O1143</f>
        <v>68.599999999999994</v>
      </c>
      <c r="P1142">
        <f>'raw data Crude oil'!P1143</f>
        <v>68.14</v>
      </c>
      <c r="Q1142">
        <f>'raw data Crude oil'!Q1143</f>
        <v>67.53</v>
      </c>
      <c r="R1142">
        <f>'raw data Crude oil'!R1143</f>
        <v>66.900000000000006</v>
      </c>
      <c r="S1142">
        <f>'raw data Crude oil'!S1143</f>
        <v>66.28</v>
      </c>
      <c r="T1142">
        <f>'raw data Crude oil'!T1143</f>
        <v>65.69</v>
      </c>
      <c r="U1142">
        <f>'raw data Crude oil'!U1143</f>
        <v>65.12</v>
      </c>
      <c r="V1142">
        <f>'raw data Crude oil'!V1143</f>
        <v>64.59</v>
      </c>
      <c r="W1142">
        <f>'raw data Crude oil'!W1143</f>
        <v>64.099999999999994</v>
      </c>
      <c r="X1142">
        <f>'raw data Crude oil'!X1143</f>
        <v>63.64</v>
      </c>
      <c r="Y1142">
        <f>'raw data Crude oil'!Y1143</f>
        <v>63.22</v>
      </c>
      <c r="Z1142">
        <f>'raw data Crude oil'!Z1143</f>
        <v>69.433999999999997</v>
      </c>
      <c r="AA1142">
        <f>'raw data Crude oil'!AA1143</f>
        <v>68.584999999999994</v>
      </c>
      <c r="AB1142">
        <f>'raw data Crude oil'!AB1143</f>
        <v>67.936000000000007</v>
      </c>
      <c r="AC1142">
        <f>'raw data Crude oil'!AC1143</f>
        <v>67.436000000000007</v>
      </c>
      <c r="AD1142">
        <f>'raw data Crude oil'!AD1143</f>
        <v>66.947000000000003</v>
      </c>
      <c r="AE1142">
        <f>'raw data Crude oil'!AE1143</f>
        <v>66.498999999999995</v>
      </c>
      <c r="AF1142">
        <f>'raw data Crude oil'!AF1143</f>
        <v>66.063000000000002</v>
      </c>
      <c r="AG1142">
        <f>'raw data Crude oil'!AG1143</f>
        <v>65.661000000000001</v>
      </c>
      <c r="AH1142">
        <f>'raw data Crude oil'!AH1143</f>
        <v>65.262</v>
      </c>
      <c r="AI1142">
        <f>'raw data Crude oil'!AI1143</f>
        <v>64.884</v>
      </c>
      <c r="AJ1142">
        <f>'raw data Crude oil'!AJ1143</f>
        <v>64.563999999999993</v>
      </c>
      <c r="AK1142">
        <f>'raw data Crude oil'!AK1143</f>
        <v>64.245000000000005</v>
      </c>
    </row>
    <row r="1143" spans="1:37" x14ac:dyDescent="0.3">
      <c r="A1143" s="18">
        <f>'raw data Crude oil'!A1144</f>
        <v>44351</v>
      </c>
      <c r="B1143">
        <f>'raw data Crude oil'!B1144</f>
        <v>71.89</v>
      </c>
      <c r="C1143">
        <f>'raw data Crude oil'!C1144</f>
        <v>71.489999999999995</v>
      </c>
      <c r="D1143">
        <f>'raw data Crude oil'!D1144</f>
        <v>70.92</v>
      </c>
      <c r="E1143">
        <f>'raw data Crude oil'!E1144</f>
        <v>70.39</v>
      </c>
      <c r="F1143">
        <f>'raw data Crude oil'!F1144</f>
        <v>69.87</v>
      </c>
      <c r="G1143">
        <f>'raw data Crude oil'!G1144</f>
        <v>69.38</v>
      </c>
      <c r="H1143">
        <f>'raw data Crude oil'!H1144</f>
        <v>68.92</v>
      </c>
      <c r="I1143">
        <f>'raw data Crude oil'!I1144</f>
        <v>68.489999999999995</v>
      </c>
      <c r="J1143">
        <f>'raw data Crude oil'!J1144</f>
        <v>68.09</v>
      </c>
      <c r="K1143">
        <f>'raw data Crude oil'!K1144</f>
        <v>67.72</v>
      </c>
      <c r="L1143">
        <f>'raw data Crude oil'!L1144</f>
        <v>67.349999999999994</v>
      </c>
      <c r="M1143">
        <f>'raw data Crude oil'!M1144</f>
        <v>67.010000000000005</v>
      </c>
      <c r="N1143">
        <f>'raw data Crude oil'!N1144</f>
        <v>69.62</v>
      </c>
      <c r="O1143">
        <f>'raw data Crude oil'!O1144</f>
        <v>69.39</v>
      </c>
      <c r="P1143">
        <f>'raw data Crude oil'!P1144</f>
        <v>68.89</v>
      </c>
      <c r="Q1143">
        <f>'raw data Crude oil'!Q1144</f>
        <v>68.23</v>
      </c>
      <c r="R1143">
        <f>'raw data Crude oil'!R1144</f>
        <v>67.569999999999993</v>
      </c>
      <c r="S1143">
        <f>'raw data Crude oil'!S1144</f>
        <v>66.930000000000007</v>
      </c>
      <c r="T1143">
        <f>'raw data Crude oil'!T1144</f>
        <v>66.319999999999993</v>
      </c>
      <c r="U1143">
        <f>'raw data Crude oil'!U1144</f>
        <v>65.739999999999995</v>
      </c>
      <c r="V1143">
        <f>'raw data Crude oil'!V1144</f>
        <v>65.2</v>
      </c>
      <c r="W1143">
        <f>'raw data Crude oil'!W1144</f>
        <v>64.7</v>
      </c>
      <c r="X1143">
        <f>'raw data Crude oil'!X1144</f>
        <v>64.23</v>
      </c>
      <c r="Y1143">
        <f>'raw data Crude oil'!Y1144</f>
        <v>63.8</v>
      </c>
      <c r="Z1143">
        <f>'raw data Crude oil'!Z1144</f>
        <v>70.081000000000003</v>
      </c>
      <c r="AA1143">
        <f>'raw data Crude oil'!AA1144</f>
        <v>69.284000000000006</v>
      </c>
      <c r="AB1143">
        <f>'raw data Crude oil'!AB1144</f>
        <v>68.566000000000003</v>
      </c>
      <c r="AC1143">
        <f>'raw data Crude oil'!AC1144</f>
        <v>68.036000000000001</v>
      </c>
      <c r="AD1143">
        <f>'raw data Crude oil'!AD1144</f>
        <v>67.537000000000006</v>
      </c>
      <c r="AE1143">
        <f>'raw data Crude oil'!AE1144</f>
        <v>67.069000000000003</v>
      </c>
      <c r="AF1143">
        <f>'raw data Crude oil'!AF1144</f>
        <v>66.632999999999996</v>
      </c>
      <c r="AG1143">
        <f>'raw data Crude oil'!AG1144</f>
        <v>66.230999999999995</v>
      </c>
      <c r="AH1143">
        <f>'raw data Crude oil'!AH1144</f>
        <v>65.822000000000003</v>
      </c>
      <c r="AI1143">
        <f>'raw data Crude oil'!AI1144</f>
        <v>65.444000000000003</v>
      </c>
      <c r="AJ1143">
        <f>'raw data Crude oil'!AJ1144</f>
        <v>65.113</v>
      </c>
      <c r="AK1143">
        <f>'raw data Crude oil'!AK1144</f>
        <v>64.784999999999997</v>
      </c>
    </row>
    <row r="1144" spans="1:37" x14ac:dyDescent="0.3">
      <c r="A1144" s="18">
        <f>'raw data Crude oil'!A1145</f>
        <v>44354</v>
      </c>
      <c r="B1144">
        <f>'raw data Crude oil'!B1145</f>
        <v>71.489999999999995</v>
      </c>
      <c r="C1144">
        <f>'raw data Crude oil'!C1145</f>
        <v>71.11</v>
      </c>
      <c r="D1144">
        <f>'raw data Crude oil'!D1145</f>
        <v>70.58</v>
      </c>
      <c r="E1144">
        <f>'raw data Crude oil'!E1145</f>
        <v>70.069999999999993</v>
      </c>
      <c r="F1144">
        <f>'raw data Crude oil'!F1145</f>
        <v>69.58</v>
      </c>
      <c r="G1144">
        <f>'raw data Crude oil'!G1145</f>
        <v>69.13</v>
      </c>
      <c r="H1144">
        <f>'raw data Crude oil'!H1145</f>
        <v>68.7</v>
      </c>
      <c r="I1144">
        <f>'raw data Crude oil'!I1145</f>
        <v>68.3</v>
      </c>
      <c r="J1144">
        <f>'raw data Crude oil'!J1145</f>
        <v>67.92</v>
      </c>
      <c r="K1144">
        <f>'raw data Crude oil'!K1145</f>
        <v>67.569999999999993</v>
      </c>
      <c r="L1144">
        <f>'raw data Crude oil'!L1145</f>
        <v>67.23</v>
      </c>
      <c r="M1144">
        <f>'raw data Crude oil'!M1145</f>
        <v>66.91</v>
      </c>
      <c r="N1144">
        <f>'raw data Crude oil'!N1145</f>
        <v>69.23</v>
      </c>
      <c r="O1144">
        <f>'raw data Crude oil'!O1145</f>
        <v>69.040000000000006</v>
      </c>
      <c r="P1144">
        <f>'raw data Crude oil'!P1145</f>
        <v>68.59</v>
      </c>
      <c r="Q1144">
        <f>'raw data Crude oil'!Q1145</f>
        <v>67.97</v>
      </c>
      <c r="R1144">
        <f>'raw data Crude oil'!R1145</f>
        <v>67.36</v>
      </c>
      <c r="S1144">
        <f>'raw data Crude oil'!S1145</f>
        <v>66.760000000000005</v>
      </c>
      <c r="T1144">
        <f>'raw data Crude oil'!T1145</f>
        <v>66.19</v>
      </c>
      <c r="U1144">
        <f>'raw data Crude oil'!U1145</f>
        <v>65.64</v>
      </c>
      <c r="V1144">
        <f>'raw data Crude oil'!V1145</f>
        <v>65.14</v>
      </c>
      <c r="W1144">
        <f>'raw data Crude oil'!W1145</f>
        <v>64.66</v>
      </c>
      <c r="X1144">
        <f>'raw data Crude oil'!X1145</f>
        <v>64.209999999999994</v>
      </c>
      <c r="Y1144">
        <f>'raw data Crude oil'!Y1145</f>
        <v>63.8</v>
      </c>
      <c r="Z1144">
        <f>'raw data Crude oil'!Z1145</f>
        <v>69.885000000000005</v>
      </c>
      <c r="AA1144">
        <f>'raw data Crude oil'!AA1145</f>
        <v>68.951999999999998</v>
      </c>
      <c r="AB1144">
        <f>'raw data Crude oil'!AB1145</f>
        <v>68.227000000000004</v>
      </c>
      <c r="AC1144">
        <f>'raw data Crude oil'!AC1145</f>
        <v>67.707999999999998</v>
      </c>
      <c r="AD1144">
        <f>'raw data Crude oil'!AD1145</f>
        <v>67.233999999999995</v>
      </c>
      <c r="AE1144">
        <f>'raw data Crude oil'!AE1145</f>
        <v>66.790000000000006</v>
      </c>
      <c r="AF1144">
        <f>'raw data Crude oil'!AF1145</f>
        <v>66.364999999999995</v>
      </c>
      <c r="AG1144">
        <f>'raw data Crude oil'!AG1145</f>
        <v>65.981999999999999</v>
      </c>
      <c r="AH1144">
        <f>'raw data Crude oil'!AH1145</f>
        <v>65.623000000000005</v>
      </c>
      <c r="AI1144">
        <f>'raw data Crude oil'!AI1145</f>
        <v>65.305000000000007</v>
      </c>
      <c r="AJ1144">
        <f>'raw data Crude oil'!AJ1145</f>
        <v>64.994</v>
      </c>
      <c r="AK1144">
        <f>'raw data Crude oil'!AK1145</f>
        <v>64.676000000000002</v>
      </c>
    </row>
    <row r="1145" spans="1:37" x14ac:dyDescent="0.3">
      <c r="A1145" s="18">
        <f>'raw data Crude oil'!A1146</f>
        <v>44355</v>
      </c>
      <c r="B1145">
        <f>'raw data Crude oil'!B1146</f>
        <v>72.22</v>
      </c>
      <c r="C1145">
        <f>'raw data Crude oil'!C1146</f>
        <v>71.81</v>
      </c>
      <c r="D1145">
        <f>'raw data Crude oil'!D1146</f>
        <v>71.25</v>
      </c>
      <c r="E1145">
        <f>'raw data Crude oil'!E1146</f>
        <v>70.709999999999994</v>
      </c>
      <c r="F1145">
        <f>'raw data Crude oil'!F1146</f>
        <v>70.180000000000007</v>
      </c>
      <c r="G1145">
        <f>'raw data Crude oil'!G1146</f>
        <v>69.709999999999994</v>
      </c>
      <c r="H1145">
        <f>'raw data Crude oil'!H1146</f>
        <v>69.260000000000005</v>
      </c>
      <c r="I1145">
        <f>'raw data Crude oil'!I1146</f>
        <v>68.849999999999994</v>
      </c>
      <c r="J1145">
        <f>'raw data Crude oil'!J1146</f>
        <v>68.459999999999994</v>
      </c>
      <c r="K1145">
        <f>'raw data Crude oil'!K1146</f>
        <v>68.11</v>
      </c>
      <c r="L1145">
        <f>'raw data Crude oil'!L1146</f>
        <v>67.760000000000005</v>
      </c>
      <c r="M1145">
        <f>'raw data Crude oil'!M1146</f>
        <v>67.44</v>
      </c>
      <c r="N1145">
        <f>'raw data Crude oil'!N1146</f>
        <v>70.05</v>
      </c>
      <c r="O1145">
        <f>'raw data Crude oil'!O1146</f>
        <v>69.87</v>
      </c>
      <c r="P1145">
        <f>'raw data Crude oil'!P1146</f>
        <v>69.400000000000006</v>
      </c>
      <c r="Q1145">
        <f>'raw data Crude oil'!Q1146</f>
        <v>68.75</v>
      </c>
      <c r="R1145">
        <f>'raw data Crude oil'!R1146</f>
        <v>68.11</v>
      </c>
      <c r="S1145">
        <f>'raw data Crude oil'!S1146</f>
        <v>67.48</v>
      </c>
      <c r="T1145">
        <f>'raw data Crude oil'!T1146</f>
        <v>66.88</v>
      </c>
      <c r="U1145">
        <f>'raw data Crude oil'!U1146</f>
        <v>66.31</v>
      </c>
      <c r="V1145">
        <f>'raw data Crude oil'!V1146</f>
        <v>65.790000000000006</v>
      </c>
      <c r="W1145">
        <f>'raw data Crude oil'!W1146</f>
        <v>65.3</v>
      </c>
      <c r="X1145">
        <f>'raw data Crude oil'!X1146</f>
        <v>64.83</v>
      </c>
      <c r="Y1145">
        <f>'raw data Crude oil'!Y1146</f>
        <v>64.400000000000006</v>
      </c>
      <c r="Z1145">
        <f>'raw data Crude oil'!Z1146</f>
        <v>70.322999999999993</v>
      </c>
      <c r="AA1145">
        <f>'raw data Crude oil'!AA1146</f>
        <v>69.625</v>
      </c>
      <c r="AB1145">
        <f>'raw data Crude oil'!AB1146</f>
        <v>68.885000000000005</v>
      </c>
      <c r="AC1145">
        <f>'raw data Crude oil'!AC1146</f>
        <v>68.344999999999999</v>
      </c>
      <c r="AD1145">
        <f>'raw data Crude oil'!AD1146</f>
        <v>67.828000000000003</v>
      </c>
      <c r="AE1145">
        <f>'raw data Crude oil'!AE1146</f>
        <v>67.37</v>
      </c>
      <c r="AF1145">
        <f>'raw data Crude oil'!AF1146</f>
        <v>66.944000000000003</v>
      </c>
      <c r="AG1145">
        <f>'raw data Crude oil'!AG1146</f>
        <v>66.551000000000002</v>
      </c>
      <c r="AH1145">
        <f>'raw data Crude oil'!AH1146</f>
        <v>66.162999999999997</v>
      </c>
      <c r="AI1145">
        <f>'raw data Crude oil'!AI1146</f>
        <v>65.844999999999999</v>
      </c>
      <c r="AJ1145">
        <f>'raw data Crude oil'!AJ1146</f>
        <v>65.524000000000001</v>
      </c>
      <c r="AK1145">
        <f>'raw data Crude oil'!AK1146</f>
        <v>65.206000000000003</v>
      </c>
    </row>
    <row r="1146" spans="1:37" x14ac:dyDescent="0.3">
      <c r="A1146" s="18">
        <f>'raw data Crude oil'!A1147</f>
        <v>44356</v>
      </c>
      <c r="B1146">
        <f>'raw data Crude oil'!B1147</f>
        <v>72.22</v>
      </c>
      <c r="C1146">
        <f>'raw data Crude oil'!C1147</f>
        <v>71.75</v>
      </c>
      <c r="D1146">
        <f>'raw data Crude oil'!D1147</f>
        <v>71.17</v>
      </c>
      <c r="E1146">
        <f>'raw data Crude oil'!E1147</f>
        <v>70.62</v>
      </c>
      <c r="F1146">
        <f>'raw data Crude oil'!F1147</f>
        <v>70.099999999999994</v>
      </c>
      <c r="G1146">
        <f>'raw data Crude oil'!G1147</f>
        <v>69.63</v>
      </c>
      <c r="H1146">
        <f>'raw data Crude oil'!H1147</f>
        <v>69.19</v>
      </c>
      <c r="I1146">
        <f>'raw data Crude oil'!I1147</f>
        <v>68.78</v>
      </c>
      <c r="J1146">
        <f>'raw data Crude oil'!J1147</f>
        <v>68.400000000000006</v>
      </c>
      <c r="K1146">
        <f>'raw data Crude oil'!K1147</f>
        <v>68.05</v>
      </c>
      <c r="L1146">
        <f>'raw data Crude oil'!L1147</f>
        <v>67.7</v>
      </c>
      <c r="M1146">
        <f>'raw data Crude oil'!M1147</f>
        <v>67.39</v>
      </c>
      <c r="N1146">
        <f>'raw data Crude oil'!N1147</f>
        <v>69.959999999999994</v>
      </c>
      <c r="O1146">
        <f>'raw data Crude oil'!O1147</f>
        <v>69.790000000000006</v>
      </c>
      <c r="P1146">
        <f>'raw data Crude oil'!P1147</f>
        <v>69.33</v>
      </c>
      <c r="Q1146">
        <f>'raw data Crude oil'!Q1147</f>
        <v>68.680000000000007</v>
      </c>
      <c r="R1146">
        <f>'raw data Crude oil'!R1147</f>
        <v>68.05</v>
      </c>
      <c r="S1146">
        <f>'raw data Crude oil'!S1147</f>
        <v>67.44</v>
      </c>
      <c r="T1146">
        <f>'raw data Crude oil'!T1147</f>
        <v>66.86</v>
      </c>
      <c r="U1146">
        <f>'raw data Crude oil'!U1147</f>
        <v>66.31</v>
      </c>
      <c r="V1146">
        <f>'raw data Crude oil'!V1147</f>
        <v>65.8</v>
      </c>
      <c r="W1146">
        <f>'raw data Crude oil'!W1147</f>
        <v>65.319999999999993</v>
      </c>
      <c r="X1146">
        <f>'raw data Crude oil'!X1147</f>
        <v>64.87</v>
      </c>
      <c r="Y1146">
        <f>'raw data Crude oil'!Y1147</f>
        <v>64.45</v>
      </c>
      <c r="Z1146">
        <f>'raw data Crude oil'!Z1147</f>
        <v>70.344999999999999</v>
      </c>
      <c r="AA1146">
        <f>'raw data Crude oil'!AA1147</f>
        <v>69.653999999999996</v>
      </c>
      <c r="AB1146">
        <f>'raw data Crude oil'!AB1147</f>
        <v>68.864999999999995</v>
      </c>
      <c r="AC1146">
        <f>'raw data Crude oil'!AC1147</f>
        <v>68.275999999999996</v>
      </c>
      <c r="AD1146">
        <f>'raw data Crude oil'!AD1147</f>
        <v>67.768000000000001</v>
      </c>
      <c r="AE1146">
        <f>'raw data Crude oil'!AE1147</f>
        <v>67.3</v>
      </c>
      <c r="AF1146">
        <f>'raw data Crude oil'!AF1147</f>
        <v>66.853999999999999</v>
      </c>
      <c r="AG1146">
        <f>'raw data Crude oil'!AG1147</f>
        <v>66.432000000000002</v>
      </c>
      <c r="AH1146">
        <f>'raw data Crude oil'!AH1147</f>
        <v>66.093000000000004</v>
      </c>
      <c r="AI1146">
        <f>'raw data Crude oil'!AI1147</f>
        <v>65.765000000000001</v>
      </c>
      <c r="AJ1146">
        <f>'raw data Crude oil'!AJ1147</f>
        <v>65.465000000000003</v>
      </c>
      <c r="AK1146">
        <f>'raw data Crude oil'!AK1147</f>
        <v>65.156000000000006</v>
      </c>
    </row>
    <row r="1147" spans="1:37" x14ac:dyDescent="0.3">
      <c r="A1147" s="18">
        <f>'raw data Crude oil'!A1148</f>
        <v>44357</v>
      </c>
      <c r="B1147">
        <f>'raw data Crude oil'!B1148</f>
        <v>72.52</v>
      </c>
      <c r="C1147">
        <f>'raw data Crude oil'!C1148</f>
        <v>71.98</v>
      </c>
      <c r="D1147">
        <f>'raw data Crude oil'!D1148</f>
        <v>71.37</v>
      </c>
      <c r="E1147">
        <f>'raw data Crude oil'!E1148</f>
        <v>70.8</v>
      </c>
      <c r="F1147">
        <f>'raw data Crude oil'!F1148</f>
        <v>70.260000000000005</v>
      </c>
      <c r="G1147">
        <f>'raw data Crude oil'!G1148</f>
        <v>69.78</v>
      </c>
      <c r="H1147">
        <f>'raw data Crude oil'!H1148</f>
        <v>69.34</v>
      </c>
      <c r="I1147">
        <f>'raw data Crude oil'!I1148</f>
        <v>68.92</v>
      </c>
      <c r="J1147">
        <f>'raw data Crude oil'!J1148</f>
        <v>68.540000000000006</v>
      </c>
      <c r="K1147">
        <f>'raw data Crude oil'!K1148</f>
        <v>68.180000000000007</v>
      </c>
      <c r="L1147">
        <f>'raw data Crude oil'!L1148</f>
        <v>67.83</v>
      </c>
      <c r="M1147">
        <f>'raw data Crude oil'!M1148</f>
        <v>67.5</v>
      </c>
      <c r="N1147">
        <f>'raw data Crude oil'!N1148</f>
        <v>70.290000000000006</v>
      </c>
      <c r="O1147">
        <f>'raw data Crude oil'!O1148</f>
        <v>70.09</v>
      </c>
      <c r="P1147">
        <f>'raw data Crude oil'!P1148</f>
        <v>69.58</v>
      </c>
      <c r="Q1147">
        <f>'raw data Crude oil'!Q1148</f>
        <v>68.89</v>
      </c>
      <c r="R1147">
        <f>'raw data Crude oil'!R1148</f>
        <v>68.239999999999995</v>
      </c>
      <c r="S1147">
        <f>'raw data Crude oil'!S1148</f>
        <v>67.61</v>
      </c>
      <c r="T1147">
        <f>'raw data Crude oil'!T1148</f>
        <v>67.02</v>
      </c>
      <c r="U1147">
        <f>'raw data Crude oil'!U1148</f>
        <v>66.47</v>
      </c>
      <c r="V1147">
        <f>'raw data Crude oil'!V1148</f>
        <v>65.959999999999994</v>
      </c>
      <c r="W1147">
        <f>'raw data Crude oil'!W1148</f>
        <v>65.47</v>
      </c>
      <c r="X1147">
        <f>'raw data Crude oil'!X1148</f>
        <v>65.02</v>
      </c>
      <c r="Y1147">
        <f>'raw data Crude oil'!Y1148</f>
        <v>64.599999999999994</v>
      </c>
      <c r="Z1147">
        <f>'raw data Crude oil'!Z1148</f>
        <v>70.492999999999995</v>
      </c>
      <c r="AA1147">
        <f>'raw data Crude oil'!AA1148</f>
        <v>69.861999999999995</v>
      </c>
      <c r="AB1147">
        <f>'raw data Crude oil'!AB1148</f>
        <v>69.063999999999993</v>
      </c>
      <c r="AC1147">
        <f>'raw data Crude oil'!AC1148</f>
        <v>68.454999999999998</v>
      </c>
      <c r="AD1147">
        <f>'raw data Crude oil'!AD1148</f>
        <v>67.917000000000002</v>
      </c>
      <c r="AE1147">
        <f>'raw data Crude oil'!AE1148</f>
        <v>67.45</v>
      </c>
      <c r="AF1147">
        <f>'raw data Crude oil'!AF1148</f>
        <v>67.003</v>
      </c>
      <c r="AG1147">
        <f>'raw data Crude oil'!AG1148</f>
        <v>66.572000000000003</v>
      </c>
      <c r="AH1147">
        <f>'raw data Crude oil'!AH1148</f>
        <v>66.231999999999999</v>
      </c>
      <c r="AI1147">
        <f>'raw data Crude oil'!AI1148</f>
        <v>65.894999999999996</v>
      </c>
      <c r="AJ1147">
        <f>'raw data Crude oil'!AJ1148</f>
        <v>65.593999999999994</v>
      </c>
      <c r="AK1147">
        <f>'raw data Crude oil'!AK1148</f>
        <v>65.266000000000005</v>
      </c>
    </row>
    <row r="1148" spans="1:37" x14ac:dyDescent="0.3">
      <c r="A1148" s="18">
        <f>'raw data Crude oil'!A1149</f>
        <v>44358</v>
      </c>
      <c r="B1148">
        <f>'raw data Crude oil'!B1149</f>
        <v>72.69</v>
      </c>
      <c r="C1148">
        <f>'raw data Crude oil'!C1149</f>
        <v>72.11</v>
      </c>
      <c r="D1148">
        <f>'raw data Crude oil'!D1149</f>
        <v>71.47</v>
      </c>
      <c r="E1148">
        <f>'raw data Crude oil'!E1149</f>
        <v>70.89</v>
      </c>
      <c r="F1148">
        <f>'raw data Crude oil'!F1149</f>
        <v>70.36</v>
      </c>
      <c r="G1148">
        <f>'raw data Crude oil'!G1149</f>
        <v>69.88</v>
      </c>
      <c r="H1148">
        <f>'raw data Crude oil'!H1149</f>
        <v>69.44</v>
      </c>
      <c r="I1148">
        <f>'raw data Crude oil'!I1149</f>
        <v>69.02</v>
      </c>
      <c r="J1148">
        <f>'raw data Crude oil'!J1149</f>
        <v>68.63</v>
      </c>
      <c r="K1148">
        <f>'raw data Crude oil'!K1149</f>
        <v>68.260000000000005</v>
      </c>
      <c r="L1148">
        <f>'raw data Crude oil'!L1149</f>
        <v>67.900000000000006</v>
      </c>
      <c r="M1148">
        <f>'raw data Crude oil'!M1149</f>
        <v>67.569999999999993</v>
      </c>
      <c r="N1148">
        <f>'raw data Crude oil'!N1149</f>
        <v>70.91</v>
      </c>
      <c r="O1148">
        <f>'raw data Crude oil'!O1149</f>
        <v>70.599999999999994</v>
      </c>
      <c r="P1148">
        <f>'raw data Crude oil'!P1149</f>
        <v>69.92</v>
      </c>
      <c r="Q1148">
        <f>'raw data Crude oil'!Q1149</f>
        <v>69.16</v>
      </c>
      <c r="R1148">
        <f>'raw data Crude oil'!R1149</f>
        <v>68.48</v>
      </c>
      <c r="S1148">
        <f>'raw data Crude oil'!S1149</f>
        <v>67.84</v>
      </c>
      <c r="T1148">
        <f>'raw data Crude oil'!T1149</f>
        <v>67.239999999999995</v>
      </c>
      <c r="U1148">
        <f>'raw data Crude oil'!U1149</f>
        <v>66.680000000000007</v>
      </c>
      <c r="V1148">
        <f>'raw data Crude oil'!V1149</f>
        <v>66.17</v>
      </c>
      <c r="W1148">
        <f>'raw data Crude oil'!W1149</f>
        <v>65.67</v>
      </c>
      <c r="X1148">
        <f>'raw data Crude oil'!X1149</f>
        <v>65.2</v>
      </c>
      <c r="Y1148">
        <f>'raw data Crude oil'!Y1149</f>
        <v>64.760000000000005</v>
      </c>
      <c r="Z1148">
        <f>'raw data Crude oil'!Z1149</f>
        <v>70.656000000000006</v>
      </c>
      <c r="AA1148">
        <f>'raw data Crude oil'!AA1149</f>
        <v>70.100999999999999</v>
      </c>
      <c r="AB1148">
        <f>'raw data Crude oil'!AB1149</f>
        <v>69.263999999999996</v>
      </c>
      <c r="AC1148">
        <f>'raw data Crude oil'!AC1149</f>
        <v>68.600999999999999</v>
      </c>
      <c r="AD1148">
        <f>'raw data Crude oil'!AD1149</f>
        <v>68.061000000000007</v>
      </c>
      <c r="AE1148">
        <f>'raw data Crude oil'!AE1149</f>
        <v>67.566999999999993</v>
      </c>
      <c r="AF1148">
        <f>'raw data Crude oil'!AF1149</f>
        <v>67.123000000000005</v>
      </c>
      <c r="AG1148">
        <f>'raw data Crude oil'!AG1149</f>
        <v>66.700999999999993</v>
      </c>
      <c r="AH1148">
        <f>'raw data Crude oil'!AH1149</f>
        <v>66.322000000000003</v>
      </c>
      <c r="AI1148">
        <f>'raw data Crude oil'!AI1149</f>
        <v>65.974000000000004</v>
      </c>
      <c r="AJ1148">
        <f>'raw data Crude oil'!AJ1149</f>
        <v>65.664000000000001</v>
      </c>
      <c r="AK1148">
        <f>'raw data Crude oil'!AK1149</f>
        <v>65.334999999999994</v>
      </c>
    </row>
    <row r="1149" spans="1:37" x14ac:dyDescent="0.3">
      <c r="A1149" s="18">
        <f>'raw data Crude oil'!A1150</f>
        <v>44361</v>
      </c>
      <c r="B1149">
        <f>'raw data Crude oil'!B1150</f>
        <v>72.86</v>
      </c>
      <c r="C1149">
        <f>'raw data Crude oil'!C1150</f>
        <v>72.290000000000006</v>
      </c>
      <c r="D1149">
        <f>'raw data Crude oil'!D1150</f>
        <v>71.63</v>
      </c>
      <c r="E1149">
        <f>'raw data Crude oil'!E1150</f>
        <v>71.05</v>
      </c>
      <c r="F1149">
        <f>'raw data Crude oil'!F1150</f>
        <v>70.510000000000005</v>
      </c>
      <c r="G1149">
        <f>'raw data Crude oil'!G1150</f>
        <v>70.02</v>
      </c>
      <c r="H1149">
        <f>'raw data Crude oil'!H1150</f>
        <v>69.569999999999993</v>
      </c>
      <c r="I1149">
        <f>'raw data Crude oil'!I1150</f>
        <v>69.14</v>
      </c>
      <c r="J1149">
        <f>'raw data Crude oil'!J1150</f>
        <v>68.739999999999995</v>
      </c>
      <c r="K1149">
        <f>'raw data Crude oil'!K1150</f>
        <v>68.349999999999994</v>
      </c>
      <c r="L1149">
        <f>'raw data Crude oil'!L1150</f>
        <v>67.98</v>
      </c>
      <c r="M1149">
        <f>'raw data Crude oil'!M1150</f>
        <v>67.63</v>
      </c>
      <c r="N1149">
        <f>'raw data Crude oil'!N1150</f>
        <v>70.88</v>
      </c>
      <c r="O1149">
        <f>'raw data Crude oil'!O1150</f>
        <v>70.63</v>
      </c>
      <c r="P1149">
        <f>'raw data Crude oil'!P1150</f>
        <v>70</v>
      </c>
      <c r="Q1149">
        <f>'raw data Crude oil'!Q1150</f>
        <v>69.290000000000006</v>
      </c>
      <c r="R1149">
        <f>'raw data Crude oil'!R1150</f>
        <v>68.63</v>
      </c>
      <c r="S1149">
        <f>'raw data Crude oil'!S1150</f>
        <v>68</v>
      </c>
      <c r="T1149">
        <f>'raw data Crude oil'!T1150</f>
        <v>67.41</v>
      </c>
      <c r="U1149">
        <f>'raw data Crude oil'!U1150</f>
        <v>66.849999999999994</v>
      </c>
      <c r="V1149">
        <f>'raw data Crude oil'!V1150</f>
        <v>66.319999999999993</v>
      </c>
      <c r="W1149">
        <f>'raw data Crude oil'!W1150</f>
        <v>65.819999999999993</v>
      </c>
      <c r="X1149">
        <f>'raw data Crude oil'!X1150</f>
        <v>65.34</v>
      </c>
      <c r="Y1149">
        <f>'raw data Crude oil'!Y1150</f>
        <v>64.89</v>
      </c>
      <c r="Z1149">
        <f>'raw data Crude oil'!Z1150</f>
        <v>70.863</v>
      </c>
      <c r="AA1149">
        <f>'raw data Crude oil'!AA1150</f>
        <v>70.319999999999993</v>
      </c>
      <c r="AB1149">
        <f>'raw data Crude oil'!AB1150</f>
        <v>69.435000000000002</v>
      </c>
      <c r="AC1149">
        <f>'raw data Crude oil'!AC1150</f>
        <v>68.734999999999999</v>
      </c>
      <c r="AD1149">
        <f>'raw data Crude oil'!AD1150</f>
        <v>68.183000000000007</v>
      </c>
      <c r="AE1149">
        <f>'raw data Crude oil'!AE1150</f>
        <v>67.682000000000002</v>
      </c>
      <c r="AF1149">
        <f>'raw data Crude oil'!AF1150</f>
        <v>67.210999999999999</v>
      </c>
      <c r="AG1149">
        <f>'raw data Crude oil'!AG1150</f>
        <v>66.790999999999997</v>
      </c>
      <c r="AH1149">
        <f>'raw data Crude oil'!AH1150</f>
        <v>66.421000000000006</v>
      </c>
      <c r="AI1149">
        <f>'raw data Crude oil'!AI1150</f>
        <v>66.054000000000002</v>
      </c>
      <c r="AJ1149">
        <f>'raw data Crude oil'!AJ1150</f>
        <v>65.703000000000003</v>
      </c>
      <c r="AK1149">
        <f>'raw data Crude oil'!AK1150</f>
        <v>65.394999999999996</v>
      </c>
    </row>
    <row r="1150" spans="1:37" x14ac:dyDescent="0.3">
      <c r="A1150" s="18">
        <f>'raw data Crude oil'!A1151</f>
        <v>44362</v>
      </c>
      <c r="B1150">
        <f>'raw data Crude oil'!B1151</f>
        <v>73.989999999999995</v>
      </c>
      <c r="C1150">
        <f>'raw data Crude oil'!C1151</f>
        <v>73.3</v>
      </c>
      <c r="D1150">
        <f>'raw data Crude oil'!D1151</f>
        <v>72.59</v>
      </c>
      <c r="E1150">
        <f>'raw data Crude oil'!E1151</f>
        <v>71.95</v>
      </c>
      <c r="F1150">
        <f>'raw data Crude oil'!F1151</f>
        <v>71.37</v>
      </c>
      <c r="G1150">
        <f>'raw data Crude oil'!G1151</f>
        <v>70.83</v>
      </c>
      <c r="H1150">
        <f>'raw data Crude oil'!H1151</f>
        <v>70.33</v>
      </c>
      <c r="I1150">
        <f>'raw data Crude oil'!I1151</f>
        <v>69.86</v>
      </c>
      <c r="J1150">
        <f>'raw data Crude oil'!J1151</f>
        <v>69.42</v>
      </c>
      <c r="K1150">
        <f>'raw data Crude oil'!K1151</f>
        <v>69</v>
      </c>
      <c r="L1150">
        <f>'raw data Crude oil'!L1151</f>
        <v>68.59</v>
      </c>
      <c r="M1150">
        <f>'raw data Crude oil'!M1151</f>
        <v>68.22</v>
      </c>
      <c r="N1150">
        <f>'raw data Crude oil'!N1151</f>
        <v>72.12</v>
      </c>
      <c r="O1150">
        <f>'raw data Crude oil'!O1151</f>
        <v>71.86</v>
      </c>
      <c r="P1150">
        <f>'raw data Crude oil'!P1151</f>
        <v>71.14</v>
      </c>
      <c r="Q1150">
        <f>'raw data Crude oil'!Q1151</f>
        <v>70.319999999999993</v>
      </c>
      <c r="R1150">
        <f>'raw data Crude oil'!R1151</f>
        <v>69.58</v>
      </c>
      <c r="S1150">
        <f>'raw data Crude oil'!S1151</f>
        <v>68.88</v>
      </c>
      <c r="T1150">
        <f>'raw data Crude oil'!T1151</f>
        <v>68.22</v>
      </c>
      <c r="U1150">
        <f>'raw data Crude oil'!U1151</f>
        <v>67.599999999999994</v>
      </c>
      <c r="V1150">
        <f>'raw data Crude oil'!V1151</f>
        <v>67.02</v>
      </c>
      <c r="W1150">
        <f>'raw data Crude oil'!W1151</f>
        <v>66.48</v>
      </c>
      <c r="X1150">
        <f>'raw data Crude oil'!X1151</f>
        <v>65.959999999999994</v>
      </c>
      <c r="Y1150">
        <f>'raw data Crude oil'!Y1151</f>
        <v>65.48</v>
      </c>
      <c r="Z1150">
        <f>'raw data Crude oil'!Z1151</f>
        <v>71.388999999999996</v>
      </c>
      <c r="AA1150">
        <f>'raw data Crude oil'!AA1151</f>
        <v>71.337999999999994</v>
      </c>
      <c r="AB1150">
        <f>'raw data Crude oil'!AB1151</f>
        <v>70.411000000000001</v>
      </c>
      <c r="AC1150">
        <f>'raw data Crude oil'!AC1151</f>
        <v>69.664000000000001</v>
      </c>
      <c r="AD1150">
        <f>'raw data Crude oil'!AD1151</f>
        <v>69.063999999999993</v>
      </c>
      <c r="AE1150">
        <f>'raw data Crude oil'!AE1151</f>
        <v>68.527000000000001</v>
      </c>
      <c r="AF1150">
        <f>'raw data Crude oil'!AF1151</f>
        <v>67.998999999999995</v>
      </c>
      <c r="AG1150">
        <f>'raw data Crude oil'!AG1151</f>
        <v>67.539000000000001</v>
      </c>
      <c r="AH1150">
        <f>'raw data Crude oil'!AH1151</f>
        <v>67.099000000000004</v>
      </c>
      <c r="AI1150">
        <f>'raw data Crude oil'!AI1151</f>
        <v>66.682000000000002</v>
      </c>
      <c r="AJ1150">
        <f>'raw data Crude oil'!AJ1151</f>
        <v>66.281999999999996</v>
      </c>
      <c r="AK1150">
        <f>'raw data Crude oil'!AK1151</f>
        <v>65.903000000000006</v>
      </c>
    </row>
    <row r="1151" spans="1:37" x14ac:dyDescent="0.3">
      <c r="A1151" s="18">
        <f>'raw data Crude oil'!A1152</f>
        <v>44363</v>
      </c>
      <c r="B1151">
        <f>'raw data Crude oil'!B1152</f>
        <v>74.39</v>
      </c>
      <c r="C1151">
        <f>'raw data Crude oil'!C1152</f>
        <v>73.59</v>
      </c>
      <c r="D1151">
        <f>'raw data Crude oil'!D1152</f>
        <v>72.84</v>
      </c>
      <c r="E1151">
        <f>'raw data Crude oil'!E1152</f>
        <v>72.180000000000007</v>
      </c>
      <c r="F1151">
        <f>'raw data Crude oil'!F1152</f>
        <v>71.599999999999994</v>
      </c>
      <c r="G1151">
        <f>'raw data Crude oil'!G1152</f>
        <v>71.069999999999993</v>
      </c>
      <c r="H1151">
        <f>'raw data Crude oil'!H1152</f>
        <v>70.569999999999993</v>
      </c>
      <c r="I1151">
        <f>'raw data Crude oil'!I1152</f>
        <v>70.11</v>
      </c>
      <c r="J1151">
        <f>'raw data Crude oil'!J1152</f>
        <v>69.66</v>
      </c>
      <c r="K1151">
        <f>'raw data Crude oil'!K1152</f>
        <v>69.239999999999995</v>
      </c>
      <c r="L1151">
        <f>'raw data Crude oil'!L1152</f>
        <v>68.83</v>
      </c>
      <c r="M1151">
        <f>'raw data Crude oil'!M1152</f>
        <v>68.45</v>
      </c>
      <c r="N1151">
        <f>'raw data Crude oil'!N1152</f>
        <v>72.150000000000006</v>
      </c>
      <c r="O1151">
        <f>'raw data Crude oil'!O1152</f>
        <v>71.95</v>
      </c>
      <c r="P1151">
        <f>'raw data Crude oil'!P1152</f>
        <v>71.27</v>
      </c>
      <c r="Q1151">
        <f>'raw data Crude oil'!Q1152</f>
        <v>70.47</v>
      </c>
      <c r="R1151">
        <f>'raw data Crude oil'!R1152</f>
        <v>69.709999999999994</v>
      </c>
      <c r="S1151">
        <f>'raw data Crude oil'!S1152</f>
        <v>69.02</v>
      </c>
      <c r="T1151">
        <f>'raw data Crude oil'!T1152</f>
        <v>68.36</v>
      </c>
      <c r="U1151">
        <f>'raw data Crude oil'!U1152</f>
        <v>67.739999999999995</v>
      </c>
      <c r="V1151">
        <f>'raw data Crude oil'!V1152</f>
        <v>67.16</v>
      </c>
      <c r="W1151">
        <f>'raw data Crude oil'!W1152</f>
        <v>66.61</v>
      </c>
      <c r="X1151">
        <f>'raw data Crude oil'!X1152</f>
        <v>66.099999999999994</v>
      </c>
      <c r="Y1151">
        <f>'raw data Crude oil'!Y1152</f>
        <v>65.62</v>
      </c>
      <c r="Z1151">
        <f>'raw data Crude oil'!Z1152</f>
        <v>71.513000000000005</v>
      </c>
      <c r="AA1151">
        <f>'raw data Crude oil'!AA1152</f>
        <v>71.555999999999997</v>
      </c>
      <c r="AB1151">
        <f>'raw data Crude oil'!AB1152</f>
        <v>70.650000000000006</v>
      </c>
      <c r="AC1151">
        <f>'raw data Crude oil'!AC1152</f>
        <v>69.894000000000005</v>
      </c>
      <c r="AD1151">
        <f>'raw data Crude oil'!AD1152</f>
        <v>69.275000000000006</v>
      </c>
      <c r="AE1151">
        <f>'raw data Crude oil'!AE1152</f>
        <v>68.716999999999999</v>
      </c>
      <c r="AF1151">
        <f>'raw data Crude oil'!AF1152</f>
        <v>68.180000000000007</v>
      </c>
      <c r="AG1151">
        <f>'raw data Crude oil'!AG1152</f>
        <v>67.728999999999999</v>
      </c>
      <c r="AH1151">
        <f>'raw data Crude oil'!AH1152</f>
        <v>67.289000000000001</v>
      </c>
      <c r="AI1151">
        <f>'raw data Crude oil'!AI1152</f>
        <v>66.872</v>
      </c>
      <c r="AJ1151">
        <f>'raw data Crude oil'!AJ1152</f>
        <v>66.480999999999995</v>
      </c>
      <c r="AK1151">
        <f>'raw data Crude oil'!AK1152</f>
        <v>66.103999999999999</v>
      </c>
    </row>
    <row r="1152" spans="1:37" x14ac:dyDescent="0.3">
      <c r="A1152" s="18">
        <f>'raw data Crude oil'!A1153</f>
        <v>44364</v>
      </c>
      <c r="B1152">
        <f>'raw data Crude oil'!B1153</f>
        <v>73.08</v>
      </c>
      <c r="C1152">
        <f>'raw data Crude oil'!C1153</f>
        <v>72.290000000000006</v>
      </c>
      <c r="D1152">
        <f>'raw data Crude oil'!D1153</f>
        <v>71.52</v>
      </c>
      <c r="E1152">
        <f>'raw data Crude oil'!E1153</f>
        <v>70.849999999999994</v>
      </c>
      <c r="F1152">
        <f>'raw data Crude oil'!F1153</f>
        <v>70.27</v>
      </c>
      <c r="G1152">
        <f>'raw data Crude oil'!G1153</f>
        <v>69.739999999999995</v>
      </c>
      <c r="H1152">
        <f>'raw data Crude oil'!H1153</f>
        <v>69.25</v>
      </c>
      <c r="I1152">
        <f>'raw data Crude oil'!I1153</f>
        <v>68.8</v>
      </c>
      <c r="J1152">
        <f>'raw data Crude oil'!J1153</f>
        <v>68.36</v>
      </c>
      <c r="K1152">
        <f>'raw data Crude oil'!K1153</f>
        <v>67.95</v>
      </c>
      <c r="L1152">
        <f>'raw data Crude oil'!L1153</f>
        <v>67.56</v>
      </c>
      <c r="M1152">
        <f>'raw data Crude oil'!M1153</f>
        <v>67.19</v>
      </c>
      <c r="N1152">
        <f>'raw data Crude oil'!N1153</f>
        <v>71.040000000000006</v>
      </c>
      <c r="O1152">
        <f>'raw data Crude oil'!O1153</f>
        <v>70.78</v>
      </c>
      <c r="P1152">
        <f>'raw data Crude oil'!P1153</f>
        <v>70.03</v>
      </c>
      <c r="Q1152">
        <f>'raw data Crude oil'!Q1153</f>
        <v>69.180000000000007</v>
      </c>
      <c r="R1152">
        <f>'raw data Crude oil'!R1153</f>
        <v>68.41</v>
      </c>
      <c r="S1152">
        <f>'raw data Crude oil'!S1153</f>
        <v>67.72</v>
      </c>
      <c r="T1152">
        <f>'raw data Crude oil'!T1153</f>
        <v>67.06</v>
      </c>
      <c r="U1152">
        <f>'raw data Crude oil'!U1153</f>
        <v>66.45</v>
      </c>
      <c r="V1152">
        <f>'raw data Crude oil'!V1153</f>
        <v>65.88</v>
      </c>
      <c r="W1152">
        <f>'raw data Crude oil'!W1153</f>
        <v>65.34</v>
      </c>
      <c r="X1152">
        <f>'raw data Crude oil'!X1153</f>
        <v>64.84</v>
      </c>
      <c r="Y1152">
        <f>'raw data Crude oil'!Y1153</f>
        <v>64.38</v>
      </c>
      <c r="Z1152">
        <f>'raw data Crude oil'!Z1153</f>
        <v>70.95</v>
      </c>
      <c r="AA1152">
        <f>'raw data Crude oil'!AA1153</f>
        <v>70.234999999999999</v>
      </c>
      <c r="AB1152">
        <f>'raw data Crude oil'!AB1153</f>
        <v>69.28</v>
      </c>
      <c r="AC1152">
        <f>'raw data Crude oil'!AC1153</f>
        <v>68.513999999999996</v>
      </c>
      <c r="AD1152">
        <f>'raw data Crude oil'!AD1153</f>
        <v>67.894999999999996</v>
      </c>
      <c r="AE1152">
        <f>'raw data Crude oil'!AE1153</f>
        <v>67.347999999999999</v>
      </c>
      <c r="AF1152">
        <f>'raw data Crude oil'!AF1153</f>
        <v>66.820999999999998</v>
      </c>
      <c r="AG1152">
        <f>'raw data Crude oil'!AG1153</f>
        <v>66.358999999999995</v>
      </c>
      <c r="AH1152">
        <f>'raw data Crude oil'!AH1153</f>
        <v>65.95</v>
      </c>
      <c r="AI1152">
        <f>'raw data Crude oil'!AI1153</f>
        <v>65.543000000000006</v>
      </c>
      <c r="AJ1152">
        <f>'raw data Crude oil'!AJ1153</f>
        <v>65.152000000000001</v>
      </c>
      <c r="AK1152">
        <f>'raw data Crude oil'!AK1153</f>
        <v>64.774000000000001</v>
      </c>
    </row>
    <row r="1153" spans="1:37" x14ac:dyDescent="0.3">
      <c r="A1153" s="18">
        <f>'raw data Crude oil'!A1154</f>
        <v>44365</v>
      </c>
      <c r="B1153">
        <f>'raw data Crude oil'!B1154</f>
        <v>73.510000000000005</v>
      </c>
      <c r="C1153">
        <f>'raw data Crude oil'!C1154</f>
        <v>72.73</v>
      </c>
      <c r="D1153">
        <f>'raw data Crude oil'!D1154</f>
        <v>71.92</v>
      </c>
      <c r="E1153">
        <f>'raw data Crude oil'!E1154</f>
        <v>71.23</v>
      </c>
      <c r="F1153">
        <f>'raw data Crude oil'!F1154</f>
        <v>70.63</v>
      </c>
      <c r="G1153">
        <f>'raw data Crude oil'!G1154</f>
        <v>70.09</v>
      </c>
      <c r="H1153">
        <f>'raw data Crude oil'!H1154</f>
        <v>69.59</v>
      </c>
      <c r="I1153">
        <f>'raw data Crude oil'!I1154</f>
        <v>69.14</v>
      </c>
      <c r="J1153">
        <f>'raw data Crude oil'!J1154</f>
        <v>68.7</v>
      </c>
      <c r="K1153">
        <f>'raw data Crude oil'!K1154</f>
        <v>68.290000000000006</v>
      </c>
      <c r="L1153">
        <f>'raw data Crude oil'!L1154</f>
        <v>67.88</v>
      </c>
      <c r="M1153">
        <f>'raw data Crude oil'!M1154</f>
        <v>67.52</v>
      </c>
      <c r="N1153">
        <f>'raw data Crude oil'!N1154</f>
        <v>71.64</v>
      </c>
      <c r="O1153">
        <f>'raw data Crude oil'!O1154</f>
        <v>71.290000000000006</v>
      </c>
      <c r="P1153">
        <f>'raw data Crude oil'!P1154</f>
        <v>70.45</v>
      </c>
      <c r="Q1153">
        <f>'raw data Crude oil'!Q1154</f>
        <v>69.56</v>
      </c>
      <c r="R1153">
        <f>'raw data Crude oil'!R1154</f>
        <v>68.77</v>
      </c>
      <c r="S1153">
        <f>'raw data Crude oil'!S1154</f>
        <v>68.069999999999993</v>
      </c>
      <c r="T1153">
        <f>'raw data Crude oil'!T1154</f>
        <v>67.400000000000006</v>
      </c>
      <c r="U1153">
        <f>'raw data Crude oil'!U1154</f>
        <v>66.78</v>
      </c>
      <c r="V1153">
        <f>'raw data Crude oil'!V1154</f>
        <v>66.209999999999994</v>
      </c>
      <c r="W1153">
        <f>'raw data Crude oil'!W1154</f>
        <v>65.680000000000007</v>
      </c>
      <c r="X1153">
        <f>'raw data Crude oil'!X1154</f>
        <v>65.180000000000007</v>
      </c>
      <c r="Y1153">
        <f>'raw data Crude oil'!Y1154</f>
        <v>64.72</v>
      </c>
      <c r="Z1153">
        <f>'raw data Crude oil'!Z1154</f>
        <v>71.108999999999995</v>
      </c>
      <c r="AA1153">
        <f>'raw data Crude oil'!AA1154</f>
        <v>70.623000000000005</v>
      </c>
      <c r="AB1153">
        <f>'raw data Crude oil'!AB1154</f>
        <v>69.649000000000001</v>
      </c>
      <c r="AC1153">
        <f>'raw data Crude oil'!AC1154</f>
        <v>68.873000000000005</v>
      </c>
      <c r="AD1153">
        <f>'raw data Crude oil'!AD1154</f>
        <v>68.233999999999995</v>
      </c>
      <c r="AE1153">
        <f>'raw data Crude oil'!AE1154</f>
        <v>67.677000000000007</v>
      </c>
      <c r="AF1153">
        <f>'raw data Crude oil'!AF1154</f>
        <v>67.141000000000005</v>
      </c>
      <c r="AG1153">
        <f>'raw data Crude oil'!AG1154</f>
        <v>66.668999999999997</v>
      </c>
      <c r="AH1153">
        <f>'raw data Crude oil'!AH1154</f>
        <v>66.239999999999995</v>
      </c>
      <c r="AI1153">
        <f>'raw data Crude oil'!AI1154</f>
        <v>65.822000000000003</v>
      </c>
      <c r="AJ1153">
        <f>'raw data Crude oil'!AJ1154</f>
        <v>65.451999999999998</v>
      </c>
      <c r="AK1153">
        <f>'raw data Crude oil'!AK1154</f>
        <v>65.084000000000003</v>
      </c>
    </row>
    <row r="1154" spans="1:37" x14ac:dyDescent="0.3">
      <c r="A1154" s="18">
        <f>'raw data Crude oil'!A1155</f>
        <v>44368</v>
      </c>
      <c r="B1154">
        <f>'raw data Crude oil'!B1155</f>
        <v>74.900000000000006</v>
      </c>
      <c r="C1154">
        <f>'raw data Crude oil'!C1155</f>
        <v>74.05</v>
      </c>
      <c r="D1154">
        <f>'raw data Crude oil'!D1155</f>
        <v>73.13</v>
      </c>
      <c r="E1154">
        <f>'raw data Crude oil'!E1155</f>
        <v>72.349999999999994</v>
      </c>
      <c r="F1154">
        <f>'raw data Crude oil'!F1155</f>
        <v>71.69</v>
      </c>
      <c r="G1154">
        <f>'raw data Crude oil'!G1155</f>
        <v>71.11</v>
      </c>
      <c r="H1154">
        <f>'raw data Crude oil'!H1155</f>
        <v>70.58</v>
      </c>
      <c r="I1154">
        <f>'raw data Crude oil'!I1155</f>
        <v>70.099999999999994</v>
      </c>
      <c r="J1154">
        <f>'raw data Crude oil'!J1155</f>
        <v>69.64</v>
      </c>
      <c r="K1154">
        <f>'raw data Crude oil'!K1155</f>
        <v>69.209999999999994</v>
      </c>
      <c r="L1154">
        <f>'raw data Crude oil'!L1155</f>
        <v>68.790000000000006</v>
      </c>
      <c r="M1154">
        <f>'raw data Crude oil'!M1155</f>
        <v>68.400000000000006</v>
      </c>
      <c r="N1154">
        <f>'raw data Crude oil'!N1155</f>
        <v>73.66</v>
      </c>
      <c r="O1154">
        <f>'raw data Crude oil'!O1155</f>
        <v>73.12</v>
      </c>
      <c r="P1154">
        <f>'raw data Crude oil'!P1155</f>
        <v>72.03</v>
      </c>
      <c r="Q1154">
        <f>'raw data Crude oil'!Q1155</f>
        <v>70.97</v>
      </c>
      <c r="R1154">
        <f>'raw data Crude oil'!R1155</f>
        <v>70.069999999999993</v>
      </c>
      <c r="S1154">
        <f>'raw data Crude oil'!S1155</f>
        <v>69.28</v>
      </c>
      <c r="T1154">
        <f>'raw data Crude oil'!T1155</f>
        <v>68.55</v>
      </c>
      <c r="U1154">
        <f>'raw data Crude oil'!U1155</f>
        <v>67.89</v>
      </c>
      <c r="V1154">
        <f>'raw data Crude oil'!V1155</f>
        <v>67.28</v>
      </c>
      <c r="W1154">
        <f>'raw data Crude oil'!W1155</f>
        <v>66.709999999999994</v>
      </c>
      <c r="X1154">
        <f>'raw data Crude oil'!X1155</f>
        <v>66.180000000000007</v>
      </c>
      <c r="Y1154">
        <f>'raw data Crude oil'!Y1155</f>
        <v>65.7</v>
      </c>
      <c r="Z1154">
        <f>'raw data Crude oil'!Z1155</f>
        <v>71.456999999999994</v>
      </c>
      <c r="AA1154">
        <f>'raw data Crude oil'!AA1155</f>
        <v>71.768000000000001</v>
      </c>
      <c r="AB1154">
        <f>'raw data Crude oil'!AB1155</f>
        <v>70.795000000000002</v>
      </c>
      <c r="AC1154">
        <f>'raw data Crude oil'!AC1155</f>
        <v>69.98</v>
      </c>
      <c r="AD1154">
        <f>'raw data Crude oil'!AD1155</f>
        <v>69.311999999999998</v>
      </c>
      <c r="AE1154">
        <f>'raw data Crude oil'!AE1155</f>
        <v>68.736000000000004</v>
      </c>
      <c r="AF1154">
        <f>'raw data Crude oil'!AF1155</f>
        <v>68.147999999999996</v>
      </c>
      <c r="AG1154">
        <f>'raw data Crude oil'!AG1155</f>
        <v>67.658000000000001</v>
      </c>
      <c r="AH1154">
        <f>'raw data Crude oil'!AH1155</f>
        <v>67.198999999999998</v>
      </c>
      <c r="AI1154">
        <f>'raw data Crude oil'!AI1155</f>
        <v>66.762</v>
      </c>
      <c r="AJ1154">
        <f>'raw data Crude oil'!AJ1155</f>
        <v>66.361000000000004</v>
      </c>
      <c r="AK1154">
        <f>'raw data Crude oil'!AK1155</f>
        <v>65.962999999999994</v>
      </c>
    </row>
    <row r="1155" spans="1:37" x14ac:dyDescent="0.3">
      <c r="A1155" s="18">
        <f>'raw data Crude oil'!A1156</f>
        <v>44369</v>
      </c>
      <c r="B1155">
        <f>'raw data Crude oil'!B1156</f>
        <v>74.81</v>
      </c>
      <c r="C1155">
        <f>'raw data Crude oil'!C1156</f>
        <v>74.08</v>
      </c>
      <c r="D1155">
        <f>'raw data Crude oil'!D1156</f>
        <v>73.22</v>
      </c>
      <c r="E1155">
        <f>'raw data Crude oil'!E1156</f>
        <v>72.489999999999995</v>
      </c>
      <c r="F1155">
        <f>'raw data Crude oil'!F1156</f>
        <v>71.849999999999994</v>
      </c>
      <c r="G1155">
        <f>'raw data Crude oil'!G1156</f>
        <v>71.290000000000006</v>
      </c>
      <c r="H1155">
        <f>'raw data Crude oil'!H1156</f>
        <v>70.78</v>
      </c>
      <c r="I1155">
        <f>'raw data Crude oil'!I1156</f>
        <v>70.31</v>
      </c>
      <c r="J1155">
        <f>'raw data Crude oil'!J1156</f>
        <v>69.86</v>
      </c>
      <c r="K1155">
        <f>'raw data Crude oil'!K1156</f>
        <v>69.44</v>
      </c>
      <c r="L1155">
        <f>'raw data Crude oil'!L1156</f>
        <v>69.02</v>
      </c>
      <c r="M1155">
        <f>'raw data Crude oil'!M1156</f>
        <v>68.64</v>
      </c>
      <c r="N1155">
        <f>'raw data Crude oil'!N1156</f>
        <v>73.06</v>
      </c>
      <c r="O1155">
        <f>'raw data Crude oil'!O1156</f>
        <v>72.849999999999994</v>
      </c>
      <c r="P1155">
        <f>'raw data Crude oil'!P1156</f>
        <v>72.05</v>
      </c>
      <c r="Q1155">
        <f>'raw data Crude oil'!Q1156</f>
        <v>71.06</v>
      </c>
      <c r="R1155">
        <f>'raw data Crude oil'!R1156</f>
        <v>70.180000000000007</v>
      </c>
      <c r="S1155">
        <f>'raw data Crude oil'!S1156</f>
        <v>69.42</v>
      </c>
      <c r="T1155">
        <f>'raw data Crude oil'!T1156</f>
        <v>68.72</v>
      </c>
      <c r="U1155">
        <f>'raw data Crude oil'!U1156</f>
        <v>68.09</v>
      </c>
      <c r="V1155">
        <f>'raw data Crude oil'!V1156</f>
        <v>67.510000000000005</v>
      </c>
      <c r="W1155">
        <f>'raw data Crude oil'!W1156</f>
        <v>66.959999999999994</v>
      </c>
      <c r="X1155">
        <f>'raw data Crude oil'!X1156</f>
        <v>66.44</v>
      </c>
      <c r="Y1155">
        <f>'raw data Crude oil'!Y1156</f>
        <v>65.959999999999994</v>
      </c>
      <c r="Z1155">
        <f>'raw data Crude oil'!Z1156</f>
        <v>71.438999999999993</v>
      </c>
      <c r="AA1155">
        <f>'raw data Crude oil'!AA1156</f>
        <v>71.850999999999999</v>
      </c>
      <c r="AB1155">
        <f>'raw data Crude oil'!AB1156</f>
        <v>70.876999999999995</v>
      </c>
      <c r="AC1155">
        <f>'raw data Crude oil'!AC1156</f>
        <v>70.100999999999999</v>
      </c>
      <c r="AD1155">
        <f>'raw data Crude oil'!AD1156</f>
        <v>69.472999999999999</v>
      </c>
      <c r="AE1155">
        <f>'raw data Crude oil'!AE1156</f>
        <v>68.906999999999996</v>
      </c>
      <c r="AF1155">
        <f>'raw data Crude oil'!AF1156</f>
        <v>68.349000000000004</v>
      </c>
      <c r="AG1155">
        <f>'raw data Crude oil'!AG1156</f>
        <v>67.869</v>
      </c>
      <c r="AH1155">
        <f>'raw data Crude oil'!AH1156</f>
        <v>67.418999999999997</v>
      </c>
      <c r="AI1155">
        <f>'raw data Crude oil'!AI1156</f>
        <v>66.992000000000004</v>
      </c>
      <c r="AJ1155">
        <f>'raw data Crude oil'!AJ1156</f>
        <v>66.590999999999994</v>
      </c>
      <c r="AK1155">
        <f>'raw data Crude oil'!AK1156</f>
        <v>66.203999999999994</v>
      </c>
    </row>
    <row r="1156" spans="1:37" x14ac:dyDescent="0.3">
      <c r="A1156" s="18">
        <f>'raw data Crude oil'!A1157</f>
        <v>44370</v>
      </c>
      <c r="B1156">
        <f>'raw data Crude oil'!B1157</f>
        <v>75.19</v>
      </c>
      <c r="C1156">
        <f>'raw data Crude oil'!C1157</f>
        <v>74.5</v>
      </c>
      <c r="D1156">
        <f>'raw data Crude oil'!D1157</f>
        <v>73.69</v>
      </c>
      <c r="E1156">
        <f>'raw data Crude oil'!E1157</f>
        <v>72.98</v>
      </c>
      <c r="F1156">
        <f>'raw data Crude oil'!F1157</f>
        <v>72.34</v>
      </c>
      <c r="G1156">
        <f>'raw data Crude oil'!G1157</f>
        <v>71.78</v>
      </c>
      <c r="H1156">
        <f>'raw data Crude oil'!H1157</f>
        <v>71.27</v>
      </c>
      <c r="I1156">
        <f>'raw data Crude oil'!I1157</f>
        <v>70.8</v>
      </c>
      <c r="J1156">
        <f>'raw data Crude oil'!J1157</f>
        <v>70.34</v>
      </c>
      <c r="K1156">
        <f>'raw data Crude oil'!K1157</f>
        <v>69.92</v>
      </c>
      <c r="L1156">
        <f>'raw data Crude oil'!L1157</f>
        <v>69.5</v>
      </c>
      <c r="M1156">
        <f>'raw data Crude oil'!M1157</f>
        <v>69.12</v>
      </c>
      <c r="N1156">
        <f>'raw data Crude oil'!N1157</f>
        <v>73.08</v>
      </c>
      <c r="O1156">
        <f>'raw data Crude oil'!O1157</f>
        <v>72.36</v>
      </c>
      <c r="P1156">
        <f>'raw data Crude oil'!P1157</f>
        <v>71.44</v>
      </c>
      <c r="Q1156">
        <f>'raw data Crude oil'!Q1157</f>
        <v>70.599999999999994</v>
      </c>
      <c r="R1156">
        <f>'raw data Crude oil'!R1157</f>
        <v>69.83</v>
      </c>
      <c r="S1156">
        <f>'raw data Crude oil'!S1157</f>
        <v>69.13</v>
      </c>
      <c r="T1156">
        <f>'raw data Crude oil'!T1157</f>
        <v>68.489999999999995</v>
      </c>
      <c r="U1156">
        <f>'raw data Crude oil'!U1157</f>
        <v>67.900000000000006</v>
      </c>
      <c r="V1156">
        <f>'raw data Crude oil'!V1157</f>
        <v>67.34</v>
      </c>
      <c r="W1156">
        <f>'raw data Crude oil'!W1157</f>
        <v>66.83</v>
      </c>
      <c r="X1156">
        <f>'raw data Crude oil'!X1157</f>
        <v>66.349999999999994</v>
      </c>
      <c r="Y1156">
        <f>'raw data Crude oil'!Y1157</f>
        <v>65.84</v>
      </c>
      <c r="Z1156">
        <f>'raw data Crude oil'!Z1157</f>
        <v>71.534999999999997</v>
      </c>
      <c r="AA1156">
        <f>'raw data Crude oil'!AA1157</f>
        <v>72.313000000000002</v>
      </c>
      <c r="AB1156">
        <f>'raw data Crude oil'!AB1157</f>
        <v>71.352000000000004</v>
      </c>
      <c r="AC1156">
        <f>'raw data Crude oil'!AC1157</f>
        <v>70.596999999999994</v>
      </c>
      <c r="AD1156">
        <f>'raw data Crude oil'!AD1157</f>
        <v>69.953000000000003</v>
      </c>
      <c r="AE1156">
        <f>'raw data Crude oil'!AE1157</f>
        <v>69.397000000000006</v>
      </c>
      <c r="AF1156">
        <f>'raw data Crude oil'!AF1157</f>
        <v>68.838999999999999</v>
      </c>
      <c r="AG1156">
        <f>'raw data Crude oil'!AG1157</f>
        <v>68.358000000000004</v>
      </c>
      <c r="AH1156">
        <f>'raw data Crude oil'!AH1157</f>
        <v>67.899000000000001</v>
      </c>
      <c r="AI1156">
        <f>'raw data Crude oil'!AI1157</f>
        <v>67.471999999999994</v>
      </c>
      <c r="AJ1156">
        <f>'raw data Crude oil'!AJ1157</f>
        <v>67.070999999999998</v>
      </c>
      <c r="AK1156">
        <f>'raw data Crude oil'!AK1157</f>
        <v>66.683999999999997</v>
      </c>
    </row>
    <row r="1157" spans="1:37" x14ac:dyDescent="0.3">
      <c r="A1157" s="18">
        <f>'raw data Crude oil'!A1158</f>
        <v>44371</v>
      </c>
      <c r="B1157">
        <f>'raw data Crude oil'!B1158</f>
        <v>75.56</v>
      </c>
      <c r="C1157">
        <f>'raw data Crude oil'!C1158</f>
        <v>74.81</v>
      </c>
      <c r="D1157">
        <f>'raw data Crude oil'!D1158</f>
        <v>74.010000000000005</v>
      </c>
      <c r="E1157">
        <f>'raw data Crude oil'!E1158</f>
        <v>73.3</v>
      </c>
      <c r="F1157">
        <f>'raw data Crude oil'!F1158</f>
        <v>72.66</v>
      </c>
      <c r="G1157">
        <f>'raw data Crude oil'!G1158</f>
        <v>72.099999999999994</v>
      </c>
      <c r="H1157">
        <f>'raw data Crude oil'!H1158</f>
        <v>71.59</v>
      </c>
      <c r="I1157">
        <f>'raw data Crude oil'!I1158</f>
        <v>71.12</v>
      </c>
      <c r="J1157">
        <f>'raw data Crude oil'!J1158</f>
        <v>70.67</v>
      </c>
      <c r="K1157">
        <f>'raw data Crude oil'!K1158</f>
        <v>70.239999999999995</v>
      </c>
      <c r="L1157">
        <f>'raw data Crude oil'!L1158</f>
        <v>69.819999999999993</v>
      </c>
      <c r="M1157">
        <f>'raw data Crude oil'!M1158</f>
        <v>69.44</v>
      </c>
      <c r="N1157">
        <f>'raw data Crude oil'!N1158</f>
        <v>73.3</v>
      </c>
      <c r="O1157">
        <f>'raw data Crude oil'!O1158</f>
        <v>72.63</v>
      </c>
      <c r="P1157">
        <f>'raw data Crude oil'!P1158</f>
        <v>71.77</v>
      </c>
      <c r="Q1157">
        <f>'raw data Crude oil'!Q1158</f>
        <v>70.959999999999994</v>
      </c>
      <c r="R1157">
        <f>'raw data Crude oil'!R1158</f>
        <v>70.22</v>
      </c>
      <c r="S1157">
        <f>'raw data Crude oil'!S1158</f>
        <v>69.53</v>
      </c>
      <c r="T1157">
        <f>'raw data Crude oil'!T1158</f>
        <v>68.89</v>
      </c>
      <c r="U1157">
        <f>'raw data Crude oil'!U1158</f>
        <v>68.290000000000006</v>
      </c>
      <c r="V1157">
        <f>'raw data Crude oil'!V1158</f>
        <v>67.73</v>
      </c>
      <c r="W1157">
        <f>'raw data Crude oil'!W1158</f>
        <v>67.2</v>
      </c>
      <c r="X1157">
        <f>'raw data Crude oil'!X1158</f>
        <v>66.709999999999994</v>
      </c>
      <c r="Y1157">
        <f>'raw data Crude oil'!Y1158</f>
        <v>66.19</v>
      </c>
      <c r="Z1157">
        <f>'raw data Crude oil'!Z1158</f>
        <v>71.61</v>
      </c>
      <c r="AA1157">
        <f>'raw data Crude oil'!AA1158</f>
        <v>72.584000000000003</v>
      </c>
      <c r="AB1157">
        <f>'raw data Crude oil'!AB1158</f>
        <v>71.617999999999995</v>
      </c>
      <c r="AC1157">
        <f>'raw data Crude oil'!AC1158</f>
        <v>70.881</v>
      </c>
      <c r="AD1157">
        <f>'raw data Crude oil'!AD1158</f>
        <v>70.263000000000005</v>
      </c>
      <c r="AE1157">
        <f>'raw data Crude oil'!AE1158</f>
        <v>69.716999999999999</v>
      </c>
      <c r="AF1157">
        <f>'raw data Crude oil'!AF1158</f>
        <v>69.159000000000006</v>
      </c>
      <c r="AG1157">
        <f>'raw data Crude oil'!AG1158</f>
        <v>68.679000000000002</v>
      </c>
      <c r="AH1157">
        <f>'raw data Crude oil'!AH1158</f>
        <v>68.218999999999994</v>
      </c>
      <c r="AI1157">
        <f>'raw data Crude oil'!AI1158</f>
        <v>67.792000000000002</v>
      </c>
      <c r="AJ1157">
        <f>'raw data Crude oil'!AJ1158</f>
        <v>67.391000000000005</v>
      </c>
      <c r="AK1157">
        <f>'raw data Crude oil'!AK1158</f>
        <v>67.004000000000005</v>
      </c>
    </row>
    <row r="1158" spans="1:37" x14ac:dyDescent="0.3">
      <c r="A1158" s="18">
        <f>'raw data Crude oil'!A1159</f>
        <v>44372</v>
      </c>
      <c r="B1158">
        <f>'raw data Crude oil'!B1159</f>
        <v>76.180000000000007</v>
      </c>
      <c r="C1158">
        <f>'raw data Crude oil'!C1159</f>
        <v>75.38</v>
      </c>
      <c r="D1158">
        <f>'raw data Crude oil'!D1159</f>
        <v>74.56</v>
      </c>
      <c r="E1158">
        <f>'raw data Crude oil'!E1159</f>
        <v>73.819999999999993</v>
      </c>
      <c r="F1158">
        <f>'raw data Crude oil'!F1159</f>
        <v>73.150000000000006</v>
      </c>
      <c r="G1158">
        <f>'raw data Crude oil'!G1159</f>
        <v>72.569999999999993</v>
      </c>
      <c r="H1158">
        <f>'raw data Crude oil'!H1159</f>
        <v>72.040000000000006</v>
      </c>
      <c r="I1158">
        <f>'raw data Crude oil'!I1159</f>
        <v>71.56</v>
      </c>
      <c r="J1158">
        <f>'raw data Crude oil'!J1159</f>
        <v>71.11</v>
      </c>
      <c r="K1158">
        <f>'raw data Crude oil'!K1159</f>
        <v>70.680000000000007</v>
      </c>
      <c r="L1158">
        <f>'raw data Crude oil'!L1159</f>
        <v>70.260000000000005</v>
      </c>
      <c r="M1158">
        <f>'raw data Crude oil'!M1159</f>
        <v>69.88</v>
      </c>
      <c r="N1158">
        <f>'raw data Crude oil'!N1159</f>
        <v>74.05</v>
      </c>
      <c r="O1158">
        <f>'raw data Crude oil'!O1159</f>
        <v>73.33</v>
      </c>
      <c r="P1158">
        <f>'raw data Crude oil'!P1159</f>
        <v>72.400000000000006</v>
      </c>
      <c r="Q1158">
        <f>'raw data Crude oil'!Q1159</f>
        <v>71.52</v>
      </c>
      <c r="R1158">
        <f>'raw data Crude oil'!R1159</f>
        <v>70.739999999999995</v>
      </c>
      <c r="S1158">
        <f>'raw data Crude oil'!S1159</f>
        <v>70.02</v>
      </c>
      <c r="T1158">
        <f>'raw data Crude oil'!T1159</f>
        <v>69.36</v>
      </c>
      <c r="U1158">
        <f>'raw data Crude oil'!U1159</f>
        <v>68.75</v>
      </c>
      <c r="V1158">
        <f>'raw data Crude oil'!V1159</f>
        <v>68.17</v>
      </c>
      <c r="W1158">
        <f>'raw data Crude oil'!W1159</f>
        <v>67.64</v>
      </c>
      <c r="X1158">
        <f>'raw data Crude oil'!X1159</f>
        <v>67.14</v>
      </c>
      <c r="Y1158">
        <f>'raw data Crude oil'!Y1159</f>
        <v>66.59</v>
      </c>
      <c r="Z1158">
        <f>'raw data Crude oil'!Z1159</f>
        <v>71.662999999999997</v>
      </c>
      <c r="AA1158">
        <f>'raw data Crude oil'!AA1159</f>
        <v>73.093000000000004</v>
      </c>
      <c r="AB1158">
        <f>'raw data Crude oil'!AB1159</f>
        <v>72.105999999999995</v>
      </c>
      <c r="AC1158">
        <f>'raw data Crude oil'!AC1159</f>
        <v>71.349999999999994</v>
      </c>
      <c r="AD1158">
        <f>'raw data Crude oil'!AD1159</f>
        <v>70.712000000000003</v>
      </c>
      <c r="AE1158">
        <f>'raw data Crude oil'!AE1159</f>
        <v>70.146000000000001</v>
      </c>
      <c r="AF1158">
        <f>'raw data Crude oil'!AF1159</f>
        <v>69.608000000000004</v>
      </c>
      <c r="AG1158">
        <f>'raw data Crude oil'!AG1159</f>
        <v>69.119</v>
      </c>
      <c r="AH1158">
        <f>'raw data Crude oil'!AH1159</f>
        <v>68.659000000000006</v>
      </c>
      <c r="AI1158">
        <f>'raw data Crude oil'!AI1159</f>
        <v>68.231999999999999</v>
      </c>
      <c r="AJ1158">
        <f>'raw data Crude oil'!AJ1159</f>
        <v>67.831000000000003</v>
      </c>
      <c r="AK1158">
        <f>'raw data Crude oil'!AK1159</f>
        <v>67.442999999999998</v>
      </c>
    </row>
    <row r="1159" spans="1:37" x14ac:dyDescent="0.3">
      <c r="A1159" s="18">
        <f>'raw data Crude oil'!A1160</f>
        <v>44375</v>
      </c>
      <c r="B1159">
        <f>'raw data Crude oil'!B1160</f>
        <v>74.680000000000007</v>
      </c>
      <c r="C1159">
        <f>'raw data Crude oil'!C1160</f>
        <v>74.14</v>
      </c>
      <c r="D1159">
        <f>'raw data Crude oil'!D1160</f>
        <v>73.39</v>
      </c>
      <c r="E1159">
        <f>'raw data Crude oil'!E1160</f>
        <v>72.72</v>
      </c>
      <c r="F1159">
        <f>'raw data Crude oil'!F1160</f>
        <v>72.099999999999994</v>
      </c>
      <c r="G1159">
        <f>'raw data Crude oil'!G1160</f>
        <v>71.569999999999993</v>
      </c>
      <c r="H1159">
        <f>'raw data Crude oil'!H1160</f>
        <v>71.069999999999993</v>
      </c>
      <c r="I1159">
        <f>'raw data Crude oil'!I1160</f>
        <v>70.62</v>
      </c>
      <c r="J1159">
        <f>'raw data Crude oil'!J1160</f>
        <v>70.19</v>
      </c>
      <c r="K1159">
        <f>'raw data Crude oil'!K1160</f>
        <v>69.790000000000006</v>
      </c>
      <c r="L1159">
        <f>'raw data Crude oil'!L1160</f>
        <v>69.38</v>
      </c>
      <c r="M1159">
        <f>'raw data Crude oil'!M1160</f>
        <v>69.02</v>
      </c>
      <c r="N1159">
        <f>'raw data Crude oil'!N1160</f>
        <v>72.91</v>
      </c>
      <c r="O1159">
        <f>'raw data Crude oil'!O1160</f>
        <v>72.2</v>
      </c>
      <c r="P1159">
        <f>'raw data Crude oil'!P1160</f>
        <v>71.31</v>
      </c>
      <c r="Q1159">
        <f>'raw data Crude oil'!Q1160</f>
        <v>70.510000000000005</v>
      </c>
      <c r="R1159">
        <f>'raw data Crude oil'!R1160</f>
        <v>69.78</v>
      </c>
      <c r="S1159">
        <f>'raw data Crude oil'!S1160</f>
        <v>69.11</v>
      </c>
      <c r="T1159">
        <f>'raw data Crude oil'!T1160</f>
        <v>68.489999999999995</v>
      </c>
      <c r="U1159">
        <f>'raw data Crude oil'!U1160</f>
        <v>67.91</v>
      </c>
      <c r="V1159">
        <f>'raw data Crude oil'!V1160</f>
        <v>67.36</v>
      </c>
      <c r="W1159">
        <f>'raw data Crude oil'!W1160</f>
        <v>66.84</v>
      </c>
      <c r="X1159">
        <f>'raw data Crude oil'!X1160</f>
        <v>66.349999999999994</v>
      </c>
      <c r="Y1159">
        <f>'raw data Crude oil'!Y1160</f>
        <v>65.84</v>
      </c>
      <c r="Z1159">
        <f>'raw data Crude oil'!Z1160</f>
        <v>71.590999999999994</v>
      </c>
      <c r="AA1159">
        <f>'raw data Crude oil'!AA1160</f>
        <v>71.965999999999994</v>
      </c>
      <c r="AB1159">
        <f>'raw data Crude oil'!AB1160</f>
        <v>70.959999999999994</v>
      </c>
      <c r="AC1159">
        <f>'raw data Crude oil'!AC1160</f>
        <v>70.242000000000004</v>
      </c>
      <c r="AD1159">
        <f>'raw data Crude oil'!AD1160</f>
        <v>69.644999999999996</v>
      </c>
      <c r="AE1159">
        <f>'raw data Crude oil'!AE1160</f>
        <v>69.106999999999999</v>
      </c>
      <c r="AF1159">
        <f>'raw data Crude oil'!AF1160</f>
        <v>68.570999999999998</v>
      </c>
      <c r="AG1159">
        <f>'raw data Crude oil'!AG1160</f>
        <v>68.11</v>
      </c>
      <c r="AH1159">
        <f>'raw data Crude oil'!AH1160</f>
        <v>67.680000000000007</v>
      </c>
      <c r="AI1159">
        <f>'raw data Crude oil'!AI1160</f>
        <v>67.281999999999996</v>
      </c>
      <c r="AJ1159">
        <f>'raw data Crude oil'!AJ1160</f>
        <v>66.902000000000001</v>
      </c>
      <c r="AK1159">
        <f>'raw data Crude oil'!AK1160</f>
        <v>66.543999999999997</v>
      </c>
    </row>
    <row r="1160" spans="1:37" x14ac:dyDescent="0.3">
      <c r="A1160" s="18">
        <f>'raw data Crude oil'!A1161</f>
        <v>44376</v>
      </c>
      <c r="B1160">
        <f>'raw data Crude oil'!B1161</f>
        <v>74.760000000000005</v>
      </c>
      <c r="C1160">
        <f>'raw data Crude oil'!C1161</f>
        <v>74.28</v>
      </c>
      <c r="D1160">
        <f>'raw data Crude oil'!D1161</f>
        <v>73.55</v>
      </c>
      <c r="E1160">
        <f>'raw data Crude oil'!E1161</f>
        <v>72.88</v>
      </c>
      <c r="F1160">
        <f>'raw data Crude oil'!F1161</f>
        <v>72.25</v>
      </c>
      <c r="G1160">
        <f>'raw data Crude oil'!G1161</f>
        <v>71.69</v>
      </c>
      <c r="H1160">
        <f>'raw data Crude oil'!H1161</f>
        <v>71.19</v>
      </c>
      <c r="I1160">
        <f>'raw data Crude oil'!I1161</f>
        <v>70.73</v>
      </c>
      <c r="J1160">
        <f>'raw data Crude oil'!J1161</f>
        <v>70.3</v>
      </c>
      <c r="K1160">
        <f>'raw data Crude oil'!K1161</f>
        <v>69.89</v>
      </c>
      <c r="L1160">
        <f>'raw data Crude oil'!L1161</f>
        <v>69.48</v>
      </c>
      <c r="M1160">
        <f>'raw data Crude oil'!M1161</f>
        <v>69.11</v>
      </c>
      <c r="N1160">
        <f>'raw data Crude oil'!N1161</f>
        <v>72.98</v>
      </c>
      <c r="O1160">
        <f>'raw data Crude oil'!O1161</f>
        <v>72.31</v>
      </c>
      <c r="P1160">
        <f>'raw data Crude oil'!P1161</f>
        <v>71.41</v>
      </c>
      <c r="Q1160">
        <f>'raw data Crude oil'!Q1161</f>
        <v>70.62</v>
      </c>
      <c r="R1160">
        <f>'raw data Crude oil'!R1161</f>
        <v>69.91</v>
      </c>
      <c r="S1160">
        <f>'raw data Crude oil'!S1161</f>
        <v>69.239999999999995</v>
      </c>
      <c r="T1160">
        <f>'raw data Crude oil'!T1161</f>
        <v>68.61</v>
      </c>
      <c r="U1160">
        <f>'raw data Crude oil'!U1161</f>
        <v>68.010000000000005</v>
      </c>
      <c r="V1160">
        <f>'raw data Crude oil'!V1161</f>
        <v>67.44</v>
      </c>
      <c r="W1160">
        <f>'raw data Crude oil'!W1161</f>
        <v>66.91</v>
      </c>
      <c r="X1160">
        <f>'raw data Crude oil'!X1161</f>
        <v>66.41</v>
      </c>
      <c r="Y1160">
        <f>'raw data Crude oil'!Y1161</f>
        <v>65.89</v>
      </c>
      <c r="Z1160">
        <f>'raw data Crude oil'!Z1161</f>
        <v>71.582999999999998</v>
      </c>
      <c r="AA1160">
        <f>'raw data Crude oil'!AA1161</f>
        <v>72.247</v>
      </c>
      <c r="AB1160">
        <f>'raw data Crude oil'!AB1161</f>
        <v>71.17</v>
      </c>
      <c r="AC1160">
        <f>'raw data Crude oil'!AC1161</f>
        <v>70.414000000000001</v>
      </c>
      <c r="AD1160">
        <f>'raw data Crude oil'!AD1161</f>
        <v>69.805000000000007</v>
      </c>
      <c r="AE1160">
        <f>'raw data Crude oil'!AE1161</f>
        <v>69.257000000000005</v>
      </c>
      <c r="AF1160">
        <f>'raw data Crude oil'!AF1161</f>
        <v>68.7</v>
      </c>
      <c r="AG1160">
        <f>'raw data Crude oil'!AG1161</f>
        <v>68.22</v>
      </c>
      <c r="AH1160">
        <f>'raw data Crude oil'!AH1161</f>
        <v>67.790000000000006</v>
      </c>
      <c r="AI1160">
        <f>'raw data Crude oil'!AI1161</f>
        <v>67.382000000000005</v>
      </c>
      <c r="AJ1160">
        <f>'raw data Crude oil'!AJ1161</f>
        <v>67.001999999999995</v>
      </c>
      <c r="AK1160">
        <f>'raw data Crude oil'!AK1161</f>
        <v>66.634</v>
      </c>
    </row>
    <row r="1161" spans="1:37" x14ac:dyDescent="0.3">
      <c r="A1161" s="18">
        <f>'raw data Crude oil'!A1162</f>
        <v>44377</v>
      </c>
      <c r="B1161">
        <f>'raw data Crude oil'!B1162</f>
        <v>75.13</v>
      </c>
      <c r="C1161">
        <f>'raw data Crude oil'!C1162</f>
        <v>74.62</v>
      </c>
      <c r="D1161">
        <f>'raw data Crude oil'!D1162</f>
        <v>73.790000000000006</v>
      </c>
      <c r="E1161">
        <f>'raw data Crude oil'!E1162</f>
        <v>73.05</v>
      </c>
      <c r="F1161">
        <f>'raw data Crude oil'!F1162</f>
        <v>72.37</v>
      </c>
      <c r="G1161">
        <f>'raw data Crude oil'!G1162</f>
        <v>71.77</v>
      </c>
      <c r="H1161">
        <f>'raw data Crude oil'!H1162</f>
        <v>71.239999999999995</v>
      </c>
      <c r="I1161">
        <f>'raw data Crude oil'!I1162</f>
        <v>70.760000000000005</v>
      </c>
      <c r="J1161">
        <f>'raw data Crude oil'!J1162</f>
        <v>70.31</v>
      </c>
      <c r="K1161">
        <f>'raw data Crude oil'!K1162</f>
        <v>69.88</v>
      </c>
      <c r="L1161">
        <f>'raw data Crude oil'!L1162</f>
        <v>69.459999999999994</v>
      </c>
      <c r="M1161">
        <f>'raw data Crude oil'!M1162</f>
        <v>69.08</v>
      </c>
      <c r="N1161">
        <f>'raw data Crude oil'!N1162</f>
        <v>73.47</v>
      </c>
      <c r="O1161">
        <f>'raw data Crude oil'!O1162</f>
        <v>72.77</v>
      </c>
      <c r="P1161">
        <f>'raw data Crude oil'!P1162</f>
        <v>71.760000000000005</v>
      </c>
      <c r="Q1161">
        <f>'raw data Crude oil'!Q1162</f>
        <v>70.89</v>
      </c>
      <c r="R1161">
        <f>'raw data Crude oil'!R1162</f>
        <v>70.13</v>
      </c>
      <c r="S1161">
        <f>'raw data Crude oil'!S1162</f>
        <v>69.430000000000007</v>
      </c>
      <c r="T1161">
        <f>'raw data Crude oil'!T1162</f>
        <v>68.78</v>
      </c>
      <c r="U1161">
        <f>'raw data Crude oil'!U1162</f>
        <v>68.17</v>
      </c>
      <c r="V1161">
        <f>'raw data Crude oil'!V1162</f>
        <v>67.599999999999994</v>
      </c>
      <c r="W1161">
        <f>'raw data Crude oil'!W1162</f>
        <v>67.05</v>
      </c>
      <c r="X1161">
        <f>'raw data Crude oil'!X1162</f>
        <v>66.540000000000006</v>
      </c>
      <c r="Y1161">
        <f>'raw data Crude oil'!Y1162</f>
        <v>66.010000000000005</v>
      </c>
      <c r="Z1161">
        <f>'raw data Crude oil'!Z1162</f>
        <v>71.572999999999993</v>
      </c>
      <c r="AA1161">
        <f>'raw data Crude oil'!AA1162</f>
        <v>72.584999999999994</v>
      </c>
      <c r="AB1161">
        <f>'raw data Crude oil'!AB1162</f>
        <v>71.456000000000003</v>
      </c>
      <c r="AC1161">
        <f>'raw data Crude oil'!AC1162</f>
        <v>70.617999999999995</v>
      </c>
      <c r="AD1161">
        <f>'raw data Crude oil'!AD1162</f>
        <v>69.95</v>
      </c>
      <c r="AE1161">
        <f>'raw data Crude oil'!AE1162</f>
        <v>69.352000000000004</v>
      </c>
      <c r="AF1161">
        <f>'raw data Crude oil'!AF1162</f>
        <v>68.778000000000006</v>
      </c>
      <c r="AG1161">
        <f>'raw data Crude oil'!AG1162</f>
        <v>68.278999999999996</v>
      </c>
      <c r="AH1161">
        <f>'raw data Crude oil'!AH1162</f>
        <v>67.828999999999994</v>
      </c>
      <c r="AI1161">
        <f>'raw data Crude oil'!AI1162</f>
        <v>67.402000000000001</v>
      </c>
      <c r="AJ1161">
        <f>'raw data Crude oil'!AJ1162</f>
        <v>66.980999999999995</v>
      </c>
      <c r="AK1161">
        <f>'raw data Crude oil'!AK1162</f>
        <v>66.563000000000002</v>
      </c>
    </row>
    <row r="1162" spans="1:37" x14ac:dyDescent="0.3">
      <c r="A1162" s="18">
        <f>'raw data Crude oil'!A1163</f>
        <v>44378</v>
      </c>
      <c r="B1162">
        <f>'raw data Crude oil'!B1163</f>
        <v>75.84</v>
      </c>
      <c r="C1162">
        <f>'raw data Crude oil'!C1163</f>
        <v>74.959999999999994</v>
      </c>
      <c r="D1162">
        <f>'raw data Crude oil'!D1163</f>
        <v>74.17</v>
      </c>
      <c r="E1162">
        <f>'raw data Crude oil'!E1163</f>
        <v>73.44</v>
      </c>
      <c r="F1162">
        <f>'raw data Crude oil'!F1163</f>
        <v>72.790000000000006</v>
      </c>
      <c r="G1162">
        <f>'raw data Crude oil'!G1163</f>
        <v>72.209999999999994</v>
      </c>
      <c r="H1162">
        <f>'raw data Crude oil'!H1163</f>
        <v>71.709999999999994</v>
      </c>
      <c r="I1162">
        <f>'raw data Crude oil'!I1163</f>
        <v>71.239999999999995</v>
      </c>
      <c r="J1162">
        <f>'raw data Crude oil'!J1163</f>
        <v>70.790000000000006</v>
      </c>
      <c r="K1162">
        <f>'raw data Crude oil'!K1163</f>
        <v>70.349999999999994</v>
      </c>
      <c r="L1162">
        <f>'raw data Crude oil'!L1163</f>
        <v>69.94</v>
      </c>
      <c r="M1162">
        <f>'raw data Crude oil'!M1163</f>
        <v>69.540000000000006</v>
      </c>
      <c r="N1162">
        <f>'raw data Crude oil'!N1163</f>
        <v>75.23</v>
      </c>
      <c r="O1162">
        <f>'raw data Crude oil'!O1163</f>
        <v>74.33</v>
      </c>
      <c r="P1162">
        <f>'raw data Crude oil'!P1163</f>
        <v>73.06</v>
      </c>
      <c r="Q1162">
        <f>'raw data Crude oil'!Q1163</f>
        <v>72.05</v>
      </c>
      <c r="R1162">
        <f>'raw data Crude oil'!R1163</f>
        <v>71.22</v>
      </c>
      <c r="S1162">
        <f>'raw data Crude oil'!S1163</f>
        <v>70.48</v>
      </c>
      <c r="T1162">
        <f>'raw data Crude oil'!T1163</f>
        <v>69.8</v>
      </c>
      <c r="U1162">
        <f>'raw data Crude oil'!U1163</f>
        <v>69.16</v>
      </c>
      <c r="V1162">
        <f>'raw data Crude oil'!V1163</f>
        <v>68.56</v>
      </c>
      <c r="W1162">
        <f>'raw data Crude oil'!W1163</f>
        <v>68</v>
      </c>
      <c r="X1162">
        <f>'raw data Crude oil'!X1163</f>
        <v>67.459999999999994</v>
      </c>
      <c r="Y1162">
        <f>'raw data Crude oil'!Y1163</f>
        <v>66.900000000000006</v>
      </c>
      <c r="Z1162">
        <f>'raw data Crude oil'!Z1163</f>
        <v>71.572999999999993</v>
      </c>
      <c r="AA1162">
        <f>'raw data Crude oil'!AA1163</f>
        <v>73.936999999999998</v>
      </c>
      <c r="AB1162">
        <f>'raw data Crude oil'!AB1163</f>
        <v>72.694000000000003</v>
      </c>
      <c r="AC1162">
        <f>'raw data Crude oil'!AC1163</f>
        <v>71.766999999999996</v>
      </c>
      <c r="AD1162">
        <f>'raw data Crude oil'!AD1163</f>
        <v>71.049000000000007</v>
      </c>
      <c r="AE1162">
        <f>'raw data Crude oil'!AE1163</f>
        <v>70.394000000000005</v>
      </c>
      <c r="AF1162">
        <f>'raw data Crude oil'!AF1163</f>
        <v>69.766999999999996</v>
      </c>
      <c r="AG1162">
        <f>'raw data Crude oil'!AG1163</f>
        <v>69.227999999999994</v>
      </c>
      <c r="AH1162">
        <f>'raw data Crude oil'!AH1163</f>
        <v>68.757999999999996</v>
      </c>
      <c r="AI1162">
        <f>'raw data Crude oil'!AI1163</f>
        <v>68.311000000000007</v>
      </c>
      <c r="AJ1162">
        <f>'raw data Crude oil'!AJ1163</f>
        <v>67.87</v>
      </c>
      <c r="AK1162">
        <f>'raw data Crude oil'!AK1163</f>
        <v>67.421999999999997</v>
      </c>
    </row>
    <row r="1163" spans="1:37" x14ac:dyDescent="0.3">
      <c r="A1163" s="18">
        <f>'raw data Crude oil'!A1164</f>
        <v>44379</v>
      </c>
      <c r="B1163">
        <f>'raw data Crude oil'!B1164</f>
        <v>76.17</v>
      </c>
      <c r="C1163">
        <f>'raw data Crude oil'!C1164</f>
        <v>75.3</v>
      </c>
      <c r="D1163">
        <f>'raw data Crude oil'!D1164</f>
        <v>74.52</v>
      </c>
      <c r="E1163">
        <f>'raw data Crude oil'!E1164</f>
        <v>73.790000000000006</v>
      </c>
      <c r="F1163">
        <f>'raw data Crude oil'!F1164</f>
        <v>73.13</v>
      </c>
      <c r="G1163">
        <f>'raw data Crude oil'!G1164</f>
        <v>72.55</v>
      </c>
      <c r="H1163">
        <f>'raw data Crude oil'!H1164</f>
        <v>72.05</v>
      </c>
      <c r="I1163">
        <f>'raw data Crude oil'!I1164</f>
        <v>71.58</v>
      </c>
      <c r="J1163">
        <f>'raw data Crude oil'!J1164</f>
        <v>71.14</v>
      </c>
      <c r="K1163">
        <f>'raw data Crude oil'!K1164</f>
        <v>70.7</v>
      </c>
      <c r="L1163">
        <f>'raw data Crude oil'!L1164</f>
        <v>70.28</v>
      </c>
      <c r="M1163">
        <f>'raw data Crude oil'!M1164</f>
        <v>69.88</v>
      </c>
      <c r="N1163">
        <f>'raw data Crude oil'!N1164</f>
        <v>75.16</v>
      </c>
      <c r="O1163">
        <f>'raw data Crude oil'!O1164</f>
        <v>74.36</v>
      </c>
      <c r="P1163">
        <f>'raw data Crude oil'!P1164</f>
        <v>73.25</v>
      </c>
      <c r="Q1163">
        <f>'raw data Crude oil'!Q1164</f>
        <v>72.27</v>
      </c>
      <c r="R1163">
        <f>'raw data Crude oil'!R1164</f>
        <v>71.45</v>
      </c>
      <c r="S1163">
        <f>'raw data Crude oil'!S1164</f>
        <v>70.709999999999994</v>
      </c>
      <c r="T1163">
        <f>'raw data Crude oil'!T1164</f>
        <v>70.02</v>
      </c>
      <c r="U1163">
        <f>'raw data Crude oil'!U1164</f>
        <v>69.39</v>
      </c>
      <c r="V1163">
        <f>'raw data Crude oil'!V1164</f>
        <v>68.8</v>
      </c>
      <c r="W1163">
        <f>'raw data Crude oil'!W1164</f>
        <v>68.23</v>
      </c>
      <c r="X1163">
        <f>'raw data Crude oil'!X1164</f>
        <v>67.69</v>
      </c>
      <c r="Y1163">
        <f>'raw data Crude oil'!Y1164</f>
        <v>67.13</v>
      </c>
      <c r="Z1163">
        <f>'raw data Crude oil'!Z1164</f>
        <v>74.241</v>
      </c>
      <c r="AA1163">
        <f>'raw data Crude oil'!AA1164</f>
        <v>73.045000000000002</v>
      </c>
      <c r="AB1163">
        <f>'raw data Crude oil'!AB1164</f>
        <v>72.119</v>
      </c>
      <c r="AC1163">
        <f>'raw data Crude oil'!AC1164</f>
        <v>71.391999999999996</v>
      </c>
      <c r="AD1163">
        <f>'raw data Crude oil'!AD1164</f>
        <v>70.739000000000004</v>
      </c>
      <c r="AE1163">
        <f>'raw data Crude oil'!AE1164</f>
        <v>70.087000000000003</v>
      </c>
      <c r="AF1163">
        <f>'raw data Crude oil'!AF1164</f>
        <v>69.548000000000002</v>
      </c>
      <c r="AG1163">
        <f>'raw data Crude oil'!AG1164</f>
        <v>69.097999999999999</v>
      </c>
      <c r="AH1163">
        <f>'raw data Crude oil'!AH1164</f>
        <v>68.641000000000005</v>
      </c>
      <c r="AI1163">
        <f>'raw data Crude oil'!AI1164</f>
        <v>68.198999999999998</v>
      </c>
      <c r="AJ1163">
        <f>'raw data Crude oil'!AJ1164</f>
        <v>67.762</v>
      </c>
      <c r="AK1163">
        <f>'raw data Crude oil'!AK1164</f>
        <v>67.361999999999995</v>
      </c>
    </row>
    <row r="1164" spans="1:37" x14ac:dyDescent="0.3">
      <c r="A1164" s="18">
        <f>'raw data Crude oil'!A1165</f>
        <v>44382</v>
      </c>
      <c r="B1164">
        <f>'raw data Crude oil'!B1165</f>
        <v>77.16</v>
      </c>
      <c r="C1164">
        <f>'raw data Crude oil'!C1165</f>
        <v>76.17</v>
      </c>
      <c r="D1164">
        <f>'raw data Crude oil'!D1165</f>
        <v>75.3</v>
      </c>
      <c r="E1164">
        <f>'raw data Crude oil'!E1165</f>
        <v>74.510000000000005</v>
      </c>
      <c r="F1164">
        <f>'raw data Crude oil'!F1165</f>
        <v>73.78</v>
      </c>
      <c r="G1164">
        <f>'raw data Crude oil'!G1165</f>
        <v>73.14</v>
      </c>
      <c r="H1164">
        <f>'raw data Crude oil'!H1165</f>
        <v>72.58</v>
      </c>
      <c r="I1164">
        <f>'raw data Crude oil'!I1165</f>
        <v>72.09</v>
      </c>
      <c r="J1164">
        <f>'raw data Crude oil'!J1165</f>
        <v>71.62</v>
      </c>
      <c r="K1164">
        <f>'raw data Crude oil'!K1165</f>
        <v>71.16</v>
      </c>
      <c r="L1164">
        <f>'raw data Crude oil'!L1165</f>
        <v>70.73</v>
      </c>
      <c r="M1164">
        <f>'raw data Crude oil'!M1165</f>
        <v>70.31</v>
      </c>
      <c r="N1164">
        <f>'raw data Crude oil'!N1165</f>
        <v>75.16</v>
      </c>
      <c r="O1164">
        <f>'raw data Crude oil'!O1165</f>
        <v>74.36</v>
      </c>
      <c r="P1164">
        <f>'raw data Crude oil'!P1165</f>
        <v>73.25</v>
      </c>
      <c r="Q1164">
        <f>'raw data Crude oil'!Q1165</f>
        <v>72.27</v>
      </c>
      <c r="R1164">
        <f>'raw data Crude oil'!R1165</f>
        <v>71.45</v>
      </c>
      <c r="S1164">
        <f>'raw data Crude oil'!S1165</f>
        <v>70.709999999999994</v>
      </c>
      <c r="T1164">
        <f>'raw data Crude oil'!T1165</f>
        <v>70.02</v>
      </c>
      <c r="U1164">
        <f>'raw data Crude oil'!U1165</f>
        <v>69.39</v>
      </c>
      <c r="V1164">
        <f>'raw data Crude oil'!V1165</f>
        <v>68.8</v>
      </c>
      <c r="W1164">
        <f>'raw data Crude oil'!W1165</f>
        <v>68.23</v>
      </c>
      <c r="X1164">
        <f>'raw data Crude oil'!X1165</f>
        <v>67.69</v>
      </c>
      <c r="Y1164">
        <f>'raw data Crude oil'!Y1165</f>
        <v>67.13</v>
      </c>
      <c r="Z1164">
        <f>'raw data Crude oil'!Z1165</f>
        <v>75.025999999999996</v>
      </c>
      <c r="AA1164">
        <f>'raw data Crude oil'!AA1165</f>
        <v>73.87</v>
      </c>
      <c r="AB1164">
        <f>'raw data Crude oil'!AB1165</f>
        <v>72.884</v>
      </c>
      <c r="AC1164">
        <f>'raw data Crude oil'!AC1165</f>
        <v>72.094999999999999</v>
      </c>
      <c r="AD1164">
        <f>'raw data Crude oil'!AD1165</f>
        <v>71.370999999999995</v>
      </c>
      <c r="AE1164">
        <f>'raw data Crude oil'!AE1165</f>
        <v>70.671000000000006</v>
      </c>
      <c r="AF1164">
        <f>'raw data Crude oil'!AF1165</f>
        <v>70.076999999999998</v>
      </c>
      <c r="AG1164">
        <f>'raw data Crude oil'!AG1165</f>
        <v>69.606999999999999</v>
      </c>
      <c r="AH1164">
        <f>'raw data Crude oil'!AH1165</f>
        <v>69.12</v>
      </c>
      <c r="AI1164">
        <f>'raw data Crude oil'!AI1165</f>
        <v>68.659000000000006</v>
      </c>
      <c r="AJ1164">
        <f>'raw data Crude oil'!AJ1165</f>
        <v>68.210999999999999</v>
      </c>
      <c r="AK1164">
        <f>'raw data Crude oil'!AK1165</f>
        <v>67.790999999999997</v>
      </c>
    </row>
    <row r="1165" spans="1:37" x14ac:dyDescent="0.3">
      <c r="A1165" s="18">
        <f>'raw data Crude oil'!A1166</f>
        <v>44383</v>
      </c>
      <c r="B1165">
        <f>'raw data Crude oil'!B1166</f>
        <v>74.53</v>
      </c>
      <c r="C1165">
        <f>'raw data Crude oil'!C1166</f>
        <v>73.58</v>
      </c>
      <c r="D1165">
        <f>'raw data Crude oil'!D1166</f>
        <v>72.72</v>
      </c>
      <c r="E1165">
        <f>'raw data Crude oil'!E1166</f>
        <v>71.92</v>
      </c>
      <c r="F1165">
        <f>'raw data Crude oil'!F1166</f>
        <v>71.209999999999994</v>
      </c>
      <c r="G1165">
        <f>'raw data Crude oil'!G1166</f>
        <v>70.59</v>
      </c>
      <c r="H1165">
        <f>'raw data Crude oil'!H1166</f>
        <v>70.069999999999993</v>
      </c>
      <c r="I1165">
        <f>'raw data Crude oil'!I1166</f>
        <v>69.61</v>
      </c>
      <c r="J1165">
        <f>'raw data Crude oil'!J1166</f>
        <v>69.180000000000007</v>
      </c>
      <c r="K1165">
        <f>'raw data Crude oil'!K1166</f>
        <v>68.760000000000005</v>
      </c>
      <c r="L1165">
        <f>'raw data Crude oil'!L1166</f>
        <v>68.36</v>
      </c>
      <c r="M1165">
        <f>'raw data Crude oil'!M1166</f>
        <v>67.97</v>
      </c>
      <c r="N1165">
        <f>'raw data Crude oil'!N1166</f>
        <v>73.37</v>
      </c>
      <c r="O1165">
        <f>'raw data Crude oil'!O1166</f>
        <v>72.58</v>
      </c>
      <c r="P1165">
        <f>'raw data Crude oil'!P1166</f>
        <v>71.459999999999994</v>
      </c>
      <c r="Q1165">
        <f>'raw data Crude oil'!Q1166</f>
        <v>70.430000000000007</v>
      </c>
      <c r="R1165">
        <f>'raw data Crude oil'!R1166</f>
        <v>69.58</v>
      </c>
      <c r="S1165">
        <f>'raw data Crude oil'!S1166</f>
        <v>68.819999999999993</v>
      </c>
      <c r="T1165">
        <f>'raw data Crude oil'!T1166</f>
        <v>68.12</v>
      </c>
      <c r="U1165">
        <f>'raw data Crude oil'!U1166</f>
        <v>67.48</v>
      </c>
      <c r="V1165">
        <f>'raw data Crude oil'!V1166</f>
        <v>66.88</v>
      </c>
      <c r="W1165">
        <f>'raw data Crude oil'!W1166</f>
        <v>66.319999999999993</v>
      </c>
      <c r="X1165">
        <f>'raw data Crude oil'!X1166</f>
        <v>65.77</v>
      </c>
      <c r="Y1165">
        <f>'raw data Crude oil'!Y1166</f>
        <v>65.209999999999994</v>
      </c>
      <c r="Z1165">
        <f>'raw data Crude oil'!Z1166</f>
        <v>72.954999999999998</v>
      </c>
      <c r="AA1165">
        <f>'raw data Crude oil'!AA1166</f>
        <v>71.301000000000002</v>
      </c>
      <c r="AB1165">
        <f>'raw data Crude oil'!AB1166</f>
        <v>70.274000000000001</v>
      </c>
      <c r="AC1165">
        <f>'raw data Crude oil'!AC1166</f>
        <v>69.445999999999998</v>
      </c>
      <c r="AD1165">
        <f>'raw data Crude oil'!AD1166</f>
        <v>68.701999999999998</v>
      </c>
      <c r="AE1165">
        <f>'raw data Crude oil'!AE1166</f>
        <v>68.025000000000006</v>
      </c>
      <c r="AF1165">
        <f>'raw data Crude oil'!AF1166</f>
        <v>67.447999999999993</v>
      </c>
      <c r="AG1165">
        <f>'raw data Crude oil'!AG1166</f>
        <v>67.019000000000005</v>
      </c>
      <c r="AH1165">
        <f>'raw data Crude oil'!AH1166</f>
        <v>66.622</v>
      </c>
      <c r="AI1165">
        <f>'raw data Crude oil'!AI1166</f>
        <v>66.22</v>
      </c>
      <c r="AJ1165">
        <f>'raw data Crude oil'!AJ1166</f>
        <v>65.831999999999994</v>
      </c>
      <c r="AK1165">
        <f>'raw data Crude oil'!AK1166</f>
        <v>65.442999999999998</v>
      </c>
    </row>
    <row r="1166" spans="1:37" x14ac:dyDescent="0.3">
      <c r="A1166" s="18">
        <f>'raw data Crude oil'!A1167</f>
        <v>44384</v>
      </c>
      <c r="B1166">
        <f>'raw data Crude oil'!B1167</f>
        <v>73.430000000000007</v>
      </c>
      <c r="C1166">
        <f>'raw data Crude oil'!C1167</f>
        <v>72.55</v>
      </c>
      <c r="D1166">
        <f>'raw data Crude oil'!D1167</f>
        <v>71.73</v>
      </c>
      <c r="E1166">
        <f>'raw data Crude oil'!E1167</f>
        <v>70.959999999999994</v>
      </c>
      <c r="F1166">
        <f>'raw data Crude oil'!F1167</f>
        <v>70.260000000000005</v>
      </c>
      <c r="G1166">
        <f>'raw data Crude oil'!G1167</f>
        <v>69.650000000000006</v>
      </c>
      <c r="H1166">
        <f>'raw data Crude oil'!H1167</f>
        <v>69.14</v>
      </c>
      <c r="I1166">
        <f>'raw data Crude oil'!I1167</f>
        <v>68.69</v>
      </c>
      <c r="J1166">
        <f>'raw data Crude oil'!J1167</f>
        <v>68.27</v>
      </c>
      <c r="K1166">
        <f>'raw data Crude oil'!K1167</f>
        <v>67.86</v>
      </c>
      <c r="L1166">
        <f>'raw data Crude oil'!L1167</f>
        <v>67.459999999999994</v>
      </c>
      <c r="M1166">
        <f>'raw data Crude oil'!M1167</f>
        <v>67.08</v>
      </c>
      <c r="N1166">
        <f>'raw data Crude oil'!N1167</f>
        <v>72.2</v>
      </c>
      <c r="O1166">
        <f>'raw data Crude oil'!O1167</f>
        <v>71.5</v>
      </c>
      <c r="P1166">
        <f>'raw data Crude oil'!P1167</f>
        <v>70.42</v>
      </c>
      <c r="Q1166">
        <f>'raw data Crude oil'!Q1167</f>
        <v>69.45</v>
      </c>
      <c r="R1166">
        <f>'raw data Crude oil'!R1167</f>
        <v>68.64</v>
      </c>
      <c r="S1166">
        <f>'raw data Crude oil'!S1167</f>
        <v>67.89</v>
      </c>
      <c r="T1166">
        <f>'raw data Crude oil'!T1167</f>
        <v>67.2</v>
      </c>
      <c r="U1166">
        <f>'raw data Crude oil'!U1167</f>
        <v>66.569999999999993</v>
      </c>
      <c r="V1166">
        <f>'raw data Crude oil'!V1167</f>
        <v>65.98</v>
      </c>
      <c r="W1166">
        <f>'raw data Crude oil'!W1167</f>
        <v>65.42</v>
      </c>
      <c r="X1166">
        <f>'raw data Crude oil'!X1167</f>
        <v>64.89</v>
      </c>
      <c r="Y1166">
        <f>'raw data Crude oil'!Y1167</f>
        <v>64.34</v>
      </c>
      <c r="Z1166">
        <f>'raw data Crude oil'!Z1167</f>
        <v>72.135000000000005</v>
      </c>
      <c r="AA1166">
        <f>'raw data Crude oil'!AA1167</f>
        <v>70.183000000000007</v>
      </c>
      <c r="AB1166">
        <f>'raw data Crude oil'!AB1167</f>
        <v>69.165000000000006</v>
      </c>
      <c r="AC1166">
        <f>'raw data Crude oil'!AC1167</f>
        <v>68.376999999999995</v>
      </c>
      <c r="AD1166">
        <f>'raw data Crude oil'!AD1167</f>
        <v>67.671999999999997</v>
      </c>
      <c r="AE1166">
        <f>'raw data Crude oil'!AE1167</f>
        <v>67.016000000000005</v>
      </c>
      <c r="AF1166">
        <f>'raw data Crude oil'!AF1167</f>
        <v>66.478999999999999</v>
      </c>
      <c r="AG1166">
        <f>'raw data Crude oil'!AG1167</f>
        <v>66.009</v>
      </c>
      <c r="AH1166">
        <f>'raw data Crude oil'!AH1167</f>
        <v>65.591999999999999</v>
      </c>
      <c r="AI1166">
        <f>'raw data Crude oil'!AI1167</f>
        <v>65.180000000000007</v>
      </c>
      <c r="AJ1166">
        <f>'raw data Crude oil'!AJ1167</f>
        <v>64.813000000000002</v>
      </c>
      <c r="AK1166">
        <f>'raw data Crude oil'!AK1167</f>
        <v>64.453000000000003</v>
      </c>
    </row>
    <row r="1167" spans="1:37" x14ac:dyDescent="0.3">
      <c r="A1167" s="18">
        <f>'raw data Crude oil'!A1168</f>
        <v>44385</v>
      </c>
      <c r="B1167">
        <f>'raw data Crude oil'!B1168</f>
        <v>74.12</v>
      </c>
      <c r="C1167">
        <f>'raw data Crude oil'!C1168</f>
        <v>73.290000000000006</v>
      </c>
      <c r="D1167">
        <f>'raw data Crude oil'!D1168</f>
        <v>72.48</v>
      </c>
      <c r="E1167">
        <f>'raw data Crude oil'!E1168</f>
        <v>71.7</v>
      </c>
      <c r="F1167">
        <f>'raw data Crude oil'!F1168</f>
        <v>71</v>
      </c>
      <c r="G1167">
        <f>'raw data Crude oil'!G1168</f>
        <v>70.38</v>
      </c>
      <c r="H1167">
        <f>'raw data Crude oil'!H1168</f>
        <v>69.849999999999994</v>
      </c>
      <c r="I1167">
        <f>'raw data Crude oil'!I1168</f>
        <v>69.38</v>
      </c>
      <c r="J1167">
        <f>'raw data Crude oil'!J1168</f>
        <v>68.94</v>
      </c>
      <c r="K1167">
        <f>'raw data Crude oil'!K1168</f>
        <v>68.5</v>
      </c>
      <c r="L1167">
        <f>'raw data Crude oil'!L1168</f>
        <v>68.09</v>
      </c>
      <c r="M1167">
        <f>'raw data Crude oil'!M1168</f>
        <v>67.69</v>
      </c>
      <c r="N1167">
        <f>'raw data Crude oil'!N1168</f>
        <v>72.94</v>
      </c>
      <c r="O1167">
        <f>'raw data Crude oil'!O1168</f>
        <v>72.22</v>
      </c>
      <c r="P1167">
        <f>'raw data Crude oil'!P1168</f>
        <v>71.17</v>
      </c>
      <c r="Q1167">
        <f>'raw data Crude oil'!Q1168</f>
        <v>70.19</v>
      </c>
      <c r="R1167">
        <f>'raw data Crude oil'!R1168</f>
        <v>69.36</v>
      </c>
      <c r="S1167">
        <f>'raw data Crude oil'!S1168</f>
        <v>68.61</v>
      </c>
      <c r="T1167">
        <f>'raw data Crude oil'!T1168</f>
        <v>67.91</v>
      </c>
      <c r="U1167">
        <f>'raw data Crude oil'!U1168</f>
        <v>67.27</v>
      </c>
      <c r="V1167">
        <f>'raw data Crude oil'!V1168</f>
        <v>66.66</v>
      </c>
      <c r="W1167">
        <f>'raw data Crude oil'!W1168</f>
        <v>66.08</v>
      </c>
      <c r="X1167">
        <f>'raw data Crude oil'!X1168</f>
        <v>65.53</v>
      </c>
      <c r="Y1167">
        <f>'raw data Crude oil'!Y1168</f>
        <v>64.97</v>
      </c>
      <c r="Z1167">
        <f>'raw data Crude oil'!Z1168</f>
        <v>72.686999999999998</v>
      </c>
      <c r="AA1167">
        <f>'raw data Crude oil'!AA1168</f>
        <v>71.052999999999997</v>
      </c>
      <c r="AB1167">
        <f>'raw data Crude oil'!AB1168</f>
        <v>69.954999999999998</v>
      </c>
      <c r="AC1167">
        <f>'raw data Crude oil'!AC1168</f>
        <v>69.137</v>
      </c>
      <c r="AD1167">
        <f>'raw data Crude oil'!AD1168</f>
        <v>68.432000000000002</v>
      </c>
      <c r="AE1167">
        <f>'raw data Crude oil'!AE1168</f>
        <v>67.784000000000006</v>
      </c>
      <c r="AF1167">
        <f>'raw data Crude oil'!AF1168</f>
        <v>67.227999999999994</v>
      </c>
      <c r="AG1167">
        <f>'raw data Crude oil'!AG1168</f>
        <v>66.738</v>
      </c>
      <c r="AH1167">
        <f>'raw data Crude oil'!AH1168</f>
        <v>66.301000000000002</v>
      </c>
      <c r="AI1167">
        <f>'raw data Crude oil'!AI1168</f>
        <v>65.86</v>
      </c>
      <c r="AJ1167">
        <f>'raw data Crude oil'!AJ1168</f>
        <v>65.481999999999999</v>
      </c>
      <c r="AK1167">
        <f>'raw data Crude oil'!AK1168</f>
        <v>65.102000000000004</v>
      </c>
    </row>
    <row r="1168" spans="1:37" x14ac:dyDescent="0.3">
      <c r="A1168" s="18">
        <f>'raw data Crude oil'!A1169</f>
        <v>44386</v>
      </c>
      <c r="B1168">
        <f>'raw data Crude oil'!B1169</f>
        <v>75.55</v>
      </c>
      <c r="C1168">
        <f>'raw data Crude oil'!C1169</f>
        <v>74.739999999999995</v>
      </c>
      <c r="D1168">
        <f>'raw data Crude oil'!D1169</f>
        <v>73.92</v>
      </c>
      <c r="E1168">
        <f>'raw data Crude oil'!E1169</f>
        <v>73.11</v>
      </c>
      <c r="F1168">
        <f>'raw data Crude oil'!F1169</f>
        <v>72.400000000000006</v>
      </c>
      <c r="G1168">
        <f>'raw data Crude oil'!G1169</f>
        <v>71.760000000000005</v>
      </c>
      <c r="H1168">
        <f>'raw data Crude oil'!H1169</f>
        <v>71.209999999999994</v>
      </c>
      <c r="I1168">
        <f>'raw data Crude oil'!I1169</f>
        <v>70.73</v>
      </c>
      <c r="J1168">
        <f>'raw data Crude oil'!J1169</f>
        <v>70.27</v>
      </c>
      <c r="K1168">
        <f>'raw data Crude oil'!K1169</f>
        <v>69.81</v>
      </c>
      <c r="L1168">
        <f>'raw data Crude oil'!L1169</f>
        <v>69.38</v>
      </c>
      <c r="M1168">
        <f>'raw data Crude oil'!M1169</f>
        <v>68.959999999999994</v>
      </c>
      <c r="N1168">
        <f>'raw data Crude oil'!N1169</f>
        <v>74.56</v>
      </c>
      <c r="O1168">
        <f>'raw data Crude oil'!O1169</f>
        <v>73.81</v>
      </c>
      <c r="P1168">
        <f>'raw data Crude oil'!P1169</f>
        <v>72.680000000000007</v>
      </c>
      <c r="Q1168">
        <f>'raw data Crude oil'!Q1169</f>
        <v>71.64</v>
      </c>
      <c r="R1168">
        <f>'raw data Crude oil'!R1169</f>
        <v>70.790000000000006</v>
      </c>
      <c r="S1168">
        <f>'raw data Crude oil'!S1169</f>
        <v>70.010000000000005</v>
      </c>
      <c r="T1168">
        <f>'raw data Crude oil'!T1169</f>
        <v>69.3</v>
      </c>
      <c r="U1168">
        <f>'raw data Crude oil'!U1169</f>
        <v>68.64</v>
      </c>
      <c r="V1168">
        <f>'raw data Crude oil'!V1169</f>
        <v>68.010000000000005</v>
      </c>
      <c r="W1168">
        <f>'raw data Crude oil'!W1169</f>
        <v>67.41</v>
      </c>
      <c r="X1168">
        <f>'raw data Crude oil'!X1169</f>
        <v>66.84</v>
      </c>
      <c r="Y1168">
        <f>'raw data Crude oil'!Y1169</f>
        <v>66.260000000000005</v>
      </c>
      <c r="Z1168">
        <f>'raw data Crude oil'!Z1169</f>
        <v>73.808000000000007</v>
      </c>
      <c r="AA1168">
        <f>'raw data Crude oil'!AA1169</f>
        <v>72.613</v>
      </c>
      <c r="AB1168">
        <f>'raw data Crude oil'!AB1169</f>
        <v>71.453000000000003</v>
      </c>
      <c r="AC1168">
        <f>'raw data Crude oil'!AC1169</f>
        <v>70.605999999999995</v>
      </c>
      <c r="AD1168">
        <f>'raw data Crude oil'!AD1169</f>
        <v>69.873999999999995</v>
      </c>
      <c r="AE1168">
        <f>'raw data Crude oil'!AE1169</f>
        <v>69.204999999999998</v>
      </c>
      <c r="AF1168">
        <f>'raw data Crude oil'!AF1169</f>
        <v>68.656999999999996</v>
      </c>
      <c r="AG1168">
        <f>'raw data Crude oil'!AG1169</f>
        <v>68.156999999999996</v>
      </c>
      <c r="AH1168">
        <f>'raw data Crude oil'!AH1169</f>
        <v>67.67</v>
      </c>
      <c r="AI1168">
        <f>'raw data Crude oil'!AI1169</f>
        <v>67.248999999999995</v>
      </c>
      <c r="AJ1168">
        <f>'raw data Crude oil'!AJ1169</f>
        <v>66.831000000000003</v>
      </c>
      <c r="AK1168">
        <f>'raw data Crude oil'!AK1169</f>
        <v>66.421000000000006</v>
      </c>
    </row>
    <row r="1169" spans="1:37" x14ac:dyDescent="0.3">
      <c r="A1169" s="18">
        <f>'raw data Crude oil'!A1170</f>
        <v>44389</v>
      </c>
      <c r="B1169">
        <f>'raw data Crude oil'!B1170</f>
        <v>75.16</v>
      </c>
      <c r="C1169">
        <f>'raw data Crude oil'!C1170</f>
        <v>74.42</v>
      </c>
      <c r="D1169">
        <f>'raw data Crude oil'!D1170</f>
        <v>73.650000000000006</v>
      </c>
      <c r="E1169">
        <f>'raw data Crude oil'!E1170</f>
        <v>72.87</v>
      </c>
      <c r="F1169">
        <f>'raw data Crude oil'!F1170</f>
        <v>72.180000000000007</v>
      </c>
      <c r="G1169">
        <f>'raw data Crude oil'!G1170</f>
        <v>71.569999999999993</v>
      </c>
      <c r="H1169">
        <f>'raw data Crude oil'!H1170</f>
        <v>71.040000000000006</v>
      </c>
      <c r="I1169">
        <f>'raw data Crude oil'!I1170</f>
        <v>70.569999999999993</v>
      </c>
      <c r="J1169">
        <f>'raw data Crude oil'!J1170</f>
        <v>70.13</v>
      </c>
      <c r="K1169">
        <f>'raw data Crude oil'!K1170</f>
        <v>69.680000000000007</v>
      </c>
      <c r="L1169">
        <f>'raw data Crude oil'!L1170</f>
        <v>69.260000000000005</v>
      </c>
      <c r="M1169">
        <f>'raw data Crude oil'!M1170</f>
        <v>68.86</v>
      </c>
      <c r="N1169">
        <f>'raw data Crude oil'!N1170</f>
        <v>74.099999999999994</v>
      </c>
      <c r="O1169">
        <f>'raw data Crude oil'!O1170</f>
        <v>73.44</v>
      </c>
      <c r="P1169">
        <f>'raw data Crude oil'!P1170</f>
        <v>72.36</v>
      </c>
      <c r="Q1169">
        <f>'raw data Crude oil'!Q1170</f>
        <v>71.39</v>
      </c>
      <c r="R1169">
        <f>'raw data Crude oil'!R1170</f>
        <v>70.58</v>
      </c>
      <c r="S1169">
        <f>'raw data Crude oil'!S1170</f>
        <v>69.83</v>
      </c>
      <c r="T1169">
        <f>'raw data Crude oil'!T1170</f>
        <v>69.14</v>
      </c>
      <c r="U1169">
        <f>'raw data Crude oil'!U1170</f>
        <v>68.510000000000005</v>
      </c>
      <c r="V1169">
        <f>'raw data Crude oil'!V1170</f>
        <v>67.91</v>
      </c>
      <c r="W1169">
        <f>'raw data Crude oil'!W1170</f>
        <v>67.33</v>
      </c>
      <c r="X1169">
        <f>'raw data Crude oil'!X1170</f>
        <v>66.790000000000006</v>
      </c>
      <c r="Y1169">
        <f>'raw data Crude oil'!Y1170</f>
        <v>66.23</v>
      </c>
      <c r="Z1169">
        <f>'raw data Crude oil'!Z1170</f>
        <v>73.578999999999994</v>
      </c>
      <c r="AA1169">
        <f>'raw data Crude oil'!AA1170</f>
        <v>72.305000000000007</v>
      </c>
      <c r="AB1169">
        <f>'raw data Crude oil'!AB1170</f>
        <v>71.194999999999993</v>
      </c>
      <c r="AC1169">
        <f>'raw data Crude oil'!AC1170</f>
        <v>70.367000000000004</v>
      </c>
      <c r="AD1169">
        <f>'raw data Crude oil'!AD1170</f>
        <v>69.652000000000001</v>
      </c>
      <c r="AE1169">
        <f>'raw data Crude oil'!AE1170</f>
        <v>69.013999999999996</v>
      </c>
      <c r="AF1169">
        <f>'raw data Crude oil'!AF1170</f>
        <v>68.488</v>
      </c>
      <c r="AG1169">
        <f>'raw data Crude oil'!AG1170</f>
        <v>67.998000000000005</v>
      </c>
      <c r="AH1169">
        <f>'raw data Crude oil'!AH1170</f>
        <v>67.53</v>
      </c>
      <c r="AI1169">
        <f>'raw data Crude oil'!AI1170</f>
        <v>67.119</v>
      </c>
      <c r="AJ1169">
        <f>'raw data Crude oil'!AJ1170</f>
        <v>66.712000000000003</v>
      </c>
      <c r="AK1169">
        <f>'raw data Crude oil'!AK1170</f>
        <v>66.322000000000003</v>
      </c>
    </row>
    <row r="1170" spans="1:37" x14ac:dyDescent="0.3">
      <c r="A1170" s="18">
        <f>'raw data Crude oil'!A1171</f>
        <v>44390</v>
      </c>
      <c r="B1170">
        <f>'raw data Crude oil'!B1171</f>
        <v>76.489999999999995</v>
      </c>
      <c r="C1170">
        <f>'raw data Crude oil'!C1171</f>
        <v>75.709999999999994</v>
      </c>
      <c r="D1170">
        <f>'raw data Crude oil'!D1171</f>
        <v>74.930000000000007</v>
      </c>
      <c r="E1170">
        <f>'raw data Crude oil'!E1171</f>
        <v>74.13</v>
      </c>
      <c r="F1170">
        <f>'raw data Crude oil'!F1171</f>
        <v>73.430000000000007</v>
      </c>
      <c r="G1170">
        <f>'raw data Crude oil'!G1171</f>
        <v>72.8</v>
      </c>
      <c r="H1170">
        <f>'raw data Crude oil'!H1171</f>
        <v>72.260000000000005</v>
      </c>
      <c r="I1170">
        <f>'raw data Crude oil'!I1171</f>
        <v>71.78</v>
      </c>
      <c r="J1170">
        <f>'raw data Crude oil'!J1171</f>
        <v>71.33</v>
      </c>
      <c r="K1170">
        <f>'raw data Crude oil'!K1171</f>
        <v>70.88</v>
      </c>
      <c r="L1170">
        <f>'raw data Crude oil'!L1171</f>
        <v>70.459999999999994</v>
      </c>
      <c r="M1170">
        <f>'raw data Crude oil'!M1171</f>
        <v>70.05</v>
      </c>
      <c r="N1170">
        <f>'raw data Crude oil'!N1171</f>
        <v>75.25</v>
      </c>
      <c r="O1170">
        <f>'raw data Crude oil'!O1171</f>
        <v>74.69</v>
      </c>
      <c r="P1170">
        <f>'raw data Crude oil'!P1171</f>
        <v>73.69</v>
      </c>
      <c r="Q1170">
        <f>'raw data Crude oil'!Q1171</f>
        <v>72.739999999999995</v>
      </c>
      <c r="R1170">
        <f>'raw data Crude oil'!R1171</f>
        <v>71.900000000000006</v>
      </c>
      <c r="S1170">
        <f>'raw data Crude oil'!S1171</f>
        <v>71.13</v>
      </c>
      <c r="T1170">
        <f>'raw data Crude oil'!T1171</f>
        <v>70.430000000000007</v>
      </c>
      <c r="U1170">
        <f>'raw data Crude oil'!U1171</f>
        <v>69.790000000000006</v>
      </c>
      <c r="V1170">
        <f>'raw data Crude oil'!V1171</f>
        <v>69.17</v>
      </c>
      <c r="W1170">
        <f>'raw data Crude oil'!W1171</f>
        <v>68.59</v>
      </c>
      <c r="X1170">
        <f>'raw data Crude oil'!X1171</f>
        <v>68.02</v>
      </c>
      <c r="Y1170">
        <f>'raw data Crude oil'!Y1171</f>
        <v>67.45</v>
      </c>
      <c r="Z1170">
        <f>'raw data Crude oil'!Z1171</f>
        <v>74.387</v>
      </c>
      <c r="AA1170">
        <f>'raw data Crude oil'!AA1171</f>
        <v>73.625</v>
      </c>
      <c r="AB1170">
        <f>'raw data Crude oil'!AB1171</f>
        <v>72.494</v>
      </c>
      <c r="AC1170">
        <f>'raw data Crude oil'!AC1171</f>
        <v>71.637</v>
      </c>
      <c r="AD1170">
        <f>'raw data Crude oil'!AD1171</f>
        <v>70.915999999999997</v>
      </c>
      <c r="AE1170">
        <f>'raw data Crude oil'!AE1171</f>
        <v>70.278000000000006</v>
      </c>
      <c r="AF1170">
        <f>'raw data Crude oil'!AF1171</f>
        <v>69.697000000000003</v>
      </c>
      <c r="AG1170">
        <f>'raw data Crude oil'!AG1171</f>
        <v>69.197999999999993</v>
      </c>
      <c r="AH1170">
        <f>'raw data Crude oil'!AH1171</f>
        <v>68.73</v>
      </c>
      <c r="AI1170">
        <f>'raw data Crude oil'!AI1171</f>
        <v>68.319000000000003</v>
      </c>
      <c r="AJ1170">
        <f>'raw data Crude oil'!AJ1171</f>
        <v>67.911000000000001</v>
      </c>
      <c r="AK1170">
        <f>'raw data Crude oil'!AK1171</f>
        <v>67.512</v>
      </c>
    </row>
    <row r="1171" spans="1:37" x14ac:dyDescent="0.3">
      <c r="A1171" s="18">
        <f>'raw data Crude oil'!A1172</f>
        <v>44391</v>
      </c>
      <c r="B1171">
        <f>'raw data Crude oil'!B1172</f>
        <v>74.760000000000005</v>
      </c>
      <c r="C1171">
        <f>'raw data Crude oil'!C1172</f>
        <v>73.98</v>
      </c>
      <c r="D1171">
        <f>'raw data Crude oil'!D1172</f>
        <v>73.22</v>
      </c>
      <c r="E1171">
        <f>'raw data Crude oil'!E1172</f>
        <v>72.459999999999994</v>
      </c>
      <c r="F1171">
        <f>'raw data Crude oil'!F1172</f>
        <v>71.790000000000006</v>
      </c>
      <c r="G1171">
        <f>'raw data Crude oil'!G1172</f>
        <v>71.2</v>
      </c>
      <c r="H1171">
        <f>'raw data Crude oil'!H1172</f>
        <v>70.7</v>
      </c>
      <c r="I1171">
        <f>'raw data Crude oil'!I1172</f>
        <v>70.260000000000005</v>
      </c>
      <c r="J1171">
        <f>'raw data Crude oil'!J1172</f>
        <v>69.849999999999994</v>
      </c>
      <c r="K1171">
        <f>'raw data Crude oil'!K1172</f>
        <v>69.44</v>
      </c>
      <c r="L1171">
        <f>'raw data Crude oil'!L1172</f>
        <v>69.040000000000006</v>
      </c>
      <c r="M1171">
        <f>'raw data Crude oil'!M1172</f>
        <v>68.66</v>
      </c>
      <c r="N1171">
        <f>'raw data Crude oil'!N1172</f>
        <v>73.13</v>
      </c>
      <c r="O1171">
        <f>'raw data Crude oil'!O1172</f>
        <v>72.64</v>
      </c>
      <c r="P1171">
        <f>'raw data Crude oil'!P1172</f>
        <v>71.81</v>
      </c>
      <c r="Q1171">
        <f>'raw data Crude oil'!Q1172</f>
        <v>70.959999999999994</v>
      </c>
      <c r="R1171">
        <f>'raw data Crude oil'!R1172</f>
        <v>70.209999999999994</v>
      </c>
      <c r="S1171">
        <f>'raw data Crude oil'!S1172</f>
        <v>69.52</v>
      </c>
      <c r="T1171">
        <f>'raw data Crude oil'!T1172</f>
        <v>68.88</v>
      </c>
      <c r="U1171">
        <f>'raw data Crude oil'!U1172</f>
        <v>68.290000000000006</v>
      </c>
      <c r="V1171">
        <f>'raw data Crude oil'!V1172</f>
        <v>67.72</v>
      </c>
      <c r="W1171">
        <f>'raw data Crude oil'!W1172</f>
        <v>67.16</v>
      </c>
      <c r="X1171">
        <f>'raw data Crude oil'!X1172</f>
        <v>66.63</v>
      </c>
      <c r="Y1171">
        <f>'raw data Crude oil'!Y1172</f>
        <v>66.09</v>
      </c>
      <c r="Z1171">
        <f>'raw data Crude oil'!Z1172</f>
        <v>73.516000000000005</v>
      </c>
      <c r="AA1171">
        <f>'raw data Crude oil'!AA1172</f>
        <v>71.935000000000002</v>
      </c>
      <c r="AB1171">
        <f>'raw data Crude oil'!AB1172</f>
        <v>70.849999999999994</v>
      </c>
      <c r="AC1171">
        <f>'raw data Crude oil'!AC1172</f>
        <v>70.007999999999996</v>
      </c>
      <c r="AD1171">
        <f>'raw data Crude oil'!AD1172</f>
        <v>69.313000000000002</v>
      </c>
      <c r="AE1171">
        <f>'raw data Crude oil'!AE1172</f>
        <v>68.706999999999994</v>
      </c>
      <c r="AF1171">
        <f>'raw data Crude oil'!AF1172</f>
        <v>68.179000000000002</v>
      </c>
      <c r="AG1171">
        <f>'raw data Crude oil'!AG1172</f>
        <v>67.72</v>
      </c>
      <c r="AH1171">
        <f>'raw data Crude oil'!AH1172</f>
        <v>67.292000000000002</v>
      </c>
      <c r="AI1171">
        <f>'raw data Crude oil'!AI1172</f>
        <v>66.900000000000006</v>
      </c>
      <c r="AJ1171">
        <f>'raw data Crude oil'!AJ1172</f>
        <v>66.513000000000005</v>
      </c>
      <c r="AK1171">
        <f>'raw data Crude oil'!AK1172</f>
        <v>66.144000000000005</v>
      </c>
    </row>
    <row r="1172" spans="1:37" x14ac:dyDescent="0.3">
      <c r="A1172" s="18">
        <f>'raw data Crude oil'!A1173</f>
        <v>44392</v>
      </c>
      <c r="B1172">
        <f>'raw data Crude oil'!B1173</f>
        <v>73.47</v>
      </c>
      <c r="C1172">
        <f>'raw data Crude oil'!C1173</f>
        <v>72.77</v>
      </c>
      <c r="D1172">
        <f>'raw data Crude oil'!D1173</f>
        <v>72.069999999999993</v>
      </c>
      <c r="E1172">
        <f>'raw data Crude oil'!E1173</f>
        <v>71.39</v>
      </c>
      <c r="F1172">
        <f>'raw data Crude oil'!F1173</f>
        <v>70.790000000000006</v>
      </c>
      <c r="G1172">
        <f>'raw data Crude oil'!G1173</f>
        <v>70.25</v>
      </c>
      <c r="H1172">
        <f>'raw data Crude oil'!H1173</f>
        <v>69.8</v>
      </c>
      <c r="I1172">
        <f>'raw data Crude oil'!I1173</f>
        <v>69.400000000000006</v>
      </c>
      <c r="J1172">
        <f>'raw data Crude oil'!J1173</f>
        <v>69.03</v>
      </c>
      <c r="K1172">
        <f>'raw data Crude oil'!K1173</f>
        <v>68.66</v>
      </c>
      <c r="L1172">
        <f>'raw data Crude oil'!L1173</f>
        <v>68.290000000000006</v>
      </c>
      <c r="M1172">
        <f>'raw data Crude oil'!M1173</f>
        <v>67.95</v>
      </c>
      <c r="N1172">
        <f>'raw data Crude oil'!N1173</f>
        <v>71.650000000000006</v>
      </c>
      <c r="O1172">
        <f>'raw data Crude oil'!O1173</f>
        <v>71.38</v>
      </c>
      <c r="P1172">
        <f>'raw data Crude oil'!P1173</f>
        <v>70.64</v>
      </c>
      <c r="Q1172">
        <f>'raw data Crude oil'!Q1173</f>
        <v>69.86</v>
      </c>
      <c r="R1172">
        <f>'raw data Crude oil'!R1173</f>
        <v>69.16</v>
      </c>
      <c r="S1172">
        <f>'raw data Crude oil'!S1173</f>
        <v>68.52</v>
      </c>
      <c r="T1172">
        <f>'raw data Crude oil'!T1173</f>
        <v>67.94</v>
      </c>
      <c r="U1172">
        <f>'raw data Crude oil'!U1173</f>
        <v>67.39</v>
      </c>
      <c r="V1172">
        <f>'raw data Crude oil'!V1173</f>
        <v>66.87</v>
      </c>
      <c r="W1172">
        <f>'raw data Crude oil'!W1173</f>
        <v>66.36</v>
      </c>
      <c r="X1172">
        <f>'raw data Crude oil'!X1173</f>
        <v>65.86</v>
      </c>
      <c r="Y1172">
        <f>'raw data Crude oil'!Y1173</f>
        <v>65.36</v>
      </c>
      <c r="Z1172">
        <f>'raw data Crude oil'!Z1173</f>
        <v>72.736999999999995</v>
      </c>
      <c r="AA1172">
        <f>'raw data Crude oil'!AA1173</f>
        <v>70.716999999999999</v>
      </c>
      <c r="AB1172">
        <f>'raw data Crude oil'!AB1173</f>
        <v>69.706999999999994</v>
      </c>
      <c r="AC1172">
        <f>'raw data Crude oil'!AC1173</f>
        <v>68.945999999999998</v>
      </c>
      <c r="AD1172">
        <f>'raw data Crude oil'!AD1173</f>
        <v>68.284999999999997</v>
      </c>
      <c r="AE1172">
        <f>'raw data Crude oil'!AE1173</f>
        <v>67.703999999999994</v>
      </c>
      <c r="AF1172">
        <f>'raw data Crude oil'!AF1173</f>
        <v>67.221000000000004</v>
      </c>
      <c r="AG1172">
        <f>'raw data Crude oil'!AG1173</f>
        <v>66.869</v>
      </c>
      <c r="AH1172">
        <f>'raw data Crude oil'!AH1173</f>
        <v>66.5</v>
      </c>
      <c r="AI1172">
        <f>'raw data Crude oil'!AI1173</f>
        <v>66.152000000000001</v>
      </c>
      <c r="AJ1172">
        <f>'raw data Crude oil'!AJ1173</f>
        <v>65.765000000000001</v>
      </c>
      <c r="AK1172">
        <f>'raw data Crude oil'!AK1173</f>
        <v>65.435000000000002</v>
      </c>
    </row>
    <row r="1173" spans="1:37" x14ac:dyDescent="0.3">
      <c r="A1173" s="18">
        <f>'raw data Crude oil'!A1174</f>
        <v>44393</v>
      </c>
      <c r="B1173">
        <f>'raw data Crude oil'!B1174</f>
        <v>73.59</v>
      </c>
      <c r="C1173">
        <f>'raw data Crude oil'!C1174</f>
        <v>72.97</v>
      </c>
      <c r="D1173">
        <f>'raw data Crude oil'!D1174</f>
        <v>72.319999999999993</v>
      </c>
      <c r="E1173">
        <f>'raw data Crude oil'!E1174</f>
        <v>71.67</v>
      </c>
      <c r="F1173">
        <f>'raw data Crude oil'!F1174</f>
        <v>71.09</v>
      </c>
      <c r="G1173">
        <f>'raw data Crude oil'!G1174</f>
        <v>70.58</v>
      </c>
      <c r="H1173">
        <f>'raw data Crude oil'!H1174</f>
        <v>70.14</v>
      </c>
      <c r="I1173">
        <f>'raw data Crude oil'!I1174</f>
        <v>69.75</v>
      </c>
      <c r="J1173">
        <f>'raw data Crude oil'!J1174</f>
        <v>69.38</v>
      </c>
      <c r="K1173">
        <f>'raw data Crude oil'!K1174</f>
        <v>69.03</v>
      </c>
      <c r="L1173">
        <f>'raw data Crude oil'!L1174</f>
        <v>68.680000000000007</v>
      </c>
      <c r="M1173">
        <f>'raw data Crude oil'!M1174</f>
        <v>68.34</v>
      </c>
      <c r="N1173">
        <f>'raw data Crude oil'!N1174</f>
        <v>71.81</v>
      </c>
      <c r="O1173">
        <f>'raw data Crude oil'!O1174</f>
        <v>71.56</v>
      </c>
      <c r="P1173">
        <f>'raw data Crude oil'!P1174</f>
        <v>70.819999999999993</v>
      </c>
      <c r="Q1173">
        <f>'raw data Crude oil'!Q1174</f>
        <v>70.069999999999993</v>
      </c>
      <c r="R1173">
        <f>'raw data Crude oil'!R1174</f>
        <v>69.41</v>
      </c>
      <c r="S1173">
        <f>'raw data Crude oil'!S1174</f>
        <v>68.81</v>
      </c>
      <c r="T1173">
        <f>'raw data Crude oil'!T1174</f>
        <v>68.25</v>
      </c>
      <c r="U1173">
        <f>'raw data Crude oil'!U1174</f>
        <v>67.73</v>
      </c>
      <c r="V1173">
        <f>'raw data Crude oil'!V1174</f>
        <v>67.22</v>
      </c>
      <c r="W1173">
        <f>'raw data Crude oil'!W1174</f>
        <v>66.73</v>
      </c>
      <c r="X1173">
        <f>'raw data Crude oil'!X1174</f>
        <v>66.25</v>
      </c>
      <c r="Y1173">
        <f>'raw data Crude oil'!Y1174</f>
        <v>65.760000000000005</v>
      </c>
      <c r="Z1173">
        <f>'raw data Crude oil'!Z1174</f>
        <v>72.781000000000006</v>
      </c>
      <c r="AA1173">
        <f>'raw data Crude oil'!AA1174</f>
        <v>70.84</v>
      </c>
      <c r="AB1173">
        <f>'raw data Crude oil'!AB1174</f>
        <v>69.87</v>
      </c>
      <c r="AC1173">
        <f>'raw data Crude oil'!AC1174</f>
        <v>69.171999999999997</v>
      </c>
      <c r="AD1173">
        <f>'raw data Crude oil'!AD1174</f>
        <v>68.566999999999993</v>
      </c>
      <c r="AE1173">
        <f>'raw data Crude oil'!AE1174</f>
        <v>68.001999999999995</v>
      </c>
      <c r="AF1173">
        <f>'raw data Crude oil'!AF1174</f>
        <v>67.531000000000006</v>
      </c>
      <c r="AG1173">
        <f>'raw data Crude oil'!AG1174</f>
        <v>67.132000000000005</v>
      </c>
      <c r="AH1173">
        <f>'raw data Crude oil'!AH1174</f>
        <v>66.754999999999995</v>
      </c>
      <c r="AI1173">
        <f>'raw data Crude oil'!AI1174</f>
        <v>66.403000000000006</v>
      </c>
      <c r="AJ1173">
        <f>'raw data Crude oil'!AJ1174</f>
        <v>66.075000000000003</v>
      </c>
      <c r="AK1173">
        <f>'raw data Crude oil'!AK1174</f>
        <v>65.765000000000001</v>
      </c>
    </row>
    <row r="1174" spans="1:37" x14ac:dyDescent="0.3">
      <c r="A1174" s="18">
        <f>'raw data Crude oil'!A1175</f>
        <v>44396</v>
      </c>
      <c r="B1174">
        <f>'raw data Crude oil'!B1175</f>
        <v>68.62</v>
      </c>
      <c r="C1174">
        <f>'raw data Crude oil'!C1175</f>
        <v>68.05</v>
      </c>
      <c r="D1174">
        <f>'raw data Crude oil'!D1175</f>
        <v>67.489999999999995</v>
      </c>
      <c r="E1174">
        <f>'raw data Crude oil'!E1175</f>
        <v>66.94</v>
      </c>
      <c r="F1174">
        <f>'raw data Crude oil'!F1175</f>
        <v>66.44</v>
      </c>
      <c r="G1174">
        <f>'raw data Crude oil'!G1175</f>
        <v>66</v>
      </c>
      <c r="H1174">
        <f>'raw data Crude oil'!H1175</f>
        <v>65.63</v>
      </c>
      <c r="I1174">
        <f>'raw data Crude oil'!I1175</f>
        <v>65.31</v>
      </c>
      <c r="J1174">
        <f>'raw data Crude oil'!J1175</f>
        <v>65.02</v>
      </c>
      <c r="K1174">
        <f>'raw data Crude oil'!K1175</f>
        <v>64.739999999999995</v>
      </c>
      <c r="L1174">
        <f>'raw data Crude oil'!L1175</f>
        <v>64.45</v>
      </c>
      <c r="M1174">
        <f>'raw data Crude oil'!M1175</f>
        <v>64.19</v>
      </c>
      <c r="N1174">
        <f>'raw data Crude oil'!N1175</f>
        <v>66.42</v>
      </c>
      <c r="O1174">
        <f>'raw data Crude oil'!O1175</f>
        <v>66.349999999999994</v>
      </c>
      <c r="P1174">
        <f>'raw data Crude oil'!P1175</f>
        <v>65.760000000000005</v>
      </c>
      <c r="Q1174">
        <f>'raw data Crude oil'!Q1175</f>
        <v>65.12</v>
      </c>
      <c r="R1174">
        <f>'raw data Crude oil'!R1175</f>
        <v>64.55</v>
      </c>
      <c r="S1174">
        <f>'raw data Crude oil'!S1175</f>
        <v>64.040000000000006</v>
      </c>
      <c r="T1174">
        <f>'raw data Crude oil'!T1175</f>
        <v>63.57</v>
      </c>
      <c r="U1174">
        <f>'raw data Crude oil'!U1175</f>
        <v>63.12</v>
      </c>
      <c r="V1174">
        <f>'raw data Crude oil'!V1175</f>
        <v>62.7</v>
      </c>
      <c r="W1174">
        <f>'raw data Crude oil'!W1175</f>
        <v>62.29</v>
      </c>
      <c r="X1174">
        <f>'raw data Crude oil'!X1175</f>
        <v>61.89</v>
      </c>
      <c r="Y1174">
        <f>'raw data Crude oil'!Y1175</f>
        <v>61.47</v>
      </c>
      <c r="Z1174">
        <f>'raw data Crude oil'!Z1175</f>
        <v>70.858999999999995</v>
      </c>
      <c r="AA1174">
        <f>'raw data Crude oil'!AA1175</f>
        <v>65.905000000000001</v>
      </c>
      <c r="AB1174">
        <f>'raw data Crude oil'!AB1175</f>
        <v>65.015000000000001</v>
      </c>
      <c r="AC1174">
        <f>'raw data Crude oil'!AC1175</f>
        <v>64.391000000000005</v>
      </c>
      <c r="AD1174">
        <f>'raw data Crude oil'!AD1175</f>
        <v>63.84</v>
      </c>
      <c r="AE1174">
        <f>'raw data Crude oil'!AE1175</f>
        <v>63.357999999999997</v>
      </c>
      <c r="AF1174">
        <f>'raw data Crude oil'!AF1175</f>
        <v>62.94</v>
      </c>
      <c r="AG1174">
        <f>'raw data Crude oil'!AG1175</f>
        <v>62.610999999999997</v>
      </c>
      <c r="AH1174">
        <f>'raw data Crude oil'!AH1175</f>
        <v>62.313000000000002</v>
      </c>
      <c r="AI1174">
        <f>'raw data Crude oil'!AI1175</f>
        <v>62.036000000000001</v>
      </c>
      <c r="AJ1174">
        <f>'raw data Crude oil'!AJ1175</f>
        <v>61.768000000000001</v>
      </c>
      <c r="AK1174">
        <f>'raw data Crude oil'!AK1175</f>
        <v>61.527999999999999</v>
      </c>
    </row>
    <row r="1175" spans="1:37" x14ac:dyDescent="0.3">
      <c r="A1175" s="18">
        <f>'raw data Crude oil'!A1176</f>
        <v>44397</v>
      </c>
      <c r="B1175">
        <f>'raw data Crude oil'!B1176</f>
        <v>69.349999999999994</v>
      </c>
      <c r="C1175">
        <f>'raw data Crude oil'!C1176</f>
        <v>68.77</v>
      </c>
      <c r="D1175">
        <f>'raw data Crude oil'!D1176</f>
        <v>68.2</v>
      </c>
      <c r="E1175">
        <f>'raw data Crude oil'!E1176</f>
        <v>67.61</v>
      </c>
      <c r="F1175">
        <f>'raw data Crude oil'!F1176</f>
        <v>67.08</v>
      </c>
      <c r="G1175">
        <f>'raw data Crude oil'!G1176</f>
        <v>66.599999999999994</v>
      </c>
      <c r="H1175">
        <f>'raw data Crude oil'!H1176</f>
        <v>66.19</v>
      </c>
      <c r="I1175">
        <f>'raw data Crude oil'!I1176</f>
        <v>65.83</v>
      </c>
      <c r="J1175">
        <f>'raw data Crude oil'!J1176</f>
        <v>65.489999999999995</v>
      </c>
      <c r="K1175">
        <f>'raw data Crude oil'!K1176</f>
        <v>65.16</v>
      </c>
      <c r="L1175">
        <f>'raw data Crude oil'!L1176</f>
        <v>64.84</v>
      </c>
      <c r="M1175">
        <f>'raw data Crude oil'!M1176</f>
        <v>64.540000000000006</v>
      </c>
      <c r="N1175">
        <f>'raw data Crude oil'!N1176</f>
        <v>67.42</v>
      </c>
      <c r="O1175">
        <f>'raw data Crude oil'!O1176</f>
        <v>67.2</v>
      </c>
      <c r="P1175">
        <f>'raw data Crude oil'!P1176</f>
        <v>66.62</v>
      </c>
      <c r="Q1175">
        <f>'raw data Crude oil'!Q1176</f>
        <v>65.95</v>
      </c>
      <c r="R1175">
        <f>'raw data Crude oil'!R1176</f>
        <v>65.34</v>
      </c>
      <c r="S1175">
        <f>'raw data Crude oil'!S1176</f>
        <v>64.78</v>
      </c>
      <c r="T1175">
        <f>'raw data Crude oil'!T1176</f>
        <v>64.27</v>
      </c>
      <c r="U1175">
        <f>'raw data Crude oil'!U1176</f>
        <v>63.8</v>
      </c>
      <c r="V1175">
        <f>'raw data Crude oil'!V1176</f>
        <v>63.34</v>
      </c>
      <c r="W1175">
        <f>'raw data Crude oil'!W1176</f>
        <v>62.9</v>
      </c>
      <c r="X1175">
        <f>'raw data Crude oil'!X1176</f>
        <v>62.47</v>
      </c>
      <c r="Y1175">
        <f>'raw data Crude oil'!Y1176</f>
        <v>62.03</v>
      </c>
      <c r="Z1175">
        <f>'raw data Crude oil'!Z1176</f>
        <v>71.167000000000002</v>
      </c>
      <c r="AA1175">
        <f>'raw data Crude oil'!AA1176</f>
        <v>66.674000000000007</v>
      </c>
      <c r="AB1175">
        <f>'raw data Crude oil'!AB1176</f>
        <v>65.753</v>
      </c>
      <c r="AC1175">
        <f>'raw data Crude oil'!AC1176</f>
        <v>65.084999999999994</v>
      </c>
      <c r="AD1175">
        <f>'raw data Crude oil'!AD1176</f>
        <v>64.498000000000005</v>
      </c>
      <c r="AE1175">
        <f>'raw data Crude oil'!AE1176</f>
        <v>63.954000000000001</v>
      </c>
      <c r="AF1175">
        <f>'raw data Crude oil'!AF1176</f>
        <v>63.493000000000002</v>
      </c>
      <c r="AG1175">
        <f>'raw data Crude oil'!AG1176</f>
        <v>63.122999999999998</v>
      </c>
      <c r="AH1175">
        <f>'raw data Crude oil'!AH1176</f>
        <v>62.776000000000003</v>
      </c>
      <c r="AI1175">
        <f>'raw data Crude oil'!AI1176</f>
        <v>62.454000000000001</v>
      </c>
      <c r="AJ1175">
        <f>'raw data Crude oil'!AJ1176</f>
        <v>62.155999999999999</v>
      </c>
      <c r="AK1175">
        <f>'raw data Crude oil'!AK1176</f>
        <v>61.877000000000002</v>
      </c>
    </row>
    <row r="1176" spans="1:37" x14ac:dyDescent="0.3">
      <c r="A1176" s="18">
        <f>'raw data Crude oil'!A1177</f>
        <v>44398</v>
      </c>
      <c r="B1176">
        <f>'raw data Crude oil'!B1177</f>
        <v>72.23</v>
      </c>
      <c r="C1176">
        <f>'raw data Crude oil'!C1177</f>
        <v>71.63</v>
      </c>
      <c r="D1176">
        <f>'raw data Crude oil'!D1177</f>
        <v>70.98</v>
      </c>
      <c r="E1176">
        <f>'raw data Crude oil'!E1177</f>
        <v>70.31</v>
      </c>
      <c r="F1176">
        <f>'raw data Crude oil'!F1177</f>
        <v>69.709999999999994</v>
      </c>
      <c r="G1176">
        <f>'raw data Crude oil'!G1177</f>
        <v>69.17</v>
      </c>
      <c r="H1176">
        <f>'raw data Crude oil'!H1177</f>
        <v>68.72</v>
      </c>
      <c r="I1176">
        <f>'raw data Crude oil'!I1177</f>
        <v>68.33</v>
      </c>
      <c r="J1176">
        <f>'raw data Crude oil'!J1177</f>
        <v>67.959999999999994</v>
      </c>
      <c r="K1176">
        <f>'raw data Crude oil'!K1177</f>
        <v>67.61</v>
      </c>
      <c r="L1176">
        <f>'raw data Crude oil'!L1177</f>
        <v>67.260000000000005</v>
      </c>
      <c r="M1176">
        <f>'raw data Crude oil'!M1177</f>
        <v>66.930000000000007</v>
      </c>
      <c r="N1176">
        <f>'raw data Crude oil'!N1177</f>
        <v>70.3</v>
      </c>
      <c r="O1176">
        <f>'raw data Crude oil'!O1177</f>
        <v>69.569999999999993</v>
      </c>
      <c r="P1176">
        <f>'raw data Crude oil'!P1177</f>
        <v>68.78</v>
      </c>
      <c r="Q1176">
        <f>'raw data Crude oil'!Q1177</f>
        <v>68.05</v>
      </c>
      <c r="R1176">
        <f>'raw data Crude oil'!R1177</f>
        <v>67.38</v>
      </c>
      <c r="S1176">
        <f>'raw data Crude oil'!S1177</f>
        <v>66.8</v>
      </c>
      <c r="T1176">
        <f>'raw data Crude oil'!T1177</f>
        <v>66.28</v>
      </c>
      <c r="U1176">
        <f>'raw data Crude oil'!U1177</f>
        <v>65.790000000000006</v>
      </c>
      <c r="V1176">
        <f>'raw data Crude oil'!V1177</f>
        <v>65.31</v>
      </c>
      <c r="W1176">
        <f>'raw data Crude oil'!W1177</f>
        <v>64.849999999999994</v>
      </c>
      <c r="X1176">
        <f>'raw data Crude oil'!X1177</f>
        <v>64.37</v>
      </c>
      <c r="Y1176">
        <f>'raw data Crude oil'!Y1177</f>
        <v>63.91</v>
      </c>
      <c r="Z1176">
        <f>'raw data Crude oil'!Z1177</f>
        <v>72.262</v>
      </c>
      <c r="AA1176">
        <f>'raw data Crude oil'!AA1177</f>
        <v>69.67</v>
      </c>
      <c r="AB1176">
        <f>'raw data Crude oil'!AB1177</f>
        <v>68.59</v>
      </c>
      <c r="AC1176">
        <f>'raw data Crude oil'!AC1177</f>
        <v>67.811000000000007</v>
      </c>
      <c r="AD1176">
        <f>'raw data Crude oil'!AD1177</f>
        <v>67.155000000000001</v>
      </c>
      <c r="AE1176">
        <f>'raw data Crude oil'!AE1177</f>
        <v>66.551000000000002</v>
      </c>
      <c r="AF1176">
        <f>'raw data Crude oil'!AF1177</f>
        <v>66.051000000000002</v>
      </c>
      <c r="AG1176">
        <f>'raw data Crude oil'!AG1177</f>
        <v>65.652000000000001</v>
      </c>
      <c r="AH1176">
        <f>'raw data Crude oil'!AH1177</f>
        <v>65.275000000000006</v>
      </c>
      <c r="AI1176">
        <f>'raw data Crude oil'!AI1177</f>
        <v>64.933000000000007</v>
      </c>
      <c r="AJ1176">
        <f>'raw data Crude oil'!AJ1177</f>
        <v>64.605000000000004</v>
      </c>
      <c r="AK1176">
        <f>'raw data Crude oil'!AK1177</f>
        <v>64.296000000000006</v>
      </c>
    </row>
    <row r="1177" spans="1:37" x14ac:dyDescent="0.3">
      <c r="A1177" s="18">
        <f>'raw data Crude oil'!A1178</f>
        <v>44399</v>
      </c>
      <c r="B1177">
        <f>'raw data Crude oil'!B1178</f>
        <v>73.790000000000006</v>
      </c>
      <c r="C1177">
        <f>'raw data Crude oil'!C1178</f>
        <v>73.150000000000006</v>
      </c>
      <c r="D1177">
        <f>'raw data Crude oil'!D1178</f>
        <v>72.41</v>
      </c>
      <c r="E1177">
        <f>'raw data Crude oil'!E1178</f>
        <v>71.67</v>
      </c>
      <c r="F1177">
        <f>'raw data Crude oil'!F1178</f>
        <v>71</v>
      </c>
      <c r="G1177">
        <f>'raw data Crude oil'!G1178</f>
        <v>70.39</v>
      </c>
      <c r="H1177">
        <f>'raw data Crude oil'!H1178</f>
        <v>69.87</v>
      </c>
      <c r="I1177">
        <f>'raw data Crude oil'!I1178</f>
        <v>69.41</v>
      </c>
      <c r="J1177">
        <f>'raw data Crude oil'!J1178</f>
        <v>69</v>
      </c>
      <c r="K1177">
        <f>'raw data Crude oil'!K1178</f>
        <v>68.61</v>
      </c>
      <c r="L1177">
        <f>'raw data Crude oil'!L1178</f>
        <v>68.23</v>
      </c>
      <c r="M1177">
        <f>'raw data Crude oil'!M1178</f>
        <v>67.86</v>
      </c>
      <c r="N1177">
        <f>'raw data Crude oil'!N1178</f>
        <v>71.91</v>
      </c>
      <c r="O1177">
        <f>'raw data Crude oil'!O1178</f>
        <v>71.14</v>
      </c>
      <c r="P1177">
        <f>'raw data Crude oil'!P1178</f>
        <v>70.260000000000005</v>
      </c>
      <c r="Q1177">
        <f>'raw data Crude oil'!Q1178</f>
        <v>69.400000000000006</v>
      </c>
      <c r="R1177">
        <f>'raw data Crude oil'!R1178</f>
        <v>68.63</v>
      </c>
      <c r="S1177">
        <f>'raw data Crude oil'!S1178</f>
        <v>67.97</v>
      </c>
      <c r="T1177">
        <f>'raw data Crude oil'!T1178</f>
        <v>67.39</v>
      </c>
      <c r="U1177">
        <f>'raw data Crude oil'!U1178</f>
        <v>66.849999999999994</v>
      </c>
      <c r="V1177">
        <f>'raw data Crude oil'!V1178</f>
        <v>66.319999999999993</v>
      </c>
      <c r="W1177">
        <f>'raw data Crude oil'!W1178</f>
        <v>65.819999999999993</v>
      </c>
      <c r="X1177">
        <f>'raw data Crude oil'!X1178</f>
        <v>65.3</v>
      </c>
      <c r="Y1177">
        <f>'raw data Crude oil'!Y1178</f>
        <v>64.8</v>
      </c>
      <c r="Z1177">
        <f>'raw data Crude oil'!Z1178</f>
        <v>72.83</v>
      </c>
      <c r="AA1177">
        <f>'raw data Crude oil'!AA1178</f>
        <v>71.436000000000007</v>
      </c>
      <c r="AB1177">
        <f>'raw data Crude oil'!AB1178</f>
        <v>70.236000000000004</v>
      </c>
      <c r="AC1177">
        <f>'raw data Crude oil'!AC1178</f>
        <v>69.328000000000003</v>
      </c>
      <c r="AD1177">
        <f>'raw data Crude oil'!AD1178</f>
        <v>68.542000000000002</v>
      </c>
      <c r="AE1177">
        <f>'raw data Crude oil'!AE1178</f>
        <v>67.834999999999994</v>
      </c>
      <c r="AF1177">
        <f>'raw data Crude oil'!AF1178</f>
        <v>67.278000000000006</v>
      </c>
      <c r="AG1177">
        <f>'raw data Crude oil'!AG1178</f>
        <v>66.84</v>
      </c>
      <c r="AH1177">
        <f>'raw data Crude oil'!AH1178</f>
        <v>66.423000000000002</v>
      </c>
      <c r="AI1177">
        <f>'raw data Crude oil'!AI1178</f>
        <v>66.031000000000006</v>
      </c>
      <c r="AJ1177">
        <f>'raw data Crude oil'!AJ1178</f>
        <v>65.662999999999997</v>
      </c>
      <c r="AK1177">
        <f>'raw data Crude oil'!AK1178</f>
        <v>65.323999999999998</v>
      </c>
    </row>
    <row r="1178" spans="1:37" x14ac:dyDescent="0.3">
      <c r="A1178" s="18">
        <f>'raw data Crude oil'!A1179</f>
        <v>44400</v>
      </c>
      <c r="B1178">
        <f>'raw data Crude oil'!B1179</f>
        <v>74.099999999999994</v>
      </c>
      <c r="C1178">
        <f>'raw data Crude oil'!C1179</f>
        <v>73.44</v>
      </c>
      <c r="D1178">
        <f>'raw data Crude oil'!D1179</f>
        <v>72.66</v>
      </c>
      <c r="E1178">
        <f>'raw data Crude oil'!E1179</f>
        <v>71.88</v>
      </c>
      <c r="F1178">
        <f>'raw data Crude oil'!F1179</f>
        <v>71.180000000000007</v>
      </c>
      <c r="G1178">
        <f>'raw data Crude oil'!G1179</f>
        <v>70.56</v>
      </c>
      <c r="H1178">
        <f>'raw data Crude oil'!H1179</f>
        <v>70.03</v>
      </c>
      <c r="I1178">
        <f>'raw data Crude oil'!I1179</f>
        <v>69.569999999999993</v>
      </c>
      <c r="J1178">
        <f>'raw data Crude oil'!J1179</f>
        <v>69.150000000000006</v>
      </c>
      <c r="K1178">
        <f>'raw data Crude oil'!K1179</f>
        <v>68.75</v>
      </c>
      <c r="L1178">
        <f>'raw data Crude oil'!L1179</f>
        <v>68.349999999999994</v>
      </c>
      <c r="M1178">
        <f>'raw data Crude oil'!M1179</f>
        <v>67.959999999999994</v>
      </c>
      <c r="N1178">
        <f>'raw data Crude oil'!N1179</f>
        <v>72.069999999999993</v>
      </c>
      <c r="O1178">
        <f>'raw data Crude oil'!O1179</f>
        <v>71.38</v>
      </c>
      <c r="P1178">
        <f>'raw data Crude oil'!P1179</f>
        <v>70.52</v>
      </c>
      <c r="Q1178">
        <f>'raw data Crude oil'!Q1179</f>
        <v>69.66</v>
      </c>
      <c r="R1178">
        <f>'raw data Crude oil'!R1179</f>
        <v>68.88</v>
      </c>
      <c r="S1178">
        <f>'raw data Crude oil'!S1179</f>
        <v>68.209999999999994</v>
      </c>
      <c r="T1178">
        <f>'raw data Crude oil'!T1179</f>
        <v>67.62</v>
      </c>
      <c r="U1178">
        <f>'raw data Crude oil'!U1179</f>
        <v>67.06</v>
      </c>
      <c r="V1178">
        <f>'raw data Crude oil'!V1179</f>
        <v>66.53</v>
      </c>
      <c r="W1178">
        <f>'raw data Crude oil'!W1179</f>
        <v>66.02</v>
      </c>
      <c r="X1178">
        <f>'raw data Crude oil'!X1179</f>
        <v>65.489999999999995</v>
      </c>
      <c r="Y1178">
        <f>'raw data Crude oil'!Y1179</f>
        <v>64.98</v>
      </c>
      <c r="Z1178">
        <f>'raw data Crude oil'!Z1179</f>
        <v>72.872</v>
      </c>
      <c r="AA1178">
        <f>'raw data Crude oil'!AA1179</f>
        <v>71.844999999999999</v>
      </c>
      <c r="AB1178">
        <f>'raw data Crude oil'!AB1179</f>
        <v>70.625</v>
      </c>
      <c r="AC1178">
        <f>'raw data Crude oil'!AC1179</f>
        <v>69.617000000000004</v>
      </c>
      <c r="AD1178">
        <f>'raw data Crude oil'!AD1179</f>
        <v>68.811999999999998</v>
      </c>
      <c r="AE1178">
        <f>'raw data Crude oil'!AE1179</f>
        <v>68.084000000000003</v>
      </c>
      <c r="AF1178">
        <f>'raw data Crude oil'!AF1179</f>
        <v>67.528000000000006</v>
      </c>
      <c r="AG1178">
        <f>'raw data Crude oil'!AG1179</f>
        <v>67.058999999999997</v>
      </c>
      <c r="AH1178">
        <f>'raw data Crude oil'!AH1179</f>
        <v>66.623000000000005</v>
      </c>
      <c r="AI1178">
        <f>'raw data Crude oil'!AI1179</f>
        <v>66.209999999999994</v>
      </c>
      <c r="AJ1178">
        <f>'raw data Crude oil'!AJ1179</f>
        <v>65.822000000000003</v>
      </c>
      <c r="AK1178">
        <f>'raw data Crude oil'!AK1179</f>
        <v>65.433999999999997</v>
      </c>
    </row>
    <row r="1179" spans="1:37" x14ac:dyDescent="0.3">
      <c r="A1179" s="18">
        <f>'raw data Crude oil'!A1180</f>
        <v>44403</v>
      </c>
      <c r="B1179">
        <f>'raw data Crude oil'!B1180</f>
        <v>74.5</v>
      </c>
      <c r="C1179">
        <f>'raw data Crude oil'!C1180</f>
        <v>73.7</v>
      </c>
      <c r="D1179">
        <f>'raw data Crude oil'!D1180</f>
        <v>72.88</v>
      </c>
      <c r="E1179">
        <f>'raw data Crude oil'!E1180</f>
        <v>72.06</v>
      </c>
      <c r="F1179">
        <f>'raw data Crude oil'!F1180</f>
        <v>71.349999999999994</v>
      </c>
      <c r="G1179">
        <f>'raw data Crude oil'!G1180</f>
        <v>70.72</v>
      </c>
      <c r="H1179">
        <f>'raw data Crude oil'!H1180</f>
        <v>70.19</v>
      </c>
      <c r="I1179">
        <f>'raw data Crude oil'!I1180</f>
        <v>69.73</v>
      </c>
      <c r="J1179">
        <f>'raw data Crude oil'!J1180</f>
        <v>69.3</v>
      </c>
      <c r="K1179">
        <f>'raw data Crude oil'!K1180</f>
        <v>68.900000000000006</v>
      </c>
      <c r="L1179">
        <f>'raw data Crude oil'!L1180</f>
        <v>68.489999999999995</v>
      </c>
      <c r="M1179">
        <f>'raw data Crude oil'!M1180</f>
        <v>68.099999999999994</v>
      </c>
      <c r="N1179">
        <f>'raw data Crude oil'!N1180</f>
        <v>71.91</v>
      </c>
      <c r="O1179">
        <f>'raw data Crude oil'!O1180</f>
        <v>71.34</v>
      </c>
      <c r="P1179">
        <f>'raw data Crude oil'!P1180</f>
        <v>70.569999999999993</v>
      </c>
      <c r="Q1179">
        <f>'raw data Crude oil'!Q1180</f>
        <v>69.739999999999995</v>
      </c>
      <c r="R1179">
        <f>'raw data Crude oil'!R1180</f>
        <v>68.98</v>
      </c>
      <c r="S1179">
        <f>'raw data Crude oil'!S1180</f>
        <v>68.3</v>
      </c>
      <c r="T1179">
        <f>'raw data Crude oil'!T1180</f>
        <v>67.709999999999994</v>
      </c>
      <c r="U1179">
        <f>'raw data Crude oil'!U1180</f>
        <v>67.16</v>
      </c>
      <c r="V1179">
        <f>'raw data Crude oil'!V1180</f>
        <v>66.62</v>
      </c>
      <c r="W1179">
        <f>'raw data Crude oil'!W1180</f>
        <v>66.09</v>
      </c>
      <c r="X1179">
        <f>'raw data Crude oil'!X1180</f>
        <v>65.55</v>
      </c>
      <c r="Y1179">
        <f>'raw data Crude oil'!Y1180</f>
        <v>65.03</v>
      </c>
      <c r="Z1179">
        <f>'raw data Crude oil'!Z1180</f>
        <v>72.867999999999995</v>
      </c>
      <c r="AA1179">
        <f>'raw data Crude oil'!AA1180</f>
        <v>71.972999999999999</v>
      </c>
      <c r="AB1179">
        <f>'raw data Crude oil'!AB1180</f>
        <v>70.772999999999996</v>
      </c>
      <c r="AC1179">
        <f>'raw data Crude oil'!AC1180</f>
        <v>69.786000000000001</v>
      </c>
      <c r="AD1179">
        <f>'raw data Crude oil'!AD1180</f>
        <v>68.942999999999998</v>
      </c>
      <c r="AE1179">
        <f>'raw data Crude oil'!AE1180</f>
        <v>68.209999999999994</v>
      </c>
      <c r="AF1179">
        <f>'raw data Crude oil'!AF1180</f>
        <v>67.608000000000004</v>
      </c>
      <c r="AG1179">
        <f>'raw data Crude oil'!AG1180</f>
        <v>67.168999999999997</v>
      </c>
      <c r="AH1179">
        <f>'raw data Crude oil'!AH1180</f>
        <v>66.753</v>
      </c>
      <c r="AI1179">
        <f>'raw data Crude oil'!AI1180</f>
        <v>66.349999999999994</v>
      </c>
      <c r="AJ1179">
        <f>'raw data Crude oil'!AJ1180</f>
        <v>65.951999999999998</v>
      </c>
      <c r="AK1179">
        <f>'raw data Crude oil'!AK1180</f>
        <v>65.543999999999997</v>
      </c>
    </row>
    <row r="1180" spans="1:37" x14ac:dyDescent="0.3">
      <c r="A1180" s="18">
        <f>'raw data Crude oil'!A1181</f>
        <v>44404</v>
      </c>
      <c r="B1180">
        <f>'raw data Crude oil'!B1181</f>
        <v>74.48</v>
      </c>
      <c r="C1180">
        <f>'raw data Crude oil'!C1181</f>
        <v>73.52</v>
      </c>
      <c r="D1180">
        <f>'raw data Crude oil'!D1181</f>
        <v>72.69</v>
      </c>
      <c r="E1180">
        <f>'raw data Crude oil'!E1181</f>
        <v>71.89</v>
      </c>
      <c r="F1180">
        <f>'raw data Crude oil'!F1181</f>
        <v>71.2</v>
      </c>
      <c r="G1180">
        <f>'raw data Crude oil'!G1181</f>
        <v>70.58</v>
      </c>
      <c r="H1180">
        <f>'raw data Crude oil'!H1181</f>
        <v>70.06</v>
      </c>
      <c r="I1180">
        <f>'raw data Crude oil'!I1181</f>
        <v>69.61</v>
      </c>
      <c r="J1180">
        <f>'raw data Crude oil'!J1181</f>
        <v>69.180000000000007</v>
      </c>
      <c r="K1180">
        <f>'raw data Crude oil'!K1181</f>
        <v>68.790000000000006</v>
      </c>
      <c r="L1180">
        <f>'raw data Crude oil'!L1181</f>
        <v>68.39</v>
      </c>
      <c r="M1180">
        <f>'raw data Crude oil'!M1181</f>
        <v>68</v>
      </c>
      <c r="N1180">
        <f>'raw data Crude oil'!N1181</f>
        <v>71.650000000000006</v>
      </c>
      <c r="O1180">
        <f>'raw data Crude oil'!O1181</f>
        <v>71.14</v>
      </c>
      <c r="P1180">
        <f>'raw data Crude oil'!P1181</f>
        <v>70.42</v>
      </c>
      <c r="Q1180">
        <f>'raw data Crude oil'!Q1181</f>
        <v>69.599999999999994</v>
      </c>
      <c r="R1180">
        <f>'raw data Crude oil'!R1181</f>
        <v>68.849999999999994</v>
      </c>
      <c r="S1180">
        <f>'raw data Crude oil'!S1181</f>
        <v>68.17</v>
      </c>
      <c r="T1180">
        <f>'raw data Crude oil'!T1181</f>
        <v>67.569999999999993</v>
      </c>
      <c r="U1180">
        <f>'raw data Crude oil'!U1181</f>
        <v>67.010000000000005</v>
      </c>
      <c r="V1180">
        <f>'raw data Crude oil'!V1181</f>
        <v>66.48</v>
      </c>
      <c r="W1180">
        <f>'raw data Crude oil'!W1181</f>
        <v>65.97</v>
      </c>
      <c r="X1180">
        <f>'raw data Crude oil'!X1181</f>
        <v>65.44</v>
      </c>
      <c r="Y1180">
        <f>'raw data Crude oil'!Y1181</f>
        <v>64.930000000000007</v>
      </c>
      <c r="Z1180">
        <f>'raw data Crude oil'!Z1181</f>
        <v>72.84</v>
      </c>
      <c r="AA1180">
        <f>'raw data Crude oil'!AA1181</f>
        <v>71.772000000000006</v>
      </c>
      <c r="AB1180">
        <f>'raw data Crude oil'!AB1181</f>
        <v>70.504000000000005</v>
      </c>
      <c r="AC1180">
        <f>'raw data Crude oil'!AC1181</f>
        <v>69.537000000000006</v>
      </c>
      <c r="AD1180">
        <f>'raw data Crude oil'!AD1181</f>
        <v>68.742000000000004</v>
      </c>
      <c r="AE1180">
        <f>'raw data Crude oil'!AE1181</f>
        <v>68.034999999999997</v>
      </c>
      <c r="AF1180">
        <f>'raw data Crude oil'!AF1181</f>
        <v>67.459000000000003</v>
      </c>
      <c r="AG1180">
        <f>'raw data Crude oil'!AG1181</f>
        <v>67.009</v>
      </c>
      <c r="AH1180">
        <f>'raw data Crude oil'!AH1181</f>
        <v>66.602999999999994</v>
      </c>
      <c r="AI1180">
        <f>'raw data Crude oil'!AI1181</f>
        <v>66.2</v>
      </c>
      <c r="AJ1180">
        <f>'raw data Crude oil'!AJ1181</f>
        <v>65.802000000000007</v>
      </c>
      <c r="AK1180">
        <f>'raw data Crude oil'!AK1181</f>
        <v>65.414000000000001</v>
      </c>
    </row>
    <row r="1181" spans="1:37" x14ac:dyDescent="0.3">
      <c r="A1181" s="18">
        <f>'raw data Crude oil'!A1182</f>
        <v>44405</v>
      </c>
      <c r="B1181">
        <f>'raw data Crude oil'!B1182</f>
        <v>74.739999999999995</v>
      </c>
      <c r="C1181">
        <f>'raw data Crude oil'!C1182</f>
        <v>73.87</v>
      </c>
      <c r="D1181">
        <f>'raw data Crude oil'!D1182</f>
        <v>73.11</v>
      </c>
      <c r="E1181">
        <f>'raw data Crude oil'!E1182</f>
        <v>72.349999999999994</v>
      </c>
      <c r="F1181">
        <f>'raw data Crude oil'!F1182</f>
        <v>71.67</v>
      </c>
      <c r="G1181">
        <f>'raw data Crude oil'!G1182</f>
        <v>71.06</v>
      </c>
      <c r="H1181">
        <f>'raw data Crude oil'!H1182</f>
        <v>70.55</v>
      </c>
      <c r="I1181">
        <f>'raw data Crude oil'!I1182</f>
        <v>70.11</v>
      </c>
      <c r="J1181">
        <f>'raw data Crude oil'!J1182</f>
        <v>69.7</v>
      </c>
      <c r="K1181">
        <f>'raw data Crude oil'!K1182</f>
        <v>69.319999999999993</v>
      </c>
      <c r="L1181">
        <f>'raw data Crude oil'!L1182</f>
        <v>68.930000000000007</v>
      </c>
      <c r="M1181">
        <f>'raw data Crude oil'!M1182</f>
        <v>68.56</v>
      </c>
      <c r="N1181">
        <f>'raw data Crude oil'!N1182</f>
        <v>72.39</v>
      </c>
      <c r="O1181">
        <f>'raw data Crude oil'!O1182</f>
        <v>71.790000000000006</v>
      </c>
      <c r="P1181">
        <f>'raw data Crude oil'!P1182</f>
        <v>71.02</v>
      </c>
      <c r="Q1181">
        <f>'raw data Crude oil'!Q1182</f>
        <v>70.17</v>
      </c>
      <c r="R1181">
        <f>'raw data Crude oil'!R1182</f>
        <v>69.41</v>
      </c>
      <c r="S1181">
        <f>'raw data Crude oil'!S1182</f>
        <v>68.72</v>
      </c>
      <c r="T1181">
        <f>'raw data Crude oil'!T1182</f>
        <v>68.13</v>
      </c>
      <c r="U1181">
        <f>'raw data Crude oil'!U1182</f>
        <v>67.569999999999993</v>
      </c>
      <c r="V1181">
        <f>'raw data Crude oil'!V1182</f>
        <v>67.03</v>
      </c>
      <c r="W1181">
        <f>'raw data Crude oil'!W1182</f>
        <v>66.52</v>
      </c>
      <c r="X1181">
        <f>'raw data Crude oil'!X1182</f>
        <v>66</v>
      </c>
      <c r="Y1181">
        <f>'raw data Crude oil'!Y1182</f>
        <v>65.489999999999995</v>
      </c>
      <c r="Z1181">
        <f>'raw data Crude oil'!Z1182</f>
        <v>72.853999999999999</v>
      </c>
      <c r="AA1181">
        <f>'raw data Crude oil'!AA1182</f>
        <v>72.034999999999997</v>
      </c>
      <c r="AB1181">
        <f>'raw data Crude oil'!AB1182</f>
        <v>70.805000000000007</v>
      </c>
      <c r="AC1181">
        <f>'raw data Crude oil'!AC1182</f>
        <v>69.867999999999995</v>
      </c>
      <c r="AD1181">
        <f>'raw data Crude oil'!AD1182</f>
        <v>69.141999999999996</v>
      </c>
      <c r="AE1181">
        <f>'raw data Crude oil'!AE1182</f>
        <v>68.456000000000003</v>
      </c>
      <c r="AF1181">
        <f>'raw data Crude oil'!AF1182</f>
        <v>67.888999999999996</v>
      </c>
      <c r="AG1181">
        <f>'raw data Crude oil'!AG1182</f>
        <v>67.459999999999994</v>
      </c>
      <c r="AH1181">
        <f>'raw data Crude oil'!AH1182</f>
        <v>67.052999999999997</v>
      </c>
      <c r="AI1181">
        <f>'raw data Crude oil'!AI1182</f>
        <v>66.691000000000003</v>
      </c>
      <c r="AJ1181">
        <f>'raw data Crude oil'!AJ1182</f>
        <v>66.302999999999997</v>
      </c>
      <c r="AK1181">
        <f>'raw data Crude oil'!AK1182</f>
        <v>65.933000000000007</v>
      </c>
    </row>
    <row r="1182" spans="1:37" x14ac:dyDescent="0.3">
      <c r="A1182" s="18">
        <f>'raw data Crude oil'!A1183</f>
        <v>44406</v>
      </c>
      <c r="B1182">
        <f>'raw data Crude oil'!B1183</f>
        <v>76.05</v>
      </c>
      <c r="C1182">
        <f>'raw data Crude oil'!C1183</f>
        <v>75.099999999999994</v>
      </c>
      <c r="D1182">
        <f>'raw data Crude oil'!D1183</f>
        <v>74.36</v>
      </c>
      <c r="E1182">
        <f>'raw data Crude oil'!E1183</f>
        <v>73.61</v>
      </c>
      <c r="F1182">
        <f>'raw data Crude oil'!F1183</f>
        <v>72.930000000000007</v>
      </c>
      <c r="G1182">
        <f>'raw data Crude oil'!G1183</f>
        <v>72.31</v>
      </c>
      <c r="H1182">
        <f>'raw data Crude oil'!H1183</f>
        <v>71.790000000000006</v>
      </c>
      <c r="I1182">
        <f>'raw data Crude oil'!I1183</f>
        <v>71.33</v>
      </c>
      <c r="J1182">
        <f>'raw data Crude oil'!J1183</f>
        <v>70.89</v>
      </c>
      <c r="K1182">
        <f>'raw data Crude oil'!K1183</f>
        <v>70.489999999999995</v>
      </c>
      <c r="L1182">
        <f>'raw data Crude oil'!L1183</f>
        <v>70.08</v>
      </c>
      <c r="M1182">
        <f>'raw data Crude oil'!M1183</f>
        <v>69.680000000000007</v>
      </c>
      <c r="N1182">
        <f>'raw data Crude oil'!N1183</f>
        <v>73.62</v>
      </c>
      <c r="O1182">
        <f>'raw data Crude oil'!O1183</f>
        <v>72.98</v>
      </c>
      <c r="P1182">
        <f>'raw data Crude oil'!P1183</f>
        <v>72.209999999999994</v>
      </c>
      <c r="Q1182">
        <f>'raw data Crude oil'!Q1183</f>
        <v>71.38</v>
      </c>
      <c r="R1182">
        <f>'raw data Crude oil'!R1183</f>
        <v>70.62</v>
      </c>
      <c r="S1182">
        <f>'raw data Crude oil'!S1183</f>
        <v>69.92</v>
      </c>
      <c r="T1182">
        <f>'raw data Crude oil'!T1183</f>
        <v>69.319999999999993</v>
      </c>
      <c r="U1182">
        <f>'raw data Crude oil'!U1183</f>
        <v>68.739999999999995</v>
      </c>
      <c r="V1182">
        <f>'raw data Crude oil'!V1183</f>
        <v>68.180000000000007</v>
      </c>
      <c r="W1182">
        <f>'raw data Crude oil'!W1183</f>
        <v>67.64</v>
      </c>
      <c r="X1182">
        <f>'raw data Crude oil'!X1183</f>
        <v>67.09</v>
      </c>
      <c r="Y1182">
        <f>'raw data Crude oil'!Y1183</f>
        <v>66.569999999999993</v>
      </c>
      <c r="Z1182">
        <f>'raw data Crude oil'!Z1183</f>
        <v>72.936999999999998</v>
      </c>
      <c r="AA1182">
        <f>'raw data Crude oil'!AA1183</f>
        <v>73.366</v>
      </c>
      <c r="AB1182">
        <f>'raw data Crude oil'!AB1183</f>
        <v>72.116</v>
      </c>
      <c r="AC1182">
        <f>'raw data Crude oil'!AC1183</f>
        <v>71.168000000000006</v>
      </c>
      <c r="AD1182">
        <f>'raw data Crude oil'!AD1183</f>
        <v>70.402000000000001</v>
      </c>
      <c r="AE1182">
        <f>'raw data Crude oil'!AE1183</f>
        <v>69.704999999999998</v>
      </c>
      <c r="AF1182">
        <f>'raw data Crude oil'!AF1183</f>
        <v>69.138000000000005</v>
      </c>
      <c r="AG1182">
        <f>'raw data Crude oil'!AG1183</f>
        <v>68.688000000000002</v>
      </c>
      <c r="AH1182">
        <f>'raw data Crude oil'!AH1183</f>
        <v>68.263000000000005</v>
      </c>
      <c r="AI1182">
        <f>'raw data Crude oil'!AI1183</f>
        <v>67.84</v>
      </c>
      <c r="AJ1182">
        <f>'raw data Crude oil'!AJ1183</f>
        <v>67.421999999999997</v>
      </c>
      <c r="AK1182">
        <f>'raw data Crude oil'!AK1183</f>
        <v>67.013000000000005</v>
      </c>
    </row>
    <row r="1183" spans="1:37" x14ac:dyDescent="0.3">
      <c r="A1183" s="18">
        <f>'raw data Crude oil'!A1184</f>
        <v>44407</v>
      </c>
      <c r="B1183">
        <f>'raw data Crude oil'!B1184</f>
        <v>76.33</v>
      </c>
      <c r="C1183">
        <f>'raw data Crude oil'!C1184</f>
        <v>75.41</v>
      </c>
      <c r="D1183">
        <f>'raw data Crude oil'!D1184</f>
        <v>74.59</v>
      </c>
      <c r="E1183">
        <f>'raw data Crude oil'!E1184</f>
        <v>73.8</v>
      </c>
      <c r="F1183">
        <f>'raw data Crude oil'!F1184</f>
        <v>73.08</v>
      </c>
      <c r="G1183">
        <f>'raw data Crude oil'!G1184</f>
        <v>72.45</v>
      </c>
      <c r="H1183">
        <f>'raw data Crude oil'!H1184</f>
        <v>71.92</v>
      </c>
      <c r="I1183">
        <f>'raw data Crude oil'!I1184</f>
        <v>71.45</v>
      </c>
      <c r="J1183">
        <f>'raw data Crude oil'!J1184</f>
        <v>71.02</v>
      </c>
      <c r="K1183">
        <f>'raw data Crude oil'!K1184</f>
        <v>70.61</v>
      </c>
      <c r="L1183">
        <f>'raw data Crude oil'!L1184</f>
        <v>70.19</v>
      </c>
      <c r="M1183">
        <f>'raw data Crude oil'!M1184</f>
        <v>69.790000000000006</v>
      </c>
      <c r="N1183">
        <f>'raw data Crude oil'!N1184</f>
        <v>73.95</v>
      </c>
      <c r="O1183">
        <f>'raw data Crude oil'!O1184</f>
        <v>73.23</v>
      </c>
      <c r="P1183">
        <f>'raw data Crude oil'!P1184</f>
        <v>72.430000000000007</v>
      </c>
      <c r="Q1183">
        <f>'raw data Crude oil'!Q1184</f>
        <v>71.569999999999993</v>
      </c>
      <c r="R1183">
        <f>'raw data Crude oil'!R1184</f>
        <v>70.8</v>
      </c>
      <c r="S1183">
        <f>'raw data Crude oil'!S1184</f>
        <v>70.099999999999994</v>
      </c>
      <c r="T1183">
        <f>'raw data Crude oil'!T1184</f>
        <v>69.459999999999994</v>
      </c>
      <c r="U1183">
        <f>'raw data Crude oil'!U1184</f>
        <v>68.87</v>
      </c>
      <c r="V1183">
        <f>'raw data Crude oil'!V1184</f>
        <v>68.3</v>
      </c>
      <c r="W1183">
        <f>'raw data Crude oil'!W1184</f>
        <v>67.739999999999995</v>
      </c>
      <c r="X1183">
        <f>'raw data Crude oil'!X1184</f>
        <v>67.180000000000007</v>
      </c>
      <c r="Y1183">
        <f>'raw data Crude oil'!Y1184</f>
        <v>66.650000000000006</v>
      </c>
      <c r="Z1183">
        <f>'raw data Crude oil'!Z1184</f>
        <v>72.903000000000006</v>
      </c>
      <c r="AA1183">
        <f>'raw data Crude oil'!AA1184</f>
        <v>73.742999999999995</v>
      </c>
      <c r="AB1183">
        <f>'raw data Crude oil'!AB1184</f>
        <v>72.433999999999997</v>
      </c>
      <c r="AC1183">
        <f>'raw data Crude oil'!AC1184</f>
        <v>71.456000000000003</v>
      </c>
      <c r="AD1183">
        <f>'raw data Crude oil'!AD1184</f>
        <v>70.661000000000001</v>
      </c>
      <c r="AE1183">
        <f>'raw data Crude oil'!AE1184</f>
        <v>69.953999999999994</v>
      </c>
      <c r="AF1183">
        <f>'raw data Crude oil'!AF1184</f>
        <v>69.388000000000005</v>
      </c>
      <c r="AG1183">
        <f>'raw data Crude oil'!AG1184</f>
        <v>68.909000000000006</v>
      </c>
      <c r="AH1183">
        <f>'raw data Crude oil'!AH1184</f>
        <v>68.441999999999993</v>
      </c>
      <c r="AI1183">
        <f>'raw data Crude oil'!AI1184</f>
        <v>68.058999999999997</v>
      </c>
      <c r="AJ1183">
        <f>'raw data Crude oil'!AJ1184</f>
        <v>67.632000000000005</v>
      </c>
      <c r="AK1183">
        <f>'raw data Crude oil'!AK1184</f>
        <v>67.221999999999994</v>
      </c>
    </row>
    <row r="1184" spans="1:37" x14ac:dyDescent="0.3">
      <c r="A1184" s="18">
        <f>'raw data Crude oil'!A1185</f>
        <v>44410</v>
      </c>
      <c r="B1184">
        <f>'raw data Crude oil'!B1185</f>
        <v>72.89</v>
      </c>
      <c r="C1184">
        <f>'raw data Crude oil'!C1185</f>
        <v>72.2</v>
      </c>
      <c r="D1184">
        <f>'raw data Crude oil'!D1185</f>
        <v>71.489999999999995</v>
      </c>
      <c r="E1184">
        <f>'raw data Crude oil'!E1185</f>
        <v>70.83</v>
      </c>
      <c r="F1184">
        <f>'raw data Crude oil'!F1185</f>
        <v>70.239999999999995</v>
      </c>
      <c r="G1184">
        <f>'raw data Crude oil'!G1185</f>
        <v>69.75</v>
      </c>
      <c r="H1184">
        <f>'raw data Crude oil'!H1185</f>
        <v>69.31</v>
      </c>
      <c r="I1184">
        <f>'raw data Crude oil'!I1185</f>
        <v>68.900000000000006</v>
      </c>
      <c r="J1184">
        <f>'raw data Crude oil'!J1185</f>
        <v>68.5</v>
      </c>
      <c r="K1184">
        <f>'raw data Crude oil'!K1185</f>
        <v>68.11</v>
      </c>
      <c r="L1184">
        <f>'raw data Crude oil'!L1185</f>
        <v>67.739999999999995</v>
      </c>
      <c r="M1184">
        <f>'raw data Crude oil'!M1185</f>
        <v>67.38</v>
      </c>
      <c r="N1184">
        <f>'raw data Crude oil'!N1185</f>
        <v>71.260000000000005</v>
      </c>
      <c r="O1184">
        <f>'raw data Crude oil'!O1185</f>
        <v>70.61</v>
      </c>
      <c r="P1184">
        <f>'raw data Crude oil'!P1185</f>
        <v>69.91</v>
      </c>
      <c r="Q1184">
        <f>'raw data Crude oil'!Q1185</f>
        <v>69.150000000000006</v>
      </c>
      <c r="R1184">
        <f>'raw data Crude oil'!R1185</f>
        <v>68.459999999999994</v>
      </c>
      <c r="S1184">
        <f>'raw data Crude oil'!S1185</f>
        <v>67.819999999999993</v>
      </c>
      <c r="T1184">
        <f>'raw data Crude oil'!T1185</f>
        <v>67.239999999999995</v>
      </c>
      <c r="U1184">
        <f>'raw data Crude oil'!U1185</f>
        <v>66.680000000000007</v>
      </c>
      <c r="V1184">
        <f>'raw data Crude oil'!V1185</f>
        <v>66.150000000000006</v>
      </c>
      <c r="W1184">
        <f>'raw data Crude oil'!W1185</f>
        <v>65.64</v>
      </c>
      <c r="X1184">
        <f>'raw data Crude oil'!X1185</f>
        <v>65.11</v>
      </c>
      <c r="Y1184">
        <f>'raw data Crude oil'!Y1185</f>
        <v>64.61</v>
      </c>
      <c r="Z1184">
        <f>'raw data Crude oil'!Z1185</f>
        <v>72.903000000000006</v>
      </c>
      <c r="AA1184">
        <f>'raw data Crude oil'!AA1185</f>
        <v>71.343000000000004</v>
      </c>
      <c r="AB1184">
        <f>'raw data Crude oil'!AB1185</f>
        <v>70.028000000000006</v>
      </c>
      <c r="AC1184">
        <f>'raw data Crude oil'!AC1185</f>
        <v>69.132000000000005</v>
      </c>
      <c r="AD1184">
        <f>'raw data Crude oil'!AD1185</f>
        <v>68.403000000000006</v>
      </c>
      <c r="AE1184">
        <f>'raw data Crude oil'!AE1185</f>
        <v>67.747</v>
      </c>
      <c r="AF1184">
        <f>'raw data Crude oil'!AF1185</f>
        <v>67.228999999999999</v>
      </c>
      <c r="AG1184">
        <f>'raw data Crude oil'!AG1185</f>
        <v>66.78</v>
      </c>
      <c r="AH1184">
        <f>'raw data Crude oil'!AH1185</f>
        <v>66.363</v>
      </c>
      <c r="AI1184">
        <f>'raw data Crude oil'!AI1185</f>
        <v>65.980999999999995</v>
      </c>
      <c r="AJ1184">
        <f>'raw data Crude oil'!AJ1185</f>
        <v>65.582999999999998</v>
      </c>
      <c r="AK1184">
        <f>'raw data Crude oil'!AK1185</f>
        <v>65.203999999999994</v>
      </c>
    </row>
    <row r="1185" spans="1:37" x14ac:dyDescent="0.3">
      <c r="A1185" s="18">
        <f>'raw data Crude oil'!A1186</f>
        <v>44411</v>
      </c>
      <c r="B1185">
        <f>'raw data Crude oil'!B1186</f>
        <v>72.41</v>
      </c>
      <c r="C1185">
        <f>'raw data Crude oil'!C1186</f>
        <v>71.77</v>
      </c>
      <c r="D1185">
        <f>'raw data Crude oil'!D1186</f>
        <v>71.12</v>
      </c>
      <c r="E1185">
        <f>'raw data Crude oil'!E1186</f>
        <v>70.510000000000005</v>
      </c>
      <c r="F1185">
        <f>'raw data Crude oil'!F1186</f>
        <v>69.959999999999994</v>
      </c>
      <c r="G1185">
        <f>'raw data Crude oil'!G1186</f>
        <v>69.5</v>
      </c>
      <c r="H1185">
        <f>'raw data Crude oil'!H1186</f>
        <v>69.09</v>
      </c>
      <c r="I1185">
        <f>'raw data Crude oil'!I1186</f>
        <v>68.7</v>
      </c>
      <c r="J1185">
        <f>'raw data Crude oil'!J1186</f>
        <v>68.33</v>
      </c>
      <c r="K1185">
        <f>'raw data Crude oil'!K1186</f>
        <v>67.959999999999994</v>
      </c>
      <c r="L1185">
        <f>'raw data Crude oil'!L1186</f>
        <v>67.599999999999994</v>
      </c>
      <c r="M1185">
        <f>'raw data Crude oil'!M1186</f>
        <v>67.260000000000005</v>
      </c>
      <c r="N1185">
        <f>'raw data Crude oil'!N1186</f>
        <v>70.56</v>
      </c>
      <c r="O1185">
        <f>'raw data Crude oil'!O1186</f>
        <v>70.03</v>
      </c>
      <c r="P1185">
        <f>'raw data Crude oil'!P1186</f>
        <v>69.44</v>
      </c>
      <c r="Q1185">
        <f>'raw data Crude oil'!Q1186</f>
        <v>68.790000000000006</v>
      </c>
      <c r="R1185">
        <f>'raw data Crude oil'!R1186</f>
        <v>68.17</v>
      </c>
      <c r="S1185">
        <f>'raw data Crude oil'!S1186</f>
        <v>67.58</v>
      </c>
      <c r="T1185">
        <f>'raw data Crude oil'!T1186</f>
        <v>67.03</v>
      </c>
      <c r="U1185">
        <f>'raw data Crude oil'!U1186</f>
        <v>66.5</v>
      </c>
      <c r="V1185">
        <f>'raw data Crude oil'!V1186</f>
        <v>66</v>
      </c>
      <c r="W1185">
        <f>'raw data Crude oil'!W1186</f>
        <v>65.510000000000005</v>
      </c>
      <c r="X1185">
        <f>'raw data Crude oil'!X1186</f>
        <v>65</v>
      </c>
      <c r="Y1185">
        <f>'raw data Crude oil'!Y1186</f>
        <v>64.510000000000005</v>
      </c>
      <c r="Z1185">
        <f>'raw data Crude oil'!Z1186</f>
        <v>70.974999999999994</v>
      </c>
      <c r="AA1185">
        <f>'raw data Crude oil'!AA1186</f>
        <v>69.53</v>
      </c>
      <c r="AB1185">
        <f>'raw data Crude oil'!AB1186</f>
        <v>68.721000000000004</v>
      </c>
      <c r="AC1185">
        <f>'raw data Crude oil'!AC1186</f>
        <v>68.064999999999998</v>
      </c>
      <c r="AD1185">
        <f>'raw data Crude oil'!AD1186</f>
        <v>67.45</v>
      </c>
      <c r="AE1185">
        <f>'raw data Crude oil'!AE1186</f>
        <v>66.959999999999994</v>
      </c>
      <c r="AF1185">
        <f>'raw data Crude oil'!AF1186</f>
        <v>66.540999999999997</v>
      </c>
      <c r="AG1185">
        <f>'raw data Crude oil'!AG1186</f>
        <v>66.153999999999996</v>
      </c>
      <c r="AH1185">
        <f>'raw data Crude oil'!AH1186</f>
        <v>65.781999999999996</v>
      </c>
      <c r="AI1185">
        <f>'raw data Crude oil'!AI1186</f>
        <v>65.433999999999997</v>
      </c>
      <c r="AJ1185">
        <f>'raw data Crude oil'!AJ1186</f>
        <v>65.084999999999994</v>
      </c>
      <c r="AK1185">
        <f>'raw data Crude oil'!AK1186</f>
        <v>64.724000000000004</v>
      </c>
    </row>
    <row r="1186" spans="1:37" x14ac:dyDescent="0.3">
      <c r="A1186" s="18">
        <f>'raw data Crude oil'!A1187</f>
        <v>44412</v>
      </c>
      <c r="B1186">
        <f>'raw data Crude oil'!B1187</f>
        <v>70.38</v>
      </c>
      <c r="C1186">
        <f>'raw data Crude oil'!C1187</f>
        <v>69.87</v>
      </c>
      <c r="D1186">
        <f>'raw data Crude oil'!D1187</f>
        <v>69.319999999999993</v>
      </c>
      <c r="E1186">
        <f>'raw data Crude oil'!E1187</f>
        <v>68.790000000000006</v>
      </c>
      <c r="F1186">
        <f>'raw data Crude oil'!F1187</f>
        <v>68.290000000000006</v>
      </c>
      <c r="G1186">
        <f>'raw data Crude oil'!G1187</f>
        <v>67.88</v>
      </c>
      <c r="H1186">
        <f>'raw data Crude oil'!H1187</f>
        <v>67.52</v>
      </c>
      <c r="I1186">
        <f>'raw data Crude oil'!I1187</f>
        <v>67.180000000000007</v>
      </c>
      <c r="J1186">
        <f>'raw data Crude oil'!J1187</f>
        <v>66.86</v>
      </c>
      <c r="K1186">
        <f>'raw data Crude oil'!K1187</f>
        <v>66.540000000000006</v>
      </c>
      <c r="L1186">
        <f>'raw data Crude oil'!L1187</f>
        <v>66.23</v>
      </c>
      <c r="M1186">
        <f>'raw data Crude oil'!M1187</f>
        <v>65.94</v>
      </c>
      <c r="N1186">
        <f>'raw data Crude oil'!N1187</f>
        <v>68.150000000000006</v>
      </c>
      <c r="O1186">
        <f>'raw data Crude oil'!O1187</f>
        <v>67.790000000000006</v>
      </c>
      <c r="P1186">
        <f>'raw data Crude oil'!P1187</f>
        <v>67.349999999999994</v>
      </c>
      <c r="Q1186">
        <f>'raw data Crude oil'!Q1187</f>
        <v>66.84</v>
      </c>
      <c r="R1186">
        <f>'raw data Crude oil'!R1187</f>
        <v>66.33</v>
      </c>
      <c r="S1186">
        <f>'raw data Crude oil'!S1187</f>
        <v>65.83</v>
      </c>
      <c r="T1186">
        <f>'raw data Crude oil'!T1187</f>
        <v>65.37</v>
      </c>
      <c r="U1186">
        <f>'raw data Crude oil'!U1187</f>
        <v>64.92</v>
      </c>
      <c r="V1186">
        <f>'raw data Crude oil'!V1187</f>
        <v>64.47</v>
      </c>
      <c r="W1186">
        <f>'raw data Crude oil'!W1187</f>
        <v>64.040000000000006</v>
      </c>
      <c r="X1186">
        <f>'raw data Crude oil'!X1187</f>
        <v>63.59</v>
      </c>
      <c r="Y1186">
        <f>'raw data Crude oil'!Y1187</f>
        <v>63.16</v>
      </c>
      <c r="Z1186">
        <f>'raw data Crude oil'!Z1187</f>
        <v>69.45</v>
      </c>
      <c r="AA1186">
        <f>'raw data Crude oil'!AA1187</f>
        <v>67.787999999999997</v>
      </c>
      <c r="AB1186">
        <f>'raw data Crude oil'!AB1187</f>
        <v>66.986999999999995</v>
      </c>
      <c r="AC1186">
        <f>'raw data Crude oil'!AC1187</f>
        <v>66.346000000000004</v>
      </c>
      <c r="AD1186">
        <f>'raw data Crude oil'!AD1187</f>
        <v>65.775000000000006</v>
      </c>
      <c r="AE1186">
        <f>'raw data Crude oil'!AE1187</f>
        <v>65.332999999999998</v>
      </c>
      <c r="AF1186">
        <f>'raw data Crude oil'!AF1187</f>
        <v>64.953000000000003</v>
      </c>
      <c r="AG1186">
        <f>'raw data Crude oil'!AG1187</f>
        <v>64.626000000000005</v>
      </c>
      <c r="AH1186">
        <f>'raw data Crude oil'!AH1187</f>
        <v>64.293999999999997</v>
      </c>
      <c r="AI1186">
        <f>'raw data Crude oil'!AI1187</f>
        <v>63.996000000000002</v>
      </c>
      <c r="AJ1186">
        <f>'raw data Crude oil'!AJ1187</f>
        <v>63.697000000000003</v>
      </c>
      <c r="AK1186">
        <f>'raw data Crude oil'!AK1187</f>
        <v>63.415999999999997</v>
      </c>
    </row>
    <row r="1187" spans="1:37" x14ac:dyDescent="0.3">
      <c r="A1187" s="18">
        <f>'raw data Crude oil'!A1188</f>
        <v>44413</v>
      </c>
      <c r="B1187">
        <f>'raw data Crude oil'!B1188</f>
        <v>71.290000000000006</v>
      </c>
      <c r="C1187">
        <f>'raw data Crude oil'!C1188</f>
        <v>70.8</v>
      </c>
      <c r="D1187">
        <f>'raw data Crude oil'!D1188</f>
        <v>70.260000000000005</v>
      </c>
      <c r="E1187">
        <f>'raw data Crude oil'!E1188</f>
        <v>69.72</v>
      </c>
      <c r="F1187">
        <f>'raw data Crude oil'!F1188</f>
        <v>69.22</v>
      </c>
      <c r="G1187">
        <f>'raw data Crude oil'!G1188</f>
        <v>68.81</v>
      </c>
      <c r="H1187">
        <f>'raw data Crude oil'!H1188</f>
        <v>68.44</v>
      </c>
      <c r="I1187">
        <f>'raw data Crude oil'!I1188</f>
        <v>68.099999999999994</v>
      </c>
      <c r="J1187">
        <f>'raw data Crude oil'!J1188</f>
        <v>67.77</v>
      </c>
      <c r="K1187">
        <f>'raw data Crude oil'!K1188</f>
        <v>67.44</v>
      </c>
      <c r="L1187">
        <f>'raw data Crude oil'!L1188</f>
        <v>67.12</v>
      </c>
      <c r="M1187">
        <f>'raw data Crude oil'!M1188</f>
        <v>66.819999999999993</v>
      </c>
      <c r="N1187">
        <f>'raw data Crude oil'!N1188</f>
        <v>69.09</v>
      </c>
      <c r="O1187">
        <f>'raw data Crude oil'!O1188</f>
        <v>68.739999999999995</v>
      </c>
      <c r="P1187">
        <f>'raw data Crude oil'!P1188</f>
        <v>68.319999999999993</v>
      </c>
      <c r="Q1187">
        <f>'raw data Crude oil'!Q1188</f>
        <v>67.84</v>
      </c>
      <c r="R1187">
        <f>'raw data Crude oil'!R1188</f>
        <v>67.34</v>
      </c>
      <c r="S1187">
        <f>'raw data Crude oil'!S1188</f>
        <v>66.849999999999994</v>
      </c>
      <c r="T1187">
        <f>'raw data Crude oil'!T1188</f>
        <v>66.37</v>
      </c>
      <c r="U1187">
        <f>'raw data Crude oil'!U1188</f>
        <v>65.91</v>
      </c>
      <c r="V1187">
        <f>'raw data Crude oil'!V1188</f>
        <v>65.47</v>
      </c>
      <c r="W1187">
        <f>'raw data Crude oil'!W1188</f>
        <v>65.02</v>
      </c>
      <c r="X1187">
        <f>'raw data Crude oil'!X1188</f>
        <v>64.569999999999993</v>
      </c>
      <c r="Y1187">
        <f>'raw data Crude oil'!Y1188</f>
        <v>64.14</v>
      </c>
      <c r="Z1187">
        <f>'raw data Crude oil'!Z1188</f>
        <v>70.2</v>
      </c>
      <c r="AA1187">
        <f>'raw data Crude oil'!AA1188</f>
        <v>68.715000000000003</v>
      </c>
      <c r="AB1187">
        <f>'raw data Crude oil'!AB1188</f>
        <v>67.903999999999996</v>
      </c>
      <c r="AC1187">
        <f>'raw data Crude oil'!AC1188</f>
        <v>67.277000000000001</v>
      </c>
      <c r="AD1187">
        <f>'raw data Crude oil'!AD1188</f>
        <v>66.703999999999994</v>
      </c>
      <c r="AE1187">
        <f>'raw data Crude oil'!AE1188</f>
        <v>66.281999999999996</v>
      </c>
      <c r="AF1187">
        <f>'raw data Crude oil'!AF1188</f>
        <v>65.903000000000006</v>
      </c>
      <c r="AG1187">
        <f>'raw data Crude oil'!AG1188</f>
        <v>65.566000000000003</v>
      </c>
      <c r="AH1187">
        <f>'raw data Crude oil'!AH1188</f>
        <v>65.203999999999994</v>
      </c>
      <c r="AI1187">
        <f>'raw data Crude oil'!AI1188</f>
        <v>64.875</v>
      </c>
      <c r="AJ1187">
        <f>'raw data Crude oil'!AJ1188</f>
        <v>64.555999999999997</v>
      </c>
      <c r="AK1187">
        <f>'raw data Crude oil'!AK1188</f>
        <v>64.256</v>
      </c>
    </row>
    <row r="1188" spans="1:37" x14ac:dyDescent="0.3">
      <c r="A1188" s="18">
        <f>'raw data Crude oil'!A1189</f>
        <v>44414</v>
      </c>
      <c r="B1188">
        <f>'raw data Crude oil'!B1189</f>
        <v>70.7</v>
      </c>
      <c r="C1188">
        <f>'raw data Crude oil'!C1189</f>
        <v>70.319999999999993</v>
      </c>
      <c r="D1188">
        <f>'raw data Crude oil'!D1189</f>
        <v>69.87</v>
      </c>
      <c r="E1188">
        <f>'raw data Crude oil'!E1189</f>
        <v>69.41</v>
      </c>
      <c r="F1188">
        <f>'raw data Crude oil'!F1189</f>
        <v>68.95</v>
      </c>
      <c r="G1188">
        <f>'raw data Crude oil'!G1189</f>
        <v>68.56</v>
      </c>
      <c r="H1188">
        <f>'raw data Crude oil'!H1189</f>
        <v>68.209999999999994</v>
      </c>
      <c r="I1188">
        <f>'raw data Crude oil'!I1189</f>
        <v>67.88</v>
      </c>
      <c r="J1188">
        <f>'raw data Crude oil'!J1189</f>
        <v>67.569999999999993</v>
      </c>
      <c r="K1188">
        <f>'raw data Crude oil'!K1189</f>
        <v>67.25</v>
      </c>
      <c r="L1188">
        <f>'raw data Crude oil'!L1189</f>
        <v>66.94</v>
      </c>
      <c r="M1188">
        <f>'raw data Crude oil'!M1189</f>
        <v>66.66</v>
      </c>
      <c r="N1188">
        <f>'raw data Crude oil'!N1189</f>
        <v>68.28</v>
      </c>
      <c r="O1188">
        <f>'raw data Crude oil'!O1189</f>
        <v>68.099999999999994</v>
      </c>
      <c r="P1188">
        <f>'raw data Crude oil'!P1189</f>
        <v>67.760000000000005</v>
      </c>
      <c r="Q1188">
        <f>'raw data Crude oil'!Q1189</f>
        <v>67.37</v>
      </c>
      <c r="R1188">
        <f>'raw data Crude oil'!R1189</f>
        <v>66.95</v>
      </c>
      <c r="S1188">
        <f>'raw data Crude oil'!S1189</f>
        <v>66.489999999999995</v>
      </c>
      <c r="T1188">
        <f>'raw data Crude oil'!T1189</f>
        <v>66.040000000000006</v>
      </c>
      <c r="U1188">
        <f>'raw data Crude oil'!U1189</f>
        <v>65.61</v>
      </c>
      <c r="V1188">
        <f>'raw data Crude oil'!V1189</f>
        <v>65.19</v>
      </c>
      <c r="W1188">
        <f>'raw data Crude oil'!W1189</f>
        <v>64.78</v>
      </c>
      <c r="X1188">
        <f>'raw data Crude oil'!X1189</f>
        <v>64.36</v>
      </c>
      <c r="Y1188">
        <f>'raw data Crude oil'!Y1189</f>
        <v>63.93</v>
      </c>
      <c r="Z1188">
        <f>'raw data Crude oil'!Z1189</f>
        <v>69.790000000000006</v>
      </c>
      <c r="AA1188">
        <f>'raw data Crude oil'!AA1189</f>
        <v>68.245999999999995</v>
      </c>
      <c r="AB1188">
        <f>'raw data Crude oil'!AB1189</f>
        <v>67.465999999999994</v>
      </c>
      <c r="AC1188">
        <f>'raw data Crude oil'!AC1189</f>
        <v>66.915999999999997</v>
      </c>
      <c r="AD1188">
        <f>'raw data Crude oil'!AD1189</f>
        <v>66.366</v>
      </c>
      <c r="AE1188">
        <f>'raw data Crude oil'!AE1189</f>
        <v>65.945999999999998</v>
      </c>
      <c r="AF1188">
        <f>'raw data Crude oil'!AF1189</f>
        <v>65.623999999999995</v>
      </c>
      <c r="AG1188">
        <f>'raw data Crude oil'!AG1189</f>
        <v>65.326999999999998</v>
      </c>
      <c r="AH1188">
        <f>'raw data Crude oil'!AH1189</f>
        <v>65.004000000000005</v>
      </c>
      <c r="AI1188">
        <f>'raw data Crude oil'!AI1189</f>
        <v>64.676000000000002</v>
      </c>
      <c r="AJ1188">
        <f>'raw data Crude oil'!AJ1189</f>
        <v>64.367000000000004</v>
      </c>
      <c r="AK1188">
        <f>'raw data Crude oil'!AK1189</f>
        <v>64.085999999999999</v>
      </c>
    </row>
    <row r="1189" spans="1:37" x14ac:dyDescent="0.3">
      <c r="A1189" s="18">
        <f>'raw data Crude oil'!A1190</f>
        <v>44417</v>
      </c>
      <c r="B1189">
        <f>'raw data Crude oil'!B1190</f>
        <v>69.040000000000006</v>
      </c>
      <c r="C1189">
        <f>'raw data Crude oil'!C1190</f>
        <v>68.61</v>
      </c>
      <c r="D1189">
        <f>'raw data Crude oil'!D1190</f>
        <v>68.16</v>
      </c>
      <c r="E1189">
        <f>'raw data Crude oil'!E1190</f>
        <v>67.709999999999994</v>
      </c>
      <c r="F1189">
        <f>'raw data Crude oil'!F1190</f>
        <v>67.27</v>
      </c>
      <c r="G1189">
        <f>'raw data Crude oil'!G1190</f>
        <v>66.89</v>
      </c>
      <c r="H1189">
        <f>'raw data Crude oil'!H1190</f>
        <v>66.569999999999993</v>
      </c>
      <c r="I1189">
        <f>'raw data Crude oil'!I1190</f>
        <v>66.27</v>
      </c>
      <c r="J1189">
        <f>'raw data Crude oil'!J1190</f>
        <v>66</v>
      </c>
      <c r="K1189">
        <f>'raw data Crude oil'!K1190</f>
        <v>65.72</v>
      </c>
      <c r="L1189">
        <f>'raw data Crude oil'!L1190</f>
        <v>65.45</v>
      </c>
      <c r="M1189">
        <f>'raw data Crude oil'!M1190</f>
        <v>65.2</v>
      </c>
      <c r="N1189">
        <f>'raw data Crude oil'!N1190</f>
        <v>66.48</v>
      </c>
      <c r="O1189">
        <f>'raw data Crude oil'!O1190</f>
        <v>66.3</v>
      </c>
      <c r="P1189">
        <f>'raw data Crude oil'!P1190</f>
        <v>65.989999999999995</v>
      </c>
      <c r="Q1189">
        <f>'raw data Crude oil'!Q1190</f>
        <v>65.62</v>
      </c>
      <c r="R1189">
        <f>'raw data Crude oil'!R1190</f>
        <v>65.23</v>
      </c>
      <c r="S1189">
        <f>'raw data Crude oil'!S1190</f>
        <v>64.81</v>
      </c>
      <c r="T1189">
        <f>'raw data Crude oil'!T1190</f>
        <v>64.41</v>
      </c>
      <c r="U1189">
        <f>'raw data Crude oil'!U1190</f>
        <v>64.02</v>
      </c>
      <c r="V1189">
        <f>'raw data Crude oil'!V1190</f>
        <v>63.64</v>
      </c>
      <c r="W1189">
        <f>'raw data Crude oil'!W1190</f>
        <v>63.27</v>
      </c>
      <c r="X1189">
        <f>'raw data Crude oil'!X1190</f>
        <v>62.88</v>
      </c>
      <c r="Y1189">
        <f>'raw data Crude oil'!Y1190</f>
        <v>62.5</v>
      </c>
      <c r="Z1189">
        <f>'raw data Crude oil'!Z1190</f>
        <v>68.474999999999994</v>
      </c>
      <c r="AA1189">
        <f>'raw data Crude oil'!AA1190</f>
        <v>66.52</v>
      </c>
      <c r="AB1189">
        <f>'raw data Crude oil'!AB1190</f>
        <v>65.759</v>
      </c>
      <c r="AC1189">
        <f>'raw data Crude oil'!AC1190</f>
        <v>65.2</v>
      </c>
      <c r="AD1189">
        <f>'raw data Crude oil'!AD1190</f>
        <v>64.667000000000002</v>
      </c>
      <c r="AE1189">
        <f>'raw data Crude oil'!AE1190</f>
        <v>64.254999999999995</v>
      </c>
      <c r="AF1189">
        <f>'raw data Crude oil'!AF1190</f>
        <v>63.935000000000002</v>
      </c>
      <c r="AG1189">
        <f>'raw data Crude oil'!AG1190</f>
        <v>63.637999999999998</v>
      </c>
      <c r="AH1189">
        <f>'raw data Crude oil'!AH1190</f>
        <v>63.366</v>
      </c>
      <c r="AI1189">
        <f>'raw data Crude oil'!AI1190</f>
        <v>63.097999999999999</v>
      </c>
      <c r="AJ1189">
        <f>'raw data Crude oil'!AJ1190</f>
        <v>62.829000000000001</v>
      </c>
      <c r="AK1189">
        <f>'raw data Crude oil'!AK1190</f>
        <v>62.578000000000003</v>
      </c>
    </row>
    <row r="1190" spans="1:37" x14ac:dyDescent="0.3">
      <c r="A1190" s="18">
        <f>'raw data Crude oil'!A1191</f>
        <v>44418</v>
      </c>
      <c r="B1190">
        <f>'raw data Crude oil'!B1191</f>
        <v>70.63</v>
      </c>
      <c r="C1190">
        <f>'raw data Crude oil'!C1191</f>
        <v>70.22</v>
      </c>
      <c r="D1190">
        <f>'raw data Crude oil'!D1191</f>
        <v>69.760000000000005</v>
      </c>
      <c r="E1190">
        <f>'raw data Crude oil'!E1191</f>
        <v>69.3</v>
      </c>
      <c r="F1190">
        <f>'raw data Crude oil'!F1191</f>
        <v>68.83</v>
      </c>
      <c r="G1190">
        <f>'raw data Crude oil'!G1191</f>
        <v>68.42</v>
      </c>
      <c r="H1190">
        <f>'raw data Crude oil'!H1191</f>
        <v>68.069999999999993</v>
      </c>
      <c r="I1190">
        <f>'raw data Crude oil'!I1191</f>
        <v>67.75</v>
      </c>
      <c r="J1190">
        <f>'raw data Crude oil'!J1191</f>
        <v>67.45</v>
      </c>
      <c r="K1190">
        <f>'raw data Crude oil'!K1191</f>
        <v>67.14</v>
      </c>
      <c r="L1190">
        <f>'raw data Crude oil'!L1191</f>
        <v>66.84</v>
      </c>
      <c r="M1190">
        <f>'raw data Crude oil'!M1191</f>
        <v>66.56</v>
      </c>
      <c r="N1190">
        <f>'raw data Crude oil'!N1191</f>
        <v>68.290000000000006</v>
      </c>
      <c r="O1190">
        <f>'raw data Crude oil'!O1191</f>
        <v>68.06</v>
      </c>
      <c r="P1190">
        <f>'raw data Crude oil'!P1191</f>
        <v>67.69</v>
      </c>
      <c r="Q1190">
        <f>'raw data Crude oil'!Q1191</f>
        <v>67.239999999999995</v>
      </c>
      <c r="R1190">
        <f>'raw data Crude oil'!R1191</f>
        <v>66.8</v>
      </c>
      <c r="S1190">
        <f>'raw data Crude oil'!S1191</f>
        <v>66.34</v>
      </c>
      <c r="T1190">
        <f>'raw data Crude oil'!T1191</f>
        <v>65.91</v>
      </c>
      <c r="U1190">
        <f>'raw data Crude oil'!U1191</f>
        <v>65.489999999999995</v>
      </c>
      <c r="V1190">
        <f>'raw data Crude oil'!V1191</f>
        <v>65.08</v>
      </c>
      <c r="W1190">
        <f>'raw data Crude oil'!W1191</f>
        <v>64.67</v>
      </c>
      <c r="X1190">
        <f>'raw data Crude oil'!X1191</f>
        <v>64.25</v>
      </c>
      <c r="Y1190">
        <f>'raw data Crude oil'!Y1191</f>
        <v>63.84</v>
      </c>
      <c r="Z1190">
        <f>'raw data Crude oil'!Z1191</f>
        <v>69.763000000000005</v>
      </c>
      <c r="AA1190">
        <f>'raw data Crude oil'!AA1191</f>
        <v>68.159000000000006</v>
      </c>
      <c r="AB1190">
        <f>'raw data Crude oil'!AB1191</f>
        <v>67.388999999999996</v>
      </c>
      <c r="AC1190">
        <f>'raw data Crude oil'!AC1191</f>
        <v>66.819000000000003</v>
      </c>
      <c r="AD1190">
        <f>'raw data Crude oil'!AD1191</f>
        <v>66.263999999999996</v>
      </c>
      <c r="AE1190">
        <f>'raw data Crude oil'!AE1191</f>
        <v>65.813000000000002</v>
      </c>
      <c r="AF1190">
        <f>'raw data Crude oil'!AF1191</f>
        <v>65.463999999999999</v>
      </c>
      <c r="AG1190">
        <f>'raw data Crude oil'!AG1191</f>
        <v>65.147000000000006</v>
      </c>
      <c r="AH1190">
        <f>'raw data Crude oil'!AH1191</f>
        <v>64.844999999999999</v>
      </c>
      <c r="AI1190">
        <f>'raw data Crude oil'!AI1191</f>
        <v>64.555999999999997</v>
      </c>
      <c r="AJ1190">
        <f>'raw data Crude oil'!AJ1191</f>
        <v>64.266999999999996</v>
      </c>
      <c r="AK1190">
        <f>'raw data Crude oil'!AK1191</f>
        <v>63.985999999999997</v>
      </c>
    </row>
    <row r="1191" spans="1:37" x14ac:dyDescent="0.3">
      <c r="A1191" s="18">
        <f>'raw data Crude oil'!A1192</f>
        <v>44419</v>
      </c>
      <c r="B1191">
        <f>'raw data Crude oil'!B1192</f>
        <v>71.44</v>
      </c>
      <c r="C1191">
        <f>'raw data Crude oil'!C1192</f>
        <v>71.06</v>
      </c>
      <c r="D1191">
        <f>'raw data Crude oil'!D1192</f>
        <v>70.599999999999994</v>
      </c>
      <c r="E1191">
        <f>'raw data Crude oil'!E1192</f>
        <v>70.14</v>
      </c>
      <c r="F1191">
        <f>'raw data Crude oil'!F1192</f>
        <v>69.680000000000007</v>
      </c>
      <c r="G1191">
        <f>'raw data Crude oil'!G1192</f>
        <v>69.27</v>
      </c>
      <c r="H1191">
        <f>'raw data Crude oil'!H1192</f>
        <v>68.91</v>
      </c>
      <c r="I1191">
        <f>'raw data Crude oil'!I1192</f>
        <v>68.58</v>
      </c>
      <c r="J1191">
        <f>'raw data Crude oil'!J1192</f>
        <v>68.27</v>
      </c>
      <c r="K1191">
        <f>'raw data Crude oil'!K1192</f>
        <v>67.95</v>
      </c>
      <c r="L1191">
        <f>'raw data Crude oil'!L1192</f>
        <v>67.64</v>
      </c>
      <c r="M1191">
        <f>'raw data Crude oil'!M1192</f>
        <v>67.349999999999994</v>
      </c>
      <c r="N1191">
        <f>'raw data Crude oil'!N1192</f>
        <v>69.25</v>
      </c>
      <c r="O1191">
        <f>'raw data Crude oil'!O1192</f>
        <v>69.02</v>
      </c>
      <c r="P1191">
        <f>'raw data Crude oil'!P1192</f>
        <v>68.650000000000006</v>
      </c>
      <c r="Q1191">
        <f>'raw data Crude oil'!Q1192</f>
        <v>68.180000000000007</v>
      </c>
      <c r="R1191">
        <f>'raw data Crude oil'!R1192</f>
        <v>67.709999999999994</v>
      </c>
      <c r="S1191">
        <f>'raw data Crude oil'!S1192</f>
        <v>67.23</v>
      </c>
      <c r="T1191">
        <f>'raw data Crude oil'!T1192</f>
        <v>66.78</v>
      </c>
      <c r="U1191">
        <f>'raw data Crude oil'!U1192</f>
        <v>66.349999999999994</v>
      </c>
      <c r="V1191">
        <f>'raw data Crude oil'!V1192</f>
        <v>65.930000000000007</v>
      </c>
      <c r="W1191">
        <f>'raw data Crude oil'!W1192</f>
        <v>65.510000000000005</v>
      </c>
      <c r="X1191">
        <f>'raw data Crude oil'!X1192</f>
        <v>65.069999999999993</v>
      </c>
      <c r="Y1191">
        <f>'raw data Crude oil'!Y1192</f>
        <v>64.650000000000006</v>
      </c>
      <c r="Z1191">
        <f>'raw data Crude oil'!Z1192</f>
        <v>70.429000000000002</v>
      </c>
      <c r="AA1191">
        <f>'raw data Crude oil'!AA1192</f>
        <v>69.028999999999996</v>
      </c>
      <c r="AB1191">
        <f>'raw data Crude oil'!AB1192</f>
        <v>68.248000000000005</v>
      </c>
      <c r="AC1191">
        <f>'raw data Crude oil'!AC1192</f>
        <v>67.668999999999997</v>
      </c>
      <c r="AD1191">
        <f>'raw data Crude oil'!AD1192</f>
        <v>67.103999999999999</v>
      </c>
      <c r="AE1191">
        <f>'raw data Crude oil'!AE1192</f>
        <v>66.653000000000006</v>
      </c>
      <c r="AF1191">
        <f>'raw data Crude oil'!AF1192</f>
        <v>66.274000000000001</v>
      </c>
      <c r="AG1191">
        <f>'raw data Crude oil'!AG1192</f>
        <v>65.947000000000003</v>
      </c>
      <c r="AH1191">
        <f>'raw data Crude oil'!AH1192</f>
        <v>65.644000000000005</v>
      </c>
      <c r="AI1191">
        <f>'raw data Crude oil'!AI1192</f>
        <v>65.325999999999993</v>
      </c>
      <c r="AJ1191">
        <f>'raw data Crude oil'!AJ1192</f>
        <v>65.016999999999996</v>
      </c>
      <c r="AK1191">
        <f>'raw data Crude oil'!AK1192</f>
        <v>64.725999999999999</v>
      </c>
    </row>
    <row r="1192" spans="1:37" x14ac:dyDescent="0.3">
      <c r="A1192" s="18">
        <f>'raw data Crude oil'!A1193</f>
        <v>44420</v>
      </c>
      <c r="B1192">
        <f>'raw data Crude oil'!B1193</f>
        <v>71.31</v>
      </c>
      <c r="C1192">
        <f>'raw data Crude oil'!C1193</f>
        <v>70.91</v>
      </c>
      <c r="D1192">
        <f>'raw data Crude oil'!D1193</f>
        <v>70.44</v>
      </c>
      <c r="E1192">
        <f>'raw data Crude oil'!E1193</f>
        <v>69.98</v>
      </c>
      <c r="F1192">
        <f>'raw data Crude oil'!F1193</f>
        <v>69.52</v>
      </c>
      <c r="G1192">
        <f>'raw data Crude oil'!G1193</f>
        <v>69.12</v>
      </c>
      <c r="H1192">
        <f>'raw data Crude oil'!H1193</f>
        <v>68.78</v>
      </c>
      <c r="I1192">
        <f>'raw data Crude oil'!I1193</f>
        <v>68.47</v>
      </c>
      <c r="J1192">
        <f>'raw data Crude oil'!J1193</f>
        <v>68.16</v>
      </c>
      <c r="K1192">
        <f>'raw data Crude oil'!K1193</f>
        <v>67.849999999999994</v>
      </c>
      <c r="L1192">
        <f>'raw data Crude oil'!L1193</f>
        <v>67.540000000000006</v>
      </c>
      <c r="M1192">
        <f>'raw data Crude oil'!M1193</f>
        <v>67.239999999999995</v>
      </c>
      <c r="N1192">
        <f>'raw data Crude oil'!N1193</f>
        <v>69.09</v>
      </c>
      <c r="O1192">
        <f>'raw data Crude oil'!O1193</f>
        <v>68.900000000000006</v>
      </c>
      <c r="P1192">
        <f>'raw data Crude oil'!P1193</f>
        <v>68.55</v>
      </c>
      <c r="Q1192">
        <f>'raw data Crude oil'!Q1193</f>
        <v>68.11</v>
      </c>
      <c r="R1192">
        <f>'raw data Crude oil'!R1193</f>
        <v>67.66</v>
      </c>
      <c r="S1192">
        <f>'raw data Crude oil'!S1193</f>
        <v>67.19</v>
      </c>
      <c r="T1192">
        <f>'raw data Crude oil'!T1193</f>
        <v>66.75</v>
      </c>
      <c r="U1192">
        <f>'raw data Crude oil'!U1193</f>
        <v>66.319999999999993</v>
      </c>
      <c r="V1192">
        <f>'raw data Crude oil'!V1193</f>
        <v>65.900000000000006</v>
      </c>
      <c r="W1192">
        <f>'raw data Crude oil'!W1193</f>
        <v>65.489999999999995</v>
      </c>
      <c r="X1192">
        <f>'raw data Crude oil'!X1193</f>
        <v>65.06</v>
      </c>
      <c r="Y1192">
        <f>'raw data Crude oil'!Y1193</f>
        <v>64.63</v>
      </c>
      <c r="Z1192">
        <f>'raw data Crude oil'!Z1193</f>
        <v>70.462999999999994</v>
      </c>
      <c r="AA1192">
        <f>'raw data Crude oil'!AA1193</f>
        <v>69.069000000000003</v>
      </c>
      <c r="AB1192">
        <f>'raw data Crude oil'!AB1193</f>
        <v>68.188000000000002</v>
      </c>
      <c r="AC1192">
        <f>'raw data Crude oil'!AC1193</f>
        <v>67.569000000000003</v>
      </c>
      <c r="AD1192">
        <f>'raw data Crude oil'!AD1193</f>
        <v>66.984999999999999</v>
      </c>
      <c r="AE1192">
        <f>'raw data Crude oil'!AE1193</f>
        <v>66.524000000000001</v>
      </c>
      <c r="AF1192">
        <f>'raw data Crude oil'!AF1193</f>
        <v>66.155000000000001</v>
      </c>
      <c r="AG1192">
        <f>'raw data Crude oil'!AG1193</f>
        <v>65.846999999999994</v>
      </c>
      <c r="AH1192">
        <f>'raw data Crude oil'!AH1193</f>
        <v>65.534999999999997</v>
      </c>
      <c r="AI1192">
        <f>'raw data Crude oil'!AI1193</f>
        <v>65.215999999999994</v>
      </c>
      <c r="AJ1192">
        <f>'raw data Crude oil'!AJ1193</f>
        <v>64.915999999999997</v>
      </c>
      <c r="AK1192">
        <f>'raw data Crude oil'!AK1193</f>
        <v>64.626000000000005</v>
      </c>
    </row>
    <row r="1193" spans="1:37" x14ac:dyDescent="0.3">
      <c r="A1193" s="18">
        <f>'raw data Crude oil'!A1194</f>
        <v>44421</v>
      </c>
      <c r="B1193">
        <f>'raw data Crude oil'!B1194</f>
        <v>70.59</v>
      </c>
      <c r="C1193">
        <f>'raw data Crude oil'!C1194</f>
        <v>70.2</v>
      </c>
      <c r="D1193">
        <f>'raw data Crude oil'!D1194</f>
        <v>69.739999999999995</v>
      </c>
      <c r="E1193">
        <f>'raw data Crude oil'!E1194</f>
        <v>69.3</v>
      </c>
      <c r="F1193">
        <f>'raw data Crude oil'!F1194</f>
        <v>68.87</v>
      </c>
      <c r="G1193">
        <f>'raw data Crude oil'!G1194</f>
        <v>68.489999999999995</v>
      </c>
      <c r="H1193">
        <f>'raw data Crude oil'!H1194</f>
        <v>68.16</v>
      </c>
      <c r="I1193">
        <f>'raw data Crude oil'!I1194</f>
        <v>67.87</v>
      </c>
      <c r="J1193">
        <f>'raw data Crude oil'!J1194</f>
        <v>67.58</v>
      </c>
      <c r="K1193">
        <f>'raw data Crude oil'!K1194</f>
        <v>67.290000000000006</v>
      </c>
      <c r="L1193">
        <f>'raw data Crude oil'!L1194</f>
        <v>67.010000000000005</v>
      </c>
      <c r="M1193">
        <f>'raw data Crude oil'!M1194</f>
        <v>66.72</v>
      </c>
      <c r="N1193">
        <f>'raw data Crude oil'!N1194</f>
        <v>68.44</v>
      </c>
      <c r="O1193">
        <f>'raw data Crude oil'!O1194</f>
        <v>68.209999999999994</v>
      </c>
      <c r="P1193">
        <f>'raw data Crude oil'!P1194</f>
        <v>67.84</v>
      </c>
      <c r="Q1193">
        <f>'raw data Crude oil'!Q1194</f>
        <v>67.41</v>
      </c>
      <c r="R1193">
        <f>'raw data Crude oil'!R1194</f>
        <v>66.98</v>
      </c>
      <c r="S1193">
        <f>'raw data Crude oil'!S1194</f>
        <v>66.540000000000006</v>
      </c>
      <c r="T1193">
        <f>'raw data Crude oil'!T1194</f>
        <v>66.13</v>
      </c>
      <c r="U1193">
        <f>'raw data Crude oil'!U1194</f>
        <v>65.73</v>
      </c>
      <c r="V1193">
        <f>'raw data Crude oil'!V1194</f>
        <v>65.34</v>
      </c>
      <c r="W1193">
        <f>'raw data Crude oil'!W1194</f>
        <v>64.94</v>
      </c>
      <c r="X1193">
        <f>'raw data Crude oil'!X1194</f>
        <v>64.52</v>
      </c>
      <c r="Y1193">
        <f>'raw data Crude oil'!Y1194</f>
        <v>64.11</v>
      </c>
      <c r="Z1193">
        <f>'raw data Crude oil'!Z1194</f>
        <v>70.103999999999999</v>
      </c>
      <c r="AA1193">
        <f>'raw data Crude oil'!AA1194</f>
        <v>68.448999999999998</v>
      </c>
      <c r="AB1193">
        <f>'raw data Crude oil'!AB1194</f>
        <v>67.578999999999994</v>
      </c>
      <c r="AC1193">
        <f>'raw data Crude oil'!AC1194</f>
        <v>66.930000000000007</v>
      </c>
      <c r="AD1193">
        <f>'raw data Crude oil'!AD1194</f>
        <v>66.326999999999998</v>
      </c>
      <c r="AE1193">
        <f>'raw data Crude oil'!AE1194</f>
        <v>65.894000000000005</v>
      </c>
      <c r="AF1193">
        <f>'raw data Crude oil'!AF1194</f>
        <v>65.536000000000001</v>
      </c>
      <c r="AG1193">
        <f>'raw data Crude oil'!AG1194</f>
        <v>65.236999999999995</v>
      </c>
      <c r="AH1193">
        <f>'raw data Crude oil'!AH1194</f>
        <v>64.945999999999998</v>
      </c>
      <c r="AI1193">
        <f>'raw data Crude oil'!AI1194</f>
        <v>64.656999999999996</v>
      </c>
      <c r="AJ1193">
        <f>'raw data Crude oil'!AJ1194</f>
        <v>64.387</v>
      </c>
      <c r="AK1193">
        <f>'raw data Crude oil'!AK1194</f>
        <v>64.106999999999999</v>
      </c>
    </row>
    <row r="1194" spans="1:37" x14ac:dyDescent="0.3">
      <c r="A1194" s="18">
        <f>'raw data Crude oil'!A1195</f>
        <v>44424</v>
      </c>
      <c r="B1194">
        <f>'raw data Crude oil'!B1195</f>
        <v>69.510000000000005</v>
      </c>
      <c r="C1194">
        <f>'raw data Crude oil'!C1195</f>
        <v>69.14</v>
      </c>
      <c r="D1194">
        <f>'raw data Crude oil'!D1195</f>
        <v>68.680000000000007</v>
      </c>
      <c r="E1194">
        <f>'raw data Crude oil'!E1195</f>
        <v>68.260000000000005</v>
      </c>
      <c r="F1194">
        <f>'raw data Crude oil'!F1195</f>
        <v>67.849999999999994</v>
      </c>
      <c r="G1194">
        <f>'raw data Crude oil'!G1195</f>
        <v>67.489999999999995</v>
      </c>
      <c r="H1194">
        <f>'raw data Crude oil'!H1195</f>
        <v>67.180000000000007</v>
      </c>
      <c r="I1194">
        <f>'raw data Crude oil'!I1195</f>
        <v>66.900000000000006</v>
      </c>
      <c r="J1194">
        <f>'raw data Crude oil'!J1195</f>
        <v>66.63</v>
      </c>
      <c r="K1194">
        <f>'raw data Crude oil'!K1195</f>
        <v>66.36</v>
      </c>
      <c r="L1194">
        <f>'raw data Crude oil'!L1195</f>
        <v>66.09</v>
      </c>
      <c r="M1194">
        <f>'raw data Crude oil'!M1195</f>
        <v>65.83</v>
      </c>
      <c r="N1194">
        <f>'raw data Crude oil'!N1195</f>
        <v>67.290000000000006</v>
      </c>
      <c r="O1194">
        <f>'raw data Crude oil'!O1195</f>
        <v>67.05</v>
      </c>
      <c r="P1194">
        <f>'raw data Crude oil'!P1195</f>
        <v>66.7</v>
      </c>
      <c r="Q1194">
        <f>'raw data Crude oil'!Q1195</f>
        <v>66.290000000000006</v>
      </c>
      <c r="R1194">
        <f>'raw data Crude oil'!R1195</f>
        <v>65.89</v>
      </c>
      <c r="S1194">
        <f>'raw data Crude oil'!S1195</f>
        <v>65.48</v>
      </c>
      <c r="T1194">
        <f>'raw data Crude oil'!T1195</f>
        <v>65.09</v>
      </c>
      <c r="U1194">
        <f>'raw data Crude oil'!U1195</f>
        <v>64.709999999999994</v>
      </c>
      <c r="V1194">
        <f>'raw data Crude oil'!V1195</f>
        <v>64.34</v>
      </c>
      <c r="W1194">
        <f>'raw data Crude oil'!W1195</f>
        <v>63.97</v>
      </c>
      <c r="X1194">
        <f>'raw data Crude oil'!X1195</f>
        <v>63.58</v>
      </c>
      <c r="Y1194">
        <f>'raw data Crude oil'!Y1195</f>
        <v>63.2</v>
      </c>
      <c r="Z1194">
        <f>'raw data Crude oil'!Z1195</f>
        <v>69.587000000000003</v>
      </c>
      <c r="AA1194">
        <f>'raw data Crude oil'!AA1195</f>
        <v>67.438999999999993</v>
      </c>
      <c r="AB1194">
        <f>'raw data Crude oil'!AB1195</f>
        <v>66.61</v>
      </c>
      <c r="AC1194">
        <f>'raw data Crude oil'!AC1195</f>
        <v>65.971000000000004</v>
      </c>
      <c r="AD1194">
        <f>'raw data Crude oil'!AD1195</f>
        <v>65.369</v>
      </c>
      <c r="AE1194">
        <f>'raw data Crude oil'!AE1195</f>
        <v>64.915000000000006</v>
      </c>
      <c r="AF1194">
        <f>'raw data Crude oil'!AF1195</f>
        <v>64.555999999999997</v>
      </c>
      <c r="AG1194">
        <f>'raw data Crude oil'!AG1195</f>
        <v>64.268000000000001</v>
      </c>
      <c r="AH1194">
        <f>'raw data Crude oil'!AH1195</f>
        <v>64.007000000000005</v>
      </c>
      <c r="AI1194">
        <f>'raw data Crude oil'!AI1195</f>
        <v>63.738</v>
      </c>
      <c r="AJ1194">
        <f>'raw data Crude oil'!AJ1195</f>
        <v>63.478000000000002</v>
      </c>
      <c r="AK1194">
        <f>'raw data Crude oil'!AK1195</f>
        <v>63.238</v>
      </c>
    </row>
    <row r="1195" spans="1:37" x14ac:dyDescent="0.3">
      <c r="A1195" s="18">
        <f>'raw data Crude oil'!A1196</f>
        <v>44425</v>
      </c>
      <c r="B1195">
        <f>'raw data Crude oil'!B1196</f>
        <v>69.03</v>
      </c>
      <c r="C1195">
        <f>'raw data Crude oil'!C1196</f>
        <v>68.61</v>
      </c>
      <c r="D1195">
        <f>'raw data Crude oil'!D1196</f>
        <v>68.12</v>
      </c>
      <c r="E1195">
        <f>'raw data Crude oil'!E1196</f>
        <v>67.67</v>
      </c>
      <c r="F1195">
        <f>'raw data Crude oil'!F1196</f>
        <v>67.239999999999995</v>
      </c>
      <c r="G1195">
        <f>'raw data Crude oil'!G1196</f>
        <v>66.87</v>
      </c>
      <c r="H1195">
        <f>'raw data Crude oil'!H1196</f>
        <v>66.55</v>
      </c>
      <c r="I1195">
        <f>'raw data Crude oil'!I1196</f>
        <v>66.260000000000005</v>
      </c>
      <c r="J1195">
        <f>'raw data Crude oil'!J1196</f>
        <v>65.989999999999995</v>
      </c>
      <c r="K1195">
        <f>'raw data Crude oil'!K1196</f>
        <v>65.709999999999994</v>
      </c>
      <c r="L1195">
        <f>'raw data Crude oil'!L1196</f>
        <v>65.44</v>
      </c>
      <c r="M1195">
        <f>'raw data Crude oil'!M1196</f>
        <v>65.180000000000007</v>
      </c>
      <c r="N1195">
        <f>'raw data Crude oil'!N1196</f>
        <v>66.59</v>
      </c>
      <c r="O1195">
        <f>'raw data Crude oil'!O1196</f>
        <v>66.34</v>
      </c>
      <c r="P1195">
        <f>'raw data Crude oil'!P1196</f>
        <v>65.989999999999995</v>
      </c>
      <c r="Q1195">
        <f>'raw data Crude oil'!Q1196</f>
        <v>65.599999999999994</v>
      </c>
      <c r="R1195">
        <f>'raw data Crude oil'!R1196</f>
        <v>65.209999999999994</v>
      </c>
      <c r="S1195">
        <f>'raw data Crude oil'!S1196</f>
        <v>64.8</v>
      </c>
      <c r="T1195">
        <f>'raw data Crude oil'!T1196</f>
        <v>64.42</v>
      </c>
      <c r="U1195">
        <f>'raw data Crude oil'!U1196</f>
        <v>64.040000000000006</v>
      </c>
      <c r="V1195">
        <f>'raw data Crude oil'!V1196</f>
        <v>63.67</v>
      </c>
      <c r="W1195">
        <f>'raw data Crude oil'!W1196</f>
        <v>63.29</v>
      </c>
      <c r="X1195">
        <f>'raw data Crude oil'!X1196</f>
        <v>62.91</v>
      </c>
      <c r="Y1195">
        <f>'raw data Crude oil'!Y1196</f>
        <v>62.52</v>
      </c>
      <c r="Z1195">
        <f>'raw data Crude oil'!Z1196</f>
        <v>69.332999999999998</v>
      </c>
      <c r="AA1195">
        <f>'raw data Crude oil'!AA1196</f>
        <v>66.938000000000002</v>
      </c>
      <c r="AB1195">
        <f>'raw data Crude oil'!AB1196</f>
        <v>66.138999999999996</v>
      </c>
      <c r="AC1195">
        <f>'raw data Crude oil'!AC1196</f>
        <v>65.47</v>
      </c>
      <c r="AD1195">
        <f>'raw data Crude oil'!AD1196</f>
        <v>64.837999999999994</v>
      </c>
      <c r="AE1195">
        <f>'raw data Crude oil'!AE1196</f>
        <v>64.394999999999996</v>
      </c>
      <c r="AF1195">
        <f>'raw data Crude oil'!AF1196</f>
        <v>64.025999999999996</v>
      </c>
      <c r="AG1195">
        <f>'raw data Crude oil'!AG1196</f>
        <v>63.718000000000004</v>
      </c>
      <c r="AH1195">
        <f>'raw data Crude oil'!AH1196</f>
        <v>63.415999999999997</v>
      </c>
      <c r="AI1195">
        <f>'raw data Crude oil'!AI1196</f>
        <v>63.148000000000003</v>
      </c>
      <c r="AJ1195">
        <f>'raw data Crude oil'!AJ1196</f>
        <v>62.887999999999998</v>
      </c>
      <c r="AK1195">
        <f>'raw data Crude oil'!AK1196</f>
        <v>62.627000000000002</v>
      </c>
    </row>
    <row r="1196" spans="1:37" x14ac:dyDescent="0.3">
      <c r="A1196" s="18">
        <f>'raw data Crude oil'!A1197</f>
        <v>44426</v>
      </c>
      <c r="B1196">
        <f>'raw data Crude oil'!B1197</f>
        <v>68.23</v>
      </c>
      <c r="C1196">
        <f>'raw data Crude oil'!C1197</f>
        <v>67.77</v>
      </c>
      <c r="D1196">
        <f>'raw data Crude oil'!D1197</f>
        <v>67.260000000000005</v>
      </c>
      <c r="E1196">
        <f>'raw data Crude oil'!E1197</f>
        <v>66.8</v>
      </c>
      <c r="F1196">
        <f>'raw data Crude oil'!F1197</f>
        <v>66.38</v>
      </c>
      <c r="G1196">
        <f>'raw data Crude oil'!G1197</f>
        <v>66.03</v>
      </c>
      <c r="H1196">
        <f>'raw data Crude oil'!H1197</f>
        <v>65.73</v>
      </c>
      <c r="I1196">
        <f>'raw data Crude oil'!I1197</f>
        <v>65.459999999999994</v>
      </c>
      <c r="J1196">
        <f>'raw data Crude oil'!J1197</f>
        <v>65.209999999999994</v>
      </c>
      <c r="K1196">
        <f>'raw data Crude oil'!K1197</f>
        <v>64.95</v>
      </c>
      <c r="L1196">
        <f>'raw data Crude oil'!L1197</f>
        <v>64.69</v>
      </c>
      <c r="M1196">
        <f>'raw data Crude oil'!M1197</f>
        <v>64.45</v>
      </c>
      <c r="N1196">
        <f>'raw data Crude oil'!N1197</f>
        <v>65.459999999999994</v>
      </c>
      <c r="O1196">
        <f>'raw data Crude oil'!O1197</f>
        <v>65.209999999999994</v>
      </c>
      <c r="P1196">
        <f>'raw data Crude oil'!P1197</f>
        <v>64.87</v>
      </c>
      <c r="Q1196">
        <f>'raw data Crude oil'!Q1197</f>
        <v>64.510000000000005</v>
      </c>
      <c r="R1196">
        <f>'raw data Crude oil'!R1197</f>
        <v>64.150000000000006</v>
      </c>
      <c r="S1196">
        <f>'raw data Crude oil'!S1197</f>
        <v>63.77</v>
      </c>
      <c r="T1196">
        <f>'raw data Crude oil'!T1197</f>
        <v>63.42</v>
      </c>
      <c r="U1196">
        <f>'raw data Crude oil'!U1197</f>
        <v>63.07</v>
      </c>
      <c r="V1196">
        <f>'raw data Crude oil'!V1197</f>
        <v>62.72</v>
      </c>
      <c r="W1196">
        <f>'raw data Crude oil'!W1197</f>
        <v>62.39</v>
      </c>
      <c r="X1196">
        <f>'raw data Crude oil'!X1197</f>
        <v>62.02</v>
      </c>
      <c r="Y1196">
        <f>'raw data Crude oil'!Y1197</f>
        <v>61.66</v>
      </c>
      <c r="Z1196">
        <f>'raw data Crude oil'!Z1197</f>
        <v>68.866</v>
      </c>
      <c r="AA1196">
        <f>'raw data Crude oil'!AA1197</f>
        <v>65.948999999999998</v>
      </c>
      <c r="AB1196">
        <f>'raw data Crude oil'!AB1197</f>
        <v>65.218000000000004</v>
      </c>
      <c r="AC1196">
        <f>'raw data Crude oil'!AC1197</f>
        <v>64.551000000000002</v>
      </c>
      <c r="AD1196">
        <f>'raw data Crude oil'!AD1197</f>
        <v>63.93</v>
      </c>
      <c r="AE1196">
        <f>'raw data Crude oil'!AE1197</f>
        <v>63.496000000000002</v>
      </c>
      <c r="AF1196">
        <f>'raw data Crude oil'!AF1197</f>
        <v>63.186999999999998</v>
      </c>
      <c r="AG1196">
        <f>'raw data Crude oil'!AG1197</f>
        <v>62.908999999999999</v>
      </c>
      <c r="AH1196">
        <f>'raw data Crude oil'!AH1197</f>
        <v>62.627000000000002</v>
      </c>
      <c r="AI1196">
        <f>'raw data Crude oil'!AI1197</f>
        <v>62.378</v>
      </c>
      <c r="AJ1196">
        <f>'raw data Crude oil'!AJ1197</f>
        <v>62.128999999999998</v>
      </c>
      <c r="AK1196">
        <f>'raw data Crude oil'!AK1197</f>
        <v>61.887999999999998</v>
      </c>
    </row>
    <row r="1197" spans="1:37" x14ac:dyDescent="0.3">
      <c r="A1197" s="18">
        <f>'raw data Crude oil'!A1198</f>
        <v>44427</v>
      </c>
      <c r="B1197">
        <f>'raw data Crude oil'!B1198</f>
        <v>66.45</v>
      </c>
      <c r="C1197">
        <f>'raw data Crude oil'!C1198</f>
        <v>66.02</v>
      </c>
      <c r="D1197">
        <f>'raw data Crude oil'!D1198</f>
        <v>65.53</v>
      </c>
      <c r="E1197">
        <f>'raw data Crude oil'!E1198</f>
        <v>65.09</v>
      </c>
      <c r="F1197">
        <f>'raw data Crude oil'!F1198</f>
        <v>64.7</v>
      </c>
      <c r="G1197">
        <f>'raw data Crude oil'!G1198</f>
        <v>64.36</v>
      </c>
      <c r="H1197">
        <f>'raw data Crude oil'!H1198</f>
        <v>64.08</v>
      </c>
      <c r="I1197">
        <f>'raw data Crude oil'!I1198</f>
        <v>63.83</v>
      </c>
      <c r="J1197">
        <f>'raw data Crude oil'!J1198</f>
        <v>63.59</v>
      </c>
      <c r="K1197">
        <f>'raw data Crude oil'!K1198</f>
        <v>63.35</v>
      </c>
      <c r="L1197">
        <f>'raw data Crude oil'!L1198</f>
        <v>63.12</v>
      </c>
      <c r="M1197">
        <f>'raw data Crude oil'!M1198</f>
        <v>62.9</v>
      </c>
      <c r="N1197">
        <f>'raw data Crude oil'!N1198</f>
        <v>63.69</v>
      </c>
      <c r="O1197">
        <f>'raw data Crude oil'!O1198</f>
        <v>63.5</v>
      </c>
      <c r="P1197">
        <f>'raw data Crude oil'!P1198</f>
        <v>63.15</v>
      </c>
      <c r="Q1197">
        <f>'raw data Crude oil'!Q1198</f>
        <v>62.78</v>
      </c>
      <c r="R1197">
        <f>'raw data Crude oil'!R1198</f>
        <v>62.42</v>
      </c>
      <c r="S1197">
        <f>'raw data Crude oil'!S1198</f>
        <v>62.06</v>
      </c>
      <c r="T1197">
        <f>'raw data Crude oil'!T1198</f>
        <v>61.73</v>
      </c>
      <c r="U1197">
        <f>'raw data Crude oil'!U1198</f>
        <v>61.41</v>
      </c>
      <c r="V1197">
        <f>'raw data Crude oil'!V1198</f>
        <v>61.1</v>
      </c>
      <c r="W1197">
        <f>'raw data Crude oil'!W1198</f>
        <v>60.79</v>
      </c>
      <c r="X1197">
        <f>'raw data Crude oil'!X1198</f>
        <v>60.46</v>
      </c>
      <c r="Y1197">
        <f>'raw data Crude oil'!Y1198</f>
        <v>60.14</v>
      </c>
      <c r="Z1197">
        <f>'raw data Crude oil'!Z1198</f>
        <v>68.028999999999996</v>
      </c>
      <c r="AA1197">
        <f>'raw data Crude oil'!AA1198</f>
        <v>64.097999999999999</v>
      </c>
      <c r="AB1197">
        <f>'raw data Crude oil'!AB1198</f>
        <v>63.463999999999999</v>
      </c>
      <c r="AC1197">
        <f>'raw data Crude oil'!AC1198</f>
        <v>62.832000000000001</v>
      </c>
      <c r="AD1197">
        <f>'raw data Crude oil'!AD1198</f>
        <v>62.23</v>
      </c>
      <c r="AE1197">
        <f>'raw data Crude oil'!AE1198</f>
        <v>61.807000000000002</v>
      </c>
      <c r="AF1197">
        <f>'raw data Crude oil'!AF1198</f>
        <v>61.488</v>
      </c>
      <c r="AG1197">
        <f>'raw data Crude oil'!AG1198</f>
        <v>61.23</v>
      </c>
      <c r="AH1197">
        <f>'raw data Crude oil'!AH1198</f>
        <v>60.988</v>
      </c>
      <c r="AI1197">
        <f>'raw data Crude oil'!AI1198</f>
        <v>60.76</v>
      </c>
      <c r="AJ1197">
        <f>'raw data Crude oil'!AJ1198</f>
        <v>60.53</v>
      </c>
      <c r="AK1197">
        <f>'raw data Crude oil'!AK1198</f>
        <v>60.289000000000001</v>
      </c>
    </row>
    <row r="1198" spans="1:37" x14ac:dyDescent="0.3">
      <c r="A1198" s="18">
        <f>'raw data Crude oil'!A1199</f>
        <v>44428</v>
      </c>
      <c r="B1198">
        <f>'raw data Crude oil'!B1199</f>
        <v>65.180000000000007</v>
      </c>
      <c r="C1198">
        <f>'raw data Crude oil'!C1199</f>
        <v>64.75</v>
      </c>
      <c r="D1198">
        <f>'raw data Crude oil'!D1199</f>
        <v>64.28</v>
      </c>
      <c r="E1198">
        <f>'raw data Crude oil'!E1199</f>
        <v>63.85</v>
      </c>
      <c r="F1198">
        <f>'raw data Crude oil'!F1199</f>
        <v>63.48</v>
      </c>
      <c r="G1198">
        <f>'raw data Crude oil'!G1199</f>
        <v>63.14</v>
      </c>
      <c r="H1198">
        <f>'raw data Crude oil'!H1199</f>
        <v>62.85</v>
      </c>
      <c r="I1198">
        <f>'raw data Crude oil'!I1199</f>
        <v>62.6</v>
      </c>
      <c r="J1198">
        <f>'raw data Crude oil'!J1199</f>
        <v>62.36</v>
      </c>
      <c r="K1198">
        <f>'raw data Crude oil'!K1199</f>
        <v>62.12</v>
      </c>
      <c r="L1198">
        <f>'raw data Crude oil'!L1199</f>
        <v>61.89</v>
      </c>
      <c r="M1198">
        <f>'raw data Crude oil'!M1199</f>
        <v>61.67</v>
      </c>
      <c r="N1198">
        <f>'raw data Crude oil'!N1199</f>
        <v>62.32</v>
      </c>
      <c r="O1198">
        <f>'raw data Crude oil'!O1199</f>
        <v>62.14</v>
      </c>
      <c r="P1198">
        <f>'raw data Crude oil'!P1199</f>
        <v>61.84</v>
      </c>
      <c r="Q1198">
        <f>'raw data Crude oil'!Q1199</f>
        <v>61.49</v>
      </c>
      <c r="R1198">
        <f>'raw data Crude oil'!R1199</f>
        <v>61.14</v>
      </c>
      <c r="S1198">
        <f>'raw data Crude oil'!S1199</f>
        <v>60.79</v>
      </c>
      <c r="T1198">
        <f>'raw data Crude oil'!T1199</f>
        <v>60.46</v>
      </c>
      <c r="U1198">
        <f>'raw data Crude oil'!U1199</f>
        <v>60.13</v>
      </c>
      <c r="V1198">
        <f>'raw data Crude oil'!V1199</f>
        <v>59.81</v>
      </c>
      <c r="W1198">
        <f>'raw data Crude oil'!W1199</f>
        <v>59.51</v>
      </c>
      <c r="X1198">
        <f>'raw data Crude oil'!X1199</f>
        <v>59.18</v>
      </c>
      <c r="Y1198">
        <f>'raw data Crude oil'!Y1199</f>
        <v>58.86</v>
      </c>
      <c r="Z1198">
        <f>'raw data Crude oil'!Z1199</f>
        <v>67.673000000000002</v>
      </c>
      <c r="AA1198">
        <f>'raw data Crude oil'!AA1199</f>
        <v>62.999000000000002</v>
      </c>
      <c r="AB1198">
        <f>'raw data Crude oil'!AB1199</f>
        <v>62.31</v>
      </c>
      <c r="AC1198">
        <f>'raw data Crude oil'!AC1199</f>
        <v>61.652999999999999</v>
      </c>
      <c r="AD1198">
        <f>'raw data Crude oil'!AD1199</f>
        <v>61.05</v>
      </c>
      <c r="AE1198">
        <f>'raw data Crude oil'!AE1199</f>
        <v>60.616</v>
      </c>
      <c r="AF1198">
        <f>'raw data Crude oil'!AF1199</f>
        <v>60.277999999999999</v>
      </c>
      <c r="AG1198">
        <f>'raw data Crude oil'!AG1199</f>
        <v>60.02</v>
      </c>
      <c r="AH1198">
        <f>'raw data Crude oil'!AH1199</f>
        <v>59.777999999999999</v>
      </c>
      <c r="AI1198">
        <f>'raw data Crude oil'!AI1199</f>
        <v>59.55</v>
      </c>
      <c r="AJ1198">
        <f>'raw data Crude oil'!AJ1199</f>
        <v>59.32</v>
      </c>
      <c r="AK1198">
        <f>'raw data Crude oil'!AK1199</f>
        <v>59.08</v>
      </c>
    </row>
    <row r="1199" spans="1:37" x14ac:dyDescent="0.3">
      <c r="A1199" s="18">
        <f>'raw data Crude oil'!A1200</f>
        <v>44431</v>
      </c>
      <c r="B1199">
        <f>'raw data Crude oil'!B1200</f>
        <v>68.75</v>
      </c>
      <c r="C1199">
        <f>'raw data Crude oil'!C1200</f>
        <v>68.37</v>
      </c>
      <c r="D1199">
        <f>'raw data Crude oil'!D1200</f>
        <v>67.86</v>
      </c>
      <c r="E1199">
        <f>'raw data Crude oil'!E1200</f>
        <v>67.37</v>
      </c>
      <c r="F1199">
        <f>'raw data Crude oil'!F1200</f>
        <v>66.91</v>
      </c>
      <c r="G1199">
        <f>'raw data Crude oil'!G1200</f>
        <v>66.489999999999995</v>
      </c>
      <c r="H1199">
        <f>'raw data Crude oil'!H1200</f>
        <v>66.14</v>
      </c>
      <c r="I1199">
        <f>'raw data Crude oil'!I1200</f>
        <v>65.83</v>
      </c>
      <c r="J1199">
        <f>'raw data Crude oil'!J1200</f>
        <v>65.53</v>
      </c>
      <c r="K1199">
        <f>'raw data Crude oil'!K1200</f>
        <v>65.23</v>
      </c>
      <c r="L1199">
        <f>'raw data Crude oil'!L1200</f>
        <v>64.95</v>
      </c>
      <c r="M1199">
        <f>'raw data Crude oil'!M1200</f>
        <v>64.680000000000007</v>
      </c>
      <c r="N1199">
        <f>'raw data Crude oil'!N1200</f>
        <v>65.64</v>
      </c>
      <c r="O1199">
        <f>'raw data Crude oil'!O1200</f>
        <v>65.34</v>
      </c>
      <c r="P1199">
        <f>'raw data Crude oil'!P1200</f>
        <v>64.959999999999994</v>
      </c>
      <c r="Q1199">
        <f>'raw data Crude oil'!Q1200</f>
        <v>64.569999999999993</v>
      </c>
      <c r="R1199">
        <f>'raw data Crude oil'!R1200</f>
        <v>64.150000000000006</v>
      </c>
      <c r="S1199">
        <f>'raw data Crude oil'!S1200</f>
        <v>63.75</v>
      </c>
      <c r="T1199">
        <f>'raw data Crude oil'!T1200</f>
        <v>63.36</v>
      </c>
      <c r="U1199">
        <f>'raw data Crude oil'!U1200</f>
        <v>62.99</v>
      </c>
      <c r="V1199">
        <f>'raw data Crude oil'!V1200</f>
        <v>62.62</v>
      </c>
      <c r="W1199">
        <f>'raw data Crude oil'!W1200</f>
        <v>62.23</v>
      </c>
      <c r="X1199">
        <f>'raw data Crude oil'!X1200</f>
        <v>61.86</v>
      </c>
      <c r="Y1199">
        <f>'raw data Crude oil'!Y1200</f>
        <v>61.51</v>
      </c>
      <c r="Z1199">
        <f>'raw data Crude oil'!Z1200</f>
        <v>68.787000000000006</v>
      </c>
      <c r="AA1199">
        <f>'raw data Crude oil'!AA1200</f>
        <v>66.540000000000006</v>
      </c>
      <c r="AB1199">
        <f>'raw data Crude oil'!AB1200</f>
        <v>65.887</v>
      </c>
      <c r="AC1199">
        <f>'raw data Crude oil'!AC1200</f>
        <v>65.209000000000003</v>
      </c>
      <c r="AD1199">
        <f>'raw data Crude oil'!AD1200</f>
        <v>64.522999999999996</v>
      </c>
      <c r="AE1199">
        <f>'raw data Crude oil'!AE1200</f>
        <v>64.003</v>
      </c>
      <c r="AF1199">
        <f>'raw data Crude oil'!AF1200</f>
        <v>63.625</v>
      </c>
      <c r="AG1199">
        <f>'raw data Crude oil'!AG1200</f>
        <v>63.326999999999998</v>
      </c>
      <c r="AH1199">
        <f>'raw data Crude oil'!AH1200</f>
        <v>63.024999999999999</v>
      </c>
      <c r="AI1199">
        <f>'raw data Crude oil'!AI1200</f>
        <v>62.737000000000002</v>
      </c>
      <c r="AJ1199">
        <f>'raw data Crude oil'!AJ1200</f>
        <v>62.448</v>
      </c>
      <c r="AK1199">
        <f>'raw data Crude oil'!AK1200</f>
        <v>62.167999999999999</v>
      </c>
    </row>
    <row r="1200" spans="1:37" x14ac:dyDescent="0.3">
      <c r="A1200" s="18">
        <f>'raw data Crude oil'!A1201</f>
        <v>44432</v>
      </c>
      <c r="B1200">
        <f>'raw data Crude oil'!B1201</f>
        <v>71.05</v>
      </c>
      <c r="C1200">
        <f>'raw data Crude oil'!C1201</f>
        <v>70.41</v>
      </c>
      <c r="D1200">
        <f>'raw data Crude oil'!D1201</f>
        <v>69.78</v>
      </c>
      <c r="E1200">
        <f>'raw data Crude oil'!E1201</f>
        <v>69.22</v>
      </c>
      <c r="F1200">
        <f>'raw data Crude oil'!F1201</f>
        <v>68.72</v>
      </c>
      <c r="G1200">
        <f>'raw data Crude oil'!G1201</f>
        <v>68.27</v>
      </c>
      <c r="H1200">
        <f>'raw data Crude oil'!H1201</f>
        <v>67.88</v>
      </c>
      <c r="I1200">
        <f>'raw data Crude oil'!I1201</f>
        <v>67.540000000000006</v>
      </c>
      <c r="J1200">
        <f>'raw data Crude oil'!J1201</f>
        <v>67.23</v>
      </c>
      <c r="K1200">
        <f>'raw data Crude oil'!K1201</f>
        <v>66.900000000000006</v>
      </c>
      <c r="L1200">
        <f>'raw data Crude oil'!L1201</f>
        <v>66.599999999999994</v>
      </c>
      <c r="M1200">
        <f>'raw data Crude oil'!M1201</f>
        <v>66.31</v>
      </c>
      <c r="N1200">
        <f>'raw data Crude oil'!N1201</f>
        <v>67.540000000000006</v>
      </c>
      <c r="O1200">
        <f>'raw data Crude oil'!O1201</f>
        <v>67.25</v>
      </c>
      <c r="P1200">
        <f>'raw data Crude oil'!P1201</f>
        <v>66.86</v>
      </c>
      <c r="Q1200">
        <f>'raw data Crude oil'!Q1201</f>
        <v>66.44</v>
      </c>
      <c r="R1200">
        <f>'raw data Crude oil'!R1201</f>
        <v>66</v>
      </c>
      <c r="S1200">
        <f>'raw data Crude oil'!S1201</f>
        <v>65.58</v>
      </c>
      <c r="T1200">
        <f>'raw data Crude oil'!T1201</f>
        <v>65.17</v>
      </c>
      <c r="U1200">
        <f>'raw data Crude oil'!U1201</f>
        <v>64.77</v>
      </c>
      <c r="V1200">
        <f>'raw data Crude oil'!V1201</f>
        <v>64.36</v>
      </c>
      <c r="W1200">
        <f>'raw data Crude oil'!W1201</f>
        <v>63.95</v>
      </c>
      <c r="X1200">
        <f>'raw data Crude oil'!X1201</f>
        <v>63.54</v>
      </c>
      <c r="Y1200">
        <f>'raw data Crude oil'!Y1201</f>
        <v>63.16</v>
      </c>
      <c r="Z1200">
        <f>'raw data Crude oil'!Z1201</f>
        <v>69.281000000000006</v>
      </c>
      <c r="AA1200">
        <f>'raw data Crude oil'!AA1201</f>
        <v>68.412000000000006</v>
      </c>
      <c r="AB1200">
        <f>'raw data Crude oil'!AB1201</f>
        <v>67.753</v>
      </c>
      <c r="AC1200">
        <f>'raw data Crude oil'!AC1201</f>
        <v>67.036000000000001</v>
      </c>
      <c r="AD1200">
        <f>'raw data Crude oil'!AD1201</f>
        <v>66.340999999999994</v>
      </c>
      <c r="AE1200">
        <f>'raw data Crude oil'!AE1201</f>
        <v>65.801000000000002</v>
      </c>
      <c r="AF1200">
        <f>'raw data Crude oil'!AF1201</f>
        <v>65.403000000000006</v>
      </c>
      <c r="AG1200">
        <f>'raw data Crude oil'!AG1201</f>
        <v>65.057000000000002</v>
      </c>
      <c r="AH1200">
        <f>'raw data Crude oil'!AH1201</f>
        <v>64.733999999999995</v>
      </c>
      <c r="AI1200">
        <f>'raw data Crude oil'!AI1201</f>
        <v>64.406000000000006</v>
      </c>
      <c r="AJ1200">
        <f>'raw data Crude oil'!AJ1201</f>
        <v>64.076999999999998</v>
      </c>
      <c r="AK1200">
        <f>'raw data Crude oil'!AK1201</f>
        <v>63.765999999999998</v>
      </c>
    </row>
    <row r="1201" spans="1:37" x14ac:dyDescent="0.3">
      <c r="A1201" s="18">
        <f>'raw data Crude oil'!A1202</f>
        <v>44433</v>
      </c>
      <c r="B1201">
        <f>'raw data Crude oil'!B1202</f>
        <v>72.25</v>
      </c>
      <c r="C1201">
        <f>'raw data Crude oil'!C1202</f>
        <v>71.28</v>
      </c>
      <c r="D1201">
        <f>'raw data Crude oil'!D1202</f>
        <v>70.59</v>
      </c>
      <c r="E1201">
        <f>'raw data Crude oil'!E1202</f>
        <v>70</v>
      </c>
      <c r="F1201">
        <f>'raw data Crude oil'!F1202</f>
        <v>69.48</v>
      </c>
      <c r="G1201">
        <f>'raw data Crude oil'!G1202</f>
        <v>69.02</v>
      </c>
      <c r="H1201">
        <f>'raw data Crude oil'!H1202</f>
        <v>68.62</v>
      </c>
      <c r="I1201">
        <f>'raw data Crude oil'!I1202</f>
        <v>68.260000000000005</v>
      </c>
      <c r="J1201">
        <f>'raw data Crude oil'!J1202</f>
        <v>67.930000000000007</v>
      </c>
      <c r="K1201">
        <f>'raw data Crude oil'!K1202</f>
        <v>67.58</v>
      </c>
      <c r="L1201">
        <f>'raw data Crude oil'!L1202</f>
        <v>67.27</v>
      </c>
      <c r="M1201">
        <f>'raw data Crude oil'!M1202</f>
        <v>66.97</v>
      </c>
      <c r="N1201">
        <f>'raw data Crude oil'!N1202</f>
        <v>68.36</v>
      </c>
      <c r="O1201">
        <f>'raw data Crude oil'!O1202</f>
        <v>68.06</v>
      </c>
      <c r="P1201">
        <f>'raw data Crude oil'!P1202</f>
        <v>67.66</v>
      </c>
      <c r="Q1201">
        <f>'raw data Crude oil'!Q1202</f>
        <v>67.23</v>
      </c>
      <c r="R1201">
        <f>'raw data Crude oil'!R1202</f>
        <v>66.78</v>
      </c>
      <c r="S1201">
        <f>'raw data Crude oil'!S1202</f>
        <v>66.349999999999994</v>
      </c>
      <c r="T1201">
        <f>'raw data Crude oil'!T1202</f>
        <v>65.930000000000007</v>
      </c>
      <c r="U1201">
        <f>'raw data Crude oil'!U1202</f>
        <v>65.52</v>
      </c>
      <c r="V1201">
        <f>'raw data Crude oil'!V1202</f>
        <v>65.099999999999994</v>
      </c>
      <c r="W1201">
        <f>'raw data Crude oil'!W1202</f>
        <v>64.67</v>
      </c>
      <c r="X1201">
        <f>'raw data Crude oil'!X1202</f>
        <v>64.25</v>
      </c>
      <c r="Y1201">
        <f>'raw data Crude oil'!Y1202</f>
        <v>63.85</v>
      </c>
      <c r="Z1201">
        <f>'raw data Crude oil'!Z1202</f>
        <v>69.444000000000003</v>
      </c>
      <c r="AA1201">
        <f>'raw data Crude oil'!AA1202</f>
        <v>69.278999999999996</v>
      </c>
      <c r="AB1201">
        <f>'raw data Crude oil'!AB1202</f>
        <v>68.638000000000005</v>
      </c>
      <c r="AC1201">
        <f>'raw data Crude oil'!AC1202</f>
        <v>67.91</v>
      </c>
      <c r="AD1201">
        <f>'raw data Crude oil'!AD1202</f>
        <v>67.210999999999999</v>
      </c>
      <c r="AE1201">
        <f>'raw data Crude oil'!AE1202</f>
        <v>66.661000000000001</v>
      </c>
      <c r="AF1201">
        <f>'raw data Crude oil'!AF1202</f>
        <v>66.221999999999994</v>
      </c>
      <c r="AG1201">
        <f>'raw data Crude oil'!AG1202</f>
        <v>65.866</v>
      </c>
      <c r="AH1201">
        <f>'raw data Crude oil'!AH1202</f>
        <v>65.522999999999996</v>
      </c>
      <c r="AI1201">
        <f>'raw data Crude oil'!AI1202</f>
        <v>65.186000000000007</v>
      </c>
      <c r="AJ1201">
        <f>'raw data Crude oil'!AJ1202</f>
        <v>64.846000000000004</v>
      </c>
      <c r="AK1201">
        <f>'raw data Crude oil'!AK1202</f>
        <v>64.504999999999995</v>
      </c>
    </row>
    <row r="1202" spans="1:37" x14ac:dyDescent="0.3">
      <c r="A1202" s="18">
        <f>'raw data Crude oil'!A1203</f>
        <v>44434</v>
      </c>
      <c r="B1202">
        <f>'raw data Crude oil'!B1203</f>
        <v>71.069999999999993</v>
      </c>
      <c r="C1202">
        <f>'raw data Crude oil'!C1203</f>
        <v>70.180000000000007</v>
      </c>
      <c r="D1202">
        <f>'raw data Crude oil'!D1203</f>
        <v>69.569999999999993</v>
      </c>
      <c r="E1202">
        <f>'raw data Crude oil'!E1203</f>
        <v>69.02</v>
      </c>
      <c r="F1202">
        <f>'raw data Crude oil'!F1203</f>
        <v>68.540000000000006</v>
      </c>
      <c r="G1202">
        <f>'raw data Crude oil'!G1203</f>
        <v>68.11</v>
      </c>
      <c r="H1202">
        <f>'raw data Crude oil'!H1203</f>
        <v>67.739999999999995</v>
      </c>
      <c r="I1202">
        <f>'raw data Crude oil'!I1203</f>
        <v>67.400000000000006</v>
      </c>
      <c r="J1202">
        <f>'raw data Crude oil'!J1203</f>
        <v>67.08</v>
      </c>
      <c r="K1202">
        <f>'raw data Crude oil'!K1203</f>
        <v>66.760000000000005</v>
      </c>
      <c r="L1202">
        <f>'raw data Crude oil'!L1203</f>
        <v>66.459999999999994</v>
      </c>
      <c r="M1202">
        <f>'raw data Crude oil'!M1203</f>
        <v>66.17</v>
      </c>
      <c r="N1202">
        <f>'raw data Crude oil'!N1203</f>
        <v>67.42</v>
      </c>
      <c r="O1202">
        <f>'raw data Crude oil'!O1203</f>
        <v>67.099999999999994</v>
      </c>
      <c r="P1202">
        <f>'raw data Crude oil'!P1203</f>
        <v>66.69</v>
      </c>
      <c r="Q1202">
        <f>'raw data Crude oil'!Q1203</f>
        <v>66.28</v>
      </c>
      <c r="R1202">
        <f>'raw data Crude oil'!R1203</f>
        <v>65.849999999999994</v>
      </c>
      <c r="S1202">
        <f>'raw data Crude oil'!S1203</f>
        <v>65.44</v>
      </c>
      <c r="T1202">
        <f>'raw data Crude oil'!T1203</f>
        <v>65.02</v>
      </c>
      <c r="U1202">
        <f>'raw data Crude oil'!U1203</f>
        <v>64.62</v>
      </c>
      <c r="V1202">
        <f>'raw data Crude oil'!V1203</f>
        <v>64.2</v>
      </c>
      <c r="W1202">
        <f>'raw data Crude oil'!W1203</f>
        <v>63.78</v>
      </c>
      <c r="X1202">
        <f>'raw data Crude oil'!X1203</f>
        <v>63.38</v>
      </c>
      <c r="Y1202">
        <f>'raw data Crude oil'!Y1203</f>
        <v>63</v>
      </c>
      <c r="Z1202">
        <f>'raw data Crude oil'!Z1203</f>
        <v>69.281999999999996</v>
      </c>
      <c r="AA1202">
        <f>'raw data Crude oil'!AA1203</f>
        <v>68.278999999999996</v>
      </c>
      <c r="AB1202">
        <f>'raw data Crude oil'!AB1203</f>
        <v>67.647999999999996</v>
      </c>
      <c r="AC1202">
        <f>'raw data Crude oil'!AC1203</f>
        <v>66.966999999999999</v>
      </c>
      <c r="AD1202">
        <f>'raw data Crude oil'!AD1203</f>
        <v>66.25</v>
      </c>
      <c r="AE1202">
        <f>'raw data Crude oil'!AE1203</f>
        <v>65.73</v>
      </c>
      <c r="AF1202">
        <f>'raw data Crude oil'!AF1203</f>
        <v>65.34</v>
      </c>
      <c r="AG1202">
        <f>'raw data Crude oil'!AG1203</f>
        <v>64.986000000000004</v>
      </c>
      <c r="AH1202">
        <f>'raw data Crude oil'!AH1203</f>
        <v>64.653999999999996</v>
      </c>
      <c r="AI1202">
        <f>'raw data Crude oil'!AI1203</f>
        <v>64.325999999999993</v>
      </c>
      <c r="AJ1202">
        <f>'raw data Crude oil'!AJ1203</f>
        <v>64.007000000000005</v>
      </c>
      <c r="AK1202">
        <f>'raw data Crude oil'!AK1203</f>
        <v>63.735999999999997</v>
      </c>
    </row>
    <row r="1203" spans="1:37" x14ac:dyDescent="0.3">
      <c r="A1203" s="18">
        <f>'raw data Crude oil'!A1204</f>
        <v>44435</v>
      </c>
      <c r="B1203">
        <f>'raw data Crude oil'!B1204</f>
        <v>72.7</v>
      </c>
      <c r="C1203">
        <f>'raw data Crude oil'!C1204</f>
        <v>71.7</v>
      </c>
      <c r="D1203">
        <f>'raw data Crude oil'!D1204</f>
        <v>71.05</v>
      </c>
      <c r="E1203">
        <f>'raw data Crude oil'!E1204</f>
        <v>70.47</v>
      </c>
      <c r="F1203">
        <f>'raw data Crude oil'!F1204</f>
        <v>69.97</v>
      </c>
      <c r="G1203">
        <f>'raw data Crude oil'!G1204</f>
        <v>69.53</v>
      </c>
      <c r="H1203">
        <f>'raw data Crude oil'!H1204</f>
        <v>69.14</v>
      </c>
      <c r="I1203">
        <f>'raw data Crude oil'!I1204</f>
        <v>68.78</v>
      </c>
      <c r="J1203">
        <f>'raw data Crude oil'!J1204</f>
        <v>68.430000000000007</v>
      </c>
      <c r="K1203">
        <f>'raw data Crude oil'!K1204</f>
        <v>68.08</v>
      </c>
      <c r="L1203">
        <f>'raw data Crude oil'!L1204</f>
        <v>67.760000000000005</v>
      </c>
      <c r="M1203">
        <f>'raw data Crude oil'!M1204</f>
        <v>67.45</v>
      </c>
      <c r="N1203">
        <f>'raw data Crude oil'!N1204</f>
        <v>68.739999999999995</v>
      </c>
      <c r="O1203">
        <f>'raw data Crude oil'!O1204</f>
        <v>68.48</v>
      </c>
      <c r="P1203">
        <f>'raw data Crude oil'!P1204</f>
        <v>68.11</v>
      </c>
      <c r="Q1203">
        <f>'raw data Crude oil'!Q1204</f>
        <v>67.7</v>
      </c>
      <c r="R1203">
        <f>'raw data Crude oil'!R1204</f>
        <v>67.25</v>
      </c>
      <c r="S1203">
        <f>'raw data Crude oil'!S1204</f>
        <v>66.819999999999993</v>
      </c>
      <c r="T1203">
        <f>'raw data Crude oil'!T1204</f>
        <v>66.39</v>
      </c>
      <c r="U1203">
        <f>'raw data Crude oil'!U1204</f>
        <v>65.97</v>
      </c>
      <c r="V1203">
        <f>'raw data Crude oil'!V1204</f>
        <v>65.540000000000006</v>
      </c>
      <c r="W1203">
        <f>'raw data Crude oil'!W1204</f>
        <v>65.099999999999994</v>
      </c>
      <c r="X1203">
        <f>'raw data Crude oil'!X1204</f>
        <v>64.67</v>
      </c>
      <c r="Y1203">
        <f>'raw data Crude oil'!Y1204</f>
        <v>64.260000000000005</v>
      </c>
      <c r="Z1203">
        <f>'raw data Crude oil'!Z1204</f>
        <v>69.486000000000004</v>
      </c>
      <c r="AA1203">
        <f>'raw data Crude oil'!AA1204</f>
        <v>69.840999999999994</v>
      </c>
      <c r="AB1203">
        <f>'raw data Crude oil'!AB1204</f>
        <v>69.171999999999997</v>
      </c>
      <c r="AC1203">
        <f>'raw data Crude oil'!AC1204</f>
        <v>68.423000000000002</v>
      </c>
      <c r="AD1203">
        <f>'raw data Crude oil'!AD1204</f>
        <v>67.721999999999994</v>
      </c>
      <c r="AE1203">
        <f>'raw data Crude oil'!AE1204</f>
        <v>67.171000000000006</v>
      </c>
      <c r="AF1203">
        <f>'raw data Crude oil'!AF1204</f>
        <v>66.762</v>
      </c>
      <c r="AG1203">
        <f>'raw data Crude oil'!AG1204</f>
        <v>66.385000000000005</v>
      </c>
      <c r="AH1203">
        <f>'raw data Crude oil'!AH1204</f>
        <v>66.022999999999996</v>
      </c>
      <c r="AI1203">
        <f>'raw data Crude oil'!AI1204</f>
        <v>65.674999999999997</v>
      </c>
      <c r="AJ1203">
        <f>'raw data Crude oil'!AJ1204</f>
        <v>65.325999999999993</v>
      </c>
      <c r="AK1203">
        <f>'raw data Crude oil'!AK1204</f>
        <v>65.025000000000006</v>
      </c>
    </row>
    <row r="1204" spans="1:37" x14ac:dyDescent="0.3">
      <c r="A1204" s="18">
        <f>'raw data Crude oil'!A1205</f>
        <v>44438</v>
      </c>
      <c r="B1204">
        <f>'raw data Crude oil'!B1205</f>
        <v>73.41</v>
      </c>
      <c r="C1204">
        <f>'raw data Crude oil'!C1205</f>
        <v>72.23</v>
      </c>
      <c r="D1204">
        <f>'raw data Crude oil'!D1205</f>
        <v>71.53</v>
      </c>
      <c r="E1204">
        <f>'raw data Crude oil'!E1205</f>
        <v>70.94</v>
      </c>
      <c r="F1204">
        <f>'raw data Crude oil'!F1205</f>
        <v>70.42</v>
      </c>
      <c r="G1204">
        <f>'raw data Crude oil'!G1205</f>
        <v>69.95</v>
      </c>
      <c r="H1204">
        <f>'raw data Crude oil'!H1205</f>
        <v>69.540000000000006</v>
      </c>
      <c r="I1204">
        <f>'raw data Crude oil'!I1205</f>
        <v>69.150000000000006</v>
      </c>
      <c r="J1204">
        <f>'raw data Crude oil'!J1205</f>
        <v>68.77</v>
      </c>
      <c r="K1204">
        <f>'raw data Crude oil'!K1205</f>
        <v>68.400000000000006</v>
      </c>
      <c r="L1204">
        <f>'raw data Crude oil'!L1205</f>
        <v>68.05</v>
      </c>
      <c r="M1204">
        <f>'raw data Crude oil'!M1205</f>
        <v>67.72</v>
      </c>
      <c r="N1204">
        <f>'raw data Crude oil'!N1205</f>
        <v>69.209999999999994</v>
      </c>
      <c r="O1204">
        <f>'raw data Crude oil'!O1205</f>
        <v>68.930000000000007</v>
      </c>
      <c r="P1204">
        <f>'raw data Crude oil'!P1205</f>
        <v>68.56</v>
      </c>
      <c r="Q1204">
        <f>'raw data Crude oil'!Q1205</f>
        <v>68.16</v>
      </c>
      <c r="R1204">
        <f>'raw data Crude oil'!R1205</f>
        <v>67.709999999999994</v>
      </c>
      <c r="S1204">
        <f>'raw data Crude oil'!S1205</f>
        <v>67.260000000000005</v>
      </c>
      <c r="T1204">
        <f>'raw data Crude oil'!T1205</f>
        <v>66.81</v>
      </c>
      <c r="U1204">
        <f>'raw data Crude oil'!U1205</f>
        <v>66.36</v>
      </c>
      <c r="V1204">
        <f>'raw data Crude oil'!V1205</f>
        <v>65.91</v>
      </c>
      <c r="W1204">
        <f>'raw data Crude oil'!W1205</f>
        <v>65.45</v>
      </c>
      <c r="X1204">
        <f>'raw data Crude oil'!X1205</f>
        <v>65</v>
      </c>
      <c r="Y1204">
        <f>'raw data Crude oil'!Y1205</f>
        <v>64.56</v>
      </c>
      <c r="Z1204">
        <f>'raw data Crude oil'!Z1205</f>
        <v>69.507999999999996</v>
      </c>
      <c r="AA1204">
        <f>'raw data Crude oil'!AA1205</f>
        <v>70.337999999999994</v>
      </c>
      <c r="AB1204">
        <f>'raw data Crude oil'!AB1205</f>
        <v>69.691999999999993</v>
      </c>
      <c r="AC1204">
        <f>'raw data Crude oil'!AC1205</f>
        <v>68.945999999999998</v>
      </c>
      <c r="AD1204">
        <f>'raw data Crude oil'!AD1205</f>
        <v>68.216999999999999</v>
      </c>
      <c r="AE1204">
        <f>'raw data Crude oil'!AE1205</f>
        <v>67.649000000000001</v>
      </c>
      <c r="AF1204">
        <f>'raw data Crude oil'!AF1205</f>
        <v>67.200999999999993</v>
      </c>
      <c r="AG1204">
        <f>'raw data Crude oil'!AG1205</f>
        <v>66.793000000000006</v>
      </c>
      <c r="AH1204">
        <f>'raw data Crude oil'!AH1205</f>
        <v>66.412000000000006</v>
      </c>
      <c r="AI1204">
        <f>'raw data Crude oil'!AI1205</f>
        <v>66.024000000000001</v>
      </c>
      <c r="AJ1204">
        <f>'raw data Crude oil'!AJ1205</f>
        <v>65.655000000000001</v>
      </c>
      <c r="AK1204">
        <f>'raw data Crude oil'!AK1205</f>
        <v>65.293999999999997</v>
      </c>
    </row>
    <row r="1205" spans="1:37" x14ac:dyDescent="0.3">
      <c r="A1205" s="18">
        <f>'raw data Crude oil'!A1206</f>
        <v>44439</v>
      </c>
      <c r="B1205">
        <f>'raw data Crude oil'!B1206</f>
        <v>72.989999999999995</v>
      </c>
      <c r="C1205">
        <f>'raw data Crude oil'!C1206</f>
        <v>71.63</v>
      </c>
      <c r="D1205">
        <f>'raw data Crude oil'!D1206</f>
        <v>71</v>
      </c>
      <c r="E1205">
        <f>'raw data Crude oil'!E1206</f>
        <v>70.459999999999994</v>
      </c>
      <c r="F1205">
        <f>'raw data Crude oil'!F1206</f>
        <v>69.989999999999995</v>
      </c>
      <c r="G1205">
        <f>'raw data Crude oil'!G1206</f>
        <v>69.56</v>
      </c>
      <c r="H1205">
        <f>'raw data Crude oil'!H1206</f>
        <v>69.17</v>
      </c>
      <c r="I1205">
        <f>'raw data Crude oil'!I1206</f>
        <v>68.8</v>
      </c>
      <c r="J1205">
        <f>'raw data Crude oil'!J1206</f>
        <v>68.44</v>
      </c>
      <c r="K1205">
        <f>'raw data Crude oil'!K1206</f>
        <v>68.08</v>
      </c>
      <c r="L1205">
        <f>'raw data Crude oil'!L1206</f>
        <v>67.73</v>
      </c>
      <c r="M1205">
        <f>'raw data Crude oil'!M1206</f>
        <v>67.400000000000006</v>
      </c>
      <c r="N1205">
        <f>'raw data Crude oil'!N1206</f>
        <v>68.5</v>
      </c>
      <c r="O1205">
        <f>'raw data Crude oil'!O1206</f>
        <v>68.260000000000005</v>
      </c>
      <c r="P1205">
        <f>'raw data Crude oil'!P1206</f>
        <v>67.94</v>
      </c>
      <c r="Q1205">
        <f>'raw data Crude oil'!Q1206</f>
        <v>67.599999999999994</v>
      </c>
      <c r="R1205">
        <f>'raw data Crude oil'!R1206</f>
        <v>67.209999999999994</v>
      </c>
      <c r="S1205">
        <f>'raw data Crude oil'!S1206</f>
        <v>66.819999999999993</v>
      </c>
      <c r="T1205">
        <f>'raw data Crude oil'!T1206</f>
        <v>66.42</v>
      </c>
      <c r="U1205">
        <f>'raw data Crude oil'!U1206</f>
        <v>66.010000000000005</v>
      </c>
      <c r="V1205">
        <f>'raw data Crude oil'!V1206</f>
        <v>65.59</v>
      </c>
      <c r="W1205">
        <f>'raw data Crude oil'!W1206</f>
        <v>65.150000000000006</v>
      </c>
      <c r="X1205">
        <f>'raw data Crude oil'!X1206</f>
        <v>64.72</v>
      </c>
      <c r="Y1205">
        <f>'raw data Crude oil'!Y1206</f>
        <v>64.3</v>
      </c>
      <c r="Z1205">
        <f>'raw data Crude oil'!Z1206</f>
        <v>69.484999999999999</v>
      </c>
      <c r="AA1205">
        <f>'raw data Crude oil'!AA1206</f>
        <v>69.751000000000005</v>
      </c>
      <c r="AB1205">
        <f>'raw data Crude oil'!AB1206</f>
        <v>69.123999999999995</v>
      </c>
      <c r="AC1205">
        <f>'raw data Crude oil'!AC1206</f>
        <v>68.423000000000002</v>
      </c>
      <c r="AD1205">
        <f>'raw data Crude oil'!AD1206</f>
        <v>67.716999999999999</v>
      </c>
      <c r="AE1205">
        <f>'raw data Crude oil'!AE1206</f>
        <v>67.201999999999998</v>
      </c>
      <c r="AF1205">
        <f>'raw data Crude oil'!AF1206</f>
        <v>66.781999999999996</v>
      </c>
      <c r="AG1205">
        <f>'raw data Crude oil'!AG1206</f>
        <v>66.403999999999996</v>
      </c>
      <c r="AH1205">
        <f>'raw data Crude oil'!AH1206</f>
        <v>66.022000000000006</v>
      </c>
      <c r="AI1205">
        <f>'raw data Crude oil'!AI1206</f>
        <v>65.664000000000001</v>
      </c>
      <c r="AJ1205">
        <f>'raw data Crude oil'!AJ1206</f>
        <v>65.325000000000003</v>
      </c>
      <c r="AK1205">
        <f>'raw data Crude oil'!AK1206</f>
        <v>64.994</v>
      </c>
    </row>
    <row r="1206" spans="1:37" x14ac:dyDescent="0.3">
      <c r="A1206" s="18">
        <f>'raw data Crude oil'!A1207</f>
        <v>44440</v>
      </c>
      <c r="B1206">
        <f>'raw data Crude oil'!B1207</f>
        <v>71.59</v>
      </c>
      <c r="C1206">
        <f>'raw data Crude oil'!C1207</f>
        <v>71.03</v>
      </c>
      <c r="D1206">
        <f>'raw data Crude oil'!D1207</f>
        <v>70.510000000000005</v>
      </c>
      <c r="E1206">
        <f>'raw data Crude oil'!E1207</f>
        <v>70.05</v>
      </c>
      <c r="F1206">
        <f>'raw data Crude oil'!F1207</f>
        <v>69.650000000000006</v>
      </c>
      <c r="G1206">
        <f>'raw data Crude oil'!G1207</f>
        <v>69.28</v>
      </c>
      <c r="H1206">
        <f>'raw data Crude oil'!H1207</f>
        <v>68.92</v>
      </c>
      <c r="I1206">
        <f>'raw data Crude oil'!I1207</f>
        <v>68.569999999999993</v>
      </c>
      <c r="J1206">
        <f>'raw data Crude oil'!J1207</f>
        <v>68.22</v>
      </c>
      <c r="K1206">
        <f>'raw data Crude oil'!K1207</f>
        <v>67.89</v>
      </c>
      <c r="L1206">
        <f>'raw data Crude oil'!L1207</f>
        <v>67.56</v>
      </c>
      <c r="M1206">
        <f>'raw data Crude oil'!M1207</f>
        <v>67.23</v>
      </c>
      <c r="N1206">
        <f>'raw data Crude oil'!N1207</f>
        <v>68.59</v>
      </c>
      <c r="O1206">
        <f>'raw data Crude oil'!O1207</f>
        <v>68.319999999999993</v>
      </c>
      <c r="P1206">
        <f>'raw data Crude oil'!P1207</f>
        <v>68</v>
      </c>
      <c r="Q1206">
        <f>'raw data Crude oil'!Q1207</f>
        <v>67.67</v>
      </c>
      <c r="R1206">
        <f>'raw data Crude oil'!R1207</f>
        <v>67.319999999999993</v>
      </c>
      <c r="S1206">
        <f>'raw data Crude oil'!S1207</f>
        <v>66.97</v>
      </c>
      <c r="T1206">
        <f>'raw data Crude oil'!T1207</f>
        <v>66.61</v>
      </c>
      <c r="U1206">
        <f>'raw data Crude oil'!U1207</f>
        <v>66.22</v>
      </c>
      <c r="V1206">
        <f>'raw data Crude oil'!V1207</f>
        <v>65.83</v>
      </c>
      <c r="W1206">
        <f>'raw data Crude oil'!W1207</f>
        <v>65.41</v>
      </c>
      <c r="X1206">
        <f>'raw data Crude oil'!X1207</f>
        <v>65</v>
      </c>
      <c r="Y1206">
        <f>'raw data Crude oil'!Y1207</f>
        <v>64.59</v>
      </c>
      <c r="Z1206">
        <f>'raw data Crude oil'!Z1207</f>
        <v>69.484999999999999</v>
      </c>
      <c r="AA1206">
        <f>'raw data Crude oil'!AA1207</f>
        <v>69.956000000000003</v>
      </c>
      <c r="AB1206">
        <f>'raw data Crude oil'!AB1207</f>
        <v>69.234999999999999</v>
      </c>
      <c r="AC1206">
        <f>'raw data Crude oil'!AC1207</f>
        <v>68.527000000000001</v>
      </c>
      <c r="AD1206">
        <f>'raw data Crude oil'!AD1207</f>
        <v>67.835999999999999</v>
      </c>
      <c r="AE1206">
        <f>'raw data Crude oil'!AE1207</f>
        <v>67.311999999999998</v>
      </c>
      <c r="AF1206">
        <f>'raw data Crude oil'!AF1207</f>
        <v>66.930000000000007</v>
      </c>
      <c r="AG1206">
        <f>'raw data Crude oil'!AG1207</f>
        <v>66.575000000000003</v>
      </c>
      <c r="AH1206">
        <f>'raw data Crude oil'!AH1207</f>
        <v>66.222999999999999</v>
      </c>
      <c r="AI1206">
        <f>'raw data Crude oil'!AI1207</f>
        <v>65.875</v>
      </c>
      <c r="AJ1206">
        <f>'raw data Crude oil'!AJ1207</f>
        <v>65.572000000000003</v>
      </c>
      <c r="AK1206">
        <f>'raw data Crude oil'!AK1207</f>
        <v>65.233999999999995</v>
      </c>
    </row>
    <row r="1207" spans="1:37" x14ac:dyDescent="0.3">
      <c r="A1207" s="18">
        <f>'raw data Crude oil'!A1208</f>
        <v>44441</v>
      </c>
      <c r="B1207">
        <f>'raw data Crude oil'!B1208</f>
        <v>73.03</v>
      </c>
      <c r="C1207">
        <f>'raw data Crude oil'!C1208</f>
        <v>72.41</v>
      </c>
      <c r="D1207">
        <f>'raw data Crude oil'!D1208</f>
        <v>71.84</v>
      </c>
      <c r="E1207">
        <f>'raw data Crude oil'!E1208</f>
        <v>71.349999999999994</v>
      </c>
      <c r="F1207">
        <f>'raw data Crude oil'!F1208</f>
        <v>70.92</v>
      </c>
      <c r="G1207">
        <f>'raw data Crude oil'!G1208</f>
        <v>70.52</v>
      </c>
      <c r="H1207">
        <f>'raw data Crude oil'!H1208</f>
        <v>70.14</v>
      </c>
      <c r="I1207">
        <f>'raw data Crude oil'!I1208</f>
        <v>69.760000000000005</v>
      </c>
      <c r="J1207">
        <f>'raw data Crude oil'!J1208</f>
        <v>69.400000000000006</v>
      </c>
      <c r="K1207">
        <f>'raw data Crude oil'!K1208</f>
        <v>69.040000000000006</v>
      </c>
      <c r="L1207">
        <f>'raw data Crude oil'!L1208</f>
        <v>68.680000000000007</v>
      </c>
      <c r="M1207">
        <f>'raw data Crude oil'!M1208</f>
        <v>68.319999999999993</v>
      </c>
      <c r="N1207">
        <f>'raw data Crude oil'!N1208</f>
        <v>69.989999999999995</v>
      </c>
      <c r="O1207">
        <f>'raw data Crude oil'!O1208</f>
        <v>69.73</v>
      </c>
      <c r="P1207">
        <f>'raw data Crude oil'!P1208</f>
        <v>69.41</v>
      </c>
      <c r="Q1207">
        <f>'raw data Crude oil'!Q1208</f>
        <v>69.05</v>
      </c>
      <c r="R1207">
        <f>'raw data Crude oil'!R1208</f>
        <v>68.67</v>
      </c>
      <c r="S1207">
        <f>'raw data Crude oil'!S1208</f>
        <v>68.290000000000006</v>
      </c>
      <c r="T1207">
        <f>'raw data Crude oil'!T1208</f>
        <v>67.900000000000006</v>
      </c>
      <c r="U1207">
        <f>'raw data Crude oil'!U1208</f>
        <v>67.489999999999995</v>
      </c>
      <c r="V1207">
        <f>'raw data Crude oil'!V1208</f>
        <v>67.069999999999993</v>
      </c>
      <c r="W1207">
        <f>'raw data Crude oil'!W1208</f>
        <v>66.63</v>
      </c>
      <c r="X1207">
        <f>'raw data Crude oil'!X1208</f>
        <v>66.19</v>
      </c>
      <c r="Y1207">
        <f>'raw data Crude oil'!Y1208</f>
        <v>65.760000000000005</v>
      </c>
      <c r="Z1207">
        <f>'raw data Crude oil'!Z1208</f>
        <v>71.076999999999998</v>
      </c>
      <c r="AA1207">
        <f>'raw data Crude oil'!AA1208</f>
        <v>70.549000000000007</v>
      </c>
      <c r="AB1207">
        <f>'raw data Crude oil'!AB1208</f>
        <v>69.802999999999997</v>
      </c>
      <c r="AC1207">
        <f>'raw data Crude oil'!AC1208</f>
        <v>69.108000000000004</v>
      </c>
      <c r="AD1207">
        <f>'raw data Crude oil'!AD1208</f>
        <v>68.566000000000003</v>
      </c>
      <c r="AE1207">
        <f>'raw data Crude oil'!AE1208</f>
        <v>68.150999999999996</v>
      </c>
      <c r="AF1207">
        <f>'raw data Crude oil'!AF1208</f>
        <v>67.772999999999996</v>
      </c>
      <c r="AG1207">
        <f>'raw data Crude oil'!AG1208</f>
        <v>67.402000000000001</v>
      </c>
      <c r="AH1207">
        <f>'raw data Crude oil'!AH1208</f>
        <v>67.034000000000006</v>
      </c>
      <c r="AI1207">
        <f>'raw data Crude oil'!AI1208</f>
        <v>66.674000000000007</v>
      </c>
      <c r="AJ1207">
        <f>'raw data Crude oil'!AJ1208</f>
        <v>66.322999999999993</v>
      </c>
      <c r="AK1207">
        <f>'raw data Crude oil'!AK1208</f>
        <v>65.965000000000003</v>
      </c>
    </row>
    <row r="1208" spans="1:37" x14ac:dyDescent="0.3">
      <c r="A1208" s="18">
        <f>'raw data Crude oil'!A1209</f>
        <v>44442</v>
      </c>
      <c r="B1208">
        <f>'raw data Crude oil'!B1209</f>
        <v>72.61</v>
      </c>
      <c r="C1208">
        <f>'raw data Crude oil'!C1209</f>
        <v>71.98</v>
      </c>
      <c r="D1208">
        <f>'raw data Crude oil'!D1209</f>
        <v>71.400000000000006</v>
      </c>
      <c r="E1208">
        <f>'raw data Crude oil'!E1209</f>
        <v>70.900000000000006</v>
      </c>
      <c r="F1208">
        <f>'raw data Crude oil'!F1209</f>
        <v>70.48</v>
      </c>
      <c r="G1208">
        <f>'raw data Crude oil'!G1209</f>
        <v>70.099999999999994</v>
      </c>
      <c r="H1208">
        <f>'raw data Crude oil'!H1209</f>
        <v>69.73</v>
      </c>
      <c r="I1208">
        <f>'raw data Crude oil'!I1209</f>
        <v>69.36</v>
      </c>
      <c r="J1208">
        <f>'raw data Crude oil'!J1209</f>
        <v>69.010000000000005</v>
      </c>
      <c r="K1208">
        <f>'raw data Crude oil'!K1209</f>
        <v>68.67</v>
      </c>
      <c r="L1208">
        <f>'raw data Crude oil'!L1209</f>
        <v>68.319999999999993</v>
      </c>
      <c r="M1208">
        <f>'raw data Crude oil'!M1209</f>
        <v>67.98</v>
      </c>
      <c r="N1208">
        <f>'raw data Crude oil'!N1209</f>
        <v>69.290000000000006</v>
      </c>
      <c r="O1208">
        <f>'raw data Crude oil'!O1209</f>
        <v>69.069999999999993</v>
      </c>
      <c r="P1208">
        <f>'raw data Crude oil'!P1209</f>
        <v>68.790000000000006</v>
      </c>
      <c r="Q1208">
        <f>'raw data Crude oil'!Q1209</f>
        <v>68.459999999999994</v>
      </c>
      <c r="R1208">
        <f>'raw data Crude oil'!R1209</f>
        <v>68.11</v>
      </c>
      <c r="S1208">
        <f>'raw data Crude oil'!S1209</f>
        <v>67.75</v>
      </c>
      <c r="T1208">
        <f>'raw data Crude oil'!T1209</f>
        <v>67.38</v>
      </c>
      <c r="U1208">
        <f>'raw data Crude oil'!U1209</f>
        <v>66.989999999999995</v>
      </c>
      <c r="V1208">
        <f>'raw data Crude oil'!V1209</f>
        <v>66.58</v>
      </c>
      <c r="W1208">
        <f>'raw data Crude oil'!W1209</f>
        <v>66.16</v>
      </c>
      <c r="X1208">
        <f>'raw data Crude oil'!X1209</f>
        <v>65.73</v>
      </c>
      <c r="Y1208">
        <f>'raw data Crude oil'!Y1209</f>
        <v>65.319999999999993</v>
      </c>
      <c r="Z1208">
        <f>'raw data Crude oil'!Z1209</f>
        <v>70.688000000000002</v>
      </c>
      <c r="AA1208">
        <f>'raw data Crude oil'!AA1209</f>
        <v>70.171999999999997</v>
      </c>
      <c r="AB1208">
        <f>'raw data Crude oil'!AB1209</f>
        <v>69.356999999999999</v>
      </c>
      <c r="AC1208">
        <f>'raw data Crude oil'!AC1209</f>
        <v>68.638999999999996</v>
      </c>
      <c r="AD1208">
        <f>'raw data Crude oil'!AD1209</f>
        <v>68.087999999999994</v>
      </c>
      <c r="AE1208">
        <f>'raw data Crude oil'!AE1209</f>
        <v>67.688000000000002</v>
      </c>
      <c r="AF1208">
        <f>'raw data Crude oil'!AF1209</f>
        <v>67.343999999999994</v>
      </c>
      <c r="AG1208">
        <f>'raw data Crude oil'!AG1209</f>
        <v>66.983000000000004</v>
      </c>
      <c r="AH1208">
        <f>'raw data Crude oil'!AH1209</f>
        <v>66.625</v>
      </c>
      <c r="AI1208">
        <f>'raw data Crude oil'!AI1209</f>
        <v>66.284000000000006</v>
      </c>
      <c r="AJ1208">
        <f>'raw data Crude oil'!AJ1209</f>
        <v>65.944000000000003</v>
      </c>
      <c r="AK1208">
        <f>'raw data Crude oil'!AK1209</f>
        <v>65.605999999999995</v>
      </c>
    </row>
    <row r="1209" spans="1:37" x14ac:dyDescent="0.3">
      <c r="A1209" s="18">
        <f>'raw data Crude oil'!A1210</f>
        <v>44445</v>
      </c>
      <c r="B1209">
        <f>'raw data Crude oil'!B1210</f>
        <v>72.22</v>
      </c>
      <c r="C1209">
        <f>'raw data Crude oil'!C1210</f>
        <v>71.62</v>
      </c>
      <c r="D1209">
        <f>'raw data Crude oil'!D1210</f>
        <v>71.040000000000006</v>
      </c>
      <c r="E1209">
        <f>'raw data Crude oil'!E1210</f>
        <v>70.55</v>
      </c>
      <c r="F1209">
        <f>'raw data Crude oil'!F1210</f>
        <v>70.14</v>
      </c>
      <c r="G1209">
        <f>'raw data Crude oil'!G1210</f>
        <v>69.77</v>
      </c>
      <c r="H1209">
        <f>'raw data Crude oil'!H1210</f>
        <v>69.41</v>
      </c>
      <c r="I1209">
        <f>'raw data Crude oil'!I1210</f>
        <v>69.06</v>
      </c>
      <c r="J1209">
        <f>'raw data Crude oil'!J1210</f>
        <v>68.72</v>
      </c>
      <c r="K1209">
        <f>'raw data Crude oil'!K1210</f>
        <v>68.39</v>
      </c>
      <c r="L1209">
        <f>'raw data Crude oil'!L1210</f>
        <v>68.069999999999993</v>
      </c>
      <c r="M1209">
        <f>'raw data Crude oil'!M1210</f>
        <v>67.75</v>
      </c>
      <c r="N1209">
        <f>'raw data Crude oil'!N1210</f>
        <v>69.290000000000006</v>
      </c>
      <c r="O1209">
        <f>'raw data Crude oil'!O1210</f>
        <v>69.069999999999993</v>
      </c>
      <c r="P1209">
        <f>'raw data Crude oil'!P1210</f>
        <v>68.790000000000006</v>
      </c>
      <c r="Q1209">
        <f>'raw data Crude oil'!Q1210</f>
        <v>68.459999999999994</v>
      </c>
      <c r="R1209">
        <f>'raw data Crude oil'!R1210</f>
        <v>68.11</v>
      </c>
      <c r="S1209">
        <f>'raw data Crude oil'!S1210</f>
        <v>67.75</v>
      </c>
      <c r="T1209">
        <f>'raw data Crude oil'!T1210</f>
        <v>67.38</v>
      </c>
      <c r="U1209">
        <f>'raw data Crude oil'!U1210</f>
        <v>66.989999999999995</v>
      </c>
      <c r="V1209">
        <f>'raw data Crude oil'!V1210</f>
        <v>66.58</v>
      </c>
      <c r="W1209">
        <f>'raw data Crude oil'!W1210</f>
        <v>66.16</v>
      </c>
      <c r="X1209">
        <f>'raw data Crude oil'!X1210</f>
        <v>65.73</v>
      </c>
      <c r="Y1209">
        <f>'raw data Crude oil'!Y1210</f>
        <v>65.319999999999993</v>
      </c>
      <c r="Z1209">
        <f>'raw data Crude oil'!Z1210</f>
        <v>70.146000000000001</v>
      </c>
      <c r="AA1209">
        <f>'raw data Crude oil'!AA1210</f>
        <v>69.632000000000005</v>
      </c>
      <c r="AB1209">
        <f>'raw data Crude oil'!AB1210</f>
        <v>68.878</v>
      </c>
      <c r="AC1209">
        <f>'raw data Crude oil'!AC1210</f>
        <v>68.244</v>
      </c>
      <c r="AD1209">
        <f>'raw data Crude oil'!AD1210</f>
        <v>67.731999999999999</v>
      </c>
      <c r="AE1209">
        <f>'raw data Crude oil'!AE1210</f>
        <v>67.341999999999999</v>
      </c>
      <c r="AF1209">
        <f>'raw data Crude oil'!AF1210</f>
        <v>66.974999999999994</v>
      </c>
      <c r="AG1209">
        <f>'raw data Crude oil'!AG1210</f>
        <v>66.643000000000001</v>
      </c>
      <c r="AH1209">
        <f>'raw data Crude oil'!AH1210</f>
        <v>66.295000000000002</v>
      </c>
      <c r="AI1209">
        <f>'raw data Crude oil'!AI1210</f>
        <v>65.954999999999998</v>
      </c>
      <c r="AJ1209">
        <f>'raw data Crude oil'!AJ1210</f>
        <v>65.635000000000005</v>
      </c>
      <c r="AK1209">
        <f>'raw data Crude oil'!AK1210</f>
        <v>65.316999999999993</v>
      </c>
    </row>
    <row r="1210" spans="1:37" x14ac:dyDescent="0.3">
      <c r="A1210" s="18">
        <f>'raw data Crude oil'!A1211</f>
        <v>44446</v>
      </c>
      <c r="B1210">
        <f>'raw data Crude oil'!B1211</f>
        <v>71.69</v>
      </c>
      <c r="C1210">
        <f>'raw data Crude oil'!C1211</f>
        <v>71.06</v>
      </c>
      <c r="D1210">
        <f>'raw data Crude oil'!D1211</f>
        <v>70.48</v>
      </c>
      <c r="E1210">
        <f>'raw data Crude oil'!E1211</f>
        <v>69.989999999999995</v>
      </c>
      <c r="F1210">
        <f>'raw data Crude oil'!F1211</f>
        <v>69.58</v>
      </c>
      <c r="G1210">
        <f>'raw data Crude oil'!G1211</f>
        <v>69.22</v>
      </c>
      <c r="H1210">
        <f>'raw data Crude oil'!H1211</f>
        <v>68.88</v>
      </c>
      <c r="I1210">
        <f>'raw data Crude oil'!I1211</f>
        <v>68.55</v>
      </c>
      <c r="J1210">
        <f>'raw data Crude oil'!J1211</f>
        <v>68.22</v>
      </c>
      <c r="K1210">
        <f>'raw data Crude oil'!K1211</f>
        <v>67.92</v>
      </c>
      <c r="L1210">
        <f>'raw data Crude oil'!L1211</f>
        <v>67.61</v>
      </c>
      <c r="M1210">
        <f>'raw data Crude oil'!M1211</f>
        <v>67.3</v>
      </c>
      <c r="N1210">
        <f>'raw data Crude oil'!N1211</f>
        <v>68.349999999999994</v>
      </c>
      <c r="O1210">
        <f>'raw data Crude oil'!O1211</f>
        <v>68.13</v>
      </c>
      <c r="P1210">
        <f>'raw data Crude oil'!P1211</f>
        <v>67.849999999999994</v>
      </c>
      <c r="Q1210">
        <f>'raw data Crude oil'!Q1211</f>
        <v>67.53</v>
      </c>
      <c r="R1210">
        <f>'raw data Crude oil'!R1211</f>
        <v>67.2</v>
      </c>
      <c r="S1210">
        <f>'raw data Crude oil'!S1211</f>
        <v>66.86</v>
      </c>
      <c r="T1210">
        <f>'raw data Crude oil'!T1211</f>
        <v>66.52</v>
      </c>
      <c r="U1210">
        <f>'raw data Crude oil'!U1211</f>
        <v>66.16</v>
      </c>
      <c r="V1210">
        <f>'raw data Crude oil'!V1211</f>
        <v>65.78</v>
      </c>
      <c r="W1210">
        <f>'raw data Crude oil'!W1211</f>
        <v>65.39</v>
      </c>
      <c r="X1210">
        <f>'raw data Crude oil'!X1211</f>
        <v>65.010000000000005</v>
      </c>
      <c r="Y1210">
        <f>'raw data Crude oil'!Y1211</f>
        <v>64.63</v>
      </c>
      <c r="Z1210">
        <f>'raw data Crude oil'!Z1211</f>
        <v>69.725999999999999</v>
      </c>
      <c r="AA1210">
        <f>'raw data Crude oil'!AA1211</f>
        <v>69.076999999999998</v>
      </c>
      <c r="AB1210">
        <f>'raw data Crude oil'!AB1211</f>
        <v>68.337000000000003</v>
      </c>
      <c r="AC1210">
        <f>'raw data Crude oil'!AC1211</f>
        <v>67.697999999999993</v>
      </c>
      <c r="AD1210">
        <f>'raw data Crude oil'!AD1211</f>
        <v>67.179000000000002</v>
      </c>
      <c r="AE1210">
        <f>'raw data Crude oil'!AE1211</f>
        <v>66.798000000000002</v>
      </c>
      <c r="AF1210">
        <f>'raw data Crude oil'!AF1211</f>
        <v>66.456000000000003</v>
      </c>
      <c r="AG1210">
        <f>'raw data Crude oil'!AG1211</f>
        <v>66.134</v>
      </c>
      <c r="AH1210">
        <f>'raw data Crude oil'!AH1211</f>
        <v>65.816000000000003</v>
      </c>
      <c r="AI1210">
        <f>'raw data Crude oil'!AI1211</f>
        <v>65.506</v>
      </c>
      <c r="AJ1210">
        <f>'raw data Crude oil'!AJ1211</f>
        <v>65.194999999999993</v>
      </c>
      <c r="AK1210">
        <f>'raw data Crude oil'!AK1211</f>
        <v>64.888000000000005</v>
      </c>
    </row>
    <row r="1211" spans="1:37" x14ac:dyDescent="0.3">
      <c r="A1211" s="18">
        <f>'raw data Crude oil'!A1212</f>
        <v>44447</v>
      </c>
      <c r="B1211">
        <f>'raw data Crude oil'!B1212</f>
        <v>72.599999999999994</v>
      </c>
      <c r="C1211">
        <f>'raw data Crude oil'!C1212</f>
        <v>71.819999999999993</v>
      </c>
      <c r="D1211">
        <f>'raw data Crude oil'!D1212</f>
        <v>71.14</v>
      </c>
      <c r="E1211">
        <f>'raw data Crude oil'!E1212</f>
        <v>70.56</v>
      </c>
      <c r="F1211">
        <f>'raw data Crude oil'!F1212</f>
        <v>70.099999999999994</v>
      </c>
      <c r="G1211">
        <f>'raw data Crude oil'!G1212</f>
        <v>69.69</v>
      </c>
      <c r="H1211">
        <f>'raw data Crude oil'!H1212</f>
        <v>69.31</v>
      </c>
      <c r="I1211">
        <f>'raw data Crude oil'!I1212</f>
        <v>68.94</v>
      </c>
      <c r="J1211">
        <f>'raw data Crude oil'!J1212</f>
        <v>68.59</v>
      </c>
      <c r="K1211">
        <f>'raw data Crude oil'!K1212</f>
        <v>68.25</v>
      </c>
      <c r="L1211">
        <f>'raw data Crude oil'!L1212</f>
        <v>67.92</v>
      </c>
      <c r="M1211">
        <f>'raw data Crude oil'!M1212</f>
        <v>67.59</v>
      </c>
      <c r="N1211">
        <f>'raw data Crude oil'!N1212</f>
        <v>69.3</v>
      </c>
      <c r="O1211">
        <f>'raw data Crude oil'!O1212</f>
        <v>69.05</v>
      </c>
      <c r="P1211">
        <f>'raw data Crude oil'!P1212</f>
        <v>68.7</v>
      </c>
      <c r="Q1211">
        <f>'raw data Crude oil'!Q1212</f>
        <v>68.31</v>
      </c>
      <c r="R1211">
        <f>'raw data Crude oil'!R1212</f>
        <v>67.91</v>
      </c>
      <c r="S1211">
        <f>'raw data Crude oil'!S1212</f>
        <v>67.5</v>
      </c>
      <c r="T1211">
        <f>'raw data Crude oil'!T1212</f>
        <v>67.099999999999994</v>
      </c>
      <c r="U1211">
        <f>'raw data Crude oil'!U1212</f>
        <v>66.69</v>
      </c>
      <c r="V1211">
        <f>'raw data Crude oil'!V1212</f>
        <v>66.27</v>
      </c>
      <c r="W1211">
        <f>'raw data Crude oil'!W1212</f>
        <v>65.84</v>
      </c>
      <c r="X1211">
        <f>'raw data Crude oil'!X1212</f>
        <v>65.42</v>
      </c>
      <c r="Y1211">
        <f>'raw data Crude oil'!Y1212</f>
        <v>65.010000000000005</v>
      </c>
      <c r="Z1211">
        <f>'raw data Crude oil'!Z1212</f>
        <v>70.361999999999995</v>
      </c>
      <c r="AA1211">
        <f>'raw data Crude oil'!AA1212</f>
        <v>69.888000000000005</v>
      </c>
      <c r="AB1211">
        <f>'raw data Crude oil'!AB1212</f>
        <v>69.063999999999993</v>
      </c>
      <c r="AC1211">
        <f>'raw data Crude oil'!AC1212</f>
        <v>68.349999999999994</v>
      </c>
      <c r="AD1211">
        <f>'raw data Crude oil'!AD1212</f>
        <v>67.78</v>
      </c>
      <c r="AE1211">
        <f>'raw data Crude oil'!AE1212</f>
        <v>67.350999999999999</v>
      </c>
      <c r="AF1211">
        <f>'raw data Crude oil'!AF1212</f>
        <v>66.974000000000004</v>
      </c>
      <c r="AG1211">
        <f>'raw data Crude oil'!AG1212</f>
        <v>66.613</v>
      </c>
      <c r="AH1211">
        <f>'raw data Crude oil'!AH1212</f>
        <v>66.275000000000006</v>
      </c>
      <c r="AI1211">
        <f>'raw data Crude oil'!AI1212</f>
        <v>65.935000000000002</v>
      </c>
      <c r="AJ1211">
        <f>'raw data Crude oil'!AJ1212</f>
        <v>65.603999999999999</v>
      </c>
      <c r="AK1211">
        <f>'raw data Crude oil'!AK1212</f>
        <v>65.277000000000001</v>
      </c>
    </row>
    <row r="1212" spans="1:37" x14ac:dyDescent="0.3">
      <c r="A1212" s="18">
        <f>'raw data Crude oil'!A1213</f>
        <v>44448</v>
      </c>
      <c r="B1212">
        <f>'raw data Crude oil'!B1213</f>
        <v>71.45</v>
      </c>
      <c r="C1212">
        <f>'raw data Crude oil'!C1213</f>
        <v>70.790000000000006</v>
      </c>
      <c r="D1212">
        <f>'raw data Crude oil'!D1213</f>
        <v>70.17</v>
      </c>
      <c r="E1212">
        <f>'raw data Crude oil'!E1213</f>
        <v>69.63</v>
      </c>
      <c r="F1212">
        <f>'raw data Crude oil'!F1213</f>
        <v>69.19</v>
      </c>
      <c r="G1212">
        <f>'raw data Crude oil'!G1213</f>
        <v>68.790000000000006</v>
      </c>
      <c r="H1212">
        <f>'raw data Crude oil'!H1213</f>
        <v>68.430000000000007</v>
      </c>
      <c r="I1212">
        <f>'raw data Crude oil'!I1213</f>
        <v>68.09</v>
      </c>
      <c r="J1212">
        <f>'raw data Crude oil'!J1213</f>
        <v>67.760000000000005</v>
      </c>
      <c r="K1212">
        <f>'raw data Crude oil'!K1213</f>
        <v>67.44</v>
      </c>
      <c r="L1212">
        <f>'raw data Crude oil'!L1213</f>
        <v>67.12</v>
      </c>
      <c r="M1212">
        <f>'raw data Crude oil'!M1213</f>
        <v>66.81</v>
      </c>
      <c r="N1212">
        <f>'raw data Crude oil'!N1213</f>
        <v>68.14</v>
      </c>
      <c r="O1212">
        <f>'raw data Crude oil'!O1213</f>
        <v>67.92</v>
      </c>
      <c r="P1212">
        <f>'raw data Crude oil'!P1213</f>
        <v>67.61</v>
      </c>
      <c r="Q1212">
        <f>'raw data Crude oil'!Q1213</f>
        <v>67.239999999999995</v>
      </c>
      <c r="R1212">
        <f>'raw data Crude oil'!R1213</f>
        <v>66.88</v>
      </c>
      <c r="S1212">
        <f>'raw data Crude oil'!S1213</f>
        <v>66.52</v>
      </c>
      <c r="T1212">
        <f>'raw data Crude oil'!T1213</f>
        <v>66.150000000000006</v>
      </c>
      <c r="U1212">
        <f>'raw data Crude oil'!U1213</f>
        <v>65.78</v>
      </c>
      <c r="V1212">
        <f>'raw data Crude oil'!V1213</f>
        <v>65.39</v>
      </c>
      <c r="W1212">
        <f>'raw data Crude oil'!W1213</f>
        <v>64.989999999999995</v>
      </c>
      <c r="X1212">
        <f>'raw data Crude oil'!X1213</f>
        <v>64.599999999999994</v>
      </c>
      <c r="Y1212">
        <f>'raw data Crude oil'!Y1213</f>
        <v>64.2</v>
      </c>
      <c r="Z1212">
        <f>'raw data Crude oil'!Z1213</f>
        <v>69.753</v>
      </c>
      <c r="AA1212">
        <f>'raw data Crude oil'!AA1213</f>
        <v>68.930000000000007</v>
      </c>
      <c r="AB1212">
        <f>'raw data Crude oil'!AB1213</f>
        <v>68.114999999999995</v>
      </c>
      <c r="AC1212">
        <f>'raw data Crude oil'!AC1213</f>
        <v>67.414000000000001</v>
      </c>
      <c r="AD1212">
        <f>'raw data Crude oil'!AD1213</f>
        <v>66.873000000000005</v>
      </c>
      <c r="AE1212">
        <f>'raw data Crude oil'!AE1213</f>
        <v>66.462000000000003</v>
      </c>
      <c r="AF1212">
        <f>'raw data Crude oil'!AF1213</f>
        <v>66.120999999999995</v>
      </c>
      <c r="AG1212">
        <f>'raw data Crude oil'!AG1213</f>
        <v>65.763999999999996</v>
      </c>
      <c r="AH1212">
        <f>'raw data Crude oil'!AH1213</f>
        <v>65.444999999999993</v>
      </c>
      <c r="AI1212">
        <f>'raw data Crude oil'!AI1213</f>
        <v>65.125</v>
      </c>
      <c r="AJ1212">
        <f>'raw data Crude oil'!AJ1213</f>
        <v>64.805000000000007</v>
      </c>
      <c r="AK1212">
        <f>'raw data Crude oil'!AK1213</f>
        <v>64.497</v>
      </c>
    </row>
    <row r="1213" spans="1:37" x14ac:dyDescent="0.3">
      <c r="A1213" s="18">
        <f>'raw data Crude oil'!A1214</f>
        <v>44449</v>
      </c>
      <c r="B1213">
        <f>'raw data Crude oil'!B1214</f>
        <v>72.92</v>
      </c>
      <c r="C1213">
        <f>'raw data Crude oil'!C1214</f>
        <v>72.260000000000005</v>
      </c>
      <c r="D1213">
        <f>'raw data Crude oil'!D1214</f>
        <v>71.63</v>
      </c>
      <c r="E1213">
        <f>'raw data Crude oil'!E1214</f>
        <v>71.08</v>
      </c>
      <c r="F1213">
        <f>'raw data Crude oil'!F1214</f>
        <v>70.63</v>
      </c>
      <c r="G1213">
        <f>'raw data Crude oil'!G1214</f>
        <v>70.22</v>
      </c>
      <c r="H1213">
        <f>'raw data Crude oil'!H1214</f>
        <v>69.84</v>
      </c>
      <c r="I1213">
        <f>'raw data Crude oil'!I1214</f>
        <v>69.48</v>
      </c>
      <c r="J1213">
        <f>'raw data Crude oil'!J1214</f>
        <v>69.13</v>
      </c>
      <c r="K1213">
        <f>'raw data Crude oil'!K1214</f>
        <v>68.790000000000006</v>
      </c>
      <c r="L1213">
        <f>'raw data Crude oil'!L1214</f>
        <v>68.45</v>
      </c>
      <c r="M1213">
        <f>'raw data Crude oil'!M1214</f>
        <v>68.11</v>
      </c>
      <c r="N1213">
        <f>'raw data Crude oil'!N1214</f>
        <v>69.72</v>
      </c>
      <c r="O1213">
        <f>'raw data Crude oil'!O1214</f>
        <v>69.47</v>
      </c>
      <c r="P1213">
        <f>'raw data Crude oil'!P1214</f>
        <v>69.13</v>
      </c>
      <c r="Q1213">
        <f>'raw data Crude oil'!Q1214</f>
        <v>68.72</v>
      </c>
      <c r="R1213">
        <f>'raw data Crude oil'!R1214</f>
        <v>68.33</v>
      </c>
      <c r="S1213">
        <f>'raw data Crude oil'!S1214</f>
        <v>67.95</v>
      </c>
      <c r="T1213">
        <f>'raw data Crude oil'!T1214</f>
        <v>67.569999999999993</v>
      </c>
      <c r="U1213">
        <f>'raw data Crude oil'!U1214</f>
        <v>67.180000000000007</v>
      </c>
      <c r="V1213">
        <f>'raw data Crude oil'!V1214</f>
        <v>66.77</v>
      </c>
      <c r="W1213">
        <f>'raw data Crude oil'!W1214</f>
        <v>66.349999999999994</v>
      </c>
      <c r="X1213">
        <f>'raw data Crude oil'!X1214</f>
        <v>65.94</v>
      </c>
      <c r="Y1213">
        <f>'raw data Crude oil'!Y1214</f>
        <v>65.53</v>
      </c>
      <c r="Z1213">
        <f>'raw data Crude oil'!Z1214</f>
        <v>70.778000000000006</v>
      </c>
      <c r="AA1213">
        <f>'raw data Crude oil'!AA1214</f>
        <v>70.433000000000007</v>
      </c>
      <c r="AB1213">
        <f>'raw data Crude oil'!AB1214</f>
        <v>69.593000000000004</v>
      </c>
      <c r="AC1213">
        <f>'raw data Crude oil'!AC1214</f>
        <v>68.872</v>
      </c>
      <c r="AD1213">
        <f>'raw data Crude oil'!AD1214</f>
        <v>68.320999999999998</v>
      </c>
      <c r="AE1213">
        <f>'raw data Crude oil'!AE1214</f>
        <v>67.89</v>
      </c>
      <c r="AF1213">
        <f>'raw data Crude oil'!AF1214</f>
        <v>67.549000000000007</v>
      </c>
      <c r="AG1213">
        <f>'raw data Crude oil'!AG1214</f>
        <v>67.183000000000007</v>
      </c>
      <c r="AH1213">
        <f>'raw data Crude oil'!AH1214</f>
        <v>66.844999999999999</v>
      </c>
      <c r="AI1213">
        <f>'raw data Crude oil'!AI1214</f>
        <v>66.504999999999995</v>
      </c>
      <c r="AJ1213">
        <f>'raw data Crude oil'!AJ1214</f>
        <v>66.174000000000007</v>
      </c>
      <c r="AK1213">
        <f>'raw data Crude oil'!AK1214</f>
        <v>65.835999999999999</v>
      </c>
    </row>
    <row r="1214" spans="1:37" x14ac:dyDescent="0.3">
      <c r="A1214" s="18">
        <f>'raw data Crude oil'!A1215</f>
        <v>44452</v>
      </c>
      <c r="B1214">
        <f>'raw data Crude oil'!B1215</f>
        <v>73.510000000000005</v>
      </c>
      <c r="C1214">
        <f>'raw data Crude oil'!C1215</f>
        <v>72.900000000000006</v>
      </c>
      <c r="D1214">
        <f>'raw data Crude oil'!D1215</f>
        <v>72.28</v>
      </c>
      <c r="E1214">
        <f>'raw data Crude oil'!E1215</f>
        <v>71.73</v>
      </c>
      <c r="F1214">
        <f>'raw data Crude oil'!F1215</f>
        <v>71.260000000000005</v>
      </c>
      <c r="G1214">
        <f>'raw data Crude oil'!G1215</f>
        <v>70.819999999999993</v>
      </c>
      <c r="H1214">
        <f>'raw data Crude oil'!H1215</f>
        <v>70.42</v>
      </c>
      <c r="I1214">
        <f>'raw data Crude oil'!I1215</f>
        <v>70.040000000000006</v>
      </c>
      <c r="J1214">
        <f>'raw data Crude oil'!J1215</f>
        <v>69.67</v>
      </c>
      <c r="K1214">
        <f>'raw data Crude oil'!K1215</f>
        <v>69.31</v>
      </c>
      <c r="L1214">
        <f>'raw data Crude oil'!L1215</f>
        <v>68.95</v>
      </c>
      <c r="M1214">
        <f>'raw data Crude oil'!M1215</f>
        <v>68.599999999999994</v>
      </c>
      <c r="N1214">
        <f>'raw data Crude oil'!N1215</f>
        <v>70.45</v>
      </c>
      <c r="O1214">
        <f>'raw data Crude oil'!O1215</f>
        <v>70.19</v>
      </c>
      <c r="P1214">
        <f>'raw data Crude oil'!P1215</f>
        <v>69.81</v>
      </c>
      <c r="Q1214">
        <f>'raw data Crude oil'!Q1215</f>
        <v>69.37</v>
      </c>
      <c r="R1214">
        <f>'raw data Crude oil'!R1215</f>
        <v>68.94</v>
      </c>
      <c r="S1214">
        <f>'raw data Crude oil'!S1215</f>
        <v>68.53</v>
      </c>
      <c r="T1214">
        <f>'raw data Crude oil'!T1215</f>
        <v>68.13</v>
      </c>
      <c r="U1214">
        <f>'raw data Crude oil'!U1215</f>
        <v>67.73</v>
      </c>
      <c r="V1214">
        <f>'raw data Crude oil'!V1215</f>
        <v>67.3</v>
      </c>
      <c r="W1214">
        <f>'raw data Crude oil'!W1215</f>
        <v>66.87</v>
      </c>
      <c r="X1214">
        <f>'raw data Crude oil'!X1215</f>
        <v>66.44</v>
      </c>
      <c r="Y1214">
        <f>'raw data Crude oil'!Y1215</f>
        <v>66.02</v>
      </c>
      <c r="Z1214">
        <f>'raw data Crude oil'!Z1215</f>
        <v>71.150000000000006</v>
      </c>
      <c r="AA1214">
        <f>'raw data Crude oil'!AA1215</f>
        <v>71.010000000000005</v>
      </c>
      <c r="AB1214">
        <f>'raw data Crude oil'!AB1215</f>
        <v>70.162000000000006</v>
      </c>
      <c r="AC1214">
        <f>'raw data Crude oil'!AC1215</f>
        <v>69.450999999999993</v>
      </c>
      <c r="AD1214">
        <f>'raw data Crude oil'!AD1215</f>
        <v>68.900000000000006</v>
      </c>
      <c r="AE1214">
        <f>'raw data Crude oil'!AE1215</f>
        <v>68.459999999999994</v>
      </c>
      <c r="AF1214">
        <f>'raw data Crude oil'!AF1215</f>
        <v>68.088999999999999</v>
      </c>
      <c r="AG1214">
        <f>'raw data Crude oil'!AG1215</f>
        <v>67.731999999999999</v>
      </c>
      <c r="AH1214">
        <f>'raw data Crude oil'!AH1215</f>
        <v>67.364000000000004</v>
      </c>
      <c r="AI1214">
        <f>'raw data Crude oil'!AI1215</f>
        <v>67.004000000000005</v>
      </c>
      <c r="AJ1214">
        <f>'raw data Crude oil'!AJ1215</f>
        <v>66.623000000000005</v>
      </c>
      <c r="AK1214">
        <f>'raw data Crude oil'!AK1215</f>
        <v>66.275999999999996</v>
      </c>
    </row>
    <row r="1215" spans="1:37" x14ac:dyDescent="0.3">
      <c r="A1215" s="18">
        <f>'raw data Crude oil'!A1216</f>
        <v>44453</v>
      </c>
      <c r="B1215">
        <f>'raw data Crude oil'!B1216</f>
        <v>73.599999999999994</v>
      </c>
      <c r="C1215">
        <f>'raw data Crude oil'!C1216</f>
        <v>72.97</v>
      </c>
      <c r="D1215">
        <f>'raw data Crude oil'!D1216</f>
        <v>72.33</v>
      </c>
      <c r="E1215">
        <f>'raw data Crude oil'!E1216</f>
        <v>71.739999999999995</v>
      </c>
      <c r="F1215">
        <f>'raw data Crude oil'!F1216</f>
        <v>71.23</v>
      </c>
      <c r="G1215">
        <f>'raw data Crude oil'!G1216</f>
        <v>70.77</v>
      </c>
      <c r="H1215">
        <f>'raw data Crude oil'!H1216</f>
        <v>70.349999999999994</v>
      </c>
      <c r="I1215">
        <f>'raw data Crude oil'!I1216</f>
        <v>69.95</v>
      </c>
      <c r="J1215">
        <f>'raw data Crude oil'!J1216</f>
        <v>69.569999999999993</v>
      </c>
      <c r="K1215">
        <f>'raw data Crude oil'!K1216</f>
        <v>69.2</v>
      </c>
      <c r="L1215">
        <f>'raw data Crude oil'!L1216</f>
        <v>68.84</v>
      </c>
      <c r="M1215">
        <f>'raw data Crude oil'!M1216</f>
        <v>68.48</v>
      </c>
      <c r="N1215">
        <f>'raw data Crude oil'!N1216</f>
        <v>70.459999999999994</v>
      </c>
      <c r="O1215">
        <f>'raw data Crude oil'!O1216</f>
        <v>70.23</v>
      </c>
      <c r="P1215">
        <f>'raw data Crude oil'!P1216</f>
        <v>69.83</v>
      </c>
      <c r="Q1215">
        <f>'raw data Crude oil'!Q1216</f>
        <v>69.38</v>
      </c>
      <c r="R1215">
        <f>'raw data Crude oil'!R1216</f>
        <v>68.930000000000007</v>
      </c>
      <c r="S1215">
        <f>'raw data Crude oil'!S1216</f>
        <v>68.489999999999995</v>
      </c>
      <c r="T1215">
        <f>'raw data Crude oil'!T1216</f>
        <v>68.069999999999993</v>
      </c>
      <c r="U1215">
        <f>'raw data Crude oil'!U1216</f>
        <v>67.650000000000006</v>
      </c>
      <c r="V1215">
        <f>'raw data Crude oil'!V1216</f>
        <v>67.209999999999994</v>
      </c>
      <c r="W1215">
        <f>'raw data Crude oil'!W1216</f>
        <v>66.760000000000005</v>
      </c>
      <c r="X1215">
        <f>'raw data Crude oil'!X1216</f>
        <v>66.319999999999993</v>
      </c>
      <c r="Y1215">
        <f>'raw data Crude oil'!Y1216</f>
        <v>65.88</v>
      </c>
      <c r="Z1215">
        <f>'raw data Crude oil'!Z1216</f>
        <v>71.174999999999997</v>
      </c>
      <c r="AA1215">
        <f>'raw data Crude oil'!AA1216</f>
        <v>71.03</v>
      </c>
      <c r="AB1215">
        <f>'raw data Crude oil'!AB1216</f>
        <v>70.203000000000003</v>
      </c>
      <c r="AC1215">
        <f>'raw data Crude oil'!AC1216</f>
        <v>69.465999999999994</v>
      </c>
      <c r="AD1215">
        <f>'raw data Crude oil'!AD1216</f>
        <v>68.888000000000005</v>
      </c>
      <c r="AE1215">
        <f>'raw data Crude oil'!AE1216</f>
        <v>68.409000000000006</v>
      </c>
      <c r="AF1215">
        <f>'raw data Crude oil'!AF1216</f>
        <v>68.022999999999996</v>
      </c>
      <c r="AG1215">
        <f>'raw data Crude oil'!AG1216</f>
        <v>67.631</v>
      </c>
      <c r="AH1215">
        <f>'raw data Crude oil'!AH1216</f>
        <v>67.253</v>
      </c>
      <c r="AI1215">
        <f>'raw data Crude oil'!AI1216</f>
        <v>66.884</v>
      </c>
      <c r="AJ1215">
        <f>'raw data Crude oil'!AJ1216</f>
        <v>66.522999999999996</v>
      </c>
      <c r="AK1215">
        <f>'raw data Crude oil'!AK1216</f>
        <v>66.165999999999997</v>
      </c>
    </row>
    <row r="1216" spans="1:37" x14ac:dyDescent="0.3">
      <c r="A1216" s="18">
        <f>'raw data Crude oil'!A1217</f>
        <v>44454</v>
      </c>
      <c r="B1216">
        <f>'raw data Crude oil'!B1217</f>
        <v>75.459999999999994</v>
      </c>
      <c r="C1216">
        <f>'raw data Crude oil'!C1217</f>
        <v>74.78</v>
      </c>
      <c r="D1216">
        <f>'raw data Crude oil'!D1217</f>
        <v>74.069999999999993</v>
      </c>
      <c r="E1216">
        <f>'raw data Crude oil'!E1217</f>
        <v>73.41</v>
      </c>
      <c r="F1216">
        <f>'raw data Crude oil'!F1217</f>
        <v>72.83</v>
      </c>
      <c r="G1216">
        <f>'raw data Crude oil'!G1217</f>
        <v>72.3</v>
      </c>
      <c r="H1216">
        <f>'raw data Crude oil'!H1217</f>
        <v>71.81</v>
      </c>
      <c r="I1216">
        <f>'raw data Crude oil'!I1217</f>
        <v>71.349999999999994</v>
      </c>
      <c r="J1216">
        <f>'raw data Crude oil'!J1217</f>
        <v>70.900000000000006</v>
      </c>
      <c r="K1216">
        <f>'raw data Crude oil'!K1217</f>
        <v>70.47</v>
      </c>
      <c r="L1216">
        <f>'raw data Crude oil'!L1217</f>
        <v>70.05</v>
      </c>
      <c r="M1216">
        <f>'raw data Crude oil'!M1217</f>
        <v>69.64</v>
      </c>
      <c r="N1216">
        <f>'raw data Crude oil'!N1217</f>
        <v>72.61</v>
      </c>
      <c r="O1216">
        <f>'raw data Crude oil'!O1217</f>
        <v>72.33</v>
      </c>
      <c r="P1216">
        <f>'raw data Crude oil'!P1217</f>
        <v>71.84</v>
      </c>
      <c r="Q1216">
        <f>'raw data Crude oil'!Q1217</f>
        <v>71.260000000000005</v>
      </c>
      <c r="R1216">
        <f>'raw data Crude oil'!R1217</f>
        <v>70.69</v>
      </c>
      <c r="S1216">
        <f>'raw data Crude oil'!S1217</f>
        <v>70.14</v>
      </c>
      <c r="T1216">
        <f>'raw data Crude oil'!T1217</f>
        <v>69.599999999999994</v>
      </c>
      <c r="U1216">
        <f>'raw data Crude oil'!U1217</f>
        <v>69.069999999999993</v>
      </c>
      <c r="V1216">
        <f>'raw data Crude oil'!V1217</f>
        <v>68.55</v>
      </c>
      <c r="W1216">
        <f>'raw data Crude oil'!W1217</f>
        <v>68</v>
      </c>
      <c r="X1216">
        <f>'raw data Crude oil'!X1217</f>
        <v>67.489999999999995</v>
      </c>
      <c r="Y1216">
        <f>'raw data Crude oil'!Y1217</f>
        <v>66.98</v>
      </c>
      <c r="Z1216">
        <f>'raw data Crude oil'!Z1217</f>
        <v>72.063000000000002</v>
      </c>
      <c r="AA1216">
        <f>'raw data Crude oil'!AA1217</f>
        <v>72.706000000000003</v>
      </c>
      <c r="AB1216">
        <f>'raw data Crude oil'!AB1217</f>
        <v>71.88</v>
      </c>
      <c r="AC1216">
        <f>'raw data Crude oil'!AC1217</f>
        <v>71.14</v>
      </c>
      <c r="AD1216">
        <f>'raw data Crude oil'!AD1217</f>
        <v>70.515000000000001</v>
      </c>
      <c r="AE1216">
        <f>'raw data Crude oil'!AE1217</f>
        <v>69.986000000000004</v>
      </c>
      <c r="AF1216">
        <f>'raw data Crude oil'!AF1217</f>
        <v>69.53</v>
      </c>
      <c r="AG1216">
        <f>'raw data Crude oil'!AG1217</f>
        <v>69.067999999999998</v>
      </c>
      <c r="AH1216">
        <f>'raw data Crude oil'!AH1217</f>
        <v>68.62</v>
      </c>
      <c r="AI1216">
        <f>'raw data Crude oil'!AI1217</f>
        <v>68.191000000000003</v>
      </c>
      <c r="AJ1216">
        <f>'raw data Crude oil'!AJ1217</f>
        <v>67.77</v>
      </c>
      <c r="AK1216">
        <f>'raw data Crude oil'!AK1217</f>
        <v>67.363</v>
      </c>
    </row>
    <row r="1217" spans="1:37" x14ac:dyDescent="0.3">
      <c r="A1217" s="18">
        <f>'raw data Crude oil'!A1218</f>
        <v>44455</v>
      </c>
      <c r="B1217">
        <f>'raw data Crude oil'!B1218</f>
        <v>75.67</v>
      </c>
      <c r="C1217">
        <f>'raw data Crude oil'!C1218</f>
        <v>74.98</v>
      </c>
      <c r="D1217">
        <f>'raw data Crude oil'!D1218</f>
        <v>74.23</v>
      </c>
      <c r="E1217">
        <f>'raw data Crude oil'!E1218</f>
        <v>73.53</v>
      </c>
      <c r="F1217">
        <f>'raw data Crude oil'!F1218</f>
        <v>72.930000000000007</v>
      </c>
      <c r="G1217">
        <f>'raw data Crude oil'!G1218</f>
        <v>72.38</v>
      </c>
      <c r="H1217">
        <f>'raw data Crude oil'!H1218</f>
        <v>71.89</v>
      </c>
      <c r="I1217">
        <f>'raw data Crude oil'!I1218</f>
        <v>71.42</v>
      </c>
      <c r="J1217">
        <f>'raw data Crude oil'!J1218</f>
        <v>70.97</v>
      </c>
      <c r="K1217">
        <f>'raw data Crude oil'!K1218</f>
        <v>70.540000000000006</v>
      </c>
      <c r="L1217">
        <f>'raw data Crude oil'!L1218</f>
        <v>70.12</v>
      </c>
      <c r="M1217">
        <f>'raw data Crude oil'!M1218</f>
        <v>69.7</v>
      </c>
      <c r="N1217">
        <f>'raw data Crude oil'!N1218</f>
        <v>72.61</v>
      </c>
      <c r="O1217">
        <f>'raw data Crude oil'!O1218</f>
        <v>72.37</v>
      </c>
      <c r="P1217">
        <f>'raw data Crude oil'!P1218</f>
        <v>71.91</v>
      </c>
      <c r="Q1217">
        <f>'raw data Crude oil'!Q1218</f>
        <v>71.33</v>
      </c>
      <c r="R1217">
        <f>'raw data Crude oil'!R1218</f>
        <v>70.73</v>
      </c>
      <c r="S1217">
        <f>'raw data Crude oil'!S1218</f>
        <v>70.17</v>
      </c>
      <c r="T1217">
        <f>'raw data Crude oil'!T1218</f>
        <v>69.62</v>
      </c>
      <c r="U1217">
        <f>'raw data Crude oil'!U1218</f>
        <v>69.08</v>
      </c>
      <c r="V1217">
        <f>'raw data Crude oil'!V1218</f>
        <v>68.55</v>
      </c>
      <c r="W1217">
        <f>'raw data Crude oil'!W1218</f>
        <v>68</v>
      </c>
      <c r="X1217">
        <f>'raw data Crude oil'!X1218</f>
        <v>67.48</v>
      </c>
      <c r="Y1217">
        <f>'raw data Crude oil'!Y1218</f>
        <v>66.97</v>
      </c>
      <c r="Z1217">
        <f>'raw data Crude oil'!Z1218</f>
        <v>72.037999999999997</v>
      </c>
      <c r="AA1217">
        <f>'raw data Crude oil'!AA1218</f>
        <v>72.745000000000005</v>
      </c>
      <c r="AB1217">
        <f>'raw data Crude oil'!AB1218</f>
        <v>71.926000000000002</v>
      </c>
      <c r="AC1217">
        <f>'raw data Crude oil'!AC1218</f>
        <v>71.177000000000007</v>
      </c>
      <c r="AD1217">
        <f>'raw data Crude oil'!AD1218</f>
        <v>70.554000000000002</v>
      </c>
      <c r="AE1217">
        <f>'raw data Crude oil'!AE1218</f>
        <v>70.036000000000001</v>
      </c>
      <c r="AF1217">
        <f>'raw data Crude oil'!AF1218</f>
        <v>69.58</v>
      </c>
      <c r="AG1217">
        <f>'raw data Crude oil'!AG1218</f>
        <v>69.138000000000005</v>
      </c>
      <c r="AH1217">
        <f>'raw data Crude oil'!AH1218</f>
        <v>68.69</v>
      </c>
      <c r="AI1217">
        <f>'raw data Crude oil'!AI1218</f>
        <v>68.260999999999996</v>
      </c>
      <c r="AJ1217">
        <f>'raw data Crude oil'!AJ1218</f>
        <v>67.84</v>
      </c>
      <c r="AK1217">
        <f>'raw data Crude oil'!AK1218</f>
        <v>67.423000000000002</v>
      </c>
    </row>
    <row r="1218" spans="1:37" x14ac:dyDescent="0.3">
      <c r="A1218" s="18">
        <f>'raw data Crude oil'!A1219</f>
        <v>44456</v>
      </c>
      <c r="B1218">
        <f>'raw data Crude oil'!B1219</f>
        <v>75.34</v>
      </c>
      <c r="C1218">
        <f>'raw data Crude oil'!C1219</f>
        <v>74.56</v>
      </c>
      <c r="D1218">
        <f>'raw data Crude oil'!D1219</f>
        <v>73.760000000000005</v>
      </c>
      <c r="E1218">
        <f>'raw data Crude oil'!E1219</f>
        <v>73.040000000000006</v>
      </c>
      <c r="F1218">
        <f>'raw data Crude oil'!F1219</f>
        <v>72.42</v>
      </c>
      <c r="G1218">
        <f>'raw data Crude oil'!G1219</f>
        <v>71.86</v>
      </c>
      <c r="H1218">
        <f>'raw data Crude oil'!H1219</f>
        <v>71.37</v>
      </c>
      <c r="I1218">
        <f>'raw data Crude oil'!I1219</f>
        <v>70.900000000000006</v>
      </c>
      <c r="J1218">
        <f>'raw data Crude oil'!J1219</f>
        <v>70.44</v>
      </c>
      <c r="K1218">
        <f>'raw data Crude oil'!K1219</f>
        <v>70.010000000000005</v>
      </c>
      <c r="L1218">
        <f>'raw data Crude oil'!L1219</f>
        <v>69.59</v>
      </c>
      <c r="M1218">
        <f>'raw data Crude oil'!M1219</f>
        <v>69.180000000000007</v>
      </c>
      <c r="N1218">
        <f>'raw data Crude oil'!N1219</f>
        <v>71.97</v>
      </c>
      <c r="O1218">
        <f>'raw data Crude oil'!O1219</f>
        <v>71.819999999999993</v>
      </c>
      <c r="P1218">
        <f>'raw data Crude oil'!P1219</f>
        <v>71.38</v>
      </c>
      <c r="Q1218">
        <f>'raw data Crude oil'!Q1219</f>
        <v>70.81</v>
      </c>
      <c r="R1218">
        <f>'raw data Crude oil'!R1219</f>
        <v>70.22</v>
      </c>
      <c r="S1218">
        <f>'raw data Crude oil'!S1219</f>
        <v>69.650000000000006</v>
      </c>
      <c r="T1218">
        <f>'raw data Crude oil'!T1219</f>
        <v>69.09</v>
      </c>
      <c r="U1218">
        <f>'raw data Crude oil'!U1219</f>
        <v>68.540000000000006</v>
      </c>
      <c r="V1218">
        <f>'raw data Crude oil'!V1219</f>
        <v>68.010000000000005</v>
      </c>
      <c r="W1218">
        <f>'raw data Crude oil'!W1219</f>
        <v>67.459999999999994</v>
      </c>
      <c r="X1218">
        <f>'raw data Crude oil'!X1219</f>
        <v>66.92</v>
      </c>
      <c r="Y1218">
        <f>'raw data Crude oil'!Y1219</f>
        <v>66.42</v>
      </c>
      <c r="Z1218">
        <f>'raw data Crude oil'!Z1219</f>
        <v>71.894000000000005</v>
      </c>
      <c r="AA1218">
        <f>'raw data Crude oil'!AA1219</f>
        <v>72.415000000000006</v>
      </c>
      <c r="AB1218">
        <f>'raw data Crude oil'!AB1219</f>
        <v>71.567999999999998</v>
      </c>
      <c r="AC1218">
        <f>'raw data Crude oil'!AC1219</f>
        <v>70.769000000000005</v>
      </c>
      <c r="AD1218">
        <f>'raw data Crude oil'!AD1219</f>
        <v>70.12</v>
      </c>
      <c r="AE1218">
        <f>'raw data Crude oil'!AE1219</f>
        <v>69.563000000000002</v>
      </c>
      <c r="AF1218">
        <f>'raw data Crude oil'!AF1219</f>
        <v>69.073999999999998</v>
      </c>
      <c r="AG1218">
        <f>'raw data Crude oil'!AG1219</f>
        <v>68.617000000000004</v>
      </c>
      <c r="AH1218">
        <f>'raw data Crude oil'!AH1219</f>
        <v>68.16</v>
      </c>
      <c r="AI1218">
        <f>'raw data Crude oil'!AI1219</f>
        <v>67.730999999999995</v>
      </c>
      <c r="AJ1218">
        <f>'raw data Crude oil'!AJ1219</f>
        <v>67.31</v>
      </c>
      <c r="AK1218">
        <f>'raw data Crude oil'!AK1219</f>
        <v>66.903000000000006</v>
      </c>
    </row>
    <row r="1219" spans="1:37" x14ac:dyDescent="0.3">
      <c r="A1219" s="18">
        <f>'raw data Crude oil'!A1220</f>
        <v>44459</v>
      </c>
      <c r="B1219">
        <f>'raw data Crude oil'!B1220</f>
        <v>73.92</v>
      </c>
      <c r="C1219">
        <f>'raw data Crude oil'!C1220</f>
        <v>73.069999999999993</v>
      </c>
      <c r="D1219">
        <f>'raw data Crude oil'!D1220</f>
        <v>72.260000000000005</v>
      </c>
      <c r="E1219">
        <f>'raw data Crude oil'!E1220</f>
        <v>71.53</v>
      </c>
      <c r="F1219">
        <f>'raw data Crude oil'!F1220</f>
        <v>70.91</v>
      </c>
      <c r="G1219">
        <f>'raw data Crude oil'!G1220</f>
        <v>70.36</v>
      </c>
      <c r="H1219">
        <f>'raw data Crude oil'!H1220</f>
        <v>69.88</v>
      </c>
      <c r="I1219">
        <f>'raw data Crude oil'!I1220</f>
        <v>69.430000000000007</v>
      </c>
      <c r="J1219">
        <f>'raw data Crude oil'!J1220</f>
        <v>68.989999999999995</v>
      </c>
      <c r="K1219">
        <f>'raw data Crude oil'!K1220</f>
        <v>68.59</v>
      </c>
      <c r="L1219">
        <f>'raw data Crude oil'!L1220</f>
        <v>68.19</v>
      </c>
      <c r="M1219">
        <f>'raw data Crude oil'!M1220</f>
        <v>67.81</v>
      </c>
      <c r="N1219">
        <f>'raw data Crude oil'!N1220</f>
        <v>70.290000000000006</v>
      </c>
      <c r="O1219">
        <f>'raw data Crude oil'!O1220</f>
        <v>70.14</v>
      </c>
      <c r="P1219">
        <f>'raw data Crude oil'!P1220</f>
        <v>69.73</v>
      </c>
      <c r="Q1219">
        <f>'raw data Crude oil'!Q1220</f>
        <v>69.209999999999994</v>
      </c>
      <c r="R1219">
        <f>'raw data Crude oil'!R1220</f>
        <v>68.650000000000006</v>
      </c>
      <c r="S1219">
        <f>'raw data Crude oil'!S1220</f>
        <v>68.08</v>
      </c>
      <c r="T1219">
        <f>'raw data Crude oil'!T1220</f>
        <v>67.55</v>
      </c>
      <c r="U1219">
        <f>'raw data Crude oil'!U1220</f>
        <v>67.03</v>
      </c>
      <c r="V1219">
        <f>'raw data Crude oil'!V1220</f>
        <v>66.5</v>
      </c>
      <c r="W1219">
        <f>'raw data Crude oil'!W1220</f>
        <v>65.989999999999995</v>
      </c>
      <c r="X1219">
        <f>'raw data Crude oil'!X1220</f>
        <v>65.47</v>
      </c>
      <c r="Y1219">
        <f>'raw data Crude oil'!Y1220</f>
        <v>64.98</v>
      </c>
      <c r="Z1219">
        <f>'raw data Crude oil'!Z1220</f>
        <v>71.382000000000005</v>
      </c>
      <c r="AA1219">
        <f>'raw data Crude oil'!AA1220</f>
        <v>70.980999999999995</v>
      </c>
      <c r="AB1219">
        <f>'raw data Crude oil'!AB1220</f>
        <v>70.066999999999993</v>
      </c>
      <c r="AC1219">
        <f>'raw data Crude oil'!AC1220</f>
        <v>69.225999999999999</v>
      </c>
      <c r="AD1219">
        <f>'raw data Crude oil'!AD1220</f>
        <v>68.563999999999993</v>
      </c>
      <c r="AE1219">
        <f>'raw data Crude oil'!AE1220</f>
        <v>68.025999999999996</v>
      </c>
      <c r="AF1219">
        <f>'raw data Crude oil'!AF1220</f>
        <v>67.584000000000003</v>
      </c>
      <c r="AG1219">
        <f>'raw data Crude oil'!AG1220</f>
        <v>67.147999999999996</v>
      </c>
      <c r="AH1219">
        <f>'raw data Crude oil'!AH1220</f>
        <v>66.712000000000003</v>
      </c>
      <c r="AI1219">
        <f>'raw data Crude oil'!AI1220</f>
        <v>66.311999999999998</v>
      </c>
      <c r="AJ1219">
        <f>'raw data Crude oil'!AJ1220</f>
        <v>65.912000000000006</v>
      </c>
      <c r="AK1219">
        <f>'raw data Crude oil'!AK1220</f>
        <v>65.534000000000006</v>
      </c>
    </row>
    <row r="1220" spans="1:37" x14ac:dyDescent="0.3">
      <c r="A1220" s="18">
        <f>'raw data Crude oil'!A1221</f>
        <v>44460</v>
      </c>
      <c r="B1220">
        <f>'raw data Crude oil'!B1221</f>
        <v>74.36</v>
      </c>
      <c r="C1220">
        <f>'raw data Crude oil'!C1221</f>
        <v>73.569999999999993</v>
      </c>
      <c r="D1220">
        <f>'raw data Crude oil'!D1221</f>
        <v>72.760000000000005</v>
      </c>
      <c r="E1220">
        <f>'raw data Crude oil'!E1221</f>
        <v>72.03</v>
      </c>
      <c r="F1220">
        <f>'raw data Crude oil'!F1221</f>
        <v>71.400000000000006</v>
      </c>
      <c r="G1220">
        <f>'raw data Crude oil'!G1221</f>
        <v>70.849999999999994</v>
      </c>
      <c r="H1220">
        <f>'raw data Crude oil'!H1221</f>
        <v>70.37</v>
      </c>
      <c r="I1220">
        <f>'raw data Crude oil'!I1221</f>
        <v>69.91</v>
      </c>
      <c r="J1220">
        <f>'raw data Crude oil'!J1221</f>
        <v>69.47</v>
      </c>
      <c r="K1220">
        <f>'raw data Crude oil'!K1221</f>
        <v>69.06</v>
      </c>
      <c r="L1220">
        <f>'raw data Crude oil'!L1221</f>
        <v>68.66</v>
      </c>
      <c r="M1220">
        <f>'raw data Crude oil'!M1221</f>
        <v>68.27</v>
      </c>
      <c r="N1220">
        <f>'raw data Crude oil'!N1221</f>
        <v>70.56</v>
      </c>
      <c r="O1220">
        <f>'raw data Crude oil'!O1221</f>
        <v>70.489999999999995</v>
      </c>
      <c r="P1220">
        <f>'raw data Crude oil'!P1221</f>
        <v>70.14</v>
      </c>
      <c r="Q1220">
        <f>'raw data Crude oil'!Q1221</f>
        <v>69.67</v>
      </c>
      <c r="R1220">
        <f>'raw data Crude oil'!R1221</f>
        <v>69.14</v>
      </c>
      <c r="S1220">
        <f>'raw data Crude oil'!S1221</f>
        <v>68.599999999999994</v>
      </c>
      <c r="T1220">
        <f>'raw data Crude oil'!T1221</f>
        <v>68.06</v>
      </c>
      <c r="U1220">
        <f>'raw data Crude oil'!U1221</f>
        <v>67.53</v>
      </c>
      <c r="V1220">
        <f>'raw data Crude oil'!V1221</f>
        <v>67</v>
      </c>
      <c r="W1220">
        <f>'raw data Crude oil'!W1221</f>
        <v>66.47</v>
      </c>
      <c r="X1220">
        <f>'raw data Crude oil'!X1221</f>
        <v>65.95</v>
      </c>
      <c r="Y1220">
        <f>'raw data Crude oil'!Y1221</f>
        <v>65.47</v>
      </c>
      <c r="Z1220">
        <f>'raw data Crude oil'!Z1221</f>
        <v>71.631</v>
      </c>
      <c r="AA1220">
        <f>'raw data Crude oil'!AA1221</f>
        <v>71.590999999999994</v>
      </c>
      <c r="AB1220">
        <f>'raw data Crude oil'!AB1221</f>
        <v>70.626999999999995</v>
      </c>
      <c r="AC1220">
        <f>'raw data Crude oil'!AC1221</f>
        <v>69.784999999999997</v>
      </c>
      <c r="AD1220">
        <f>'raw data Crude oil'!AD1221</f>
        <v>69.114000000000004</v>
      </c>
      <c r="AE1220">
        <f>'raw data Crude oil'!AE1221</f>
        <v>68.555999999999997</v>
      </c>
      <c r="AF1220">
        <f>'raw data Crude oil'!AF1221</f>
        <v>68.099999999999994</v>
      </c>
      <c r="AG1220">
        <f>'raw data Crude oil'!AG1221</f>
        <v>67.647999999999996</v>
      </c>
      <c r="AH1220">
        <f>'raw data Crude oil'!AH1221</f>
        <v>67.221000000000004</v>
      </c>
      <c r="AI1220">
        <f>'raw data Crude oil'!AI1221</f>
        <v>66.802000000000007</v>
      </c>
      <c r="AJ1220">
        <f>'raw data Crude oil'!AJ1221</f>
        <v>66.381</v>
      </c>
      <c r="AK1220">
        <f>'raw data Crude oil'!AK1221</f>
        <v>65.994</v>
      </c>
    </row>
    <row r="1221" spans="1:37" x14ac:dyDescent="0.3">
      <c r="A1221" s="18">
        <f>'raw data Crude oil'!A1222</f>
        <v>44461</v>
      </c>
      <c r="B1221">
        <f>'raw data Crude oil'!B1222</f>
        <v>76.19</v>
      </c>
      <c r="C1221">
        <f>'raw data Crude oil'!C1222</f>
        <v>75.39</v>
      </c>
      <c r="D1221">
        <f>'raw data Crude oil'!D1222</f>
        <v>74.52</v>
      </c>
      <c r="E1221">
        <f>'raw data Crude oil'!E1222</f>
        <v>73.73</v>
      </c>
      <c r="F1221">
        <f>'raw data Crude oil'!F1222</f>
        <v>73.040000000000006</v>
      </c>
      <c r="G1221">
        <f>'raw data Crude oil'!G1222</f>
        <v>72.430000000000007</v>
      </c>
      <c r="H1221">
        <f>'raw data Crude oil'!H1222</f>
        <v>71.89</v>
      </c>
      <c r="I1221">
        <f>'raw data Crude oil'!I1222</f>
        <v>71.38</v>
      </c>
      <c r="J1221">
        <f>'raw data Crude oil'!J1222</f>
        <v>70.89</v>
      </c>
      <c r="K1221">
        <f>'raw data Crude oil'!K1222</f>
        <v>70.42</v>
      </c>
      <c r="L1221">
        <f>'raw data Crude oil'!L1222</f>
        <v>69.97</v>
      </c>
      <c r="M1221">
        <f>'raw data Crude oil'!M1222</f>
        <v>69.53</v>
      </c>
      <c r="N1221">
        <f>'raw data Crude oil'!N1222</f>
        <v>72.23</v>
      </c>
      <c r="O1221">
        <f>'raw data Crude oil'!O1222</f>
        <v>71.89</v>
      </c>
      <c r="P1221">
        <f>'raw data Crude oil'!P1222</f>
        <v>71.400000000000006</v>
      </c>
      <c r="Q1221">
        <f>'raw data Crude oil'!Q1222</f>
        <v>70.83</v>
      </c>
      <c r="R1221">
        <f>'raw data Crude oil'!R1222</f>
        <v>70.239999999999995</v>
      </c>
      <c r="S1221">
        <f>'raw data Crude oil'!S1222</f>
        <v>69.66</v>
      </c>
      <c r="T1221">
        <f>'raw data Crude oil'!T1222</f>
        <v>69.099999999999994</v>
      </c>
      <c r="U1221">
        <f>'raw data Crude oil'!U1222</f>
        <v>68.52</v>
      </c>
      <c r="V1221">
        <f>'raw data Crude oil'!V1222</f>
        <v>67.95</v>
      </c>
      <c r="W1221">
        <f>'raw data Crude oil'!W1222</f>
        <v>67.38</v>
      </c>
      <c r="X1221">
        <f>'raw data Crude oil'!X1222</f>
        <v>66.849999999999994</v>
      </c>
      <c r="Y1221">
        <f>'raw data Crude oil'!Y1222</f>
        <v>66.33</v>
      </c>
      <c r="Z1221">
        <f>'raw data Crude oil'!Z1222</f>
        <v>72.16</v>
      </c>
      <c r="AA1221">
        <f>'raw data Crude oil'!AA1222</f>
        <v>73.358999999999995</v>
      </c>
      <c r="AB1221">
        <f>'raw data Crude oil'!AB1222</f>
        <v>72.364000000000004</v>
      </c>
      <c r="AC1221">
        <f>'raw data Crude oil'!AC1222</f>
        <v>71.47</v>
      </c>
      <c r="AD1221">
        <f>'raw data Crude oil'!AD1222</f>
        <v>70.753</v>
      </c>
      <c r="AE1221">
        <f>'raw data Crude oil'!AE1222</f>
        <v>70.143000000000001</v>
      </c>
      <c r="AF1221">
        <f>'raw data Crude oil'!AF1222</f>
        <v>69.608000000000004</v>
      </c>
      <c r="AG1221">
        <f>'raw data Crude oil'!AG1222</f>
        <v>69.126000000000005</v>
      </c>
      <c r="AH1221">
        <f>'raw data Crude oil'!AH1222</f>
        <v>68.649000000000001</v>
      </c>
      <c r="AI1221">
        <f>'raw data Crude oil'!AI1222</f>
        <v>68.180000000000007</v>
      </c>
      <c r="AJ1221">
        <f>'raw data Crude oil'!AJ1222</f>
        <v>67.739000000000004</v>
      </c>
      <c r="AK1221">
        <f>'raw data Crude oil'!AK1222</f>
        <v>67.302000000000007</v>
      </c>
    </row>
    <row r="1222" spans="1:37" x14ac:dyDescent="0.3">
      <c r="A1222" s="18">
        <f>'raw data Crude oil'!A1223</f>
        <v>44462</v>
      </c>
      <c r="B1222">
        <f>'raw data Crude oil'!B1223</f>
        <v>77.25</v>
      </c>
      <c r="C1222">
        <f>'raw data Crude oil'!C1223</f>
        <v>76.459999999999994</v>
      </c>
      <c r="D1222">
        <f>'raw data Crude oil'!D1223</f>
        <v>75.599999999999994</v>
      </c>
      <c r="E1222">
        <f>'raw data Crude oil'!E1223</f>
        <v>74.8</v>
      </c>
      <c r="F1222">
        <f>'raw data Crude oil'!F1223</f>
        <v>74.11</v>
      </c>
      <c r="G1222">
        <f>'raw data Crude oil'!G1223</f>
        <v>73.489999999999995</v>
      </c>
      <c r="H1222">
        <f>'raw data Crude oil'!H1223</f>
        <v>72.930000000000007</v>
      </c>
      <c r="I1222">
        <f>'raw data Crude oil'!I1223</f>
        <v>72.400000000000006</v>
      </c>
      <c r="J1222">
        <f>'raw data Crude oil'!J1223</f>
        <v>71.88</v>
      </c>
      <c r="K1222">
        <f>'raw data Crude oil'!K1223</f>
        <v>71.400000000000006</v>
      </c>
      <c r="L1222">
        <f>'raw data Crude oil'!L1223</f>
        <v>70.92</v>
      </c>
      <c r="M1222">
        <f>'raw data Crude oil'!M1223</f>
        <v>70.459999999999994</v>
      </c>
      <c r="N1222">
        <f>'raw data Crude oil'!N1223</f>
        <v>73.3</v>
      </c>
      <c r="O1222">
        <f>'raw data Crude oil'!O1223</f>
        <v>72.95</v>
      </c>
      <c r="P1222">
        <f>'raw data Crude oil'!P1223</f>
        <v>72.42</v>
      </c>
      <c r="Q1222">
        <f>'raw data Crude oil'!Q1223</f>
        <v>71.83</v>
      </c>
      <c r="R1222">
        <f>'raw data Crude oil'!R1223</f>
        <v>71.23</v>
      </c>
      <c r="S1222">
        <f>'raw data Crude oil'!S1223</f>
        <v>70.63</v>
      </c>
      <c r="T1222">
        <f>'raw data Crude oil'!T1223</f>
        <v>70.05</v>
      </c>
      <c r="U1222">
        <f>'raw data Crude oil'!U1223</f>
        <v>69.459999999999994</v>
      </c>
      <c r="V1222">
        <f>'raw data Crude oil'!V1223</f>
        <v>68.87</v>
      </c>
      <c r="W1222">
        <f>'raw data Crude oil'!W1223</f>
        <v>68.28</v>
      </c>
      <c r="X1222">
        <f>'raw data Crude oil'!X1223</f>
        <v>67.7</v>
      </c>
      <c r="Y1222">
        <f>'raw data Crude oil'!Y1223</f>
        <v>67.16</v>
      </c>
      <c r="Z1222">
        <f>'raw data Crude oil'!Z1223</f>
        <v>72.349999999999994</v>
      </c>
      <c r="AA1222">
        <f>'raw data Crude oil'!AA1223</f>
        <v>74.328999999999994</v>
      </c>
      <c r="AB1222">
        <f>'raw data Crude oil'!AB1223</f>
        <v>73.343999999999994</v>
      </c>
      <c r="AC1222">
        <f>'raw data Crude oil'!AC1223</f>
        <v>72.489999999999995</v>
      </c>
      <c r="AD1222">
        <f>'raw data Crude oil'!AD1223</f>
        <v>71.77</v>
      </c>
      <c r="AE1222">
        <f>'raw data Crude oil'!AE1223</f>
        <v>71.152000000000001</v>
      </c>
      <c r="AF1222">
        <f>'raw data Crude oil'!AF1223</f>
        <v>70.626999999999995</v>
      </c>
      <c r="AG1222">
        <f>'raw data Crude oil'!AG1223</f>
        <v>70.123999999999995</v>
      </c>
      <c r="AH1222">
        <f>'raw data Crude oil'!AH1223</f>
        <v>69.638000000000005</v>
      </c>
      <c r="AI1222">
        <f>'raw data Crude oil'!AI1223</f>
        <v>69.158000000000001</v>
      </c>
      <c r="AJ1222">
        <f>'raw data Crude oil'!AJ1223</f>
        <v>68.688000000000002</v>
      </c>
      <c r="AK1222">
        <f>'raw data Crude oil'!AK1223</f>
        <v>68.230999999999995</v>
      </c>
    </row>
    <row r="1223" spans="1:37" x14ac:dyDescent="0.3">
      <c r="A1223" s="18">
        <f>'raw data Crude oil'!A1224</f>
        <v>44463</v>
      </c>
      <c r="B1223">
        <f>'raw data Crude oil'!B1224</f>
        <v>78.09</v>
      </c>
      <c r="C1223">
        <f>'raw data Crude oil'!C1224</f>
        <v>77.23</v>
      </c>
      <c r="D1223">
        <f>'raw data Crude oil'!D1224</f>
        <v>76.36</v>
      </c>
      <c r="E1223">
        <f>'raw data Crude oil'!E1224</f>
        <v>75.56</v>
      </c>
      <c r="F1223">
        <f>'raw data Crude oil'!F1224</f>
        <v>74.86</v>
      </c>
      <c r="G1223">
        <f>'raw data Crude oil'!G1224</f>
        <v>74.23</v>
      </c>
      <c r="H1223">
        <f>'raw data Crude oil'!H1224</f>
        <v>73.650000000000006</v>
      </c>
      <c r="I1223">
        <f>'raw data Crude oil'!I1224</f>
        <v>73.099999999999994</v>
      </c>
      <c r="J1223">
        <f>'raw data Crude oil'!J1224</f>
        <v>72.55</v>
      </c>
      <c r="K1223">
        <f>'raw data Crude oil'!K1224</f>
        <v>72.03</v>
      </c>
      <c r="L1223">
        <f>'raw data Crude oil'!L1224</f>
        <v>71.52</v>
      </c>
      <c r="M1223">
        <f>'raw data Crude oil'!M1224</f>
        <v>71.03</v>
      </c>
      <c r="N1223">
        <f>'raw data Crude oil'!N1224</f>
        <v>73.98</v>
      </c>
      <c r="O1223">
        <f>'raw data Crude oil'!O1224</f>
        <v>73.61</v>
      </c>
      <c r="P1223">
        <f>'raw data Crude oil'!P1224</f>
        <v>73.069999999999993</v>
      </c>
      <c r="Q1223">
        <f>'raw data Crude oil'!Q1224</f>
        <v>72.47</v>
      </c>
      <c r="R1223">
        <f>'raw data Crude oil'!R1224</f>
        <v>71.849999999999994</v>
      </c>
      <c r="S1223">
        <f>'raw data Crude oil'!S1224</f>
        <v>71.239999999999995</v>
      </c>
      <c r="T1223">
        <f>'raw data Crude oil'!T1224</f>
        <v>70.64</v>
      </c>
      <c r="U1223">
        <f>'raw data Crude oil'!U1224</f>
        <v>70.02</v>
      </c>
      <c r="V1223">
        <f>'raw data Crude oil'!V1224</f>
        <v>69.400000000000006</v>
      </c>
      <c r="W1223">
        <f>'raw data Crude oil'!W1224</f>
        <v>68.78</v>
      </c>
      <c r="X1223">
        <f>'raw data Crude oil'!X1224</f>
        <v>68.19</v>
      </c>
      <c r="Y1223">
        <f>'raw data Crude oil'!Y1224</f>
        <v>67.63</v>
      </c>
      <c r="Z1223">
        <f>'raw data Crude oil'!Z1224</f>
        <v>72.429000000000002</v>
      </c>
      <c r="AA1223">
        <f>'raw data Crude oil'!AA1224</f>
        <v>74.978999999999999</v>
      </c>
      <c r="AB1223">
        <f>'raw data Crude oil'!AB1224</f>
        <v>73.953999999999994</v>
      </c>
      <c r="AC1223">
        <f>'raw data Crude oil'!AC1224</f>
        <v>73.088999999999999</v>
      </c>
      <c r="AD1223">
        <f>'raw data Crude oil'!AD1224</f>
        <v>72.39</v>
      </c>
      <c r="AE1223">
        <f>'raw data Crude oil'!AE1224</f>
        <v>71.760999999999996</v>
      </c>
      <c r="AF1223">
        <f>'raw data Crude oil'!AF1224</f>
        <v>71.215999999999994</v>
      </c>
      <c r="AG1223">
        <f>'raw data Crude oil'!AG1224</f>
        <v>70.712999999999994</v>
      </c>
      <c r="AH1223">
        <f>'raw data Crude oil'!AH1224</f>
        <v>70.206000000000003</v>
      </c>
      <c r="AI1223">
        <f>'raw data Crude oil'!AI1224</f>
        <v>69.716999999999999</v>
      </c>
      <c r="AJ1223">
        <f>'raw data Crude oil'!AJ1224</f>
        <v>69.227000000000004</v>
      </c>
      <c r="AK1223">
        <f>'raw data Crude oil'!AK1224</f>
        <v>68.739999999999995</v>
      </c>
    </row>
    <row r="1224" spans="1:37" x14ac:dyDescent="0.3">
      <c r="A1224" s="18">
        <f>'raw data Crude oil'!A1225</f>
        <v>44466</v>
      </c>
      <c r="B1224">
        <f>'raw data Crude oil'!B1225</f>
        <v>79.53</v>
      </c>
      <c r="C1224">
        <f>'raw data Crude oil'!C1225</f>
        <v>78.72</v>
      </c>
      <c r="D1224">
        <f>'raw data Crude oil'!D1225</f>
        <v>77.88</v>
      </c>
      <c r="E1224">
        <f>'raw data Crude oil'!E1225</f>
        <v>77.099999999999994</v>
      </c>
      <c r="F1224">
        <f>'raw data Crude oil'!F1225</f>
        <v>76.41</v>
      </c>
      <c r="G1224">
        <f>'raw data Crude oil'!G1225</f>
        <v>75.78</v>
      </c>
      <c r="H1224">
        <f>'raw data Crude oil'!H1225</f>
        <v>75.19</v>
      </c>
      <c r="I1224">
        <f>'raw data Crude oil'!I1225</f>
        <v>74.63</v>
      </c>
      <c r="J1224">
        <f>'raw data Crude oil'!J1225</f>
        <v>74.06</v>
      </c>
      <c r="K1224">
        <f>'raw data Crude oil'!K1225</f>
        <v>73.53</v>
      </c>
      <c r="L1224">
        <f>'raw data Crude oil'!L1225</f>
        <v>73.02</v>
      </c>
      <c r="M1224">
        <f>'raw data Crude oil'!M1225</f>
        <v>72.52</v>
      </c>
      <c r="N1224">
        <f>'raw data Crude oil'!N1225</f>
        <v>75.45</v>
      </c>
      <c r="O1224">
        <f>'raw data Crude oil'!O1225</f>
        <v>75.08</v>
      </c>
      <c r="P1224">
        <f>'raw data Crude oil'!P1225</f>
        <v>74.53</v>
      </c>
      <c r="Q1224">
        <f>'raw data Crude oil'!Q1225</f>
        <v>73.92</v>
      </c>
      <c r="R1224">
        <f>'raw data Crude oil'!R1225</f>
        <v>73.319999999999993</v>
      </c>
      <c r="S1224">
        <f>'raw data Crude oil'!S1225</f>
        <v>72.709999999999994</v>
      </c>
      <c r="T1224">
        <f>'raw data Crude oil'!T1225</f>
        <v>72.099999999999994</v>
      </c>
      <c r="U1224">
        <f>'raw data Crude oil'!U1225</f>
        <v>71.489999999999995</v>
      </c>
      <c r="V1224">
        <f>'raw data Crude oil'!V1225</f>
        <v>70.86</v>
      </c>
      <c r="W1224">
        <f>'raw data Crude oil'!W1225</f>
        <v>70.23</v>
      </c>
      <c r="X1224">
        <f>'raw data Crude oil'!X1225</f>
        <v>69.62</v>
      </c>
      <c r="Y1224">
        <f>'raw data Crude oil'!Y1225</f>
        <v>69.040000000000006</v>
      </c>
      <c r="Z1224">
        <f>'raw data Crude oil'!Z1225</f>
        <v>72.656999999999996</v>
      </c>
      <c r="AA1224">
        <f>'raw data Crude oil'!AA1225</f>
        <v>76.37</v>
      </c>
      <c r="AB1224">
        <f>'raw data Crude oil'!AB1225</f>
        <v>75.334999999999994</v>
      </c>
      <c r="AC1224">
        <f>'raw data Crude oil'!AC1225</f>
        <v>74.489999999999995</v>
      </c>
      <c r="AD1224">
        <f>'raw data Crude oil'!AD1225</f>
        <v>73.819999999999993</v>
      </c>
      <c r="AE1224">
        <f>'raw data Crude oil'!AE1225</f>
        <v>73.180999999999997</v>
      </c>
      <c r="AF1224">
        <f>'raw data Crude oil'!AF1225</f>
        <v>72.616</v>
      </c>
      <c r="AG1224">
        <f>'raw data Crude oil'!AG1225</f>
        <v>72.081999999999994</v>
      </c>
      <c r="AH1224">
        <f>'raw data Crude oil'!AH1225</f>
        <v>71.566000000000003</v>
      </c>
      <c r="AI1224">
        <f>'raw data Crude oil'!AI1225</f>
        <v>71.066999999999993</v>
      </c>
      <c r="AJ1224">
        <f>'raw data Crude oil'!AJ1225</f>
        <v>70.575999999999993</v>
      </c>
      <c r="AK1224">
        <f>'raw data Crude oil'!AK1225</f>
        <v>70.09</v>
      </c>
    </row>
    <row r="1225" spans="1:37" x14ac:dyDescent="0.3">
      <c r="A1225" s="18">
        <f>'raw data Crude oil'!A1226</f>
        <v>44467</v>
      </c>
      <c r="B1225">
        <f>'raw data Crude oil'!B1226</f>
        <v>79.09</v>
      </c>
      <c r="C1225">
        <f>'raw data Crude oil'!C1226</f>
        <v>78.349999999999994</v>
      </c>
      <c r="D1225">
        <f>'raw data Crude oil'!D1226</f>
        <v>77.540000000000006</v>
      </c>
      <c r="E1225">
        <f>'raw data Crude oil'!E1226</f>
        <v>76.78</v>
      </c>
      <c r="F1225">
        <f>'raw data Crude oil'!F1226</f>
        <v>76.099999999999994</v>
      </c>
      <c r="G1225">
        <f>'raw data Crude oil'!G1226</f>
        <v>75.47</v>
      </c>
      <c r="H1225">
        <f>'raw data Crude oil'!H1226</f>
        <v>74.89</v>
      </c>
      <c r="I1225">
        <f>'raw data Crude oil'!I1226</f>
        <v>74.33</v>
      </c>
      <c r="J1225">
        <f>'raw data Crude oil'!J1226</f>
        <v>73.78</v>
      </c>
      <c r="K1225">
        <f>'raw data Crude oil'!K1226</f>
        <v>73.27</v>
      </c>
      <c r="L1225">
        <f>'raw data Crude oil'!L1226</f>
        <v>72.77</v>
      </c>
      <c r="M1225">
        <f>'raw data Crude oil'!M1226</f>
        <v>72.28</v>
      </c>
      <c r="N1225">
        <f>'raw data Crude oil'!N1226</f>
        <v>75.290000000000006</v>
      </c>
      <c r="O1225">
        <f>'raw data Crude oil'!O1226</f>
        <v>74.900000000000006</v>
      </c>
      <c r="P1225">
        <f>'raw data Crude oil'!P1226</f>
        <v>74.33</v>
      </c>
      <c r="Q1225">
        <f>'raw data Crude oil'!Q1226</f>
        <v>73.7</v>
      </c>
      <c r="R1225">
        <f>'raw data Crude oil'!R1226</f>
        <v>73.09</v>
      </c>
      <c r="S1225">
        <f>'raw data Crude oil'!S1226</f>
        <v>72.48</v>
      </c>
      <c r="T1225">
        <f>'raw data Crude oil'!T1226</f>
        <v>71.87</v>
      </c>
      <c r="U1225">
        <f>'raw data Crude oil'!U1226</f>
        <v>71.27</v>
      </c>
      <c r="V1225">
        <f>'raw data Crude oil'!V1226</f>
        <v>70.64</v>
      </c>
      <c r="W1225">
        <f>'raw data Crude oil'!W1226</f>
        <v>70</v>
      </c>
      <c r="X1225">
        <f>'raw data Crude oil'!X1226</f>
        <v>69.400000000000006</v>
      </c>
      <c r="Y1225">
        <f>'raw data Crude oil'!Y1226</f>
        <v>68.819999999999993</v>
      </c>
      <c r="Z1225">
        <f>'raw data Crude oil'!Z1226</f>
        <v>72.641999999999996</v>
      </c>
      <c r="AA1225">
        <f>'raw data Crude oil'!AA1226</f>
        <v>76.040999999999997</v>
      </c>
      <c r="AB1225">
        <f>'raw data Crude oil'!AB1226</f>
        <v>75.045000000000002</v>
      </c>
      <c r="AC1225">
        <f>'raw data Crude oil'!AC1226</f>
        <v>74.200999999999993</v>
      </c>
      <c r="AD1225">
        <f>'raw data Crude oil'!AD1226</f>
        <v>73.510000000000005</v>
      </c>
      <c r="AE1225">
        <f>'raw data Crude oil'!AE1226</f>
        <v>72.891000000000005</v>
      </c>
      <c r="AF1225">
        <f>'raw data Crude oil'!AF1226</f>
        <v>72.355999999999995</v>
      </c>
      <c r="AG1225">
        <f>'raw data Crude oil'!AG1226</f>
        <v>71.822999999999993</v>
      </c>
      <c r="AH1225">
        <f>'raw data Crude oil'!AH1226</f>
        <v>71.316999999999993</v>
      </c>
      <c r="AI1225">
        <f>'raw data Crude oil'!AI1226</f>
        <v>70.837000000000003</v>
      </c>
      <c r="AJ1225">
        <f>'raw data Crude oil'!AJ1226</f>
        <v>70.397000000000006</v>
      </c>
      <c r="AK1225">
        <f>'raw data Crude oil'!AK1226</f>
        <v>69.930000000000007</v>
      </c>
    </row>
    <row r="1226" spans="1:37" x14ac:dyDescent="0.3">
      <c r="A1226" s="18">
        <f>'raw data Crude oil'!A1227</f>
        <v>44468</v>
      </c>
      <c r="B1226">
        <f>'raw data Crude oil'!B1227</f>
        <v>78.64</v>
      </c>
      <c r="C1226">
        <f>'raw data Crude oil'!C1227</f>
        <v>78.09</v>
      </c>
      <c r="D1226">
        <f>'raw data Crude oil'!D1227</f>
        <v>77.34</v>
      </c>
      <c r="E1226">
        <f>'raw data Crude oil'!E1227</f>
        <v>76.61</v>
      </c>
      <c r="F1226">
        <f>'raw data Crude oil'!F1227</f>
        <v>75.95</v>
      </c>
      <c r="G1226">
        <f>'raw data Crude oil'!G1227</f>
        <v>75.34</v>
      </c>
      <c r="H1226">
        <f>'raw data Crude oil'!H1227</f>
        <v>74.790000000000006</v>
      </c>
      <c r="I1226">
        <f>'raw data Crude oil'!I1227</f>
        <v>74.260000000000005</v>
      </c>
      <c r="J1226">
        <f>'raw data Crude oil'!J1227</f>
        <v>73.73</v>
      </c>
      <c r="K1226">
        <f>'raw data Crude oil'!K1227</f>
        <v>73.23</v>
      </c>
      <c r="L1226">
        <f>'raw data Crude oil'!L1227</f>
        <v>72.739999999999995</v>
      </c>
      <c r="M1226">
        <f>'raw data Crude oil'!M1227</f>
        <v>72.27</v>
      </c>
      <c r="N1226">
        <f>'raw data Crude oil'!N1227</f>
        <v>74.83</v>
      </c>
      <c r="O1226">
        <f>'raw data Crude oil'!O1227</f>
        <v>74.5</v>
      </c>
      <c r="P1226">
        <f>'raw data Crude oil'!P1227</f>
        <v>73.989999999999995</v>
      </c>
      <c r="Q1226">
        <f>'raw data Crude oil'!Q1227</f>
        <v>73.41</v>
      </c>
      <c r="R1226">
        <f>'raw data Crude oil'!R1227</f>
        <v>72.84</v>
      </c>
      <c r="S1226">
        <f>'raw data Crude oil'!S1227</f>
        <v>72.27</v>
      </c>
      <c r="T1226">
        <f>'raw data Crude oil'!T1227</f>
        <v>71.7</v>
      </c>
      <c r="U1226">
        <f>'raw data Crude oil'!U1227</f>
        <v>71.11</v>
      </c>
      <c r="V1226">
        <f>'raw data Crude oil'!V1227</f>
        <v>70.5</v>
      </c>
      <c r="W1226">
        <f>'raw data Crude oil'!W1227</f>
        <v>69.900000000000006</v>
      </c>
      <c r="X1226">
        <f>'raw data Crude oil'!X1227</f>
        <v>69.319999999999993</v>
      </c>
      <c r="Y1226">
        <f>'raw data Crude oil'!Y1227</f>
        <v>68.760000000000005</v>
      </c>
      <c r="Z1226">
        <f>'raw data Crude oil'!Z1227</f>
        <v>72.606999999999999</v>
      </c>
      <c r="AA1226">
        <f>'raw data Crude oil'!AA1227</f>
        <v>75.634</v>
      </c>
      <c r="AB1226">
        <f>'raw data Crude oil'!AB1227</f>
        <v>74.736999999999995</v>
      </c>
      <c r="AC1226">
        <f>'raw data Crude oil'!AC1227</f>
        <v>73.947999999999993</v>
      </c>
      <c r="AD1226">
        <f>'raw data Crude oil'!AD1227</f>
        <v>73.296000000000006</v>
      </c>
      <c r="AE1226">
        <f>'raw data Crude oil'!AE1227</f>
        <v>72.703000000000003</v>
      </c>
      <c r="AF1226">
        <f>'raw data Crude oil'!AF1227</f>
        <v>72.206999999999994</v>
      </c>
      <c r="AG1226">
        <f>'raw data Crude oil'!AG1227</f>
        <v>71.713999999999999</v>
      </c>
      <c r="AH1226">
        <f>'raw data Crude oil'!AH1227</f>
        <v>71.236999999999995</v>
      </c>
      <c r="AI1226">
        <f>'raw data Crude oil'!AI1227</f>
        <v>70.768000000000001</v>
      </c>
      <c r="AJ1226">
        <f>'raw data Crude oil'!AJ1227</f>
        <v>70.317999999999998</v>
      </c>
      <c r="AK1226">
        <f>'raw data Crude oil'!AK1227</f>
        <v>69.87</v>
      </c>
    </row>
    <row r="1227" spans="1:37" x14ac:dyDescent="0.3">
      <c r="A1227" s="18">
        <f>'raw data Crude oil'!A1228</f>
        <v>44469</v>
      </c>
      <c r="B1227">
        <f>'raw data Crude oil'!B1228</f>
        <v>78.52</v>
      </c>
      <c r="C1227">
        <f>'raw data Crude oil'!C1228</f>
        <v>78.31</v>
      </c>
      <c r="D1227">
        <f>'raw data Crude oil'!D1228</f>
        <v>77.53</v>
      </c>
      <c r="E1227">
        <f>'raw data Crude oil'!E1228</f>
        <v>76.760000000000005</v>
      </c>
      <c r="F1227">
        <f>'raw data Crude oil'!F1228</f>
        <v>76.06</v>
      </c>
      <c r="G1227">
        <f>'raw data Crude oil'!G1228</f>
        <v>75.42</v>
      </c>
      <c r="H1227">
        <f>'raw data Crude oil'!H1228</f>
        <v>74.84</v>
      </c>
      <c r="I1227">
        <f>'raw data Crude oil'!I1228</f>
        <v>74.290000000000006</v>
      </c>
      <c r="J1227">
        <f>'raw data Crude oil'!J1228</f>
        <v>73.75</v>
      </c>
      <c r="K1227">
        <f>'raw data Crude oil'!K1228</f>
        <v>73.239999999999995</v>
      </c>
      <c r="L1227">
        <f>'raw data Crude oil'!L1228</f>
        <v>72.73</v>
      </c>
      <c r="M1227">
        <f>'raw data Crude oil'!M1228</f>
        <v>72.239999999999995</v>
      </c>
      <c r="N1227">
        <f>'raw data Crude oil'!N1228</f>
        <v>75.03</v>
      </c>
      <c r="O1227">
        <f>'raw data Crude oil'!O1228</f>
        <v>74.7</v>
      </c>
      <c r="P1227">
        <f>'raw data Crude oil'!P1228</f>
        <v>74.19</v>
      </c>
      <c r="Q1227">
        <f>'raw data Crude oil'!Q1228</f>
        <v>73.59</v>
      </c>
      <c r="R1227">
        <f>'raw data Crude oil'!R1228</f>
        <v>72.989999999999995</v>
      </c>
      <c r="S1227">
        <f>'raw data Crude oil'!S1228</f>
        <v>72.38</v>
      </c>
      <c r="T1227">
        <f>'raw data Crude oil'!T1228</f>
        <v>71.77</v>
      </c>
      <c r="U1227">
        <f>'raw data Crude oil'!U1228</f>
        <v>71.150000000000006</v>
      </c>
      <c r="V1227">
        <f>'raw data Crude oil'!V1228</f>
        <v>70.53</v>
      </c>
      <c r="W1227">
        <f>'raw data Crude oil'!W1228</f>
        <v>69.900000000000006</v>
      </c>
      <c r="X1227">
        <f>'raw data Crude oil'!X1228</f>
        <v>69.290000000000006</v>
      </c>
      <c r="Y1227">
        <f>'raw data Crude oil'!Y1228</f>
        <v>68.709999999999994</v>
      </c>
      <c r="Z1227">
        <f>'raw data Crude oil'!Z1228</f>
        <v>72.608000000000004</v>
      </c>
      <c r="AA1227">
        <f>'raw data Crude oil'!AA1228</f>
        <v>75.822999999999993</v>
      </c>
      <c r="AB1227">
        <f>'raw data Crude oil'!AB1228</f>
        <v>74.894999999999996</v>
      </c>
      <c r="AC1227">
        <f>'raw data Crude oil'!AC1228</f>
        <v>74.063999999999993</v>
      </c>
      <c r="AD1227">
        <f>'raw data Crude oil'!AD1228</f>
        <v>73.375</v>
      </c>
      <c r="AE1227">
        <f>'raw data Crude oil'!AE1228</f>
        <v>72.781000000000006</v>
      </c>
      <c r="AF1227">
        <f>'raw data Crude oil'!AF1228</f>
        <v>72.256</v>
      </c>
      <c r="AG1227">
        <f>'raw data Crude oil'!AG1228</f>
        <v>71.742999999999995</v>
      </c>
      <c r="AH1227">
        <f>'raw data Crude oil'!AH1228</f>
        <v>71.257000000000005</v>
      </c>
      <c r="AI1227">
        <f>'raw data Crude oil'!AI1228</f>
        <v>70.777000000000001</v>
      </c>
      <c r="AJ1227">
        <f>'raw data Crude oil'!AJ1228</f>
        <v>70.287000000000006</v>
      </c>
      <c r="AK1227">
        <f>'raw data Crude oil'!AK1228</f>
        <v>69.819000000000003</v>
      </c>
    </row>
    <row r="1228" spans="1:37" x14ac:dyDescent="0.3">
      <c r="A1228" s="18">
        <f>'raw data Crude oil'!A1229</f>
        <v>44470</v>
      </c>
      <c r="B1228">
        <f>'raw data Crude oil'!B1229</f>
        <v>79.28</v>
      </c>
      <c r="C1228">
        <f>'raw data Crude oil'!C1229</f>
        <v>78.53</v>
      </c>
      <c r="D1228">
        <f>'raw data Crude oil'!D1229</f>
        <v>77.760000000000005</v>
      </c>
      <c r="E1228">
        <f>'raw data Crude oil'!E1229</f>
        <v>77.069999999999993</v>
      </c>
      <c r="F1228">
        <f>'raw data Crude oil'!F1229</f>
        <v>76.44</v>
      </c>
      <c r="G1228">
        <f>'raw data Crude oil'!G1229</f>
        <v>75.88</v>
      </c>
      <c r="H1228">
        <f>'raw data Crude oil'!H1229</f>
        <v>75.34</v>
      </c>
      <c r="I1228">
        <f>'raw data Crude oil'!I1229</f>
        <v>74.8</v>
      </c>
      <c r="J1228">
        <f>'raw data Crude oil'!J1229</f>
        <v>74.3</v>
      </c>
      <c r="K1228">
        <f>'raw data Crude oil'!K1229</f>
        <v>73.8</v>
      </c>
      <c r="L1228">
        <f>'raw data Crude oil'!L1229</f>
        <v>73.3</v>
      </c>
      <c r="M1228">
        <f>'raw data Crude oil'!M1229</f>
        <v>72.83</v>
      </c>
      <c r="N1228">
        <f>'raw data Crude oil'!N1229</f>
        <v>75.88</v>
      </c>
      <c r="O1228">
        <f>'raw data Crude oil'!O1229</f>
        <v>75.58</v>
      </c>
      <c r="P1228">
        <f>'raw data Crude oil'!P1229</f>
        <v>75.12</v>
      </c>
      <c r="Q1228">
        <f>'raw data Crude oil'!Q1229</f>
        <v>74.55</v>
      </c>
      <c r="R1228">
        <f>'raw data Crude oil'!R1229</f>
        <v>73.98</v>
      </c>
      <c r="S1228">
        <f>'raw data Crude oil'!S1229</f>
        <v>73.400000000000006</v>
      </c>
      <c r="T1228">
        <f>'raw data Crude oil'!T1229</f>
        <v>72.819999999999993</v>
      </c>
      <c r="U1228">
        <f>'raw data Crude oil'!U1229</f>
        <v>72.23</v>
      </c>
      <c r="V1228">
        <f>'raw data Crude oil'!V1229</f>
        <v>71.61</v>
      </c>
      <c r="W1228">
        <f>'raw data Crude oil'!W1229</f>
        <v>71</v>
      </c>
      <c r="X1228">
        <f>'raw data Crude oil'!X1229</f>
        <v>70.400000000000006</v>
      </c>
      <c r="Y1228">
        <f>'raw data Crude oil'!Y1229</f>
        <v>69.819999999999993</v>
      </c>
      <c r="Z1228">
        <f>'raw data Crude oil'!Z1229</f>
        <v>72.608000000000004</v>
      </c>
      <c r="AA1228">
        <f>'raw data Crude oil'!AA1229</f>
        <v>76.787999999999997</v>
      </c>
      <c r="AB1228">
        <f>'raw data Crude oil'!AB1229</f>
        <v>75.885000000000005</v>
      </c>
      <c r="AC1228">
        <f>'raw data Crude oil'!AC1229</f>
        <v>75.06</v>
      </c>
      <c r="AD1228">
        <f>'raw data Crude oil'!AD1229</f>
        <v>74.42</v>
      </c>
      <c r="AE1228">
        <f>'raw data Crude oil'!AE1229</f>
        <v>73.861999999999995</v>
      </c>
      <c r="AF1228">
        <f>'raw data Crude oil'!AF1229</f>
        <v>73.367000000000004</v>
      </c>
      <c r="AG1228">
        <f>'raw data Crude oil'!AG1229</f>
        <v>72.873000000000005</v>
      </c>
      <c r="AH1228">
        <f>'raw data Crude oil'!AH1229</f>
        <v>72.387</v>
      </c>
      <c r="AI1228">
        <f>'raw data Crude oil'!AI1229</f>
        <v>71.906999999999996</v>
      </c>
      <c r="AJ1228">
        <f>'raw data Crude oil'!AJ1229</f>
        <v>71.445999999999998</v>
      </c>
      <c r="AK1228">
        <f>'raw data Crude oil'!AK1229</f>
        <v>70.97</v>
      </c>
    </row>
    <row r="1229" spans="1:37" x14ac:dyDescent="0.3">
      <c r="A1229" s="18">
        <f>'raw data Crude oil'!A1230</f>
        <v>44473</v>
      </c>
      <c r="B1229">
        <f>'raw data Crude oil'!B1230</f>
        <v>81.260000000000005</v>
      </c>
      <c r="C1229">
        <f>'raw data Crude oil'!C1230</f>
        <v>80.48</v>
      </c>
      <c r="D1229">
        <f>'raw data Crude oil'!D1230</f>
        <v>79.69</v>
      </c>
      <c r="E1229">
        <f>'raw data Crude oil'!E1230</f>
        <v>78.95</v>
      </c>
      <c r="F1229">
        <f>'raw data Crude oil'!F1230</f>
        <v>78.25</v>
      </c>
      <c r="G1229">
        <f>'raw data Crude oil'!G1230</f>
        <v>77.62</v>
      </c>
      <c r="H1229">
        <f>'raw data Crude oil'!H1230</f>
        <v>77.010000000000005</v>
      </c>
      <c r="I1229">
        <f>'raw data Crude oil'!I1230</f>
        <v>76.41</v>
      </c>
      <c r="J1229">
        <f>'raw data Crude oil'!J1230</f>
        <v>75.849999999999994</v>
      </c>
      <c r="K1229">
        <f>'raw data Crude oil'!K1230</f>
        <v>75.290000000000006</v>
      </c>
      <c r="L1229">
        <f>'raw data Crude oil'!L1230</f>
        <v>74.739999999999995</v>
      </c>
      <c r="M1229">
        <f>'raw data Crude oil'!M1230</f>
        <v>74.22</v>
      </c>
      <c r="N1229">
        <f>'raw data Crude oil'!N1230</f>
        <v>77.62</v>
      </c>
      <c r="O1229">
        <f>'raw data Crude oil'!O1230</f>
        <v>77.33</v>
      </c>
      <c r="P1229">
        <f>'raw data Crude oil'!P1230</f>
        <v>76.88</v>
      </c>
      <c r="Q1229">
        <f>'raw data Crude oil'!Q1230</f>
        <v>76.3</v>
      </c>
      <c r="R1229">
        <f>'raw data Crude oil'!R1230</f>
        <v>75.709999999999994</v>
      </c>
      <c r="S1229">
        <f>'raw data Crude oil'!S1230</f>
        <v>75.09</v>
      </c>
      <c r="T1229">
        <f>'raw data Crude oil'!T1230</f>
        <v>74.47</v>
      </c>
      <c r="U1229">
        <f>'raw data Crude oil'!U1230</f>
        <v>73.819999999999993</v>
      </c>
      <c r="V1229">
        <f>'raw data Crude oil'!V1230</f>
        <v>73.150000000000006</v>
      </c>
      <c r="W1229">
        <f>'raw data Crude oil'!W1230</f>
        <v>72.48</v>
      </c>
      <c r="X1229">
        <f>'raw data Crude oil'!X1230</f>
        <v>71.84</v>
      </c>
      <c r="Y1229">
        <f>'raw data Crude oil'!Y1230</f>
        <v>71.2</v>
      </c>
      <c r="Z1229">
        <f>'raw data Crude oil'!Z1230</f>
        <v>78.564999999999998</v>
      </c>
      <c r="AA1229">
        <f>'raw data Crude oil'!AA1230</f>
        <v>77.753</v>
      </c>
      <c r="AB1229">
        <f>'raw data Crude oil'!AB1230</f>
        <v>76.900999999999996</v>
      </c>
      <c r="AC1229">
        <f>'raw data Crude oil'!AC1230</f>
        <v>76.203999999999994</v>
      </c>
      <c r="AD1229">
        <f>'raw data Crude oil'!AD1230</f>
        <v>75.588999999999999</v>
      </c>
      <c r="AE1229">
        <f>'raw data Crude oil'!AE1230</f>
        <v>75.052999999999997</v>
      </c>
      <c r="AF1229">
        <f>'raw data Crude oil'!AF1230</f>
        <v>74.510000000000005</v>
      </c>
      <c r="AG1229">
        <f>'raw data Crude oil'!AG1230</f>
        <v>73.984999999999999</v>
      </c>
      <c r="AH1229">
        <f>'raw data Crude oil'!AH1230</f>
        <v>73.454999999999998</v>
      </c>
      <c r="AI1229">
        <f>'raw data Crude oil'!AI1230</f>
        <v>72.924000000000007</v>
      </c>
      <c r="AJ1229">
        <f>'raw data Crude oil'!AJ1230</f>
        <v>72.406999999999996</v>
      </c>
      <c r="AK1229">
        <f>'raw data Crude oil'!AK1230</f>
        <v>71.906999999999996</v>
      </c>
    </row>
    <row r="1230" spans="1:37" x14ac:dyDescent="0.3">
      <c r="A1230" s="18">
        <f>'raw data Crude oil'!A1231</f>
        <v>44474</v>
      </c>
      <c r="B1230">
        <f>'raw data Crude oil'!B1231</f>
        <v>82.56</v>
      </c>
      <c r="C1230">
        <f>'raw data Crude oil'!C1231</f>
        <v>81.83</v>
      </c>
      <c r="D1230">
        <f>'raw data Crude oil'!D1231</f>
        <v>81.05</v>
      </c>
      <c r="E1230">
        <f>'raw data Crude oil'!E1231</f>
        <v>80.3</v>
      </c>
      <c r="F1230">
        <f>'raw data Crude oil'!F1231</f>
        <v>79.59</v>
      </c>
      <c r="G1230">
        <f>'raw data Crude oil'!G1231</f>
        <v>78.94</v>
      </c>
      <c r="H1230">
        <f>'raw data Crude oil'!H1231</f>
        <v>78.31</v>
      </c>
      <c r="I1230">
        <f>'raw data Crude oil'!I1231</f>
        <v>77.680000000000007</v>
      </c>
      <c r="J1230">
        <f>'raw data Crude oil'!J1231</f>
        <v>77.08</v>
      </c>
      <c r="K1230">
        <f>'raw data Crude oil'!K1231</f>
        <v>76.48</v>
      </c>
      <c r="L1230">
        <f>'raw data Crude oil'!L1231</f>
        <v>75.900000000000006</v>
      </c>
      <c r="M1230">
        <f>'raw data Crude oil'!M1231</f>
        <v>75.34</v>
      </c>
      <c r="N1230">
        <f>'raw data Crude oil'!N1231</f>
        <v>78.930000000000007</v>
      </c>
      <c r="O1230">
        <f>'raw data Crude oil'!O1231</f>
        <v>78.569999999999993</v>
      </c>
      <c r="P1230">
        <f>'raw data Crude oil'!P1231</f>
        <v>78.09</v>
      </c>
      <c r="Q1230">
        <f>'raw data Crude oil'!Q1231</f>
        <v>77.510000000000005</v>
      </c>
      <c r="R1230">
        <f>'raw data Crude oil'!R1231</f>
        <v>76.92</v>
      </c>
      <c r="S1230">
        <f>'raw data Crude oil'!S1231</f>
        <v>76.31</v>
      </c>
      <c r="T1230">
        <f>'raw data Crude oil'!T1231</f>
        <v>75.680000000000007</v>
      </c>
      <c r="U1230">
        <f>'raw data Crude oil'!U1231</f>
        <v>75.02</v>
      </c>
      <c r="V1230">
        <f>'raw data Crude oil'!V1231</f>
        <v>74.33</v>
      </c>
      <c r="W1230">
        <f>'raw data Crude oil'!W1231</f>
        <v>73.650000000000006</v>
      </c>
      <c r="X1230">
        <f>'raw data Crude oil'!X1231</f>
        <v>72.98</v>
      </c>
      <c r="Y1230">
        <f>'raw data Crude oil'!Y1231</f>
        <v>72.319999999999993</v>
      </c>
      <c r="Z1230">
        <f>'raw data Crude oil'!Z1231</f>
        <v>79.828000000000003</v>
      </c>
      <c r="AA1230">
        <f>'raw data Crude oil'!AA1231</f>
        <v>79.174999999999997</v>
      </c>
      <c r="AB1230">
        <f>'raw data Crude oil'!AB1231</f>
        <v>78.295000000000002</v>
      </c>
      <c r="AC1230">
        <f>'raw data Crude oil'!AC1231</f>
        <v>77.566000000000003</v>
      </c>
      <c r="AD1230">
        <f>'raw data Crude oil'!AD1231</f>
        <v>76.938000000000002</v>
      </c>
      <c r="AE1230">
        <f>'raw data Crude oil'!AE1231</f>
        <v>76.393000000000001</v>
      </c>
      <c r="AF1230">
        <f>'raw data Crude oil'!AF1231</f>
        <v>75.819000000000003</v>
      </c>
      <c r="AG1230">
        <f>'raw data Crude oil'!AG1231</f>
        <v>75.253</v>
      </c>
      <c r="AH1230">
        <f>'raw data Crude oil'!AH1231</f>
        <v>74.692999999999998</v>
      </c>
      <c r="AI1230">
        <f>'raw data Crude oil'!AI1231</f>
        <v>74.132000000000005</v>
      </c>
      <c r="AJ1230">
        <f>'raw data Crude oil'!AJ1231</f>
        <v>73.575999999999993</v>
      </c>
      <c r="AK1230">
        <f>'raw data Crude oil'!AK1231</f>
        <v>73.025000000000006</v>
      </c>
    </row>
    <row r="1231" spans="1:37" x14ac:dyDescent="0.3">
      <c r="A1231" s="18">
        <f>'raw data Crude oil'!A1232</f>
        <v>44475</v>
      </c>
      <c r="B1231">
        <f>'raw data Crude oil'!B1232</f>
        <v>81.08</v>
      </c>
      <c r="C1231">
        <f>'raw data Crude oil'!C1232</f>
        <v>80.39</v>
      </c>
      <c r="D1231">
        <f>'raw data Crude oil'!D1232</f>
        <v>79.63</v>
      </c>
      <c r="E1231">
        <f>'raw data Crude oil'!E1232</f>
        <v>78.900000000000006</v>
      </c>
      <c r="F1231">
        <f>'raw data Crude oil'!F1232</f>
        <v>78.209999999999994</v>
      </c>
      <c r="G1231">
        <f>'raw data Crude oil'!G1232</f>
        <v>77.569999999999993</v>
      </c>
      <c r="H1231">
        <f>'raw data Crude oil'!H1232</f>
        <v>76.95</v>
      </c>
      <c r="I1231">
        <f>'raw data Crude oil'!I1232</f>
        <v>76.319999999999993</v>
      </c>
      <c r="J1231">
        <f>'raw data Crude oil'!J1232</f>
        <v>75.73</v>
      </c>
      <c r="K1231">
        <f>'raw data Crude oil'!K1232</f>
        <v>75.13</v>
      </c>
      <c r="L1231">
        <f>'raw data Crude oil'!L1232</f>
        <v>74.540000000000006</v>
      </c>
      <c r="M1231">
        <f>'raw data Crude oil'!M1232</f>
        <v>73.98</v>
      </c>
      <c r="N1231">
        <f>'raw data Crude oil'!N1232</f>
        <v>77.430000000000007</v>
      </c>
      <c r="O1231">
        <f>'raw data Crude oil'!O1232</f>
        <v>77.06</v>
      </c>
      <c r="P1231">
        <f>'raw data Crude oil'!P1232</f>
        <v>76.59</v>
      </c>
      <c r="Q1231">
        <f>'raw data Crude oil'!Q1232</f>
        <v>76.040000000000006</v>
      </c>
      <c r="R1231">
        <f>'raw data Crude oil'!R1232</f>
        <v>75.47</v>
      </c>
      <c r="S1231">
        <f>'raw data Crude oil'!S1232</f>
        <v>74.87</v>
      </c>
      <c r="T1231">
        <f>'raw data Crude oil'!T1232</f>
        <v>74.260000000000005</v>
      </c>
      <c r="U1231">
        <f>'raw data Crude oil'!U1232</f>
        <v>73.62</v>
      </c>
      <c r="V1231">
        <f>'raw data Crude oil'!V1232</f>
        <v>72.959999999999994</v>
      </c>
      <c r="W1231">
        <f>'raw data Crude oil'!W1232</f>
        <v>72.28</v>
      </c>
      <c r="X1231">
        <f>'raw data Crude oil'!X1232</f>
        <v>71.61</v>
      </c>
      <c r="Y1231">
        <f>'raw data Crude oil'!Y1232</f>
        <v>70.95</v>
      </c>
      <c r="Z1231">
        <f>'raw data Crude oil'!Z1232</f>
        <v>78.867000000000004</v>
      </c>
      <c r="AA1231">
        <f>'raw data Crude oil'!AA1232</f>
        <v>77.92</v>
      </c>
      <c r="AB1231">
        <f>'raw data Crude oil'!AB1232</f>
        <v>77.016999999999996</v>
      </c>
      <c r="AC1231">
        <f>'raw data Crude oil'!AC1232</f>
        <v>76.287000000000006</v>
      </c>
      <c r="AD1231">
        <f>'raw data Crude oil'!AD1232</f>
        <v>75.647999999999996</v>
      </c>
      <c r="AE1231">
        <f>'raw data Crude oil'!AE1232</f>
        <v>75.082999999999998</v>
      </c>
      <c r="AF1231">
        <f>'raw data Crude oil'!AF1232</f>
        <v>74.519000000000005</v>
      </c>
      <c r="AG1231">
        <f>'raw data Crude oil'!AG1232</f>
        <v>73.953000000000003</v>
      </c>
      <c r="AH1231">
        <f>'raw data Crude oil'!AH1232</f>
        <v>73.393000000000001</v>
      </c>
      <c r="AI1231">
        <f>'raw data Crude oil'!AI1232</f>
        <v>72.831999999999994</v>
      </c>
      <c r="AJ1231">
        <f>'raw data Crude oil'!AJ1232</f>
        <v>72.275999999999996</v>
      </c>
      <c r="AK1231">
        <f>'raw data Crude oil'!AK1232</f>
        <v>71.725999999999999</v>
      </c>
    </row>
    <row r="1232" spans="1:37" x14ac:dyDescent="0.3">
      <c r="A1232" s="18">
        <f>'raw data Crude oil'!A1233</f>
        <v>44476</v>
      </c>
      <c r="B1232">
        <f>'raw data Crude oil'!B1233</f>
        <v>81.95</v>
      </c>
      <c r="C1232">
        <f>'raw data Crude oil'!C1233</f>
        <v>81.27</v>
      </c>
      <c r="D1232">
        <f>'raw data Crude oil'!D1233</f>
        <v>80.510000000000005</v>
      </c>
      <c r="E1232">
        <f>'raw data Crude oil'!E1233</f>
        <v>79.78</v>
      </c>
      <c r="F1232">
        <f>'raw data Crude oil'!F1233</f>
        <v>79.09</v>
      </c>
      <c r="G1232">
        <f>'raw data Crude oil'!G1233</f>
        <v>78.459999999999994</v>
      </c>
      <c r="H1232">
        <f>'raw data Crude oil'!H1233</f>
        <v>77.84</v>
      </c>
      <c r="I1232">
        <f>'raw data Crude oil'!I1233</f>
        <v>77.209999999999994</v>
      </c>
      <c r="J1232">
        <f>'raw data Crude oil'!J1233</f>
        <v>76.599999999999994</v>
      </c>
      <c r="K1232">
        <f>'raw data Crude oil'!K1233</f>
        <v>75.98</v>
      </c>
      <c r="L1232">
        <f>'raw data Crude oil'!L1233</f>
        <v>75.39</v>
      </c>
      <c r="M1232">
        <f>'raw data Crude oil'!M1233</f>
        <v>74.81</v>
      </c>
      <c r="N1232">
        <f>'raw data Crude oil'!N1233</f>
        <v>78.3</v>
      </c>
      <c r="O1232">
        <f>'raw data Crude oil'!O1233</f>
        <v>77.959999999999994</v>
      </c>
      <c r="P1232">
        <f>'raw data Crude oil'!P1233</f>
        <v>77.45</v>
      </c>
      <c r="Q1232">
        <f>'raw data Crude oil'!Q1233</f>
        <v>76.87</v>
      </c>
      <c r="R1232">
        <f>'raw data Crude oil'!R1233</f>
        <v>76.28</v>
      </c>
      <c r="S1232">
        <f>'raw data Crude oil'!S1233</f>
        <v>75.67</v>
      </c>
      <c r="T1232">
        <f>'raw data Crude oil'!T1233</f>
        <v>75.05</v>
      </c>
      <c r="U1232">
        <f>'raw data Crude oil'!U1233</f>
        <v>74.41</v>
      </c>
      <c r="V1232">
        <f>'raw data Crude oil'!V1233</f>
        <v>73.739999999999995</v>
      </c>
      <c r="W1232">
        <f>'raw data Crude oil'!W1233</f>
        <v>73.05</v>
      </c>
      <c r="X1232">
        <f>'raw data Crude oil'!X1233</f>
        <v>72.37</v>
      </c>
      <c r="Y1232">
        <f>'raw data Crude oil'!Y1233</f>
        <v>71.7</v>
      </c>
      <c r="Z1232">
        <f>'raw data Crude oil'!Z1233</f>
        <v>79.441000000000003</v>
      </c>
      <c r="AA1232">
        <f>'raw data Crude oil'!AA1233</f>
        <v>78.775000000000006</v>
      </c>
      <c r="AB1232">
        <f>'raw data Crude oil'!AB1233</f>
        <v>77.867000000000004</v>
      </c>
      <c r="AC1232">
        <f>'raw data Crude oil'!AC1233</f>
        <v>77.137</v>
      </c>
      <c r="AD1232">
        <f>'raw data Crude oil'!AD1233</f>
        <v>76.498999999999995</v>
      </c>
      <c r="AE1232">
        <f>'raw data Crude oil'!AE1233</f>
        <v>75.942999999999998</v>
      </c>
      <c r="AF1232">
        <f>'raw data Crude oil'!AF1233</f>
        <v>75.379000000000005</v>
      </c>
      <c r="AG1232">
        <f>'raw data Crude oil'!AG1233</f>
        <v>74.811999999999998</v>
      </c>
      <c r="AH1232">
        <f>'raw data Crude oil'!AH1233</f>
        <v>74.242000000000004</v>
      </c>
      <c r="AI1232">
        <f>'raw data Crude oil'!AI1233</f>
        <v>73.682000000000002</v>
      </c>
      <c r="AJ1232">
        <f>'raw data Crude oil'!AJ1233</f>
        <v>73.125</v>
      </c>
      <c r="AK1232">
        <f>'raw data Crude oil'!AK1233</f>
        <v>72.555000000000007</v>
      </c>
    </row>
    <row r="1233" spans="1:37" x14ac:dyDescent="0.3">
      <c r="A1233" s="18">
        <f>'raw data Crude oil'!A1234</f>
        <v>44477</v>
      </c>
      <c r="B1233">
        <f>'raw data Crude oil'!B1234</f>
        <v>82.39</v>
      </c>
      <c r="C1233">
        <f>'raw data Crude oil'!C1234</f>
        <v>81.69</v>
      </c>
      <c r="D1233">
        <f>'raw data Crude oil'!D1234</f>
        <v>80.900000000000006</v>
      </c>
      <c r="E1233">
        <f>'raw data Crude oil'!E1234</f>
        <v>80.14</v>
      </c>
      <c r="F1233">
        <f>'raw data Crude oil'!F1234</f>
        <v>79.430000000000007</v>
      </c>
      <c r="G1233">
        <f>'raw data Crude oil'!G1234</f>
        <v>78.78</v>
      </c>
      <c r="H1233">
        <f>'raw data Crude oil'!H1234</f>
        <v>78.150000000000006</v>
      </c>
      <c r="I1233">
        <f>'raw data Crude oil'!I1234</f>
        <v>77.510000000000005</v>
      </c>
      <c r="J1233">
        <f>'raw data Crude oil'!J1234</f>
        <v>76.89</v>
      </c>
      <c r="K1233">
        <f>'raw data Crude oil'!K1234</f>
        <v>76.27</v>
      </c>
      <c r="L1233">
        <f>'raw data Crude oil'!L1234</f>
        <v>75.67</v>
      </c>
      <c r="M1233">
        <f>'raw data Crude oil'!M1234</f>
        <v>75.09</v>
      </c>
      <c r="N1233">
        <f>'raw data Crude oil'!N1234</f>
        <v>79.349999999999994</v>
      </c>
      <c r="O1233">
        <f>'raw data Crude oil'!O1234</f>
        <v>78.760000000000005</v>
      </c>
      <c r="P1233">
        <f>'raw data Crude oil'!P1234</f>
        <v>78.03</v>
      </c>
      <c r="Q1233">
        <f>'raw data Crude oil'!Q1234</f>
        <v>77.31</v>
      </c>
      <c r="R1233">
        <f>'raw data Crude oil'!R1234</f>
        <v>76.64</v>
      </c>
      <c r="S1233">
        <f>'raw data Crude oil'!S1234</f>
        <v>75.989999999999995</v>
      </c>
      <c r="T1233">
        <f>'raw data Crude oil'!T1234</f>
        <v>75.349999999999994</v>
      </c>
      <c r="U1233">
        <f>'raw data Crude oil'!U1234</f>
        <v>74.709999999999994</v>
      </c>
      <c r="V1233">
        <f>'raw data Crude oil'!V1234</f>
        <v>74.05</v>
      </c>
      <c r="W1233">
        <f>'raw data Crude oil'!W1234</f>
        <v>73.38</v>
      </c>
      <c r="X1233">
        <f>'raw data Crude oil'!X1234</f>
        <v>72.709999999999994</v>
      </c>
      <c r="Y1233">
        <f>'raw data Crude oil'!Y1234</f>
        <v>72.05</v>
      </c>
      <c r="Z1233">
        <f>'raw data Crude oil'!Z1234</f>
        <v>79.766999999999996</v>
      </c>
      <c r="AA1233">
        <f>'raw data Crude oil'!AA1234</f>
        <v>79.194000000000003</v>
      </c>
      <c r="AB1233">
        <f>'raw data Crude oil'!AB1234</f>
        <v>78.233999999999995</v>
      </c>
      <c r="AC1233">
        <f>'raw data Crude oil'!AC1234</f>
        <v>77.475999999999999</v>
      </c>
      <c r="AD1233">
        <f>'raw data Crude oil'!AD1234</f>
        <v>76.828000000000003</v>
      </c>
      <c r="AE1233">
        <f>'raw data Crude oil'!AE1234</f>
        <v>76.272999999999996</v>
      </c>
      <c r="AF1233">
        <f>'raw data Crude oil'!AF1234</f>
        <v>75.738</v>
      </c>
      <c r="AG1233">
        <f>'raw data Crude oil'!AG1234</f>
        <v>75.171999999999997</v>
      </c>
      <c r="AH1233">
        <f>'raw data Crude oil'!AH1234</f>
        <v>74.581999999999994</v>
      </c>
      <c r="AI1233">
        <f>'raw data Crude oil'!AI1234</f>
        <v>73.991</v>
      </c>
      <c r="AJ1233">
        <f>'raw data Crude oil'!AJ1234</f>
        <v>73.405000000000001</v>
      </c>
      <c r="AK1233">
        <f>'raw data Crude oil'!AK1234</f>
        <v>72.825000000000003</v>
      </c>
    </row>
    <row r="1234" spans="1:37" x14ac:dyDescent="0.3">
      <c r="A1234" s="18">
        <f>'raw data Crude oil'!A1235</f>
        <v>44480</v>
      </c>
      <c r="B1234">
        <f>'raw data Crude oil'!B1235</f>
        <v>83.65</v>
      </c>
      <c r="C1234">
        <f>'raw data Crude oil'!C1235</f>
        <v>82.92</v>
      </c>
      <c r="D1234">
        <f>'raw data Crude oil'!D1235</f>
        <v>82.12</v>
      </c>
      <c r="E1234">
        <f>'raw data Crude oil'!E1235</f>
        <v>81.349999999999994</v>
      </c>
      <c r="F1234">
        <f>'raw data Crude oil'!F1235</f>
        <v>80.63</v>
      </c>
      <c r="G1234">
        <f>'raw data Crude oil'!G1235</f>
        <v>79.98</v>
      </c>
      <c r="H1234">
        <f>'raw data Crude oil'!H1235</f>
        <v>79.349999999999994</v>
      </c>
      <c r="I1234">
        <f>'raw data Crude oil'!I1235</f>
        <v>78.7</v>
      </c>
      <c r="J1234">
        <f>'raw data Crude oil'!J1235</f>
        <v>78.08</v>
      </c>
      <c r="K1234">
        <f>'raw data Crude oil'!K1235</f>
        <v>77.459999999999994</v>
      </c>
      <c r="L1234">
        <f>'raw data Crude oil'!L1235</f>
        <v>76.849999999999994</v>
      </c>
      <c r="M1234">
        <f>'raw data Crude oil'!M1235</f>
        <v>76.260000000000005</v>
      </c>
      <c r="N1234">
        <f>'raw data Crude oil'!N1235</f>
        <v>80.52</v>
      </c>
      <c r="O1234">
        <f>'raw data Crude oil'!O1235</f>
        <v>79.92</v>
      </c>
      <c r="P1234">
        <f>'raw data Crude oil'!P1235</f>
        <v>79.25</v>
      </c>
      <c r="Q1234">
        <f>'raw data Crude oil'!Q1235</f>
        <v>78.56</v>
      </c>
      <c r="R1234">
        <f>'raw data Crude oil'!R1235</f>
        <v>77.88</v>
      </c>
      <c r="S1234">
        <f>'raw data Crude oil'!S1235</f>
        <v>77.22</v>
      </c>
      <c r="T1234">
        <f>'raw data Crude oil'!T1235</f>
        <v>76.569999999999993</v>
      </c>
      <c r="U1234">
        <f>'raw data Crude oil'!U1235</f>
        <v>75.92</v>
      </c>
      <c r="V1234">
        <f>'raw data Crude oil'!V1235</f>
        <v>75.25</v>
      </c>
      <c r="W1234">
        <f>'raw data Crude oil'!W1235</f>
        <v>74.56</v>
      </c>
      <c r="X1234">
        <f>'raw data Crude oil'!X1235</f>
        <v>73.88</v>
      </c>
      <c r="Y1234">
        <f>'raw data Crude oil'!Y1235</f>
        <v>73.19</v>
      </c>
      <c r="Z1234">
        <f>'raw data Crude oil'!Z1235</f>
        <v>80.715999999999994</v>
      </c>
      <c r="AA1234">
        <f>'raw data Crude oil'!AA1235</f>
        <v>80.492000000000004</v>
      </c>
      <c r="AB1234">
        <f>'raw data Crude oil'!AB1235</f>
        <v>79.484999999999999</v>
      </c>
      <c r="AC1234">
        <f>'raw data Crude oil'!AC1235</f>
        <v>78.700999999999993</v>
      </c>
      <c r="AD1234">
        <f>'raw data Crude oil'!AD1235</f>
        <v>78.028000000000006</v>
      </c>
      <c r="AE1234">
        <f>'raw data Crude oil'!AE1235</f>
        <v>77.453000000000003</v>
      </c>
      <c r="AF1234">
        <f>'raw data Crude oil'!AF1235</f>
        <v>76.897999999999996</v>
      </c>
      <c r="AG1234">
        <f>'raw data Crude oil'!AG1235</f>
        <v>76.322000000000003</v>
      </c>
      <c r="AH1234">
        <f>'raw data Crude oil'!AH1235</f>
        <v>75.731999999999999</v>
      </c>
      <c r="AI1234">
        <f>'raw data Crude oil'!AI1235</f>
        <v>75.141000000000005</v>
      </c>
      <c r="AJ1234">
        <f>'raw data Crude oil'!AJ1235</f>
        <v>74.554000000000002</v>
      </c>
      <c r="AK1234">
        <f>'raw data Crude oil'!AK1235</f>
        <v>73.983999999999995</v>
      </c>
    </row>
    <row r="1235" spans="1:37" x14ac:dyDescent="0.3">
      <c r="A1235" s="18">
        <f>'raw data Crude oil'!A1236</f>
        <v>44481</v>
      </c>
      <c r="B1235">
        <f>'raw data Crude oil'!B1236</f>
        <v>83.42</v>
      </c>
      <c r="C1235">
        <f>'raw data Crude oil'!C1236</f>
        <v>82.73</v>
      </c>
      <c r="D1235">
        <f>'raw data Crude oil'!D1236</f>
        <v>81.96</v>
      </c>
      <c r="E1235">
        <f>'raw data Crude oil'!E1236</f>
        <v>81.209999999999994</v>
      </c>
      <c r="F1235">
        <f>'raw data Crude oil'!F1236</f>
        <v>80.510000000000005</v>
      </c>
      <c r="G1235">
        <f>'raw data Crude oil'!G1236</f>
        <v>79.87</v>
      </c>
      <c r="H1235">
        <f>'raw data Crude oil'!H1236</f>
        <v>79.260000000000005</v>
      </c>
      <c r="I1235">
        <f>'raw data Crude oil'!I1236</f>
        <v>78.64</v>
      </c>
      <c r="J1235">
        <f>'raw data Crude oil'!J1236</f>
        <v>78.040000000000006</v>
      </c>
      <c r="K1235">
        <f>'raw data Crude oil'!K1236</f>
        <v>77.45</v>
      </c>
      <c r="L1235">
        <f>'raw data Crude oil'!L1236</f>
        <v>76.86</v>
      </c>
      <c r="M1235">
        <f>'raw data Crude oil'!M1236</f>
        <v>76.3</v>
      </c>
      <c r="N1235">
        <f>'raw data Crude oil'!N1236</f>
        <v>80.64</v>
      </c>
      <c r="O1235">
        <f>'raw data Crude oil'!O1236</f>
        <v>79.92</v>
      </c>
      <c r="P1235">
        <f>'raw data Crude oil'!P1236</f>
        <v>79.19</v>
      </c>
      <c r="Q1235">
        <f>'raw data Crude oil'!Q1236</f>
        <v>78.47</v>
      </c>
      <c r="R1235">
        <f>'raw data Crude oil'!R1236</f>
        <v>77.790000000000006</v>
      </c>
      <c r="S1235">
        <f>'raw data Crude oil'!S1236</f>
        <v>77.14</v>
      </c>
      <c r="T1235">
        <f>'raw data Crude oil'!T1236</f>
        <v>76.510000000000005</v>
      </c>
      <c r="U1235">
        <f>'raw data Crude oil'!U1236</f>
        <v>75.89</v>
      </c>
      <c r="V1235">
        <f>'raw data Crude oil'!V1236</f>
        <v>75.239999999999995</v>
      </c>
      <c r="W1235">
        <f>'raw data Crude oil'!W1236</f>
        <v>74.58</v>
      </c>
      <c r="X1235">
        <f>'raw data Crude oil'!X1236</f>
        <v>73.92</v>
      </c>
      <c r="Y1235">
        <f>'raw data Crude oil'!Y1236</f>
        <v>73.27</v>
      </c>
      <c r="Z1235">
        <f>'raw data Crude oil'!Z1236</f>
        <v>80.593999999999994</v>
      </c>
      <c r="AA1235">
        <f>'raw data Crude oil'!AA1236</f>
        <v>80.305000000000007</v>
      </c>
      <c r="AB1235">
        <f>'raw data Crude oil'!AB1236</f>
        <v>79.314999999999998</v>
      </c>
      <c r="AC1235">
        <f>'raw data Crude oil'!AC1236</f>
        <v>78.557000000000002</v>
      </c>
      <c r="AD1235">
        <f>'raw data Crude oil'!AD1236</f>
        <v>77.897999999999996</v>
      </c>
      <c r="AE1235">
        <f>'raw data Crude oil'!AE1236</f>
        <v>77.352999999999994</v>
      </c>
      <c r="AF1235">
        <f>'raw data Crude oil'!AF1236</f>
        <v>76.808999999999997</v>
      </c>
      <c r="AG1235">
        <f>'raw data Crude oil'!AG1236</f>
        <v>76.272999999999996</v>
      </c>
      <c r="AH1235">
        <f>'raw data Crude oil'!AH1236</f>
        <v>75.703000000000003</v>
      </c>
      <c r="AI1235">
        <f>'raw data Crude oil'!AI1236</f>
        <v>75.141999999999996</v>
      </c>
      <c r="AJ1235">
        <f>'raw data Crude oil'!AJ1236</f>
        <v>74.575999999999993</v>
      </c>
      <c r="AK1235">
        <f>'raw data Crude oil'!AK1236</f>
        <v>74.025000000000006</v>
      </c>
    </row>
    <row r="1236" spans="1:37" x14ac:dyDescent="0.3">
      <c r="A1236" s="18">
        <f>'raw data Crude oil'!A1237</f>
        <v>44482</v>
      </c>
      <c r="B1236">
        <f>'raw data Crude oil'!B1237</f>
        <v>83.18</v>
      </c>
      <c r="C1236">
        <f>'raw data Crude oil'!C1237</f>
        <v>82.56</v>
      </c>
      <c r="D1236">
        <f>'raw data Crude oil'!D1237</f>
        <v>81.83</v>
      </c>
      <c r="E1236">
        <f>'raw data Crude oil'!E1237</f>
        <v>81.099999999999994</v>
      </c>
      <c r="F1236">
        <f>'raw data Crude oil'!F1237</f>
        <v>80.430000000000007</v>
      </c>
      <c r="G1236">
        <f>'raw data Crude oil'!G1237</f>
        <v>79.81</v>
      </c>
      <c r="H1236">
        <f>'raw data Crude oil'!H1237</f>
        <v>79.22</v>
      </c>
      <c r="I1236">
        <f>'raw data Crude oil'!I1237</f>
        <v>78.62</v>
      </c>
      <c r="J1236">
        <f>'raw data Crude oil'!J1237</f>
        <v>78.040000000000006</v>
      </c>
      <c r="K1236">
        <f>'raw data Crude oil'!K1237</f>
        <v>77.47</v>
      </c>
      <c r="L1236">
        <f>'raw data Crude oil'!L1237</f>
        <v>76.89</v>
      </c>
      <c r="M1236">
        <f>'raw data Crude oil'!M1237</f>
        <v>76.349999999999994</v>
      </c>
      <c r="N1236">
        <f>'raw data Crude oil'!N1237</f>
        <v>80.44</v>
      </c>
      <c r="O1236">
        <f>'raw data Crude oil'!O1237</f>
        <v>79.819999999999993</v>
      </c>
      <c r="P1236">
        <f>'raw data Crude oil'!P1237</f>
        <v>79.12</v>
      </c>
      <c r="Q1236">
        <f>'raw data Crude oil'!Q1237</f>
        <v>78.38</v>
      </c>
      <c r="R1236">
        <f>'raw data Crude oil'!R1237</f>
        <v>77.709999999999994</v>
      </c>
      <c r="S1236">
        <f>'raw data Crude oil'!S1237</f>
        <v>77.069999999999993</v>
      </c>
      <c r="T1236">
        <f>'raw data Crude oil'!T1237</f>
        <v>76.459999999999994</v>
      </c>
      <c r="U1236">
        <f>'raw data Crude oil'!U1237</f>
        <v>75.86</v>
      </c>
      <c r="V1236">
        <f>'raw data Crude oil'!V1237</f>
        <v>75.23</v>
      </c>
      <c r="W1236">
        <f>'raw data Crude oil'!W1237</f>
        <v>74.58</v>
      </c>
      <c r="X1236">
        <f>'raw data Crude oil'!X1237</f>
        <v>73.94</v>
      </c>
      <c r="Y1236">
        <f>'raw data Crude oil'!Y1237</f>
        <v>73.3</v>
      </c>
      <c r="Z1236">
        <f>'raw data Crude oil'!Z1237</f>
        <v>80.552999999999997</v>
      </c>
      <c r="AA1236">
        <f>'raw data Crude oil'!AA1237</f>
        <v>80.146000000000001</v>
      </c>
      <c r="AB1236">
        <f>'raw data Crude oil'!AB1237</f>
        <v>79.156999999999996</v>
      </c>
      <c r="AC1236">
        <f>'raw data Crude oil'!AC1237</f>
        <v>78.396000000000001</v>
      </c>
      <c r="AD1236">
        <f>'raw data Crude oil'!AD1237</f>
        <v>77.756</v>
      </c>
      <c r="AE1236">
        <f>'raw data Crude oil'!AE1237</f>
        <v>77.233999999999995</v>
      </c>
      <c r="AF1236">
        <f>'raw data Crude oil'!AF1237</f>
        <v>76.721000000000004</v>
      </c>
      <c r="AG1236">
        <f>'raw data Crude oil'!AG1237</f>
        <v>76.204999999999998</v>
      </c>
      <c r="AH1236">
        <f>'raw data Crude oil'!AH1237</f>
        <v>75.674999999999997</v>
      </c>
      <c r="AI1236">
        <f>'raw data Crude oil'!AI1237</f>
        <v>75.122</v>
      </c>
      <c r="AJ1236">
        <f>'raw data Crude oil'!AJ1237</f>
        <v>74.576999999999998</v>
      </c>
      <c r="AK1236">
        <f>'raw data Crude oil'!AK1237</f>
        <v>74.034999999999997</v>
      </c>
    </row>
    <row r="1237" spans="1:37" x14ac:dyDescent="0.3">
      <c r="A1237" s="18">
        <f>'raw data Crude oil'!A1238</f>
        <v>44483</v>
      </c>
      <c r="B1237">
        <f>'raw data Crude oil'!B1238</f>
        <v>84</v>
      </c>
      <c r="C1237">
        <f>'raw data Crude oil'!C1238</f>
        <v>83.34</v>
      </c>
      <c r="D1237">
        <f>'raw data Crude oil'!D1238</f>
        <v>82.56</v>
      </c>
      <c r="E1237">
        <f>'raw data Crude oil'!E1238</f>
        <v>81.78</v>
      </c>
      <c r="F1237">
        <f>'raw data Crude oil'!F1238</f>
        <v>81.069999999999993</v>
      </c>
      <c r="G1237">
        <f>'raw data Crude oil'!G1238</f>
        <v>80.430000000000007</v>
      </c>
      <c r="H1237">
        <f>'raw data Crude oil'!H1238</f>
        <v>79.81</v>
      </c>
      <c r="I1237">
        <f>'raw data Crude oil'!I1238</f>
        <v>79.180000000000007</v>
      </c>
      <c r="J1237">
        <f>'raw data Crude oil'!J1238</f>
        <v>78.59</v>
      </c>
      <c r="K1237">
        <f>'raw data Crude oil'!K1238</f>
        <v>78</v>
      </c>
      <c r="L1237">
        <f>'raw data Crude oil'!L1238</f>
        <v>77.41</v>
      </c>
      <c r="M1237">
        <f>'raw data Crude oil'!M1238</f>
        <v>76.849999999999994</v>
      </c>
      <c r="N1237">
        <f>'raw data Crude oil'!N1238</f>
        <v>81.31</v>
      </c>
      <c r="O1237">
        <f>'raw data Crude oil'!O1238</f>
        <v>80.77</v>
      </c>
      <c r="P1237">
        <f>'raw data Crude oil'!P1238</f>
        <v>80.05</v>
      </c>
      <c r="Q1237">
        <f>'raw data Crude oil'!Q1238</f>
        <v>79.27</v>
      </c>
      <c r="R1237">
        <f>'raw data Crude oil'!R1238</f>
        <v>78.53</v>
      </c>
      <c r="S1237">
        <f>'raw data Crude oil'!S1238</f>
        <v>77.83</v>
      </c>
      <c r="T1237">
        <f>'raw data Crude oil'!T1238</f>
        <v>77.16</v>
      </c>
      <c r="U1237">
        <f>'raw data Crude oil'!U1238</f>
        <v>76.510000000000005</v>
      </c>
      <c r="V1237">
        <f>'raw data Crude oil'!V1238</f>
        <v>75.849999999999994</v>
      </c>
      <c r="W1237">
        <f>'raw data Crude oil'!W1238</f>
        <v>75.17</v>
      </c>
      <c r="X1237">
        <f>'raw data Crude oil'!X1238</f>
        <v>74.5</v>
      </c>
      <c r="Y1237">
        <f>'raw data Crude oil'!Y1238</f>
        <v>73.84</v>
      </c>
      <c r="Z1237">
        <f>'raw data Crude oil'!Z1238</f>
        <v>81.040999999999997</v>
      </c>
      <c r="AA1237">
        <f>'raw data Crude oil'!AA1238</f>
        <v>80.965000000000003</v>
      </c>
      <c r="AB1237">
        <f>'raw data Crude oil'!AB1238</f>
        <v>79.941999999999993</v>
      </c>
      <c r="AC1237">
        <f>'raw data Crude oil'!AC1238</f>
        <v>79.135999999999996</v>
      </c>
      <c r="AD1237">
        <f>'raw data Crude oil'!AD1238</f>
        <v>78.457999999999998</v>
      </c>
      <c r="AE1237">
        <f>'raw data Crude oil'!AE1238</f>
        <v>77.903000000000006</v>
      </c>
      <c r="AF1237">
        <f>'raw data Crude oil'!AF1238</f>
        <v>77.349000000000004</v>
      </c>
      <c r="AG1237">
        <f>'raw data Crude oil'!AG1238</f>
        <v>76.772999999999996</v>
      </c>
      <c r="AH1237">
        <f>'raw data Crude oil'!AH1238</f>
        <v>76.212999999999994</v>
      </c>
      <c r="AI1237">
        <f>'raw data Crude oil'!AI1238</f>
        <v>75.652000000000001</v>
      </c>
      <c r="AJ1237">
        <f>'raw data Crude oil'!AJ1238</f>
        <v>75.085999999999999</v>
      </c>
      <c r="AK1237">
        <f>'raw data Crude oil'!AK1238</f>
        <v>74.534999999999997</v>
      </c>
    </row>
    <row r="1238" spans="1:37" x14ac:dyDescent="0.3">
      <c r="A1238" s="18">
        <f>'raw data Crude oil'!A1239</f>
        <v>44484</v>
      </c>
      <c r="B1238">
        <f>'raw data Crude oil'!B1239</f>
        <v>84.86</v>
      </c>
      <c r="C1238">
        <f>'raw data Crude oil'!C1239</f>
        <v>84.15</v>
      </c>
      <c r="D1238">
        <f>'raw data Crude oil'!D1239</f>
        <v>83.3</v>
      </c>
      <c r="E1238">
        <f>'raw data Crude oil'!E1239</f>
        <v>82.47</v>
      </c>
      <c r="F1238">
        <f>'raw data Crude oil'!F1239</f>
        <v>81.709999999999994</v>
      </c>
      <c r="G1238">
        <f>'raw data Crude oil'!G1239</f>
        <v>81.010000000000005</v>
      </c>
      <c r="H1238">
        <f>'raw data Crude oil'!H1239</f>
        <v>80.34</v>
      </c>
      <c r="I1238">
        <f>'raw data Crude oil'!I1239</f>
        <v>79.680000000000007</v>
      </c>
      <c r="J1238">
        <f>'raw data Crude oil'!J1239</f>
        <v>79.040000000000006</v>
      </c>
      <c r="K1238">
        <f>'raw data Crude oil'!K1239</f>
        <v>78.400000000000006</v>
      </c>
      <c r="L1238">
        <f>'raw data Crude oil'!L1239</f>
        <v>77.77</v>
      </c>
      <c r="M1238">
        <f>'raw data Crude oil'!M1239</f>
        <v>77.17</v>
      </c>
      <c r="N1238">
        <f>'raw data Crude oil'!N1239</f>
        <v>82.28</v>
      </c>
      <c r="O1238">
        <f>'raw data Crude oil'!O1239</f>
        <v>81.73</v>
      </c>
      <c r="P1238">
        <f>'raw data Crude oil'!P1239</f>
        <v>80.88</v>
      </c>
      <c r="Q1238">
        <f>'raw data Crude oil'!Q1239</f>
        <v>79.97</v>
      </c>
      <c r="R1238">
        <f>'raw data Crude oil'!R1239</f>
        <v>79.13</v>
      </c>
      <c r="S1238">
        <f>'raw data Crude oil'!S1239</f>
        <v>78.349999999999994</v>
      </c>
      <c r="T1238">
        <f>'raw data Crude oil'!T1239</f>
        <v>77.63</v>
      </c>
      <c r="U1238">
        <f>'raw data Crude oil'!U1239</f>
        <v>76.930000000000007</v>
      </c>
      <c r="V1238">
        <f>'raw data Crude oil'!V1239</f>
        <v>76.22</v>
      </c>
      <c r="W1238">
        <f>'raw data Crude oil'!W1239</f>
        <v>75.5</v>
      </c>
      <c r="X1238">
        <f>'raw data Crude oil'!X1239</f>
        <v>74.790000000000006</v>
      </c>
      <c r="Y1238">
        <f>'raw data Crude oil'!Y1239</f>
        <v>74.09</v>
      </c>
      <c r="Z1238">
        <f>'raw data Crude oil'!Z1239</f>
        <v>81.516999999999996</v>
      </c>
      <c r="AA1238">
        <f>'raw data Crude oil'!AA1239</f>
        <v>81.870999999999995</v>
      </c>
      <c r="AB1238">
        <f>'raw data Crude oil'!AB1239</f>
        <v>80.787999999999997</v>
      </c>
      <c r="AC1238">
        <f>'raw data Crude oil'!AC1239</f>
        <v>79.903999999999996</v>
      </c>
      <c r="AD1238">
        <f>'raw data Crude oil'!AD1239</f>
        <v>79.185000000000002</v>
      </c>
      <c r="AE1238">
        <f>'raw data Crude oil'!AE1239</f>
        <v>78.590999999999994</v>
      </c>
      <c r="AF1238">
        <f>'raw data Crude oil'!AF1239</f>
        <v>77.997</v>
      </c>
      <c r="AG1238">
        <f>'raw data Crude oil'!AG1239</f>
        <v>77.340999999999994</v>
      </c>
      <c r="AH1238">
        <f>'raw data Crude oil'!AH1239</f>
        <v>76.710999999999999</v>
      </c>
      <c r="AI1238">
        <f>'raw data Crude oil'!AI1239</f>
        <v>76.08</v>
      </c>
      <c r="AJ1238">
        <f>'raw data Crude oil'!AJ1239</f>
        <v>75.463999999999999</v>
      </c>
      <c r="AK1238">
        <f>'raw data Crude oil'!AK1239</f>
        <v>74.873000000000005</v>
      </c>
    </row>
    <row r="1239" spans="1:37" x14ac:dyDescent="0.3">
      <c r="A1239" s="18">
        <f>'raw data Crude oil'!A1240</f>
        <v>44487</v>
      </c>
      <c r="B1239">
        <f>'raw data Crude oil'!B1240</f>
        <v>84.33</v>
      </c>
      <c r="C1239">
        <f>'raw data Crude oil'!C1240</f>
        <v>83.66</v>
      </c>
      <c r="D1239">
        <f>'raw data Crude oil'!D1240</f>
        <v>82.84</v>
      </c>
      <c r="E1239">
        <f>'raw data Crude oil'!E1240</f>
        <v>82.03</v>
      </c>
      <c r="F1239">
        <f>'raw data Crude oil'!F1240</f>
        <v>81.28</v>
      </c>
      <c r="G1239">
        <f>'raw data Crude oil'!G1240</f>
        <v>80.569999999999993</v>
      </c>
      <c r="H1239">
        <f>'raw data Crude oil'!H1240</f>
        <v>79.89</v>
      </c>
      <c r="I1239">
        <f>'raw data Crude oil'!I1240</f>
        <v>79.209999999999994</v>
      </c>
      <c r="J1239">
        <f>'raw data Crude oil'!J1240</f>
        <v>78.569999999999993</v>
      </c>
      <c r="K1239">
        <f>'raw data Crude oil'!K1240</f>
        <v>77.930000000000007</v>
      </c>
      <c r="L1239">
        <f>'raw data Crude oil'!L1240</f>
        <v>77.3</v>
      </c>
      <c r="M1239">
        <f>'raw data Crude oil'!M1240</f>
        <v>76.69</v>
      </c>
      <c r="N1239">
        <f>'raw data Crude oil'!N1240</f>
        <v>82.44</v>
      </c>
      <c r="O1239">
        <f>'raw data Crude oil'!O1240</f>
        <v>81.69</v>
      </c>
      <c r="P1239">
        <f>'raw data Crude oil'!P1240</f>
        <v>80.739999999999995</v>
      </c>
      <c r="Q1239">
        <f>'raw data Crude oil'!Q1240</f>
        <v>79.760000000000005</v>
      </c>
      <c r="R1239">
        <f>'raw data Crude oil'!R1240</f>
        <v>78.86</v>
      </c>
      <c r="S1239">
        <f>'raw data Crude oil'!S1240</f>
        <v>78.05</v>
      </c>
      <c r="T1239">
        <f>'raw data Crude oil'!T1240</f>
        <v>77.31</v>
      </c>
      <c r="U1239">
        <f>'raw data Crude oil'!U1240</f>
        <v>76.61</v>
      </c>
      <c r="V1239">
        <f>'raw data Crude oil'!V1240</f>
        <v>75.88</v>
      </c>
      <c r="W1239">
        <f>'raw data Crude oil'!W1240</f>
        <v>75.150000000000006</v>
      </c>
      <c r="X1239">
        <f>'raw data Crude oil'!X1240</f>
        <v>74.45</v>
      </c>
      <c r="Y1239">
        <f>'raw data Crude oil'!Y1240</f>
        <v>73.75</v>
      </c>
      <c r="Z1239">
        <f>'raw data Crude oil'!Z1240</f>
        <v>81.316000000000003</v>
      </c>
      <c r="AA1239">
        <f>'raw data Crude oil'!AA1240</f>
        <v>81.302999999999997</v>
      </c>
      <c r="AB1239">
        <f>'raw data Crude oil'!AB1240</f>
        <v>80.260000000000005</v>
      </c>
      <c r="AC1239">
        <f>'raw data Crude oil'!AC1240</f>
        <v>79.414000000000001</v>
      </c>
      <c r="AD1239">
        <f>'raw data Crude oil'!AD1240</f>
        <v>78.715000000000003</v>
      </c>
      <c r="AE1239">
        <f>'raw data Crude oil'!AE1240</f>
        <v>78.11</v>
      </c>
      <c r="AF1239">
        <f>'raw data Crude oil'!AF1240</f>
        <v>77.495999999999995</v>
      </c>
      <c r="AG1239">
        <f>'raw data Crude oil'!AG1240</f>
        <v>76.861000000000004</v>
      </c>
      <c r="AH1239">
        <f>'raw data Crude oil'!AH1240</f>
        <v>76.230999999999995</v>
      </c>
      <c r="AI1239">
        <f>'raw data Crude oil'!AI1240</f>
        <v>75.61</v>
      </c>
      <c r="AJ1239">
        <f>'raw data Crude oil'!AJ1240</f>
        <v>74.992999999999995</v>
      </c>
      <c r="AK1239">
        <f>'raw data Crude oil'!AK1240</f>
        <v>74.393000000000001</v>
      </c>
    </row>
    <row r="1240" spans="1:37" x14ac:dyDescent="0.3">
      <c r="A1240" s="18">
        <f>'raw data Crude oil'!A1241</f>
        <v>44488</v>
      </c>
      <c r="B1240">
        <f>'raw data Crude oil'!B1241</f>
        <v>85.08</v>
      </c>
      <c r="C1240">
        <f>'raw data Crude oil'!C1241</f>
        <v>84.36</v>
      </c>
      <c r="D1240">
        <f>'raw data Crude oil'!D1241</f>
        <v>83.49</v>
      </c>
      <c r="E1240">
        <f>'raw data Crude oil'!E1241</f>
        <v>82.65</v>
      </c>
      <c r="F1240">
        <f>'raw data Crude oil'!F1241</f>
        <v>81.87</v>
      </c>
      <c r="G1240">
        <f>'raw data Crude oil'!G1241</f>
        <v>81.13</v>
      </c>
      <c r="H1240">
        <f>'raw data Crude oil'!H1241</f>
        <v>80.42</v>
      </c>
      <c r="I1240">
        <f>'raw data Crude oil'!I1241</f>
        <v>79.72</v>
      </c>
      <c r="J1240">
        <f>'raw data Crude oil'!J1241</f>
        <v>79.06</v>
      </c>
      <c r="K1240">
        <f>'raw data Crude oil'!K1241</f>
        <v>78.39</v>
      </c>
      <c r="L1240">
        <f>'raw data Crude oil'!L1241</f>
        <v>77.739999999999995</v>
      </c>
      <c r="M1240">
        <f>'raw data Crude oil'!M1241</f>
        <v>77.11</v>
      </c>
      <c r="N1240">
        <f>'raw data Crude oil'!N1241</f>
        <v>82.96</v>
      </c>
      <c r="O1240">
        <f>'raw data Crude oil'!O1241</f>
        <v>82.44</v>
      </c>
      <c r="P1240">
        <f>'raw data Crude oil'!P1241</f>
        <v>81.5</v>
      </c>
      <c r="Q1240">
        <f>'raw data Crude oil'!Q1241</f>
        <v>80.45</v>
      </c>
      <c r="R1240">
        <f>'raw data Crude oil'!R1241</f>
        <v>79.459999999999994</v>
      </c>
      <c r="S1240">
        <f>'raw data Crude oil'!S1241</f>
        <v>78.569999999999993</v>
      </c>
      <c r="T1240">
        <f>'raw data Crude oil'!T1241</f>
        <v>77.77</v>
      </c>
      <c r="U1240">
        <f>'raw data Crude oil'!U1241</f>
        <v>77.02</v>
      </c>
      <c r="V1240">
        <f>'raw data Crude oil'!V1241</f>
        <v>76.260000000000005</v>
      </c>
      <c r="W1240">
        <f>'raw data Crude oil'!W1241</f>
        <v>75.510000000000005</v>
      </c>
      <c r="X1240">
        <f>'raw data Crude oil'!X1241</f>
        <v>74.790000000000006</v>
      </c>
      <c r="Y1240">
        <f>'raw data Crude oil'!Y1241</f>
        <v>74.069999999999993</v>
      </c>
      <c r="Z1240">
        <f>'raw data Crude oil'!Z1241</f>
        <v>81.593999999999994</v>
      </c>
      <c r="AA1240">
        <f>'raw data Crude oil'!AA1241</f>
        <v>81.960999999999999</v>
      </c>
      <c r="AB1240">
        <f>'raw data Crude oil'!AB1241</f>
        <v>80.897000000000006</v>
      </c>
      <c r="AC1240">
        <f>'raw data Crude oil'!AC1241</f>
        <v>80.022999999999996</v>
      </c>
      <c r="AD1240">
        <f>'raw data Crude oil'!AD1241</f>
        <v>79.298000000000002</v>
      </c>
      <c r="AE1240">
        <f>'raw data Crude oil'!AE1241</f>
        <v>78.649000000000001</v>
      </c>
      <c r="AF1240">
        <f>'raw data Crude oil'!AF1241</f>
        <v>78.031000000000006</v>
      </c>
      <c r="AG1240">
        <f>'raw data Crude oil'!AG1241</f>
        <v>77.38</v>
      </c>
      <c r="AH1240">
        <f>'raw data Crude oil'!AH1241</f>
        <v>76.72</v>
      </c>
      <c r="AI1240">
        <f>'raw data Crude oil'!AI1241</f>
        <v>76.069000000000003</v>
      </c>
      <c r="AJ1240">
        <f>'raw data Crude oil'!AJ1241</f>
        <v>75.433000000000007</v>
      </c>
      <c r="AK1240">
        <f>'raw data Crude oil'!AK1241</f>
        <v>74.811999999999998</v>
      </c>
    </row>
    <row r="1241" spans="1:37" x14ac:dyDescent="0.3">
      <c r="A1241" s="18">
        <f>'raw data Crude oil'!A1242</f>
        <v>44489</v>
      </c>
      <c r="B1241">
        <f>'raw data Crude oil'!B1242</f>
        <v>85.82</v>
      </c>
      <c r="C1241">
        <f>'raw data Crude oil'!C1242</f>
        <v>85.15</v>
      </c>
      <c r="D1241">
        <f>'raw data Crude oil'!D1242</f>
        <v>84.28</v>
      </c>
      <c r="E1241">
        <f>'raw data Crude oil'!E1242</f>
        <v>83.44</v>
      </c>
      <c r="F1241">
        <f>'raw data Crude oil'!F1242</f>
        <v>82.66</v>
      </c>
      <c r="G1241">
        <f>'raw data Crude oil'!G1242</f>
        <v>81.93</v>
      </c>
      <c r="H1241">
        <f>'raw data Crude oil'!H1242</f>
        <v>81.22</v>
      </c>
      <c r="I1241">
        <f>'raw data Crude oil'!I1242</f>
        <v>80.53</v>
      </c>
      <c r="J1241">
        <f>'raw data Crude oil'!J1242</f>
        <v>79.86</v>
      </c>
      <c r="K1241">
        <f>'raw data Crude oil'!K1242</f>
        <v>79.19</v>
      </c>
      <c r="L1241">
        <f>'raw data Crude oil'!L1242</f>
        <v>78.540000000000006</v>
      </c>
      <c r="M1241">
        <f>'raw data Crude oil'!M1242</f>
        <v>77.91</v>
      </c>
      <c r="N1241">
        <f>'raw data Crude oil'!N1242</f>
        <v>83.87</v>
      </c>
      <c r="O1241">
        <f>'raw data Crude oil'!O1242</f>
        <v>83.42</v>
      </c>
      <c r="P1241">
        <f>'raw data Crude oil'!P1242</f>
        <v>82.38</v>
      </c>
      <c r="Q1241">
        <f>'raw data Crude oil'!Q1242</f>
        <v>81.290000000000006</v>
      </c>
      <c r="R1241">
        <f>'raw data Crude oil'!R1242</f>
        <v>80.3</v>
      </c>
      <c r="S1241">
        <f>'raw data Crude oil'!S1242</f>
        <v>79.400000000000006</v>
      </c>
      <c r="T1241">
        <f>'raw data Crude oil'!T1242</f>
        <v>78.58</v>
      </c>
      <c r="U1241">
        <f>'raw data Crude oil'!U1242</f>
        <v>77.83</v>
      </c>
      <c r="V1241">
        <f>'raw data Crude oil'!V1242</f>
        <v>77.069999999999993</v>
      </c>
      <c r="W1241">
        <f>'raw data Crude oil'!W1242</f>
        <v>76.319999999999993</v>
      </c>
      <c r="X1241">
        <f>'raw data Crude oil'!X1242</f>
        <v>75.59</v>
      </c>
      <c r="Y1241">
        <f>'raw data Crude oil'!Y1242</f>
        <v>74.88</v>
      </c>
      <c r="Z1241">
        <f>'raw data Crude oil'!Z1242</f>
        <v>81.849000000000004</v>
      </c>
      <c r="AA1241">
        <f>'raw data Crude oil'!AA1242</f>
        <v>82.7</v>
      </c>
      <c r="AB1241">
        <f>'raw data Crude oil'!AB1242</f>
        <v>81.647000000000006</v>
      </c>
      <c r="AC1241">
        <f>'raw data Crude oil'!AC1242</f>
        <v>80.763000000000005</v>
      </c>
      <c r="AD1241">
        <f>'raw data Crude oil'!AD1242</f>
        <v>80.043999999999997</v>
      </c>
      <c r="AE1241">
        <f>'raw data Crude oil'!AE1242</f>
        <v>79.399000000000001</v>
      </c>
      <c r="AF1241">
        <f>'raw data Crude oil'!AF1242</f>
        <v>78.796000000000006</v>
      </c>
      <c r="AG1241">
        <f>'raw data Crude oil'!AG1242</f>
        <v>78.150000000000006</v>
      </c>
      <c r="AH1241">
        <f>'raw data Crude oil'!AH1242</f>
        <v>77.510000000000005</v>
      </c>
      <c r="AI1241">
        <f>'raw data Crude oil'!AI1242</f>
        <v>76.869</v>
      </c>
      <c r="AJ1241">
        <f>'raw data Crude oil'!AJ1242</f>
        <v>76.233000000000004</v>
      </c>
      <c r="AK1241">
        <f>'raw data Crude oil'!AK1242</f>
        <v>75.613</v>
      </c>
    </row>
    <row r="1242" spans="1:37" x14ac:dyDescent="0.3">
      <c r="A1242" s="18">
        <f>'raw data Crude oil'!A1243</f>
        <v>44490</v>
      </c>
      <c r="B1242">
        <f>'raw data Crude oil'!B1243</f>
        <v>84.61</v>
      </c>
      <c r="C1242">
        <f>'raw data Crude oil'!C1243</f>
        <v>83.93</v>
      </c>
      <c r="D1242">
        <f>'raw data Crude oil'!D1243</f>
        <v>83.03</v>
      </c>
      <c r="E1242">
        <f>'raw data Crude oil'!E1243</f>
        <v>82.16</v>
      </c>
      <c r="F1242">
        <f>'raw data Crude oil'!F1243</f>
        <v>81.37</v>
      </c>
      <c r="G1242">
        <f>'raw data Crude oil'!G1243</f>
        <v>80.63</v>
      </c>
      <c r="H1242">
        <f>'raw data Crude oil'!H1243</f>
        <v>79.91</v>
      </c>
      <c r="I1242">
        <f>'raw data Crude oil'!I1243</f>
        <v>79.22</v>
      </c>
      <c r="J1242">
        <f>'raw data Crude oil'!J1243</f>
        <v>78.56</v>
      </c>
      <c r="K1242">
        <f>'raw data Crude oil'!K1243</f>
        <v>77.89</v>
      </c>
      <c r="L1242">
        <f>'raw data Crude oil'!L1243</f>
        <v>77.25</v>
      </c>
      <c r="M1242">
        <f>'raw data Crude oil'!M1243</f>
        <v>76.64</v>
      </c>
      <c r="N1242">
        <f>'raw data Crude oil'!N1243</f>
        <v>82.5</v>
      </c>
      <c r="O1242">
        <f>'raw data Crude oil'!O1243</f>
        <v>81.36</v>
      </c>
      <c r="P1242">
        <f>'raw data Crude oil'!P1243</f>
        <v>80.13</v>
      </c>
      <c r="Q1242">
        <f>'raw data Crude oil'!Q1243</f>
        <v>79.02</v>
      </c>
      <c r="R1242">
        <f>'raw data Crude oil'!R1243</f>
        <v>78.040000000000006</v>
      </c>
      <c r="S1242">
        <f>'raw data Crude oil'!S1243</f>
        <v>77.180000000000007</v>
      </c>
      <c r="T1242">
        <f>'raw data Crude oil'!T1243</f>
        <v>76.38</v>
      </c>
      <c r="U1242">
        <f>'raw data Crude oil'!U1243</f>
        <v>75.599999999999994</v>
      </c>
      <c r="V1242">
        <f>'raw data Crude oil'!V1243</f>
        <v>74.849999999999994</v>
      </c>
      <c r="W1242">
        <f>'raw data Crude oil'!W1243</f>
        <v>74.14</v>
      </c>
      <c r="X1242">
        <f>'raw data Crude oil'!X1243</f>
        <v>73.45</v>
      </c>
      <c r="Y1242">
        <f>'raw data Crude oil'!Y1243</f>
        <v>72.8</v>
      </c>
      <c r="Z1242">
        <f>'raw data Crude oil'!Z1243</f>
        <v>81.453999999999994</v>
      </c>
      <c r="AA1242">
        <f>'raw data Crude oil'!AA1243</f>
        <v>81.468999999999994</v>
      </c>
      <c r="AB1242">
        <f>'raw data Crude oil'!AB1243</f>
        <v>80.403999999999996</v>
      </c>
      <c r="AC1242">
        <f>'raw data Crude oil'!AC1243</f>
        <v>79.501999999999995</v>
      </c>
      <c r="AD1242">
        <f>'raw data Crude oil'!AD1243</f>
        <v>78.772999999999996</v>
      </c>
      <c r="AE1242">
        <f>'raw data Crude oil'!AE1243</f>
        <v>78.149000000000001</v>
      </c>
      <c r="AF1242">
        <f>'raw data Crude oil'!AF1243</f>
        <v>77.525999999999996</v>
      </c>
      <c r="AG1242">
        <f>'raw data Crude oil'!AG1243</f>
        <v>76.89</v>
      </c>
      <c r="AH1242">
        <f>'raw data Crude oil'!AH1243</f>
        <v>76.23</v>
      </c>
      <c r="AI1242">
        <f>'raw data Crude oil'!AI1243</f>
        <v>75.569999999999993</v>
      </c>
      <c r="AJ1242">
        <f>'raw data Crude oil'!AJ1243</f>
        <v>74.912999999999997</v>
      </c>
      <c r="AK1242">
        <f>'raw data Crude oil'!AK1243</f>
        <v>74.311999999999998</v>
      </c>
    </row>
    <row r="1243" spans="1:37" x14ac:dyDescent="0.3">
      <c r="A1243" s="18">
        <f>'raw data Crude oil'!A1244</f>
        <v>44491</v>
      </c>
      <c r="B1243">
        <f>'raw data Crude oil'!B1244</f>
        <v>85.53</v>
      </c>
      <c r="C1243">
        <f>'raw data Crude oil'!C1244</f>
        <v>84.64</v>
      </c>
      <c r="D1243">
        <f>'raw data Crude oil'!D1244</f>
        <v>83.57</v>
      </c>
      <c r="E1243">
        <f>'raw data Crude oil'!E1244</f>
        <v>82.59</v>
      </c>
      <c r="F1243">
        <f>'raw data Crude oil'!F1244</f>
        <v>81.69</v>
      </c>
      <c r="G1243">
        <f>'raw data Crude oil'!G1244</f>
        <v>80.87</v>
      </c>
      <c r="H1243">
        <f>'raw data Crude oil'!H1244</f>
        <v>80.09</v>
      </c>
      <c r="I1243">
        <f>'raw data Crude oil'!I1244</f>
        <v>79.33</v>
      </c>
      <c r="J1243">
        <f>'raw data Crude oil'!J1244</f>
        <v>78.63</v>
      </c>
      <c r="K1243">
        <f>'raw data Crude oil'!K1244</f>
        <v>77.930000000000007</v>
      </c>
      <c r="L1243">
        <f>'raw data Crude oil'!L1244</f>
        <v>77.260000000000005</v>
      </c>
      <c r="M1243">
        <f>'raw data Crude oil'!M1244</f>
        <v>76.62</v>
      </c>
      <c r="N1243">
        <f>'raw data Crude oil'!N1244</f>
        <v>83.76</v>
      </c>
      <c r="O1243">
        <f>'raw data Crude oil'!O1244</f>
        <v>82.5</v>
      </c>
      <c r="P1243">
        <f>'raw data Crude oil'!P1244</f>
        <v>80.98</v>
      </c>
      <c r="Q1243">
        <f>'raw data Crude oil'!Q1244</f>
        <v>79.62</v>
      </c>
      <c r="R1243">
        <f>'raw data Crude oil'!R1244</f>
        <v>78.42</v>
      </c>
      <c r="S1243">
        <f>'raw data Crude oil'!S1244</f>
        <v>77.37</v>
      </c>
      <c r="T1243">
        <f>'raw data Crude oil'!T1244</f>
        <v>76.44</v>
      </c>
      <c r="U1243">
        <f>'raw data Crude oil'!U1244</f>
        <v>75.58</v>
      </c>
      <c r="V1243">
        <f>'raw data Crude oil'!V1244</f>
        <v>74.77</v>
      </c>
      <c r="W1243">
        <f>'raw data Crude oil'!W1244</f>
        <v>74.03</v>
      </c>
      <c r="X1243">
        <f>'raw data Crude oil'!X1244</f>
        <v>73.33</v>
      </c>
      <c r="Y1243">
        <f>'raw data Crude oil'!Y1244</f>
        <v>72.67</v>
      </c>
      <c r="Z1243">
        <f>'raw data Crude oil'!Z1244</f>
        <v>81.596999999999994</v>
      </c>
      <c r="AA1243">
        <f>'raw data Crude oil'!AA1244</f>
        <v>82.120999999999995</v>
      </c>
      <c r="AB1243">
        <f>'raw data Crude oil'!AB1244</f>
        <v>80.954999999999998</v>
      </c>
      <c r="AC1243">
        <f>'raw data Crude oil'!AC1244</f>
        <v>79.948999999999998</v>
      </c>
      <c r="AD1243">
        <f>'raw data Crude oil'!AD1244</f>
        <v>79.111000000000004</v>
      </c>
      <c r="AE1243">
        <f>'raw data Crude oil'!AE1244</f>
        <v>78.375</v>
      </c>
      <c r="AF1243">
        <f>'raw data Crude oil'!AF1244</f>
        <v>77.691999999999993</v>
      </c>
      <c r="AG1243">
        <f>'raw data Crude oil'!AG1244</f>
        <v>76.968000000000004</v>
      </c>
      <c r="AH1243">
        <f>'raw data Crude oil'!AH1244</f>
        <v>76.268000000000001</v>
      </c>
      <c r="AI1243">
        <f>'raw data Crude oil'!AI1244</f>
        <v>75.587999999999994</v>
      </c>
      <c r="AJ1243">
        <f>'raw data Crude oil'!AJ1244</f>
        <v>74.902000000000001</v>
      </c>
      <c r="AK1243">
        <f>'raw data Crude oil'!AK1244</f>
        <v>74.281999999999996</v>
      </c>
    </row>
    <row r="1244" spans="1:37" x14ac:dyDescent="0.3">
      <c r="A1244" s="18">
        <f>'raw data Crude oil'!A1245</f>
        <v>44494</v>
      </c>
      <c r="B1244">
        <f>'raw data Crude oil'!B1245</f>
        <v>85.99</v>
      </c>
      <c r="C1244">
        <f>'raw data Crude oil'!C1245</f>
        <v>85.17</v>
      </c>
      <c r="D1244">
        <f>'raw data Crude oil'!D1245</f>
        <v>84.09</v>
      </c>
      <c r="E1244">
        <f>'raw data Crude oil'!E1245</f>
        <v>83.08</v>
      </c>
      <c r="F1244">
        <f>'raw data Crude oil'!F1245</f>
        <v>82.17</v>
      </c>
      <c r="G1244">
        <f>'raw data Crude oil'!G1245</f>
        <v>81.349999999999994</v>
      </c>
      <c r="H1244">
        <f>'raw data Crude oil'!H1245</f>
        <v>80.58</v>
      </c>
      <c r="I1244">
        <f>'raw data Crude oil'!I1245</f>
        <v>79.83</v>
      </c>
      <c r="J1244">
        <f>'raw data Crude oil'!J1245</f>
        <v>79.150000000000006</v>
      </c>
      <c r="K1244">
        <f>'raw data Crude oil'!K1245</f>
        <v>78.47</v>
      </c>
      <c r="L1244">
        <f>'raw data Crude oil'!L1245</f>
        <v>77.83</v>
      </c>
      <c r="M1244">
        <f>'raw data Crude oil'!M1245</f>
        <v>77.2</v>
      </c>
      <c r="N1244">
        <f>'raw data Crude oil'!N1245</f>
        <v>83.76</v>
      </c>
      <c r="O1244">
        <f>'raw data Crude oil'!O1245</f>
        <v>82.61</v>
      </c>
      <c r="P1244">
        <f>'raw data Crude oil'!P1245</f>
        <v>81.209999999999994</v>
      </c>
      <c r="Q1244">
        <f>'raw data Crude oil'!Q1245</f>
        <v>79.95</v>
      </c>
      <c r="R1244">
        <f>'raw data Crude oil'!R1245</f>
        <v>78.819999999999993</v>
      </c>
      <c r="S1244">
        <f>'raw data Crude oil'!S1245</f>
        <v>77.83</v>
      </c>
      <c r="T1244">
        <f>'raw data Crude oil'!T1245</f>
        <v>76.95</v>
      </c>
      <c r="U1244">
        <f>'raw data Crude oil'!U1245</f>
        <v>76.12</v>
      </c>
      <c r="V1244">
        <f>'raw data Crude oil'!V1245</f>
        <v>75.349999999999994</v>
      </c>
      <c r="W1244">
        <f>'raw data Crude oil'!W1245</f>
        <v>74.64</v>
      </c>
      <c r="X1244">
        <f>'raw data Crude oil'!X1245</f>
        <v>73.959999999999994</v>
      </c>
      <c r="Y1244">
        <f>'raw data Crude oil'!Y1245</f>
        <v>73.33</v>
      </c>
      <c r="Z1244">
        <f>'raw data Crude oil'!Z1245</f>
        <v>81.778999999999996</v>
      </c>
      <c r="AA1244">
        <f>'raw data Crude oil'!AA1245</f>
        <v>82.760999999999996</v>
      </c>
      <c r="AB1244">
        <f>'raw data Crude oil'!AB1245</f>
        <v>81.451999999999998</v>
      </c>
      <c r="AC1244">
        <f>'raw data Crude oil'!AC1245</f>
        <v>80.406999999999996</v>
      </c>
      <c r="AD1244">
        <f>'raw data Crude oil'!AD1245</f>
        <v>79.549000000000007</v>
      </c>
      <c r="AE1244">
        <f>'raw data Crude oil'!AE1245</f>
        <v>78.807000000000002</v>
      </c>
      <c r="AF1244">
        <f>'raw data Crude oil'!AF1245</f>
        <v>78.102999999999994</v>
      </c>
      <c r="AG1244">
        <f>'raw data Crude oil'!AG1245</f>
        <v>77.409000000000006</v>
      </c>
      <c r="AH1244">
        <f>'raw data Crude oil'!AH1245</f>
        <v>76.728999999999999</v>
      </c>
      <c r="AI1244">
        <f>'raw data Crude oil'!AI1245</f>
        <v>76.069999999999993</v>
      </c>
      <c r="AJ1244">
        <f>'raw data Crude oil'!AJ1245</f>
        <v>75.442999999999998</v>
      </c>
      <c r="AK1244">
        <f>'raw data Crude oil'!AK1245</f>
        <v>74.822999999999993</v>
      </c>
    </row>
    <row r="1245" spans="1:37" x14ac:dyDescent="0.3">
      <c r="A1245" s="18">
        <f>'raw data Crude oil'!A1246</f>
        <v>44495</v>
      </c>
      <c r="B1245">
        <f>'raw data Crude oil'!B1246</f>
        <v>86.4</v>
      </c>
      <c r="C1245">
        <f>'raw data Crude oil'!C1246</f>
        <v>85.65</v>
      </c>
      <c r="D1245">
        <f>'raw data Crude oil'!D1246</f>
        <v>84.52</v>
      </c>
      <c r="E1245">
        <f>'raw data Crude oil'!E1246</f>
        <v>83.46</v>
      </c>
      <c r="F1245">
        <f>'raw data Crude oil'!F1246</f>
        <v>82.52</v>
      </c>
      <c r="G1245">
        <f>'raw data Crude oil'!G1246</f>
        <v>81.67</v>
      </c>
      <c r="H1245">
        <f>'raw data Crude oil'!H1246</f>
        <v>80.87</v>
      </c>
      <c r="I1245">
        <f>'raw data Crude oil'!I1246</f>
        <v>80.09</v>
      </c>
      <c r="J1245">
        <f>'raw data Crude oil'!J1246</f>
        <v>79.38</v>
      </c>
      <c r="K1245">
        <f>'raw data Crude oil'!K1246</f>
        <v>78.680000000000007</v>
      </c>
      <c r="L1245">
        <f>'raw data Crude oil'!L1246</f>
        <v>78.02</v>
      </c>
      <c r="M1245">
        <f>'raw data Crude oil'!M1246</f>
        <v>77.39</v>
      </c>
      <c r="N1245">
        <f>'raw data Crude oil'!N1246</f>
        <v>84.65</v>
      </c>
      <c r="O1245">
        <f>'raw data Crude oil'!O1246</f>
        <v>83.36</v>
      </c>
      <c r="P1245">
        <f>'raw data Crude oil'!P1246</f>
        <v>81.89</v>
      </c>
      <c r="Q1245">
        <f>'raw data Crude oil'!Q1246</f>
        <v>80.56</v>
      </c>
      <c r="R1245">
        <f>'raw data Crude oil'!R1246</f>
        <v>79.39</v>
      </c>
      <c r="S1245">
        <f>'raw data Crude oil'!S1246</f>
        <v>78.36</v>
      </c>
      <c r="T1245">
        <f>'raw data Crude oil'!T1246</f>
        <v>77.42</v>
      </c>
      <c r="U1245">
        <f>'raw data Crude oil'!U1246</f>
        <v>76.569999999999993</v>
      </c>
      <c r="V1245">
        <f>'raw data Crude oil'!V1246</f>
        <v>75.77</v>
      </c>
      <c r="W1245">
        <f>'raw data Crude oil'!W1246</f>
        <v>75.03</v>
      </c>
      <c r="X1245">
        <f>'raw data Crude oil'!X1246</f>
        <v>74.34</v>
      </c>
      <c r="Y1245">
        <f>'raw data Crude oil'!Y1246</f>
        <v>73.69</v>
      </c>
      <c r="Z1245">
        <f>'raw data Crude oil'!Z1246</f>
        <v>81.84</v>
      </c>
      <c r="AA1245">
        <f>'raw data Crude oil'!AA1246</f>
        <v>83.188999999999993</v>
      </c>
      <c r="AB1245">
        <f>'raw data Crude oil'!AB1246</f>
        <v>81.847999999999999</v>
      </c>
      <c r="AC1245">
        <f>'raw data Crude oil'!AC1246</f>
        <v>80.784999999999997</v>
      </c>
      <c r="AD1245">
        <f>'raw data Crude oil'!AD1246</f>
        <v>79.906999999999996</v>
      </c>
      <c r="AE1245">
        <f>'raw data Crude oil'!AE1246</f>
        <v>79.123999999999995</v>
      </c>
      <c r="AF1245">
        <f>'raw data Crude oil'!AF1246</f>
        <v>78.391000000000005</v>
      </c>
      <c r="AG1245">
        <f>'raw data Crude oil'!AG1246</f>
        <v>77.677999999999997</v>
      </c>
      <c r="AH1245">
        <f>'raw data Crude oil'!AH1246</f>
        <v>76.968000000000004</v>
      </c>
      <c r="AI1245">
        <f>'raw data Crude oil'!AI1246</f>
        <v>76.278999999999996</v>
      </c>
      <c r="AJ1245">
        <f>'raw data Crude oil'!AJ1246</f>
        <v>75.632999999999996</v>
      </c>
      <c r="AK1245">
        <f>'raw data Crude oil'!AK1246</f>
        <v>75.013000000000005</v>
      </c>
    </row>
    <row r="1246" spans="1:37" x14ac:dyDescent="0.3">
      <c r="A1246" s="18">
        <f>'raw data Crude oil'!A1247</f>
        <v>44496</v>
      </c>
      <c r="B1246">
        <f>'raw data Crude oil'!B1247</f>
        <v>84.58</v>
      </c>
      <c r="C1246">
        <f>'raw data Crude oil'!C1247</f>
        <v>83.87</v>
      </c>
      <c r="D1246">
        <f>'raw data Crude oil'!D1247</f>
        <v>82.76</v>
      </c>
      <c r="E1246">
        <f>'raw data Crude oil'!E1247</f>
        <v>81.739999999999995</v>
      </c>
      <c r="F1246">
        <f>'raw data Crude oil'!F1247</f>
        <v>80.849999999999994</v>
      </c>
      <c r="G1246">
        <f>'raw data Crude oil'!G1247</f>
        <v>80.069999999999993</v>
      </c>
      <c r="H1246">
        <f>'raw data Crude oil'!H1247</f>
        <v>79.319999999999993</v>
      </c>
      <c r="I1246">
        <f>'raw data Crude oil'!I1247</f>
        <v>78.59</v>
      </c>
      <c r="J1246">
        <f>'raw data Crude oil'!J1247</f>
        <v>77.94</v>
      </c>
      <c r="K1246">
        <f>'raw data Crude oil'!K1247</f>
        <v>77.3</v>
      </c>
      <c r="L1246">
        <f>'raw data Crude oil'!L1247</f>
        <v>76.69</v>
      </c>
      <c r="M1246">
        <f>'raw data Crude oil'!M1247</f>
        <v>76.12</v>
      </c>
      <c r="N1246">
        <f>'raw data Crude oil'!N1247</f>
        <v>82.66</v>
      </c>
      <c r="O1246">
        <f>'raw data Crude oil'!O1247</f>
        <v>81.48</v>
      </c>
      <c r="P1246">
        <f>'raw data Crude oil'!P1247</f>
        <v>80.09</v>
      </c>
      <c r="Q1246">
        <f>'raw data Crude oil'!Q1247</f>
        <v>78.84</v>
      </c>
      <c r="R1246">
        <f>'raw data Crude oil'!R1247</f>
        <v>77.75</v>
      </c>
      <c r="S1246">
        <f>'raw data Crude oil'!S1247</f>
        <v>76.790000000000006</v>
      </c>
      <c r="T1246">
        <f>'raw data Crude oil'!T1247</f>
        <v>75.92</v>
      </c>
      <c r="U1246">
        <f>'raw data Crude oil'!U1247</f>
        <v>75.11</v>
      </c>
      <c r="V1246">
        <f>'raw data Crude oil'!V1247</f>
        <v>74.37</v>
      </c>
      <c r="W1246">
        <f>'raw data Crude oil'!W1247</f>
        <v>73.680000000000007</v>
      </c>
      <c r="X1246">
        <f>'raw data Crude oil'!X1247</f>
        <v>73.03</v>
      </c>
      <c r="Y1246">
        <f>'raw data Crude oil'!Y1247</f>
        <v>72.44</v>
      </c>
      <c r="Z1246">
        <f>'raw data Crude oil'!Z1247</f>
        <v>81.632000000000005</v>
      </c>
      <c r="AA1246">
        <f>'raw data Crude oil'!AA1247</f>
        <v>81.5</v>
      </c>
      <c r="AB1246">
        <f>'raw data Crude oil'!AB1247</f>
        <v>80.090999999999994</v>
      </c>
      <c r="AC1246">
        <f>'raw data Crude oil'!AC1247</f>
        <v>79.007999999999996</v>
      </c>
      <c r="AD1246">
        <f>'raw data Crude oil'!AD1247</f>
        <v>78.180999999999997</v>
      </c>
      <c r="AE1246">
        <f>'raw data Crude oil'!AE1247</f>
        <v>77.477000000000004</v>
      </c>
      <c r="AF1246">
        <f>'raw data Crude oil'!AF1247</f>
        <v>76.804000000000002</v>
      </c>
      <c r="AG1246">
        <f>'raw data Crude oil'!AG1247</f>
        <v>76.13</v>
      </c>
      <c r="AH1246">
        <f>'raw data Crude oil'!AH1247</f>
        <v>75.501000000000005</v>
      </c>
      <c r="AI1246">
        <f>'raw data Crude oil'!AI1247</f>
        <v>74.870999999999995</v>
      </c>
      <c r="AJ1246">
        <f>'raw data Crude oil'!AJ1247</f>
        <v>74.265000000000001</v>
      </c>
      <c r="AK1246">
        <f>'raw data Crude oil'!AK1247</f>
        <v>73.685000000000002</v>
      </c>
    </row>
    <row r="1247" spans="1:37" x14ac:dyDescent="0.3">
      <c r="A1247" s="18">
        <f>'raw data Crude oil'!A1248</f>
        <v>44497</v>
      </c>
      <c r="B1247">
        <f>'raw data Crude oil'!B1248</f>
        <v>84.32</v>
      </c>
      <c r="C1247">
        <f>'raw data Crude oil'!C1248</f>
        <v>83.66</v>
      </c>
      <c r="D1247">
        <f>'raw data Crude oil'!D1248</f>
        <v>82.56</v>
      </c>
      <c r="E1247">
        <f>'raw data Crude oil'!E1248</f>
        <v>81.52</v>
      </c>
      <c r="F1247">
        <f>'raw data Crude oil'!F1248</f>
        <v>80.61</v>
      </c>
      <c r="G1247">
        <f>'raw data Crude oil'!G1248</f>
        <v>79.83</v>
      </c>
      <c r="H1247">
        <f>'raw data Crude oil'!H1248</f>
        <v>79.09</v>
      </c>
      <c r="I1247">
        <f>'raw data Crude oil'!I1248</f>
        <v>78.37</v>
      </c>
      <c r="J1247">
        <f>'raw data Crude oil'!J1248</f>
        <v>77.73</v>
      </c>
      <c r="K1247">
        <f>'raw data Crude oil'!K1248</f>
        <v>77.099999999999994</v>
      </c>
      <c r="L1247">
        <f>'raw data Crude oil'!L1248</f>
        <v>76.5</v>
      </c>
      <c r="M1247">
        <f>'raw data Crude oil'!M1248</f>
        <v>75.94</v>
      </c>
      <c r="N1247">
        <f>'raw data Crude oil'!N1248</f>
        <v>82.81</v>
      </c>
      <c r="O1247">
        <f>'raw data Crude oil'!O1248</f>
        <v>81.459999999999994</v>
      </c>
      <c r="P1247">
        <f>'raw data Crude oil'!P1248</f>
        <v>79.95</v>
      </c>
      <c r="Q1247">
        <f>'raw data Crude oil'!Q1248</f>
        <v>78.62</v>
      </c>
      <c r="R1247">
        <f>'raw data Crude oil'!R1248</f>
        <v>77.489999999999995</v>
      </c>
      <c r="S1247">
        <f>'raw data Crude oil'!S1248</f>
        <v>76.53</v>
      </c>
      <c r="T1247">
        <f>'raw data Crude oil'!T1248</f>
        <v>75.69</v>
      </c>
      <c r="U1247">
        <f>'raw data Crude oil'!U1248</f>
        <v>74.91</v>
      </c>
      <c r="V1247">
        <f>'raw data Crude oil'!V1248</f>
        <v>74.19</v>
      </c>
      <c r="W1247">
        <f>'raw data Crude oil'!W1248</f>
        <v>73.510000000000005</v>
      </c>
      <c r="X1247">
        <f>'raw data Crude oil'!X1248</f>
        <v>72.86</v>
      </c>
      <c r="Y1247">
        <f>'raw data Crude oil'!Y1248</f>
        <v>72.260000000000005</v>
      </c>
      <c r="Z1247">
        <f>'raw data Crude oil'!Z1248</f>
        <v>81.575000000000003</v>
      </c>
      <c r="AA1247">
        <f>'raw data Crude oil'!AA1248</f>
        <v>81.23</v>
      </c>
      <c r="AB1247">
        <f>'raw data Crude oil'!AB1248</f>
        <v>79.840999999999994</v>
      </c>
      <c r="AC1247">
        <f>'raw data Crude oil'!AC1248</f>
        <v>78.747</v>
      </c>
      <c r="AD1247">
        <f>'raw data Crude oil'!AD1248</f>
        <v>77.911000000000001</v>
      </c>
      <c r="AE1247">
        <f>'raw data Crude oil'!AE1248</f>
        <v>77.218000000000004</v>
      </c>
      <c r="AF1247">
        <f>'raw data Crude oil'!AF1248</f>
        <v>76.554000000000002</v>
      </c>
      <c r="AG1247">
        <f>'raw data Crude oil'!AG1248</f>
        <v>75.891000000000005</v>
      </c>
      <c r="AH1247">
        <f>'raw data Crude oil'!AH1248</f>
        <v>75.251000000000005</v>
      </c>
      <c r="AI1247">
        <f>'raw data Crude oil'!AI1248</f>
        <v>74.631</v>
      </c>
      <c r="AJ1247">
        <f>'raw data Crude oil'!AJ1248</f>
        <v>74.036000000000001</v>
      </c>
      <c r="AK1247">
        <f>'raw data Crude oil'!AK1248</f>
        <v>73.465000000000003</v>
      </c>
    </row>
    <row r="1248" spans="1:37" x14ac:dyDescent="0.3">
      <c r="A1248" s="18">
        <f>'raw data Crude oil'!A1249</f>
        <v>44498</v>
      </c>
      <c r="B1248">
        <f>'raw data Crude oil'!B1249</f>
        <v>84.38</v>
      </c>
      <c r="C1248">
        <f>'raw data Crude oil'!C1249</f>
        <v>83.72</v>
      </c>
      <c r="D1248">
        <f>'raw data Crude oil'!D1249</f>
        <v>82.55</v>
      </c>
      <c r="E1248">
        <f>'raw data Crude oil'!E1249</f>
        <v>81.430000000000007</v>
      </c>
      <c r="F1248">
        <f>'raw data Crude oil'!F1249</f>
        <v>80.45</v>
      </c>
      <c r="G1248">
        <f>'raw data Crude oil'!G1249</f>
        <v>79.63</v>
      </c>
      <c r="H1248">
        <f>'raw data Crude oil'!H1249</f>
        <v>78.87</v>
      </c>
      <c r="I1248">
        <f>'raw data Crude oil'!I1249</f>
        <v>78.13</v>
      </c>
      <c r="J1248">
        <f>'raw data Crude oil'!J1249</f>
        <v>77.48</v>
      </c>
      <c r="K1248">
        <f>'raw data Crude oil'!K1249</f>
        <v>76.84</v>
      </c>
      <c r="L1248">
        <f>'raw data Crude oil'!L1249</f>
        <v>76.239999999999995</v>
      </c>
      <c r="M1248">
        <f>'raw data Crude oil'!M1249</f>
        <v>75.67</v>
      </c>
      <c r="N1248">
        <f>'raw data Crude oil'!N1249</f>
        <v>83.57</v>
      </c>
      <c r="O1248">
        <f>'raw data Crude oil'!O1249</f>
        <v>81.78</v>
      </c>
      <c r="P1248">
        <f>'raw data Crude oil'!P1249</f>
        <v>79.98</v>
      </c>
      <c r="Q1248">
        <f>'raw data Crude oil'!Q1249</f>
        <v>78.459999999999994</v>
      </c>
      <c r="R1248">
        <f>'raw data Crude oil'!R1249</f>
        <v>77.25</v>
      </c>
      <c r="S1248">
        <f>'raw data Crude oil'!S1249</f>
        <v>76.27</v>
      </c>
      <c r="T1248">
        <f>'raw data Crude oil'!T1249</f>
        <v>75.42</v>
      </c>
      <c r="U1248">
        <f>'raw data Crude oil'!U1249</f>
        <v>74.63</v>
      </c>
      <c r="V1248">
        <f>'raw data Crude oil'!V1249</f>
        <v>73.89</v>
      </c>
      <c r="W1248">
        <f>'raw data Crude oil'!W1249</f>
        <v>73.19</v>
      </c>
      <c r="X1248">
        <f>'raw data Crude oil'!X1249</f>
        <v>72.540000000000006</v>
      </c>
      <c r="Y1248">
        <f>'raw data Crude oil'!Y1249</f>
        <v>71.92</v>
      </c>
      <c r="Z1248">
        <f>'raw data Crude oil'!Z1249</f>
        <v>81.584999999999994</v>
      </c>
      <c r="AA1248">
        <f>'raw data Crude oil'!AA1249</f>
        <v>81.356999999999999</v>
      </c>
      <c r="AB1248">
        <f>'raw data Crude oil'!AB1249</f>
        <v>79.903000000000006</v>
      </c>
      <c r="AC1248">
        <f>'raw data Crude oil'!AC1249</f>
        <v>78.653000000000006</v>
      </c>
      <c r="AD1248">
        <f>'raw data Crude oil'!AD1249</f>
        <v>77.748999999999995</v>
      </c>
      <c r="AE1248">
        <f>'raw data Crude oil'!AE1249</f>
        <v>77.016999999999996</v>
      </c>
      <c r="AF1248">
        <f>'raw data Crude oil'!AF1249</f>
        <v>76.332999999999998</v>
      </c>
      <c r="AG1248">
        <f>'raw data Crude oil'!AG1249</f>
        <v>75.650000000000006</v>
      </c>
      <c r="AH1248">
        <f>'raw data Crude oil'!AH1249</f>
        <v>75.001000000000005</v>
      </c>
      <c r="AI1248">
        <f>'raw data Crude oil'!AI1249</f>
        <v>74.370999999999995</v>
      </c>
      <c r="AJ1248">
        <f>'raw data Crude oil'!AJ1249</f>
        <v>73.775000000000006</v>
      </c>
      <c r="AK1248">
        <f>'raw data Crude oil'!AK1249</f>
        <v>73.194999999999993</v>
      </c>
    </row>
    <row r="1249" spans="1:37" x14ac:dyDescent="0.3">
      <c r="A1249" s="18">
        <f>'raw data Crude oil'!A1250</f>
        <v>44501</v>
      </c>
      <c r="B1249">
        <f>'raw data Crude oil'!B1250</f>
        <v>84.71</v>
      </c>
      <c r="C1249">
        <f>'raw data Crude oil'!C1250</f>
        <v>83.37</v>
      </c>
      <c r="D1249">
        <f>'raw data Crude oil'!D1250</f>
        <v>82.15</v>
      </c>
      <c r="E1249">
        <f>'raw data Crude oil'!E1250</f>
        <v>81.08</v>
      </c>
      <c r="F1249">
        <f>'raw data Crude oil'!F1250</f>
        <v>80.180000000000007</v>
      </c>
      <c r="G1249">
        <f>'raw data Crude oil'!G1250</f>
        <v>79.37</v>
      </c>
      <c r="H1249">
        <f>'raw data Crude oil'!H1250</f>
        <v>78.599999999999994</v>
      </c>
      <c r="I1249">
        <f>'raw data Crude oil'!I1250</f>
        <v>77.930000000000007</v>
      </c>
      <c r="J1249">
        <f>'raw data Crude oil'!J1250</f>
        <v>77.27</v>
      </c>
      <c r="K1249">
        <f>'raw data Crude oil'!K1250</f>
        <v>76.650000000000006</v>
      </c>
      <c r="L1249">
        <f>'raw data Crude oil'!L1250</f>
        <v>76.05</v>
      </c>
      <c r="M1249">
        <f>'raw data Crude oil'!M1250</f>
        <v>75.47</v>
      </c>
      <c r="N1249">
        <f>'raw data Crude oil'!N1250</f>
        <v>84.05</v>
      </c>
      <c r="O1249">
        <f>'raw data Crude oil'!O1250</f>
        <v>82.45</v>
      </c>
      <c r="P1249">
        <f>'raw data Crude oil'!P1250</f>
        <v>80.709999999999994</v>
      </c>
      <c r="Q1249">
        <f>'raw data Crude oil'!Q1250</f>
        <v>79.13</v>
      </c>
      <c r="R1249">
        <f>'raw data Crude oil'!R1250</f>
        <v>77.84</v>
      </c>
      <c r="S1249">
        <f>'raw data Crude oil'!S1250</f>
        <v>76.81</v>
      </c>
      <c r="T1249">
        <f>'raw data Crude oil'!T1250</f>
        <v>75.94</v>
      </c>
      <c r="U1249">
        <f>'raw data Crude oil'!U1250</f>
        <v>75.150000000000006</v>
      </c>
      <c r="V1249">
        <f>'raw data Crude oil'!V1250</f>
        <v>74.400000000000006</v>
      </c>
      <c r="W1249">
        <f>'raw data Crude oil'!W1250</f>
        <v>73.72</v>
      </c>
      <c r="X1249">
        <f>'raw data Crude oil'!X1250</f>
        <v>73.06</v>
      </c>
      <c r="Y1249">
        <f>'raw data Crude oil'!Y1250</f>
        <v>72.44</v>
      </c>
      <c r="Z1249">
        <f>'raw data Crude oil'!Z1250</f>
        <v>81.584999999999994</v>
      </c>
      <c r="AA1249">
        <f>'raw data Crude oil'!AA1250</f>
        <v>82.382999999999996</v>
      </c>
      <c r="AB1249">
        <f>'raw data Crude oil'!AB1250</f>
        <v>80.774000000000001</v>
      </c>
      <c r="AC1249">
        <f>'raw data Crude oil'!AC1250</f>
        <v>79.349000000000004</v>
      </c>
      <c r="AD1249">
        <f>'raw data Crude oil'!AD1250</f>
        <v>78.355000000000004</v>
      </c>
      <c r="AE1249">
        <f>'raw data Crude oil'!AE1250</f>
        <v>77.555000000000007</v>
      </c>
      <c r="AF1249">
        <f>'raw data Crude oil'!AF1250</f>
        <v>76.831999999999994</v>
      </c>
      <c r="AG1249">
        <f>'raw data Crude oil'!AG1250</f>
        <v>76.11</v>
      </c>
      <c r="AH1249">
        <f>'raw data Crude oil'!AH1250</f>
        <v>75.44</v>
      </c>
      <c r="AI1249">
        <f>'raw data Crude oil'!AI1250</f>
        <v>74.8</v>
      </c>
      <c r="AJ1249">
        <f>'raw data Crude oil'!AJ1250</f>
        <v>74.183999999999997</v>
      </c>
      <c r="AK1249">
        <f>'raw data Crude oil'!AK1250</f>
        <v>73.573999999999998</v>
      </c>
    </row>
    <row r="1250" spans="1:37" x14ac:dyDescent="0.3">
      <c r="A1250" s="18">
        <f>'raw data Crude oil'!A1251</f>
        <v>44502</v>
      </c>
      <c r="B1250">
        <f>'raw data Crude oil'!B1251</f>
        <v>84.72</v>
      </c>
      <c r="C1250">
        <f>'raw data Crude oil'!C1251</f>
        <v>83.44</v>
      </c>
      <c r="D1250">
        <f>'raw data Crude oil'!D1251</f>
        <v>82.24</v>
      </c>
      <c r="E1250">
        <f>'raw data Crude oil'!E1251</f>
        <v>81.180000000000007</v>
      </c>
      <c r="F1250">
        <f>'raw data Crude oil'!F1251</f>
        <v>80.27</v>
      </c>
      <c r="G1250">
        <f>'raw data Crude oil'!G1251</f>
        <v>79.45</v>
      </c>
      <c r="H1250">
        <f>'raw data Crude oil'!H1251</f>
        <v>78.67</v>
      </c>
      <c r="I1250">
        <f>'raw data Crude oil'!I1251</f>
        <v>78</v>
      </c>
      <c r="J1250">
        <f>'raw data Crude oil'!J1251</f>
        <v>77.349999999999994</v>
      </c>
      <c r="K1250">
        <f>'raw data Crude oil'!K1251</f>
        <v>76.73</v>
      </c>
      <c r="L1250">
        <f>'raw data Crude oil'!L1251</f>
        <v>76.13</v>
      </c>
      <c r="M1250">
        <f>'raw data Crude oil'!M1251</f>
        <v>75.56</v>
      </c>
      <c r="N1250">
        <f>'raw data Crude oil'!N1251</f>
        <v>83.91</v>
      </c>
      <c r="O1250">
        <f>'raw data Crude oil'!O1251</f>
        <v>82.44</v>
      </c>
      <c r="P1250">
        <f>'raw data Crude oil'!P1251</f>
        <v>80.88</v>
      </c>
      <c r="Q1250">
        <f>'raw data Crude oil'!Q1251</f>
        <v>79.349999999999994</v>
      </c>
      <c r="R1250">
        <f>'raw data Crude oil'!R1251</f>
        <v>78.069999999999993</v>
      </c>
      <c r="S1250">
        <f>'raw data Crude oil'!S1251</f>
        <v>77</v>
      </c>
      <c r="T1250">
        <f>'raw data Crude oil'!T1251</f>
        <v>76.099999999999994</v>
      </c>
      <c r="U1250">
        <f>'raw data Crude oil'!U1251</f>
        <v>75.290000000000006</v>
      </c>
      <c r="V1250">
        <f>'raw data Crude oil'!V1251</f>
        <v>74.540000000000006</v>
      </c>
      <c r="W1250">
        <f>'raw data Crude oil'!W1251</f>
        <v>73.849999999999994</v>
      </c>
      <c r="X1250">
        <f>'raw data Crude oil'!X1251</f>
        <v>73.19</v>
      </c>
      <c r="Y1250">
        <f>'raw data Crude oil'!Y1251</f>
        <v>72.569999999999993</v>
      </c>
      <c r="Z1250">
        <f>'raw data Crude oil'!Z1251</f>
        <v>82.563000000000002</v>
      </c>
      <c r="AA1250">
        <f>'raw data Crude oil'!AA1251</f>
        <v>80.766000000000005</v>
      </c>
      <c r="AB1250">
        <f>'raw data Crude oil'!AB1251</f>
        <v>79.349999999999994</v>
      </c>
      <c r="AC1250">
        <f>'raw data Crude oil'!AC1251</f>
        <v>78.375</v>
      </c>
      <c r="AD1250">
        <f>'raw data Crude oil'!AD1251</f>
        <v>77.584000000000003</v>
      </c>
      <c r="AE1250">
        <f>'raw data Crude oil'!AE1251</f>
        <v>76.850999999999999</v>
      </c>
      <c r="AF1250">
        <f>'raw data Crude oil'!AF1251</f>
        <v>76.12</v>
      </c>
      <c r="AG1250">
        <f>'raw data Crude oil'!AG1251</f>
        <v>75.45</v>
      </c>
      <c r="AH1250">
        <f>'raw data Crude oil'!AH1251</f>
        <v>74.81</v>
      </c>
      <c r="AI1250">
        <f>'raw data Crude oil'!AI1251</f>
        <v>74.203999999999994</v>
      </c>
      <c r="AJ1250">
        <f>'raw data Crude oil'!AJ1251</f>
        <v>73.614000000000004</v>
      </c>
      <c r="AK1250">
        <f>'raw data Crude oil'!AK1251</f>
        <v>73.042000000000002</v>
      </c>
    </row>
    <row r="1251" spans="1:37" x14ac:dyDescent="0.3">
      <c r="A1251" s="18">
        <f>'raw data Crude oil'!A1252</f>
        <v>44503</v>
      </c>
      <c r="B1251">
        <f>'raw data Crude oil'!B1252</f>
        <v>81.99</v>
      </c>
      <c r="C1251">
        <f>'raw data Crude oil'!C1252</f>
        <v>80.819999999999993</v>
      </c>
      <c r="D1251">
        <f>'raw data Crude oil'!D1252</f>
        <v>79.72</v>
      </c>
      <c r="E1251">
        <f>'raw data Crude oil'!E1252</f>
        <v>78.75</v>
      </c>
      <c r="F1251">
        <f>'raw data Crude oil'!F1252</f>
        <v>77.92</v>
      </c>
      <c r="G1251">
        <f>'raw data Crude oil'!G1252</f>
        <v>77.180000000000007</v>
      </c>
      <c r="H1251">
        <f>'raw data Crude oil'!H1252</f>
        <v>76.45</v>
      </c>
      <c r="I1251">
        <f>'raw data Crude oil'!I1252</f>
        <v>75.83</v>
      </c>
      <c r="J1251">
        <f>'raw data Crude oil'!J1252</f>
        <v>75.23</v>
      </c>
      <c r="K1251">
        <f>'raw data Crude oil'!K1252</f>
        <v>74.67</v>
      </c>
      <c r="L1251">
        <f>'raw data Crude oil'!L1252</f>
        <v>74.16</v>
      </c>
      <c r="M1251">
        <f>'raw data Crude oil'!M1252</f>
        <v>73.66</v>
      </c>
      <c r="N1251">
        <f>'raw data Crude oil'!N1252</f>
        <v>80.86</v>
      </c>
      <c r="O1251">
        <f>'raw data Crude oil'!O1252</f>
        <v>79.569999999999993</v>
      </c>
      <c r="P1251">
        <f>'raw data Crude oil'!P1252</f>
        <v>78.209999999999994</v>
      </c>
      <c r="Q1251">
        <f>'raw data Crude oil'!Q1252</f>
        <v>76.790000000000006</v>
      </c>
      <c r="R1251">
        <f>'raw data Crude oil'!R1252</f>
        <v>75.599999999999994</v>
      </c>
      <c r="S1251">
        <f>'raw data Crude oil'!S1252</f>
        <v>74.63</v>
      </c>
      <c r="T1251">
        <f>'raw data Crude oil'!T1252</f>
        <v>73.81</v>
      </c>
      <c r="U1251">
        <f>'raw data Crude oil'!U1252</f>
        <v>73.06</v>
      </c>
      <c r="V1251">
        <f>'raw data Crude oil'!V1252</f>
        <v>72.36</v>
      </c>
      <c r="W1251">
        <f>'raw data Crude oil'!W1252</f>
        <v>71.739999999999995</v>
      </c>
      <c r="X1251">
        <f>'raw data Crude oil'!X1252</f>
        <v>71.16</v>
      </c>
      <c r="Y1251">
        <f>'raw data Crude oil'!Y1252</f>
        <v>70.63</v>
      </c>
      <c r="Z1251">
        <f>'raw data Crude oil'!Z1252</f>
        <v>80.224000000000004</v>
      </c>
      <c r="AA1251">
        <f>'raw data Crude oil'!AA1252</f>
        <v>78.073999999999998</v>
      </c>
      <c r="AB1251">
        <f>'raw data Crude oil'!AB1252</f>
        <v>76.763999999999996</v>
      </c>
      <c r="AC1251">
        <f>'raw data Crude oil'!AC1252</f>
        <v>75.879000000000005</v>
      </c>
      <c r="AD1251">
        <f>'raw data Crude oil'!AD1252</f>
        <v>75.177999999999997</v>
      </c>
      <c r="AE1251">
        <f>'raw data Crude oil'!AE1252</f>
        <v>74.524000000000001</v>
      </c>
      <c r="AF1251">
        <f>'raw data Crude oil'!AF1252</f>
        <v>73.852000000000004</v>
      </c>
      <c r="AG1251">
        <f>'raw data Crude oil'!AG1252</f>
        <v>73.242999999999995</v>
      </c>
      <c r="AH1251">
        <f>'raw data Crude oil'!AH1252</f>
        <v>72.662999999999997</v>
      </c>
      <c r="AI1251">
        <f>'raw data Crude oil'!AI1252</f>
        <v>72.117999999999995</v>
      </c>
      <c r="AJ1251">
        <f>'raw data Crude oil'!AJ1252</f>
        <v>71.617000000000004</v>
      </c>
      <c r="AK1251">
        <f>'raw data Crude oil'!AK1252</f>
        <v>71.116</v>
      </c>
    </row>
    <row r="1252" spans="1:37" x14ac:dyDescent="0.3">
      <c r="A1252" s="18">
        <f>'raw data Crude oil'!A1253</f>
        <v>44504</v>
      </c>
      <c r="B1252">
        <f>'raw data Crude oil'!B1253</f>
        <v>80.540000000000006</v>
      </c>
      <c r="C1252">
        <f>'raw data Crude oil'!C1253</f>
        <v>79.510000000000005</v>
      </c>
      <c r="D1252">
        <f>'raw data Crude oil'!D1253</f>
        <v>78.52</v>
      </c>
      <c r="E1252">
        <f>'raw data Crude oil'!E1253</f>
        <v>77.7</v>
      </c>
      <c r="F1252">
        <f>'raw data Crude oil'!F1253</f>
        <v>77.010000000000005</v>
      </c>
      <c r="G1252">
        <f>'raw data Crude oil'!G1253</f>
        <v>76.38</v>
      </c>
      <c r="H1252">
        <f>'raw data Crude oil'!H1253</f>
        <v>75.78</v>
      </c>
      <c r="I1252">
        <f>'raw data Crude oil'!I1253</f>
        <v>75.260000000000005</v>
      </c>
      <c r="J1252">
        <f>'raw data Crude oil'!J1253</f>
        <v>74.75</v>
      </c>
      <c r="K1252">
        <f>'raw data Crude oil'!K1253</f>
        <v>74.27</v>
      </c>
      <c r="L1252">
        <f>'raw data Crude oil'!L1253</f>
        <v>73.84</v>
      </c>
      <c r="M1252">
        <f>'raw data Crude oil'!M1253</f>
        <v>73.44</v>
      </c>
      <c r="N1252">
        <f>'raw data Crude oil'!N1253</f>
        <v>78.81</v>
      </c>
      <c r="O1252">
        <f>'raw data Crude oil'!O1253</f>
        <v>77.7</v>
      </c>
      <c r="P1252">
        <f>'raw data Crude oil'!P1253</f>
        <v>76.569999999999993</v>
      </c>
      <c r="Q1252">
        <f>'raw data Crude oil'!Q1253</f>
        <v>75.47</v>
      </c>
      <c r="R1252">
        <f>'raw data Crude oil'!R1253</f>
        <v>74.489999999999995</v>
      </c>
      <c r="S1252">
        <f>'raw data Crude oil'!S1253</f>
        <v>73.69</v>
      </c>
      <c r="T1252">
        <f>'raw data Crude oil'!T1253</f>
        <v>72.97</v>
      </c>
      <c r="U1252">
        <f>'raw data Crude oil'!U1253</f>
        <v>72.33</v>
      </c>
      <c r="V1252">
        <f>'raw data Crude oil'!V1253</f>
        <v>71.739999999999995</v>
      </c>
      <c r="W1252">
        <f>'raw data Crude oil'!W1253</f>
        <v>71.209999999999994</v>
      </c>
      <c r="X1252">
        <f>'raw data Crude oil'!X1253</f>
        <v>70.739999999999995</v>
      </c>
      <c r="Y1252">
        <f>'raw data Crude oil'!Y1253</f>
        <v>70.319999999999993</v>
      </c>
      <c r="Z1252">
        <f>'raw data Crude oil'!Z1253</f>
        <v>79.031999999999996</v>
      </c>
      <c r="AA1252">
        <f>'raw data Crude oil'!AA1253</f>
        <v>76.683999999999997</v>
      </c>
      <c r="AB1252">
        <f>'raw data Crude oil'!AB1253</f>
        <v>75.471999999999994</v>
      </c>
      <c r="AC1252">
        <f>'raw data Crude oil'!AC1253</f>
        <v>74.715999999999994</v>
      </c>
      <c r="AD1252">
        <f>'raw data Crude oil'!AD1253</f>
        <v>74.113</v>
      </c>
      <c r="AE1252">
        <f>'raw data Crude oil'!AE1253</f>
        <v>73.61</v>
      </c>
      <c r="AF1252">
        <f>'raw data Crude oil'!AF1253</f>
        <v>73.105999999999995</v>
      </c>
      <c r="AG1252">
        <f>'raw data Crude oil'!AG1253</f>
        <v>72.594999999999999</v>
      </c>
      <c r="AH1252">
        <f>'raw data Crude oil'!AH1253</f>
        <v>72.096999999999994</v>
      </c>
      <c r="AI1252">
        <f>'raw data Crude oil'!AI1253</f>
        <v>71.631</v>
      </c>
      <c r="AJ1252">
        <f>'raw data Crude oil'!AJ1253</f>
        <v>71.221999999999994</v>
      </c>
      <c r="AK1252">
        <f>'raw data Crude oil'!AK1253</f>
        <v>70.849999999999994</v>
      </c>
    </row>
    <row r="1253" spans="1:37" x14ac:dyDescent="0.3">
      <c r="A1253" s="18">
        <f>'raw data Crude oil'!A1254</f>
        <v>44505</v>
      </c>
      <c r="B1253">
        <f>'raw data Crude oil'!B1254</f>
        <v>82.74</v>
      </c>
      <c r="C1253">
        <f>'raw data Crude oil'!C1254</f>
        <v>81.680000000000007</v>
      </c>
      <c r="D1253">
        <f>'raw data Crude oil'!D1254</f>
        <v>80.73</v>
      </c>
      <c r="E1253">
        <f>'raw data Crude oil'!E1254</f>
        <v>79.91</v>
      </c>
      <c r="F1253">
        <f>'raw data Crude oil'!F1254</f>
        <v>79.209999999999994</v>
      </c>
      <c r="G1253">
        <f>'raw data Crude oil'!G1254</f>
        <v>78.540000000000006</v>
      </c>
      <c r="H1253">
        <f>'raw data Crude oil'!H1254</f>
        <v>77.900000000000006</v>
      </c>
      <c r="I1253">
        <f>'raw data Crude oil'!I1254</f>
        <v>77.349999999999994</v>
      </c>
      <c r="J1253">
        <f>'raw data Crude oil'!J1254</f>
        <v>76.8</v>
      </c>
      <c r="K1253">
        <f>'raw data Crude oil'!K1254</f>
        <v>76.290000000000006</v>
      </c>
      <c r="L1253">
        <f>'raw data Crude oil'!L1254</f>
        <v>75.819999999999993</v>
      </c>
      <c r="M1253">
        <f>'raw data Crude oil'!M1254</f>
        <v>75.38</v>
      </c>
      <c r="N1253">
        <f>'raw data Crude oil'!N1254</f>
        <v>81.27</v>
      </c>
      <c r="O1253">
        <f>'raw data Crude oil'!O1254</f>
        <v>80.13</v>
      </c>
      <c r="P1253">
        <f>'raw data Crude oil'!P1254</f>
        <v>79</v>
      </c>
      <c r="Q1253">
        <f>'raw data Crude oil'!Q1254</f>
        <v>77.86</v>
      </c>
      <c r="R1253">
        <f>'raw data Crude oil'!R1254</f>
        <v>76.89</v>
      </c>
      <c r="S1253">
        <f>'raw data Crude oil'!S1254</f>
        <v>76.040000000000006</v>
      </c>
      <c r="T1253">
        <f>'raw data Crude oil'!T1254</f>
        <v>75.27</v>
      </c>
      <c r="U1253">
        <f>'raw data Crude oil'!U1254</f>
        <v>74.569999999999993</v>
      </c>
      <c r="V1253">
        <f>'raw data Crude oil'!V1254</f>
        <v>73.94</v>
      </c>
      <c r="W1253">
        <f>'raw data Crude oil'!W1254</f>
        <v>73.36</v>
      </c>
      <c r="X1253">
        <f>'raw data Crude oil'!X1254</f>
        <v>72.849999999999994</v>
      </c>
      <c r="Y1253">
        <f>'raw data Crude oil'!Y1254</f>
        <v>72.38</v>
      </c>
      <c r="Z1253">
        <f>'raw data Crude oil'!Z1254</f>
        <v>81.040000000000006</v>
      </c>
      <c r="AA1253">
        <f>'raw data Crude oil'!AA1254</f>
        <v>79.027000000000001</v>
      </c>
      <c r="AB1253">
        <f>'raw data Crude oil'!AB1254</f>
        <v>77.825999999999993</v>
      </c>
      <c r="AC1253">
        <f>'raw data Crude oil'!AC1254</f>
        <v>76.974999999999994</v>
      </c>
      <c r="AD1253">
        <f>'raw data Crude oil'!AD1254</f>
        <v>76.361000000000004</v>
      </c>
      <c r="AE1253">
        <f>'raw data Crude oil'!AE1254</f>
        <v>75.808000000000007</v>
      </c>
      <c r="AF1253">
        <f>'raw data Crude oil'!AF1254</f>
        <v>75.284999999999997</v>
      </c>
      <c r="AG1253">
        <f>'raw data Crude oil'!AG1254</f>
        <v>74.765000000000001</v>
      </c>
      <c r="AH1253">
        <f>'raw data Crude oil'!AH1254</f>
        <v>74.256</v>
      </c>
      <c r="AI1253">
        <f>'raw data Crude oil'!AI1254</f>
        <v>73.75</v>
      </c>
      <c r="AJ1253">
        <f>'raw data Crude oil'!AJ1254</f>
        <v>73.28</v>
      </c>
      <c r="AK1253">
        <f>'raw data Crude oil'!AK1254</f>
        <v>72.828000000000003</v>
      </c>
    </row>
    <row r="1254" spans="1:37" x14ac:dyDescent="0.3">
      <c r="A1254" s="18">
        <f>'raw data Crude oil'!A1255</f>
        <v>44508</v>
      </c>
      <c r="B1254">
        <f>'raw data Crude oil'!B1255</f>
        <v>83.43</v>
      </c>
      <c r="C1254">
        <f>'raw data Crude oil'!C1255</f>
        <v>82.35</v>
      </c>
      <c r="D1254">
        <f>'raw data Crude oil'!D1255</f>
        <v>81.37</v>
      </c>
      <c r="E1254">
        <f>'raw data Crude oil'!E1255</f>
        <v>80.53</v>
      </c>
      <c r="F1254">
        <f>'raw data Crude oil'!F1255</f>
        <v>79.790000000000006</v>
      </c>
      <c r="G1254">
        <f>'raw data Crude oil'!G1255</f>
        <v>79.099999999999994</v>
      </c>
      <c r="H1254">
        <f>'raw data Crude oil'!H1255</f>
        <v>78.45</v>
      </c>
      <c r="I1254">
        <f>'raw data Crude oil'!I1255</f>
        <v>77.89</v>
      </c>
      <c r="J1254">
        <f>'raw data Crude oil'!J1255</f>
        <v>77.349999999999994</v>
      </c>
      <c r="K1254">
        <f>'raw data Crude oil'!K1255</f>
        <v>76.83</v>
      </c>
      <c r="L1254">
        <f>'raw data Crude oil'!L1255</f>
        <v>76.36</v>
      </c>
      <c r="M1254">
        <f>'raw data Crude oil'!M1255</f>
        <v>75.91</v>
      </c>
      <c r="N1254">
        <f>'raw data Crude oil'!N1255</f>
        <v>81.93</v>
      </c>
      <c r="O1254">
        <f>'raw data Crude oil'!O1255</f>
        <v>80.739999999999995</v>
      </c>
      <c r="P1254">
        <f>'raw data Crude oil'!P1255</f>
        <v>79.569999999999993</v>
      </c>
      <c r="Q1254">
        <f>'raw data Crude oil'!Q1255</f>
        <v>78.400000000000006</v>
      </c>
      <c r="R1254">
        <f>'raw data Crude oil'!R1255</f>
        <v>77.42</v>
      </c>
      <c r="S1254">
        <f>'raw data Crude oil'!S1255</f>
        <v>76.540000000000006</v>
      </c>
      <c r="T1254">
        <f>'raw data Crude oil'!T1255</f>
        <v>75.739999999999995</v>
      </c>
      <c r="U1254">
        <f>'raw data Crude oil'!U1255</f>
        <v>75.03</v>
      </c>
      <c r="V1254">
        <f>'raw data Crude oil'!V1255</f>
        <v>74.400000000000006</v>
      </c>
      <c r="W1254">
        <f>'raw data Crude oil'!W1255</f>
        <v>73.81</v>
      </c>
      <c r="X1254">
        <f>'raw data Crude oil'!X1255</f>
        <v>73.31</v>
      </c>
      <c r="Y1254">
        <f>'raw data Crude oil'!Y1255</f>
        <v>72.84</v>
      </c>
      <c r="Z1254">
        <f>'raw data Crude oil'!Z1255</f>
        <v>81.554000000000002</v>
      </c>
      <c r="AA1254">
        <f>'raw data Crude oil'!AA1255</f>
        <v>79.655000000000001</v>
      </c>
      <c r="AB1254">
        <f>'raw data Crude oil'!AB1255</f>
        <v>78.400000000000006</v>
      </c>
      <c r="AC1254">
        <f>'raw data Crude oil'!AC1255</f>
        <v>77.552999999999997</v>
      </c>
      <c r="AD1254">
        <f>'raw data Crude oil'!AD1255</f>
        <v>76.930000000000007</v>
      </c>
      <c r="AE1254">
        <f>'raw data Crude oil'!AE1255</f>
        <v>76.347999999999999</v>
      </c>
      <c r="AF1254">
        <f>'raw data Crude oil'!AF1255</f>
        <v>75.805000000000007</v>
      </c>
      <c r="AG1254">
        <f>'raw data Crude oil'!AG1255</f>
        <v>75.265000000000001</v>
      </c>
      <c r="AH1254">
        <f>'raw data Crude oil'!AH1255</f>
        <v>74.754999999999995</v>
      </c>
      <c r="AI1254">
        <f>'raw data Crude oil'!AI1255</f>
        <v>74.28</v>
      </c>
      <c r="AJ1254">
        <f>'raw data Crude oil'!AJ1255</f>
        <v>73.819999999999993</v>
      </c>
      <c r="AK1254">
        <f>'raw data Crude oil'!AK1255</f>
        <v>73.358000000000004</v>
      </c>
    </row>
    <row r="1255" spans="1:37" x14ac:dyDescent="0.3">
      <c r="A1255" s="18">
        <f>'raw data Crude oil'!A1256</f>
        <v>44509</v>
      </c>
      <c r="B1255">
        <f>'raw data Crude oil'!B1256</f>
        <v>84.78</v>
      </c>
      <c r="C1255">
        <f>'raw data Crude oil'!C1256</f>
        <v>83.56</v>
      </c>
      <c r="D1255">
        <f>'raw data Crude oil'!D1256</f>
        <v>82.46</v>
      </c>
      <c r="E1255">
        <f>'raw data Crude oil'!E1256</f>
        <v>81.52</v>
      </c>
      <c r="F1255">
        <f>'raw data Crude oil'!F1256</f>
        <v>80.69</v>
      </c>
      <c r="G1255">
        <f>'raw data Crude oil'!G1256</f>
        <v>79.92</v>
      </c>
      <c r="H1255">
        <f>'raw data Crude oil'!H1256</f>
        <v>79.209999999999994</v>
      </c>
      <c r="I1255">
        <f>'raw data Crude oil'!I1256</f>
        <v>78.58</v>
      </c>
      <c r="J1255">
        <f>'raw data Crude oil'!J1256</f>
        <v>77.989999999999995</v>
      </c>
      <c r="K1255">
        <f>'raw data Crude oil'!K1256</f>
        <v>77.430000000000007</v>
      </c>
      <c r="L1255">
        <f>'raw data Crude oil'!L1256</f>
        <v>76.930000000000007</v>
      </c>
      <c r="M1255">
        <f>'raw data Crude oil'!M1256</f>
        <v>76.45</v>
      </c>
      <c r="N1255">
        <f>'raw data Crude oil'!N1256</f>
        <v>84.15</v>
      </c>
      <c r="O1255">
        <f>'raw data Crude oil'!O1256</f>
        <v>82.56</v>
      </c>
      <c r="P1255">
        <f>'raw data Crude oil'!P1256</f>
        <v>81.05</v>
      </c>
      <c r="Q1255">
        <f>'raw data Crude oil'!Q1256</f>
        <v>79.66</v>
      </c>
      <c r="R1255">
        <f>'raw data Crude oil'!R1256</f>
        <v>78.48</v>
      </c>
      <c r="S1255">
        <f>'raw data Crude oil'!S1256</f>
        <v>77.45</v>
      </c>
      <c r="T1255">
        <f>'raw data Crude oil'!T1256</f>
        <v>76.55</v>
      </c>
      <c r="U1255">
        <f>'raw data Crude oil'!U1256</f>
        <v>75.77</v>
      </c>
      <c r="V1255">
        <f>'raw data Crude oil'!V1256</f>
        <v>75.099999999999994</v>
      </c>
      <c r="W1255">
        <f>'raw data Crude oil'!W1256</f>
        <v>74.47</v>
      </c>
      <c r="X1255">
        <f>'raw data Crude oil'!X1256</f>
        <v>73.91</v>
      </c>
      <c r="Y1255">
        <f>'raw data Crude oil'!Y1256</f>
        <v>73.41</v>
      </c>
      <c r="Z1255">
        <f>'raw data Crude oil'!Z1256</f>
        <v>82.587000000000003</v>
      </c>
      <c r="AA1255">
        <f>'raw data Crude oil'!AA1256</f>
        <v>80.954999999999998</v>
      </c>
      <c r="AB1255">
        <f>'raw data Crude oil'!AB1256</f>
        <v>79.555000000000007</v>
      </c>
      <c r="AC1255">
        <f>'raw data Crude oil'!AC1256</f>
        <v>78.549000000000007</v>
      </c>
      <c r="AD1255">
        <f>'raw data Crude oil'!AD1256</f>
        <v>77.853999999999999</v>
      </c>
      <c r="AE1255">
        <f>'raw data Crude oil'!AE1256</f>
        <v>77.215000000000003</v>
      </c>
      <c r="AF1255">
        <f>'raw data Crude oil'!AF1256</f>
        <v>76.581000000000003</v>
      </c>
      <c r="AG1255">
        <f>'raw data Crude oil'!AG1256</f>
        <v>75.957999999999998</v>
      </c>
      <c r="AH1255">
        <f>'raw data Crude oil'!AH1256</f>
        <v>75.393000000000001</v>
      </c>
      <c r="AI1255">
        <f>'raw data Crude oil'!AI1256</f>
        <v>74.878</v>
      </c>
      <c r="AJ1255">
        <f>'raw data Crude oil'!AJ1256</f>
        <v>74.388000000000005</v>
      </c>
      <c r="AK1255">
        <f>'raw data Crude oil'!AK1256</f>
        <v>73.897000000000006</v>
      </c>
    </row>
    <row r="1256" spans="1:37" x14ac:dyDescent="0.3">
      <c r="A1256" s="18">
        <f>'raw data Crude oil'!A1257</f>
        <v>44510</v>
      </c>
      <c r="B1256">
        <f>'raw data Crude oil'!B1257</f>
        <v>82.64</v>
      </c>
      <c r="C1256">
        <f>'raw data Crude oil'!C1257</f>
        <v>81.55</v>
      </c>
      <c r="D1256">
        <f>'raw data Crude oil'!D1257</f>
        <v>80.540000000000006</v>
      </c>
      <c r="E1256">
        <f>'raw data Crude oil'!E1257</f>
        <v>79.650000000000006</v>
      </c>
      <c r="F1256">
        <f>'raw data Crude oil'!F1257</f>
        <v>78.84</v>
      </c>
      <c r="G1256">
        <f>'raw data Crude oil'!G1257</f>
        <v>78.09</v>
      </c>
      <c r="H1256">
        <f>'raw data Crude oil'!H1257</f>
        <v>77.42</v>
      </c>
      <c r="I1256">
        <f>'raw data Crude oil'!I1257</f>
        <v>76.84</v>
      </c>
      <c r="J1256">
        <f>'raw data Crude oil'!J1257</f>
        <v>76.31</v>
      </c>
      <c r="K1256">
        <f>'raw data Crude oil'!K1257</f>
        <v>75.8</v>
      </c>
      <c r="L1256">
        <f>'raw data Crude oil'!L1257</f>
        <v>75.349999999999994</v>
      </c>
      <c r="M1256">
        <f>'raw data Crude oil'!M1257</f>
        <v>74.92</v>
      </c>
      <c r="N1256">
        <f>'raw data Crude oil'!N1257</f>
        <v>81.34</v>
      </c>
      <c r="O1256">
        <f>'raw data Crude oil'!O1257</f>
        <v>80.06</v>
      </c>
      <c r="P1256">
        <f>'raw data Crude oil'!P1257</f>
        <v>78.739999999999995</v>
      </c>
      <c r="Q1256">
        <f>'raw data Crude oil'!Q1257</f>
        <v>77.5</v>
      </c>
      <c r="R1256">
        <f>'raw data Crude oil'!R1257</f>
        <v>76.42</v>
      </c>
      <c r="S1256">
        <f>'raw data Crude oil'!S1257</f>
        <v>75.459999999999994</v>
      </c>
      <c r="T1256">
        <f>'raw data Crude oil'!T1257</f>
        <v>74.62</v>
      </c>
      <c r="U1256">
        <f>'raw data Crude oil'!U1257</f>
        <v>73.89</v>
      </c>
      <c r="V1256">
        <f>'raw data Crude oil'!V1257</f>
        <v>73.260000000000005</v>
      </c>
      <c r="W1256">
        <f>'raw data Crude oil'!W1257</f>
        <v>72.7</v>
      </c>
      <c r="X1256">
        <f>'raw data Crude oil'!X1257</f>
        <v>72.2</v>
      </c>
      <c r="Y1256">
        <f>'raw data Crude oil'!Y1257</f>
        <v>71.75</v>
      </c>
      <c r="Z1256">
        <f>'raw data Crude oil'!Z1257</f>
        <v>81.521000000000001</v>
      </c>
      <c r="AA1256">
        <f>'raw data Crude oil'!AA1257</f>
        <v>79.182000000000002</v>
      </c>
      <c r="AB1256">
        <f>'raw data Crude oil'!AB1257</f>
        <v>77.688999999999993</v>
      </c>
      <c r="AC1256">
        <f>'raw data Crude oil'!AC1257</f>
        <v>76.680000000000007</v>
      </c>
      <c r="AD1256">
        <f>'raw data Crude oil'!AD1257</f>
        <v>75.986999999999995</v>
      </c>
      <c r="AE1256">
        <f>'raw data Crude oil'!AE1257</f>
        <v>75.387</v>
      </c>
      <c r="AF1256">
        <f>'raw data Crude oil'!AF1257</f>
        <v>74.793999999999997</v>
      </c>
      <c r="AG1256">
        <f>'raw data Crude oil'!AG1257</f>
        <v>74.236000000000004</v>
      </c>
      <c r="AH1256">
        <f>'raw data Crude oil'!AH1257</f>
        <v>73.715999999999994</v>
      </c>
      <c r="AI1256">
        <f>'raw data Crude oil'!AI1257</f>
        <v>73.23</v>
      </c>
      <c r="AJ1256">
        <f>'raw data Crude oil'!AJ1257</f>
        <v>72.790000000000006</v>
      </c>
      <c r="AK1256">
        <f>'raw data Crude oil'!AK1257</f>
        <v>72.369</v>
      </c>
    </row>
    <row r="1257" spans="1:37" x14ac:dyDescent="0.3">
      <c r="A1257" s="18">
        <f>'raw data Crude oil'!A1258</f>
        <v>44511</v>
      </c>
      <c r="B1257">
        <f>'raw data Crude oil'!B1258</f>
        <v>82.87</v>
      </c>
      <c r="C1257">
        <f>'raw data Crude oil'!C1258</f>
        <v>81.849999999999994</v>
      </c>
      <c r="D1257">
        <f>'raw data Crude oil'!D1258</f>
        <v>80.900000000000006</v>
      </c>
      <c r="E1257">
        <f>'raw data Crude oil'!E1258</f>
        <v>80.040000000000006</v>
      </c>
      <c r="F1257">
        <f>'raw data Crude oil'!F1258</f>
        <v>79.25</v>
      </c>
      <c r="G1257">
        <f>'raw data Crude oil'!G1258</f>
        <v>78.52</v>
      </c>
      <c r="H1257">
        <f>'raw data Crude oil'!H1258</f>
        <v>77.86</v>
      </c>
      <c r="I1257">
        <f>'raw data Crude oil'!I1258</f>
        <v>77.27</v>
      </c>
      <c r="J1257">
        <f>'raw data Crude oil'!J1258</f>
        <v>76.73</v>
      </c>
      <c r="K1257">
        <f>'raw data Crude oil'!K1258</f>
        <v>76.22</v>
      </c>
      <c r="L1257">
        <f>'raw data Crude oil'!L1258</f>
        <v>75.77</v>
      </c>
      <c r="M1257">
        <f>'raw data Crude oil'!M1258</f>
        <v>75.36</v>
      </c>
      <c r="N1257">
        <f>'raw data Crude oil'!N1258</f>
        <v>81.59</v>
      </c>
      <c r="O1257">
        <f>'raw data Crude oil'!O1258</f>
        <v>80.42</v>
      </c>
      <c r="P1257">
        <f>'raw data Crude oil'!P1258</f>
        <v>79.069999999999993</v>
      </c>
      <c r="Q1257">
        <f>'raw data Crude oil'!Q1258</f>
        <v>77.78</v>
      </c>
      <c r="R1257">
        <f>'raw data Crude oil'!R1258</f>
        <v>76.67</v>
      </c>
      <c r="S1257">
        <f>'raw data Crude oil'!S1258</f>
        <v>75.709999999999994</v>
      </c>
      <c r="T1257">
        <f>'raw data Crude oil'!T1258</f>
        <v>74.87</v>
      </c>
      <c r="U1257">
        <f>'raw data Crude oil'!U1258</f>
        <v>74.14</v>
      </c>
      <c r="V1257">
        <f>'raw data Crude oil'!V1258</f>
        <v>73.510000000000005</v>
      </c>
      <c r="W1257">
        <f>'raw data Crude oil'!W1258</f>
        <v>72.94</v>
      </c>
      <c r="X1257">
        <f>'raw data Crude oil'!X1258</f>
        <v>72.45</v>
      </c>
      <c r="Y1257">
        <f>'raw data Crude oil'!Y1258</f>
        <v>72.010000000000005</v>
      </c>
      <c r="Z1257">
        <f>'raw data Crude oil'!Z1258</f>
        <v>81.91</v>
      </c>
      <c r="AA1257">
        <f>'raw data Crude oil'!AA1258</f>
        <v>79.716999999999999</v>
      </c>
      <c r="AB1257">
        <f>'raw data Crude oil'!AB1258</f>
        <v>78.141000000000005</v>
      </c>
      <c r="AC1257">
        <f>'raw data Crude oil'!AC1258</f>
        <v>77.131</v>
      </c>
      <c r="AD1257">
        <f>'raw data Crude oil'!AD1258</f>
        <v>76.438000000000002</v>
      </c>
      <c r="AE1257">
        <f>'raw data Crude oil'!AE1258</f>
        <v>75.826999999999998</v>
      </c>
      <c r="AF1257">
        <f>'raw data Crude oil'!AF1258</f>
        <v>75.263000000000005</v>
      </c>
      <c r="AG1257">
        <f>'raw data Crude oil'!AG1258</f>
        <v>74.694999999999993</v>
      </c>
      <c r="AH1257">
        <f>'raw data Crude oil'!AH1258</f>
        <v>74.176000000000002</v>
      </c>
      <c r="AI1257">
        <f>'raw data Crude oil'!AI1258</f>
        <v>73.7</v>
      </c>
      <c r="AJ1257">
        <f>'raw data Crude oil'!AJ1258</f>
        <v>73.251000000000005</v>
      </c>
      <c r="AK1257">
        <f>'raw data Crude oil'!AK1258</f>
        <v>72.838999999999999</v>
      </c>
    </row>
    <row r="1258" spans="1:37" x14ac:dyDescent="0.3">
      <c r="A1258" s="18">
        <f>'raw data Crude oil'!A1259</f>
        <v>44512</v>
      </c>
      <c r="B1258">
        <f>'raw data Crude oil'!B1259</f>
        <v>82.17</v>
      </c>
      <c r="C1258">
        <f>'raw data Crude oil'!C1259</f>
        <v>81.13</v>
      </c>
      <c r="D1258">
        <f>'raw data Crude oil'!D1259</f>
        <v>80.2</v>
      </c>
      <c r="E1258">
        <f>'raw data Crude oil'!E1259</f>
        <v>79.37</v>
      </c>
      <c r="F1258">
        <f>'raw data Crude oil'!F1259</f>
        <v>78.62</v>
      </c>
      <c r="G1258">
        <f>'raw data Crude oil'!G1259</f>
        <v>77.92</v>
      </c>
      <c r="H1258">
        <f>'raw data Crude oil'!H1259</f>
        <v>77.28</v>
      </c>
      <c r="I1258">
        <f>'raw data Crude oil'!I1259</f>
        <v>76.709999999999994</v>
      </c>
      <c r="J1258">
        <f>'raw data Crude oil'!J1259</f>
        <v>76.19</v>
      </c>
      <c r="K1258">
        <f>'raw data Crude oil'!K1259</f>
        <v>75.680000000000007</v>
      </c>
      <c r="L1258">
        <f>'raw data Crude oil'!L1259</f>
        <v>75.23</v>
      </c>
      <c r="M1258">
        <f>'raw data Crude oil'!M1259</f>
        <v>74.81</v>
      </c>
      <c r="N1258">
        <f>'raw data Crude oil'!N1259</f>
        <v>80.790000000000006</v>
      </c>
      <c r="O1258">
        <f>'raw data Crude oil'!O1259</f>
        <v>79.69</v>
      </c>
      <c r="P1258">
        <f>'raw data Crude oil'!P1259</f>
        <v>78.44</v>
      </c>
      <c r="Q1258">
        <f>'raw data Crude oil'!Q1259</f>
        <v>77.17</v>
      </c>
      <c r="R1258">
        <f>'raw data Crude oil'!R1259</f>
        <v>76.06</v>
      </c>
      <c r="S1258">
        <f>'raw data Crude oil'!S1259</f>
        <v>75.099999999999994</v>
      </c>
      <c r="T1258">
        <f>'raw data Crude oil'!T1259</f>
        <v>74.27</v>
      </c>
      <c r="U1258">
        <f>'raw data Crude oil'!U1259</f>
        <v>73.55</v>
      </c>
      <c r="V1258">
        <f>'raw data Crude oil'!V1259</f>
        <v>72.92</v>
      </c>
      <c r="W1258">
        <f>'raw data Crude oil'!W1259</f>
        <v>72.36</v>
      </c>
      <c r="X1258">
        <f>'raw data Crude oil'!X1259</f>
        <v>71.849999999999994</v>
      </c>
      <c r="Y1258">
        <f>'raw data Crude oil'!Y1259</f>
        <v>71.400000000000006</v>
      </c>
      <c r="Z1258">
        <f>'raw data Crude oil'!Z1259</f>
        <v>81.515000000000001</v>
      </c>
      <c r="AA1258">
        <f>'raw data Crude oil'!AA1259</f>
        <v>78.998000000000005</v>
      </c>
      <c r="AB1258">
        <f>'raw data Crude oil'!AB1259</f>
        <v>77.44</v>
      </c>
      <c r="AC1258">
        <f>'raw data Crude oil'!AC1259</f>
        <v>76.435000000000002</v>
      </c>
      <c r="AD1258">
        <f>'raw data Crude oil'!AD1259</f>
        <v>75.78</v>
      </c>
      <c r="AE1258">
        <f>'raw data Crude oil'!AE1259</f>
        <v>75.227999999999994</v>
      </c>
      <c r="AF1258">
        <f>'raw data Crude oil'!AF1259</f>
        <v>74.683999999999997</v>
      </c>
      <c r="AG1258">
        <f>'raw data Crude oil'!AG1259</f>
        <v>74.135999999999996</v>
      </c>
      <c r="AH1258">
        <f>'raw data Crude oil'!AH1259</f>
        <v>73.635999999999996</v>
      </c>
      <c r="AI1258">
        <f>'raw data Crude oil'!AI1259</f>
        <v>73.16</v>
      </c>
      <c r="AJ1258">
        <f>'raw data Crude oil'!AJ1259</f>
        <v>72.710999999999999</v>
      </c>
      <c r="AK1258">
        <f>'raw data Crude oil'!AK1259</f>
        <v>72.289000000000001</v>
      </c>
    </row>
    <row r="1259" spans="1:37" x14ac:dyDescent="0.3">
      <c r="A1259" s="18">
        <f>'raw data Crude oil'!A1260</f>
        <v>44515</v>
      </c>
      <c r="B1259">
        <f>'raw data Crude oil'!B1260</f>
        <v>82.05</v>
      </c>
      <c r="C1259">
        <f>'raw data Crude oil'!C1260</f>
        <v>81.05</v>
      </c>
      <c r="D1259">
        <f>'raw data Crude oil'!D1260</f>
        <v>80.14</v>
      </c>
      <c r="E1259">
        <f>'raw data Crude oil'!E1260</f>
        <v>79.34</v>
      </c>
      <c r="F1259">
        <f>'raw data Crude oil'!F1260</f>
        <v>78.62</v>
      </c>
      <c r="G1259">
        <f>'raw data Crude oil'!G1260</f>
        <v>77.94</v>
      </c>
      <c r="H1259">
        <f>'raw data Crude oil'!H1260</f>
        <v>77.290000000000006</v>
      </c>
      <c r="I1259">
        <f>'raw data Crude oil'!I1260</f>
        <v>76.72</v>
      </c>
      <c r="J1259">
        <f>'raw data Crude oil'!J1260</f>
        <v>76.19</v>
      </c>
      <c r="K1259">
        <f>'raw data Crude oil'!K1260</f>
        <v>75.680000000000007</v>
      </c>
      <c r="L1259">
        <f>'raw data Crude oil'!L1260</f>
        <v>75.23</v>
      </c>
      <c r="M1259">
        <f>'raw data Crude oil'!M1260</f>
        <v>74.81</v>
      </c>
      <c r="N1259">
        <f>'raw data Crude oil'!N1260</f>
        <v>80.88</v>
      </c>
      <c r="O1259">
        <f>'raw data Crude oil'!O1260</f>
        <v>79.75</v>
      </c>
      <c r="P1259">
        <f>'raw data Crude oil'!P1260</f>
        <v>78.48</v>
      </c>
      <c r="Q1259">
        <f>'raw data Crude oil'!Q1260</f>
        <v>77.22</v>
      </c>
      <c r="R1259">
        <f>'raw data Crude oil'!R1260</f>
        <v>76.13</v>
      </c>
      <c r="S1259">
        <f>'raw data Crude oil'!S1260</f>
        <v>75.180000000000007</v>
      </c>
      <c r="T1259">
        <f>'raw data Crude oil'!T1260</f>
        <v>74.349999999999994</v>
      </c>
      <c r="U1259">
        <f>'raw data Crude oil'!U1260</f>
        <v>73.61</v>
      </c>
      <c r="V1259">
        <f>'raw data Crude oil'!V1260</f>
        <v>72.98</v>
      </c>
      <c r="W1259">
        <f>'raw data Crude oil'!W1260</f>
        <v>72.39</v>
      </c>
      <c r="X1259">
        <f>'raw data Crude oil'!X1260</f>
        <v>71.87</v>
      </c>
      <c r="Y1259">
        <f>'raw data Crude oil'!Y1260</f>
        <v>71.41</v>
      </c>
      <c r="Z1259">
        <f>'raw data Crude oil'!Z1260</f>
        <v>81.433999999999997</v>
      </c>
      <c r="AA1259">
        <f>'raw data Crude oil'!AA1260</f>
        <v>78.92</v>
      </c>
      <c r="AB1259">
        <f>'raw data Crude oil'!AB1260</f>
        <v>77.421999999999997</v>
      </c>
      <c r="AC1259">
        <f>'raw data Crude oil'!AC1260</f>
        <v>76.483999999999995</v>
      </c>
      <c r="AD1259">
        <f>'raw data Crude oil'!AD1260</f>
        <v>75.844999999999999</v>
      </c>
      <c r="AE1259">
        <f>'raw data Crude oil'!AE1260</f>
        <v>75.296000000000006</v>
      </c>
      <c r="AF1259">
        <f>'raw data Crude oil'!AF1260</f>
        <v>74.698999999999998</v>
      </c>
      <c r="AG1259">
        <f>'raw data Crude oil'!AG1260</f>
        <v>74.131</v>
      </c>
      <c r="AH1259">
        <f>'raw data Crude oil'!AH1260</f>
        <v>73.635999999999996</v>
      </c>
      <c r="AI1259">
        <f>'raw data Crude oil'!AI1260</f>
        <v>73.16</v>
      </c>
      <c r="AJ1259">
        <f>'raw data Crude oil'!AJ1260</f>
        <v>72.710999999999999</v>
      </c>
      <c r="AK1259">
        <f>'raw data Crude oil'!AK1260</f>
        <v>72.289000000000001</v>
      </c>
    </row>
    <row r="1260" spans="1:37" x14ac:dyDescent="0.3">
      <c r="A1260" s="18">
        <f>'raw data Crude oil'!A1261</f>
        <v>44516</v>
      </c>
      <c r="B1260">
        <f>'raw data Crude oil'!B1261</f>
        <v>82.43</v>
      </c>
      <c r="C1260">
        <f>'raw data Crude oil'!C1261</f>
        <v>81.42</v>
      </c>
      <c r="D1260">
        <f>'raw data Crude oil'!D1261</f>
        <v>80.48</v>
      </c>
      <c r="E1260">
        <f>'raw data Crude oil'!E1261</f>
        <v>79.650000000000006</v>
      </c>
      <c r="F1260">
        <f>'raw data Crude oil'!F1261</f>
        <v>78.92</v>
      </c>
      <c r="G1260">
        <f>'raw data Crude oil'!G1261</f>
        <v>78.23</v>
      </c>
      <c r="H1260">
        <f>'raw data Crude oil'!H1261</f>
        <v>77.56</v>
      </c>
      <c r="I1260">
        <f>'raw data Crude oil'!I1261</f>
        <v>76.97</v>
      </c>
      <c r="J1260">
        <f>'raw data Crude oil'!J1261</f>
        <v>76.430000000000007</v>
      </c>
      <c r="K1260">
        <f>'raw data Crude oil'!K1261</f>
        <v>75.91</v>
      </c>
      <c r="L1260">
        <f>'raw data Crude oil'!L1261</f>
        <v>75.459999999999994</v>
      </c>
      <c r="M1260">
        <f>'raw data Crude oil'!M1261</f>
        <v>75.040000000000006</v>
      </c>
      <c r="N1260">
        <f>'raw data Crude oil'!N1261</f>
        <v>80.760000000000005</v>
      </c>
      <c r="O1260">
        <f>'raw data Crude oil'!O1261</f>
        <v>79.739999999999995</v>
      </c>
      <c r="P1260">
        <f>'raw data Crude oil'!P1261</f>
        <v>78.540000000000006</v>
      </c>
      <c r="Q1260">
        <f>'raw data Crude oil'!Q1261</f>
        <v>77.349999999999994</v>
      </c>
      <c r="R1260">
        <f>'raw data Crude oil'!R1261</f>
        <v>76.31</v>
      </c>
      <c r="S1260">
        <f>'raw data Crude oil'!S1261</f>
        <v>75.39</v>
      </c>
      <c r="T1260">
        <f>'raw data Crude oil'!T1261</f>
        <v>74.569999999999993</v>
      </c>
      <c r="U1260">
        <f>'raw data Crude oil'!U1261</f>
        <v>73.84</v>
      </c>
      <c r="V1260">
        <f>'raw data Crude oil'!V1261</f>
        <v>73.19</v>
      </c>
      <c r="W1260">
        <f>'raw data Crude oil'!W1261</f>
        <v>72.59</v>
      </c>
      <c r="X1260">
        <f>'raw data Crude oil'!X1261</f>
        <v>72.06</v>
      </c>
      <c r="Y1260">
        <f>'raw data Crude oil'!Y1261</f>
        <v>71.56</v>
      </c>
      <c r="Z1260">
        <f>'raw data Crude oil'!Z1261</f>
        <v>81.700999999999993</v>
      </c>
      <c r="AA1260">
        <f>'raw data Crude oil'!AA1261</f>
        <v>79.388000000000005</v>
      </c>
      <c r="AB1260">
        <f>'raw data Crude oil'!AB1261</f>
        <v>77.88</v>
      </c>
      <c r="AC1260">
        <f>'raw data Crude oil'!AC1261</f>
        <v>76.953999999999994</v>
      </c>
      <c r="AD1260">
        <f>'raw data Crude oil'!AD1261</f>
        <v>76.3</v>
      </c>
      <c r="AE1260">
        <f>'raw data Crude oil'!AE1261</f>
        <v>75.677000000000007</v>
      </c>
      <c r="AF1260">
        <f>'raw data Crude oil'!AF1261</f>
        <v>75.052999999999997</v>
      </c>
      <c r="AG1260">
        <f>'raw data Crude oil'!AG1261</f>
        <v>74.474999999999994</v>
      </c>
      <c r="AH1260">
        <f>'raw data Crude oil'!AH1261</f>
        <v>73.935000000000002</v>
      </c>
      <c r="AI1260">
        <f>'raw data Crude oil'!AI1261</f>
        <v>73.430000000000007</v>
      </c>
      <c r="AJ1260">
        <f>'raw data Crude oil'!AJ1261</f>
        <v>72.980999999999995</v>
      </c>
      <c r="AK1260">
        <f>'raw data Crude oil'!AK1261</f>
        <v>72.558999999999997</v>
      </c>
    </row>
    <row r="1261" spans="1:37" x14ac:dyDescent="0.3">
      <c r="A1261" s="18">
        <f>'raw data Crude oil'!A1262</f>
        <v>44517</v>
      </c>
      <c r="B1261">
        <f>'raw data Crude oil'!B1262</f>
        <v>80.28</v>
      </c>
      <c r="C1261">
        <f>'raw data Crude oil'!C1262</f>
        <v>79.34</v>
      </c>
      <c r="D1261">
        <f>'raw data Crude oil'!D1262</f>
        <v>78.489999999999995</v>
      </c>
      <c r="E1261">
        <f>'raw data Crude oil'!E1262</f>
        <v>77.77</v>
      </c>
      <c r="F1261">
        <f>'raw data Crude oil'!F1262</f>
        <v>77.11</v>
      </c>
      <c r="G1261">
        <f>'raw data Crude oil'!G1262</f>
        <v>76.489999999999995</v>
      </c>
      <c r="H1261">
        <f>'raw data Crude oil'!H1262</f>
        <v>75.88</v>
      </c>
      <c r="I1261">
        <f>'raw data Crude oil'!I1262</f>
        <v>75.349999999999994</v>
      </c>
      <c r="J1261">
        <f>'raw data Crude oil'!J1262</f>
        <v>74.87</v>
      </c>
      <c r="K1261">
        <f>'raw data Crude oil'!K1262</f>
        <v>74.400000000000006</v>
      </c>
      <c r="L1261">
        <f>'raw data Crude oil'!L1262</f>
        <v>73.989999999999995</v>
      </c>
      <c r="M1261">
        <f>'raw data Crude oil'!M1262</f>
        <v>73.62</v>
      </c>
      <c r="N1261">
        <f>'raw data Crude oil'!N1262</f>
        <v>78.36</v>
      </c>
      <c r="O1261">
        <f>'raw data Crude oil'!O1262</f>
        <v>77.55</v>
      </c>
      <c r="P1261">
        <f>'raw data Crude oil'!P1262</f>
        <v>76.56</v>
      </c>
      <c r="Q1261">
        <f>'raw data Crude oil'!Q1262</f>
        <v>75.53</v>
      </c>
      <c r="R1261">
        <f>'raw data Crude oil'!R1262</f>
        <v>74.599999999999994</v>
      </c>
      <c r="S1261">
        <f>'raw data Crude oil'!S1262</f>
        <v>73.760000000000005</v>
      </c>
      <c r="T1261">
        <f>'raw data Crude oil'!T1262</f>
        <v>73.02</v>
      </c>
      <c r="U1261">
        <f>'raw data Crude oil'!U1262</f>
        <v>72.349999999999994</v>
      </c>
      <c r="V1261">
        <f>'raw data Crude oil'!V1262</f>
        <v>71.75</v>
      </c>
      <c r="W1261">
        <f>'raw data Crude oil'!W1262</f>
        <v>71.2</v>
      </c>
      <c r="X1261">
        <f>'raw data Crude oil'!X1262</f>
        <v>70.7</v>
      </c>
      <c r="Y1261">
        <f>'raw data Crude oil'!Y1262</f>
        <v>70.239999999999995</v>
      </c>
      <c r="Z1261">
        <f>'raw data Crude oil'!Z1262</f>
        <v>80.781000000000006</v>
      </c>
      <c r="AA1261">
        <f>'raw data Crude oil'!AA1262</f>
        <v>77.296000000000006</v>
      </c>
      <c r="AB1261">
        <f>'raw data Crude oil'!AB1262</f>
        <v>75.944999999999993</v>
      </c>
      <c r="AC1261">
        <f>'raw data Crude oil'!AC1262</f>
        <v>75.159000000000006</v>
      </c>
      <c r="AD1261">
        <f>'raw data Crude oil'!AD1262</f>
        <v>74.572999999999993</v>
      </c>
      <c r="AE1261">
        <f>'raw data Crude oil'!AE1262</f>
        <v>74</v>
      </c>
      <c r="AF1261">
        <f>'raw data Crude oil'!AF1262</f>
        <v>73.436000000000007</v>
      </c>
      <c r="AG1261">
        <f>'raw data Crude oil'!AG1262</f>
        <v>72.912999999999997</v>
      </c>
      <c r="AH1261">
        <f>'raw data Crude oil'!AH1262</f>
        <v>72.427999999999997</v>
      </c>
      <c r="AI1261">
        <f>'raw data Crude oil'!AI1262</f>
        <v>71.962000000000003</v>
      </c>
      <c r="AJ1261">
        <f>'raw data Crude oil'!AJ1262</f>
        <v>71.552999999999997</v>
      </c>
      <c r="AK1261">
        <f>'raw data Crude oil'!AK1262</f>
        <v>71.180000000000007</v>
      </c>
    </row>
    <row r="1262" spans="1:37" x14ac:dyDescent="0.3">
      <c r="A1262" s="18">
        <f>'raw data Crude oil'!A1263</f>
        <v>44518</v>
      </c>
      <c r="B1262">
        <f>'raw data Crude oil'!B1263</f>
        <v>81.239999999999995</v>
      </c>
      <c r="C1262">
        <f>'raw data Crude oil'!C1263</f>
        <v>80.36</v>
      </c>
      <c r="D1262">
        <f>'raw data Crude oil'!D1263</f>
        <v>79.55</v>
      </c>
      <c r="E1262">
        <f>'raw data Crude oil'!E1263</f>
        <v>78.849999999999994</v>
      </c>
      <c r="F1262">
        <f>'raw data Crude oil'!F1263</f>
        <v>78.2</v>
      </c>
      <c r="G1262">
        <f>'raw data Crude oil'!G1263</f>
        <v>77.599999999999994</v>
      </c>
      <c r="H1262">
        <f>'raw data Crude oil'!H1263</f>
        <v>76.989999999999995</v>
      </c>
      <c r="I1262">
        <f>'raw data Crude oil'!I1263</f>
        <v>76.45</v>
      </c>
      <c r="J1262">
        <f>'raw data Crude oil'!J1263</f>
        <v>75.94</v>
      </c>
      <c r="K1262">
        <f>'raw data Crude oil'!K1263</f>
        <v>75.430000000000007</v>
      </c>
      <c r="L1262">
        <f>'raw data Crude oil'!L1263</f>
        <v>74.98</v>
      </c>
      <c r="M1262">
        <f>'raw data Crude oil'!M1263</f>
        <v>74.569999999999993</v>
      </c>
      <c r="N1262">
        <f>'raw data Crude oil'!N1263</f>
        <v>79.010000000000005</v>
      </c>
      <c r="O1262">
        <f>'raw data Crude oil'!O1263</f>
        <v>78.41</v>
      </c>
      <c r="P1262">
        <f>'raw data Crude oil'!P1263</f>
        <v>77.55</v>
      </c>
      <c r="Q1262">
        <f>'raw data Crude oil'!Q1263</f>
        <v>76.62</v>
      </c>
      <c r="R1262">
        <f>'raw data Crude oil'!R1263</f>
        <v>75.760000000000005</v>
      </c>
      <c r="S1262">
        <f>'raw data Crude oil'!S1263</f>
        <v>74.97</v>
      </c>
      <c r="T1262">
        <f>'raw data Crude oil'!T1263</f>
        <v>74.25</v>
      </c>
      <c r="U1262">
        <f>'raw data Crude oil'!U1263</f>
        <v>73.569999999999993</v>
      </c>
      <c r="V1262">
        <f>'raw data Crude oil'!V1263</f>
        <v>72.95</v>
      </c>
      <c r="W1262">
        <f>'raw data Crude oil'!W1263</f>
        <v>72.36</v>
      </c>
      <c r="X1262">
        <f>'raw data Crude oil'!X1263</f>
        <v>71.81</v>
      </c>
      <c r="Y1262">
        <f>'raw data Crude oil'!Y1263</f>
        <v>71.3</v>
      </c>
      <c r="Z1262">
        <f>'raw data Crude oil'!Z1263</f>
        <v>81.081999999999994</v>
      </c>
      <c r="AA1262">
        <f>'raw data Crude oil'!AA1263</f>
        <v>78.28</v>
      </c>
      <c r="AB1262">
        <f>'raw data Crude oil'!AB1263</f>
        <v>76.936999999999998</v>
      </c>
      <c r="AC1262">
        <f>'raw data Crude oil'!AC1263</f>
        <v>76.188000000000002</v>
      </c>
      <c r="AD1262">
        <f>'raw data Crude oil'!AD1263</f>
        <v>75.623999999999995</v>
      </c>
      <c r="AE1262">
        <f>'raw data Crude oil'!AE1263</f>
        <v>75.069999999999993</v>
      </c>
      <c r="AF1262">
        <f>'raw data Crude oil'!AF1263</f>
        <v>74.52</v>
      </c>
      <c r="AG1262">
        <f>'raw data Crude oil'!AG1263</f>
        <v>73.986999999999995</v>
      </c>
      <c r="AH1262">
        <f>'raw data Crude oil'!AH1263</f>
        <v>73.475999999999999</v>
      </c>
      <c r="AI1262">
        <f>'raw data Crude oil'!AI1263</f>
        <v>72.98</v>
      </c>
      <c r="AJ1262">
        <f>'raw data Crude oil'!AJ1263</f>
        <v>72.531000000000006</v>
      </c>
      <c r="AK1262">
        <f>'raw data Crude oil'!AK1263</f>
        <v>72.119</v>
      </c>
    </row>
    <row r="1263" spans="1:37" x14ac:dyDescent="0.3">
      <c r="A1263" s="18">
        <f>'raw data Crude oil'!A1264</f>
        <v>44519</v>
      </c>
      <c r="B1263">
        <f>'raw data Crude oil'!B1264</f>
        <v>78.89</v>
      </c>
      <c r="C1263">
        <f>'raw data Crude oil'!C1264</f>
        <v>78.12</v>
      </c>
      <c r="D1263">
        <f>'raw data Crude oil'!D1264</f>
        <v>77.37</v>
      </c>
      <c r="E1263">
        <f>'raw data Crude oil'!E1264</f>
        <v>76.73</v>
      </c>
      <c r="F1263">
        <f>'raw data Crude oil'!F1264</f>
        <v>76.14</v>
      </c>
      <c r="G1263">
        <f>'raw data Crude oil'!G1264</f>
        <v>75.59</v>
      </c>
      <c r="H1263">
        <f>'raw data Crude oil'!H1264</f>
        <v>75.03</v>
      </c>
      <c r="I1263">
        <f>'raw data Crude oil'!I1264</f>
        <v>74.52</v>
      </c>
      <c r="J1263">
        <f>'raw data Crude oil'!J1264</f>
        <v>74.040000000000006</v>
      </c>
      <c r="K1263">
        <f>'raw data Crude oil'!K1264</f>
        <v>73.56</v>
      </c>
      <c r="L1263">
        <f>'raw data Crude oil'!L1264</f>
        <v>73.14</v>
      </c>
      <c r="M1263">
        <f>'raw data Crude oil'!M1264</f>
        <v>72.75</v>
      </c>
      <c r="N1263">
        <f>'raw data Crude oil'!N1264</f>
        <v>76.099999999999994</v>
      </c>
      <c r="O1263">
        <f>'raw data Crude oil'!O1264</f>
        <v>75.94</v>
      </c>
      <c r="P1263">
        <f>'raw data Crude oil'!P1264</f>
        <v>75.23</v>
      </c>
      <c r="Q1263">
        <f>'raw data Crude oil'!Q1264</f>
        <v>74.42</v>
      </c>
      <c r="R1263">
        <f>'raw data Crude oil'!R1264</f>
        <v>73.66</v>
      </c>
      <c r="S1263">
        <f>'raw data Crude oil'!S1264</f>
        <v>72.95</v>
      </c>
      <c r="T1263">
        <f>'raw data Crude oil'!T1264</f>
        <v>72.290000000000006</v>
      </c>
      <c r="U1263">
        <f>'raw data Crude oil'!U1264</f>
        <v>71.67</v>
      </c>
      <c r="V1263">
        <f>'raw data Crude oil'!V1264</f>
        <v>71.09</v>
      </c>
      <c r="W1263">
        <f>'raw data Crude oil'!W1264</f>
        <v>70.55</v>
      </c>
      <c r="X1263">
        <f>'raw data Crude oil'!X1264</f>
        <v>70.03</v>
      </c>
      <c r="Y1263">
        <f>'raw data Crude oil'!Y1264</f>
        <v>69.540000000000006</v>
      </c>
      <c r="Z1263">
        <f>'raw data Crude oil'!Z1264</f>
        <v>80.293000000000006</v>
      </c>
      <c r="AA1263">
        <f>'raw data Crude oil'!AA1264</f>
        <v>76.174999999999997</v>
      </c>
      <c r="AB1263">
        <f>'raw data Crude oil'!AB1264</f>
        <v>74.790000000000006</v>
      </c>
      <c r="AC1263">
        <f>'raw data Crude oil'!AC1264</f>
        <v>74.085999999999999</v>
      </c>
      <c r="AD1263">
        <f>'raw data Crude oil'!AD1264</f>
        <v>73.555999999999997</v>
      </c>
      <c r="AE1263">
        <f>'raw data Crude oil'!AE1264</f>
        <v>73.031999999999996</v>
      </c>
      <c r="AF1263">
        <f>'raw data Crude oil'!AF1264</f>
        <v>72.516999999999996</v>
      </c>
      <c r="AG1263">
        <f>'raw data Crude oil'!AG1264</f>
        <v>72.018000000000001</v>
      </c>
      <c r="AH1263">
        <f>'raw data Crude oil'!AH1264</f>
        <v>71.546999999999997</v>
      </c>
      <c r="AI1263">
        <f>'raw data Crude oil'!AI1264</f>
        <v>71.081999999999994</v>
      </c>
      <c r="AJ1263">
        <f>'raw data Crude oil'!AJ1264</f>
        <v>70.662000000000006</v>
      </c>
      <c r="AK1263">
        <f>'raw data Crude oil'!AK1264</f>
        <v>70.27</v>
      </c>
    </row>
    <row r="1264" spans="1:37" x14ac:dyDescent="0.3">
      <c r="A1264" s="18">
        <f>'raw data Crude oil'!A1265</f>
        <v>44522</v>
      </c>
      <c r="B1264">
        <f>'raw data Crude oil'!B1265</f>
        <v>79.7</v>
      </c>
      <c r="C1264">
        <f>'raw data Crude oil'!C1265</f>
        <v>79.03</v>
      </c>
      <c r="D1264">
        <f>'raw data Crude oil'!D1265</f>
        <v>78.349999999999994</v>
      </c>
      <c r="E1264">
        <f>'raw data Crude oil'!E1265</f>
        <v>77.760000000000005</v>
      </c>
      <c r="F1264">
        <f>'raw data Crude oil'!F1265</f>
        <v>77.2</v>
      </c>
      <c r="G1264">
        <f>'raw data Crude oil'!G1265</f>
        <v>76.66</v>
      </c>
      <c r="H1264">
        <f>'raw data Crude oil'!H1265</f>
        <v>76.099999999999994</v>
      </c>
      <c r="I1264">
        <f>'raw data Crude oil'!I1265</f>
        <v>75.59</v>
      </c>
      <c r="J1264">
        <f>'raw data Crude oil'!J1265</f>
        <v>75.11</v>
      </c>
      <c r="K1264">
        <f>'raw data Crude oil'!K1265</f>
        <v>74.62</v>
      </c>
      <c r="L1264">
        <f>'raw data Crude oil'!L1265</f>
        <v>74.19</v>
      </c>
      <c r="M1264">
        <f>'raw data Crude oil'!M1265</f>
        <v>73.790000000000006</v>
      </c>
      <c r="N1264">
        <f>'raw data Crude oil'!N1265</f>
        <v>76.75</v>
      </c>
      <c r="O1264">
        <f>'raw data Crude oil'!O1265</f>
        <v>76.12</v>
      </c>
      <c r="P1264">
        <f>'raw data Crude oil'!P1265</f>
        <v>75.39</v>
      </c>
      <c r="Q1264">
        <f>'raw data Crude oil'!Q1265</f>
        <v>74.7</v>
      </c>
      <c r="R1264">
        <f>'raw data Crude oil'!R1265</f>
        <v>74.03</v>
      </c>
      <c r="S1264">
        <f>'raw data Crude oil'!S1265</f>
        <v>73.41</v>
      </c>
      <c r="T1264">
        <f>'raw data Crude oil'!T1265</f>
        <v>72.83</v>
      </c>
      <c r="U1264">
        <f>'raw data Crude oil'!U1265</f>
        <v>72.27</v>
      </c>
      <c r="V1264">
        <f>'raw data Crude oil'!V1265</f>
        <v>71.73</v>
      </c>
      <c r="W1264">
        <f>'raw data Crude oil'!W1265</f>
        <v>71.2</v>
      </c>
      <c r="X1264">
        <f>'raw data Crude oil'!X1265</f>
        <v>70.7</v>
      </c>
      <c r="Y1264">
        <f>'raw data Crude oil'!Y1265</f>
        <v>70.22</v>
      </c>
      <c r="Z1264">
        <f>'raw data Crude oil'!Z1265</f>
        <v>80.644000000000005</v>
      </c>
      <c r="AA1264">
        <f>'raw data Crude oil'!AA1265</f>
        <v>77.210999999999999</v>
      </c>
      <c r="AB1264">
        <f>'raw data Crude oil'!AB1265</f>
        <v>75.84</v>
      </c>
      <c r="AC1264">
        <f>'raw data Crude oil'!AC1265</f>
        <v>75.159000000000006</v>
      </c>
      <c r="AD1264">
        <f>'raw data Crude oil'!AD1265</f>
        <v>74.626999999999995</v>
      </c>
      <c r="AE1264">
        <f>'raw data Crude oil'!AE1265</f>
        <v>74.091999999999999</v>
      </c>
      <c r="AF1264">
        <f>'raw data Crude oil'!AF1265</f>
        <v>73.587000000000003</v>
      </c>
      <c r="AG1264">
        <f>'raw data Crude oil'!AG1265</f>
        <v>73.097999999999999</v>
      </c>
      <c r="AH1264">
        <f>'raw data Crude oil'!AH1265</f>
        <v>72.617000000000004</v>
      </c>
      <c r="AI1264">
        <f>'raw data Crude oil'!AI1265</f>
        <v>72.146000000000001</v>
      </c>
      <c r="AJ1264">
        <f>'raw data Crude oil'!AJ1265</f>
        <v>71.712000000000003</v>
      </c>
      <c r="AK1264">
        <f>'raw data Crude oil'!AK1265</f>
        <v>71.299000000000007</v>
      </c>
    </row>
    <row r="1265" spans="1:37" x14ac:dyDescent="0.3">
      <c r="A1265" s="18">
        <f>'raw data Crude oil'!A1266</f>
        <v>44523</v>
      </c>
      <c r="B1265">
        <f>'raw data Crude oil'!B1266</f>
        <v>82.31</v>
      </c>
      <c r="C1265">
        <f>'raw data Crude oil'!C1266</f>
        <v>81.33</v>
      </c>
      <c r="D1265">
        <f>'raw data Crude oil'!D1266</f>
        <v>80.66</v>
      </c>
      <c r="E1265">
        <f>'raw data Crude oil'!E1266</f>
        <v>80.05</v>
      </c>
      <c r="F1265">
        <f>'raw data Crude oil'!F1266</f>
        <v>79.459999999999994</v>
      </c>
      <c r="G1265">
        <f>'raw data Crude oil'!G1266</f>
        <v>78.88</v>
      </c>
      <c r="H1265">
        <f>'raw data Crude oil'!H1266</f>
        <v>78.290000000000006</v>
      </c>
      <c r="I1265">
        <f>'raw data Crude oil'!I1266</f>
        <v>77.75</v>
      </c>
      <c r="J1265">
        <f>'raw data Crude oil'!J1266</f>
        <v>77.239999999999995</v>
      </c>
      <c r="K1265">
        <f>'raw data Crude oil'!K1266</f>
        <v>76.72</v>
      </c>
      <c r="L1265">
        <f>'raw data Crude oil'!L1266</f>
        <v>76.25</v>
      </c>
      <c r="M1265">
        <f>'raw data Crude oil'!M1266</f>
        <v>75.81</v>
      </c>
      <c r="N1265">
        <f>'raw data Crude oil'!N1266</f>
        <v>78.5</v>
      </c>
      <c r="O1265">
        <f>'raw data Crude oil'!O1266</f>
        <v>77.94</v>
      </c>
      <c r="P1265">
        <f>'raw data Crude oil'!P1266</f>
        <v>77.27</v>
      </c>
      <c r="Q1265">
        <f>'raw data Crude oil'!Q1266</f>
        <v>76.64</v>
      </c>
      <c r="R1265">
        <f>'raw data Crude oil'!R1266</f>
        <v>76.02</v>
      </c>
      <c r="S1265">
        <f>'raw data Crude oil'!S1266</f>
        <v>75.41</v>
      </c>
      <c r="T1265">
        <f>'raw data Crude oil'!T1266</f>
        <v>74.81</v>
      </c>
      <c r="U1265">
        <f>'raw data Crude oil'!U1266</f>
        <v>74.22</v>
      </c>
      <c r="V1265">
        <f>'raw data Crude oil'!V1266</f>
        <v>73.64</v>
      </c>
      <c r="W1265">
        <f>'raw data Crude oil'!W1266</f>
        <v>73.069999999999993</v>
      </c>
      <c r="X1265">
        <f>'raw data Crude oil'!X1266</f>
        <v>72.540000000000006</v>
      </c>
      <c r="Y1265">
        <f>'raw data Crude oil'!Y1266</f>
        <v>72.03</v>
      </c>
      <c r="Z1265">
        <f>'raw data Crude oil'!Z1266</f>
        <v>81.22</v>
      </c>
      <c r="AA1265">
        <f>'raw data Crude oil'!AA1266</f>
        <v>79.682000000000002</v>
      </c>
      <c r="AB1265">
        <f>'raw data Crude oil'!AB1266</f>
        <v>78.281000000000006</v>
      </c>
      <c r="AC1265">
        <f>'raw data Crude oil'!AC1266</f>
        <v>77.540999999999997</v>
      </c>
      <c r="AD1265">
        <f>'raw data Crude oil'!AD1266</f>
        <v>76.974999999999994</v>
      </c>
      <c r="AE1265">
        <f>'raw data Crude oil'!AE1266</f>
        <v>76.411000000000001</v>
      </c>
      <c r="AF1265">
        <f>'raw data Crude oil'!AF1266</f>
        <v>75.885000000000005</v>
      </c>
      <c r="AG1265">
        <f>'raw data Crude oil'!AG1266</f>
        <v>75.367000000000004</v>
      </c>
      <c r="AH1265">
        <f>'raw data Crude oil'!AH1266</f>
        <v>74.87</v>
      </c>
      <c r="AI1265">
        <f>'raw data Crude oil'!AI1266</f>
        <v>74.355000000000004</v>
      </c>
      <c r="AJ1265">
        <f>'raw data Crude oil'!AJ1266</f>
        <v>73.885000000000005</v>
      </c>
      <c r="AK1265">
        <f>'raw data Crude oil'!AK1266</f>
        <v>73.438000000000002</v>
      </c>
    </row>
    <row r="1266" spans="1:37" x14ac:dyDescent="0.3">
      <c r="A1266" s="18">
        <f>'raw data Crude oil'!A1267</f>
        <v>44524</v>
      </c>
      <c r="B1266">
        <f>'raw data Crude oil'!B1267</f>
        <v>82.25</v>
      </c>
      <c r="C1266">
        <f>'raw data Crude oil'!C1267</f>
        <v>81.05</v>
      </c>
      <c r="D1266">
        <f>'raw data Crude oil'!D1267</f>
        <v>80.42</v>
      </c>
      <c r="E1266">
        <f>'raw data Crude oil'!E1267</f>
        <v>79.83</v>
      </c>
      <c r="F1266">
        <f>'raw data Crude oil'!F1267</f>
        <v>79.25</v>
      </c>
      <c r="G1266">
        <f>'raw data Crude oil'!G1267</f>
        <v>78.66</v>
      </c>
      <c r="H1266">
        <f>'raw data Crude oil'!H1267</f>
        <v>78.069999999999993</v>
      </c>
      <c r="I1266">
        <f>'raw data Crude oil'!I1267</f>
        <v>77.52</v>
      </c>
      <c r="J1266">
        <f>'raw data Crude oil'!J1267</f>
        <v>77</v>
      </c>
      <c r="K1266">
        <f>'raw data Crude oil'!K1267</f>
        <v>76.48</v>
      </c>
      <c r="L1266">
        <f>'raw data Crude oil'!L1267</f>
        <v>76</v>
      </c>
      <c r="M1266">
        <f>'raw data Crude oil'!M1267</f>
        <v>75.55</v>
      </c>
      <c r="N1266">
        <f>'raw data Crude oil'!N1267</f>
        <v>78.39</v>
      </c>
      <c r="O1266">
        <f>'raw data Crude oil'!O1267</f>
        <v>77.81</v>
      </c>
      <c r="P1266">
        <f>'raw data Crude oil'!P1267</f>
        <v>77.150000000000006</v>
      </c>
      <c r="Q1266">
        <f>'raw data Crude oil'!Q1267</f>
        <v>76.510000000000005</v>
      </c>
      <c r="R1266">
        <f>'raw data Crude oil'!R1267</f>
        <v>75.88</v>
      </c>
      <c r="S1266">
        <f>'raw data Crude oil'!S1267</f>
        <v>75.25</v>
      </c>
      <c r="T1266">
        <f>'raw data Crude oil'!T1267</f>
        <v>74.650000000000006</v>
      </c>
      <c r="U1266">
        <f>'raw data Crude oil'!U1267</f>
        <v>74.06</v>
      </c>
      <c r="V1266">
        <f>'raw data Crude oil'!V1267</f>
        <v>73.48</v>
      </c>
      <c r="W1266">
        <f>'raw data Crude oil'!W1267</f>
        <v>72.91</v>
      </c>
      <c r="X1266">
        <f>'raw data Crude oil'!X1267</f>
        <v>72.37</v>
      </c>
      <c r="Y1266">
        <f>'raw data Crude oil'!Y1267</f>
        <v>71.86</v>
      </c>
      <c r="Z1266">
        <f>'raw data Crude oil'!Z1267</f>
        <v>81.244</v>
      </c>
      <c r="AA1266">
        <f>'raw data Crude oil'!AA1267</f>
        <v>79.605000000000004</v>
      </c>
      <c r="AB1266">
        <f>'raw data Crude oil'!AB1267</f>
        <v>78.061999999999998</v>
      </c>
      <c r="AC1266">
        <f>'raw data Crude oil'!AC1267</f>
        <v>77.320999999999998</v>
      </c>
      <c r="AD1266">
        <f>'raw data Crude oil'!AD1267</f>
        <v>76.754000000000005</v>
      </c>
      <c r="AE1266">
        <f>'raw data Crude oil'!AE1267</f>
        <v>76.19</v>
      </c>
      <c r="AF1266">
        <f>'raw data Crude oil'!AF1267</f>
        <v>75.655000000000001</v>
      </c>
      <c r="AG1266">
        <f>'raw data Crude oil'!AG1267</f>
        <v>75.116</v>
      </c>
      <c r="AH1266">
        <f>'raw data Crude oil'!AH1267</f>
        <v>74.594999999999999</v>
      </c>
      <c r="AI1266">
        <f>'raw data Crude oil'!AI1267</f>
        <v>74.088999999999999</v>
      </c>
      <c r="AJ1266">
        <f>'raw data Crude oil'!AJ1267</f>
        <v>73.62</v>
      </c>
      <c r="AK1266">
        <f>'raw data Crude oil'!AK1267</f>
        <v>73.168000000000006</v>
      </c>
    </row>
    <row r="1267" spans="1:37" x14ac:dyDescent="0.3">
      <c r="A1267" s="18">
        <f>'raw data Crude oil'!A1268</f>
        <v>44525</v>
      </c>
      <c r="B1267">
        <f>'raw data Crude oil'!B1268</f>
        <v>82.22</v>
      </c>
      <c r="C1267">
        <f>'raw data Crude oil'!C1268</f>
        <v>80.92</v>
      </c>
      <c r="D1267">
        <f>'raw data Crude oil'!D1268</f>
        <v>80.36</v>
      </c>
      <c r="E1267">
        <f>'raw data Crude oil'!E1268</f>
        <v>79.8</v>
      </c>
      <c r="F1267">
        <f>'raw data Crude oil'!F1268</f>
        <v>79.239999999999995</v>
      </c>
      <c r="G1267">
        <f>'raw data Crude oil'!G1268</f>
        <v>78.66</v>
      </c>
      <c r="H1267">
        <f>'raw data Crude oil'!H1268</f>
        <v>78.08</v>
      </c>
      <c r="I1267">
        <f>'raw data Crude oil'!I1268</f>
        <v>77.55</v>
      </c>
      <c r="J1267">
        <f>'raw data Crude oil'!J1268</f>
        <v>77.06</v>
      </c>
      <c r="K1267">
        <f>'raw data Crude oil'!K1268</f>
        <v>76.58</v>
      </c>
      <c r="L1267">
        <f>'raw data Crude oil'!L1268</f>
        <v>76.14</v>
      </c>
      <c r="M1267">
        <f>'raw data Crude oil'!M1268</f>
        <v>75.73</v>
      </c>
      <c r="N1267">
        <f>'raw data Crude oil'!N1268</f>
        <v>78.39</v>
      </c>
      <c r="O1267">
        <f>'raw data Crude oil'!O1268</f>
        <v>77.81</v>
      </c>
      <c r="P1267">
        <f>'raw data Crude oil'!P1268</f>
        <v>77.150000000000006</v>
      </c>
      <c r="Q1267">
        <f>'raw data Crude oil'!Q1268</f>
        <v>76.510000000000005</v>
      </c>
      <c r="R1267">
        <f>'raw data Crude oil'!R1268</f>
        <v>75.88</v>
      </c>
      <c r="S1267">
        <f>'raw data Crude oil'!S1268</f>
        <v>75.25</v>
      </c>
      <c r="T1267">
        <f>'raw data Crude oil'!T1268</f>
        <v>74.650000000000006</v>
      </c>
      <c r="U1267">
        <f>'raw data Crude oil'!U1268</f>
        <v>74.06</v>
      </c>
      <c r="V1267">
        <f>'raw data Crude oil'!V1268</f>
        <v>73.48</v>
      </c>
      <c r="W1267">
        <f>'raw data Crude oil'!W1268</f>
        <v>72.91</v>
      </c>
      <c r="X1267">
        <f>'raw data Crude oil'!X1268</f>
        <v>72.37</v>
      </c>
      <c r="Y1267">
        <f>'raw data Crude oil'!Y1268</f>
        <v>71.86</v>
      </c>
      <c r="Z1267">
        <f>'raw data Crude oil'!Z1268</f>
        <v>81.197999999999993</v>
      </c>
      <c r="AA1267">
        <f>'raw data Crude oil'!AA1268</f>
        <v>79.343999999999994</v>
      </c>
      <c r="AB1267">
        <f>'raw data Crude oil'!AB1268</f>
        <v>77.893000000000001</v>
      </c>
      <c r="AC1267">
        <f>'raw data Crude oil'!AC1268</f>
        <v>77.231999999999999</v>
      </c>
      <c r="AD1267">
        <f>'raw data Crude oil'!AD1268</f>
        <v>76.704999999999998</v>
      </c>
      <c r="AE1267">
        <f>'raw data Crude oil'!AE1268</f>
        <v>76.161000000000001</v>
      </c>
      <c r="AF1267">
        <f>'raw data Crude oil'!AF1268</f>
        <v>75.635999999999996</v>
      </c>
      <c r="AG1267">
        <f>'raw data Crude oil'!AG1268</f>
        <v>75.108000000000004</v>
      </c>
      <c r="AH1267">
        <f>'raw data Crude oil'!AH1268</f>
        <v>74.596999999999994</v>
      </c>
      <c r="AI1267">
        <f>'raw data Crude oil'!AI1268</f>
        <v>74.090999999999994</v>
      </c>
      <c r="AJ1267">
        <f>'raw data Crude oil'!AJ1268</f>
        <v>73.650999999999996</v>
      </c>
      <c r="AK1267">
        <f>'raw data Crude oil'!AK1268</f>
        <v>73.22</v>
      </c>
    </row>
    <row r="1268" spans="1:37" x14ac:dyDescent="0.3">
      <c r="A1268" s="18">
        <f>'raw data Crude oil'!A1269</f>
        <v>44526</v>
      </c>
      <c r="B1268">
        <f>'raw data Crude oil'!B1269</f>
        <v>72.72</v>
      </c>
      <c r="C1268">
        <f>'raw data Crude oil'!C1269</f>
        <v>71.59</v>
      </c>
      <c r="D1268">
        <f>'raw data Crude oil'!D1269</f>
        <v>71.209999999999994</v>
      </c>
      <c r="E1268">
        <f>'raw data Crude oil'!E1269</f>
        <v>70.83</v>
      </c>
      <c r="F1268">
        <f>'raw data Crude oil'!F1269</f>
        <v>70.400000000000006</v>
      </c>
      <c r="G1268">
        <f>'raw data Crude oil'!G1269</f>
        <v>69.94</v>
      </c>
      <c r="H1268">
        <f>'raw data Crude oil'!H1269</f>
        <v>69.459999999999994</v>
      </c>
      <c r="I1268">
        <f>'raw data Crude oil'!I1269</f>
        <v>69.05</v>
      </c>
      <c r="J1268">
        <f>'raw data Crude oil'!J1269</f>
        <v>68.680000000000007</v>
      </c>
      <c r="K1268">
        <f>'raw data Crude oil'!K1269</f>
        <v>68.319999999999993</v>
      </c>
      <c r="L1268">
        <f>'raw data Crude oil'!L1269</f>
        <v>68.02</v>
      </c>
      <c r="M1268">
        <f>'raw data Crude oil'!M1269</f>
        <v>67.739999999999995</v>
      </c>
      <c r="N1268">
        <f>'raw data Crude oil'!N1269</f>
        <v>68.150000000000006</v>
      </c>
      <c r="O1268">
        <f>'raw data Crude oil'!O1269</f>
        <v>67.84</v>
      </c>
      <c r="P1268">
        <f>'raw data Crude oil'!P1269</f>
        <v>67.48</v>
      </c>
      <c r="Q1268">
        <f>'raw data Crude oil'!Q1269</f>
        <v>67.09</v>
      </c>
      <c r="R1268">
        <f>'raw data Crude oil'!R1269</f>
        <v>66.7</v>
      </c>
      <c r="S1268">
        <f>'raw data Crude oil'!S1269</f>
        <v>66.3</v>
      </c>
      <c r="T1268">
        <f>'raw data Crude oil'!T1269</f>
        <v>65.91</v>
      </c>
      <c r="U1268">
        <f>'raw data Crude oil'!U1269</f>
        <v>65.52</v>
      </c>
      <c r="V1268">
        <f>'raw data Crude oil'!V1269</f>
        <v>65.12</v>
      </c>
      <c r="W1268">
        <f>'raw data Crude oil'!W1269</f>
        <v>64.73</v>
      </c>
      <c r="X1268">
        <f>'raw data Crude oil'!X1269</f>
        <v>64.36</v>
      </c>
      <c r="Y1268">
        <f>'raw data Crude oil'!Y1269</f>
        <v>63.98</v>
      </c>
      <c r="Z1268">
        <f>'raw data Crude oil'!Z1269</f>
        <v>80.117000000000004</v>
      </c>
      <c r="AA1268">
        <f>'raw data Crude oil'!AA1269</f>
        <v>70.122</v>
      </c>
      <c r="AB1268">
        <f>'raw data Crude oil'!AB1269</f>
        <v>68.882000000000005</v>
      </c>
      <c r="AC1268">
        <f>'raw data Crude oil'!AC1269</f>
        <v>68.409000000000006</v>
      </c>
      <c r="AD1268">
        <f>'raw data Crude oil'!AD1269</f>
        <v>67.98</v>
      </c>
      <c r="AE1268">
        <f>'raw data Crude oil'!AE1269</f>
        <v>67.566000000000003</v>
      </c>
      <c r="AF1268">
        <f>'raw data Crude oil'!AF1269</f>
        <v>67.090999999999994</v>
      </c>
      <c r="AG1268">
        <f>'raw data Crude oil'!AG1269</f>
        <v>66.683000000000007</v>
      </c>
      <c r="AH1268">
        <f>'raw data Crude oil'!AH1269</f>
        <v>66.352999999999994</v>
      </c>
      <c r="AI1268">
        <f>'raw data Crude oil'!AI1269</f>
        <v>65.997</v>
      </c>
      <c r="AJ1268">
        <f>'raw data Crude oil'!AJ1269</f>
        <v>65.667000000000002</v>
      </c>
      <c r="AK1268">
        <f>'raw data Crude oil'!AK1269</f>
        <v>65.355999999999995</v>
      </c>
    </row>
    <row r="1269" spans="1:37" x14ac:dyDescent="0.3">
      <c r="A1269" s="18">
        <f>'raw data Crude oil'!A1270</f>
        <v>44529</v>
      </c>
      <c r="B1269">
        <f>'raw data Crude oil'!B1270</f>
        <v>73.44</v>
      </c>
      <c r="C1269">
        <f>'raw data Crude oil'!C1270</f>
        <v>73.22</v>
      </c>
      <c r="D1269">
        <f>'raw data Crude oil'!D1270</f>
        <v>72.84</v>
      </c>
      <c r="E1269">
        <f>'raw data Crude oil'!E1270</f>
        <v>72.459999999999994</v>
      </c>
      <c r="F1269">
        <f>'raw data Crude oil'!F1270</f>
        <v>72.069999999999993</v>
      </c>
      <c r="G1269">
        <f>'raw data Crude oil'!G1270</f>
        <v>71.62</v>
      </c>
      <c r="H1269">
        <f>'raw data Crude oil'!H1270</f>
        <v>71.16</v>
      </c>
      <c r="I1269">
        <f>'raw data Crude oil'!I1270</f>
        <v>70.760000000000005</v>
      </c>
      <c r="J1269">
        <f>'raw data Crude oil'!J1270</f>
        <v>70.41</v>
      </c>
      <c r="K1269">
        <f>'raw data Crude oil'!K1270</f>
        <v>70.069999999999993</v>
      </c>
      <c r="L1269">
        <f>'raw data Crude oil'!L1270</f>
        <v>69.77</v>
      </c>
      <c r="M1269">
        <f>'raw data Crude oil'!M1270</f>
        <v>69.48</v>
      </c>
      <c r="N1269">
        <f>'raw data Crude oil'!N1270</f>
        <v>69.95</v>
      </c>
      <c r="O1269">
        <f>'raw data Crude oil'!O1270</f>
        <v>69.62</v>
      </c>
      <c r="P1269">
        <f>'raw data Crude oil'!P1270</f>
        <v>69.28</v>
      </c>
      <c r="Q1269">
        <f>'raw data Crude oil'!Q1270</f>
        <v>68.92</v>
      </c>
      <c r="R1269">
        <f>'raw data Crude oil'!R1270</f>
        <v>68.56</v>
      </c>
      <c r="S1269">
        <f>'raw data Crude oil'!S1270</f>
        <v>68.19</v>
      </c>
      <c r="T1269">
        <f>'raw data Crude oil'!T1270</f>
        <v>67.81</v>
      </c>
      <c r="U1269">
        <f>'raw data Crude oil'!U1270</f>
        <v>67.430000000000007</v>
      </c>
      <c r="V1269">
        <f>'raw data Crude oil'!V1270</f>
        <v>67.040000000000006</v>
      </c>
      <c r="W1269">
        <f>'raw data Crude oil'!W1270</f>
        <v>66.650000000000006</v>
      </c>
      <c r="X1269">
        <f>'raw data Crude oil'!X1270</f>
        <v>66.260000000000005</v>
      </c>
      <c r="Y1269">
        <f>'raw data Crude oil'!Y1270</f>
        <v>65.88</v>
      </c>
      <c r="Z1269">
        <f>'raw data Crude oil'!Z1270</f>
        <v>80.334000000000003</v>
      </c>
      <c r="AA1269">
        <f>'raw data Crude oil'!AA1270</f>
        <v>71.837000000000003</v>
      </c>
      <c r="AB1269">
        <f>'raw data Crude oil'!AB1270</f>
        <v>70.611999999999995</v>
      </c>
      <c r="AC1269">
        <f>'raw data Crude oil'!AC1270</f>
        <v>70.191999999999993</v>
      </c>
      <c r="AD1269">
        <f>'raw data Crude oil'!AD1270</f>
        <v>69.790999999999997</v>
      </c>
      <c r="AE1269">
        <f>'raw data Crude oil'!AE1270</f>
        <v>69.328999999999994</v>
      </c>
      <c r="AF1269">
        <f>'raw data Crude oil'!AF1270</f>
        <v>68.872</v>
      </c>
      <c r="AG1269">
        <f>'raw data Crude oil'!AG1270</f>
        <v>68.474000000000004</v>
      </c>
      <c r="AH1269">
        <f>'raw data Crude oil'!AH1270</f>
        <v>68.093999999999994</v>
      </c>
      <c r="AI1269">
        <f>'raw data Crude oil'!AI1270</f>
        <v>67.736999999999995</v>
      </c>
      <c r="AJ1269">
        <f>'raw data Crude oil'!AJ1270</f>
        <v>67.417000000000002</v>
      </c>
      <c r="AK1269">
        <f>'raw data Crude oil'!AK1270</f>
        <v>67.147000000000006</v>
      </c>
    </row>
    <row r="1270" spans="1:37" x14ac:dyDescent="0.3">
      <c r="A1270" s="18">
        <f>'raw data Crude oil'!A1271</f>
        <v>44530</v>
      </c>
      <c r="B1270">
        <f>'raw data Crude oil'!B1271</f>
        <v>70.569999999999993</v>
      </c>
      <c r="C1270">
        <f>'raw data Crude oil'!C1271</f>
        <v>69.23</v>
      </c>
      <c r="D1270">
        <f>'raw data Crude oil'!D1271</f>
        <v>68.88</v>
      </c>
      <c r="E1270">
        <f>'raw data Crude oil'!E1271</f>
        <v>68.55</v>
      </c>
      <c r="F1270">
        <f>'raw data Crude oil'!F1271</f>
        <v>68.209999999999994</v>
      </c>
      <c r="G1270">
        <f>'raw data Crude oil'!G1271</f>
        <v>67.819999999999993</v>
      </c>
      <c r="H1270">
        <f>'raw data Crude oil'!H1271</f>
        <v>67.42</v>
      </c>
      <c r="I1270">
        <f>'raw data Crude oil'!I1271</f>
        <v>67.08</v>
      </c>
      <c r="J1270">
        <f>'raw data Crude oil'!J1271</f>
        <v>66.77</v>
      </c>
      <c r="K1270">
        <f>'raw data Crude oil'!K1271</f>
        <v>66.48</v>
      </c>
      <c r="L1270">
        <f>'raw data Crude oil'!L1271</f>
        <v>66.22</v>
      </c>
      <c r="M1270">
        <f>'raw data Crude oil'!M1271</f>
        <v>65.98</v>
      </c>
      <c r="N1270">
        <f>'raw data Crude oil'!N1271</f>
        <v>66.180000000000007</v>
      </c>
      <c r="O1270">
        <f>'raw data Crude oil'!O1271</f>
        <v>65.849999999999994</v>
      </c>
      <c r="P1270">
        <f>'raw data Crude oil'!P1271</f>
        <v>65.489999999999995</v>
      </c>
      <c r="Q1270">
        <f>'raw data Crude oil'!Q1271</f>
        <v>65.150000000000006</v>
      </c>
      <c r="R1270">
        <f>'raw data Crude oil'!R1271</f>
        <v>64.81</v>
      </c>
      <c r="S1270">
        <f>'raw data Crude oil'!S1271</f>
        <v>64.47</v>
      </c>
      <c r="T1270">
        <f>'raw data Crude oil'!T1271</f>
        <v>64.13</v>
      </c>
      <c r="U1270">
        <f>'raw data Crude oil'!U1271</f>
        <v>63.78</v>
      </c>
      <c r="V1270">
        <f>'raw data Crude oil'!V1271</f>
        <v>63.46</v>
      </c>
      <c r="W1270">
        <f>'raw data Crude oil'!W1271</f>
        <v>63.13</v>
      </c>
      <c r="X1270">
        <f>'raw data Crude oil'!X1271</f>
        <v>62.82</v>
      </c>
      <c r="Y1270">
        <f>'raw data Crude oil'!Y1271</f>
        <v>62.5</v>
      </c>
      <c r="Z1270">
        <f>'raw data Crude oil'!Z1271</f>
        <v>80.275999999999996</v>
      </c>
      <c r="AA1270">
        <f>'raw data Crude oil'!AA1271</f>
        <v>67.989999999999995</v>
      </c>
      <c r="AB1270">
        <f>'raw data Crude oil'!AB1271</f>
        <v>67.063999999999993</v>
      </c>
      <c r="AC1270">
        <f>'raw data Crude oil'!AC1271</f>
        <v>66.722999999999999</v>
      </c>
      <c r="AD1270">
        <f>'raw data Crude oil'!AD1271</f>
        <v>66.393000000000001</v>
      </c>
      <c r="AE1270">
        <f>'raw data Crude oil'!AE1271</f>
        <v>65.989999999999995</v>
      </c>
      <c r="AF1270">
        <f>'raw data Crude oil'!AF1271</f>
        <v>65.594999999999999</v>
      </c>
      <c r="AG1270">
        <f>'raw data Crude oil'!AG1271</f>
        <v>65.206000000000003</v>
      </c>
      <c r="AH1270">
        <f>'raw data Crude oil'!AH1271</f>
        <v>64.876000000000005</v>
      </c>
      <c r="AI1270">
        <f>'raw data Crude oil'!AI1271</f>
        <v>64.558999999999997</v>
      </c>
      <c r="AJ1270">
        <f>'raw data Crude oil'!AJ1271</f>
        <v>64.259</v>
      </c>
      <c r="AK1270">
        <f>'raw data Crude oil'!AK1271</f>
        <v>63.987000000000002</v>
      </c>
    </row>
    <row r="1271" spans="1:37" x14ac:dyDescent="0.3">
      <c r="A1271" s="18">
        <f>'raw data Crude oil'!A1272</f>
        <v>44531</v>
      </c>
      <c r="B1271">
        <f>'raw data Crude oil'!B1272</f>
        <v>68.87</v>
      </c>
      <c r="C1271">
        <f>'raw data Crude oil'!C1272</f>
        <v>68.569999999999993</v>
      </c>
      <c r="D1271">
        <f>'raw data Crude oil'!D1272</f>
        <v>68.28</v>
      </c>
      <c r="E1271">
        <f>'raw data Crude oil'!E1272</f>
        <v>67.989999999999995</v>
      </c>
      <c r="F1271">
        <f>'raw data Crude oil'!F1272</f>
        <v>67.66</v>
      </c>
      <c r="G1271">
        <f>'raw data Crude oil'!G1272</f>
        <v>67.31</v>
      </c>
      <c r="H1271">
        <f>'raw data Crude oil'!H1272</f>
        <v>67.010000000000005</v>
      </c>
      <c r="I1271">
        <f>'raw data Crude oil'!I1272</f>
        <v>66.73</v>
      </c>
      <c r="J1271">
        <f>'raw data Crude oil'!J1272</f>
        <v>66.459999999999994</v>
      </c>
      <c r="K1271">
        <f>'raw data Crude oil'!K1272</f>
        <v>66.22</v>
      </c>
      <c r="L1271">
        <f>'raw data Crude oil'!L1272</f>
        <v>65.989999999999995</v>
      </c>
      <c r="M1271">
        <f>'raw data Crude oil'!M1272</f>
        <v>65.73</v>
      </c>
      <c r="N1271">
        <f>'raw data Crude oil'!N1272</f>
        <v>65.569999999999993</v>
      </c>
      <c r="O1271">
        <f>'raw data Crude oil'!O1272</f>
        <v>65.37</v>
      </c>
      <c r="P1271">
        <f>'raw data Crude oil'!P1272</f>
        <v>65.11</v>
      </c>
      <c r="Q1271">
        <f>'raw data Crude oil'!Q1272</f>
        <v>64.83</v>
      </c>
      <c r="R1271">
        <f>'raw data Crude oil'!R1272</f>
        <v>64.540000000000006</v>
      </c>
      <c r="S1271">
        <f>'raw data Crude oil'!S1272</f>
        <v>64.25</v>
      </c>
      <c r="T1271">
        <f>'raw data Crude oil'!T1272</f>
        <v>63.95</v>
      </c>
      <c r="U1271">
        <f>'raw data Crude oil'!U1272</f>
        <v>63.64</v>
      </c>
      <c r="V1271">
        <f>'raw data Crude oil'!V1272</f>
        <v>63.34</v>
      </c>
      <c r="W1271">
        <f>'raw data Crude oil'!W1272</f>
        <v>63.03</v>
      </c>
      <c r="X1271">
        <f>'raw data Crude oil'!X1272</f>
        <v>62.74</v>
      </c>
      <c r="Y1271">
        <f>'raw data Crude oil'!Y1272</f>
        <v>62.43</v>
      </c>
      <c r="Z1271">
        <f>'raw data Crude oil'!Z1272</f>
        <v>80.275999999999996</v>
      </c>
      <c r="AA1271">
        <f>'raw data Crude oil'!AA1272</f>
        <v>67.959000000000003</v>
      </c>
      <c r="AB1271">
        <f>'raw data Crude oil'!AB1272</f>
        <v>66.656000000000006</v>
      </c>
      <c r="AC1271">
        <f>'raw data Crude oil'!AC1272</f>
        <v>66.262</v>
      </c>
      <c r="AD1271">
        <f>'raw data Crude oil'!AD1272</f>
        <v>65.986000000000004</v>
      </c>
      <c r="AE1271">
        <f>'raw data Crude oil'!AE1272</f>
        <v>65.643000000000001</v>
      </c>
      <c r="AF1271">
        <f>'raw data Crude oil'!AF1272</f>
        <v>65.296000000000006</v>
      </c>
      <c r="AG1271">
        <f>'raw data Crude oil'!AG1272</f>
        <v>64.986999999999995</v>
      </c>
      <c r="AH1271">
        <f>'raw data Crude oil'!AH1272</f>
        <v>64.677000000000007</v>
      </c>
      <c r="AI1271">
        <f>'raw data Crude oil'!AI1272</f>
        <v>64.39</v>
      </c>
      <c r="AJ1271">
        <f>'raw data Crude oil'!AJ1272</f>
        <v>64.11</v>
      </c>
      <c r="AK1271">
        <f>'raw data Crude oil'!AK1272</f>
        <v>63.838000000000001</v>
      </c>
    </row>
    <row r="1272" spans="1:37" x14ac:dyDescent="0.3">
      <c r="A1272" s="18">
        <f>'raw data Crude oil'!A1273</f>
        <v>44532</v>
      </c>
      <c r="B1272">
        <f>'raw data Crude oil'!B1273</f>
        <v>69.67</v>
      </c>
      <c r="C1272">
        <f>'raw data Crude oil'!C1273</f>
        <v>69.319999999999993</v>
      </c>
      <c r="D1272">
        <f>'raw data Crude oil'!D1273</f>
        <v>69</v>
      </c>
      <c r="E1272">
        <f>'raw data Crude oil'!E1273</f>
        <v>68.73</v>
      </c>
      <c r="F1272">
        <f>'raw data Crude oil'!F1273</f>
        <v>68.44</v>
      </c>
      <c r="G1272">
        <f>'raw data Crude oil'!G1273</f>
        <v>68.13</v>
      </c>
      <c r="H1272">
        <f>'raw data Crude oil'!H1273</f>
        <v>67.84</v>
      </c>
      <c r="I1272">
        <f>'raw data Crude oil'!I1273</f>
        <v>67.55</v>
      </c>
      <c r="J1272">
        <f>'raw data Crude oil'!J1273</f>
        <v>67.27</v>
      </c>
      <c r="K1272">
        <f>'raw data Crude oil'!K1273</f>
        <v>67.03</v>
      </c>
      <c r="L1272">
        <f>'raw data Crude oil'!L1273</f>
        <v>66.78</v>
      </c>
      <c r="M1272">
        <f>'raw data Crude oil'!M1273</f>
        <v>66.52</v>
      </c>
      <c r="N1272">
        <f>'raw data Crude oil'!N1273</f>
        <v>66.5</v>
      </c>
      <c r="O1272">
        <f>'raw data Crude oil'!O1273</f>
        <v>66.27</v>
      </c>
      <c r="P1272">
        <f>'raw data Crude oil'!P1273</f>
        <v>66.03</v>
      </c>
      <c r="Q1272">
        <f>'raw data Crude oil'!Q1273</f>
        <v>65.77</v>
      </c>
      <c r="R1272">
        <f>'raw data Crude oil'!R1273</f>
        <v>65.510000000000005</v>
      </c>
      <c r="S1272">
        <f>'raw data Crude oil'!S1273</f>
        <v>65.239999999999995</v>
      </c>
      <c r="T1272">
        <f>'raw data Crude oil'!T1273</f>
        <v>64.94</v>
      </c>
      <c r="U1272">
        <f>'raw data Crude oil'!U1273</f>
        <v>64.64</v>
      </c>
      <c r="V1272">
        <f>'raw data Crude oil'!V1273</f>
        <v>64.33</v>
      </c>
      <c r="W1272">
        <f>'raw data Crude oil'!W1273</f>
        <v>64.010000000000005</v>
      </c>
      <c r="X1272">
        <f>'raw data Crude oil'!X1273</f>
        <v>63.72</v>
      </c>
      <c r="Y1272">
        <f>'raw data Crude oil'!Y1273</f>
        <v>63.43</v>
      </c>
      <c r="Z1272">
        <f>'raw data Crude oil'!Z1273</f>
        <v>68.634</v>
      </c>
      <c r="AA1272">
        <f>'raw data Crude oil'!AA1273</f>
        <v>67.274000000000001</v>
      </c>
      <c r="AB1272">
        <f>'raw data Crude oil'!AB1273</f>
        <v>66.835999999999999</v>
      </c>
      <c r="AC1272">
        <f>'raw data Crude oil'!AC1273</f>
        <v>66.576999999999998</v>
      </c>
      <c r="AD1272">
        <f>'raw data Crude oil'!AD1273</f>
        <v>66.265000000000001</v>
      </c>
      <c r="AE1272">
        <f>'raw data Crude oil'!AE1273</f>
        <v>65.956999999999994</v>
      </c>
      <c r="AF1272">
        <f>'raw data Crude oil'!AF1273</f>
        <v>65.667000000000002</v>
      </c>
      <c r="AG1272">
        <f>'raw data Crude oil'!AG1273</f>
        <v>65.367000000000004</v>
      </c>
      <c r="AH1272">
        <f>'raw data Crude oil'!AH1273</f>
        <v>65.08</v>
      </c>
      <c r="AI1272">
        <f>'raw data Crude oil'!AI1273</f>
        <v>64.799000000000007</v>
      </c>
      <c r="AJ1272">
        <f>'raw data Crude oil'!AJ1273</f>
        <v>64.537999999999997</v>
      </c>
      <c r="AK1272">
        <f>'raw data Crude oil'!AK1273</f>
        <v>64.278999999999996</v>
      </c>
    </row>
    <row r="1273" spans="1:37" x14ac:dyDescent="0.3">
      <c r="A1273" s="18">
        <f>'raw data Crude oil'!A1274</f>
        <v>44533</v>
      </c>
      <c r="B1273">
        <f>'raw data Crude oil'!B1274</f>
        <v>69.88</v>
      </c>
      <c r="C1273">
        <f>'raw data Crude oil'!C1274</f>
        <v>69.510000000000005</v>
      </c>
      <c r="D1273">
        <f>'raw data Crude oil'!D1274</f>
        <v>69.2</v>
      </c>
      <c r="E1273">
        <f>'raw data Crude oil'!E1274</f>
        <v>68.97</v>
      </c>
      <c r="F1273">
        <f>'raw data Crude oil'!F1274</f>
        <v>68.73</v>
      </c>
      <c r="G1273">
        <f>'raw data Crude oil'!G1274</f>
        <v>68.459999999999994</v>
      </c>
      <c r="H1273">
        <f>'raw data Crude oil'!H1274</f>
        <v>68.2</v>
      </c>
      <c r="I1273">
        <f>'raw data Crude oil'!I1274</f>
        <v>67.930000000000007</v>
      </c>
      <c r="J1273">
        <f>'raw data Crude oil'!J1274</f>
        <v>67.67</v>
      </c>
      <c r="K1273">
        <f>'raw data Crude oil'!K1274</f>
        <v>67.45</v>
      </c>
      <c r="L1273">
        <f>'raw data Crude oil'!L1274</f>
        <v>67.2</v>
      </c>
      <c r="M1273">
        <f>'raw data Crude oil'!M1274</f>
        <v>66.94</v>
      </c>
      <c r="N1273">
        <f>'raw data Crude oil'!N1274</f>
        <v>66.260000000000005</v>
      </c>
      <c r="O1273">
        <f>'raw data Crude oil'!O1274</f>
        <v>66.099999999999994</v>
      </c>
      <c r="P1273">
        <f>'raw data Crude oil'!P1274</f>
        <v>65.930000000000007</v>
      </c>
      <c r="Q1273">
        <f>'raw data Crude oil'!Q1274</f>
        <v>65.709999999999994</v>
      </c>
      <c r="R1273">
        <f>'raw data Crude oil'!R1274</f>
        <v>65.489999999999995</v>
      </c>
      <c r="S1273">
        <f>'raw data Crude oil'!S1274</f>
        <v>65.260000000000005</v>
      </c>
      <c r="T1273">
        <f>'raw data Crude oil'!T1274</f>
        <v>65.010000000000005</v>
      </c>
      <c r="U1273">
        <f>'raw data Crude oil'!U1274</f>
        <v>64.75</v>
      </c>
      <c r="V1273">
        <f>'raw data Crude oil'!V1274</f>
        <v>64.489999999999995</v>
      </c>
      <c r="W1273">
        <f>'raw data Crude oil'!W1274</f>
        <v>64.209999999999994</v>
      </c>
      <c r="X1273">
        <f>'raw data Crude oil'!X1274</f>
        <v>63.96</v>
      </c>
      <c r="Y1273">
        <f>'raw data Crude oil'!Y1274</f>
        <v>63.69</v>
      </c>
      <c r="Z1273">
        <f>'raw data Crude oil'!Z1274</f>
        <v>68.864999999999995</v>
      </c>
      <c r="AA1273">
        <f>'raw data Crude oil'!AA1274</f>
        <v>67.426000000000002</v>
      </c>
      <c r="AB1273">
        <f>'raw data Crude oil'!AB1274</f>
        <v>66.921000000000006</v>
      </c>
      <c r="AC1273">
        <f>'raw data Crude oil'!AC1274</f>
        <v>66.709999999999994</v>
      </c>
      <c r="AD1273">
        <f>'raw data Crude oil'!AD1274</f>
        <v>66.427999999999997</v>
      </c>
      <c r="AE1273">
        <f>'raw data Crude oil'!AE1274</f>
        <v>66.138000000000005</v>
      </c>
      <c r="AF1273">
        <f>'raw data Crude oil'!AF1274</f>
        <v>65.867999999999995</v>
      </c>
      <c r="AG1273">
        <f>'raw data Crude oil'!AG1274</f>
        <v>65.617999999999995</v>
      </c>
      <c r="AH1273">
        <f>'raw data Crude oil'!AH1274</f>
        <v>65.36</v>
      </c>
      <c r="AI1273">
        <f>'raw data Crude oil'!AI1274</f>
        <v>65.138999999999996</v>
      </c>
      <c r="AJ1273">
        <f>'raw data Crude oil'!AJ1274</f>
        <v>64.867999999999995</v>
      </c>
      <c r="AK1273">
        <f>'raw data Crude oil'!AK1274</f>
        <v>64.619</v>
      </c>
    </row>
    <row r="1274" spans="1:37" x14ac:dyDescent="0.3">
      <c r="A1274" s="18">
        <f>'raw data Crude oil'!A1275</f>
        <v>44536</v>
      </c>
      <c r="B1274">
        <f>'raw data Crude oil'!B1275</f>
        <v>73.08</v>
      </c>
      <c r="C1274">
        <f>'raw data Crude oil'!C1275</f>
        <v>72.69</v>
      </c>
      <c r="D1274">
        <f>'raw data Crude oil'!D1275</f>
        <v>72.319999999999993</v>
      </c>
      <c r="E1274">
        <f>'raw data Crude oil'!E1275</f>
        <v>72</v>
      </c>
      <c r="F1274">
        <f>'raw data Crude oil'!F1275</f>
        <v>71.69</v>
      </c>
      <c r="G1274">
        <f>'raw data Crude oil'!G1275</f>
        <v>71.36</v>
      </c>
      <c r="H1274">
        <f>'raw data Crude oil'!H1275</f>
        <v>71.03</v>
      </c>
      <c r="I1274">
        <f>'raw data Crude oil'!I1275</f>
        <v>70.69</v>
      </c>
      <c r="J1274">
        <f>'raw data Crude oil'!J1275</f>
        <v>70.36</v>
      </c>
      <c r="K1274">
        <f>'raw data Crude oil'!K1275</f>
        <v>70.08</v>
      </c>
      <c r="L1274">
        <f>'raw data Crude oil'!L1275</f>
        <v>69.78</v>
      </c>
      <c r="M1274">
        <f>'raw data Crude oil'!M1275</f>
        <v>69.47</v>
      </c>
      <c r="N1274">
        <f>'raw data Crude oil'!N1275</f>
        <v>69.489999999999995</v>
      </c>
      <c r="O1274">
        <f>'raw data Crude oil'!O1275</f>
        <v>69.3</v>
      </c>
      <c r="P1274">
        <f>'raw data Crude oil'!P1275</f>
        <v>69.069999999999993</v>
      </c>
      <c r="Q1274">
        <f>'raw data Crude oil'!Q1275</f>
        <v>68.8</v>
      </c>
      <c r="R1274">
        <f>'raw data Crude oil'!R1275</f>
        <v>68.510000000000005</v>
      </c>
      <c r="S1274">
        <f>'raw data Crude oil'!S1275</f>
        <v>68.209999999999994</v>
      </c>
      <c r="T1274">
        <f>'raw data Crude oil'!T1275</f>
        <v>67.900000000000006</v>
      </c>
      <c r="U1274">
        <f>'raw data Crude oil'!U1275</f>
        <v>67.58</v>
      </c>
      <c r="V1274">
        <f>'raw data Crude oil'!V1275</f>
        <v>67.22</v>
      </c>
      <c r="W1274">
        <f>'raw data Crude oil'!W1275</f>
        <v>66.87</v>
      </c>
      <c r="X1274">
        <f>'raw data Crude oil'!X1275</f>
        <v>66.53</v>
      </c>
      <c r="Y1274">
        <f>'raw data Crude oil'!Y1275</f>
        <v>66.19</v>
      </c>
      <c r="Z1274">
        <f>'raw data Crude oil'!Z1275</f>
        <v>71.613</v>
      </c>
      <c r="AA1274">
        <f>'raw data Crude oil'!AA1275</f>
        <v>70.602000000000004</v>
      </c>
      <c r="AB1274">
        <f>'raw data Crude oil'!AB1275</f>
        <v>70.043999999999997</v>
      </c>
      <c r="AC1274">
        <f>'raw data Crude oil'!AC1275</f>
        <v>69.747</v>
      </c>
      <c r="AD1274">
        <f>'raw data Crude oil'!AD1275</f>
        <v>69.433999999999997</v>
      </c>
      <c r="AE1274">
        <f>'raw data Crude oil'!AE1275</f>
        <v>69.105000000000004</v>
      </c>
      <c r="AF1274">
        <f>'raw data Crude oil'!AF1275</f>
        <v>68.814999999999998</v>
      </c>
      <c r="AG1274">
        <f>'raw data Crude oil'!AG1275</f>
        <v>68.474000000000004</v>
      </c>
      <c r="AH1274">
        <f>'raw data Crude oil'!AH1275</f>
        <v>68.138000000000005</v>
      </c>
      <c r="AI1274">
        <f>'raw data Crude oil'!AI1275</f>
        <v>67.846000000000004</v>
      </c>
      <c r="AJ1274">
        <f>'raw data Crude oil'!AJ1275</f>
        <v>67.504999999999995</v>
      </c>
      <c r="AK1274">
        <f>'raw data Crude oil'!AK1275</f>
        <v>67.197000000000003</v>
      </c>
    </row>
    <row r="1275" spans="1:37" x14ac:dyDescent="0.3">
      <c r="A1275" s="18">
        <f>'raw data Crude oil'!A1276</f>
        <v>44537</v>
      </c>
      <c r="B1275">
        <f>'raw data Crude oil'!B1276</f>
        <v>75.44</v>
      </c>
      <c r="C1275">
        <f>'raw data Crude oil'!C1276</f>
        <v>75.099999999999994</v>
      </c>
      <c r="D1275">
        <f>'raw data Crude oil'!D1276</f>
        <v>74.73</v>
      </c>
      <c r="E1275">
        <f>'raw data Crude oil'!E1276</f>
        <v>74.400000000000006</v>
      </c>
      <c r="F1275">
        <f>'raw data Crude oil'!F1276</f>
        <v>74.069999999999993</v>
      </c>
      <c r="G1275">
        <f>'raw data Crude oil'!G1276</f>
        <v>73.709999999999994</v>
      </c>
      <c r="H1275">
        <f>'raw data Crude oil'!H1276</f>
        <v>73.349999999999994</v>
      </c>
      <c r="I1275">
        <f>'raw data Crude oil'!I1276</f>
        <v>72.98</v>
      </c>
      <c r="J1275">
        <f>'raw data Crude oil'!J1276</f>
        <v>72.61</v>
      </c>
      <c r="K1275">
        <f>'raw data Crude oil'!K1276</f>
        <v>72.28</v>
      </c>
      <c r="L1275">
        <f>'raw data Crude oil'!L1276</f>
        <v>71.930000000000007</v>
      </c>
      <c r="M1275">
        <f>'raw data Crude oil'!M1276</f>
        <v>71.59</v>
      </c>
      <c r="N1275">
        <f>'raw data Crude oil'!N1276</f>
        <v>72.05</v>
      </c>
      <c r="O1275">
        <f>'raw data Crude oil'!O1276</f>
        <v>71.84</v>
      </c>
      <c r="P1275">
        <f>'raw data Crude oil'!P1276</f>
        <v>71.56</v>
      </c>
      <c r="Q1275">
        <f>'raw data Crude oil'!Q1276</f>
        <v>71.260000000000005</v>
      </c>
      <c r="R1275">
        <f>'raw data Crude oil'!R1276</f>
        <v>70.95</v>
      </c>
      <c r="S1275">
        <f>'raw data Crude oil'!S1276</f>
        <v>70.61</v>
      </c>
      <c r="T1275">
        <f>'raw data Crude oil'!T1276</f>
        <v>70.260000000000005</v>
      </c>
      <c r="U1275">
        <f>'raw data Crude oil'!U1276</f>
        <v>69.900000000000006</v>
      </c>
      <c r="V1275">
        <f>'raw data Crude oil'!V1276</f>
        <v>69.52</v>
      </c>
      <c r="W1275">
        <f>'raw data Crude oil'!W1276</f>
        <v>69.13</v>
      </c>
      <c r="X1275">
        <f>'raw data Crude oil'!X1276</f>
        <v>68.739999999999995</v>
      </c>
      <c r="Y1275">
        <f>'raw data Crude oil'!Y1276</f>
        <v>68.34</v>
      </c>
      <c r="Z1275">
        <f>'raw data Crude oil'!Z1276</f>
        <v>73.572000000000003</v>
      </c>
      <c r="AA1275">
        <f>'raw data Crude oil'!AA1276</f>
        <v>73.061999999999998</v>
      </c>
      <c r="AB1275">
        <f>'raw data Crude oil'!AB1276</f>
        <v>72.375</v>
      </c>
      <c r="AC1275">
        <f>'raw data Crude oil'!AC1276</f>
        <v>72.081000000000003</v>
      </c>
      <c r="AD1275">
        <f>'raw data Crude oil'!AD1276</f>
        <v>71.733999999999995</v>
      </c>
      <c r="AE1275">
        <f>'raw data Crude oil'!AE1276</f>
        <v>71.373000000000005</v>
      </c>
      <c r="AF1275">
        <f>'raw data Crude oil'!AF1276</f>
        <v>71.013000000000005</v>
      </c>
      <c r="AG1275">
        <f>'raw data Crude oil'!AG1276</f>
        <v>70.647000000000006</v>
      </c>
      <c r="AH1275">
        <f>'raw data Crude oil'!AH1276</f>
        <v>70.281000000000006</v>
      </c>
      <c r="AI1275">
        <f>'raw data Crude oil'!AI1276</f>
        <v>69.944000000000003</v>
      </c>
      <c r="AJ1275">
        <f>'raw data Crude oil'!AJ1276</f>
        <v>69.593999999999994</v>
      </c>
      <c r="AK1275">
        <f>'raw data Crude oil'!AK1276</f>
        <v>69.295000000000002</v>
      </c>
    </row>
    <row r="1276" spans="1:37" x14ac:dyDescent="0.3">
      <c r="A1276" s="18">
        <f>'raw data Crude oil'!A1277</f>
        <v>44538</v>
      </c>
      <c r="B1276">
        <f>'raw data Crude oil'!B1277</f>
        <v>75.819999999999993</v>
      </c>
      <c r="C1276">
        <f>'raw data Crude oil'!C1277</f>
        <v>75.59</v>
      </c>
      <c r="D1276">
        <f>'raw data Crude oil'!D1277</f>
        <v>75.25</v>
      </c>
      <c r="E1276">
        <f>'raw data Crude oil'!E1277</f>
        <v>74.94</v>
      </c>
      <c r="F1276">
        <f>'raw data Crude oil'!F1277</f>
        <v>74.64</v>
      </c>
      <c r="G1276">
        <f>'raw data Crude oil'!G1277</f>
        <v>74.3</v>
      </c>
      <c r="H1276">
        <f>'raw data Crude oil'!H1277</f>
        <v>73.97</v>
      </c>
      <c r="I1276">
        <f>'raw data Crude oil'!I1277</f>
        <v>73.61</v>
      </c>
      <c r="J1276">
        <f>'raw data Crude oil'!J1277</f>
        <v>73.260000000000005</v>
      </c>
      <c r="K1276">
        <f>'raw data Crude oil'!K1277</f>
        <v>72.95</v>
      </c>
      <c r="L1276">
        <f>'raw data Crude oil'!L1277</f>
        <v>72.62</v>
      </c>
      <c r="M1276">
        <f>'raw data Crude oil'!M1277</f>
        <v>72.290000000000006</v>
      </c>
      <c r="N1276">
        <f>'raw data Crude oil'!N1277</f>
        <v>72.36</v>
      </c>
      <c r="O1276">
        <f>'raw data Crude oil'!O1277</f>
        <v>72.180000000000007</v>
      </c>
      <c r="P1276">
        <f>'raw data Crude oil'!P1277</f>
        <v>71.900000000000006</v>
      </c>
      <c r="Q1276">
        <f>'raw data Crude oil'!Q1277</f>
        <v>71.64</v>
      </c>
      <c r="R1276">
        <f>'raw data Crude oil'!R1277</f>
        <v>71.38</v>
      </c>
      <c r="S1276">
        <f>'raw data Crude oil'!S1277</f>
        <v>71.08</v>
      </c>
      <c r="T1276">
        <f>'raw data Crude oil'!T1277</f>
        <v>70.77</v>
      </c>
      <c r="U1276">
        <f>'raw data Crude oil'!U1277</f>
        <v>70.45</v>
      </c>
      <c r="V1276">
        <f>'raw data Crude oil'!V1277</f>
        <v>70.099999999999994</v>
      </c>
      <c r="W1276">
        <f>'raw data Crude oil'!W1277</f>
        <v>69.73</v>
      </c>
      <c r="X1276">
        <f>'raw data Crude oil'!X1277</f>
        <v>69.36</v>
      </c>
      <c r="Y1276">
        <f>'raw data Crude oil'!Y1277</f>
        <v>68.989999999999995</v>
      </c>
      <c r="Z1276">
        <f>'raw data Crude oil'!Z1277</f>
        <v>73.745000000000005</v>
      </c>
      <c r="AA1276">
        <f>'raw data Crude oil'!AA1277</f>
        <v>73.445999999999998</v>
      </c>
      <c r="AB1276">
        <f>'raw data Crude oil'!AB1277</f>
        <v>72.784999999999997</v>
      </c>
      <c r="AC1276">
        <f>'raw data Crude oil'!AC1277</f>
        <v>72.533000000000001</v>
      </c>
      <c r="AD1276">
        <f>'raw data Crude oil'!AD1277</f>
        <v>72.222999999999999</v>
      </c>
      <c r="AE1276">
        <f>'raw data Crude oil'!AE1277</f>
        <v>71.885000000000005</v>
      </c>
      <c r="AF1276">
        <f>'raw data Crude oil'!AF1277</f>
        <v>71.554000000000002</v>
      </c>
      <c r="AG1276">
        <f>'raw data Crude oil'!AG1277</f>
        <v>71.203000000000003</v>
      </c>
      <c r="AH1276">
        <f>'raw data Crude oil'!AH1277</f>
        <v>70.826999999999998</v>
      </c>
      <c r="AI1276">
        <f>'raw data Crude oil'!AI1277</f>
        <v>70.495000000000005</v>
      </c>
      <c r="AJ1276">
        <f>'raw data Crude oil'!AJ1277</f>
        <v>70.183999999999997</v>
      </c>
      <c r="AK1276">
        <f>'raw data Crude oil'!AK1277</f>
        <v>69.855999999999995</v>
      </c>
    </row>
    <row r="1277" spans="1:37" x14ac:dyDescent="0.3">
      <c r="A1277" s="18">
        <f>'raw data Crude oil'!A1278</f>
        <v>44539</v>
      </c>
      <c r="B1277">
        <f>'raw data Crude oil'!B1278</f>
        <v>74.42</v>
      </c>
      <c r="C1277">
        <f>'raw data Crude oil'!C1278</f>
        <v>74.23</v>
      </c>
      <c r="D1277">
        <f>'raw data Crude oil'!D1278</f>
        <v>73.91</v>
      </c>
      <c r="E1277">
        <f>'raw data Crude oil'!E1278</f>
        <v>73.61</v>
      </c>
      <c r="F1277">
        <f>'raw data Crude oil'!F1278</f>
        <v>73.33</v>
      </c>
      <c r="G1277">
        <f>'raw data Crude oil'!G1278</f>
        <v>73.02</v>
      </c>
      <c r="H1277">
        <f>'raw data Crude oil'!H1278</f>
        <v>72.709999999999994</v>
      </c>
      <c r="I1277">
        <f>'raw data Crude oil'!I1278</f>
        <v>72.39</v>
      </c>
      <c r="J1277">
        <f>'raw data Crude oil'!J1278</f>
        <v>72.069999999999993</v>
      </c>
      <c r="K1277">
        <f>'raw data Crude oil'!K1278</f>
        <v>71.78</v>
      </c>
      <c r="L1277">
        <f>'raw data Crude oil'!L1278</f>
        <v>71.48</v>
      </c>
      <c r="M1277">
        <f>'raw data Crude oil'!M1278</f>
        <v>71.17</v>
      </c>
      <c r="N1277">
        <f>'raw data Crude oil'!N1278</f>
        <v>70.94</v>
      </c>
      <c r="O1277">
        <f>'raw data Crude oil'!O1278</f>
        <v>70.790000000000006</v>
      </c>
      <c r="P1277">
        <f>'raw data Crude oil'!P1278</f>
        <v>70.540000000000006</v>
      </c>
      <c r="Q1277">
        <f>'raw data Crude oil'!Q1278</f>
        <v>70.290000000000006</v>
      </c>
      <c r="R1277">
        <f>'raw data Crude oil'!R1278</f>
        <v>70.05</v>
      </c>
      <c r="S1277">
        <f>'raw data Crude oil'!S1278</f>
        <v>69.790000000000006</v>
      </c>
      <c r="T1277">
        <f>'raw data Crude oil'!T1278</f>
        <v>69.489999999999995</v>
      </c>
      <c r="U1277">
        <f>'raw data Crude oil'!U1278</f>
        <v>69.19</v>
      </c>
      <c r="V1277">
        <f>'raw data Crude oil'!V1278</f>
        <v>68.87</v>
      </c>
      <c r="W1277">
        <f>'raw data Crude oil'!W1278</f>
        <v>68.53</v>
      </c>
      <c r="X1277">
        <f>'raw data Crude oil'!X1278</f>
        <v>68.19</v>
      </c>
      <c r="Y1277">
        <f>'raw data Crude oil'!Y1278</f>
        <v>67.84</v>
      </c>
      <c r="Z1277">
        <f>'raw data Crude oil'!Z1278</f>
        <v>72.774000000000001</v>
      </c>
      <c r="AA1277">
        <f>'raw data Crude oil'!AA1278</f>
        <v>72.034999999999997</v>
      </c>
      <c r="AB1277">
        <f>'raw data Crude oil'!AB1278</f>
        <v>71.444999999999993</v>
      </c>
      <c r="AC1277">
        <f>'raw data Crude oil'!AC1278</f>
        <v>71.198999999999998</v>
      </c>
      <c r="AD1277">
        <f>'raw data Crude oil'!AD1278</f>
        <v>70.908000000000001</v>
      </c>
      <c r="AE1277">
        <f>'raw data Crude oil'!AE1278</f>
        <v>70.587000000000003</v>
      </c>
      <c r="AF1277">
        <f>'raw data Crude oil'!AF1278</f>
        <v>70.275000000000006</v>
      </c>
      <c r="AG1277">
        <f>'raw data Crude oil'!AG1278</f>
        <v>69.954999999999998</v>
      </c>
      <c r="AH1277">
        <f>'raw data Crude oil'!AH1278</f>
        <v>69.626999999999995</v>
      </c>
      <c r="AI1277">
        <f>'raw data Crude oil'!AI1278</f>
        <v>69.353999999999999</v>
      </c>
      <c r="AJ1277">
        <f>'raw data Crude oil'!AJ1278</f>
        <v>69.064999999999998</v>
      </c>
      <c r="AK1277">
        <f>'raw data Crude oil'!AK1278</f>
        <v>68.754000000000005</v>
      </c>
    </row>
    <row r="1278" spans="1:37" x14ac:dyDescent="0.3">
      <c r="A1278" s="18">
        <f>'raw data Crude oil'!A1279</f>
        <v>44540</v>
      </c>
      <c r="B1278">
        <f>'raw data Crude oil'!B1279</f>
        <v>75.150000000000006</v>
      </c>
      <c r="C1278">
        <f>'raw data Crude oil'!C1279</f>
        <v>74.91</v>
      </c>
      <c r="D1278">
        <f>'raw data Crude oil'!D1279</f>
        <v>74.540000000000006</v>
      </c>
      <c r="E1278">
        <f>'raw data Crude oil'!E1279</f>
        <v>74.2</v>
      </c>
      <c r="F1278">
        <f>'raw data Crude oil'!F1279</f>
        <v>73.88</v>
      </c>
      <c r="G1278">
        <f>'raw data Crude oil'!G1279</f>
        <v>73.53</v>
      </c>
      <c r="H1278">
        <f>'raw data Crude oil'!H1279</f>
        <v>73.180000000000007</v>
      </c>
      <c r="I1278">
        <f>'raw data Crude oil'!I1279</f>
        <v>72.83</v>
      </c>
      <c r="J1278">
        <f>'raw data Crude oil'!J1279</f>
        <v>72.48</v>
      </c>
      <c r="K1278">
        <f>'raw data Crude oil'!K1279</f>
        <v>72.17</v>
      </c>
      <c r="L1278">
        <f>'raw data Crude oil'!L1279</f>
        <v>71.84</v>
      </c>
      <c r="M1278">
        <f>'raw data Crude oil'!M1279</f>
        <v>71.510000000000005</v>
      </c>
      <c r="N1278">
        <f>'raw data Crude oil'!N1279</f>
        <v>71.67</v>
      </c>
      <c r="O1278">
        <f>'raw data Crude oil'!O1279</f>
        <v>71.48</v>
      </c>
      <c r="P1278">
        <f>'raw data Crude oil'!P1279</f>
        <v>71.22</v>
      </c>
      <c r="Q1278">
        <f>'raw data Crude oil'!Q1279</f>
        <v>70.95</v>
      </c>
      <c r="R1278">
        <f>'raw data Crude oil'!R1279</f>
        <v>70.67</v>
      </c>
      <c r="S1278">
        <f>'raw data Crude oil'!S1279</f>
        <v>70.37</v>
      </c>
      <c r="T1278">
        <f>'raw data Crude oil'!T1279</f>
        <v>70.040000000000006</v>
      </c>
      <c r="U1278">
        <f>'raw data Crude oil'!U1279</f>
        <v>69.7</v>
      </c>
      <c r="V1278">
        <f>'raw data Crude oil'!V1279</f>
        <v>69.36</v>
      </c>
      <c r="W1278">
        <f>'raw data Crude oil'!W1279</f>
        <v>68.98</v>
      </c>
      <c r="X1278">
        <f>'raw data Crude oil'!X1279</f>
        <v>68.62</v>
      </c>
      <c r="Y1278">
        <f>'raw data Crude oil'!Y1279</f>
        <v>68.260000000000005</v>
      </c>
      <c r="Z1278">
        <f>'raw data Crude oil'!Z1279</f>
        <v>73.078000000000003</v>
      </c>
      <c r="AA1278">
        <f>'raw data Crude oil'!AA1279</f>
        <v>72.552000000000007</v>
      </c>
      <c r="AB1278">
        <f>'raw data Crude oil'!AB1279</f>
        <v>72.063999999999993</v>
      </c>
      <c r="AC1278">
        <f>'raw data Crude oil'!AC1279</f>
        <v>71.823999999999998</v>
      </c>
      <c r="AD1278">
        <f>'raw data Crude oil'!AD1279</f>
        <v>71.507000000000005</v>
      </c>
      <c r="AE1278">
        <f>'raw data Crude oil'!AE1279</f>
        <v>71.168999999999997</v>
      </c>
      <c r="AF1278">
        <f>'raw data Crude oil'!AF1279</f>
        <v>70.831000000000003</v>
      </c>
      <c r="AG1278">
        <f>'raw data Crude oil'!AG1279</f>
        <v>70.462999999999994</v>
      </c>
      <c r="AH1278">
        <f>'raw data Crude oil'!AH1279</f>
        <v>70.126999999999995</v>
      </c>
      <c r="AI1278">
        <f>'raw data Crude oil'!AI1279</f>
        <v>69.795000000000002</v>
      </c>
      <c r="AJ1278">
        <f>'raw data Crude oil'!AJ1279</f>
        <v>69.483999999999995</v>
      </c>
      <c r="AK1278">
        <f>'raw data Crude oil'!AK1279</f>
        <v>69.173000000000002</v>
      </c>
    </row>
    <row r="1279" spans="1:37" x14ac:dyDescent="0.3">
      <c r="A1279" s="18">
        <f>'raw data Crude oil'!A1280</f>
        <v>44543</v>
      </c>
      <c r="B1279">
        <f>'raw data Crude oil'!B1280</f>
        <v>74.39</v>
      </c>
      <c r="C1279">
        <f>'raw data Crude oil'!C1280</f>
        <v>74.28</v>
      </c>
      <c r="D1279">
        <f>'raw data Crude oil'!D1280</f>
        <v>73.98</v>
      </c>
      <c r="E1279">
        <f>'raw data Crude oil'!E1280</f>
        <v>73.69</v>
      </c>
      <c r="F1279">
        <f>'raw data Crude oil'!F1280</f>
        <v>73.400000000000006</v>
      </c>
      <c r="G1279">
        <f>'raw data Crude oil'!G1280</f>
        <v>73.069999999999993</v>
      </c>
      <c r="H1279">
        <f>'raw data Crude oil'!H1280</f>
        <v>72.739999999999995</v>
      </c>
      <c r="I1279">
        <f>'raw data Crude oil'!I1280</f>
        <v>72.41</v>
      </c>
      <c r="J1279">
        <f>'raw data Crude oil'!J1280</f>
        <v>72.069999999999993</v>
      </c>
      <c r="K1279">
        <f>'raw data Crude oil'!K1280</f>
        <v>71.77</v>
      </c>
      <c r="L1279">
        <f>'raw data Crude oil'!L1280</f>
        <v>71.459999999999994</v>
      </c>
      <c r="M1279">
        <f>'raw data Crude oil'!M1280</f>
        <v>71.14</v>
      </c>
      <c r="N1279">
        <f>'raw data Crude oil'!N1280</f>
        <v>71.290000000000006</v>
      </c>
      <c r="O1279">
        <f>'raw data Crude oil'!O1280</f>
        <v>71.06</v>
      </c>
      <c r="P1279">
        <f>'raw data Crude oil'!P1280</f>
        <v>70.8</v>
      </c>
      <c r="Q1279">
        <f>'raw data Crude oil'!Q1280</f>
        <v>70.53</v>
      </c>
      <c r="R1279">
        <f>'raw data Crude oil'!R1280</f>
        <v>70.25</v>
      </c>
      <c r="S1279">
        <f>'raw data Crude oil'!S1280</f>
        <v>69.95</v>
      </c>
      <c r="T1279">
        <f>'raw data Crude oil'!T1280</f>
        <v>69.64</v>
      </c>
      <c r="U1279">
        <f>'raw data Crude oil'!U1280</f>
        <v>69.319999999999993</v>
      </c>
      <c r="V1279">
        <f>'raw data Crude oil'!V1280</f>
        <v>68.989999999999995</v>
      </c>
      <c r="W1279">
        <f>'raw data Crude oil'!W1280</f>
        <v>68.64</v>
      </c>
      <c r="X1279">
        <f>'raw data Crude oil'!X1280</f>
        <v>68.3</v>
      </c>
      <c r="Y1279">
        <f>'raw data Crude oil'!Y1280</f>
        <v>67.959999999999994</v>
      </c>
      <c r="Z1279">
        <f>'raw data Crude oil'!Z1280</f>
        <v>72.588999999999999</v>
      </c>
      <c r="AA1279">
        <f>'raw data Crude oil'!AA1280</f>
        <v>71.858000000000004</v>
      </c>
      <c r="AB1279">
        <f>'raw data Crude oil'!AB1280</f>
        <v>71.438000000000002</v>
      </c>
      <c r="AC1279">
        <f>'raw data Crude oil'!AC1280</f>
        <v>71.257000000000005</v>
      </c>
      <c r="AD1279">
        <f>'raw data Crude oil'!AD1280</f>
        <v>70.977999999999994</v>
      </c>
      <c r="AE1279">
        <f>'raw data Crude oil'!AE1280</f>
        <v>70.668999999999997</v>
      </c>
      <c r="AF1279">
        <f>'raw data Crude oil'!AF1280</f>
        <v>70.344999999999999</v>
      </c>
      <c r="AG1279">
        <f>'raw data Crude oil'!AG1280</f>
        <v>70.034000000000006</v>
      </c>
      <c r="AH1279">
        <f>'raw data Crude oil'!AH1280</f>
        <v>69.716999999999999</v>
      </c>
      <c r="AI1279">
        <f>'raw data Crude oil'!AI1280</f>
        <v>69.406000000000006</v>
      </c>
      <c r="AJ1279">
        <f>'raw data Crude oil'!AJ1280</f>
        <v>69.094999999999999</v>
      </c>
      <c r="AK1279">
        <f>'raw data Crude oil'!AK1280</f>
        <v>68.787000000000006</v>
      </c>
    </row>
    <row r="1280" spans="1:37" x14ac:dyDescent="0.3">
      <c r="A1280" s="18">
        <f>'raw data Crude oil'!A1281</f>
        <v>44544</v>
      </c>
      <c r="B1280">
        <f>'raw data Crude oil'!B1281</f>
        <v>73.7</v>
      </c>
      <c r="C1280">
        <f>'raw data Crude oil'!C1281</f>
        <v>73.63</v>
      </c>
      <c r="D1280">
        <f>'raw data Crude oil'!D1281</f>
        <v>73.349999999999994</v>
      </c>
      <c r="E1280">
        <f>'raw data Crude oil'!E1281</f>
        <v>73.069999999999993</v>
      </c>
      <c r="F1280">
        <f>'raw data Crude oil'!F1281</f>
        <v>72.790000000000006</v>
      </c>
      <c r="G1280">
        <f>'raw data Crude oil'!G1281</f>
        <v>72.48</v>
      </c>
      <c r="H1280">
        <f>'raw data Crude oil'!H1281</f>
        <v>72.16</v>
      </c>
      <c r="I1280">
        <f>'raw data Crude oil'!I1281</f>
        <v>71.84</v>
      </c>
      <c r="J1280">
        <f>'raw data Crude oil'!J1281</f>
        <v>71.52</v>
      </c>
      <c r="K1280">
        <f>'raw data Crude oil'!K1281</f>
        <v>71.239999999999995</v>
      </c>
      <c r="L1280">
        <f>'raw data Crude oil'!L1281</f>
        <v>70.94</v>
      </c>
      <c r="M1280">
        <f>'raw data Crude oil'!M1281</f>
        <v>70.64</v>
      </c>
      <c r="N1280">
        <f>'raw data Crude oil'!N1281</f>
        <v>70.73</v>
      </c>
      <c r="O1280">
        <f>'raw data Crude oil'!O1281</f>
        <v>70.52</v>
      </c>
      <c r="P1280">
        <f>'raw data Crude oil'!P1281</f>
        <v>70.260000000000005</v>
      </c>
      <c r="Q1280">
        <f>'raw data Crude oil'!Q1281</f>
        <v>69.98</v>
      </c>
      <c r="R1280">
        <f>'raw data Crude oil'!R1281</f>
        <v>69.709999999999994</v>
      </c>
      <c r="S1280">
        <f>'raw data Crude oil'!S1281</f>
        <v>69.42</v>
      </c>
      <c r="T1280">
        <f>'raw data Crude oil'!T1281</f>
        <v>69.12</v>
      </c>
      <c r="U1280">
        <f>'raw data Crude oil'!U1281</f>
        <v>68.81</v>
      </c>
      <c r="V1280">
        <f>'raw data Crude oil'!V1281</f>
        <v>68.489999999999995</v>
      </c>
      <c r="W1280">
        <f>'raw data Crude oil'!W1281</f>
        <v>68.16</v>
      </c>
      <c r="X1280">
        <f>'raw data Crude oil'!X1281</f>
        <v>67.83</v>
      </c>
      <c r="Y1280">
        <f>'raw data Crude oil'!Y1281</f>
        <v>67.510000000000005</v>
      </c>
      <c r="Z1280">
        <f>'raw data Crude oil'!Z1281</f>
        <v>72.287000000000006</v>
      </c>
      <c r="AA1280">
        <f>'raw data Crude oil'!AA1281</f>
        <v>71.316999999999993</v>
      </c>
      <c r="AB1280">
        <f>'raw data Crude oil'!AB1281</f>
        <v>70.855999999999995</v>
      </c>
      <c r="AC1280">
        <f>'raw data Crude oil'!AC1281</f>
        <v>70.668000000000006</v>
      </c>
      <c r="AD1280">
        <f>'raw data Crude oil'!AD1281</f>
        <v>70.39</v>
      </c>
      <c r="AE1280">
        <f>'raw data Crude oil'!AE1281</f>
        <v>70.075000000000003</v>
      </c>
      <c r="AF1280">
        <f>'raw data Crude oil'!AF1281</f>
        <v>69.774000000000001</v>
      </c>
      <c r="AG1280">
        <f>'raw data Crude oil'!AG1281</f>
        <v>69.465000000000003</v>
      </c>
      <c r="AH1280">
        <f>'raw data Crude oil'!AH1281</f>
        <v>69.168000000000006</v>
      </c>
      <c r="AI1280">
        <f>'raw data Crude oil'!AI1281</f>
        <v>68.876000000000005</v>
      </c>
      <c r="AJ1280">
        <f>'raw data Crude oil'!AJ1281</f>
        <v>68.585999999999999</v>
      </c>
      <c r="AK1280">
        <f>'raw data Crude oil'!AK1281</f>
        <v>68.296999999999997</v>
      </c>
    </row>
    <row r="1281" spans="1:37" x14ac:dyDescent="0.3">
      <c r="A1281" s="18">
        <f>'raw data Crude oil'!A1282</f>
        <v>44545</v>
      </c>
      <c r="B1281">
        <f>'raw data Crude oil'!B1282</f>
        <v>73.88</v>
      </c>
      <c r="C1281">
        <f>'raw data Crude oil'!C1282</f>
        <v>73.78</v>
      </c>
      <c r="D1281">
        <f>'raw data Crude oil'!D1282</f>
        <v>73.45</v>
      </c>
      <c r="E1281">
        <f>'raw data Crude oil'!E1282</f>
        <v>73.13</v>
      </c>
      <c r="F1281">
        <f>'raw data Crude oil'!F1282</f>
        <v>72.8</v>
      </c>
      <c r="G1281">
        <f>'raw data Crude oil'!G1282</f>
        <v>72.459999999999994</v>
      </c>
      <c r="H1281">
        <f>'raw data Crude oil'!H1282</f>
        <v>72.11</v>
      </c>
      <c r="I1281">
        <f>'raw data Crude oil'!I1282</f>
        <v>71.739999999999995</v>
      </c>
      <c r="J1281">
        <f>'raw data Crude oil'!J1282</f>
        <v>71.39</v>
      </c>
      <c r="K1281">
        <f>'raw data Crude oil'!K1282</f>
        <v>71.069999999999993</v>
      </c>
      <c r="L1281">
        <f>'raw data Crude oil'!L1282</f>
        <v>70.739999999999995</v>
      </c>
      <c r="M1281">
        <f>'raw data Crude oil'!M1282</f>
        <v>70.41</v>
      </c>
      <c r="N1281">
        <f>'raw data Crude oil'!N1282</f>
        <v>70.87</v>
      </c>
      <c r="O1281">
        <f>'raw data Crude oil'!O1282</f>
        <v>70.66</v>
      </c>
      <c r="P1281">
        <f>'raw data Crude oil'!P1282</f>
        <v>70.36</v>
      </c>
      <c r="Q1281">
        <f>'raw data Crude oil'!Q1282</f>
        <v>70.05</v>
      </c>
      <c r="R1281">
        <f>'raw data Crude oil'!R1282</f>
        <v>69.739999999999995</v>
      </c>
      <c r="S1281">
        <f>'raw data Crude oil'!S1282</f>
        <v>69.41</v>
      </c>
      <c r="T1281">
        <f>'raw data Crude oil'!T1282</f>
        <v>69.069999999999993</v>
      </c>
      <c r="U1281">
        <f>'raw data Crude oil'!U1282</f>
        <v>68.709999999999994</v>
      </c>
      <c r="V1281">
        <f>'raw data Crude oil'!V1282</f>
        <v>68.34</v>
      </c>
      <c r="W1281">
        <f>'raw data Crude oil'!W1282</f>
        <v>67.97</v>
      </c>
      <c r="X1281">
        <f>'raw data Crude oil'!X1282</f>
        <v>67.62</v>
      </c>
      <c r="Y1281">
        <f>'raw data Crude oil'!Y1282</f>
        <v>67.28</v>
      </c>
      <c r="Z1281">
        <f>'raw data Crude oil'!Z1282</f>
        <v>72.41</v>
      </c>
      <c r="AA1281">
        <f>'raw data Crude oil'!AA1282</f>
        <v>71.554000000000002</v>
      </c>
      <c r="AB1281">
        <f>'raw data Crude oil'!AB1282</f>
        <v>71.034000000000006</v>
      </c>
      <c r="AC1281">
        <f>'raw data Crude oil'!AC1282</f>
        <v>70.745999999999995</v>
      </c>
      <c r="AD1281">
        <f>'raw data Crude oil'!AD1282</f>
        <v>70.423000000000002</v>
      </c>
      <c r="AE1281">
        <f>'raw data Crude oil'!AE1282</f>
        <v>70.073999999999998</v>
      </c>
      <c r="AF1281">
        <f>'raw data Crude oil'!AF1282</f>
        <v>69.734999999999999</v>
      </c>
      <c r="AG1281">
        <f>'raw data Crude oil'!AG1282</f>
        <v>69.382999999999996</v>
      </c>
      <c r="AH1281">
        <f>'raw data Crude oil'!AH1282</f>
        <v>69.055999999999997</v>
      </c>
      <c r="AI1281">
        <f>'raw data Crude oil'!AI1282</f>
        <v>68.724999999999994</v>
      </c>
      <c r="AJ1281">
        <f>'raw data Crude oil'!AJ1282</f>
        <v>68.403999999999996</v>
      </c>
      <c r="AK1281">
        <f>'raw data Crude oil'!AK1282</f>
        <v>68.085999999999999</v>
      </c>
    </row>
    <row r="1282" spans="1:37" x14ac:dyDescent="0.3">
      <c r="A1282" s="18">
        <f>'raw data Crude oil'!A1283</f>
        <v>44546</v>
      </c>
      <c r="B1282">
        <f>'raw data Crude oil'!B1283</f>
        <v>75.02</v>
      </c>
      <c r="C1282">
        <f>'raw data Crude oil'!C1283</f>
        <v>74.92</v>
      </c>
      <c r="D1282">
        <f>'raw data Crude oil'!D1283</f>
        <v>74.56</v>
      </c>
      <c r="E1282">
        <f>'raw data Crude oil'!E1283</f>
        <v>74.180000000000007</v>
      </c>
      <c r="F1282">
        <f>'raw data Crude oil'!F1283</f>
        <v>73.8</v>
      </c>
      <c r="G1282">
        <f>'raw data Crude oil'!G1283</f>
        <v>73.400000000000006</v>
      </c>
      <c r="H1282">
        <f>'raw data Crude oil'!H1283</f>
        <v>72.989999999999995</v>
      </c>
      <c r="I1282">
        <f>'raw data Crude oil'!I1283</f>
        <v>72.569999999999993</v>
      </c>
      <c r="J1282">
        <f>'raw data Crude oil'!J1283</f>
        <v>72.17</v>
      </c>
      <c r="K1282">
        <f>'raw data Crude oil'!K1283</f>
        <v>71.790000000000006</v>
      </c>
      <c r="L1282">
        <f>'raw data Crude oil'!L1283</f>
        <v>71.400000000000006</v>
      </c>
      <c r="M1282">
        <f>'raw data Crude oil'!M1283</f>
        <v>71.03</v>
      </c>
      <c r="N1282">
        <f>'raw data Crude oil'!N1283</f>
        <v>72.38</v>
      </c>
      <c r="O1282">
        <f>'raw data Crude oil'!O1283</f>
        <v>72.150000000000006</v>
      </c>
      <c r="P1282">
        <f>'raw data Crude oil'!P1283</f>
        <v>71.75</v>
      </c>
      <c r="Q1282">
        <f>'raw data Crude oil'!Q1283</f>
        <v>71.349999999999994</v>
      </c>
      <c r="R1282">
        <f>'raw data Crude oil'!R1283</f>
        <v>70.959999999999994</v>
      </c>
      <c r="S1282">
        <f>'raw data Crude oil'!S1283</f>
        <v>70.55</v>
      </c>
      <c r="T1282">
        <f>'raw data Crude oil'!T1283</f>
        <v>70.13</v>
      </c>
      <c r="U1282">
        <f>'raw data Crude oil'!U1283</f>
        <v>69.7</v>
      </c>
      <c r="V1282">
        <f>'raw data Crude oil'!V1283</f>
        <v>69.27</v>
      </c>
      <c r="W1282">
        <f>'raw data Crude oil'!W1283</f>
        <v>68.849999999999994</v>
      </c>
      <c r="X1282">
        <f>'raw data Crude oil'!X1283</f>
        <v>68.400000000000006</v>
      </c>
      <c r="Y1282">
        <f>'raw data Crude oil'!Y1283</f>
        <v>68</v>
      </c>
      <c r="Z1282">
        <f>'raw data Crude oil'!Z1283</f>
        <v>73.034999999999997</v>
      </c>
      <c r="AA1282">
        <f>'raw data Crude oil'!AA1283</f>
        <v>72.882999999999996</v>
      </c>
      <c r="AB1282">
        <f>'raw data Crude oil'!AB1283</f>
        <v>72.230999999999995</v>
      </c>
      <c r="AC1282">
        <f>'raw data Crude oil'!AC1283</f>
        <v>71.852999999999994</v>
      </c>
      <c r="AD1282">
        <f>'raw data Crude oil'!AD1283</f>
        <v>71.47</v>
      </c>
      <c r="AE1282">
        <f>'raw data Crude oil'!AE1283</f>
        <v>71.051000000000002</v>
      </c>
      <c r="AF1282">
        <f>'raw data Crude oil'!AF1283</f>
        <v>70.650000000000006</v>
      </c>
      <c r="AG1282">
        <f>'raw data Crude oil'!AG1283</f>
        <v>70.251000000000005</v>
      </c>
      <c r="AH1282">
        <f>'raw data Crude oil'!AH1283</f>
        <v>69.882999999999996</v>
      </c>
      <c r="AI1282">
        <f>'raw data Crude oil'!AI1283</f>
        <v>69.531999999999996</v>
      </c>
      <c r="AJ1282">
        <f>'raw data Crude oil'!AJ1283</f>
        <v>69.162000000000006</v>
      </c>
      <c r="AK1282">
        <f>'raw data Crude oil'!AK1283</f>
        <v>68.793999999999997</v>
      </c>
    </row>
    <row r="1283" spans="1:37" x14ac:dyDescent="0.3">
      <c r="A1283" s="18">
        <f>'raw data Crude oil'!A1284</f>
        <v>44547</v>
      </c>
      <c r="B1283">
        <f>'raw data Crude oil'!B1284</f>
        <v>73.52</v>
      </c>
      <c r="C1283">
        <f>'raw data Crude oil'!C1284</f>
        <v>73.52</v>
      </c>
      <c r="D1283">
        <f>'raw data Crude oil'!D1284</f>
        <v>73.17</v>
      </c>
      <c r="E1283">
        <f>'raw data Crude oil'!E1284</f>
        <v>72.8</v>
      </c>
      <c r="F1283">
        <f>'raw data Crude oil'!F1284</f>
        <v>72.41</v>
      </c>
      <c r="G1283">
        <f>'raw data Crude oil'!G1284</f>
        <v>71.989999999999995</v>
      </c>
      <c r="H1283">
        <f>'raw data Crude oil'!H1284</f>
        <v>71.58</v>
      </c>
      <c r="I1283">
        <f>'raw data Crude oil'!I1284</f>
        <v>71.16</v>
      </c>
      <c r="J1283">
        <f>'raw data Crude oil'!J1284</f>
        <v>70.760000000000005</v>
      </c>
      <c r="K1283">
        <f>'raw data Crude oil'!K1284</f>
        <v>70.39</v>
      </c>
      <c r="L1283">
        <f>'raw data Crude oil'!L1284</f>
        <v>70.02</v>
      </c>
      <c r="M1283">
        <f>'raw data Crude oil'!M1284</f>
        <v>69.650000000000006</v>
      </c>
      <c r="N1283">
        <f>'raw data Crude oil'!N1284</f>
        <v>70.86</v>
      </c>
      <c r="O1283">
        <f>'raw data Crude oil'!O1284</f>
        <v>70.72</v>
      </c>
      <c r="P1283">
        <f>'raw data Crude oil'!P1284</f>
        <v>70.349999999999994</v>
      </c>
      <c r="Q1283">
        <f>'raw data Crude oil'!Q1284</f>
        <v>69.95</v>
      </c>
      <c r="R1283">
        <f>'raw data Crude oil'!R1284</f>
        <v>69.53</v>
      </c>
      <c r="S1283">
        <f>'raw data Crude oil'!S1284</f>
        <v>69.099999999999994</v>
      </c>
      <c r="T1283">
        <f>'raw data Crude oil'!T1284</f>
        <v>68.650000000000006</v>
      </c>
      <c r="U1283">
        <f>'raw data Crude oil'!U1284</f>
        <v>68.2</v>
      </c>
      <c r="V1283">
        <f>'raw data Crude oil'!V1284</f>
        <v>67.75</v>
      </c>
      <c r="W1283">
        <f>'raw data Crude oil'!W1284</f>
        <v>67.319999999999993</v>
      </c>
      <c r="X1283">
        <f>'raw data Crude oil'!X1284</f>
        <v>66.86</v>
      </c>
      <c r="Y1283">
        <f>'raw data Crude oil'!Y1284</f>
        <v>66.44</v>
      </c>
      <c r="Z1283">
        <f>'raw data Crude oil'!Z1284</f>
        <v>72.474000000000004</v>
      </c>
      <c r="AA1283">
        <f>'raw data Crude oil'!AA1284</f>
        <v>71.522999999999996</v>
      </c>
      <c r="AB1283">
        <f>'raw data Crude oil'!AB1284</f>
        <v>70.861999999999995</v>
      </c>
      <c r="AC1283">
        <f>'raw data Crude oil'!AC1284</f>
        <v>70.483000000000004</v>
      </c>
      <c r="AD1283">
        <f>'raw data Crude oil'!AD1284</f>
        <v>70.088999999999999</v>
      </c>
      <c r="AE1283">
        <f>'raw data Crude oil'!AE1284</f>
        <v>69.661000000000001</v>
      </c>
      <c r="AF1283">
        <f>'raw data Crude oil'!AF1284</f>
        <v>69.251000000000005</v>
      </c>
      <c r="AG1283">
        <f>'raw data Crude oil'!AG1284</f>
        <v>68.850999999999999</v>
      </c>
      <c r="AH1283">
        <f>'raw data Crude oil'!AH1284</f>
        <v>68.474000000000004</v>
      </c>
      <c r="AI1283">
        <f>'raw data Crude oil'!AI1284</f>
        <v>68.102999999999994</v>
      </c>
      <c r="AJ1283">
        <f>'raw data Crude oil'!AJ1284</f>
        <v>67.762</v>
      </c>
      <c r="AK1283">
        <f>'raw data Crude oil'!AK1284</f>
        <v>67.405000000000001</v>
      </c>
    </row>
    <row r="1284" spans="1:37" x14ac:dyDescent="0.3">
      <c r="A1284" s="18">
        <f>'raw data Crude oil'!A1285</f>
        <v>44550</v>
      </c>
      <c r="B1284">
        <f>'raw data Crude oil'!B1285</f>
        <v>71.52</v>
      </c>
      <c r="C1284">
        <f>'raw data Crude oil'!C1285</f>
        <v>71.569999999999993</v>
      </c>
      <c r="D1284">
        <f>'raw data Crude oil'!D1285</f>
        <v>71.28</v>
      </c>
      <c r="E1284">
        <f>'raw data Crude oil'!E1285</f>
        <v>70.97</v>
      </c>
      <c r="F1284">
        <f>'raw data Crude oil'!F1285</f>
        <v>70.62</v>
      </c>
      <c r="G1284">
        <f>'raw data Crude oil'!G1285</f>
        <v>70.23</v>
      </c>
      <c r="H1284">
        <f>'raw data Crude oil'!H1285</f>
        <v>69.86</v>
      </c>
      <c r="I1284">
        <f>'raw data Crude oil'!I1285</f>
        <v>69.489999999999995</v>
      </c>
      <c r="J1284">
        <f>'raw data Crude oil'!J1285</f>
        <v>69.150000000000006</v>
      </c>
      <c r="K1284">
        <f>'raw data Crude oil'!K1285</f>
        <v>68.819999999999993</v>
      </c>
      <c r="L1284">
        <f>'raw data Crude oil'!L1285</f>
        <v>68.489999999999995</v>
      </c>
      <c r="M1284">
        <f>'raw data Crude oil'!M1285</f>
        <v>68.16</v>
      </c>
      <c r="N1284">
        <f>'raw data Crude oil'!N1285</f>
        <v>68.23</v>
      </c>
      <c r="O1284">
        <f>'raw data Crude oil'!O1285</f>
        <v>68.61</v>
      </c>
      <c r="P1284">
        <f>'raw data Crude oil'!P1285</f>
        <v>68.36</v>
      </c>
      <c r="Q1284">
        <f>'raw data Crude oil'!Q1285</f>
        <v>68.03</v>
      </c>
      <c r="R1284">
        <f>'raw data Crude oil'!R1285</f>
        <v>67.680000000000007</v>
      </c>
      <c r="S1284">
        <f>'raw data Crude oil'!S1285</f>
        <v>67.31</v>
      </c>
      <c r="T1284">
        <f>'raw data Crude oil'!T1285</f>
        <v>66.930000000000007</v>
      </c>
      <c r="U1284">
        <f>'raw data Crude oil'!U1285</f>
        <v>66.53</v>
      </c>
      <c r="V1284">
        <f>'raw data Crude oil'!V1285</f>
        <v>66.14</v>
      </c>
      <c r="W1284">
        <f>'raw data Crude oil'!W1285</f>
        <v>65.739999999999995</v>
      </c>
      <c r="X1284">
        <f>'raw data Crude oil'!X1285</f>
        <v>65.36</v>
      </c>
      <c r="Y1284">
        <f>'raw data Crude oil'!Y1285</f>
        <v>64.97</v>
      </c>
      <c r="Z1284">
        <f>'raw data Crude oil'!Z1285</f>
        <v>71.61</v>
      </c>
      <c r="AA1284">
        <f>'raw data Crude oil'!AA1285</f>
        <v>69.536000000000001</v>
      </c>
      <c r="AB1284">
        <f>'raw data Crude oil'!AB1285</f>
        <v>69.004999999999995</v>
      </c>
      <c r="AC1284">
        <f>'raw data Crude oil'!AC1285</f>
        <v>68.709999999999994</v>
      </c>
      <c r="AD1284">
        <f>'raw data Crude oil'!AD1285</f>
        <v>68.320999999999998</v>
      </c>
      <c r="AE1284">
        <f>'raw data Crude oil'!AE1285</f>
        <v>67.903999999999996</v>
      </c>
      <c r="AF1284">
        <f>'raw data Crude oil'!AF1285</f>
        <v>67.543000000000006</v>
      </c>
      <c r="AG1284">
        <f>'raw data Crude oil'!AG1285</f>
        <v>67.174000000000007</v>
      </c>
      <c r="AH1284">
        <f>'raw data Crude oil'!AH1285</f>
        <v>66.846000000000004</v>
      </c>
      <c r="AI1284">
        <f>'raw data Crude oil'!AI1285</f>
        <v>66.525000000000006</v>
      </c>
      <c r="AJ1284">
        <f>'raw data Crude oil'!AJ1285</f>
        <v>66.203999999999994</v>
      </c>
      <c r="AK1284">
        <f>'raw data Crude oil'!AK1285</f>
        <v>65.887</v>
      </c>
    </row>
    <row r="1285" spans="1:37" x14ac:dyDescent="0.3">
      <c r="A1285" s="18">
        <f>'raw data Crude oil'!A1286</f>
        <v>44551</v>
      </c>
      <c r="B1285">
        <f>'raw data Crude oil'!B1286</f>
        <v>73.98</v>
      </c>
      <c r="C1285">
        <f>'raw data Crude oil'!C1286</f>
        <v>73.959999999999994</v>
      </c>
      <c r="D1285">
        <f>'raw data Crude oil'!D1286</f>
        <v>73.62</v>
      </c>
      <c r="E1285">
        <f>'raw data Crude oil'!E1286</f>
        <v>73.28</v>
      </c>
      <c r="F1285">
        <f>'raw data Crude oil'!F1286</f>
        <v>72.89</v>
      </c>
      <c r="G1285">
        <f>'raw data Crude oil'!G1286</f>
        <v>72.45</v>
      </c>
      <c r="H1285">
        <f>'raw data Crude oil'!H1286</f>
        <v>72.03</v>
      </c>
      <c r="I1285">
        <f>'raw data Crude oil'!I1286</f>
        <v>71.62</v>
      </c>
      <c r="J1285">
        <f>'raw data Crude oil'!J1286</f>
        <v>71.23</v>
      </c>
      <c r="K1285">
        <f>'raw data Crude oil'!K1286</f>
        <v>70.86</v>
      </c>
      <c r="L1285">
        <f>'raw data Crude oil'!L1286</f>
        <v>70.5</v>
      </c>
      <c r="M1285">
        <f>'raw data Crude oil'!M1286</f>
        <v>70.14</v>
      </c>
      <c r="N1285">
        <f>'raw data Crude oil'!N1286</f>
        <v>71.12</v>
      </c>
      <c r="O1285">
        <f>'raw data Crude oil'!O1286</f>
        <v>70.819999999999993</v>
      </c>
      <c r="P1285">
        <f>'raw data Crude oil'!P1286</f>
        <v>70.44</v>
      </c>
      <c r="Q1285">
        <f>'raw data Crude oil'!Q1286</f>
        <v>70.05</v>
      </c>
      <c r="R1285">
        <f>'raw data Crude oil'!R1286</f>
        <v>69.64</v>
      </c>
      <c r="S1285">
        <f>'raw data Crude oil'!S1286</f>
        <v>69.2</v>
      </c>
      <c r="T1285">
        <f>'raw data Crude oil'!T1286</f>
        <v>68.739999999999995</v>
      </c>
      <c r="U1285">
        <f>'raw data Crude oil'!U1286</f>
        <v>68.31</v>
      </c>
      <c r="V1285">
        <f>'raw data Crude oil'!V1286</f>
        <v>67.86</v>
      </c>
      <c r="W1285">
        <f>'raw data Crude oil'!W1286</f>
        <v>67.430000000000007</v>
      </c>
      <c r="X1285">
        <f>'raw data Crude oil'!X1286</f>
        <v>67</v>
      </c>
      <c r="Y1285">
        <f>'raw data Crude oil'!Y1286</f>
        <v>66.569999999999993</v>
      </c>
      <c r="Z1285">
        <f>'raw data Crude oil'!Z1286</f>
        <v>72.355000000000004</v>
      </c>
      <c r="AA1285">
        <f>'raw data Crude oil'!AA1286</f>
        <v>71.924000000000007</v>
      </c>
      <c r="AB1285">
        <f>'raw data Crude oil'!AB1286</f>
        <v>71.403000000000006</v>
      </c>
      <c r="AC1285">
        <f>'raw data Crude oil'!AC1286</f>
        <v>71.108000000000004</v>
      </c>
      <c r="AD1285">
        <f>'raw data Crude oil'!AD1286</f>
        <v>70.683000000000007</v>
      </c>
      <c r="AE1285">
        <f>'raw data Crude oil'!AE1286</f>
        <v>70.210999999999999</v>
      </c>
      <c r="AF1285">
        <f>'raw data Crude oil'!AF1286</f>
        <v>69.771000000000001</v>
      </c>
      <c r="AG1285">
        <f>'raw data Crude oil'!AG1286</f>
        <v>69.391000000000005</v>
      </c>
      <c r="AH1285">
        <f>'raw data Crude oil'!AH1286</f>
        <v>69.013999999999996</v>
      </c>
      <c r="AI1285">
        <f>'raw data Crude oil'!AI1286</f>
        <v>68.644000000000005</v>
      </c>
      <c r="AJ1285">
        <f>'raw data Crude oil'!AJ1286</f>
        <v>68.283000000000001</v>
      </c>
      <c r="AK1285">
        <f>'raw data Crude oil'!AK1286</f>
        <v>67.944999999999993</v>
      </c>
    </row>
    <row r="1286" spans="1:37" x14ac:dyDescent="0.3">
      <c r="A1286" s="18">
        <f>'raw data Crude oil'!A1287</f>
        <v>44552</v>
      </c>
      <c r="B1286">
        <f>'raw data Crude oil'!B1287</f>
        <v>75.290000000000006</v>
      </c>
      <c r="C1286">
        <f>'raw data Crude oil'!C1287</f>
        <v>75.28</v>
      </c>
      <c r="D1286">
        <f>'raw data Crude oil'!D1287</f>
        <v>74.87</v>
      </c>
      <c r="E1286">
        <f>'raw data Crude oil'!E1287</f>
        <v>74.44</v>
      </c>
      <c r="F1286">
        <f>'raw data Crude oil'!F1287</f>
        <v>73.959999999999994</v>
      </c>
      <c r="G1286">
        <f>'raw data Crude oil'!G1287</f>
        <v>73.45</v>
      </c>
      <c r="H1286">
        <f>'raw data Crude oil'!H1287</f>
        <v>72.959999999999994</v>
      </c>
      <c r="I1286">
        <f>'raw data Crude oil'!I1287</f>
        <v>72.48</v>
      </c>
      <c r="J1286">
        <f>'raw data Crude oil'!J1287</f>
        <v>72.02</v>
      </c>
      <c r="K1286">
        <f>'raw data Crude oil'!K1287</f>
        <v>71.59</v>
      </c>
      <c r="L1286">
        <f>'raw data Crude oil'!L1287</f>
        <v>71.16</v>
      </c>
      <c r="M1286">
        <f>'raw data Crude oil'!M1287</f>
        <v>70.73</v>
      </c>
      <c r="N1286">
        <f>'raw data Crude oil'!N1287</f>
        <v>72.760000000000005</v>
      </c>
      <c r="O1286">
        <f>'raw data Crude oil'!O1287</f>
        <v>72.33</v>
      </c>
      <c r="P1286">
        <f>'raw data Crude oil'!P1287</f>
        <v>71.83</v>
      </c>
      <c r="Q1286">
        <f>'raw data Crude oil'!Q1287</f>
        <v>71.319999999999993</v>
      </c>
      <c r="R1286">
        <f>'raw data Crude oil'!R1287</f>
        <v>70.790000000000006</v>
      </c>
      <c r="S1286">
        <f>'raw data Crude oil'!S1287</f>
        <v>70.25</v>
      </c>
      <c r="T1286">
        <f>'raw data Crude oil'!T1287</f>
        <v>69.709999999999994</v>
      </c>
      <c r="U1286">
        <f>'raw data Crude oil'!U1287</f>
        <v>69.180000000000007</v>
      </c>
      <c r="V1286">
        <f>'raw data Crude oil'!V1287</f>
        <v>68.66</v>
      </c>
      <c r="W1286">
        <f>'raw data Crude oil'!W1287</f>
        <v>68.16</v>
      </c>
      <c r="X1286">
        <f>'raw data Crude oil'!X1287</f>
        <v>67.67</v>
      </c>
      <c r="Y1286">
        <f>'raw data Crude oil'!Y1287</f>
        <v>67.17</v>
      </c>
      <c r="Z1286">
        <f>'raw data Crude oil'!Z1287</f>
        <v>72.682000000000002</v>
      </c>
      <c r="AA1286">
        <f>'raw data Crude oil'!AA1287</f>
        <v>73.239999999999995</v>
      </c>
      <c r="AB1286">
        <f>'raw data Crude oil'!AB1287</f>
        <v>72.659000000000006</v>
      </c>
      <c r="AC1286">
        <f>'raw data Crude oil'!AC1287</f>
        <v>72.269000000000005</v>
      </c>
      <c r="AD1286">
        <f>'raw data Crude oil'!AD1287</f>
        <v>71.795000000000002</v>
      </c>
      <c r="AE1286">
        <f>'raw data Crude oil'!AE1287</f>
        <v>71.302999999999997</v>
      </c>
      <c r="AF1286">
        <f>'raw data Crude oil'!AF1287</f>
        <v>70.822999999999993</v>
      </c>
      <c r="AG1286">
        <f>'raw data Crude oil'!AG1287</f>
        <v>70.347999999999999</v>
      </c>
      <c r="AH1286">
        <f>'raw data Crude oil'!AH1287</f>
        <v>69.900999999999996</v>
      </c>
      <c r="AI1286">
        <f>'raw data Crude oil'!AI1287</f>
        <v>69.47</v>
      </c>
      <c r="AJ1286">
        <f>'raw data Crude oil'!AJ1287</f>
        <v>69.040000000000006</v>
      </c>
      <c r="AK1286">
        <f>'raw data Crude oil'!AK1287</f>
        <v>68.613</v>
      </c>
    </row>
    <row r="1287" spans="1:37" x14ac:dyDescent="0.3">
      <c r="A1287" s="18">
        <f>'raw data Crude oil'!A1288</f>
        <v>44553</v>
      </c>
      <c r="B1287">
        <f>'raw data Crude oil'!B1288</f>
        <v>76.849999999999994</v>
      </c>
      <c r="C1287">
        <f>'raw data Crude oil'!C1288</f>
        <v>76.64</v>
      </c>
      <c r="D1287">
        <f>'raw data Crude oil'!D1288</f>
        <v>76.14</v>
      </c>
      <c r="E1287">
        <f>'raw data Crude oil'!E1288</f>
        <v>75.66</v>
      </c>
      <c r="F1287">
        <f>'raw data Crude oil'!F1288</f>
        <v>75.13</v>
      </c>
      <c r="G1287">
        <f>'raw data Crude oil'!G1288</f>
        <v>74.599999999999994</v>
      </c>
      <c r="H1287">
        <f>'raw data Crude oil'!H1288</f>
        <v>74.09</v>
      </c>
      <c r="I1287">
        <f>'raw data Crude oil'!I1288</f>
        <v>73.58</v>
      </c>
      <c r="J1287">
        <f>'raw data Crude oil'!J1288</f>
        <v>73.099999999999994</v>
      </c>
      <c r="K1287">
        <f>'raw data Crude oil'!K1288</f>
        <v>72.650000000000006</v>
      </c>
      <c r="L1287">
        <f>'raw data Crude oil'!L1288</f>
        <v>72.180000000000007</v>
      </c>
      <c r="M1287">
        <f>'raw data Crude oil'!M1288</f>
        <v>71.739999999999995</v>
      </c>
      <c r="N1287">
        <f>'raw data Crude oil'!N1288</f>
        <v>73.790000000000006</v>
      </c>
      <c r="O1287">
        <f>'raw data Crude oil'!O1288</f>
        <v>73.42</v>
      </c>
      <c r="P1287">
        <f>'raw data Crude oil'!P1288</f>
        <v>72.930000000000007</v>
      </c>
      <c r="Q1287">
        <f>'raw data Crude oil'!Q1288</f>
        <v>72.400000000000006</v>
      </c>
      <c r="R1287">
        <f>'raw data Crude oil'!R1288</f>
        <v>71.819999999999993</v>
      </c>
      <c r="S1287">
        <f>'raw data Crude oil'!S1288</f>
        <v>71.239999999999995</v>
      </c>
      <c r="T1287">
        <f>'raw data Crude oil'!T1288</f>
        <v>70.66</v>
      </c>
      <c r="U1287">
        <f>'raw data Crude oil'!U1288</f>
        <v>70.09</v>
      </c>
      <c r="V1287">
        <f>'raw data Crude oil'!V1288</f>
        <v>69.540000000000006</v>
      </c>
      <c r="W1287">
        <f>'raw data Crude oil'!W1288</f>
        <v>69.03</v>
      </c>
      <c r="X1287">
        <f>'raw data Crude oil'!X1288</f>
        <v>68.540000000000006</v>
      </c>
      <c r="Y1287">
        <f>'raw data Crude oil'!Y1288</f>
        <v>68.040000000000006</v>
      </c>
      <c r="Z1287">
        <f>'raw data Crude oil'!Z1288</f>
        <v>72.894999999999996</v>
      </c>
      <c r="AA1287">
        <f>'raw data Crude oil'!AA1288</f>
        <v>74.525999999999996</v>
      </c>
      <c r="AB1287">
        <f>'raw data Crude oil'!AB1288</f>
        <v>73.906000000000006</v>
      </c>
      <c r="AC1287">
        <f>'raw data Crude oil'!AC1288</f>
        <v>73.456999999999994</v>
      </c>
      <c r="AD1287">
        <f>'raw data Crude oil'!AD1288</f>
        <v>72.956999999999994</v>
      </c>
      <c r="AE1287">
        <f>'raw data Crude oil'!AE1288</f>
        <v>72.456999999999994</v>
      </c>
      <c r="AF1287">
        <f>'raw data Crude oil'!AF1288</f>
        <v>71.936999999999998</v>
      </c>
      <c r="AG1287">
        <f>'raw data Crude oil'!AG1288</f>
        <v>71.456999999999994</v>
      </c>
      <c r="AH1287">
        <f>'raw data Crude oil'!AH1288</f>
        <v>70.98</v>
      </c>
      <c r="AI1287">
        <f>'raw data Crude oil'!AI1288</f>
        <v>70.549000000000007</v>
      </c>
      <c r="AJ1287">
        <f>'raw data Crude oil'!AJ1288</f>
        <v>70.069000000000003</v>
      </c>
      <c r="AK1287">
        <f>'raw data Crude oil'!AK1288</f>
        <v>69.652000000000001</v>
      </c>
    </row>
    <row r="1288" spans="1:37" x14ac:dyDescent="0.3">
      <c r="A1288" s="18">
        <f>'raw data Crude oil'!A1289</f>
        <v>44554</v>
      </c>
      <c r="B1288">
        <f>'raw data Crude oil'!B1289</f>
        <v>76.14</v>
      </c>
      <c r="C1288">
        <f>'raw data Crude oil'!C1289</f>
        <v>75.790000000000006</v>
      </c>
      <c r="D1288">
        <f>'raw data Crude oil'!D1289</f>
        <v>75.27</v>
      </c>
      <c r="E1288">
        <f>'raw data Crude oil'!E1289</f>
        <v>74.77</v>
      </c>
      <c r="F1288">
        <f>'raw data Crude oil'!F1289</f>
        <v>74.23</v>
      </c>
      <c r="G1288">
        <f>'raw data Crude oil'!G1289</f>
        <v>73.650000000000006</v>
      </c>
      <c r="H1288">
        <f>'raw data Crude oil'!H1289</f>
        <v>73.08</v>
      </c>
      <c r="I1288">
        <f>'raw data Crude oil'!I1289</f>
        <v>72.52</v>
      </c>
      <c r="J1288">
        <f>'raw data Crude oil'!J1289</f>
        <v>72.02</v>
      </c>
      <c r="K1288">
        <f>'raw data Crude oil'!K1289</f>
        <v>71.52</v>
      </c>
      <c r="L1288">
        <f>'raw data Crude oil'!L1289</f>
        <v>71.03</v>
      </c>
      <c r="M1288">
        <f>'raw data Crude oil'!M1289</f>
        <v>70.59</v>
      </c>
      <c r="N1288">
        <f>'raw data Crude oil'!N1289</f>
        <v>73.790000000000006</v>
      </c>
      <c r="O1288">
        <f>'raw data Crude oil'!O1289</f>
        <v>73.42</v>
      </c>
      <c r="P1288">
        <f>'raw data Crude oil'!P1289</f>
        <v>72.930000000000007</v>
      </c>
      <c r="Q1288">
        <f>'raw data Crude oil'!Q1289</f>
        <v>72.400000000000006</v>
      </c>
      <c r="R1288">
        <f>'raw data Crude oil'!R1289</f>
        <v>71.819999999999993</v>
      </c>
      <c r="S1288">
        <f>'raw data Crude oil'!S1289</f>
        <v>71.239999999999995</v>
      </c>
      <c r="T1288">
        <f>'raw data Crude oil'!T1289</f>
        <v>70.66</v>
      </c>
      <c r="U1288">
        <f>'raw data Crude oil'!U1289</f>
        <v>70.09</v>
      </c>
      <c r="V1288">
        <f>'raw data Crude oil'!V1289</f>
        <v>69.540000000000006</v>
      </c>
      <c r="W1288">
        <f>'raw data Crude oil'!W1289</f>
        <v>69.03</v>
      </c>
      <c r="X1288">
        <f>'raw data Crude oil'!X1289</f>
        <v>68.540000000000006</v>
      </c>
      <c r="Y1288">
        <f>'raw data Crude oil'!Y1289</f>
        <v>68.040000000000006</v>
      </c>
      <c r="Z1288">
        <f>'raw data Crude oil'!Z1289</f>
        <v>72.706000000000003</v>
      </c>
      <c r="AA1288">
        <f>'raw data Crude oil'!AA1289</f>
        <v>73.685000000000002</v>
      </c>
      <c r="AB1288">
        <f>'raw data Crude oil'!AB1289</f>
        <v>73.055000000000007</v>
      </c>
      <c r="AC1288">
        <f>'raw data Crude oil'!AC1289</f>
        <v>72.605000000000004</v>
      </c>
      <c r="AD1288">
        <f>'raw data Crude oil'!AD1289</f>
        <v>72.075999999999993</v>
      </c>
      <c r="AE1288">
        <f>'raw data Crude oil'!AE1289</f>
        <v>71.546000000000006</v>
      </c>
      <c r="AF1288">
        <f>'raw data Crude oil'!AF1289</f>
        <v>70.905000000000001</v>
      </c>
      <c r="AG1288">
        <f>'raw data Crude oil'!AG1289</f>
        <v>70.396000000000001</v>
      </c>
      <c r="AH1288">
        <f>'raw data Crude oil'!AH1289</f>
        <v>69.897999999999996</v>
      </c>
      <c r="AI1288">
        <f>'raw data Crude oil'!AI1289</f>
        <v>69.408000000000001</v>
      </c>
      <c r="AJ1288">
        <f>'raw data Crude oil'!AJ1289</f>
        <v>68.909000000000006</v>
      </c>
      <c r="AK1288">
        <f>'raw data Crude oil'!AK1289</f>
        <v>68.501000000000005</v>
      </c>
    </row>
    <row r="1289" spans="1:37" x14ac:dyDescent="0.3">
      <c r="A1289" s="18">
        <f>'raw data Crude oil'!A1290</f>
        <v>44557</v>
      </c>
      <c r="B1289">
        <f>'raw data Crude oil'!B1290</f>
        <v>78.599999999999994</v>
      </c>
      <c r="C1289">
        <f>'raw data Crude oil'!C1290</f>
        <v>78.22</v>
      </c>
      <c r="D1289">
        <f>'raw data Crude oil'!D1290</f>
        <v>77.73</v>
      </c>
      <c r="E1289">
        <f>'raw data Crude oil'!E1290</f>
        <v>77.25</v>
      </c>
      <c r="F1289">
        <f>'raw data Crude oil'!F1290</f>
        <v>76.73</v>
      </c>
      <c r="G1289">
        <f>'raw data Crude oil'!G1290</f>
        <v>76.180000000000007</v>
      </c>
      <c r="H1289">
        <f>'raw data Crude oil'!H1290</f>
        <v>75.64</v>
      </c>
      <c r="I1289">
        <f>'raw data Crude oil'!I1290</f>
        <v>75.099999999999994</v>
      </c>
      <c r="J1289">
        <f>'raw data Crude oil'!J1290</f>
        <v>74.59</v>
      </c>
      <c r="K1289">
        <f>'raw data Crude oil'!K1290</f>
        <v>74.09</v>
      </c>
      <c r="L1289">
        <f>'raw data Crude oil'!L1290</f>
        <v>73.61</v>
      </c>
      <c r="M1289">
        <f>'raw data Crude oil'!M1290</f>
        <v>73.14</v>
      </c>
      <c r="N1289">
        <f>'raw data Crude oil'!N1290</f>
        <v>75.569999999999993</v>
      </c>
      <c r="O1289">
        <f>'raw data Crude oil'!O1290</f>
        <v>75.180000000000007</v>
      </c>
      <c r="P1289">
        <f>'raw data Crude oil'!P1290</f>
        <v>74.67</v>
      </c>
      <c r="Q1289">
        <f>'raw data Crude oil'!Q1290</f>
        <v>74.12</v>
      </c>
      <c r="R1289">
        <f>'raw data Crude oil'!R1290</f>
        <v>73.540000000000006</v>
      </c>
      <c r="S1289">
        <f>'raw data Crude oil'!S1290</f>
        <v>72.959999999999994</v>
      </c>
      <c r="T1289">
        <f>'raw data Crude oil'!T1290</f>
        <v>72.36</v>
      </c>
      <c r="U1289">
        <f>'raw data Crude oil'!U1290</f>
        <v>71.760000000000005</v>
      </c>
      <c r="V1289">
        <f>'raw data Crude oil'!V1290</f>
        <v>71.180000000000007</v>
      </c>
      <c r="W1289">
        <f>'raw data Crude oil'!W1290</f>
        <v>70.63</v>
      </c>
      <c r="X1289">
        <f>'raw data Crude oil'!X1290</f>
        <v>70.099999999999994</v>
      </c>
      <c r="Y1289">
        <f>'raw data Crude oil'!Y1290</f>
        <v>69.569999999999993</v>
      </c>
      <c r="Z1289">
        <f>'raw data Crude oil'!Z1290</f>
        <v>73.150000000000006</v>
      </c>
      <c r="AA1289">
        <f>'raw data Crude oil'!AA1290</f>
        <v>75.897000000000006</v>
      </c>
      <c r="AB1289">
        <f>'raw data Crude oil'!AB1290</f>
        <v>75.316000000000003</v>
      </c>
      <c r="AC1289">
        <f>'raw data Crude oil'!AC1290</f>
        <v>74.897000000000006</v>
      </c>
      <c r="AD1289">
        <f>'raw data Crude oil'!AD1290</f>
        <v>74.442999999999998</v>
      </c>
      <c r="AE1289">
        <f>'raw data Crude oil'!AE1290</f>
        <v>73.935000000000002</v>
      </c>
      <c r="AF1289">
        <f>'raw data Crude oil'!AF1290</f>
        <v>73.435000000000002</v>
      </c>
      <c r="AG1289">
        <f>'raw data Crude oil'!AG1290</f>
        <v>72.896000000000001</v>
      </c>
      <c r="AH1289">
        <f>'raw data Crude oil'!AH1290</f>
        <v>72.388000000000005</v>
      </c>
      <c r="AI1289">
        <f>'raw data Crude oil'!AI1290</f>
        <v>71.897999999999996</v>
      </c>
      <c r="AJ1289">
        <f>'raw data Crude oil'!AJ1290</f>
        <v>71.388000000000005</v>
      </c>
      <c r="AK1289">
        <f>'raw data Crude oil'!AK1290</f>
        <v>70.95</v>
      </c>
    </row>
    <row r="1290" spans="1:37" x14ac:dyDescent="0.3">
      <c r="A1290" s="18">
        <f>'raw data Crude oil'!A1291</f>
        <v>44558</v>
      </c>
      <c r="B1290">
        <f>'raw data Crude oil'!B1291</f>
        <v>78.94</v>
      </c>
      <c r="C1290">
        <f>'raw data Crude oil'!C1291</f>
        <v>78.67</v>
      </c>
      <c r="D1290">
        <f>'raw data Crude oil'!D1291</f>
        <v>78.209999999999994</v>
      </c>
      <c r="E1290">
        <f>'raw data Crude oil'!E1291</f>
        <v>77.73</v>
      </c>
      <c r="F1290">
        <f>'raw data Crude oil'!F1291</f>
        <v>77.2</v>
      </c>
      <c r="G1290">
        <f>'raw data Crude oil'!G1291</f>
        <v>76.650000000000006</v>
      </c>
      <c r="H1290">
        <f>'raw data Crude oil'!H1291</f>
        <v>76.099999999999994</v>
      </c>
      <c r="I1290">
        <f>'raw data Crude oil'!I1291</f>
        <v>75.55</v>
      </c>
      <c r="J1290">
        <f>'raw data Crude oil'!J1291</f>
        <v>75.02</v>
      </c>
      <c r="K1290">
        <f>'raw data Crude oil'!K1291</f>
        <v>74.510000000000005</v>
      </c>
      <c r="L1290">
        <f>'raw data Crude oil'!L1291</f>
        <v>74.02</v>
      </c>
      <c r="M1290">
        <f>'raw data Crude oil'!M1291</f>
        <v>73.540000000000006</v>
      </c>
      <c r="N1290">
        <f>'raw data Crude oil'!N1291</f>
        <v>75.98</v>
      </c>
      <c r="O1290">
        <f>'raw data Crude oil'!O1291</f>
        <v>75.599999999999994</v>
      </c>
      <c r="P1290">
        <f>'raw data Crude oil'!P1291</f>
        <v>75.13</v>
      </c>
      <c r="Q1290">
        <f>'raw data Crude oil'!Q1291</f>
        <v>74.59</v>
      </c>
      <c r="R1290">
        <f>'raw data Crude oil'!R1291</f>
        <v>74</v>
      </c>
      <c r="S1290">
        <f>'raw data Crude oil'!S1291</f>
        <v>73.39</v>
      </c>
      <c r="T1290">
        <f>'raw data Crude oil'!T1291</f>
        <v>72.78</v>
      </c>
      <c r="U1290">
        <f>'raw data Crude oil'!U1291</f>
        <v>72.17</v>
      </c>
      <c r="V1290">
        <f>'raw data Crude oil'!V1291</f>
        <v>71.569999999999993</v>
      </c>
      <c r="W1290">
        <f>'raw data Crude oil'!W1291</f>
        <v>71</v>
      </c>
      <c r="X1290">
        <f>'raw data Crude oil'!X1291</f>
        <v>70.45</v>
      </c>
      <c r="Y1290">
        <f>'raw data Crude oil'!Y1291</f>
        <v>69.900000000000006</v>
      </c>
      <c r="Z1290">
        <f>'raw data Crude oil'!Z1291</f>
        <v>73.212000000000003</v>
      </c>
      <c r="AA1290">
        <f>'raw data Crude oil'!AA1291</f>
        <v>76.447999999999993</v>
      </c>
      <c r="AB1290">
        <f>'raw data Crude oil'!AB1291</f>
        <v>75.825999999999993</v>
      </c>
      <c r="AC1290">
        <f>'raw data Crude oil'!AC1291</f>
        <v>75.367000000000004</v>
      </c>
      <c r="AD1290">
        <f>'raw data Crude oil'!AD1291</f>
        <v>74.882999999999996</v>
      </c>
      <c r="AE1290">
        <f>'raw data Crude oil'!AE1291</f>
        <v>74.355000000000004</v>
      </c>
      <c r="AF1290">
        <f>'raw data Crude oil'!AF1291</f>
        <v>73.844999999999999</v>
      </c>
      <c r="AG1290">
        <f>'raw data Crude oil'!AG1291</f>
        <v>73.334999999999994</v>
      </c>
      <c r="AH1290">
        <f>'raw data Crude oil'!AH1291</f>
        <v>72.817999999999998</v>
      </c>
      <c r="AI1290">
        <f>'raw data Crude oil'!AI1291</f>
        <v>72.308000000000007</v>
      </c>
      <c r="AJ1290">
        <f>'raw data Crude oil'!AJ1291</f>
        <v>71.807000000000002</v>
      </c>
      <c r="AK1290">
        <f>'raw data Crude oil'!AK1291</f>
        <v>71.338999999999999</v>
      </c>
    </row>
    <row r="1291" spans="1:37" x14ac:dyDescent="0.3">
      <c r="A1291" s="18">
        <f>'raw data Crude oil'!A1292</f>
        <v>44559</v>
      </c>
      <c r="B1291">
        <f>'raw data Crude oil'!B1292</f>
        <v>79.23</v>
      </c>
      <c r="C1291">
        <f>'raw data Crude oil'!C1292</f>
        <v>79.209999999999994</v>
      </c>
      <c r="D1291">
        <f>'raw data Crude oil'!D1292</f>
        <v>78.790000000000006</v>
      </c>
      <c r="E1291">
        <f>'raw data Crude oil'!E1292</f>
        <v>78.319999999999993</v>
      </c>
      <c r="F1291">
        <f>'raw data Crude oil'!F1292</f>
        <v>77.790000000000006</v>
      </c>
      <c r="G1291">
        <f>'raw data Crude oil'!G1292</f>
        <v>77.22</v>
      </c>
      <c r="H1291">
        <f>'raw data Crude oil'!H1292</f>
        <v>76.680000000000007</v>
      </c>
      <c r="I1291">
        <f>'raw data Crude oil'!I1292</f>
        <v>76.14</v>
      </c>
      <c r="J1291">
        <f>'raw data Crude oil'!J1292</f>
        <v>75.62</v>
      </c>
      <c r="K1291">
        <f>'raw data Crude oil'!K1292</f>
        <v>75.12</v>
      </c>
      <c r="L1291">
        <f>'raw data Crude oil'!L1292</f>
        <v>74.63</v>
      </c>
      <c r="M1291">
        <f>'raw data Crude oil'!M1292</f>
        <v>74.14</v>
      </c>
      <c r="N1291">
        <f>'raw data Crude oil'!N1292</f>
        <v>76.56</v>
      </c>
      <c r="O1291">
        <f>'raw data Crude oil'!O1292</f>
        <v>76.180000000000007</v>
      </c>
      <c r="P1291">
        <f>'raw data Crude oil'!P1292</f>
        <v>75.709999999999994</v>
      </c>
      <c r="Q1291">
        <f>'raw data Crude oil'!Q1292</f>
        <v>75.180000000000007</v>
      </c>
      <c r="R1291">
        <f>'raw data Crude oil'!R1292</f>
        <v>74.61</v>
      </c>
      <c r="S1291">
        <f>'raw data Crude oil'!S1292</f>
        <v>74.010000000000005</v>
      </c>
      <c r="T1291">
        <f>'raw data Crude oil'!T1292</f>
        <v>73.400000000000006</v>
      </c>
      <c r="U1291">
        <f>'raw data Crude oil'!U1292</f>
        <v>72.790000000000006</v>
      </c>
      <c r="V1291">
        <f>'raw data Crude oil'!V1292</f>
        <v>72.209999999999994</v>
      </c>
      <c r="W1291">
        <f>'raw data Crude oil'!W1292</f>
        <v>71.64</v>
      </c>
      <c r="X1291">
        <f>'raw data Crude oil'!X1292</f>
        <v>71.09</v>
      </c>
      <c r="Y1291">
        <f>'raw data Crude oil'!Y1292</f>
        <v>70.540000000000006</v>
      </c>
      <c r="Z1291">
        <f>'raw data Crude oil'!Z1292</f>
        <v>73.197000000000003</v>
      </c>
      <c r="AA1291">
        <f>'raw data Crude oil'!AA1292</f>
        <v>76.995000000000005</v>
      </c>
      <c r="AB1291">
        <f>'raw data Crude oil'!AB1292</f>
        <v>76.417000000000002</v>
      </c>
      <c r="AC1291">
        <f>'raw data Crude oil'!AC1292</f>
        <v>75.951999999999998</v>
      </c>
      <c r="AD1291">
        <f>'raw data Crude oil'!AD1292</f>
        <v>75.471999999999994</v>
      </c>
      <c r="AE1291">
        <f>'raw data Crude oil'!AE1292</f>
        <v>74.944999999999993</v>
      </c>
      <c r="AF1291">
        <f>'raw data Crude oil'!AF1292</f>
        <v>74.424999999999997</v>
      </c>
      <c r="AG1291">
        <f>'raw data Crude oil'!AG1292</f>
        <v>73.915000000000006</v>
      </c>
      <c r="AH1291">
        <f>'raw data Crude oil'!AH1292</f>
        <v>73.397999999999996</v>
      </c>
      <c r="AI1291">
        <f>'raw data Crude oil'!AI1292</f>
        <v>72.897999999999996</v>
      </c>
      <c r="AJ1291">
        <f>'raw data Crude oil'!AJ1292</f>
        <v>72.397000000000006</v>
      </c>
      <c r="AK1291">
        <f>'raw data Crude oil'!AK1292</f>
        <v>71.92</v>
      </c>
    </row>
    <row r="1292" spans="1:37" x14ac:dyDescent="0.3">
      <c r="A1292" s="18">
        <f>'raw data Crude oil'!A1293</f>
        <v>44560</v>
      </c>
      <c r="B1292">
        <f>'raw data Crude oil'!B1293</f>
        <v>79.319999999999993</v>
      </c>
      <c r="C1292">
        <f>'raw data Crude oil'!C1293</f>
        <v>79.53</v>
      </c>
      <c r="D1292">
        <f>'raw data Crude oil'!D1293</f>
        <v>79.08</v>
      </c>
      <c r="E1292">
        <f>'raw data Crude oil'!E1293</f>
        <v>78.61</v>
      </c>
      <c r="F1292">
        <f>'raw data Crude oil'!F1293</f>
        <v>78.08</v>
      </c>
      <c r="G1292">
        <f>'raw data Crude oil'!G1293</f>
        <v>77.52</v>
      </c>
      <c r="H1292">
        <f>'raw data Crude oil'!H1293</f>
        <v>76.989999999999995</v>
      </c>
      <c r="I1292">
        <f>'raw data Crude oil'!I1293</f>
        <v>76.459999999999994</v>
      </c>
      <c r="J1292">
        <f>'raw data Crude oil'!J1293</f>
        <v>75.95</v>
      </c>
      <c r="K1292">
        <f>'raw data Crude oil'!K1293</f>
        <v>75.45</v>
      </c>
      <c r="L1292">
        <f>'raw data Crude oil'!L1293</f>
        <v>74.959999999999994</v>
      </c>
      <c r="M1292">
        <f>'raw data Crude oil'!M1293</f>
        <v>74.48</v>
      </c>
      <c r="N1292">
        <f>'raw data Crude oil'!N1293</f>
        <v>76.989999999999995</v>
      </c>
      <c r="O1292">
        <f>'raw data Crude oil'!O1293</f>
        <v>76.61</v>
      </c>
      <c r="P1292">
        <f>'raw data Crude oil'!P1293</f>
        <v>76.13</v>
      </c>
      <c r="Q1292">
        <f>'raw data Crude oil'!Q1293</f>
        <v>75.58</v>
      </c>
      <c r="R1292">
        <f>'raw data Crude oil'!R1293</f>
        <v>74.989999999999995</v>
      </c>
      <c r="S1292">
        <f>'raw data Crude oil'!S1293</f>
        <v>74.37</v>
      </c>
      <c r="T1292">
        <f>'raw data Crude oil'!T1293</f>
        <v>73.760000000000005</v>
      </c>
      <c r="U1292">
        <f>'raw data Crude oil'!U1293</f>
        <v>73.14</v>
      </c>
      <c r="V1292">
        <f>'raw data Crude oil'!V1293</f>
        <v>72.56</v>
      </c>
      <c r="W1292">
        <f>'raw data Crude oil'!W1293</f>
        <v>71.989999999999995</v>
      </c>
      <c r="X1292">
        <f>'raw data Crude oil'!X1293</f>
        <v>71.44</v>
      </c>
      <c r="Y1292">
        <f>'raw data Crude oil'!Y1293</f>
        <v>70.89</v>
      </c>
      <c r="Z1292">
        <f>'raw data Crude oil'!Z1293</f>
        <v>73.218000000000004</v>
      </c>
      <c r="AA1292">
        <f>'raw data Crude oil'!AA1293</f>
        <v>77.319000000000003</v>
      </c>
      <c r="AB1292">
        <f>'raw data Crude oil'!AB1293</f>
        <v>76.727000000000004</v>
      </c>
      <c r="AC1292">
        <f>'raw data Crude oil'!AC1293</f>
        <v>76.236999999999995</v>
      </c>
      <c r="AD1292">
        <f>'raw data Crude oil'!AD1293</f>
        <v>75.741</v>
      </c>
      <c r="AE1292">
        <f>'raw data Crude oil'!AE1293</f>
        <v>75.186000000000007</v>
      </c>
      <c r="AF1292">
        <f>'raw data Crude oil'!AF1293</f>
        <v>74.676000000000002</v>
      </c>
      <c r="AG1292">
        <f>'raw data Crude oil'!AG1293</f>
        <v>74.156000000000006</v>
      </c>
      <c r="AH1292">
        <f>'raw data Crude oil'!AH1293</f>
        <v>73.658000000000001</v>
      </c>
      <c r="AI1292">
        <f>'raw data Crude oil'!AI1293</f>
        <v>73.147999999999996</v>
      </c>
      <c r="AJ1292">
        <f>'raw data Crude oil'!AJ1293</f>
        <v>72.626999999999995</v>
      </c>
      <c r="AK1292">
        <f>'raw data Crude oil'!AK1293</f>
        <v>72.159000000000006</v>
      </c>
    </row>
    <row r="1293" spans="1:37" x14ac:dyDescent="0.3">
      <c r="A1293" s="18">
        <f>'raw data Crude oil'!A1294</f>
        <v>44561</v>
      </c>
      <c r="B1293">
        <f>'raw data Crude oil'!B1294</f>
        <v>77.78</v>
      </c>
      <c r="C1293">
        <f>'raw data Crude oil'!C1294</f>
        <v>77.349999999999994</v>
      </c>
      <c r="D1293">
        <f>'raw data Crude oil'!D1294</f>
        <v>76.900000000000006</v>
      </c>
      <c r="E1293">
        <f>'raw data Crude oil'!E1294</f>
        <v>76.39</v>
      </c>
      <c r="F1293">
        <f>'raw data Crude oil'!F1294</f>
        <v>75.84</v>
      </c>
      <c r="G1293">
        <f>'raw data Crude oil'!G1294</f>
        <v>75.319999999999993</v>
      </c>
      <c r="H1293">
        <f>'raw data Crude oil'!H1294</f>
        <v>74.8</v>
      </c>
      <c r="I1293">
        <f>'raw data Crude oil'!I1294</f>
        <v>74.31</v>
      </c>
      <c r="J1293">
        <f>'raw data Crude oil'!J1294</f>
        <v>73.83</v>
      </c>
      <c r="K1293">
        <f>'raw data Crude oil'!K1294</f>
        <v>73.349999999999994</v>
      </c>
      <c r="L1293">
        <f>'raw data Crude oil'!L1294</f>
        <v>72.88</v>
      </c>
      <c r="M1293">
        <f>'raw data Crude oil'!M1294</f>
        <v>72.45</v>
      </c>
      <c r="N1293">
        <f>'raw data Crude oil'!N1294</f>
        <v>75.209999999999994</v>
      </c>
      <c r="O1293">
        <f>'raw data Crude oil'!O1294</f>
        <v>74.88</v>
      </c>
      <c r="P1293">
        <f>'raw data Crude oil'!P1294</f>
        <v>74.45</v>
      </c>
      <c r="Q1293">
        <f>'raw data Crude oil'!Q1294</f>
        <v>73.94</v>
      </c>
      <c r="R1293">
        <f>'raw data Crude oil'!R1294</f>
        <v>73.37</v>
      </c>
      <c r="S1293">
        <f>'raw data Crude oil'!S1294</f>
        <v>72.78</v>
      </c>
      <c r="T1293">
        <f>'raw data Crude oil'!T1294</f>
        <v>72.17</v>
      </c>
      <c r="U1293">
        <f>'raw data Crude oil'!U1294</f>
        <v>71.56</v>
      </c>
      <c r="V1293">
        <f>'raw data Crude oil'!V1294</f>
        <v>70.97</v>
      </c>
      <c r="W1293">
        <f>'raw data Crude oil'!W1294</f>
        <v>70.38</v>
      </c>
      <c r="X1293">
        <f>'raw data Crude oil'!X1294</f>
        <v>69.83</v>
      </c>
      <c r="Y1293">
        <f>'raw data Crude oil'!Y1294</f>
        <v>69.28</v>
      </c>
      <c r="Z1293">
        <f>'raw data Crude oil'!Z1294</f>
        <v>73.185000000000002</v>
      </c>
      <c r="AA1293">
        <f>'raw data Crude oil'!AA1294</f>
        <v>75.67</v>
      </c>
      <c r="AB1293">
        <f>'raw data Crude oil'!AB1294</f>
        <v>75.078000000000003</v>
      </c>
      <c r="AC1293">
        <f>'raw data Crude oil'!AC1294</f>
        <v>74.567999999999998</v>
      </c>
      <c r="AD1293">
        <f>'raw data Crude oil'!AD1294</f>
        <v>74.078000000000003</v>
      </c>
      <c r="AE1293">
        <f>'raw data Crude oil'!AE1294</f>
        <v>73.555999999999997</v>
      </c>
      <c r="AF1293">
        <f>'raw data Crude oil'!AF1294</f>
        <v>73.055999999999997</v>
      </c>
      <c r="AG1293">
        <f>'raw data Crude oil'!AG1294</f>
        <v>72.576999999999998</v>
      </c>
      <c r="AH1293">
        <f>'raw data Crude oil'!AH1294</f>
        <v>72.119</v>
      </c>
      <c r="AI1293">
        <f>'raw data Crude oil'!AI1294</f>
        <v>71.617999999999995</v>
      </c>
      <c r="AJ1293">
        <f>'raw data Crude oil'!AJ1294</f>
        <v>71.128</v>
      </c>
      <c r="AK1293">
        <f>'raw data Crude oil'!AK1294</f>
        <v>70.658000000000001</v>
      </c>
    </row>
    <row r="1294" spans="1:37" x14ac:dyDescent="0.3">
      <c r="A1294" s="18">
        <f>'raw data Crude oil'!A1295</f>
        <v>44564</v>
      </c>
      <c r="B1294">
        <f>'raw data Crude oil'!B1295</f>
        <v>78.98</v>
      </c>
      <c r="C1294">
        <f>'raw data Crude oil'!C1295</f>
        <v>78.569999999999993</v>
      </c>
      <c r="D1294">
        <f>'raw data Crude oil'!D1295</f>
        <v>78.12</v>
      </c>
      <c r="E1294">
        <f>'raw data Crude oil'!E1295</f>
        <v>77.62</v>
      </c>
      <c r="F1294">
        <f>'raw data Crude oil'!F1295</f>
        <v>77.09</v>
      </c>
      <c r="G1294">
        <f>'raw data Crude oil'!G1295</f>
        <v>76.569999999999993</v>
      </c>
      <c r="H1294">
        <f>'raw data Crude oil'!H1295</f>
        <v>76.06</v>
      </c>
      <c r="I1294">
        <f>'raw data Crude oil'!I1295</f>
        <v>75.56</v>
      </c>
      <c r="J1294">
        <f>'raw data Crude oil'!J1295</f>
        <v>75.069999999999993</v>
      </c>
      <c r="K1294">
        <f>'raw data Crude oil'!K1295</f>
        <v>74.59</v>
      </c>
      <c r="L1294">
        <f>'raw data Crude oil'!L1295</f>
        <v>74.12</v>
      </c>
      <c r="M1294">
        <f>'raw data Crude oil'!M1295</f>
        <v>73.680000000000007</v>
      </c>
      <c r="N1294">
        <f>'raw data Crude oil'!N1295</f>
        <v>76.08</v>
      </c>
      <c r="O1294">
        <f>'raw data Crude oil'!O1295</f>
        <v>75.849999999999994</v>
      </c>
      <c r="P1294">
        <f>'raw data Crude oil'!P1295</f>
        <v>75.48</v>
      </c>
      <c r="Q1294">
        <f>'raw data Crude oil'!Q1295</f>
        <v>75.040000000000006</v>
      </c>
      <c r="R1294">
        <f>'raw data Crude oil'!R1295</f>
        <v>74.540000000000006</v>
      </c>
      <c r="S1294">
        <f>'raw data Crude oil'!S1295</f>
        <v>73.989999999999995</v>
      </c>
      <c r="T1294">
        <f>'raw data Crude oil'!T1295</f>
        <v>73.41</v>
      </c>
      <c r="U1294">
        <f>'raw data Crude oil'!U1295</f>
        <v>72.819999999999993</v>
      </c>
      <c r="V1294">
        <f>'raw data Crude oil'!V1295</f>
        <v>72.23</v>
      </c>
      <c r="W1294">
        <f>'raw data Crude oil'!W1295</f>
        <v>71.66</v>
      </c>
      <c r="X1294">
        <f>'raw data Crude oil'!X1295</f>
        <v>71.11</v>
      </c>
      <c r="Y1294">
        <f>'raw data Crude oil'!Y1295</f>
        <v>70.55</v>
      </c>
      <c r="Z1294">
        <f>'raw data Crude oil'!Z1295</f>
        <v>73.185000000000002</v>
      </c>
      <c r="AA1294">
        <f>'raw data Crude oil'!AA1295</f>
        <v>77.039000000000001</v>
      </c>
      <c r="AB1294">
        <f>'raw data Crude oil'!AB1295</f>
        <v>76.358000000000004</v>
      </c>
      <c r="AC1294">
        <f>'raw data Crude oil'!AC1295</f>
        <v>75.778000000000006</v>
      </c>
      <c r="AD1294">
        <f>'raw data Crude oil'!AD1295</f>
        <v>75.274000000000001</v>
      </c>
      <c r="AE1294">
        <f>'raw data Crude oil'!AE1295</f>
        <v>74.775999999999996</v>
      </c>
      <c r="AF1294">
        <f>'raw data Crude oil'!AF1295</f>
        <v>74.275000000000006</v>
      </c>
      <c r="AG1294">
        <f>'raw data Crude oil'!AG1295</f>
        <v>73.793999999999997</v>
      </c>
      <c r="AH1294">
        <f>'raw data Crude oil'!AH1295</f>
        <v>73.308999999999997</v>
      </c>
      <c r="AI1294">
        <f>'raw data Crude oil'!AI1295</f>
        <v>72.817999999999998</v>
      </c>
      <c r="AJ1294">
        <f>'raw data Crude oil'!AJ1295</f>
        <v>72.328000000000003</v>
      </c>
      <c r="AK1294">
        <f>'raw data Crude oil'!AK1295</f>
        <v>71.837999999999994</v>
      </c>
    </row>
    <row r="1295" spans="1:37" x14ac:dyDescent="0.3">
      <c r="A1295" s="18">
        <f>'raw data Crude oil'!A1296</f>
        <v>44565</v>
      </c>
      <c r="B1295">
        <f>'raw data Crude oil'!B1296</f>
        <v>80</v>
      </c>
      <c r="C1295">
        <f>'raw data Crude oil'!C1296</f>
        <v>79.55</v>
      </c>
      <c r="D1295">
        <f>'raw data Crude oil'!D1296</f>
        <v>79.09</v>
      </c>
      <c r="E1295">
        <f>'raw data Crude oil'!E1296</f>
        <v>78.59</v>
      </c>
      <c r="F1295">
        <f>'raw data Crude oil'!F1296</f>
        <v>78.069999999999993</v>
      </c>
      <c r="G1295">
        <f>'raw data Crude oil'!G1296</f>
        <v>77.56</v>
      </c>
      <c r="H1295">
        <f>'raw data Crude oil'!H1296</f>
        <v>77.05</v>
      </c>
      <c r="I1295">
        <f>'raw data Crude oil'!I1296</f>
        <v>76.56</v>
      </c>
      <c r="J1295">
        <f>'raw data Crude oil'!J1296</f>
        <v>76.069999999999993</v>
      </c>
      <c r="K1295">
        <f>'raw data Crude oil'!K1296</f>
        <v>75.59</v>
      </c>
      <c r="L1295">
        <f>'raw data Crude oil'!L1296</f>
        <v>75.11</v>
      </c>
      <c r="M1295">
        <f>'raw data Crude oil'!M1296</f>
        <v>74.66</v>
      </c>
      <c r="N1295">
        <f>'raw data Crude oil'!N1296</f>
        <v>76.989999999999995</v>
      </c>
      <c r="O1295">
        <f>'raw data Crude oil'!O1296</f>
        <v>76.739999999999995</v>
      </c>
      <c r="P1295">
        <f>'raw data Crude oil'!P1296</f>
        <v>76.38</v>
      </c>
      <c r="Q1295">
        <f>'raw data Crude oil'!Q1296</f>
        <v>75.95</v>
      </c>
      <c r="R1295">
        <f>'raw data Crude oil'!R1296</f>
        <v>75.47</v>
      </c>
      <c r="S1295">
        <f>'raw data Crude oil'!S1296</f>
        <v>74.94</v>
      </c>
      <c r="T1295">
        <f>'raw data Crude oil'!T1296</f>
        <v>74.39</v>
      </c>
      <c r="U1295">
        <f>'raw data Crude oil'!U1296</f>
        <v>73.81</v>
      </c>
      <c r="V1295">
        <f>'raw data Crude oil'!V1296</f>
        <v>73.23</v>
      </c>
      <c r="W1295">
        <f>'raw data Crude oil'!W1296</f>
        <v>72.67</v>
      </c>
      <c r="X1295">
        <f>'raw data Crude oil'!X1296</f>
        <v>72.11</v>
      </c>
      <c r="Y1295">
        <f>'raw data Crude oil'!Y1296</f>
        <v>71.55</v>
      </c>
      <c r="Z1295">
        <f>'raw data Crude oil'!Z1296</f>
        <v>78.004000000000005</v>
      </c>
      <c r="AA1295">
        <f>'raw data Crude oil'!AA1296</f>
        <v>77.441999999999993</v>
      </c>
      <c r="AB1295">
        <f>'raw data Crude oil'!AB1296</f>
        <v>76.828000000000003</v>
      </c>
      <c r="AC1295">
        <f>'raw data Crude oil'!AC1296</f>
        <v>76.326999999999998</v>
      </c>
      <c r="AD1295">
        <f>'raw data Crude oil'!AD1296</f>
        <v>75.796999999999997</v>
      </c>
      <c r="AE1295">
        <f>'raw data Crude oil'!AE1296</f>
        <v>75.256</v>
      </c>
      <c r="AF1295">
        <f>'raw data Crude oil'!AF1296</f>
        <v>74.754999999999995</v>
      </c>
      <c r="AG1295">
        <f>'raw data Crude oil'!AG1296</f>
        <v>74.308999999999997</v>
      </c>
      <c r="AH1295">
        <f>'raw data Crude oil'!AH1296</f>
        <v>73.817999999999998</v>
      </c>
      <c r="AI1295">
        <f>'raw data Crude oil'!AI1296</f>
        <v>73.325000000000003</v>
      </c>
      <c r="AJ1295">
        <f>'raw data Crude oil'!AJ1296</f>
        <v>72.87</v>
      </c>
      <c r="AK1295">
        <f>'raw data Crude oil'!AK1296</f>
        <v>72.474000000000004</v>
      </c>
    </row>
    <row r="1296" spans="1:37" x14ac:dyDescent="0.3">
      <c r="A1296" s="18">
        <f>'raw data Crude oil'!A1297</f>
        <v>44566</v>
      </c>
      <c r="B1296">
        <f>'raw data Crude oil'!B1297</f>
        <v>80.8</v>
      </c>
      <c r="C1296">
        <f>'raw data Crude oil'!C1297</f>
        <v>80.19</v>
      </c>
      <c r="D1296">
        <f>'raw data Crude oil'!D1297</f>
        <v>79.59</v>
      </c>
      <c r="E1296">
        <f>'raw data Crude oil'!E1297</f>
        <v>79.010000000000005</v>
      </c>
      <c r="F1296">
        <f>'raw data Crude oil'!F1297</f>
        <v>78.41</v>
      </c>
      <c r="G1296">
        <f>'raw data Crude oil'!G1297</f>
        <v>77.849999999999994</v>
      </c>
      <c r="H1296">
        <f>'raw data Crude oil'!H1297</f>
        <v>77.3</v>
      </c>
      <c r="I1296">
        <f>'raw data Crude oil'!I1297</f>
        <v>76.78</v>
      </c>
      <c r="J1296">
        <f>'raw data Crude oil'!J1297</f>
        <v>76.27</v>
      </c>
      <c r="K1296">
        <f>'raw data Crude oil'!K1297</f>
        <v>75.75</v>
      </c>
      <c r="L1296">
        <f>'raw data Crude oil'!L1297</f>
        <v>75.25</v>
      </c>
      <c r="M1296">
        <f>'raw data Crude oil'!M1297</f>
        <v>74.77</v>
      </c>
      <c r="N1296">
        <f>'raw data Crude oil'!N1297</f>
        <v>77.849999999999994</v>
      </c>
      <c r="O1296">
        <f>'raw data Crude oil'!O1297</f>
        <v>77.47</v>
      </c>
      <c r="P1296">
        <f>'raw data Crude oil'!P1297</f>
        <v>77.010000000000005</v>
      </c>
      <c r="Q1296">
        <f>'raw data Crude oil'!Q1297</f>
        <v>76.48</v>
      </c>
      <c r="R1296">
        <f>'raw data Crude oil'!R1297</f>
        <v>75.91</v>
      </c>
      <c r="S1296">
        <f>'raw data Crude oil'!S1297</f>
        <v>75.31</v>
      </c>
      <c r="T1296">
        <f>'raw data Crude oil'!T1297</f>
        <v>74.69</v>
      </c>
      <c r="U1296">
        <f>'raw data Crude oil'!U1297</f>
        <v>74.069999999999993</v>
      </c>
      <c r="V1296">
        <f>'raw data Crude oil'!V1297</f>
        <v>73.44</v>
      </c>
      <c r="W1296">
        <f>'raw data Crude oil'!W1297</f>
        <v>72.83</v>
      </c>
      <c r="X1296">
        <f>'raw data Crude oil'!X1297</f>
        <v>72.23</v>
      </c>
      <c r="Y1296">
        <f>'raw data Crude oil'!Y1297</f>
        <v>71.64</v>
      </c>
      <c r="Z1296">
        <f>'raw data Crude oil'!Z1297</f>
        <v>78.781000000000006</v>
      </c>
      <c r="AA1296">
        <f>'raw data Crude oil'!AA1297</f>
        <v>78.031000000000006</v>
      </c>
      <c r="AB1296">
        <f>'raw data Crude oil'!AB1297</f>
        <v>77.334999999999994</v>
      </c>
      <c r="AC1296">
        <f>'raw data Crude oil'!AC1297</f>
        <v>76.760000000000005</v>
      </c>
      <c r="AD1296">
        <f>'raw data Crude oil'!AD1297</f>
        <v>76.165000000000006</v>
      </c>
      <c r="AE1296">
        <f>'raw data Crude oil'!AE1297</f>
        <v>75.594999999999999</v>
      </c>
      <c r="AF1296">
        <f>'raw data Crude oil'!AF1297</f>
        <v>75.034999999999997</v>
      </c>
      <c r="AG1296">
        <f>'raw data Crude oil'!AG1297</f>
        <v>74.518000000000001</v>
      </c>
      <c r="AH1296">
        <f>'raw data Crude oil'!AH1297</f>
        <v>74.016000000000005</v>
      </c>
      <c r="AI1296">
        <f>'raw data Crude oil'!AI1297</f>
        <v>73.516000000000005</v>
      </c>
      <c r="AJ1296">
        <f>'raw data Crude oil'!AJ1297</f>
        <v>73.018000000000001</v>
      </c>
      <c r="AK1296">
        <f>'raw data Crude oil'!AK1297</f>
        <v>72.531000000000006</v>
      </c>
    </row>
    <row r="1297" spans="1:37" x14ac:dyDescent="0.3">
      <c r="A1297" s="18">
        <f>'raw data Crude oil'!A1298</f>
        <v>44567</v>
      </c>
      <c r="B1297">
        <f>'raw data Crude oil'!B1298</f>
        <v>81.99</v>
      </c>
      <c r="C1297">
        <f>'raw data Crude oil'!C1298</f>
        <v>81.290000000000006</v>
      </c>
      <c r="D1297">
        <f>'raw data Crude oil'!D1298</f>
        <v>80.61</v>
      </c>
      <c r="E1297">
        <f>'raw data Crude oil'!E1298</f>
        <v>79.989999999999995</v>
      </c>
      <c r="F1297">
        <f>'raw data Crude oil'!F1298</f>
        <v>79.34</v>
      </c>
      <c r="G1297">
        <f>'raw data Crude oil'!G1298</f>
        <v>78.739999999999995</v>
      </c>
      <c r="H1297">
        <f>'raw data Crude oil'!H1298</f>
        <v>78.150000000000006</v>
      </c>
      <c r="I1297">
        <f>'raw data Crude oil'!I1298</f>
        <v>77.59</v>
      </c>
      <c r="J1297">
        <f>'raw data Crude oil'!J1298</f>
        <v>77.03</v>
      </c>
      <c r="K1297">
        <f>'raw data Crude oil'!K1298</f>
        <v>76.48</v>
      </c>
      <c r="L1297">
        <f>'raw data Crude oil'!L1298</f>
        <v>75.94</v>
      </c>
      <c r="M1297">
        <f>'raw data Crude oil'!M1298</f>
        <v>75.430000000000007</v>
      </c>
      <c r="N1297">
        <f>'raw data Crude oil'!N1298</f>
        <v>79.459999999999994</v>
      </c>
      <c r="O1297">
        <f>'raw data Crude oil'!O1298</f>
        <v>78.88</v>
      </c>
      <c r="P1297">
        <f>'raw data Crude oil'!P1298</f>
        <v>78.23</v>
      </c>
      <c r="Q1297">
        <f>'raw data Crude oil'!Q1298</f>
        <v>77.599999999999994</v>
      </c>
      <c r="R1297">
        <f>'raw data Crude oil'!R1298</f>
        <v>76.94</v>
      </c>
      <c r="S1297">
        <f>'raw data Crude oil'!S1298</f>
        <v>76.28</v>
      </c>
      <c r="T1297">
        <f>'raw data Crude oil'!T1298</f>
        <v>75.599999999999994</v>
      </c>
      <c r="U1297">
        <f>'raw data Crude oil'!U1298</f>
        <v>74.91</v>
      </c>
      <c r="V1297">
        <f>'raw data Crude oil'!V1298</f>
        <v>74.239999999999995</v>
      </c>
      <c r="W1297">
        <f>'raw data Crude oil'!W1298</f>
        <v>73.599999999999994</v>
      </c>
      <c r="X1297">
        <f>'raw data Crude oil'!X1298</f>
        <v>72.97</v>
      </c>
      <c r="Y1297">
        <f>'raw data Crude oil'!Y1298</f>
        <v>72.34</v>
      </c>
      <c r="Z1297">
        <f>'raw data Crude oil'!Z1298</f>
        <v>79.756</v>
      </c>
      <c r="AA1297">
        <f>'raw data Crude oil'!AA1298</f>
        <v>79.146000000000001</v>
      </c>
      <c r="AB1297">
        <f>'raw data Crude oil'!AB1298</f>
        <v>78.373000000000005</v>
      </c>
      <c r="AC1297">
        <f>'raw data Crude oil'!AC1298</f>
        <v>77.748000000000005</v>
      </c>
      <c r="AD1297">
        <f>'raw data Crude oil'!AD1298</f>
        <v>77.102999999999994</v>
      </c>
      <c r="AE1297">
        <f>'raw data Crude oil'!AE1298</f>
        <v>76.483000000000004</v>
      </c>
      <c r="AF1297">
        <f>'raw data Crude oil'!AF1298</f>
        <v>75.893000000000001</v>
      </c>
      <c r="AG1297">
        <f>'raw data Crude oil'!AG1298</f>
        <v>75.346000000000004</v>
      </c>
      <c r="AH1297">
        <f>'raw data Crude oil'!AH1298</f>
        <v>74.795000000000002</v>
      </c>
      <c r="AI1297">
        <f>'raw data Crude oil'!AI1298</f>
        <v>74.233999999999995</v>
      </c>
      <c r="AJ1297">
        <f>'raw data Crude oil'!AJ1298</f>
        <v>73.697000000000003</v>
      </c>
      <c r="AK1297">
        <f>'raw data Crude oil'!AK1298</f>
        <v>73.168000000000006</v>
      </c>
    </row>
    <row r="1298" spans="1:37" x14ac:dyDescent="0.3">
      <c r="A1298" s="18">
        <f>'raw data Crude oil'!A1299</f>
        <v>44568</v>
      </c>
      <c r="B1298">
        <f>'raw data Crude oil'!B1299</f>
        <v>81.75</v>
      </c>
      <c r="C1298">
        <f>'raw data Crude oil'!C1299</f>
        <v>81.06</v>
      </c>
      <c r="D1298">
        <f>'raw data Crude oil'!D1299</f>
        <v>80.38</v>
      </c>
      <c r="E1298">
        <f>'raw data Crude oil'!E1299</f>
        <v>79.760000000000005</v>
      </c>
      <c r="F1298">
        <f>'raw data Crude oil'!F1299</f>
        <v>79.11</v>
      </c>
      <c r="G1298">
        <f>'raw data Crude oil'!G1299</f>
        <v>78.510000000000005</v>
      </c>
      <c r="H1298">
        <f>'raw data Crude oil'!H1299</f>
        <v>77.930000000000007</v>
      </c>
      <c r="I1298">
        <f>'raw data Crude oil'!I1299</f>
        <v>77.37</v>
      </c>
      <c r="J1298">
        <f>'raw data Crude oil'!J1299</f>
        <v>76.83</v>
      </c>
      <c r="K1298">
        <f>'raw data Crude oil'!K1299</f>
        <v>76.3</v>
      </c>
      <c r="L1298">
        <f>'raw data Crude oil'!L1299</f>
        <v>75.77</v>
      </c>
      <c r="M1298">
        <f>'raw data Crude oil'!M1299</f>
        <v>75.27</v>
      </c>
      <c r="N1298">
        <f>'raw data Crude oil'!N1299</f>
        <v>78.900000000000006</v>
      </c>
      <c r="O1298">
        <f>'raw data Crude oil'!O1299</f>
        <v>78.44</v>
      </c>
      <c r="P1298">
        <f>'raw data Crude oil'!P1299</f>
        <v>77.819999999999993</v>
      </c>
      <c r="Q1298">
        <f>'raw data Crude oil'!Q1299</f>
        <v>77.19</v>
      </c>
      <c r="R1298">
        <f>'raw data Crude oil'!R1299</f>
        <v>76.56</v>
      </c>
      <c r="S1298">
        <f>'raw data Crude oil'!S1299</f>
        <v>75.91</v>
      </c>
      <c r="T1298">
        <f>'raw data Crude oil'!T1299</f>
        <v>75.239999999999995</v>
      </c>
      <c r="U1298">
        <f>'raw data Crude oil'!U1299</f>
        <v>74.56</v>
      </c>
      <c r="V1298">
        <f>'raw data Crude oil'!V1299</f>
        <v>73.900000000000006</v>
      </c>
      <c r="W1298">
        <f>'raw data Crude oil'!W1299</f>
        <v>73.260000000000005</v>
      </c>
      <c r="X1298">
        <f>'raw data Crude oil'!X1299</f>
        <v>72.66</v>
      </c>
      <c r="Y1298">
        <f>'raw data Crude oil'!Y1299</f>
        <v>72.040000000000006</v>
      </c>
      <c r="Z1298">
        <f>'raw data Crude oil'!Z1299</f>
        <v>79.507999999999996</v>
      </c>
      <c r="AA1298">
        <f>'raw data Crude oil'!AA1299</f>
        <v>78.885999999999996</v>
      </c>
      <c r="AB1298">
        <f>'raw data Crude oil'!AB1299</f>
        <v>78.102999999999994</v>
      </c>
      <c r="AC1298">
        <f>'raw data Crude oil'!AC1299</f>
        <v>77.477999999999994</v>
      </c>
      <c r="AD1298">
        <f>'raw data Crude oil'!AD1299</f>
        <v>76.822999999999993</v>
      </c>
      <c r="AE1298">
        <f>'raw data Crude oil'!AE1299</f>
        <v>76.201999999999998</v>
      </c>
      <c r="AF1298">
        <f>'raw data Crude oil'!AF1299</f>
        <v>75.628</v>
      </c>
      <c r="AG1298">
        <f>'raw data Crude oil'!AG1299</f>
        <v>75.081999999999994</v>
      </c>
      <c r="AH1298">
        <f>'raw data Crude oil'!AH1299</f>
        <v>74.536000000000001</v>
      </c>
      <c r="AI1298">
        <f>'raw data Crude oil'!AI1299</f>
        <v>74.004999999999995</v>
      </c>
      <c r="AJ1298">
        <f>'raw data Crude oil'!AJ1299</f>
        <v>73.466999999999999</v>
      </c>
      <c r="AK1298">
        <f>'raw data Crude oil'!AK1299</f>
        <v>72.938000000000002</v>
      </c>
    </row>
    <row r="1299" spans="1:37" x14ac:dyDescent="0.3">
      <c r="A1299" s="18">
        <f>'raw data Crude oil'!A1300</f>
        <v>44571</v>
      </c>
      <c r="B1299">
        <f>'raw data Crude oil'!B1300</f>
        <v>80.87</v>
      </c>
      <c r="C1299">
        <f>'raw data Crude oil'!C1300</f>
        <v>80.3</v>
      </c>
      <c r="D1299">
        <f>'raw data Crude oil'!D1300</f>
        <v>79.7</v>
      </c>
      <c r="E1299">
        <f>'raw data Crude oil'!E1300</f>
        <v>79.099999999999994</v>
      </c>
      <c r="F1299">
        <f>'raw data Crude oil'!F1300</f>
        <v>78.47</v>
      </c>
      <c r="G1299">
        <f>'raw data Crude oil'!G1300</f>
        <v>77.89</v>
      </c>
      <c r="H1299">
        <f>'raw data Crude oil'!H1300</f>
        <v>77.31</v>
      </c>
      <c r="I1299">
        <f>'raw data Crude oil'!I1300</f>
        <v>76.77</v>
      </c>
      <c r="J1299">
        <f>'raw data Crude oil'!J1300</f>
        <v>76.25</v>
      </c>
      <c r="K1299">
        <f>'raw data Crude oil'!K1300</f>
        <v>75.73</v>
      </c>
      <c r="L1299">
        <f>'raw data Crude oil'!L1300</f>
        <v>75.22</v>
      </c>
      <c r="M1299">
        <f>'raw data Crude oil'!M1300</f>
        <v>74.73</v>
      </c>
      <c r="N1299">
        <f>'raw data Crude oil'!N1300</f>
        <v>78.23</v>
      </c>
      <c r="O1299">
        <f>'raw data Crude oil'!O1300</f>
        <v>77.7</v>
      </c>
      <c r="P1299">
        <f>'raw data Crude oil'!P1300</f>
        <v>77.099999999999994</v>
      </c>
      <c r="Q1299">
        <f>'raw data Crude oil'!Q1300</f>
        <v>76.48</v>
      </c>
      <c r="R1299">
        <f>'raw data Crude oil'!R1300</f>
        <v>75.849999999999994</v>
      </c>
      <c r="S1299">
        <f>'raw data Crude oil'!S1300</f>
        <v>75.22</v>
      </c>
      <c r="T1299">
        <f>'raw data Crude oil'!T1300</f>
        <v>74.56</v>
      </c>
      <c r="U1299">
        <f>'raw data Crude oil'!U1300</f>
        <v>73.89</v>
      </c>
      <c r="V1299">
        <f>'raw data Crude oil'!V1300</f>
        <v>73.23</v>
      </c>
      <c r="W1299">
        <f>'raw data Crude oil'!W1300</f>
        <v>72.61</v>
      </c>
      <c r="X1299">
        <f>'raw data Crude oil'!X1300</f>
        <v>72.010000000000005</v>
      </c>
      <c r="Y1299">
        <f>'raw data Crude oil'!Y1300</f>
        <v>71.400000000000006</v>
      </c>
      <c r="Z1299">
        <f>'raw data Crude oil'!Z1300</f>
        <v>78.933999999999997</v>
      </c>
      <c r="AA1299">
        <f>'raw data Crude oil'!AA1300</f>
        <v>78.11</v>
      </c>
      <c r="AB1299">
        <f>'raw data Crude oil'!AB1300</f>
        <v>77.373999999999995</v>
      </c>
      <c r="AC1299">
        <f>'raw data Crude oil'!AC1300</f>
        <v>76.789000000000001</v>
      </c>
      <c r="AD1299">
        <f>'raw data Crude oil'!AD1300</f>
        <v>76.174000000000007</v>
      </c>
      <c r="AE1299">
        <f>'raw data Crude oil'!AE1300</f>
        <v>75.572999999999993</v>
      </c>
      <c r="AF1299">
        <f>'raw data Crude oil'!AF1300</f>
        <v>75.013999999999996</v>
      </c>
      <c r="AG1299">
        <f>'raw data Crude oil'!AG1300</f>
        <v>74.466999999999999</v>
      </c>
      <c r="AH1299">
        <f>'raw data Crude oil'!AH1300</f>
        <v>73.936000000000007</v>
      </c>
      <c r="AI1299">
        <f>'raw data Crude oil'!AI1300</f>
        <v>73.415999999999997</v>
      </c>
      <c r="AJ1299">
        <f>'raw data Crude oil'!AJ1300</f>
        <v>72.897999999999996</v>
      </c>
      <c r="AK1299">
        <f>'raw data Crude oil'!AK1300</f>
        <v>72.39</v>
      </c>
    </row>
    <row r="1300" spans="1:37" x14ac:dyDescent="0.3">
      <c r="A1300" s="18">
        <f>'raw data Crude oil'!A1301</f>
        <v>44572</v>
      </c>
      <c r="B1300">
        <f>'raw data Crude oil'!B1301</f>
        <v>83.72</v>
      </c>
      <c r="C1300">
        <f>'raw data Crude oil'!C1301</f>
        <v>83.08</v>
      </c>
      <c r="D1300">
        <f>'raw data Crude oil'!D1301</f>
        <v>82.42</v>
      </c>
      <c r="E1300">
        <f>'raw data Crude oil'!E1301</f>
        <v>81.739999999999995</v>
      </c>
      <c r="F1300">
        <f>'raw data Crude oil'!F1301</f>
        <v>81.03</v>
      </c>
      <c r="G1300">
        <f>'raw data Crude oil'!G1301</f>
        <v>80.37</v>
      </c>
      <c r="H1300">
        <f>'raw data Crude oil'!H1301</f>
        <v>79.72</v>
      </c>
      <c r="I1300">
        <f>'raw data Crude oil'!I1301</f>
        <v>79.099999999999994</v>
      </c>
      <c r="J1300">
        <f>'raw data Crude oil'!J1301</f>
        <v>78.5</v>
      </c>
      <c r="K1300">
        <f>'raw data Crude oil'!K1301</f>
        <v>77.92</v>
      </c>
      <c r="L1300">
        <f>'raw data Crude oil'!L1301</f>
        <v>77.34</v>
      </c>
      <c r="M1300">
        <f>'raw data Crude oil'!M1301</f>
        <v>76.8</v>
      </c>
      <c r="N1300">
        <f>'raw data Crude oil'!N1301</f>
        <v>81.22</v>
      </c>
      <c r="O1300">
        <f>'raw data Crude oil'!O1301</f>
        <v>80.67</v>
      </c>
      <c r="P1300">
        <f>'raw data Crude oil'!P1301</f>
        <v>79.98</v>
      </c>
      <c r="Q1300">
        <f>'raw data Crude oil'!Q1301</f>
        <v>79.28</v>
      </c>
      <c r="R1300">
        <f>'raw data Crude oil'!R1301</f>
        <v>78.569999999999993</v>
      </c>
      <c r="S1300">
        <f>'raw data Crude oil'!S1301</f>
        <v>77.849999999999994</v>
      </c>
      <c r="T1300">
        <f>'raw data Crude oil'!T1301</f>
        <v>77.099999999999994</v>
      </c>
      <c r="U1300">
        <f>'raw data Crude oil'!U1301</f>
        <v>76.34</v>
      </c>
      <c r="V1300">
        <f>'raw data Crude oil'!V1301</f>
        <v>75.61</v>
      </c>
      <c r="W1300">
        <f>'raw data Crude oil'!W1301</f>
        <v>74.92</v>
      </c>
      <c r="X1300">
        <f>'raw data Crude oil'!X1301</f>
        <v>74.25</v>
      </c>
      <c r="Y1300">
        <f>'raw data Crude oil'!Y1301</f>
        <v>73.58</v>
      </c>
      <c r="Z1300">
        <f>'raw data Crude oil'!Z1301</f>
        <v>80.731999999999999</v>
      </c>
      <c r="AA1300">
        <f>'raw data Crude oil'!AA1301</f>
        <v>80.736999999999995</v>
      </c>
      <c r="AB1300">
        <f>'raw data Crude oil'!AB1301</f>
        <v>79.98</v>
      </c>
      <c r="AC1300">
        <f>'raw data Crude oil'!AC1301</f>
        <v>79.323999999999998</v>
      </c>
      <c r="AD1300">
        <f>'raw data Crude oil'!AD1301</f>
        <v>78.63</v>
      </c>
      <c r="AE1300">
        <f>'raw data Crude oil'!AE1301</f>
        <v>77.97</v>
      </c>
      <c r="AF1300">
        <f>'raw data Crude oil'!AF1301</f>
        <v>77.31</v>
      </c>
      <c r="AG1300">
        <f>'raw data Crude oil'!AG1301</f>
        <v>76.683999999999997</v>
      </c>
      <c r="AH1300">
        <f>'raw data Crude oil'!AH1301</f>
        <v>76.103999999999999</v>
      </c>
      <c r="AI1300">
        <f>'raw data Crude oil'!AI1301</f>
        <v>75.501999999999995</v>
      </c>
      <c r="AJ1300">
        <f>'raw data Crude oil'!AJ1301</f>
        <v>74.935000000000002</v>
      </c>
      <c r="AK1300">
        <f>'raw data Crude oil'!AK1301</f>
        <v>74.394000000000005</v>
      </c>
    </row>
    <row r="1301" spans="1:37" x14ac:dyDescent="0.3">
      <c r="A1301" s="18">
        <f>'raw data Crude oil'!A1302</f>
        <v>44573</v>
      </c>
      <c r="B1301">
        <f>'raw data Crude oil'!B1302</f>
        <v>84.67</v>
      </c>
      <c r="C1301">
        <f>'raw data Crude oil'!C1302</f>
        <v>83.98</v>
      </c>
      <c r="D1301">
        <f>'raw data Crude oil'!D1302</f>
        <v>83.25</v>
      </c>
      <c r="E1301">
        <f>'raw data Crude oil'!E1302</f>
        <v>82.51</v>
      </c>
      <c r="F1301">
        <f>'raw data Crude oil'!F1302</f>
        <v>81.77</v>
      </c>
      <c r="G1301">
        <f>'raw data Crude oil'!G1302</f>
        <v>81.069999999999993</v>
      </c>
      <c r="H1301">
        <f>'raw data Crude oil'!H1302</f>
        <v>80.39</v>
      </c>
      <c r="I1301">
        <f>'raw data Crude oil'!I1302</f>
        <v>79.73</v>
      </c>
      <c r="J1301">
        <f>'raw data Crude oil'!J1302</f>
        <v>79.11</v>
      </c>
      <c r="K1301">
        <f>'raw data Crude oil'!K1302</f>
        <v>78.489999999999995</v>
      </c>
      <c r="L1301">
        <f>'raw data Crude oil'!L1302</f>
        <v>77.88</v>
      </c>
      <c r="M1301">
        <f>'raw data Crude oil'!M1302</f>
        <v>77.3</v>
      </c>
      <c r="N1301">
        <f>'raw data Crude oil'!N1302</f>
        <v>82.64</v>
      </c>
      <c r="O1301">
        <f>'raw data Crude oil'!O1302</f>
        <v>82.02</v>
      </c>
      <c r="P1301">
        <f>'raw data Crude oil'!P1302</f>
        <v>81.180000000000007</v>
      </c>
      <c r="Q1301">
        <f>'raw data Crude oil'!Q1302</f>
        <v>80.34</v>
      </c>
      <c r="R1301">
        <f>'raw data Crude oil'!R1302</f>
        <v>79.5</v>
      </c>
      <c r="S1301">
        <f>'raw data Crude oil'!S1302</f>
        <v>78.69</v>
      </c>
      <c r="T1301">
        <f>'raw data Crude oil'!T1302</f>
        <v>77.89</v>
      </c>
      <c r="U1301">
        <f>'raw data Crude oil'!U1302</f>
        <v>77.099999999999994</v>
      </c>
      <c r="V1301">
        <f>'raw data Crude oil'!V1302</f>
        <v>76.33</v>
      </c>
      <c r="W1301">
        <f>'raw data Crude oil'!W1302</f>
        <v>75.61</v>
      </c>
      <c r="X1301">
        <f>'raw data Crude oil'!X1302</f>
        <v>74.91</v>
      </c>
      <c r="Y1301">
        <f>'raw data Crude oil'!Y1302</f>
        <v>74.209999999999994</v>
      </c>
      <c r="Z1301">
        <f>'raw data Crude oil'!Z1302</f>
        <v>81.364000000000004</v>
      </c>
      <c r="AA1301">
        <f>'raw data Crude oil'!AA1302</f>
        <v>81.724000000000004</v>
      </c>
      <c r="AB1301">
        <f>'raw data Crude oil'!AB1302</f>
        <v>80.867999999999995</v>
      </c>
      <c r="AC1301">
        <f>'raw data Crude oil'!AC1302</f>
        <v>80.123000000000005</v>
      </c>
      <c r="AD1301">
        <f>'raw data Crude oil'!AD1302</f>
        <v>79.367999999999995</v>
      </c>
      <c r="AE1301">
        <f>'raw data Crude oil'!AE1302</f>
        <v>78.647000000000006</v>
      </c>
      <c r="AF1301">
        <f>'raw data Crude oil'!AF1302</f>
        <v>77.959000000000003</v>
      </c>
      <c r="AG1301">
        <f>'raw data Crude oil'!AG1302</f>
        <v>77.322999999999993</v>
      </c>
      <c r="AH1301">
        <f>'raw data Crude oil'!AH1302</f>
        <v>76.712000000000003</v>
      </c>
      <c r="AI1301">
        <f>'raw data Crude oil'!AI1302</f>
        <v>76.085999999999999</v>
      </c>
      <c r="AJ1301">
        <f>'raw data Crude oil'!AJ1302</f>
        <v>75.483999999999995</v>
      </c>
      <c r="AK1301">
        <f>'raw data Crude oil'!AK1302</f>
        <v>74.881</v>
      </c>
    </row>
    <row r="1302" spans="1:37" x14ac:dyDescent="0.3">
      <c r="A1302" s="18">
        <f>'raw data Crude oil'!A1303</f>
        <v>44574</v>
      </c>
      <c r="B1302">
        <f>'raw data Crude oil'!B1303</f>
        <v>84.47</v>
      </c>
      <c r="C1302">
        <f>'raw data Crude oil'!C1303</f>
        <v>83.77</v>
      </c>
      <c r="D1302">
        <f>'raw data Crude oil'!D1303</f>
        <v>83.03</v>
      </c>
      <c r="E1302">
        <f>'raw data Crude oil'!E1303</f>
        <v>82.29</v>
      </c>
      <c r="F1302">
        <f>'raw data Crude oil'!F1303</f>
        <v>81.55</v>
      </c>
      <c r="G1302">
        <f>'raw data Crude oil'!G1303</f>
        <v>80.87</v>
      </c>
      <c r="H1302">
        <f>'raw data Crude oil'!H1303</f>
        <v>80.2</v>
      </c>
      <c r="I1302">
        <f>'raw data Crude oil'!I1303</f>
        <v>79.56</v>
      </c>
      <c r="J1302">
        <f>'raw data Crude oil'!J1303</f>
        <v>78.94</v>
      </c>
      <c r="K1302">
        <f>'raw data Crude oil'!K1303</f>
        <v>78.33</v>
      </c>
      <c r="L1302">
        <f>'raw data Crude oil'!L1303</f>
        <v>77.73</v>
      </c>
      <c r="M1302">
        <f>'raw data Crude oil'!M1303</f>
        <v>77.150000000000006</v>
      </c>
      <c r="N1302">
        <f>'raw data Crude oil'!N1303</f>
        <v>82.12</v>
      </c>
      <c r="O1302">
        <f>'raw data Crude oil'!O1303</f>
        <v>81.62</v>
      </c>
      <c r="P1302">
        <f>'raw data Crude oil'!P1303</f>
        <v>80.86</v>
      </c>
      <c r="Q1302">
        <f>'raw data Crude oil'!Q1303</f>
        <v>80.09</v>
      </c>
      <c r="R1302">
        <f>'raw data Crude oil'!R1303</f>
        <v>79.290000000000006</v>
      </c>
      <c r="S1302">
        <f>'raw data Crude oil'!S1303</f>
        <v>78.5</v>
      </c>
      <c r="T1302">
        <f>'raw data Crude oil'!T1303</f>
        <v>77.709999999999994</v>
      </c>
      <c r="U1302">
        <f>'raw data Crude oil'!U1303</f>
        <v>76.94</v>
      </c>
      <c r="V1302">
        <f>'raw data Crude oil'!V1303</f>
        <v>76.180000000000007</v>
      </c>
      <c r="W1302">
        <f>'raw data Crude oil'!W1303</f>
        <v>75.47</v>
      </c>
      <c r="X1302">
        <f>'raw data Crude oil'!X1303</f>
        <v>74.790000000000006</v>
      </c>
      <c r="Y1302">
        <f>'raw data Crude oil'!Y1303</f>
        <v>74.08</v>
      </c>
      <c r="Z1302">
        <f>'raw data Crude oil'!Z1303</f>
        <v>81.332999999999998</v>
      </c>
      <c r="AA1302">
        <f>'raw data Crude oil'!AA1303</f>
        <v>81.613</v>
      </c>
      <c r="AB1302">
        <f>'raw data Crude oil'!AB1303</f>
        <v>80.738</v>
      </c>
      <c r="AC1302">
        <f>'raw data Crude oil'!AC1303</f>
        <v>79.992999999999995</v>
      </c>
      <c r="AD1302">
        <f>'raw data Crude oil'!AD1303</f>
        <v>79.239000000000004</v>
      </c>
      <c r="AE1302">
        <f>'raw data Crude oil'!AE1303</f>
        <v>78.5</v>
      </c>
      <c r="AF1302">
        <f>'raw data Crude oil'!AF1303</f>
        <v>77.81</v>
      </c>
      <c r="AG1302">
        <f>'raw data Crude oil'!AG1303</f>
        <v>77.192999999999998</v>
      </c>
      <c r="AH1302">
        <f>'raw data Crude oil'!AH1303</f>
        <v>76.561999999999998</v>
      </c>
      <c r="AI1302">
        <f>'raw data Crude oil'!AI1303</f>
        <v>75.941000000000003</v>
      </c>
      <c r="AJ1302">
        <f>'raw data Crude oil'!AJ1303</f>
        <v>75.323999999999998</v>
      </c>
      <c r="AK1302">
        <f>'raw data Crude oil'!AK1303</f>
        <v>74.712000000000003</v>
      </c>
    </row>
    <row r="1303" spans="1:37" x14ac:dyDescent="0.3">
      <c r="A1303" s="18">
        <f>'raw data Crude oil'!A1304</f>
        <v>44575</v>
      </c>
      <c r="B1303">
        <f>'raw data Crude oil'!B1304</f>
        <v>86.06</v>
      </c>
      <c r="C1303">
        <f>'raw data Crude oil'!C1304</f>
        <v>85.35</v>
      </c>
      <c r="D1303">
        <f>'raw data Crude oil'!D1304</f>
        <v>84.57</v>
      </c>
      <c r="E1303">
        <f>'raw data Crude oil'!E1304</f>
        <v>83.76</v>
      </c>
      <c r="F1303">
        <f>'raw data Crude oil'!F1304</f>
        <v>82.96</v>
      </c>
      <c r="G1303">
        <f>'raw data Crude oil'!G1304</f>
        <v>82.23</v>
      </c>
      <c r="H1303">
        <f>'raw data Crude oil'!H1304</f>
        <v>81.510000000000005</v>
      </c>
      <c r="I1303">
        <f>'raw data Crude oil'!I1304</f>
        <v>80.81</v>
      </c>
      <c r="J1303">
        <f>'raw data Crude oil'!J1304</f>
        <v>80.14</v>
      </c>
      <c r="K1303">
        <f>'raw data Crude oil'!K1304</f>
        <v>79.489999999999995</v>
      </c>
      <c r="L1303">
        <f>'raw data Crude oil'!L1304</f>
        <v>78.86</v>
      </c>
      <c r="M1303">
        <f>'raw data Crude oil'!M1304</f>
        <v>78.260000000000005</v>
      </c>
      <c r="N1303">
        <f>'raw data Crude oil'!N1304</f>
        <v>83.82</v>
      </c>
      <c r="O1303">
        <f>'raw data Crude oil'!O1304</f>
        <v>83.3</v>
      </c>
      <c r="P1303">
        <f>'raw data Crude oil'!P1304</f>
        <v>82.42</v>
      </c>
      <c r="Q1303">
        <f>'raw data Crude oil'!Q1304</f>
        <v>81.56</v>
      </c>
      <c r="R1303">
        <f>'raw data Crude oil'!R1304</f>
        <v>80.69</v>
      </c>
      <c r="S1303">
        <f>'raw data Crude oil'!S1304</f>
        <v>79.83</v>
      </c>
      <c r="T1303">
        <f>'raw data Crude oil'!T1304</f>
        <v>78.989999999999995</v>
      </c>
      <c r="U1303">
        <f>'raw data Crude oil'!U1304</f>
        <v>78.16</v>
      </c>
      <c r="V1303">
        <f>'raw data Crude oil'!V1304</f>
        <v>77.349999999999994</v>
      </c>
      <c r="W1303">
        <f>'raw data Crude oil'!W1304</f>
        <v>76.58</v>
      </c>
      <c r="X1303">
        <f>'raw data Crude oil'!X1304</f>
        <v>75.84</v>
      </c>
      <c r="Y1303">
        <f>'raw data Crude oil'!Y1304</f>
        <v>75.11</v>
      </c>
      <c r="Z1303">
        <f>'raw data Crude oil'!Z1304</f>
        <v>82.453000000000003</v>
      </c>
      <c r="AA1303">
        <f>'raw data Crude oil'!AA1304</f>
        <v>83.370999999999995</v>
      </c>
      <c r="AB1303">
        <f>'raw data Crude oil'!AB1304</f>
        <v>82.384</v>
      </c>
      <c r="AC1303">
        <f>'raw data Crude oil'!AC1304</f>
        <v>81.564999999999998</v>
      </c>
      <c r="AD1303">
        <f>'raw data Crude oil'!AD1304</f>
        <v>80.742000000000004</v>
      </c>
      <c r="AE1303">
        <f>'raw data Crude oil'!AE1304</f>
        <v>79.962000000000003</v>
      </c>
      <c r="AF1303">
        <f>'raw data Crude oil'!AF1304</f>
        <v>79.231999999999999</v>
      </c>
      <c r="AG1303">
        <f>'raw data Crude oil'!AG1304</f>
        <v>78.521000000000001</v>
      </c>
      <c r="AH1303">
        <f>'raw data Crude oil'!AH1304</f>
        <v>77.849999999999994</v>
      </c>
      <c r="AI1303">
        <f>'raw data Crude oil'!AI1304</f>
        <v>77.2</v>
      </c>
      <c r="AJ1303">
        <f>'raw data Crude oil'!AJ1304</f>
        <v>76.572999999999993</v>
      </c>
      <c r="AK1303">
        <f>'raw data Crude oil'!AK1304</f>
        <v>75.965000000000003</v>
      </c>
    </row>
    <row r="1304" spans="1:37" x14ac:dyDescent="0.3">
      <c r="A1304" s="18">
        <f>'raw data Crude oil'!A1305</f>
        <v>44578</v>
      </c>
      <c r="B1304">
        <f>'raw data Crude oil'!B1305</f>
        <v>86.48</v>
      </c>
      <c r="C1304">
        <f>'raw data Crude oil'!C1305</f>
        <v>85.77</v>
      </c>
      <c r="D1304">
        <f>'raw data Crude oil'!D1305</f>
        <v>84.96</v>
      </c>
      <c r="E1304">
        <f>'raw data Crude oil'!E1305</f>
        <v>84.14</v>
      </c>
      <c r="F1304">
        <f>'raw data Crude oil'!F1305</f>
        <v>83.33</v>
      </c>
      <c r="G1304">
        <f>'raw data Crude oil'!G1305</f>
        <v>82.59</v>
      </c>
      <c r="H1304">
        <f>'raw data Crude oil'!H1305</f>
        <v>81.87</v>
      </c>
      <c r="I1304">
        <f>'raw data Crude oil'!I1305</f>
        <v>81.180000000000007</v>
      </c>
      <c r="J1304">
        <f>'raw data Crude oil'!J1305</f>
        <v>80.52</v>
      </c>
      <c r="K1304">
        <f>'raw data Crude oil'!K1305</f>
        <v>79.87</v>
      </c>
      <c r="L1304">
        <f>'raw data Crude oil'!L1305</f>
        <v>79.23</v>
      </c>
      <c r="M1304">
        <f>'raw data Crude oil'!M1305</f>
        <v>78.63</v>
      </c>
      <c r="N1304">
        <f>'raw data Crude oil'!N1305</f>
        <v>83.82</v>
      </c>
      <c r="O1304">
        <f>'raw data Crude oil'!O1305</f>
        <v>83.3</v>
      </c>
      <c r="P1304">
        <f>'raw data Crude oil'!P1305</f>
        <v>82.42</v>
      </c>
      <c r="Q1304">
        <f>'raw data Crude oil'!Q1305</f>
        <v>81.56</v>
      </c>
      <c r="R1304">
        <f>'raw data Crude oil'!R1305</f>
        <v>80.69</v>
      </c>
      <c r="S1304">
        <f>'raw data Crude oil'!S1305</f>
        <v>79.83</v>
      </c>
      <c r="T1304">
        <f>'raw data Crude oil'!T1305</f>
        <v>78.989999999999995</v>
      </c>
      <c r="U1304">
        <f>'raw data Crude oil'!U1305</f>
        <v>78.16</v>
      </c>
      <c r="V1304">
        <f>'raw data Crude oil'!V1305</f>
        <v>77.349999999999994</v>
      </c>
      <c r="W1304">
        <f>'raw data Crude oil'!W1305</f>
        <v>76.58</v>
      </c>
      <c r="X1304">
        <f>'raw data Crude oil'!X1305</f>
        <v>75.84</v>
      </c>
      <c r="Y1304">
        <f>'raw data Crude oil'!Y1305</f>
        <v>75.11</v>
      </c>
      <c r="Z1304">
        <f>'raw data Crude oil'!Z1305</f>
        <v>82.715999999999994</v>
      </c>
      <c r="AA1304">
        <f>'raw data Crude oil'!AA1305</f>
        <v>83.73</v>
      </c>
      <c r="AB1304">
        <f>'raw data Crude oil'!AB1305</f>
        <v>82.763999999999996</v>
      </c>
      <c r="AC1304">
        <f>'raw data Crude oil'!AC1305</f>
        <v>81.93</v>
      </c>
      <c r="AD1304">
        <f>'raw data Crude oil'!AD1305</f>
        <v>81.096000000000004</v>
      </c>
      <c r="AE1304">
        <f>'raw data Crude oil'!AE1305</f>
        <v>80.307000000000002</v>
      </c>
      <c r="AF1304">
        <f>'raw data Crude oil'!AF1305</f>
        <v>79.557000000000002</v>
      </c>
      <c r="AG1304">
        <f>'raw data Crude oil'!AG1305</f>
        <v>78.870999999999995</v>
      </c>
      <c r="AH1304">
        <f>'raw data Crude oil'!AH1305</f>
        <v>78.209999999999994</v>
      </c>
      <c r="AI1304">
        <f>'raw data Crude oil'!AI1305</f>
        <v>77.540000000000006</v>
      </c>
      <c r="AJ1304">
        <f>'raw data Crude oil'!AJ1305</f>
        <v>76.903000000000006</v>
      </c>
      <c r="AK1304">
        <f>'raw data Crude oil'!AK1305</f>
        <v>76.278999999999996</v>
      </c>
    </row>
    <row r="1305" spans="1:37" x14ac:dyDescent="0.3">
      <c r="A1305" s="18">
        <f>'raw data Crude oil'!A1306</f>
        <v>44579</v>
      </c>
      <c r="B1305">
        <f>'raw data Crude oil'!B1306</f>
        <v>87.51</v>
      </c>
      <c r="C1305">
        <f>'raw data Crude oil'!C1306</f>
        <v>86.78</v>
      </c>
      <c r="D1305">
        <f>'raw data Crude oil'!D1306</f>
        <v>85.94</v>
      </c>
      <c r="E1305">
        <f>'raw data Crude oil'!E1306</f>
        <v>85.08</v>
      </c>
      <c r="F1305">
        <f>'raw data Crude oil'!F1306</f>
        <v>84.25</v>
      </c>
      <c r="G1305">
        <f>'raw data Crude oil'!G1306</f>
        <v>83.5</v>
      </c>
      <c r="H1305">
        <f>'raw data Crude oil'!H1306</f>
        <v>82.77</v>
      </c>
      <c r="I1305">
        <f>'raw data Crude oil'!I1306</f>
        <v>82.06</v>
      </c>
      <c r="J1305">
        <f>'raw data Crude oil'!J1306</f>
        <v>81.37</v>
      </c>
      <c r="K1305">
        <f>'raw data Crude oil'!K1306</f>
        <v>80.7</v>
      </c>
      <c r="L1305">
        <f>'raw data Crude oil'!L1306</f>
        <v>80.040000000000006</v>
      </c>
      <c r="M1305">
        <f>'raw data Crude oil'!M1306</f>
        <v>79.42</v>
      </c>
      <c r="N1305">
        <f>'raw data Crude oil'!N1306</f>
        <v>85.43</v>
      </c>
      <c r="O1305">
        <f>'raw data Crude oil'!O1306</f>
        <v>84.83</v>
      </c>
      <c r="P1305">
        <f>'raw data Crude oil'!P1306</f>
        <v>83.86</v>
      </c>
      <c r="Q1305">
        <f>'raw data Crude oil'!Q1306</f>
        <v>82.92</v>
      </c>
      <c r="R1305">
        <f>'raw data Crude oil'!R1306</f>
        <v>82</v>
      </c>
      <c r="S1305">
        <f>'raw data Crude oil'!S1306</f>
        <v>81.099999999999994</v>
      </c>
      <c r="T1305">
        <f>'raw data Crude oil'!T1306</f>
        <v>80.23</v>
      </c>
      <c r="U1305">
        <f>'raw data Crude oil'!U1306</f>
        <v>79.38</v>
      </c>
      <c r="V1305">
        <f>'raw data Crude oil'!V1306</f>
        <v>78.55</v>
      </c>
      <c r="W1305">
        <f>'raw data Crude oil'!W1306</f>
        <v>77.77</v>
      </c>
      <c r="X1305">
        <f>'raw data Crude oil'!X1306</f>
        <v>77.03</v>
      </c>
      <c r="Y1305">
        <f>'raw data Crude oil'!Y1306</f>
        <v>76.28</v>
      </c>
      <c r="Z1305">
        <f>'raw data Crude oil'!Z1306</f>
        <v>83.257000000000005</v>
      </c>
      <c r="AA1305">
        <f>'raw data Crude oil'!AA1306</f>
        <v>84.778000000000006</v>
      </c>
      <c r="AB1305">
        <f>'raw data Crude oil'!AB1306</f>
        <v>83.728999999999999</v>
      </c>
      <c r="AC1305">
        <f>'raw data Crude oil'!AC1306</f>
        <v>82.84</v>
      </c>
      <c r="AD1305">
        <f>'raw data Crude oil'!AD1306</f>
        <v>81.99</v>
      </c>
      <c r="AE1305">
        <f>'raw data Crude oil'!AE1306</f>
        <v>81.186999999999998</v>
      </c>
      <c r="AF1305">
        <f>'raw data Crude oil'!AF1306</f>
        <v>80.436000000000007</v>
      </c>
      <c r="AG1305">
        <f>'raw data Crude oil'!AG1306</f>
        <v>79.73</v>
      </c>
      <c r="AH1305">
        <f>'raw data Crude oil'!AH1306</f>
        <v>79.040000000000006</v>
      </c>
      <c r="AI1305">
        <f>'raw data Crude oil'!AI1306</f>
        <v>78.369</v>
      </c>
      <c r="AJ1305">
        <f>'raw data Crude oil'!AJ1306</f>
        <v>77.712000000000003</v>
      </c>
      <c r="AK1305">
        <f>'raw data Crude oil'!AK1306</f>
        <v>77.067999999999998</v>
      </c>
    </row>
    <row r="1306" spans="1:37" x14ac:dyDescent="0.3">
      <c r="A1306" s="18">
        <f>'raw data Crude oil'!A1307</f>
        <v>44580</v>
      </c>
      <c r="B1306">
        <f>'raw data Crude oil'!B1307</f>
        <v>88.44</v>
      </c>
      <c r="C1306">
        <f>'raw data Crude oil'!C1307</f>
        <v>87.59</v>
      </c>
      <c r="D1306">
        <f>'raw data Crude oil'!D1307</f>
        <v>86.69</v>
      </c>
      <c r="E1306">
        <f>'raw data Crude oil'!E1307</f>
        <v>85.8</v>
      </c>
      <c r="F1306">
        <f>'raw data Crude oil'!F1307</f>
        <v>84.94</v>
      </c>
      <c r="G1306">
        <f>'raw data Crude oil'!G1307</f>
        <v>84.16</v>
      </c>
      <c r="H1306">
        <f>'raw data Crude oil'!H1307</f>
        <v>83.39</v>
      </c>
      <c r="I1306">
        <f>'raw data Crude oil'!I1307</f>
        <v>82.64</v>
      </c>
      <c r="J1306">
        <f>'raw data Crude oil'!J1307</f>
        <v>81.93</v>
      </c>
      <c r="K1306">
        <f>'raw data Crude oil'!K1307</f>
        <v>81.23</v>
      </c>
      <c r="L1306">
        <f>'raw data Crude oil'!L1307</f>
        <v>80.55</v>
      </c>
      <c r="M1306">
        <f>'raw data Crude oil'!M1307</f>
        <v>79.900000000000006</v>
      </c>
      <c r="N1306">
        <f>'raw data Crude oil'!N1307</f>
        <v>86.96</v>
      </c>
      <c r="O1306">
        <f>'raw data Crude oil'!O1307</f>
        <v>85.8</v>
      </c>
      <c r="P1306">
        <f>'raw data Crude oil'!P1307</f>
        <v>84.79</v>
      </c>
      <c r="Q1306">
        <f>'raw data Crude oil'!Q1307</f>
        <v>83.8</v>
      </c>
      <c r="R1306">
        <f>'raw data Crude oil'!R1307</f>
        <v>82.82</v>
      </c>
      <c r="S1306">
        <f>'raw data Crude oil'!S1307</f>
        <v>81.87</v>
      </c>
      <c r="T1306">
        <f>'raw data Crude oil'!T1307</f>
        <v>80.94</v>
      </c>
      <c r="U1306">
        <f>'raw data Crude oil'!U1307</f>
        <v>80.040000000000006</v>
      </c>
      <c r="V1306">
        <f>'raw data Crude oil'!V1307</f>
        <v>79.17</v>
      </c>
      <c r="W1306">
        <f>'raw data Crude oil'!W1307</f>
        <v>78.36</v>
      </c>
      <c r="X1306">
        <f>'raw data Crude oil'!X1307</f>
        <v>77.569999999999993</v>
      </c>
      <c r="Y1306">
        <f>'raw data Crude oil'!Y1307</f>
        <v>76.790000000000006</v>
      </c>
      <c r="Z1306">
        <f>'raw data Crude oil'!Z1307</f>
        <v>83.58</v>
      </c>
      <c r="AA1306">
        <f>'raw data Crude oil'!AA1307</f>
        <v>85.555000000000007</v>
      </c>
      <c r="AB1306">
        <f>'raw data Crude oil'!AB1307</f>
        <v>84.491</v>
      </c>
      <c r="AC1306">
        <f>'raw data Crude oil'!AC1307</f>
        <v>83.555000000000007</v>
      </c>
      <c r="AD1306">
        <f>'raw data Crude oil'!AD1307</f>
        <v>82.685000000000002</v>
      </c>
      <c r="AE1306">
        <f>'raw data Crude oil'!AE1307</f>
        <v>81.855000000000004</v>
      </c>
      <c r="AF1306">
        <f>'raw data Crude oil'!AF1307</f>
        <v>81.063999999999993</v>
      </c>
      <c r="AG1306">
        <f>'raw data Crude oil'!AG1307</f>
        <v>80.319000000000003</v>
      </c>
      <c r="AH1306">
        <f>'raw data Crude oil'!AH1307</f>
        <v>79.587999999999994</v>
      </c>
      <c r="AI1306">
        <f>'raw data Crude oil'!AI1307</f>
        <v>78.888000000000005</v>
      </c>
      <c r="AJ1306">
        <f>'raw data Crude oil'!AJ1307</f>
        <v>78.2</v>
      </c>
      <c r="AK1306">
        <f>'raw data Crude oil'!AK1307</f>
        <v>77.534999999999997</v>
      </c>
    </row>
    <row r="1307" spans="1:37" x14ac:dyDescent="0.3">
      <c r="A1307" s="18">
        <f>'raw data Crude oil'!A1308</f>
        <v>44581</v>
      </c>
      <c r="B1307">
        <f>'raw data Crude oil'!B1308</f>
        <v>88.38</v>
      </c>
      <c r="C1307">
        <f>'raw data Crude oil'!C1308</f>
        <v>87.61</v>
      </c>
      <c r="D1307">
        <f>'raw data Crude oil'!D1308</f>
        <v>86.74</v>
      </c>
      <c r="E1307">
        <f>'raw data Crude oil'!E1308</f>
        <v>85.86</v>
      </c>
      <c r="F1307">
        <f>'raw data Crude oil'!F1308</f>
        <v>85.02</v>
      </c>
      <c r="G1307">
        <f>'raw data Crude oil'!G1308</f>
        <v>84.28</v>
      </c>
      <c r="H1307">
        <f>'raw data Crude oil'!H1308</f>
        <v>83.56</v>
      </c>
      <c r="I1307">
        <f>'raw data Crude oil'!I1308</f>
        <v>82.86</v>
      </c>
      <c r="J1307">
        <f>'raw data Crude oil'!J1308</f>
        <v>82.2</v>
      </c>
      <c r="K1307">
        <f>'raw data Crude oil'!K1308</f>
        <v>81.540000000000006</v>
      </c>
      <c r="L1307">
        <f>'raw data Crude oil'!L1308</f>
        <v>80.89</v>
      </c>
      <c r="M1307">
        <f>'raw data Crude oil'!M1308</f>
        <v>80.27</v>
      </c>
      <c r="N1307">
        <f>'raw data Crude oil'!N1308</f>
        <v>86.9</v>
      </c>
      <c r="O1307">
        <f>'raw data Crude oil'!O1308</f>
        <v>85.55</v>
      </c>
      <c r="P1307">
        <f>'raw data Crude oil'!P1308</f>
        <v>84.65</v>
      </c>
      <c r="Q1307">
        <f>'raw data Crude oil'!Q1308</f>
        <v>83.77</v>
      </c>
      <c r="R1307">
        <f>'raw data Crude oil'!R1308</f>
        <v>82.89</v>
      </c>
      <c r="S1307">
        <f>'raw data Crude oil'!S1308</f>
        <v>82.01</v>
      </c>
      <c r="T1307">
        <f>'raw data Crude oil'!T1308</f>
        <v>81.150000000000006</v>
      </c>
      <c r="U1307">
        <f>'raw data Crude oil'!U1308</f>
        <v>80.319999999999993</v>
      </c>
      <c r="V1307">
        <f>'raw data Crude oil'!V1308</f>
        <v>79.52</v>
      </c>
      <c r="W1307">
        <f>'raw data Crude oil'!W1308</f>
        <v>78.77</v>
      </c>
      <c r="X1307">
        <f>'raw data Crude oil'!X1308</f>
        <v>78.03</v>
      </c>
      <c r="Y1307">
        <f>'raw data Crude oil'!Y1308</f>
        <v>77.31</v>
      </c>
      <c r="Z1307">
        <f>'raw data Crude oil'!Z1308</f>
        <v>83.537000000000006</v>
      </c>
      <c r="AA1307">
        <f>'raw data Crude oil'!AA1308</f>
        <v>85.617000000000004</v>
      </c>
      <c r="AB1307">
        <f>'raw data Crude oil'!AB1308</f>
        <v>84.522000000000006</v>
      </c>
      <c r="AC1307">
        <f>'raw data Crude oil'!AC1308</f>
        <v>83.638000000000005</v>
      </c>
      <c r="AD1307">
        <f>'raw data Crude oil'!AD1308</f>
        <v>82.775999999999996</v>
      </c>
      <c r="AE1307">
        <f>'raw data Crude oil'!AE1308</f>
        <v>81.966999999999999</v>
      </c>
      <c r="AF1307">
        <f>'raw data Crude oil'!AF1308</f>
        <v>81.206000000000003</v>
      </c>
      <c r="AG1307">
        <f>'raw data Crude oil'!AG1308</f>
        <v>80.531000000000006</v>
      </c>
      <c r="AH1307">
        <f>'raw data Crude oil'!AH1308</f>
        <v>79.87</v>
      </c>
      <c r="AI1307">
        <f>'raw data Crude oil'!AI1308</f>
        <v>79.209000000000003</v>
      </c>
      <c r="AJ1307">
        <f>'raw data Crude oil'!AJ1308</f>
        <v>78.531999999999996</v>
      </c>
      <c r="AK1307">
        <f>'raw data Crude oil'!AK1308</f>
        <v>77.879000000000005</v>
      </c>
    </row>
    <row r="1308" spans="1:37" x14ac:dyDescent="0.3">
      <c r="A1308" s="18">
        <f>'raw data Crude oil'!A1309</f>
        <v>44582</v>
      </c>
      <c r="B1308">
        <f>'raw data Crude oil'!B1309</f>
        <v>87.89</v>
      </c>
      <c r="C1308">
        <f>'raw data Crude oil'!C1309</f>
        <v>87.08</v>
      </c>
      <c r="D1308">
        <f>'raw data Crude oil'!D1309</f>
        <v>86.19</v>
      </c>
      <c r="E1308">
        <f>'raw data Crude oil'!E1309</f>
        <v>85.3</v>
      </c>
      <c r="F1308">
        <f>'raw data Crude oil'!F1309</f>
        <v>84.45</v>
      </c>
      <c r="G1308">
        <f>'raw data Crude oil'!G1309</f>
        <v>83.7</v>
      </c>
      <c r="H1308">
        <f>'raw data Crude oil'!H1309</f>
        <v>82.97</v>
      </c>
      <c r="I1308">
        <f>'raw data Crude oil'!I1309</f>
        <v>82.27</v>
      </c>
      <c r="J1308">
        <f>'raw data Crude oil'!J1309</f>
        <v>81.62</v>
      </c>
      <c r="K1308">
        <f>'raw data Crude oil'!K1309</f>
        <v>80.98</v>
      </c>
      <c r="L1308">
        <f>'raw data Crude oil'!L1309</f>
        <v>80.349999999999994</v>
      </c>
      <c r="M1308">
        <f>'raw data Crude oil'!M1309</f>
        <v>79.760000000000005</v>
      </c>
      <c r="N1308">
        <f>'raw data Crude oil'!N1309</f>
        <v>85.14</v>
      </c>
      <c r="O1308">
        <f>'raw data Crude oil'!O1309</f>
        <v>84.14</v>
      </c>
      <c r="P1308">
        <f>'raw data Crude oil'!P1309</f>
        <v>83.2</v>
      </c>
      <c r="Q1308">
        <f>'raw data Crude oil'!Q1309</f>
        <v>82.28</v>
      </c>
      <c r="R1308">
        <f>'raw data Crude oil'!R1309</f>
        <v>81.38</v>
      </c>
      <c r="S1308">
        <f>'raw data Crude oil'!S1309</f>
        <v>80.510000000000005</v>
      </c>
      <c r="T1308">
        <f>'raw data Crude oil'!T1309</f>
        <v>79.7</v>
      </c>
      <c r="U1308">
        <f>'raw data Crude oil'!U1309</f>
        <v>78.91</v>
      </c>
      <c r="V1308">
        <f>'raw data Crude oil'!V1309</f>
        <v>78.180000000000007</v>
      </c>
      <c r="W1308">
        <f>'raw data Crude oil'!W1309</f>
        <v>77.47</v>
      </c>
      <c r="X1308">
        <f>'raw data Crude oil'!X1309</f>
        <v>76.760000000000005</v>
      </c>
      <c r="Y1308">
        <f>'raw data Crude oil'!Y1309</f>
        <v>76.099999999999994</v>
      </c>
      <c r="Z1308">
        <f>'raw data Crude oil'!Z1309</f>
        <v>83.260999999999996</v>
      </c>
      <c r="AA1308">
        <f>'raw data Crude oil'!AA1309</f>
        <v>85.126000000000005</v>
      </c>
      <c r="AB1308">
        <f>'raw data Crude oil'!AB1309</f>
        <v>84.010999999999996</v>
      </c>
      <c r="AC1308">
        <f>'raw data Crude oil'!AC1309</f>
        <v>83.091999999999999</v>
      </c>
      <c r="AD1308">
        <f>'raw data Crude oil'!AD1309</f>
        <v>82.212000000000003</v>
      </c>
      <c r="AE1308">
        <f>'raw data Crude oil'!AE1309</f>
        <v>81.406999999999996</v>
      </c>
      <c r="AF1308">
        <f>'raw data Crude oil'!AF1309</f>
        <v>80.647000000000006</v>
      </c>
      <c r="AG1308">
        <f>'raw data Crude oil'!AG1309</f>
        <v>79.951999999999998</v>
      </c>
      <c r="AH1308">
        <f>'raw data Crude oil'!AH1309</f>
        <v>79.301000000000002</v>
      </c>
      <c r="AI1308">
        <f>'raw data Crude oil'!AI1309</f>
        <v>78.63</v>
      </c>
      <c r="AJ1308">
        <f>'raw data Crude oil'!AJ1309</f>
        <v>77.962999999999994</v>
      </c>
      <c r="AK1308">
        <f>'raw data Crude oil'!AK1309</f>
        <v>77.37</v>
      </c>
    </row>
    <row r="1309" spans="1:37" x14ac:dyDescent="0.3">
      <c r="A1309" s="18">
        <f>'raw data Crude oil'!A1310</f>
        <v>44585</v>
      </c>
      <c r="B1309">
        <f>'raw data Crude oil'!B1310</f>
        <v>86.27</v>
      </c>
      <c r="C1309">
        <f>'raw data Crude oil'!C1310</f>
        <v>85.43</v>
      </c>
      <c r="D1309">
        <f>'raw data Crude oil'!D1310</f>
        <v>84.56</v>
      </c>
      <c r="E1309">
        <f>'raw data Crude oil'!E1310</f>
        <v>83.71</v>
      </c>
      <c r="F1309">
        <f>'raw data Crude oil'!F1310</f>
        <v>82.9</v>
      </c>
      <c r="G1309">
        <f>'raw data Crude oil'!G1310</f>
        <v>82.18</v>
      </c>
      <c r="H1309">
        <f>'raw data Crude oil'!H1310</f>
        <v>81.48</v>
      </c>
      <c r="I1309">
        <f>'raw data Crude oil'!I1310</f>
        <v>80.819999999999993</v>
      </c>
      <c r="J1309">
        <f>'raw data Crude oil'!J1310</f>
        <v>80.209999999999994</v>
      </c>
      <c r="K1309">
        <f>'raw data Crude oil'!K1310</f>
        <v>79.62</v>
      </c>
      <c r="L1309">
        <f>'raw data Crude oil'!L1310</f>
        <v>79.03</v>
      </c>
      <c r="M1309">
        <f>'raw data Crude oil'!M1310</f>
        <v>78.48</v>
      </c>
      <c r="N1309">
        <f>'raw data Crude oil'!N1310</f>
        <v>83.31</v>
      </c>
      <c r="O1309">
        <f>'raw data Crude oil'!O1310</f>
        <v>82.41</v>
      </c>
      <c r="P1309">
        <f>'raw data Crude oil'!P1310</f>
        <v>81.540000000000006</v>
      </c>
      <c r="Q1309">
        <f>'raw data Crude oil'!Q1310</f>
        <v>80.680000000000007</v>
      </c>
      <c r="R1309">
        <f>'raw data Crude oil'!R1310</f>
        <v>79.83</v>
      </c>
      <c r="S1309">
        <f>'raw data Crude oil'!S1310</f>
        <v>79</v>
      </c>
      <c r="T1309">
        <f>'raw data Crude oil'!T1310</f>
        <v>78.209999999999994</v>
      </c>
      <c r="U1309">
        <f>'raw data Crude oil'!U1310</f>
        <v>77.45</v>
      </c>
      <c r="V1309">
        <f>'raw data Crude oil'!V1310</f>
        <v>76.760000000000005</v>
      </c>
      <c r="W1309">
        <f>'raw data Crude oil'!W1310</f>
        <v>76.08</v>
      </c>
      <c r="X1309">
        <f>'raw data Crude oil'!X1310</f>
        <v>75.430000000000007</v>
      </c>
      <c r="Y1309">
        <f>'raw data Crude oil'!Y1310</f>
        <v>74.8</v>
      </c>
      <c r="Z1309">
        <f>'raw data Crude oil'!Z1310</f>
        <v>82.872</v>
      </c>
      <c r="AA1309">
        <f>'raw data Crude oil'!AA1310</f>
        <v>83.546999999999997</v>
      </c>
      <c r="AB1309">
        <f>'raw data Crude oil'!AB1310</f>
        <v>82.433000000000007</v>
      </c>
      <c r="AC1309">
        <f>'raw data Crude oil'!AC1310</f>
        <v>81.52</v>
      </c>
      <c r="AD1309">
        <f>'raw data Crude oil'!AD1310</f>
        <v>80.677000000000007</v>
      </c>
      <c r="AE1309">
        <f>'raw data Crude oil'!AE1310</f>
        <v>79.888000000000005</v>
      </c>
      <c r="AF1309">
        <f>'raw data Crude oil'!AF1310</f>
        <v>79.149000000000001</v>
      </c>
      <c r="AG1309">
        <f>'raw data Crude oil'!AG1310</f>
        <v>78.513000000000005</v>
      </c>
      <c r="AH1309">
        <f>'raw data Crude oil'!AH1310</f>
        <v>77.893000000000001</v>
      </c>
      <c r="AI1309">
        <f>'raw data Crude oil'!AI1310</f>
        <v>77.272000000000006</v>
      </c>
      <c r="AJ1309">
        <f>'raw data Crude oil'!AJ1310</f>
        <v>76.674999999999997</v>
      </c>
      <c r="AK1309">
        <f>'raw data Crude oil'!AK1310</f>
        <v>76.094999999999999</v>
      </c>
    </row>
    <row r="1310" spans="1:37" x14ac:dyDescent="0.3">
      <c r="A1310" s="18">
        <f>'raw data Crude oil'!A1311</f>
        <v>44586</v>
      </c>
      <c r="B1310">
        <f>'raw data Crude oil'!B1311</f>
        <v>88.2</v>
      </c>
      <c r="C1310">
        <f>'raw data Crude oil'!C1311</f>
        <v>87.18</v>
      </c>
      <c r="D1310">
        <f>'raw data Crude oil'!D1311</f>
        <v>86.23</v>
      </c>
      <c r="E1310">
        <f>'raw data Crude oil'!E1311</f>
        <v>85.32</v>
      </c>
      <c r="F1310">
        <f>'raw data Crude oil'!F1311</f>
        <v>84.45</v>
      </c>
      <c r="G1310">
        <f>'raw data Crude oil'!G1311</f>
        <v>83.67</v>
      </c>
      <c r="H1310">
        <f>'raw data Crude oil'!H1311</f>
        <v>82.91</v>
      </c>
      <c r="I1310">
        <f>'raw data Crude oil'!I1311</f>
        <v>82.2</v>
      </c>
      <c r="J1310">
        <f>'raw data Crude oil'!J1311</f>
        <v>81.540000000000006</v>
      </c>
      <c r="K1310">
        <f>'raw data Crude oil'!K1311</f>
        <v>80.92</v>
      </c>
      <c r="L1310">
        <f>'raw data Crude oil'!L1311</f>
        <v>80.31</v>
      </c>
      <c r="M1310">
        <f>'raw data Crude oil'!M1311</f>
        <v>79.739999999999995</v>
      </c>
      <c r="N1310">
        <f>'raw data Crude oil'!N1311</f>
        <v>85.6</v>
      </c>
      <c r="O1310">
        <f>'raw data Crude oil'!O1311</f>
        <v>84.37</v>
      </c>
      <c r="P1310">
        <f>'raw data Crude oil'!P1311</f>
        <v>83.29</v>
      </c>
      <c r="Q1310">
        <f>'raw data Crude oil'!Q1311</f>
        <v>82.27</v>
      </c>
      <c r="R1310">
        <f>'raw data Crude oil'!R1311</f>
        <v>81.3</v>
      </c>
      <c r="S1310">
        <f>'raw data Crude oil'!S1311</f>
        <v>80.39</v>
      </c>
      <c r="T1310">
        <f>'raw data Crude oil'!T1311</f>
        <v>79.55</v>
      </c>
      <c r="U1310">
        <f>'raw data Crude oil'!U1311</f>
        <v>78.75</v>
      </c>
      <c r="V1310">
        <f>'raw data Crude oil'!V1311</f>
        <v>78.010000000000005</v>
      </c>
      <c r="W1310">
        <f>'raw data Crude oil'!W1311</f>
        <v>77.319999999999993</v>
      </c>
      <c r="X1310">
        <f>'raw data Crude oil'!X1311</f>
        <v>76.64</v>
      </c>
      <c r="Y1310">
        <f>'raw data Crude oil'!Y1311</f>
        <v>75.98</v>
      </c>
      <c r="Z1310">
        <f>'raw data Crude oil'!Z1311</f>
        <v>83.177999999999997</v>
      </c>
      <c r="AA1310">
        <f>'raw data Crude oil'!AA1311</f>
        <v>85.322999999999993</v>
      </c>
      <c r="AB1310">
        <f>'raw data Crude oil'!AB1311</f>
        <v>84.11</v>
      </c>
      <c r="AC1310">
        <f>'raw data Crude oil'!AC1311</f>
        <v>83.131</v>
      </c>
      <c r="AD1310">
        <f>'raw data Crude oil'!AD1311</f>
        <v>82.234999999999999</v>
      </c>
      <c r="AE1310">
        <f>'raw data Crude oil'!AE1311</f>
        <v>81.364999999999995</v>
      </c>
      <c r="AF1310">
        <f>'raw data Crude oil'!AF1311</f>
        <v>80.575999999999993</v>
      </c>
      <c r="AG1310">
        <f>'raw data Crude oil'!AG1311</f>
        <v>79.870999999999995</v>
      </c>
      <c r="AH1310">
        <f>'raw data Crude oil'!AH1311</f>
        <v>79.212000000000003</v>
      </c>
      <c r="AI1310">
        <f>'raw data Crude oil'!AI1311</f>
        <v>78.590999999999994</v>
      </c>
      <c r="AJ1310">
        <f>'raw data Crude oil'!AJ1311</f>
        <v>77.983999999999995</v>
      </c>
      <c r="AK1310">
        <f>'raw data Crude oil'!AK1311</f>
        <v>77.391999999999996</v>
      </c>
    </row>
    <row r="1311" spans="1:37" x14ac:dyDescent="0.3">
      <c r="A1311" s="18">
        <f>'raw data Crude oil'!A1312</f>
        <v>44587</v>
      </c>
      <c r="B1311">
        <f>'raw data Crude oil'!B1312</f>
        <v>89.96</v>
      </c>
      <c r="C1311">
        <f>'raw data Crude oil'!C1312</f>
        <v>88.74</v>
      </c>
      <c r="D1311">
        <f>'raw data Crude oil'!D1312</f>
        <v>87.65</v>
      </c>
      <c r="E1311">
        <f>'raw data Crude oil'!E1312</f>
        <v>86.66</v>
      </c>
      <c r="F1311">
        <f>'raw data Crude oil'!F1312</f>
        <v>85.73</v>
      </c>
      <c r="G1311">
        <f>'raw data Crude oil'!G1312</f>
        <v>84.88</v>
      </c>
      <c r="H1311">
        <f>'raw data Crude oil'!H1312</f>
        <v>84.06</v>
      </c>
      <c r="I1311">
        <f>'raw data Crude oil'!I1312</f>
        <v>83.28</v>
      </c>
      <c r="J1311">
        <f>'raw data Crude oil'!J1312</f>
        <v>82.57</v>
      </c>
      <c r="K1311">
        <f>'raw data Crude oil'!K1312</f>
        <v>81.89</v>
      </c>
      <c r="L1311">
        <f>'raw data Crude oil'!L1312</f>
        <v>81.23</v>
      </c>
      <c r="M1311">
        <f>'raw data Crude oil'!M1312</f>
        <v>80.62</v>
      </c>
      <c r="N1311">
        <f>'raw data Crude oil'!N1312</f>
        <v>87.35</v>
      </c>
      <c r="O1311">
        <f>'raw data Crude oil'!O1312</f>
        <v>85.96</v>
      </c>
      <c r="P1311">
        <f>'raw data Crude oil'!P1312</f>
        <v>84.78</v>
      </c>
      <c r="Q1311">
        <f>'raw data Crude oil'!Q1312</f>
        <v>83.67</v>
      </c>
      <c r="R1311">
        <f>'raw data Crude oil'!R1312</f>
        <v>82.63</v>
      </c>
      <c r="S1311">
        <f>'raw data Crude oil'!S1312</f>
        <v>81.66</v>
      </c>
      <c r="T1311">
        <f>'raw data Crude oil'!T1312</f>
        <v>80.77</v>
      </c>
      <c r="U1311">
        <f>'raw data Crude oil'!U1312</f>
        <v>79.930000000000007</v>
      </c>
      <c r="V1311">
        <f>'raw data Crude oil'!V1312</f>
        <v>79.16</v>
      </c>
      <c r="W1311">
        <f>'raw data Crude oil'!W1312</f>
        <v>78.42</v>
      </c>
      <c r="X1311">
        <f>'raw data Crude oil'!X1312</f>
        <v>77.7</v>
      </c>
      <c r="Y1311">
        <f>'raw data Crude oil'!Y1312</f>
        <v>77.010000000000005</v>
      </c>
      <c r="Z1311">
        <f>'raw data Crude oil'!Z1312</f>
        <v>83.445999999999998</v>
      </c>
      <c r="AA1311">
        <f>'raw data Crude oil'!AA1312</f>
        <v>86.816000000000003</v>
      </c>
      <c r="AB1311">
        <f>'raw data Crude oil'!AB1312</f>
        <v>85.507000000000005</v>
      </c>
      <c r="AC1311">
        <f>'raw data Crude oil'!AC1312</f>
        <v>84.463999999999999</v>
      </c>
      <c r="AD1311">
        <f>'raw data Crude oil'!AD1312</f>
        <v>83.480999999999995</v>
      </c>
      <c r="AE1311">
        <f>'raw data Crude oil'!AE1312</f>
        <v>82.563000000000002</v>
      </c>
      <c r="AF1311">
        <f>'raw data Crude oil'!AF1312</f>
        <v>81.712999999999994</v>
      </c>
      <c r="AG1311">
        <f>'raw data Crude oil'!AG1312</f>
        <v>80.959000000000003</v>
      </c>
      <c r="AH1311">
        <f>'raw data Crude oil'!AH1312</f>
        <v>80.228999999999999</v>
      </c>
      <c r="AI1311">
        <f>'raw data Crude oil'!AI1312</f>
        <v>79.539000000000001</v>
      </c>
      <c r="AJ1311">
        <f>'raw data Crude oil'!AJ1312</f>
        <v>78.872</v>
      </c>
      <c r="AK1311">
        <f>'raw data Crude oil'!AK1312</f>
        <v>78.218999999999994</v>
      </c>
    </row>
    <row r="1312" spans="1:37" x14ac:dyDescent="0.3">
      <c r="A1312" s="18">
        <f>'raw data Crude oil'!A1313</f>
        <v>44588</v>
      </c>
      <c r="B1312">
        <f>'raw data Crude oil'!B1313</f>
        <v>89.34</v>
      </c>
      <c r="C1312">
        <f>'raw data Crude oil'!C1313</f>
        <v>88.17</v>
      </c>
      <c r="D1312">
        <f>'raw data Crude oil'!D1313</f>
        <v>87.02</v>
      </c>
      <c r="E1312">
        <f>'raw data Crude oil'!E1313</f>
        <v>85.98</v>
      </c>
      <c r="F1312">
        <f>'raw data Crude oil'!F1313</f>
        <v>85.01</v>
      </c>
      <c r="G1312">
        <f>'raw data Crude oil'!G1313</f>
        <v>84.15</v>
      </c>
      <c r="H1312">
        <f>'raw data Crude oil'!H1313</f>
        <v>83.33</v>
      </c>
      <c r="I1312">
        <f>'raw data Crude oil'!I1313</f>
        <v>82.55</v>
      </c>
      <c r="J1312">
        <f>'raw data Crude oil'!J1313</f>
        <v>81.84</v>
      </c>
      <c r="K1312">
        <f>'raw data Crude oil'!K1313</f>
        <v>81.180000000000007</v>
      </c>
      <c r="L1312">
        <f>'raw data Crude oil'!L1313</f>
        <v>80.53</v>
      </c>
      <c r="M1312">
        <f>'raw data Crude oil'!M1313</f>
        <v>79.92</v>
      </c>
      <c r="N1312">
        <f>'raw data Crude oil'!N1313</f>
        <v>86.61</v>
      </c>
      <c r="O1312">
        <f>'raw data Crude oil'!O1313</f>
        <v>85.29</v>
      </c>
      <c r="P1312">
        <f>'raw data Crude oil'!P1313</f>
        <v>84.13</v>
      </c>
      <c r="Q1312">
        <f>'raw data Crude oil'!Q1313</f>
        <v>83.03</v>
      </c>
      <c r="R1312">
        <f>'raw data Crude oil'!R1313</f>
        <v>82</v>
      </c>
      <c r="S1312">
        <f>'raw data Crude oil'!S1313</f>
        <v>81.03</v>
      </c>
      <c r="T1312">
        <f>'raw data Crude oil'!T1313</f>
        <v>80.13</v>
      </c>
      <c r="U1312">
        <f>'raw data Crude oil'!U1313</f>
        <v>79.290000000000006</v>
      </c>
      <c r="V1312">
        <f>'raw data Crude oil'!V1313</f>
        <v>78.510000000000005</v>
      </c>
      <c r="W1312">
        <f>'raw data Crude oil'!W1313</f>
        <v>77.790000000000006</v>
      </c>
      <c r="X1312">
        <f>'raw data Crude oil'!X1313</f>
        <v>77.069999999999993</v>
      </c>
      <c r="Y1312">
        <f>'raw data Crude oil'!Y1313</f>
        <v>76.39</v>
      </c>
      <c r="Z1312">
        <f>'raw data Crude oil'!Z1313</f>
        <v>83.388999999999996</v>
      </c>
      <c r="AA1312">
        <f>'raw data Crude oil'!AA1313</f>
        <v>86.283000000000001</v>
      </c>
      <c r="AB1312">
        <f>'raw data Crude oil'!AB1313</f>
        <v>84.834999999999994</v>
      </c>
      <c r="AC1312">
        <f>'raw data Crude oil'!AC1313</f>
        <v>83.727000000000004</v>
      </c>
      <c r="AD1312">
        <f>'raw data Crude oil'!AD1313</f>
        <v>82.710999999999999</v>
      </c>
      <c r="AE1312">
        <f>'raw data Crude oil'!AE1313</f>
        <v>81.772999999999996</v>
      </c>
      <c r="AF1312">
        <f>'raw data Crude oil'!AF1313</f>
        <v>80.927999999999997</v>
      </c>
      <c r="AG1312">
        <f>'raw data Crude oil'!AG1313</f>
        <v>80.168999999999997</v>
      </c>
      <c r="AH1312">
        <f>'raw data Crude oil'!AH1313</f>
        <v>79.459999999999994</v>
      </c>
      <c r="AI1312">
        <f>'raw data Crude oil'!AI1313</f>
        <v>78.778999999999996</v>
      </c>
      <c r="AJ1312">
        <f>'raw data Crude oil'!AJ1313</f>
        <v>78.111999999999995</v>
      </c>
      <c r="AK1312">
        <f>'raw data Crude oil'!AK1313</f>
        <v>77.47</v>
      </c>
    </row>
    <row r="1313" spans="1:37" x14ac:dyDescent="0.3">
      <c r="A1313" s="18">
        <f>'raw data Crude oil'!A1314</f>
        <v>44589</v>
      </c>
      <c r="B1313">
        <f>'raw data Crude oil'!B1314</f>
        <v>90.03</v>
      </c>
      <c r="C1313">
        <f>'raw data Crude oil'!C1314</f>
        <v>88.52</v>
      </c>
      <c r="D1313">
        <f>'raw data Crude oil'!D1314</f>
        <v>87.17</v>
      </c>
      <c r="E1313">
        <f>'raw data Crude oil'!E1314</f>
        <v>86.03</v>
      </c>
      <c r="F1313">
        <f>'raw data Crude oil'!F1314</f>
        <v>85</v>
      </c>
      <c r="G1313">
        <f>'raw data Crude oil'!G1314</f>
        <v>84.11</v>
      </c>
      <c r="H1313">
        <f>'raw data Crude oil'!H1314</f>
        <v>83.28</v>
      </c>
      <c r="I1313">
        <f>'raw data Crude oil'!I1314</f>
        <v>82.5</v>
      </c>
      <c r="J1313">
        <f>'raw data Crude oil'!J1314</f>
        <v>81.78</v>
      </c>
      <c r="K1313">
        <f>'raw data Crude oil'!K1314</f>
        <v>81.099999999999994</v>
      </c>
      <c r="L1313">
        <f>'raw data Crude oil'!L1314</f>
        <v>80.44</v>
      </c>
      <c r="M1313">
        <f>'raw data Crude oil'!M1314</f>
        <v>79.819999999999993</v>
      </c>
      <c r="N1313">
        <f>'raw data Crude oil'!N1314</f>
        <v>86.82</v>
      </c>
      <c r="O1313">
        <f>'raw data Crude oil'!O1314</f>
        <v>85.43</v>
      </c>
      <c r="P1313">
        <f>'raw data Crude oil'!P1314</f>
        <v>84.21</v>
      </c>
      <c r="Q1313">
        <f>'raw data Crude oil'!Q1314</f>
        <v>83.06</v>
      </c>
      <c r="R1313">
        <f>'raw data Crude oil'!R1314</f>
        <v>81.98</v>
      </c>
      <c r="S1313">
        <f>'raw data Crude oil'!S1314</f>
        <v>80.989999999999995</v>
      </c>
      <c r="T1313">
        <f>'raw data Crude oil'!T1314</f>
        <v>80.08</v>
      </c>
      <c r="U1313">
        <f>'raw data Crude oil'!U1314</f>
        <v>79.23</v>
      </c>
      <c r="V1313">
        <f>'raw data Crude oil'!V1314</f>
        <v>78.459999999999994</v>
      </c>
      <c r="W1313">
        <f>'raw data Crude oil'!W1314</f>
        <v>77.739999999999995</v>
      </c>
      <c r="X1313">
        <f>'raw data Crude oil'!X1314</f>
        <v>77.02</v>
      </c>
      <c r="Y1313">
        <f>'raw data Crude oil'!Y1314</f>
        <v>76.33</v>
      </c>
      <c r="Z1313">
        <f>'raw data Crude oil'!Z1314</f>
        <v>83.462999999999994</v>
      </c>
      <c r="AA1313">
        <f>'raw data Crude oil'!AA1314</f>
        <v>86.753</v>
      </c>
      <c r="AB1313">
        <f>'raw data Crude oil'!AB1314</f>
        <v>85</v>
      </c>
      <c r="AC1313">
        <f>'raw data Crude oil'!AC1314</f>
        <v>83.748999999999995</v>
      </c>
      <c r="AD1313">
        <f>'raw data Crude oil'!AD1314</f>
        <v>82.66</v>
      </c>
      <c r="AE1313">
        <f>'raw data Crude oil'!AE1314</f>
        <v>81.691999999999993</v>
      </c>
      <c r="AF1313">
        <f>'raw data Crude oil'!AF1314</f>
        <v>80.840999999999994</v>
      </c>
      <c r="AG1313">
        <f>'raw data Crude oil'!AG1314</f>
        <v>80.078999999999994</v>
      </c>
      <c r="AH1313">
        <f>'raw data Crude oil'!AH1314</f>
        <v>79.328999999999994</v>
      </c>
      <c r="AI1313">
        <f>'raw data Crude oil'!AI1314</f>
        <v>78.623999999999995</v>
      </c>
      <c r="AJ1313">
        <f>'raw data Crude oil'!AJ1314</f>
        <v>77.971999999999994</v>
      </c>
      <c r="AK1313">
        <f>'raw data Crude oil'!AK1314</f>
        <v>77.349000000000004</v>
      </c>
    </row>
    <row r="1314" spans="1:37" x14ac:dyDescent="0.3">
      <c r="A1314" s="18">
        <f>'raw data Crude oil'!A1315</f>
        <v>44592</v>
      </c>
      <c r="B1314">
        <f>'raw data Crude oil'!B1315</f>
        <v>91.21</v>
      </c>
      <c r="C1314">
        <f>'raw data Crude oil'!C1315</f>
        <v>89.26</v>
      </c>
      <c r="D1314">
        <f>'raw data Crude oil'!D1315</f>
        <v>87.85</v>
      </c>
      <c r="E1314">
        <f>'raw data Crude oil'!E1315</f>
        <v>86.64</v>
      </c>
      <c r="F1314">
        <f>'raw data Crude oil'!F1315</f>
        <v>85.57</v>
      </c>
      <c r="G1314">
        <f>'raw data Crude oil'!G1315</f>
        <v>84.68</v>
      </c>
      <c r="H1314">
        <f>'raw data Crude oil'!H1315</f>
        <v>83.85</v>
      </c>
      <c r="I1314">
        <f>'raw data Crude oil'!I1315</f>
        <v>83.05</v>
      </c>
      <c r="J1314">
        <f>'raw data Crude oil'!J1315</f>
        <v>82.32</v>
      </c>
      <c r="K1314">
        <f>'raw data Crude oil'!K1315</f>
        <v>81.62</v>
      </c>
      <c r="L1314">
        <f>'raw data Crude oil'!L1315</f>
        <v>80.959999999999994</v>
      </c>
      <c r="M1314">
        <f>'raw data Crude oil'!M1315</f>
        <v>80.319999999999993</v>
      </c>
      <c r="N1314">
        <f>'raw data Crude oil'!N1315</f>
        <v>88.15</v>
      </c>
      <c r="O1314">
        <f>'raw data Crude oil'!O1315</f>
        <v>86.49</v>
      </c>
      <c r="P1314">
        <f>'raw data Crude oil'!P1315</f>
        <v>85.11</v>
      </c>
      <c r="Q1314">
        <f>'raw data Crude oil'!Q1315</f>
        <v>83.85</v>
      </c>
      <c r="R1314">
        <f>'raw data Crude oil'!R1315</f>
        <v>82.7</v>
      </c>
      <c r="S1314">
        <f>'raw data Crude oil'!S1315</f>
        <v>81.66</v>
      </c>
      <c r="T1314">
        <f>'raw data Crude oil'!T1315</f>
        <v>80.709999999999994</v>
      </c>
      <c r="U1314">
        <f>'raw data Crude oil'!U1315</f>
        <v>79.83</v>
      </c>
      <c r="V1314">
        <f>'raw data Crude oil'!V1315</f>
        <v>79.05</v>
      </c>
      <c r="W1314">
        <f>'raw data Crude oil'!W1315</f>
        <v>78.3</v>
      </c>
      <c r="X1314">
        <f>'raw data Crude oil'!X1315</f>
        <v>77.55</v>
      </c>
      <c r="Y1314">
        <f>'raw data Crude oil'!Y1315</f>
        <v>76.84</v>
      </c>
      <c r="Z1314">
        <f>'raw data Crude oil'!Z1315</f>
        <v>83.454999999999998</v>
      </c>
      <c r="AA1314">
        <f>'raw data Crude oil'!AA1315</f>
        <v>87.4</v>
      </c>
      <c r="AB1314">
        <f>'raw data Crude oil'!AB1315</f>
        <v>85.668999999999997</v>
      </c>
      <c r="AC1314">
        <f>'raw data Crude oil'!AC1315</f>
        <v>84.387</v>
      </c>
      <c r="AD1314">
        <f>'raw data Crude oil'!AD1315</f>
        <v>83.27</v>
      </c>
      <c r="AE1314">
        <f>'raw data Crude oil'!AE1315</f>
        <v>82.28</v>
      </c>
      <c r="AF1314">
        <f>'raw data Crude oil'!AF1315</f>
        <v>81.432000000000002</v>
      </c>
      <c r="AG1314">
        <f>'raw data Crude oil'!AG1315</f>
        <v>80.668000000000006</v>
      </c>
      <c r="AH1314">
        <f>'raw data Crude oil'!AH1315</f>
        <v>79.938000000000002</v>
      </c>
      <c r="AI1314">
        <f>'raw data Crude oil'!AI1315</f>
        <v>79.198999999999998</v>
      </c>
      <c r="AJ1314">
        <f>'raw data Crude oil'!AJ1315</f>
        <v>78.540999999999997</v>
      </c>
      <c r="AK1314">
        <f>'raw data Crude oil'!AK1315</f>
        <v>77.876000000000005</v>
      </c>
    </row>
    <row r="1315" spans="1:37" x14ac:dyDescent="0.3">
      <c r="A1315" s="18">
        <f>'raw data Crude oil'!A1316</f>
        <v>44593</v>
      </c>
      <c r="B1315">
        <f>'raw data Crude oil'!B1316</f>
        <v>89.16</v>
      </c>
      <c r="C1315">
        <f>'raw data Crude oil'!C1316</f>
        <v>87.77</v>
      </c>
      <c r="D1315">
        <f>'raw data Crude oil'!D1316</f>
        <v>86.55</v>
      </c>
      <c r="E1315">
        <f>'raw data Crude oil'!E1316</f>
        <v>85.48</v>
      </c>
      <c r="F1315">
        <f>'raw data Crude oil'!F1316</f>
        <v>84.6</v>
      </c>
      <c r="G1315">
        <f>'raw data Crude oil'!G1316</f>
        <v>83.77</v>
      </c>
      <c r="H1315">
        <f>'raw data Crude oil'!H1316</f>
        <v>82.98</v>
      </c>
      <c r="I1315">
        <f>'raw data Crude oil'!I1316</f>
        <v>82.26</v>
      </c>
      <c r="J1315">
        <f>'raw data Crude oil'!J1316</f>
        <v>81.569999999999993</v>
      </c>
      <c r="K1315">
        <f>'raw data Crude oil'!K1316</f>
        <v>80.92</v>
      </c>
      <c r="L1315">
        <f>'raw data Crude oil'!L1316</f>
        <v>80.28</v>
      </c>
      <c r="M1315">
        <f>'raw data Crude oil'!M1316</f>
        <v>79.72</v>
      </c>
      <c r="N1315">
        <f>'raw data Crude oil'!N1316</f>
        <v>88.2</v>
      </c>
      <c r="O1315">
        <f>'raw data Crude oil'!O1316</f>
        <v>86.46</v>
      </c>
      <c r="P1315">
        <f>'raw data Crude oil'!P1316</f>
        <v>85.02</v>
      </c>
      <c r="Q1315">
        <f>'raw data Crude oil'!Q1316</f>
        <v>83.72</v>
      </c>
      <c r="R1315">
        <f>'raw data Crude oil'!R1316</f>
        <v>82.56</v>
      </c>
      <c r="S1315">
        <f>'raw data Crude oil'!S1316</f>
        <v>81.52</v>
      </c>
      <c r="T1315">
        <f>'raw data Crude oil'!T1316</f>
        <v>80.58</v>
      </c>
      <c r="U1315">
        <f>'raw data Crude oil'!U1316</f>
        <v>79.709999999999994</v>
      </c>
      <c r="V1315">
        <f>'raw data Crude oil'!V1316</f>
        <v>78.930000000000007</v>
      </c>
      <c r="W1315">
        <f>'raw data Crude oil'!W1316</f>
        <v>78.19</v>
      </c>
      <c r="X1315">
        <f>'raw data Crude oil'!X1316</f>
        <v>77.45</v>
      </c>
      <c r="Y1315">
        <f>'raw data Crude oil'!Y1316</f>
        <v>76.77</v>
      </c>
      <c r="Z1315">
        <f>'raw data Crude oil'!Z1316</f>
        <v>83.454999999999998</v>
      </c>
      <c r="AA1315">
        <f>'raw data Crude oil'!AA1316</f>
        <v>87.387</v>
      </c>
      <c r="AB1315">
        <f>'raw data Crude oil'!AB1316</f>
        <v>85.587000000000003</v>
      </c>
      <c r="AC1315">
        <f>'raw data Crude oil'!AC1316</f>
        <v>84.247</v>
      </c>
      <c r="AD1315">
        <f>'raw data Crude oil'!AD1316</f>
        <v>83.13</v>
      </c>
      <c r="AE1315">
        <f>'raw data Crude oil'!AE1316</f>
        <v>82.152000000000001</v>
      </c>
      <c r="AF1315">
        <f>'raw data Crude oil'!AF1316</f>
        <v>81.301000000000002</v>
      </c>
      <c r="AG1315">
        <f>'raw data Crude oil'!AG1316</f>
        <v>80.549000000000007</v>
      </c>
      <c r="AH1315">
        <f>'raw data Crude oil'!AH1316</f>
        <v>79.828999999999994</v>
      </c>
      <c r="AI1315">
        <f>'raw data Crude oil'!AI1316</f>
        <v>79.129000000000005</v>
      </c>
      <c r="AJ1315">
        <f>'raw data Crude oil'!AJ1316</f>
        <v>78.460999999999999</v>
      </c>
      <c r="AK1315">
        <f>'raw data Crude oil'!AK1316</f>
        <v>77.787000000000006</v>
      </c>
    </row>
    <row r="1316" spans="1:37" x14ac:dyDescent="0.3">
      <c r="A1316" s="18">
        <f>'raw data Crude oil'!A1317</f>
        <v>44594</v>
      </c>
      <c r="B1316">
        <f>'raw data Crude oil'!B1317</f>
        <v>89.47</v>
      </c>
      <c r="C1316">
        <f>'raw data Crude oil'!C1317</f>
        <v>88.12</v>
      </c>
      <c r="D1316">
        <f>'raw data Crude oil'!D1317</f>
        <v>86.91</v>
      </c>
      <c r="E1316">
        <f>'raw data Crude oil'!E1317</f>
        <v>85.87</v>
      </c>
      <c r="F1316">
        <f>'raw data Crude oil'!F1317</f>
        <v>85</v>
      </c>
      <c r="G1316">
        <f>'raw data Crude oil'!G1317</f>
        <v>84.18</v>
      </c>
      <c r="H1316">
        <f>'raw data Crude oil'!H1317</f>
        <v>83.4</v>
      </c>
      <c r="I1316">
        <f>'raw data Crude oil'!I1317</f>
        <v>82.68</v>
      </c>
      <c r="J1316">
        <f>'raw data Crude oil'!J1317</f>
        <v>81.99</v>
      </c>
      <c r="K1316">
        <f>'raw data Crude oil'!K1317</f>
        <v>81.33</v>
      </c>
      <c r="L1316">
        <f>'raw data Crude oil'!L1317</f>
        <v>80.7</v>
      </c>
      <c r="M1316">
        <f>'raw data Crude oil'!M1317</f>
        <v>80.14</v>
      </c>
      <c r="N1316">
        <f>'raw data Crude oil'!N1317</f>
        <v>88.26</v>
      </c>
      <c r="O1316">
        <f>'raw data Crude oil'!O1317</f>
        <v>86.69</v>
      </c>
      <c r="P1316">
        <f>'raw data Crude oil'!P1317</f>
        <v>85.32</v>
      </c>
      <c r="Q1316">
        <f>'raw data Crude oil'!Q1317</f>
        <v>84.07</v>
      </c>
      <c r="R1316">
        <f>'raw data Crude oil'!R1317</f>
        <v>82.94</v>
      </c>
      <c r="S1316">
        <f>'raw data Crude oil'!S1317</f>
        <v>81.91</v>
      </c>
      <c r="T1316">
        <f>'raw data Crude oil'!T1317</f>
        <v>80.989999999999995</v>
      </c>
      <c r="U1316">
        <f>'raw data Crude oil'!U1317</f>
        <v>80.14</v>
      </c>
      <c r="V1316">
        <f>'raw data Crude oil'!V1317</f>
        <v>79.37</v>
      </c>
      <c r="W1316">
        <f>'raw data Crude oil'!W1317</f>
        <v>78.63</v>
      </c>
      <c r="X1316">
        <f>'raw data Crude oil'!X1317</f>
        <v>77.900000000000006</v>
      </c>
      <c r="Y1316">
        <f>'raw data Crude oil'!Y1317</f>
        <v>77.209999999999994</v>
      </c>
      <c r="Z1316">
        <f>'raw data Crude oil'!Z1317</f>
        <v>87.716999999999999</v>
      </c>
      <c r="AA1316">
        <f>'raw data Crude oil'!AA1317</f>
        <v>85.966999999999999</v>
      </c>
      <c r="AB1316">
        <f>'raw data Crude oil'!AB1317</f>
        <v>84.567999999999998</v>
      </c>
      <c r="AC1316">
        <f>'raw data Crude oil'!AC1317</f>
        <v>83.47</v>
      </c>
      <c r="AD1316">
        <f>'raw data Crude oil'!AD1317</f>
        <v>82.533000000000001</v>
      </c>
      <c r="AE1316">
        <f>'raw data Crude oil'!AE1317</f>
        <v>81.683000000000007</v>
      </c>
      <c r="AF1316">
        <f>'raw data Crude oil'!AF1317</f>
        <v>80.929000000000002</v>
      </c>
      <c r="AG1316">
        <f>'raw data Crude oil'!AG1317</f>
        <v>80.218999999999994</v>
      </c>
      <c r="AH1316">
        <f>'raw data Crude oil'!AH1317</f>
        <v>79.509</v>
      </c>
      <c r="AI1316">
        <f>'raw data Crude oil'!AI1317</f>
        <v>78.840999999999994</v>
      </c>
      <c r="AJ1316">
        <f>'raw data Crude oil'!AJ1317</f>
        <v>78.186999999999998</v>
      </c>
      <c r="AK1316">
        <f>'raw data Crude oil'!AK1317</f>
        <v>77.665999999999997</v>
      </c>
    </row>
    <row r="1317" spans="1:37" x14ac:dyDescent="0.3">
      <c r="A1317" s="18">
        <f>'raw data Crude oil'!A1318</f>
        <v>44595</v>
      </c>
      <c r="B1317">
        <f>'raw data Crude oil'!B1318</f>
        <v>91.11</v>
      </c>
      <c r="C1317">
        <f>'raw data Crude oil'!C1318</f>
        <v>89.69</v>
      </c>
      <c r="D1317">
        <f>'raw data Crude oil'!D1318</f>
        <v>88.42</v>
      </c>
      <c r="E1317">
        <f>'raw data Crude oil'!E1318</f>
        <v>87.35</v>
      </c>
      <c r="F1317">
        <f>'raw data Crude oil'!F1318</f>
        <v>86.43</v>
      </c>
      <c r="G1317">
        <f>'raw data Crude oil'!G1318</f>
        <v>85.57</v>
      </c>
      <c r="H1317">
        <f>'raw data Crude oil'!H1318</f>
        <v>84.75</v>
      </c>
      <c r="I1317">
        <f>'raw data Crude oil'!I1318</f>
        <v>83.99</v>
      </c>
      <c r="J1317">
        <f>'raw data Crude oil'!J1318</f>
        <v>83.27</v>
      </c>
      <c r="K1317">
        <f>'raw data Crude oil'!K1318</f>
        <v>82.59</v>
      </c>
      <c r="L1317">
        <f>'raw data Crude oil'!L1318</f>
        <v>81.93</v>
      </c>
      <c r="M1317">
        <f>'raw data Crude oil'!M1318</f>
        <v>81.34</v>
      </c>
      <c r="N1317">
        <f>'raw data Crude oil'!N1318</f>
        <v>90.27</v>
      </c>
      <c r="O1317">
        <f>'raw data Crude oil'!O1318</f>
        <v>88.45</v>
      </c>
      <c r="P1317">
        <f>'raw data Crude oil'!P1318</f>
        <v>87</v>
      </c>
      <c r="Q1317">
        <f>'raw data Crude oil'!Q1318</f>
        <v>85.67</v>
      </c>
      <c r="R1317">
        <f>'raw data Crude oil'!R1318</f>
        <v>84.47</v>
      </c>
      <c r="S1317">
        <f>'raw data Crude oil'!S1318</f>
        <v>83.38</v>
      </c>
      <c r="T1317">
        <f>'raw data Crude oil'!T1318</f>
        <v>82.4</v>
      </c>
      <c r="U1317">
        <f>'raw data Crude oil'!U1318</f>
        <v>81.5</v>
      </c>
      <c r="V1317">
        <f>'raw data Crude oil'!V1318</f>
        <v>80.680000000000007</v>
      </c>
      <c r="W1317">
        <f>'raw data Crude oil'!W1318</f>
        <v>79.900000000000006</v>
      </c>
      <c r="X1317">
        <f>'raw data Crude oil'!X1318</f>
        <v>79.14</v>
      </c>
      <c r="Y1317">
        <f>'raw data Crude oil'!Y1318</f>
        <v>78.41</v>
      </c>
      <c r="Z1317">
        <f>'raw data Crude oil'!Z1318</f>
        <v>89.037999999999997</v>
      </c>
      <c r="AA1317">
        <f>'raw data Crude oil'!AA1318</f>
        <v>87.441999999999993</v>
      </c>
      <c r="AB1317">
        <f>'raw data Crude oil'!AB1318</f>
        <v>86.094999999999999</v>
      </c>
      <c r="AC1317">
        <f>'raw data Crude oil'!AC1318</f>
        <v>84.998000000000005</v>
      </c>
      <c r="AD1317">
        <f>'raw data Crude oil'!AD1318</f>
        <v>84.010999999999996</v>
      </c>
      <c r="AE1317">
        <f>'raw data Crude oil'!AE1318</f>
        <v>83.120999999999995</v>
      </c>
      <c r="AF1317">
        <f>'raw data Crude oil'!AF1318</f>
        <v>82.277000000000001</v>
      </c>
      <c r="AG1317">
        <f>'raw data Crude oil'!AG1318</f>
        <v>81.527000000000001</v>
      </c>
      <c r="AH1317">
        <f>'raw data Crude oil'!AH1318</f>
        <v>80.787999999999997</v>
      </c>
      <c r="AI1317">
        <f>'raw data Crude oil'!AI1318</f>
        <v>80.099999999999994</v>
      </c>
      <c r="AJ1317">
        <f>'raw data Crude oil'!AJ1318</f>
        <v>79.414000000000001</v>
      </c>
      <c r="AK1317">
        <f>'raw data Crude oil'!AK1318</f>
        <v>78.864000000000004</v>
      </c>
    </row>
    <row r="1318" spans="1:37" x14ac:dyDescent="0.3">
      <c r="A1318" s="18">
        <f>'raw data Crude oil'!A1319</f>
        <v>44596</v>
      </c>
      <c r="B1318">
        <f>'raw data Crude oil'!B1319</f>
        <v>93.27</v>
      </c>
      <c r="C1318">
        <f>'raw data Crude oil'!C1319</f>
        <v>91.65</v>
      </c>
      <c r="D1318">
        <f>'raw data Crude oil'!D1319</f>
        <v>90.22</v>
      </c>
      <c r="E1318">
        <f>'raw data Crude oil'!E1319</f>
        <v>89.02</v>
      </c>
      <c r="F1318">
        <f>'raw data Crude oil'!F1319</f>
        <v>88</v>
      </c>
      <c r="G1318">
        <f>'raw data Crude oil'!G1319</f>
        <v>87.05</v>
      </c>
      <c r="H1318">
        <f>'raw data Crude oil'!H1319</f>
        <v>86.15</v>
      </c>
      <c r="I1318">
        <f>'raw data Crude oil'!I1319</f>
        <v>85.31</v>
      </c>
      <c r="J1318">
        <f>'raw data Crude oil'!J1319</f>
        <v>84.52</v>
      </c>
      <c r="K1318">
        <f>'raw data Crude oil'!K1319</f>
        <v>83.78</v>
      </c>
      <c r="L1318">
        <f>'raw data Crude oil'!L1319</f>
        <v>83.06</v>
      </c>
      <c r="M1318">
        <f>'raw data Crude oil'!M1319</f>
        <v>82.42</v>
      </c>
      <c r="N1318">
        <f>'raw data Crude oil'!N1319</f>
        <v>92.31</v>
      </c>
      <c r="O1318">
        <f>'raw data Crude oil'!O1319</f>
        <v>90.33</v>
      </c>
      <c r="P1318">
        <f>'raw data Crude oil'!P1319</f>
        <v>88.78</v>
      </c>
      <c r="Q1318">
        <f>'raw data Crude oil'!Q1319</f>
        <v>87.36</v>
      </c>
      <c r="R1318">
        <f>'raw data Crude oil'!R1319</f>
        <v>86.06</v>
      </c>
      <c r="S1318">
        <f>'raw data Crude oil'!S1319</f>
        <v>84.87</v>
      </c>
      <c r="T1318">
        <f>'raw data Crude oil'!T1319</f>
        <v>83.79</v>
      </c>
      <c r="U1318">
        <f>'raw data Crude oil'!U1319</f>
        <v>82.8</v>
      </c>
      <c r="V1318">
        <f>'raw data Crude oil'!V1319</f>
        <v>81.900000000000006</v>
      </c>
      <c r="W1318">
        <f>'raw data Crude oil'!W1319</f>
        <v>81.040000000000006</v>
      </c>
      <c r="X1318">
        <f>'raw data Crude oil'!X1319</f>
        <v>80.2</v>
      </c>
      <c r="Y1318">
        <f>'raw data Crude oil'!Y1319</f>
        <v>79.41</v>
      </c>
      <c r="Z1318">
        <f>'raw data Crude oil'!Z1319</f>
        <v>91.215000000000003</v>
      </c>
      <c r="AA1318">
        <f>'raw data Crude oil'!AA1319</f>
        <v>89.510999999999996</v>
      </c>
      <c r="AB1318">
        <f>'raw data Crude oil'!AB1319</f>
        <v>87.94</v>
      </c>
      <c r="AC1318">
        <f>'raw data Crude oil'!AC1319</f>
        <v>86.664000000000001</v>
      </c>
      <c r="AD1318">
        <f>'raw data Crude oil'!AD1319</f>
        <v>85.576999999999998</v>
      </c>
      <c r="AE1318">
        <f>'raw data Crude oil'!AE1319</f>
        <v>84.606999999999999</v>
      </c>
      <c r="AF1318">
        <f>'raw data Crude oil'!AF1319</f>
        <v>83.712999999999994</v>
      </c>
      <c r="AG1318">
        <f>'raw data Crude oil'!AG1319</f>
        <v>82.873999999999995</v>
      </c>
      <c r="AH1318">
        <f>'raw data Crude oil'!AH1319</f>
        <v>82.075000000000003</v>
      </c>
      <c r="AI1318">
        <f>'raw data Crude oil'!AI1319</f>
        <v>81.316999999999993</v>
      </c>
      <c r="AJ1318">
        <f>'raw data Crude oil'!AJ1319</f>
        <v>80.569000000000003</v>
      </c>
      <c r="AK1318">
        <f>'raw data Crude oil'!AK1319</f>
        <v>79.971999999999994</v>
      </c>
    </row>
    <row r="1319" spans="1:37" x14ac:dyDescent="0.3">
      <c r="A1319" s="18">
        <f>'raw data Crude oil'!A1320</f>
        <v>44599</v>
      </c>
      <c r="B1319">
        <f>'raw data Crude oil'!B1320</f>
        <v>92.69</v>
      </c>
      <c r="C1319">
        <f>'raw data Crude oil'!C1320</f>
        <v>91.23</v>
      </c>
      <c r="D1319">
        <f>'raw data Crude oil'!D1320</f>
        <v>89.89</v>
      </c>
      <c r="E1319">
        <f>'raw data Crude oil'!E1320</f>
        <v>88.75</v>
      </c>
      <c r="F1319">
        <f>'raw data Crude oil'!F1320</f>
        <v>87.82</v>
      </c>
      <c r="G1319">
        <f>'raw data Crude oil'!G1320</f>
        <v>86.93</v>
      </c>
      <c r="H1319">
        <f>'raw data Crude oil'!H1320</f>
        <v>86.09</v>
      </c>
      <c r="I1319">
        <f>'raw data Crude oil'!I1320</f>
        <v>85.3</v>
      </c>
      <c r="J1319">
        <f>'raw data Crude oil'!J1320</f>
        <v>84.55</v>
      </c>
      <c r="K1319">
        <f>'raw data Crude oil'!K1320</f>
        <v>83.85</v>
      </c>
      <c r="L1319">
        <f>'raw data Crude oil'!L1320</f>
        <v>83.16</v>
      </c>
      <c r="M1319">
        <f>'raw data Crude oil'!M1320</f>
        <v>82.56</v>
      </c>
      <c r="N1319">
        <f>'raw data Crude oil'!N1320</f>
        <v>91.32</v>
      </c>
      <c r="O1319">
        <f>'raw data Crude oil'!O1320</f>
        <v>89.77</v>
      </c>
      <c r="P1319">
        <f>'raw data Crude oil'!P1320</f>
        <v>88.33</v>
      </c>
      <c r="Q1319">
        <f>'raw data Crude oil'!Q1320</f>
        <v>87.02</v>
      </c>
      <c r="R1319">
        <f>'raw data Crude oil'!R1320</f>
        <v>85.81</v>
      </c>
      <c r="S1319">
        <f>'raw data Crude oil'!S1320</f>
        <v>84.69</v>
      </c>
      <c r="T1319">
        <f>'raw data Crude oil'!T1320</f>
        <v>83.66</v>
      </c>
      <c r="U1319">
        <f>'raw data Crude oil'!U1320</f>
        <v>82.71</v>
      </c>
      <c r="V1319">
        <f>'raw data Crude oil'!V1320</f>
        <v>81.849999999999994</v>
      </c>
      <c r="W1319">
        <f>'raw data Crude oil'!W1320</f>
        <v>81.05</v>
      </c>
      <c r="X1319">
        <f>'raw data Crude oil'!X1320</f>
        <v>80.239999999999995</v>
      </c>
      <c r="Y1319">
        <f>'raw data Crude oil'!Y1320</f>
        <v>79.489999999999995</v>
      </c>
      <c r="Z1319">
        <f>'raw data Crude oil'!Z1320</f>
        <v>90.775999999999996</v>
      </c>
      <c r="AA1319">
        <f>'raw data Crude oil'!AA1320</f>
        <v>89.022000000000006</v>
      </c>
      <c r="AB1319">
        <f>'raw data Crude oil'!AB1320</f>
        <v>87.552999999999997</v>
      </c>
      <c r="AC1319">
        <f>'raw data Crude oil'!AC1320</f>
        <v>86.370999999999995</v>
      </c>
      <c r="AD1319">
        <f>'raw data Crude oil'!AD1320</f>
        <v>85.35</v>
      </c>
      <c r="AE1319">
        <f>'raw data Crude oil'!AE1320</f>
        <v>84.438999999999993</v>
      </c>
      <c r="AF1319">
        <f>'raw data Crude oil'!AF1320</f>
        <v>83.585999999999999</v>
      </c>
      <c r="AG1319">
        <f>'raw data Crude oil'!AG1320</f>
        <v>82.775999999999996</v>
      </c>
      <c r="AH1319">
        <f>'raw data Crude oil'!AH1320</f>
        <v>81.995999999999995</v>
      </c>
      <c r="AI1319">
        <f>'raw data Crude oil'!AI1320</f>
        <v>81.248999999999995</v>
      </c>
      <c r="AJ1319">
        <f>'raw data Crude oil'!AJ1320</f>
        <v>80.552999999999997</v>
      </c>
      <c r="AK1319">
        <f>'raw data Crude oil'!AK1320</f>
        <v>79.983999999999995</v>
      </c>
    </row>
    <row r="1320" spans="1:37" x14ac:dyDescent="0.3">
      <c r="A1320" s="18">
        <f>'raw data Crude oil'!A1321</f>
        <v>44600</v>
      </c>
      <c r="B1320">
        <f>'raw data Crude oil'!B1321</f>
        <v>90.78</v>
      </c>
      <c r="C1320">
        <f>'raw data Crude oil'!C1321</f>
        <v>89.38</v>
      </c>
      <c r="D1320">
        <f>'raw data Crude oil'!D1321</f>
        <v>88.13</v>
      </c>
      <c r="E1320">
        <f>'raw data Crude oil'!E1321</f>
        <v>87.06</v>
      </c>
      <c r="F1320">
        <f>'raw data Crude oil'!F1321</f>
        <v>86.17</v>
      </c>
      <c r="G1320">
        <f>'raw data Crude oil'!G1321</f>
        <v>85.33</v>
      </c>
      <c r="H1320">
        <f>'raw data Crude oil'!H1321</f>
        <v>84.54</v>
      </c>
      <c r="I1320">
        <f>'raw data Crude oil'!I1321</f>
        <v>83.81</v>
      </c>
      <c r="J1320">
        <f>'raw data Crude oil'!J1321</f>
        <v>83.11</v>
      </c>
      <c r="K1320">
        <f>'raw data Crude oil'!K1321</f>
        <v>82.45</v>
      </c>
      <c r="L1320">
        <f>'raw data Crude oil'!L1321</f>
        <v>81.819999999999993</v>
      </c>
      <c r="M1320">
        <f>'raw data Crude oil'!M1321</f>
        <v>81.27</v>
      </c>
      <c r="N1320">
        <f>'raw data Crude oil'!N1321</f>
        <v>89.36</v>
      </c>
      <c r="O1320">
        <f>'raw data Crude oil'!O1321</f>
        <v>87.9</v>
      </c>
      <c r="P1320">
        <f>'raw data Crude oil'!P1321</f>
        <v>86.55</v>
      </c>
      <c r="Q1320">
        <f>'raw data Crude oil'!Q1321</f>
        <v>85.29</v>
      </c>
      <c r="R1320">
        <f>'raw data Crude oil'!R1321</f>
        <v>84.13</v>
      </c>
      <c r="S1320">
        <f>'raw data Crude oil'!S1321</f>
        <v>83.06</v>
      </c>
      <c r="T1320">
        <f>'raw data Crude oil'!T1321</f>
        <v>82.08</v>
      </c>
      <c r="U1320">
        <f>'raw data Crude oil'!U1321</f>
        <v>81.180000000000007</v>
      </c>
      <c r="V1320">
        <f>'raw data Crude oil'!V1321</f>
        <v>80.39</v>
      </c>
      <c r="W1320">
        <f>'raw data Crude oil'!W1321</f>
        <v>79.63</v>
      </c>
      <c r="X1320">
        <f>'raw data Crude oil'!X1321</f>
        <v>78.89</v>
      </c>
      <c r="Y1320">
        <f>'raw data Crude oil'!Y1321</f>
        <v>78.19</v>
      </c>
      <c r="Z1320">
        <f>'raw data Crude oil'!Z1321</f>
        <v>89.313999999999993</v>
      </c>
      <c r="AA1320">
        <f>'raw data Crude oil'!AA1321</f>
        <v>87.195999999999998</v>
      </c>
      <c r="AB1320">
        <f>'raw data Crude oil'!AB1321</f>
        <v>85.816999999999993</v>
      </c>
      <c r="AC1320">
        <f>'raw data Crude oil'!AC1321</f>
        <v>84.68</v>
      </c>
      <c r="AD1320">
        <f>'raw data Crude oil'!AD1321</f>
        <v>83.742000000000004</v>
      </c>
      <c r="AE1320">
        <f>'raw data Crude oil'!AE1321</f>
        <v>82.882999999999996</v>
      </c>
      <c r="AF1320">
        <f>'raw data Crude oil'!AF1321</f>
        <v>82.058000000000007</v>
      </c>
      <c r="AG1320">
        <f>'raw data Crude oil'!AG1321</f>
        <v>81.308000000000007</v>
      </c>
      <c r="AH1320">
        <f>'raw data Crude oil'!AH1321</f>
        <v>80.578999999999994</v>
      </c>
      <c r="AI1320">
        <f>'raw data Crude oil'!AI1321</f>
        <v>79.911000000000001</v>
      </c>
      <c r="AJ1320">
        <f>'raw data Crude oil'!AJ1321</f>
        <v>79.238</v>
      </c>
      <c r="AK1320">
        <f>'raw data Crude oil'!AK1321</f>
        <v>78.725999999999999</v>
      </c>
    </row>
    <row r="1321" spans="1:37" x14ac:dyDescent="0.3">
      <c r="A1321" s="18">
        <f>'raw data Crude oil'!A1322</f>
        <v>44601</v>
      </c>
      <c r="B1321">
        <f>'raw data Crude oil'!B1322</f>
        <v>91.55</v>
      </c>
      <c r="C1321">
        <f>'raw data Crude oil'!C1322</f>
        <v>90.18</v>
      </c>
      <c r="D1321">
        <f>'raw data Crude oil'!D1322</f>
        <v>88.97</v>
      </c>
      <c r="E1321">
        <f>'raw data Crude oil'!E1322</f>
        <v>87.94</v>
      </c>
      <c r="F1321">
        <f>'raw data Crude oil'!F1322</f>
        <v>87.08</v>
      </c>
      <c r="G1321">
        <f>'raw data Crude oil'!G1322</f>
        <v>86.26</v>
      </c>
      <c r="H1321">
        <f>'raw data Crude oil'!H1322</f>
        <v>85.49</v>
      </c>
      <c r="I1321">
        <f>'raw data Crude oil'!I1322</f>
        <v>84.77</v>
      </c>
      <c r="J1321">
        <f>'raw data Crude oil'!J1322</f>
        <v>84.09</v>
      </c>
      <c r="K1321">
        <f>'raw data Crude oil'!K1322</f>
        <v>83.45</v>
      </c>
      <c r="L1321">
        <f>'raw data Crude oil'!L1322</f>
        <v>82.83</v>
      </c>
      <c r="M1321">
        <f>'raw data Crude oil'!M1322</f>
        <v>82.29</v>
      </c>
      <c r="N1321">
        <f>'raw data Crude oil'!N1322</f>
        <v>89.66</v>
      </c>
      <c r="O1321">
        <f>'raw data Crude oil'!O1322</f>
        <v>88.53</v>
      </c>
      <c r="P1321">
        <f>'raw data Crude oil'!P1322</f>
        <v>87.33</v>
      </c>
      <c r="Q1321">
        <f>'raw data Crude oil'!Q1322</f>
        <v>86.15</v>
      </c>
      <c r="R1321">
        <f>'raw data Crude oil'!R1322</f>
        <v>85.03</v>
      </c>
      <c r="S1321">
        <f>'raw data Crude oil'!S1322</f>
        <v>83.98</v>
      </c>
      <c r="T1321">
        <f>'raw data Crude oil'!T1322</f>
        <v>83.02</v>
      </c>
      <c r="U1321">
        <f>'raw data Crude oil'!U1322</f>
        <v>82.15</v>
      </c>
      <c r="V1321">
        <f>'raw data Crude oil'!V1322</f>
        <v>81.349999999999994</v>
      </c>
      <c r="W1321">
        <f>'raw data Crude oil'!W1322</f>
        <v>80.61</v>
      </c>
      <c r="X1321">
        <f>'raw data Crude oil'!X1322</f>
        <v>79.87</v>
      </c>
      <c r="Y1321">
        <f>'raw data Crude oil'!Y1322</f>
        <v>79.19</v>
      </c>
      <c r="Z1321">
        <f>'raw data Crude oil'!Z1322</f>
        <v>89.974000000000004</v>
      </c>
      <c r="AA1321">
        <f>'raw data Crude oil'!AA1322</f>
        <v>88.087000000000003</v>
      </c>
      <c r="AB1321">
        <f>'raw data Crude oil'!AB1322</f>
        <v>86.728999999999999</v>
      </c>
      <c r="AC1321">
        <f>'raw data Crude oil'!AC1322</f>
        <v>85.590999999999994</v>
      </c>
      <c r="AD1321">
        <f>'raw data Crude oil'!AD1322</f>
        <v>84.643000000000001</v>
      </c>
      <c r="AE1321">
        <f>'raw data Crude oil'!AE1322</f>
        <v>83.811000000000007</v>
      </c>
      <c r="AF1321">
        <f>'raw data Crude oil'!AF1322</f>
        <v>83.049000000000007</v>
      </c>
      <c r="AG1321">
        <f>'raw data Crude oil'!AG1322</f>
        <v>82.328999999999994</v>
      </c>
      <c r="AH1321">
        <f>'raw data Crude oil'!AH1322</f>
        <v>81.62</v>
      </c>
      <c r="AI1321">
        <f>'raw data Crude oil'!AI1322</f>
        <v>80.962000000000003</v>
      </c>
      <c r="AJ1321">
        <f>'raw data Crude oil'!AJ1322</f>
        <v>80.319000000000003</v>
      </c>
      <c r="AK1321">
        <f>'raw data Crude oil'!AK1322</f>
        <v>79.837000000000003</v>
      </c>
    </row>
    <row r="1322" spans="1:37" x14ac:dyDescent="0.3">
      <c r="A1322" s="18">
        <f>'raw data Crude oil'!A1323</f>
        <v>44602</v>
      </c>
      <c r="B1322">
        <f>'raw data Crude oil'!B1323</f>
        <v>91.41</v>
      </c>
      <c r="C1322">
        <f>'raw data Crude oil'!C1323</f>
        <v>90.03</v>
      </c>
      <c r="D1322">
        <f>'raw data Crude oil'!D1323</f>
        <v>88.82</v>
      </c>
      <c r="E1322">
        <f>'raw data Crude oil'!E1323</f>
        <v>87.79</v>
      </c>
      <c r="F1322">
        <f>'raw data Crude oil'!F1323</f>
        <v>86.94</v>
      </c>
      <c r="G1322">
        <f>'raw data Crude oil'!G1323</f>
        <v>86.13</v>
      </c>
      <c r="H1322">
        <f>'raw data Crude oil'!H1323</f>
        <v>85.37</v>
      </c>
      <c r="I1322">
        <f>'raw data Crude oil'!I1323</f>
        <v>84.68</v>
      </c>
      <c r="J1322">
        <f>'raw data Crude oil'!J1323</f>
        <v>84.02</v>
      </c>
      <c r="K1322">
        <f>'raw data Crude oil'!K1323</f>
        <v>83.38</v>
      </c>
      <c r="L1322">
        <f>'raw data Crude oil'!L1323</f>
        <v>82.77</v>
      </c>
      <c r="M1322">
        <f>'raw data Crude oil'!M1323</f>
        <v>82.24</v>
      </c>
      <c r="N1322">
        <f>'raw data Crude oil'!N1323</f>
        <v>89.88</v>
      </c>
      <c r="O1322">
        <f>'raw data Crude oil'!O1323</f>
        <v>88.56</v>
      </c>
      <c r="P1322">
        <f>'raw data Crude oil'!P1323</f>
        <v>87.26</v>
      </c>
      <c r="Q1322">
        <f>'raw data Crude oil'!Q1323</f>
        <v>86.01</v>
      </c>
      <c r="R1322">
        <f>'raw data Crude oil'!R1323</f>
        <v>84.85</v>
      </c>
      <c r="S1322">
        <f>'raw data Crude oil'!S1323</f>
        <v>83.79</v>
      </c>
      <c r="T1322">
        <f>'raw data Crude oil'!T1323</f>
        <v>82.84</v>
      </c>
      <c r="U1322">
        <f>'raw data Crude oil'!U1323</f>
        <v>81.99</v>
      </c>
      <c r="V1322">
        <f>'raw data Crude oil'!V1323</f>
        <v>81.22</v>
      </c>
      <c r="W1322">
        <f>'raw data Crude oil'!W1323</f>
        <v>80.5</v>
      </c>
      <c r="X1322">
        <f>'raw data Crude oil'!X1323</f>
        <v>79.8</v>
      </c>
      <c r="Y1322">
        <f>'raw data Crude oil'!Y1323</f>
        <v>79.14</v>
      </c>
      <c r="Z1322">
        <f>'raw data Crude oil'!Z1323</f>
        <v>90</v>
      </c>
      <c r="AA1322">
        <f>'raw data Crude oil'!AA1323</f>
        <v>88.087000000000003</v>
      </c>
      <c r="AB1322">
        <f>'raw data Crude oil'!AB1323</f>
        <v>86.688999999999993</v>
      </c>
      <c r="AC1322">
        <f>'raw data Crude oil'!AC1323</f>
        <v>85.501000000000005</v>
      </c>
      <c r="AD1322">
        <f>'raw data Crude oil'!AD1323</f>
        <v>84.563000000000002</v>
      </c>
      <c r="AE1322">
        <f>'raw data Crude oil'!AE1323</f>
        <v>83.713999999999999</v>
      </c>
      <c r="AF1322">
        <f>'raw data Crude oil'!AF1323</f>
        <v>82.95</v>
      </c>
      <c r="AG1322">
        <f>'raw data Crude oil'!AG1323</f>
        <v>82.25</v>
      </c>
      <c r="AH1322">
        <f>'raw data Crude oil'!AH1323</f>
        <v>81.540000000000006</v>
      </c>
      <c r="AI1322">
        <f>'raw data Crude oil'!AI1323</f>
        <v>80.902000000000001</v>
      </c>
      <c r="AJ1322">
        <f>'raw data Crude oil'!AJ1323</f>
        <v>80.27</v>
      </c>
      <c r="AK1322">
        <f>'raw data Crude oil'!AK1323</f>
        <v>79.796999999999997</v>
      </c>
    </row>
    <row r="1323" spans="1:37" x14ac:dyDescent="0.3">
      <c r="A1323" s="18">
        <f>'raw data Crude oil'!A1324</f>
        <v>44603</v>
      </c>
      <c r="B1323">
        <f>'raw data Crude oil'!B1324</f>
        <v>94.44</v>
      </c>
      <c r="C1323">
        <f>'raw data Crude oil'!C1324</f>
        <v>92.62</v>
      </c>
      <c r="D1323">
        <f>'raw data Crude oil'!D1324</f>
        <v>91.05</v>
      </c>
      <c r="E1323">
        <f>'raw data Crude oil'!E1324</f>
        <v>89.81</v>
      </c>
      <c r="F1323">
        <f>'raw data Crude oil'!F1324</f>
        <v>88.8</v>
      </c>
      <c r="G1323">
        <f>'raw data Crude oil'!G1324</f>
        <v>87.87</v>
      </c>
      <c r="H1323">
        <f>'raw data Crude oil'!H1324</f>
        <v>87</v>
      </c>
      <c r="I1323">
        <f>'raw data Crude oil'!I1324</f>
        <v>86.23</v>
      </c>
      <c r="J1323">
        <f>'raw data Crude oil'!J1324</f>
        <v>85.5</v>
      </c>
      <c r="K1323">
        <f>'raw data Crude oil'!K1324</f>
        <v>84.81</v>
      </c>
      <c r="L1323">
        <f>'raw data Crude oil'!L1324</f>
        <v>84.14</v>
      </c>
      <c r="M1323">
        <f>'raw data Crude oil'!M1324</f>
        <v>83.56</v>
      </c>
      <c r="N1323">
        <f>'raw data Crude oil'!N1324</f>
        <v>93.1</v>
      </c>
      <c r="O1323">
        <f>'raw data Crude oil'!O1324</f>
        <v>91.42</v>
      </c>
      <c r="P1323">
        <f>'raw data Crude oil'!P1324</f>
        <v>89.7</v>
      </c>
      <c r="Q1323">
        <f>'raw data Crude oil'!Q1324</f>
        <v>88.09</v>
      </c>
      <c r="R1323">
        <f>'raw data Crude oil'!R1324</f>
        <v>86.7</v>
      </c>
      <c r="S1323">
        <f>'raw data Crude oil'!S1324</f>
        <v>85.51</v>
      </c>
      <c r="T1323">
        <f>'raw data Crude oil'!T1324</f>
        <v>84.47</v>
      </c>
      <c r="U1323">
        <f>'raw data Crude oil'!U1324</f>
        <v>83.52</v>
      </c>
      <c r="V1323">
        <f>'raw data Crude oil'!V1324</f>
        <v>82.69</v>
      </c>
      <c r="W1323">
        <f>'raw data Crude oil'!W1324</f>
        <v>81.92</v>
      </c>
      <c r="X1323">
        <f>'raw data Crude oil'!X1324</f>
        <v>81.17</v>
      </c>
      <c r="Y1323">
        <f>'raw data Crude oil'!Y1324</f>
        <v>80.47</v>
      </c>
      <c r="Z1323">
        <f>'raw data Crude oil'!Z1324</f>
        <v>91.647000000000006</v>
      </c>
      <c r="AA1323">
        <f>'raw data Crude oil'!AA1324</f>
        <v>90.772000000000006</v>
      </c>
      <c r="AB1323">
        <f>'raw data Crude oil'!AB1324</f>
        <v>89.048000000000002</v>
      </c>
      <c r="AC1323">
        <f>'raw data Crude oil'!AC1324</f>
        <v>87.634</v>
      </c>
      <c r="AD1323">
        <f>'raw data Crude oil'!AD1324</f>
        <v>86.507999999999996</v>
      </c>
      <c r="AE1323">
        <f>'raw data Crude oil'!AE1324</f>
        <v>85.519000000000005</v>
      </c>
      <c r="AF1323">
        <f>'raw data Crude oil'!AF1324</f>
        <v>84.667000000000002</v>
      </c>
      <c r="AG1323">
        <f>'raw data Crude oil'!AG1324</f>
        <v>83.887</v>
      </c>
      <c r="AH1323">
        <f>'raw data Crude oil'!AH1324</f>
        <v>83.117000000000004</v>
      </c>
      <c r="AI1323">
        <f>'raw data Crude oil'!AI1324</f>
        <v>82.41</v>
      </c>
      <c r="AJ1323">
        <f>'raw data Crude oil'!AJ1324</f>
        <v>81.694999999999993</v>
      </c>
      <c r="AK1323">
        <f>'raw data Crude oil'!AK1324</f>
        <v>81.165000000000006</v>
      </c>
    </row>
    <row r="1324" spans="1:37" x14ac:dyDescent="0.3">
      <c r="A1324" s="18">
        <f>'raw data Crude oil'!A1325</f>
        <v>44606</v>
      </c>
      <c r="B1324">
        <f>'raw data Crude oil'!B1325</f>
        <v>96.48</v>
      </c>
      <c r="C1324">
        <f>'raw data Crude oil'!C1325</f>
        <v>94.41</v>
      </c>
      <c r="D1324">
        <f>'raw data Crude oil'!D1325</f>
        <v>92.59</v>
      </c>
      <c r="E1324">
        <f>'raw data Crude oil'!E1325</f>
        <v>91.15</v>
      </c>
      <c r="F1324">
        <f>'raw data Crude oil'!F1325</f>
        <v>90.01</v>
      </c>
      <c r="G1324">
        <f>'raw data Crude oil'!G1325</f>
        <v>88.96</v>
      </c>
      <c r="H1324">
        <f>'raw data Crude oil'!H1325</f>
        <v>88.01</v>
      </c>
      <c r="I1324">
        <f>'raw data Crude oil'!I1325</f>
        <v>87.17</v>
      </c>
      <c r="J1324">
        <f>'raw data Crude oil'!J1325</f>
        <v>86.38</v>
      </c>
      <c r="K1324">
        <f>'raw data Crude oil'!K1325</f>
        <v>85.63</v>
      </c>
      <c r="L1324">
        <f>'raw data Crude oil'!L1325</f>
        <v>84.92</v>
      </c>
      <c r="M1324">
        <f>'raw data Crude oil'!M1325</f>
        <v>84.28</v>
      </c>
      <c r="N1324">
        <f>'raw data Crude oil'!N1325</f>
        <v>95.46</v>
      </c>
      <c r="O1324">
        <f>'raw data Crude oil'!O1325</f>
        <v>93.5</v>
      </c>
      <c r="P1324">
        <f>'raw data Crude oil'!P1325</f>
        <v>91.52</v>
      </c>
      <c r="Q1324">
        <f>'raw data Crude oil'!Q1325</f>
        <v>89.6</v>
      </c>
      <c r="R1324">
        <f>'raw data Crude oil'!R1325</f>
        <v>87.94</v>
      </c>
      <c r="S1324">
        <f>'raw data Crude oil'!S1325</f>
        <v>86.59</v>
      </c>
      <c r="T1324">
        <f>'raw data Crude oil'!T1325</f>
        <v>85.45</v>
      </c>
      <c r="U1324">
        <f>'raw data Crude oil'!U1325</f>
        <v>84.43</v>
      </c>
      <c r="V1324">
        <f>'raw data Crude oil'!V1325</f>
        <v>83.53</v>
      </c>
      <c r="W1324">
        <f>'raw data Crude oil'!W1325</f>
        <v>82.7</v>
      </c>
      <c r="X1324">
        <f>'raw data Crude oil'!X1325</f>
        <v>81.89</v>
      </c>
      <c r="Y1324">
        <f>'raw data Crude oil'!Y1325</f>
        <v>81.13</v>
      </c>
      <c r="Z1324">
        <f>'raw data Crude oil'!Z1325</f>
        <v>92.495999999999995</v>
      </c>
      <c r="AA1324">
        <f>'raw data Crude oil'!AA1325</f>
        <v>92.301000000000002</v>
      </c>
      <c r="AB1324">
        <f>'raw data Crude oil'!AB1325</f>
        <v>90.528000000000006</v>
      </c>
      <c r="AC1324">
        <f>'raw data Crude oil'!AC1325</f>
        <v>88.998000000000005</v>
      </c>
      <c r="AD1324">
        <f>'raw data Crude oil'!AD1325</f>
        <v>87.701999999999998</v>
      </c>
      <c r="AE1324">
        <f>'raw data Crude oil'!AE1325</f>
        <v>86.61</v>
      </c>
      <c r="AF1324">
        <f>'raw data Crude oil'!AF1325</f>
        <v>85.673000000000002</v>
      </c>
      <c r="AG1324">
        <f>'raw data Crude oil'!AG1325</f>
        <v>84.834000000000003</v>
      </c>
      <c r="AH1324">
        <f>'raw data Crude oil'!AH1325</f>
        <v>84.034000000000006</v>
      </c>
      <c r="AI1324">
        <f>'raw data Crude oil'!AI1325</f>
        <v>83.278000000000006</v>
      </c>
      <c r="AJ1324">
        <f>'raw data Crude oil'!AJ1325</f>
        <v>82.528999999999996</v>
      </c>
      <c r="AK1324">
        <f>'raw data Crude oil'!AK1325</f>
        <v>81.912999999999997</v>
      </c>
    </row>
    <row r="1325" spans="1:37" x14ac:dyDescent="0.3">
      <c r="A1325" s="18">
        <f>'raw data Crude oil'!A1326</f>
        <v>44607</v>
      </c>
      <c r="B1325">
        <f>'raw data Crude oil'!B1326</f>
        <v>93.28</v>
      </c>
      <c r="C1325">
        <f>'raw data Crude oil'!C1326</f>
        <v>91.1</v>
      </c>
      <c r="D1325">
        <f>'raw data Crude oil'!D1326</f>
        <v>89.29</v>
      </c>
      <c r="E1325">
        <f>'raw data Crude oil'!E1326</f>
        <v>87.89</v>
      </c>
      <c r="F1325">
        <f>'raw data Crude oil'!F1326</f>
        <v>86.83</v>
      </c>
      <c r="G1325">
        <f>'raw data Crude oil'!G1326</f>
        <v>85.88</v>
      </c>
      <c r="H1325">
        <f>'raw data Crude oil'!H1326</f>
        <v>85.02</v>
      </c>
      <c r="I1325">
        <f>'raw data Crude oil'!I1326</f>
        <v>84.26</v>
      </c>
      <c r="J1325">
        <f>'raw data Crude oil'!J1326</f>
        <v>83.55</v>
      </c>
      <c r="K1325">
        <f>'raw data Crude oil'!K1326</f>
        <v>82.86</v>
      </c>
      <c r="L1325">
        <f>'raw data Crude oil'!L1326</f>
        <v>82.21</v>
      </c>
      <c r="M1325">
        <f>'raw data Crude oil'!M1326</f>
        <v>81.650000000000006</v>
      </c>
      <c r="N1325">
        <f>'raw data Crude oil'!N1326</f>
        <v>92.07</v>
      </c>
      <c r="O1325">
        <f>'raw data Crude oil'!O1326</f>
        <v>90.21</v>
      </c>
      <c r="P1325">
        <f>'raw data Crude oil'!P1326</f>
        <v>88.29</v>
      </c>
      <c r="Q1325">
        <f>'raw data Crude oil'!Q1326</f>
        <v>86.39</v>
      </c>
      <c r="R1325">
        <f>'raw data Crude oil'!R1326</f>
        <v>84.79</v>
      </c>
      <c r="S1325">
        <f>'raw data Crude oil'!S1326</f>
        <v>83.49</v>
      </c>
      <c r="T1325">
        <f>'raw data Crude oil'!T1326</f>
        <v>82.43</v>
      </c>
      <c r="U1325">
        <f>'raw data Crude oil'!U1326</f>
        <v>81.5</v>
      </c>
      <c r="V1325">
        <f>'raw data Crude oil'!V1326</f>
        <v>80.680000000000007</v>
      </c>
      <c r="W1325">
        <f>'raw data Crude oil'!W1326</f>
        <v>79.91</v>
      </c>
      <c r="X1325">
        <f>'raw data Crude oil'!X1326</f>
        <v>79.16</v>
      </c>
      <c r="Y1325">
        <f>'raw data Crude oil'!Y1326</f>
        <v>78.459999999999994</v>
      </c>
      <c r="Z1325">
        <f>'raw data Crude oil'!Z1326</f>
        <v>90.894999999999996</v>
      </c>
      <c r="AA1325">
        <f>'raw data Crude oil'!AA1326</f>
        <v>89.191000000000003</v>
      </c>
      <c r="AB1325">
        <f>'raw data Crude oil'!AB1326</f>
        <v>87.38</v>
      </c>
      <c r="AC1325">
        <f>'raw data Crude oil'!AC1326</f>
        <v>85.861999999999995</v>
      </c>
      <c r="AD1325">
        <f>'raw data Crude oil'!AD1326</f>
        <v>84.626999999999995</v>
      </c>
      <c r="AE1325">
        <f>'raw data Crude oil'!AE1326</f>
        <v>83.599000000000004</v>
      </c>
      <c r="AF1325">
        <f>'raw data Crude oil'!AF1326</f>
        <v>82.686999999999998</v>
      </c>
      <c r="AG1325">
        <f>'raw data Crude oil'!AG1326</f>
        <v>81.927999999999997</v>
      </c>
      <c r="AH1325">
        <f>'raw data Crude oil'!AH1326</f>
        <v>81.206999999999994</v>
      </c>
      <c r="AI1325">
        <f>'raw data Crude oil'!AI1326</f>
        <v>80.510000000000005</v>
      </c>
      <c r="AJ1325">
        <f>'raw data Crude oil'!AJ1326</f>
        <v>79.826999999999998</v>
      </c>
      <c r="AK1325">
        <f>'raw data Crude oil'!AK1326</f>
        <v>79.305000000000007</v>
      </c>
    </row>
    <row r="1326" spans="1:37" x14ac:dyDescent="0.3">
      <c r="A1326" s="18">
        <f>'raw data Crude oil'!A1327</f>
        <v>44608</v>
      </c>
      <c r="B1326">
        <f>'raw data Crude oil'!B1327</f>
        <v>94.81</v>
      </c>
      <c r="C1326">
        <f>'raw data Crude oil'!C1327</f>
        <v>92.49</v>
      </c>
      <c r="D1326">
        <f>'raw data Crude oil'!D1327</f>
        <v>90.61</v>
      </c>
      <c r="E1326">
        <f>'raw data Crude oil'!E1327</f>
        <v>89.07</v>
      </c>
      <c r="F1326">
        <f>'raw data Crude oil'!F1327</f>
        <v>87.87</v>
      </c>
      <c r="G1326">
        <f>'raw data Crude oil'!G1327</f>
        <v>86.82</v>
      </c>
      <c r="H1326">
        <f>'raw data Crude oil'!H1327</f>
        <v>85.93</v>
      </c>
      <c r="I1326">
        <f>'raw data Crude oil'!I1327</f>
        <v>85.17</v>
      </c>
      <c r="J1326">
        <f>'raw data Crude oil'!J1327</f>
        <v>84.46</v>
      </c>
      <c r="K1326">
        <f>'raw data Crude oil'!K1327</f>
        <v>83.77</v>
      </c>
      <c r="L1326">
        <f>'raw data Crude oil'!L1327</f>
        <v>83.12</v>
      </c>
      <c r="M1326">
        <f>'raw data Crude oil'!M1327</f>
        <v>82.54</v>
      </c>
      <c r="N1326">
        <f>'raw data Crude oil'!N1327</f>
        <v>93.66</v>
      </c>
      <c r="O1326">
        <f>'raw data Crude oil'!O1327</f>
        <v>91.83</v>
      </c>
      <c r="P1326">
        <f>'raw data Crude oil'!P1327</f>
        <v>89.81</v>
      </c>
      <c r="Q1326">
        <f>'raw data Crude oil'!Q1327</f>
        <v>87.79</v>
      </c>
      <c r="R1326">
        <f>'raw data Crude oil'!R1327</f>
        <v>86.05</v>
      </c>
      <c r="S1326">
        <f>'raw data Crude oil'!S1327</f>
        <v>84.62</v>
      </c>
      <c r="T1326">
        <f>'raw data Crude oil'!T1327</f>
        <v>83.45</v>
      </c>
      <c r="U1326">
        <f>'raw data Crude oil'!U1327</f>
        <v>82.45</v>
      </c>
      <c r="V1326">
        <f>'raw data Crude oil'!V1327</f>
        <v>81.59</v>
      </c>
      <c r="W1326">
        <f>'raw data Crude oil'!W1327</f>
        <v>80.819999999999993</v>
      </c>
      <c r="X1326">
        <f>'raw data Crude oil'!X1327</f>
        <v>80.05</v>
      </c>
      <c r="Y1326">
        <f>'raw data Crude oil'!Y1327</f>
        <v>79.349999999999994</v>
      </c>
      <c r="Z1326">
        <f>'raw data Crude oil'!Z1327</f>
        <v>91.611000000000004</v>
      </c>
      <c r="AA1326">
        <f>'raw data Crude oil'!AA1327</f>
        <v>90.558000000000007</v>
      </c>
      <c r="AB1326">
        <f>'raw data Crude oil'!AB1327</f>
        <v>88.613</v>
      </c>
      <c r="AC1326">
        <f>'raw data Crude oil'!AC1327</f>
        <v>86.954999999999998</v>
      </c>
      <c r="AD1326">
        <f>'raw data Crude oil'!AD1327</f>
        <v>85.611999999999995</v>
      </c>
      <c r="AE1326">
        <f>'raw data Crude oil'!AE1327</f>
        <v>84.498000000000005</v>
      </c>
      <c r="AF1326">
        <f>'raw data Crude oil'!AF1327</f>
        <v>83.566999999999993</v>
      </c>
      <c r="AG1326">
        <f>'raw data Crude oil'!AG1327</f>
        <v>82.828000000000003</v>
      </c>
      <c r="AH1326">
        <f>'raw data Crude oil'!AH1327</f>
        <v>82.117000000000004</v>
      </c>
      <c r="AI1326">
        <f>'raw data Crude oil'!AI1327</f>
        <v>81.41</v>
      </c>
      <c r="AJ1326">
        <f>'raw data Crude oil'!AJ1327</f>
        <v>80.704999999999998</v>
      </c>
      <c r="AK1326">
        <f>'raw data Crude oil'!AK1327</f>
        <v>80.194999999999993</v>
      </c>
    </row>
    <row r="1327" spans="1:37" x14ac:dyDescent="0.3">
      <c r="A1327" s="18">
        <f>'raw data Crude oil'!A1328</f>
        <v>44609</v>
      </c>
      <c r="B1327">
        <f>'raw data Crude oil'!B1328</f>
        <v>92.97</v>
      </c>
      <c r="C1327">
        <f>'raw data Crude oil'!C1328</f>
        <v>90.81</v>
      </c>
      <c r="D1327">
        <f>'raw data Crude oil'!D1328</f>
        <v>89.08</v>
      </c>
      <c r="E1327">
        <f>'raw data Crude oil'!E1328</f>
        <v>87.69</v>
      </c>
      <c r="F1327">
        <f>'raw data Crude oil'!F1328</f>
        <v>86.62</v>
      </c>
      <c r="G1327">
        <f>'raw data Crude oil'!G1328</f>
        <v>85.69</v>
      </c>
      <c r="H1327">
        <f>'raw data Crude oil'!H1328</f>
        <v>84.88</v>
      </c>
      <c r="I1327">
        <f>'raw data Crude oil'!I1328</f>
        <v>84.19</v>
      </c>
      <c r="J1327">
        <f>'raw data Crude oil'!J1328</f>
        <v>83.54</v>
      </c>
      <c r="K1327">
        <f>'raw data Crude oil'!K1328</f>
        <v>82.92</v>
      </c>
      <c r="L1327">
        <f>'raw data Crude oil'!L1328</f>
        <v>82.32</v>
      </c>
      <c r="M1327">
        <f>'raw data Crude oil'!M1328</f>
        <v>81.790000000000006</v>
      </c>
      <c r="N1327">
        <f>'raw data Crude oil'!N1328</f>
        <v>91.76</v>
      </c>
      <c r="O1327">
        <f>'raw data Crude oil'!O1328</f>
        <v>90.04</v>
      </c>
      <c r="P1327">
        <f>'raw data Crude oil'!P1328</f>
        <v>88.19</v>
      </c>
      <c r="Q1327">
        <f>'raw data Crude oil'!Q1328</f>
        <v>86.35</v>
      </c>
      <c r="R1327">
        <f>'raw data Crude oil'!R1328</f>
        <v>84.77</v>
      </c>
      <c r="S1327">
        <f>'raw data Crude oil'!S1328</f>
        <v>83.47</v>
      </c>
      <c r="T1327">
        <f>'raw data Crude oil'!T1328</f>
        <v>82.4</v>
      </c>
      <c r="U1327">
        <f>'raw data Crude oil'!U1328</f>
        <v>81.489999999999995</v>
      </c>
      <c r="V1327">
        <f>'raw data Crude oil'!V1328</f>
        <v>80.7</v>
      </c>
      <c r="W1327">
        <f>'raw data Crude oil'!W1328</f>
        <v>79.97</v>
      </c>
      <c r="X1327">
        <f>'raw data Crude oil'!X1328</f>
        <v>79.260000000000005</v>
      </c>
      <c r="Y1327">
        <f>'raw data Crude oil'!Y1328</f>
        <v>78.61</v>
      </c>
      <c r="Z1327">
        <f>'raw data Crude oil'!Z1328</f>
        <v>90.805999999999997</v>
      </c>
      <c r="AA1327">
        <f>'raw data Crude oil'!AA1328</f>
        <v>88.734999999999999</v>
      </c>
      <c r="AB1327">
        <f>'raw data Crude oil'!AB1328</f>
        <v>86.811000000000007</v>
      </c>
      <c r="AC1327">
        <f>'raw data Crude oil'!AC1328</f>
        <v>85.290999999999997</v>
      </c>
      <c r="AD1327">
        <f>'raw data Crude oil'!AD1328</f>
        <v>84.117999999999995</v>
      </c>
      <c r="AE1327">
        <f>'raw data Crude oil'!AE1328</f>
        <v>83.161000000000001</v>
      </c>
      <c r="AF1327">
        <f>'raw data Crude oil'!AF1328</f>
        <v>82.32</v>
      </c>
      <c r="AG1327">
        <f>'raw data Crude oil'!AG1328</f>
        <v>81.61</v>
      </c>
      <c r="AH1327">
        <f>'raw data Crude oil'!AH1328</f>
        <v>80.98</v>
      </c>
      <c r="AI1327">
        <f>'raw data Crude oil'!AI1328</f>
        <v>80.343000000000004</v>
      </c>
      <c r="AJ1327">
        <f>'raw data Crude oil'!AJ1328</f>
        <v>79.73</v>
      </c>
      <c r="AK1327">
        <f>'raw data Crude oil'!AK1328</f>
        <v>79.236999999999995</v>
      </c>
    </row>
    <row r="1328" spans="1:37" x14ac:dyDescent="0.3">
      <c r="A1328" s="18">
        <f>'raw data Crude oil'!A1329</f>
        <v>44610</v>
      </c>
      <c r="B1328">
        <f>'raw data Crude oil'!B1329</f>
        <v>93.54</v>
      </c>
      <c r="C1328">
        <f>'raw data Crude oil'!C1329</f>
        <v>91.39</v>
      </c>
      <c r="D1328">
        <f>'raw data Crude oil'!D1329</f>
        <v>89.69</v>
      </c>
      <c r="E1328">
        <f>'raw data Crude oil'!E1329</f>
        <v>88.35</v>
      </c>
      <c r="F1328">
        <f>'raw data Crude oil'!F1329</f>
        <v>87.31</v>
      </c>
      <c r="G1328">
        <f>'raw data Crude oil'!G1329</f>
        <v>86.4</v>
      </c>
      <c r="H1328">
        <f>'raw data Crude oil'!H1329</f>
        <v>85.6</v>
      </c>
      <c r="I1328">
        <f>'raw data Crude oil'!I1329</f>
        <v>84.91</v>
      </c>
      <c r="J1328">
        <f>'raw data Crude oil'!J1329</f>
        <v>84.25</v>
      </c>
      <c r="K1328">
        <f>'raw data Crude oil'!K1329</f>
        <v>83.61</v>
      </c>
      <c r="L1328">
        <f>'raw data Crude oil'!L1329</f>
        <v>83</v>
      </c>
      <c r="M1328">
        <f>'raw data Crude oil'!M1329</f>
        <v>82.46</v>
      </c>
      <c r="N1328">
        <f>'raw data Crude oil'!N1329</f>
        <v>91.07</v>
      </c>
      <c r="O1328">
        <f>'raw data Crude oil'!O1329</f>
        <v>90.21</v>
      </c>
      <c r="P1328">
        <f>'raw data Crude oil'!P1329</f>
        <v>88.6</v>
      </c>
      <c r="Q1328">
        <f>'raw data Crude oil'!Q1329</f>
        <v>86.92</v>
      </c>
      <c r="R1328">
        <f>'raw data Crude oil'!R1329</f>
        <v>85.42</v>
      </c>
      <c r="S1328">
        <f>'raw data Crude oil'!S1329</f>
        <v>84.18</v>
      </c>
      <c r="T1328">
        <f>'raw data Crude oil'!T1329</f>
        <v>83.14</v>
      </c>
      <c r="U1328">
        <f>'raw data Crude oil'!U1329</f>
        <v>82.25</v>
      </c>
      <c r="V1328">
        <f>'raw data Crude oil'!V1329</f>
        <v>81.47</v>
      </c>
      <c r="W1328">
        <f>'raw data Crude oil'!W1329</f>
        <v>80.739999999999995</v>
      </c>
      <c r="X1328">
        <f>'raw data Crude oil'!X1329</f>
        <v>80.02</v>
      </c>
      <c r="Y1328">
        <f>'raw data Crude oil'!Y1329</f>
        <v>79.349999999999994</v>
      </c>
      <c r="Z1328">
        <f>'raw data Crude oil'!Z1329</f>
        <v>91.091999999999999</v>
      </c>
      <c r="AA1328">
        <f>'raw data Crude oil'!AA1329</f>
        <v>89.445999999999998</v>
      </c>
      <c r="AB1328">
        <f>'raw data Crude oil'!AB1329</f>
        <v>87.393000000000001</v>
      </c>
      <c r="AC1328">
        <f>'raw data Crude oil'!AC1329</f>
        <v>85.903000000000006</v>
      </c>
      <c r="AD1328">
        <f>'raw data Crude oil'!AD1329</f>
        <v>84.769000000000005</v>
      </c>
      <c r="AE1328">
        <f>'raw data Crude oil'!AE1329</f>
        <v>83.772000000000006</v>
      </c>
      <c r="AF1328">
        <f>'raw data Crude oil'!AF1329</f>
        <v>82.97</v>
      </c>
      <c r="AG1328">
        <f>'raw data Crude oil'!AG1329</f>
        <v>82.29</v>
      </c>
      <c r="AH1328">
        <f>'raw data Crude oil'!AH1329</f>
        <v>81.64</v>
      </c>
      <c r="AI1328">
        <f>'raw data Crude oil'!AI1329</f>
        <v>80.992000000000004</v>
      </c>
      <c r="AJ1328">
        <f>'raw data Crude oil'!AJ1329</f>
        <v>80.369</v>
      </c>
      <c r="AK1328">
        <f>'raw data Crude oil'!AK1329</f>
        <v>79.887</v>
      </c>
    </row>
    <row r="1329" spans="1:37" x14ac:dyDescent="0.3">
      <c r="A1329" s="18">
        <f>'raw data Crude oil'!A1330</f>
        <v>44613</v>
      </c>
      <c r="B1329">
        <f>'raw data Crude oil'!B1330</f>
        <v>95.39</v>
      </c>
      <c r="C1329">
        <f>'raw data Crude oil'!C1330</f>
        <v>92.99</v>
      </c>
      <c r="D1329">
        <f>'raw data Crude oil'!D1330</f>
        <v>91.17</v>
      </c>
      <c r="E1329">
        <f>'raw data Crude oil'!E1330</f>
        <v>89.74</v>
      </c>
      <c r="F1329">
        <f>'raw data Crude oil'!F1330</f>
        <v>88.65</v>
      </c>
      <c r="G1329">
        <f>'raw data Crude oil'!G1330</f>
        <v>87.71</v>
      </c>
      <c r="H1329">
        <f>'raw data Crude oil'!H1330</f>
        <v>86.88</v>
      </c>
      <c r="I1329">
        <f>'raw data Crude oil'!I1330</f>
        <v>86.15</v>
      </c>
      <c r="J1329">
        <f>'raw data Crude oil'!J1330</f>
        <v>85.47</v>
      </c>
      <c r="K1329">
        <f>'raw data Crude oil'!K1330</f>
        <v>84.82</v>
      </c>
      <c r="L1329">
        <f>'raw data Crude oil'!L1330</f>
        <v>84.2</v>
      </c>
      <c r="M1329">
        <f>'raw data Crude oil'!M1330</f>
        <v>83.64</v>
      </c>
      <c r="N1329">
        <f>'raw data Crude oil'!N1330</f>
        <v>91.07</v>
      </c>
      <c r="O1329">
        <f>'raw data Crude oil'!O1330</f>
        <v>90.21</v>
      </c>
      <c r="P1329">
        <f>'raw data Crude oil'!P1330</f>
        <v>88.6</v>
      </c>
      <c r="Q1329">
        <f>'raw data Crude oil'!Q1330</f>
        <v>86.92</v>
      </c>
      <c r="R1329">
        <f>'raw data Crude oil'!R1330</f>
        <v>85.42</v>
      </c>
      <c r="S1329">
        <f>'raw data Crude oil'!S1330</f>
        <v>84.18</v>
      </c>
      <c r="T1329">
        <f>'raw data Crude oil'!T1330</f>
        <v>83.14</v>
      </c>
      <c r="U1329">
        <f>'raw data Crude oil'!U1330</f>
        <v>82.25</v>
      </c>
      <c r="V1329">
        <f>'raw data Crude oil'!V1330</f>
        <v>81.47</v>
      </c>
      <c r="W1329">
        <f>'raw data Crude oil'!W1330</f>
        <v>80.739999999999995</v>
      </c>
      <c r="X1329">
        <f>'raw data Crude oil'!X1330</f>
        <v>80.02</v>
      </c>
      <c r="Y1329">
        <f>'raw data Crude oil'!Y1330</f>
        <v>79.349999999999994</v>
      </c>
      <c r="Z1329">
        <f>'raw data Crude oil'!Z1330</f>
        <v>91.555999999999997</v>
      </c>
      <c r="AA1329">
        <f>'raw data Crude oil'!AA1330</f>
        <v>91.162999999999997</v>
      </c>
      <c r="AB1329">
        <f>'raw data Crude oil'!AB1330</f>
        <v>88.914000000000001</v>
      </c>
      <c r="AC1329">
        <f>'raw data Crude oil'!AC1330</f>
        <v>87.28</v>
      </c>
      <c r="AD1329">
        <f>'raw data Crude oil'!AD1330</f>
        <v>86.057000000000002</v>
      </c>
      <c r="AE1329">
        <f>'raw data Crude oil'!AE1330</f>
        <v>85.04</v>
      </c>
      <c r="AF1329">
        <f>'raw data Crude oil'!AF1330</f>
        <v>84.227999999999994</v>
      </c>
      <c r="AG1329">
        <f>'raw data Crude oil'!AG1330</f>
        <v>83.519000000000005</v>
      </c>
      <c r="AH1329">
        <f>'raw data Crude oil'!AH1330</f>
        <v>82.838999999999999</v>
      </c>
      <c r="AI1329">
        <f>'raw data Crude oil'!AI1330</f>
        <v>82.182000000000002</v>
      </c>
      <c r="AJ1329">
        <f>'raw data Crude oil'!AJ1330</f>
        <v>81.546999999999997</v>
      </c>
      <c r="AK1329">
        <f>'raw data Crude oil'!AK1330</f>
        <v>81.046000000000006</v>
      </c>
    </row>
    <row r="1330" spans="1:37" x14ac:dyDescent="0.3">
      <c r="A1330" s="18">
        <f>'raw data Crude oil'!A1331</f>
        <v>44614</v>
      </c>
      <c r="B1330">
        <f>'raw data Crude oil'!B1331</f>
        <v>96.84</v>
      </c>
      <c r="C1330">
        <f>'raw data Crude oil'!C1331</f>
        <v>93.85</v>
      </c>
      <c r="D1330">
        <f>'raw data Crude oil'!D1331</f>
        <v>91.75</v>
      </c>
      <c r="E1330">
        <f>'raw data Crude oil'!E1331</f>
        <v>90.22</v>
      </c>
      <c r="F1330">
        <f>'raw data Crude oil'!F1331</f>
        <v>89.07</v>
      </c>
      <c r="G1330">
        <f>'raw data Crude oil'!G1331</f>
        <v>88.09</v>
      </c>
      <c r="H1330">
        <f>'raw data Crude oil'!H1331</f>
        <v>87.23</v>
      </c>
      <c r="I1330">
        <f>'raw data Crude oil'!I1331</f>
        <v>86.49</v>
      </c>
      <c r="J1330">
        <f>'raw data Crude oil'!J1331</f>
        <v>85.79</v>
      </c>
      <c r="K1330">
        <f>'raw data Crude oil'!K1331</f>
        <v>85.13</v>
      </c>
      <c r="L1330">
        <f>'raw data Crude oil'!L1331</f>
        <v>84.49</v>
      </c>
      <c r="M1330">
        <f>'raw data Crude oil'!M1331</f>
        <v>83.91</v>
      </c>
      <c r="N1330">
        <f>'raw data Crude oil'!N1331</f>
        <v>92.35</v>
      </c>
      <c r="O1330">
        <f>'raw data Crude oil'!O1331</f>
        <v>91.91</v>
      </c>
      <c r="P1330">
        <f>'raw data Crude oil'!P1331</f>
        <v>90.39</v>
      </c>
      <c r="Q1330">
        <f>'raw data Crude oil'!Q1331</f>
        <v>88.67</v>
      </c>
      <c r="R1330">
        <f>'raw data Crude oil'!R1331</f>
        <v>87.07</v>
      </c>
      <c r="S1330">
        <f>'raw data Crude oil'!S1331</f>
        <v>85.75</v>
      </c>
      <c r="T1330">
        <f>'raw data Crude oil'!T1331</f>
        <v>84.66</v>
      </c>
      <c r="U1330">
        <f>'raw data Crude oil'!U1331</f>
        <v>83.72</v>
      </c>
      <c r="V1330">
        <f>'raw data Crude oil'!V1331</f>
        <v>82.89</v>
      </c>
      <c r="W1330">
        <f>'raw data Crude oil'!W1331</f>
        <v>82.11</v>
      </c>
      <c r="X1330">
        <f>'raw data Crude oil'!X1331</f>
        <v>81.37</v>
      </c>
      <c r="Y1330">
        <f>'raw data Crude oil'!Y1331</f>
        <v>80.680000000000007</v>
      </c>
      <c r="Z1330">
        <f>'raw data Crude oil'!Z1331</f>
        <v>91.881</v>
      </c>
      <c r="AA1330">
        <f>'raw data Crude oil'!AA1331</f>
        <v>91.989000000000004</v>
      </c>
      <c r="AB1330">
        <f>'raw data Crude oil'!AB1331</f>
        <v>89.504000000000005</v>
      </c>
      <c r="AC1330">
        <f>'raw data Crude oil'!AC1331</f>
        <v>87.778000000000006</v>
      </c>
      <c r="AD1330">
        <f>'raw data Crude oil'!AD1331</f>
        <v>86.484999999999999</v>
      </c>
      <c r="AE1330">
        <f>'raw data Crude oil'!AE1331</f>
        <v>85.429000000000002</v>
      </c>
      <c r="AF1330">
        <f>'raw data Crude oil'!AF1331</f>
        <v>84.578000000000003</v>
      </c>
      <c r="AG1330">
        <f>'raw data Crude oil'!AG1331</f>
        <v>83.858000000000004</v>
      </c>
      <c r="AH1330">
        <f>'raw data Crude oil'!AH1331</f>
        <v>83.159000000000006</v>
      </c>
      <c r="AI1330">
        <f>'raw data Crude oil'!AI1331</f>
        <v>82.491</v>
      </c>
      <c r="AJ1330">
        <f>'raw data Crude oil'!AJ1331</f>
        <v>81.834999999999994</v>
      </c>
      <c r="AK1330">
        <f>'raw data Crude oil'!AK1331</f>
        <v>81.316000000000003</v>
      </c>
    </row>
    <row r="1331" spans="1:37" x14ac:dyDescent="0.3">
      <c r="A1331" s="18">
        <f>'raw data Crude oil'!A1332</f>
        <v>44615</v>
      </c>
      <c r="B1331">
        <f>'raw data Crude oil'!B1332</f>
        <v>96.84</v>
      </c>
      <c r="C1331">
        <f>'raw data Crude oil'!C1332</f>
        <v>94.05</v>
      </c>
      <c r="D1331">
        <f>'raw data Crude oil'!D1332</f>
        <v>92.18</v>
      </c>
      <c r="E1331">
        <f>'raw data Crude oil'!E1332</f>
        <v>90.81</v>
      </c>
      <c r="F1331">
        <f>'raw data Crude oil'!F1332</f>
        <v>89.75</v>
      </c>
      <c r="G1331">
        <f>'raw data Crude oil'!G1332</f>
        <v>88.82</v>
      </c>
      <c r="H1331">
        <f>'raw data Crude oil'!H1332</f>
        <v>87.99</v>
      </c>
      <c r="I1331">
        <f>'raw data Crude oil'!I1332</f>
        <v>87.25</v>
      </c>
      <c r="J1331">
        <f>'raw data Crude oil'!J1332</f>
        <v>86.56</v>
      </c>
      <c r="K1331">
        <f>'raw data Crude oil'!K1332</f>
        <v>85.9</v>
      </c>
      <c r="L1331">
        <f>'raw data Crude oil'!L1332</f>
        <v>85.28</v>
      </c>
      <c r="M1331">
        <f>'raw data Crude oil'!M1332</f>
        <v>84.72</v>
      </c>
      <c r="N1331">
        <f>'raw data Crude oil'!N1332</f>
        <v>92.1</v>
      </c>
      <c r="O1331">
        <f>'raw data Crude oil'!O1332</f>
        <v>90.69</v>
      </c>
      <c r="P1331">
        <f>'raw data Crude oil'!P1332</f>
        <v>89.08</v>
      </c>
      <c r="Q1331">
        <f>'raw data Crude oil'!Q1332</f>
        <v>87.56</v>
      </c>
      <c r="R1331">
        <f>'raw data Crude oil'!R1332</f>
        <v>86.32</v>
      </c>
      <c r="S1331">
        <f>'raw data Crude oil'!S1332</f>
        <v>85.28</v>
      </c>
      <c r="T1331">
        <f>'raw data Crude oil'!T1332</f>
        <v>84.38</v>
      </c>
      <c r="U1331">
        <f>'raw data Crude oil'!U1332</f>
        <v>83.58</v>
      </c>
      <c r="V1331">
        <f>'raw data Crude oil'!V1332</f>
        <v>82.83</v>
      </c>
      <c r="W1331">
        <f>'raw data Crude oil'!W1332</f>
        <v>82.11</v>
      </c>
      <c r="X1331">
        <f>'raw data Crude oil'!X1332</f>
        <v>81.430000000000007</v>
      </c>
      <c r="Y1331">
        <f>'raw data Crude oil'!Y1332</f>
        <v>80.8</v>
      </c>
      <c r="Z1331">
        <f>'raw data Crude oil'!Z1332</f>
        <v>91.878</v>
      </c>
      <c r="AA1331">
        <f>'raw data Crude oil'!AA1332</f>
        <v>92.147999999999996</v>
      </c>
      <c r="AB1331">
        <f>'raw data Crude oil'!AB1332</f>
        <v>89.793000000000006</v>
      </c>
      <c r="AC1331">
        <f>'raw data Crude oil'!AC1332</f>
        <v>88.231999999999999</v>
      </c>
      <c r="AD1331">
        <f>'raw data Crude oil'!AD1332</f>
        <v>87.067999999999998</v>
      </c>
      <c r="AE1331">
        <f>'raw data Crude oil'!AE1332</f>
        <v>86.07</v>
      </c>
      <c r="AF1331">
        <f>'raw data Crude oil'!AF1332</f>
        <v>85.248000000000005</v>
      </c>
      <c r="AG1331">
        <f>'raw data Crude oil'!AG1332</f>
        <v>84.528999999999996</v>
      </c>
      <c r="AH1331">
        <f>'raw data Crude oil'!AH1332</f>
        <v>83.838999999999999</v>
      </c>
      <c r="AI1331">
        <f>'raw data Crude oil'!AI1332</f>
        <v>83.171999999999997</v>
      </c>
      <c r="AJ1331">
        <f>'raw data Crude oil'!AJ1332</f>
        <v>82.537000000000006</v>
      </c>
      <c r="AK1331">
        <f>'raw data Crude oil'!AK1332</f>
        <v>82.036000000000001</v>
      </c>
    </row>
    <row r="1332" spans="1:37" x14ac:dyDescent="0.3">
      <c r="A1332" s="18">
        <f>'raw data Crude oil'!A1333</f>
        <v>44616</v>
      </c>
      <c r="B1332">
        <f>'raw data Crude oil'!B1333</f>
        <v>99.08</v>
      </c>
      <c r="C1332">
        <f>'raw data Crude oil'!C1333</f>
        <v>95.42</v>
      </c>
      <c r="D1332">
        <f>'raw data Crude oil'!D1333</f>
        <v>92.89</v>
      </c>
      <c r="E1332">
        <f>'raw data Crude oil'!E1333</f>
        <v>91.15</v>
      </c>
      <c r="F1332">
        <f>'raw data Crude oil'!F1333</f>
        <v>89.8</v>
      </c>
      <c r="G1332">
        <f>'raw data Crude oil'!G1333</f>
        <v>88.69</v>
      </c>
      <c r="H1332">
        <f>'raw data Crude oil'!H1333</f>
        <v>87.76</v>
      </c>
      <c r="I1332">
        <f>'raw data Crude oil'!I1333</f>
        <v>86.98</v>
      </c>
      <c r="J1332">
        <f>'raw data Crude oil'!J1333</f>
        <v>86.24</v>
      </c>
      <c r="K1332">
        <f>'raw data Crude oil'!K1333</f>
        <v>85.52</v>
      </c>
      <c r="L1332">
        <f>'raw data Crude oil'!L1333</f>
        <v>84.83</v>
      </c>
      <c r="M1332">
        <f>'raw data Crude oil'!M1333</f>
        <v>84.21</v>
      </c>
      <c r="N1332">
        <f>'raw data Crude oil'!N1333</f>
        <v>92.81</v>
      </c>
      <c r="O1332">
        <f>'raw data Crude oil'!O1333</f>
        <v>90.94</v>
      </c>
      <c r="P1332">
        <f>'raw data Crude oil'!P1333</f>
        <v>88.84</v>
      </c>
      <c r="Q1332">
        <f>'raw data Crude oil'!Q1333</f>
        <v>86.99</v>
      </c>
      <c r="R1332">
        <f>'raw data Crude oil'!R1333</f>
        <v>85.49</v>
      </c>
      <c r="S1332">
        <f>'raw data Crude oil'!S1333</f>
        <v>84.29</v>
      </c>
      <c r="T1332">
        <f>'raw data Crude oil'!T1333</f>
        <v>83.3</v>
      </c>
      <c r="U1332">
        <f>'raw data Crude oil'!U1333</f>
        <v>82.45</v>
      </c>
      <c r="V1332">
        <f>'raw data Crude oil'!V1333</f>
        <v>81.680000000000007</v>
      </c>
      <c r="W1332">
        <f>'raw data Crude oil'!W1333</f>
        <v>80.92</v>
      </c>
      <c r="X1332">
        <f>'raw data Crude oil'!X1333</f>
        <v>80.19</v>
      </c>
      <c r="Y1332">
        <f>'raw data Crude oil'!Y1333</f>
        <v>79.52</v>
      </c>
      <c r="Z1332">
        <f>'raw data Crude oil'!Z1333</f>
        <v>91.938999999999993</v>
      </c>
      <c r="AA1332">
        <f>'raw data Crude oil'!AA1333</f>
        <v>92.69</v>
      </c>
      <c r="AB1332">
        <f>'raw data Crude oil'!AB1333</f>
        <v>90.102999999999994</v>
      </c>
      <c r="AC1332">
        <f>'raw data Crude oil'!AC1333</f>
        <v>88.338999999999999</v>
      </c>
      <c r="AD1332">
        <f>'raw data Crude oil'!AD1333</f>
        <v>86.95</v>
      </c>
      <c r="AE1332">
        <f>'raw data Crude oil'!AE1333</f>
        <v>85.825999999999993</v>
      </c>
      <c r="AF1332">
        <f>'raw data Crude oil'!AF1333</f>
        <v>84.876000000000005</v>
      </c>
      <c r="AG1332">
        <f>'raw data Crude oil'!AG1333</f>
        <v>84.135999999999996</v>
      </c>
      <c r="AH1332">
        <f>'raw data Crude oil'!AH1333</f>
        <v>83.415999999999997</v>
      </c>
      <c r="AI1332">
        <f>'raw data Crude oil'!AI1333</f>
        <v>82.688999999999993</v>
      </c>
      <c r="AJ1332">
        <f>'raw data Crude oil'!AJ1333</f>
        <v>81.950999999999993</v>
      </c>
      <c r="AK1332">
        <f>'raw data Crude oil'!AK1333</f>
        <v>81.373000000000005</v>
      </c>
    </row>
    <row r="1333" spans="1:37" x14ac:dyDescent="0.3">
      <c r="A1333" s="18">
        <f>'raw data Crude oil'!A1334</f>
        <v>44617</v>
      </c>
      <c r="B1333">
        <f>'raw data Crude oil'!B1334</f>
        <v>97.93</v>
      </c>
      <c r="C1333">
        <f>'raw data Crude oil'!C1334</f>
        <v>94.12</v>
      </c>
      <c r="D1333">
        <f>'raw data Crude oil'!D1334</f>
        <v>91.77</v>
      </c>
      <c r="E1333">
        <f>'raw data Crude oil'!E1334</f>
        <v>90.08</v>
      </c>
      <c r="F1333">
        <f>'raw data Crude oil'!F1334</f>
        <v>88.75</v>
      </c>
      <c r="G1333">
        <f>'raw data Crude oil'!G1334</f>
        <v>87.65</v>
      </c>
      <c r="H1333">
        <f>'raw data Crude oil'!H1334</f>
        <v>86.74</v>
      </c>
      <c r="I1333">
        <f>'raw data Crude oil'!I1334</f>
        <v>85.96</v>
      </c>
      <c r="J1333">
        <f>'raw data Crude oil'!J1334</f>
        <v>85.24</v>
      </c>
      <c r="K1333">
        <f>'raw data Crude oil'!K1334</f>
        <v>84.54</v>
      </c>
      <c r="L1333">
        <f>'raw data Crude oil'!L1334</f>
        <v>83.85</v>
      </c>
      <c r="M1333">
        <f>'raw data Crude oil'!M1334</f>
        <v>83.24</v>
      </c>
      <c r="N1333">
        <f>'raw data Crude oil'!N1334</f>
        <v>91.59</v>
      </c>
      <c r="O1333">
        <f>'raw data Crude oil'!O1334</f>
        <v>89.89</v>
      </c>
      <c r="P1333">
        <f>'raw data Crude oil'!P1334</f>
        <v>87.93</v>
      </c>
      <c r="Q1333">
        <f>'raw data Crude oil'!Q1334</f>
        <v>86.19</v>
      </c>
      <c r="R1333">
        <f>'raw data Crude oil'!R1334</f>
        <v>84.76</v>
      </c>
      <c r="S1333">
        <f>'raw data Crude oil'!S1334</f>
        <v>83.6</v>
      </c>
      <c r="T1333">
        <f>'raw data Crude oil'!T1334</f>
        <v>82.63</v>
      </c>
      <c r="U1333">
        <f>'raw data Crude oil'!U1334</f>
        <v>81.8</v>
      </c>
      <c r="V1333">
        <f>'raw data Crude oil'!V1334</f>
        <v>81.03</v>
      </c>
      <c r="W1333">
        <f>'raw data Crude oil'!W1334</f>
        <v>80.27</v>
      </c>
      <c r="X1333">
        <f>'raw data Crude oil'!X1334</f>
        <v>79.55</v>
      </c>
      <c r="Y1333">
        <f>'raw data Crude oil'!Y1334</f>
        <v>78.88</v>
      </c>
      <c r="Z1333">
        <f>'raw data Crude oil'!Z1334</f>
        <v>92.072000000000003</v>
      </c>
      <c r="AA1333">
        <f>'raw data Crude oil'!AA1334</f>
        <v>91.968000000000004</v>
      </c>
      <c r="AB1333">
        <f>'raw data Crude oil'!AB1334</f>
        <v>89.266000000000005</v>
      </c>
      <c r="AC1333">
        <f>'raw data Crude oil'!AC1334</f>
        <v>87.48</v>
      </c>
      <c r="AD1333">
        <f>'raw data Crude oil'!AD1334</f>
        <v>86.11</v>
      </c>
      <c r="AE1333">
        <f>'raw data Crude oil'!AE1334</f>
        <v>84.927000000000007</v>
      </c>
      <c r="AF1333">
        <f>'raw data Crude oil'!AF1334</f>
        <v>83.975999999999999</v>
      </c>
      <c r="AG1333">
        <f>'raw data Crude oil'!AG1334</f>
        <v>83.206999999999994</v>
      </c>
      <c r="AH1333">
        <f>'raw data Crude oil'!AH1334</f>
        <v>82.486999999999995</v>
      </c>
      <c r="AI1333">
        <f>'raw data Crude oil'!AI1334</f>
        <v>81.769000000000005</v>
      </c>
      <c r="AJ1333">
        <f>'raw data Crude oil'!AJ1334</f>
        <v>81.061999999999998</v>
      </c>
      <c r="AK1333">
        <f>'raw data Crude oil'!AK1334</f>
        <v>80.513000000000005</v>
      </c>
    </row>
    <row r="1334" spans="1:37" x14ac:dyDescent="0.3">
      <c r="A1334" s="18">
        <f>'raw data Crude oil'!A1335</f>
        <v>44620</v>
      </c>
      <c r="B1334">
        <f>'raw data Crude oil'!B1335</f>
        <v>100.99</v>
      </c>
      <c r="C1334">
        <f>'raw data Crude oil'!C1335</f>
        <v>97.97</v>
      </c>
      <c r="D1334">
        <f>'raw data Crude oil'!D1335</f>
        <v>95.1</v>
      </c>
      <c r="E1334">
        <f>'raw data Crude oil'!E1335</f>
        <v>92.9</v>
      </c>
      <c r="F1334">
        <f>'raw data Crude oil'!F1335</f>
        <v>91.15</v>
      </c>
      <c r="G1334">
        <f>'raw data Crude oil'!G1335</f>
        <v>89.74</v>
      </c>
      <c r="H1334">
        <f>'raw data Crude oil'!H1335</f>
        <v>88.63</v>
      </c>
      <c r="I1334">
        <f>'raw data Crude oil'!I1335</f>
        <v>87.7</v>
      </c>
      <c r="J1334">
        <f>'raw data Crude oil'!J1335</f>
        <v>86.85</v>
      </c>
      <c r="K1334">
        <f>'raw data Crude oil'!K1335</f>
        <v>86.02</v>
      </c>
      <c r="L1334">
        <f>'raw data Crude oil'!L1335</f>
        <v>85.21</v>
      </c>
      <c r="M1334">
        <f>'raw data Crude oil'!M1335</f>
        <v>84.47</v>
      </c>
      <c r="N1334">
        <f>'raw data Crude oil'!N1335</f>
        <v>95.72</v>
      </c>
      <c r="O1334">
        <f>'raw data Crude oil'!O1335</f>
        <v>93.5</v>
      </c>
      <c r="P1334">
        <f>'raw data Crude oil'!P1335</f>
        <v>90.98</v>
      </c>
      <c r="Q1334">
        <f>'raw data Crude oil'!Q1335</f>
        <v>88.72</v>
      </c>
      <c r="R1334">
        <f>'raw data Crude oil'!R1335</f>
        <v>86.78</v>
      </c>
      <c r="S1334">
        <f>'raw data Crude oil'!S1335</f>
        <v>85.25</v>
      </c>
      <c r="T1334">
        <f>'raw data Crude oil'!T1335</f>
        <v>84.08</v>
      </c>
      <c r="U1334">
        <f>'raw data Crude oil'!U1335</f>
        <v>83.11</v>
      </c>
      <c r="V1334">
        <f>'raw data Crude oil'!V1335</f>
        <v>82.24</v>
      </c>
      <c r="W1334">
        <f>'raw data Crude oil'!W1335</f>
        <v>81.37</v>
      </c>
      <c r="X1334">
        <f>'raw data Crude oil'!X1335</f>
        <v>80.540000000000006</v>
      </c>
      <c r="Y1334">
        <f>'raw data Crude oil'!Y1335</f>
        <v>79.739999999999995</v>
      </c>
      <c r="Z1334">
        <f>'raw data Crude oil'!Z1335</f>
        <v>92.34</v>
      </c>
      <c r="AA1334">
        <f>'raw data Crude oil'!AA1335</f>
        <v>95.344999999999999</v>
      </c>
      <c r="AB1334">
        <f>'raw data Crude oil'!AB1335</f>
        <v>92.18</v>
      </c>
      <c r="AC1334">
        <f>'raw data Crude oil'!AC1335</f>
        <v>89.95</v>
      </c>
      <c r="AD1334">
        <f>'raw data Crude oil'!AD1335</f>
        <v>88.225999999999999</v>
      </c>
      <c r="AE1334">
        <f>'raw data Crude oil'!AE1335</f>
        <v>86.787000000000006</v>
      </c>
      <c r="AF1334">
        <f>'raw data Crude oil'!AF1335</f>
        <v>85.71</v>
      </c>
      <c r="AG1334">
        <f>'raw data Crude oil'!AG1335</f>
        <v>84.790999999999997</v>
      </c>
      <c r="AH1334">
        <f>'raw data Crude oil'!AH1335</f>
        <v>83.95</v>
      </c>
      <c r="AI1334">
        <f>'raw data Crude oil'!AI1335</f>
        <v>83.123000000000005</v>
      </c>
      <c r="AJ1334">
        <f>'raw data Crude oil'!AJ1335</f>
        <v>82.31</v>
      </c>
      <c r="AK1334">
        <f>'raw data Crude oil'!AK1335</f>
        <v>81.608999999999995</v>
      </c>
    </row>
    <row r="1335" spans="1:37" x14ac:dyDescent="0.3">
      <c r="A1335" s="18">
        <f>'raw data Crude oil'!A1336</f>
        <v>44621</v>
      </c>
      <c r="B1335">
        <f>'raw data Crude oil'!B1336</f>
        <v>104.97</v>
      </c>
      <c r="C1335">
        <f>'raw data Crude oil'!C1336</f>
        <v>101.13</v>
      </c>
      <c r="D1335">
        <f>'raw data Crude oil'!D1336</f>
        <v>97.97</v>
      </c>
      <c r="E1335">
        <f>'raw data Crude oil'!E1336</f>
        <v>95.21</v>
      </c>
      <c r="F1335">
        <f>'raw data Crude oil'!F1336</f>
        <v>92.86</v>
      </c>
      <c r="G1335">
        <f>'raw data Crude oil'!G1336</f>
        <v>91.21</v>
      </c>
      <c r="H1335">
        <f>'raw data Crude oil'!H1336</f>
        <v>90.05</v>
      </c>
      <c r="I1335">
        <f>'raw data Crude oil'!I1336</f>
        <v>89</v>
      </c>
      <c r="J1335">
        <f>'raw data Crude oil'!J1336</f>
        <v>88.02</v>
      </c>
      <c r="K1335">
        <f>'raw data Crude oil'!K1336</f>
        <v>87.08</v>
      </c>
      <c r="L1335">
        <f>'raw data Crude oil'!L1336</f>
        <v>86.27</v>
      </c>
      <c r="M1335">
        <f>'raw data Crude oil'!M1336</f>
        <v>85.58</v>
      </c>
      <c r="N1335">
        <f>'raw data Crude oil'!N1336</f>
        <v>103.41</v>
      </c>
      <c r="O1335">
        <f>'raw data Crude oil'!O1336</f>
        <v>100.21</v>
      </c>
      <c r="P1335">
        <f>'raw data Crude oil'!P1336</f>
        <v>96.24</v>
      </c>
      <c r="Q1335">
        <f>'raw data Crude oil'!Q1336</f>
        <v>92.64</v>
      </c>
      <c r="R1335">
        <f>'raw data Crude oil'!R1336</f>
        <v>89.54</v>
      </c>
      <c r="S1335">
        <f>'raw data Crude oil'!S1336</f>
        <v>87.34</v>
      </c>
      <c r="T1335">
        <f>'raw data Crude oil'!T1336</f>
        <v>85.89</v>
      </c>
      <c r="U1335">
        <f>'raw data Crude oil'!U1336</f>
        <v>84.71</v>
      </c>
      <c r="V1335">
        <f>'raw data Crude oil'!V1336</f>
        <v>83.68</v>
      </c>
      <c r="W1335">
        <f>'raw data Crude oil'!W1336</f>
        <v>82.68</v>
      </c>
      <c r="X1335">
        <f>'raw data Crude oil'!X1336</f>
        <v>81.77</v>
      </c>
      <c r="Y1335">
        <f>'raw data Crude oil'!Y1336</f>
        <v>80.930000000000007</v>
      </c>
      <c r="Z1335">
        <f>'raw data Crude oil'!Z1336</f>
        <v>92.34</v>
      </c>
      <c r="AA1335">
        <f>'raw data Crude oil'!AA1336</f>
        <v>102.459</v>
      </c>
      <c r="AB1335">
        <f>'raw data Crude oil'!AB1336</f>
        <v>97.891999999999996</v>
      </c>
      <c r="AC1335">
        <f>'raw data Crude oil'!AC1336</f>
        <v>94.674999999999997</v>
      </c>
      <c r="AD1335">
        <f>'raw data Crude oil'!AD1336</f>
        <v>91.983000000000004</v>
      </c>
      <c r="AE1335">
        <f>'raw data Crude oil'!AE1336</f>
        <v>89.661000000000001</v>
      </c>
      <c r="AF1335">
        <f>'raw data Crude oil'!AF1336</f>
        <v>88.02</v>
      </c>
      <c r="AG1335">
        <f>'raw data Crude oil'!AG1336</f>
        <v>86.861999999999995</v>
      </c>
      <c r="AH1335">
        <f>'raw data Crude oil'!AH1336</f>
        <v>85.822999999999993</v>
      </c>
      <c r="AI1335">
        <f>'raw data Crude oil'!AI1336</f>
        <v>84.846999999999994</v>
      </c>
      <c r="AJ1335">
        <f>'raw data Crude oil'!AJ1336</f>
        <v>83.893000000000001</v>
      </c>
      <c r="AK1335">
        <f>'raw data Crude oil'!AK1336</f>
        <v>83.206999999999994</v>
      </c>
    </row>
    <row r="1336" spans="1:37" x14ac:dyDescent="0.3">
      <c r="A1336" s="18">
        <f>'raw data Crude oil'!A1337</f>
        <v>44622</v>
      </c>
      <c r="B1336">
        <f>'raw data Crude oil'!B1337</f>
        <v>112.93</v>
      </c>
      <c r="C1336">
        <f>'raw data Crude oil'!C1337</f>
        <v>108.29</v>
      </c>
      <c r="D1336">
        <f>'raw data Crude oil'!D1337</f>
        <v>104.16</v>
      </c>
      <c r="E1336">
        <f>'raw data Crude oil'!E1337</f>
        <v>100.72</v>
      </c>
      <c r="F1336">
        <f>'raw data Crude oil'!F1337</f>
        <v>97.95</v>
      </c>
      <c r="G1336">
        <f>'raw data Crude oil'!G1337</f>
        <v>95.94</v>
      </c>
      <c r="H1336">
        <f>'raw data Crude oil'!H1337</f>
        <v>94.56</v>
      </c>
      <c r="I1336">
        <f>'raw data Crude oil'!I1337</f>
        <v>93.28</v>
      </c>
      <c r="J1336">
        <f>'raw data Crude oil'!J1337</f>
        <v>92.08</v>
      </c>
      <c r="K1336">
        <f>'raw data Crude oil'!K1337</f>
        <v>91.04</v>
      </c>
      <c r="L1336">
        <f>'raw data Crude oil'!L1337</f>
        <v>90.16</v>
      </c>
      <c r="M1336">
        <f>'raw data Crude oil'!M1337</f>
        <v>89.45</v>
      </c>
      <c r="N1336">
        <f>'raw data Crude oil'!N1337</f>
        <v>110.6</v>
      </c>
      <c r="O1336">
        <f>'raw data Crude oil'!O1337</f>
        <v>107.06</v>
      </c>
      <c r="P1336">
        <f>'raw data Crude oil'!P1337</f>
        <v>102.37</v>
      </c>
      <c r="Q1336">
        <f>'raw data Crude oil'!Q1337</f>
        <v>97.58</v>
      </c>
      <c r="R1336">
        <f>'raw data Crude oil'!R1337</f>
        <v>93.82</v>
      </c>
      <c r="S1336">
        <f>'raw data Crude oil'!S1337</f>
        <v>91.27</v>
      </c>
      <c r="T1336">
        <f>'raw data Crude oil'!T1337</f>
        <v>89.59</v>
      </c>
      <c r="U1336">
        <f>'raw data Crude oil'!U1337</f>
        <v>88.37</v>
      </c>
      <c r="V1336">
        <f>'raw data Crude oil'!V1337</f>
        <v>87.31</v>
      </c>
      <c r="W1336">
        <f>'raw data Crude oil'!W1337</f>
        <v>86.32</v>
      </c>
      <c r="X1336">
        <f>'raw data Crude oil'!X1337</f>
        <v>85.38</v>
      </c>
      <c r="Y1336">
        <f>'raw data Crude oil'!Y1337</f>
        <v>84.53</v>
      </c>
      <c r="Z1336">
        <f>'raw data Crude oil'!Z1337</f>
        <v>110.479</v>
      </c>
      <c r="AA1336">
        <f>'raw data Crude oil'!AA1337</f>
        <v>104.054</v>
      </c>
      <c r="AB1336">
        <f>'raw data Crude oil'!AB1337</f>
        <v>100.06399999999999</v>
      </c>
      <c r="AC1336">
        <f>'raw data Crude oil'!AC1337</f>
        <v>96.784000000000006</v>
      </c>
      <c r="AD1336">
        <f>'raw data Crude oil'!AD1337</f>
        <v>94.323999999999998</v>
      </c>
      <c r="AE1336">
        <f>'raw data Crude oil'!AE1337</f>
        <v>92.38</v>
      </c>
      <c r="AF1336">
        <f>'raw data Crude oil'!AF1337</f>
        <v>91.031999999999996</v>
      </c>
      <c r="AG1336">
        <f>'raw data Crude oil'!AG1337</f>
        <v>89.793000000000006</v>
      </c>
      <c r="AH1336">
        <f>'raw data Crude oil'!AH1337</f>
        <v>88.632999999999996</v>
      </c>
      <c r="AI1336">
        <f>'raw data Crude oil'!AI1337</f>
        <v>87.585999999999999</v>
      </c>
      <c r="AJ1336">
        <f>'raw data Crude oil'!AJ1337</f>
        <v>86.796000000000006</v>
      </c>
      <c r="AK1336">
        <f>'raw data Crude oil'!AK1337</f>
        <v>86.144999999999996</v>
      </c>
    </row>
    <row r="1337" spans="1:37" x14ac:dyDescent="0.3">
      <c r="A1337" s="18">
        <f>'raw data Crude oil'!A1338</f>
        <v>44623</v>
      </c>
      <c r="B1337">
        <f>'raw data Crude oil'!B1338</f>
        <v>110.46</v>
      </c>
      <c r="C1337">
        <f>'raw data Crude oil'!C1338</f>
        <v>106.54</v>
      </c>
      <c r="D1337">
        <f>'raw data Crude oil'!D1338</f>
        <v>103</v>
      </c>
      <c r="E1337">
        <f>'raw data Crude oil'!E1338</f>
        <v>100.02</v>
      </c>
      <c r="F1337">
        <f>'raw data Crude oil'!F1338</f>
        <v>97.59</v>
      </c>
      <c r="G1337">
        <f>'raw data Crude oil'!G1338</f>
        <v>95.9</v>
      </c>
      <c r="H1337">
        <f>'raw data Crude oil'!H1338</f>
        <v>94.65</v>
      </c>
      <c r="I1337">
        <f>'raw data Crude oil'!I1338</f>
        <v>93.46</v>
      </c>
      <c r="J1337">
        <f>'raw data Crude oil'!J1338</f>
        <v>92.31</v>
      </c>
      <c r="K1337">
        <f>'raw data Crude oil'!K1338</f>
        <v>91.28</v>
      </c>
      <c r="L1337">
        <f>'raw data Crude oil'!L1338</f>
        <v>90.51</v>
      </c>
      <c r="M1337">
        <f>'raw data Crude oil'!M1338</f>
        <v>89.84</v>
      </c>
      <c r="N1337">
        <f>'raw data Crude oil'!N1338</f>
        <v>107.67</v>
      </c>
      <c r="O1337">
        <f>'raw data Crude oil'!O1338</f>
        <v>104.61</v>
      </c>
      <c r="P1337">
        <f>'raw data Crude oil'!P1338</f>
        <v>100.74</v>
      </c>
      <c r="Q1337">
        <f>'raw data Crude oil'!Q1338</f>
        <v>96.78</v>
      </c>
      <c r="R1337">
        <f>'raw data Crude oil'!R1338</f>
        <v>93.57</v>
      </c>
      <c r="S1337">
        <f>'raw data Crude oil'!S1338</f>
        <v>91.23</v>
      </c>
      <c r="T1337">
        <f>'raw data Crude oil'!T1338</f>
        <v>89.75</v>
      </c>
      <c r="U1337">
        <f>'raw data Crude oil'!U1338</f>
        <v>88.62</v>
      </c>
      <c r="V1337">
        <f>'raw data Crude oil'!V1338</f>
        <v>87.65</v>
      </c>
      <c r="W1337">
        <f>'raw data Crude oil'!W1338</f>
        <v>86.73</v>
      </c>
      <c r="X1337">
        <f>'raw data Crude oil'!X1338</f>
        <v>85.9</v>
      </c>
      <c r="Y1337">
        <f>'raw data Crude oil'!Y1338</f>
        <v>85.12</v>
      </c>
      <c r="Z1337">
        <f>'raw data Crude oil'!Z1338</f>
        <v>108.71</v>
      </c>
      <c r="AA1337">
        <f>'raw data Crude oil'!AA1338</f>
        <v>101.253</v>
      </c>
      <c r="AB1337">
        <f>'raw data Crude oil'!AB1338</f>
        <v>97.444999999999993</v>
      </c>
      <c r="AC1337">
        <f>'raw data Crude oil'!AC1338</f>
        <v>94.92</v>
      </c>
      <c r="AD1337">
        <f>'raw data Crude oil'!AD1338</f>
        <v>93.05</v>
      </c>
      <c r="AE1337">
        <f>'raw data Crude oil'!AE1338</f>
        <v>91.646000000000001</v>
      </c>
      <c r="AF1337">
        <f>'raw data Crude oil'!AF1338</f>
        <v>90.596000000000004</v>
      </c>
      <c r="AG1337">
        <f>'raw data Crude oil'!AG1338</f>
        <v>89.575000000000003</v>
      </c>
      <c r="AH1337">
        <f>'raw data Crude oil'!AH1338</f>
        <v>88.563000000000002</v>
      </c>
      <c r="AI1337">
        <f>'raw data Crude oil'!AI1338</f>
        <v>87.637</v>
      </c>
      <c r="AJ1337">
        <f>'raw data Crude oil'!AJ1338</f>
        <v>86.947999999999993</v>
      </c>
      <c r="AK1337">
        <f>'raw data Crude oil'!AK1338</f>
        <v>86.338999999999999</v>
      </c>
    </row>
    <row r="1338" spans="1:37" x14ac:dyDescent="0.3">
      <c r="A1338" s="18">
        <f>'raw data Crude oil'!A1339</f>
        <v>44624</v>
      </c>
      <c r="B1338">
        <f>'raw data Crude oil'!B1339</f>
        <v>118.11</v>
      </c>
      <c r="C1338">
        <f>'raw data Crude oil'!C1339</f>
        <v>114.34</v>
      </c>
      <c r="D1338">
        <f>'raw data Crude oil'!D1339</f>
        <v>110.87</v>
      </c>
      <c r="E1338">
        <f>'raw data Crude oil'!E1339</f>
        <v>107.91</v>
      </c>
      <c r="F1338">
        <f>'raw data Crude oil'!F1339</f>
        <v>105.46</v>
      </c>
      <c r="G1338">
        <f>'raw data Crude oil'!G1339</f>
        <v>103.58</v>
      </c>
      <c r="H1338">
        <f>'raw data Crude oil'!H1339</f>
        <v>102.11</v>
      </c>
      <c r="I1338">
        <f>'raw data Crude oil'!I1339</f>
        <v>100.74</v>
      </c>
      <c r="J1338">
        <f>'raw data Crude oil'!J1339</f>
        <v>99.44</v>
      </c>
      <c r="K1338">
        <f>'raw data Crude oil'!K1339</f>
        <v>98.23</v>
      </c>
      <c r="L1338">
        <f>'raw data Crude oil'!L1339</f>
        <v>97.25</v>
      </c>
      <c r="M1338">
        <f>'raw data Crude oil'!M1339</f>
        <v>96.44</v>
      </c>
      <c r="N1338">
        <f>'raw data Crude oil'!N1339</f>
        <v>115.68</v>
      </c>
      <c r="O1338">
        <f>'raw data Crude oil'!O1339</f>
        <v>112.11</v>
      </c>
      <c r="P1338">
        <f>'raw data Crude oil'!P1339</f>
        <v>108.12</v>
      </c>
      <c r="Q1338">
        <f>'raw data Crude oil'!Q1339</f>
        <v>104.18</v>
      </c>
      <c r="R1338">
        <f>'raw data Crude oil'!R1339</f>
        <v>100.97</v>
      </c>
      <c r="S1338">
        <f>'raw data Crude oil'!S1339</f>
        <v>98.54</v>
      </c>
      <c r="T1338">
        <f>'raw data Crude oil'!T1339</f>
        <v>96.79</v>
      </c>
      <c r="U1338">
        <f>'raw data Crude oil'!U1339</f>
        <v>95.49</v>
      </c>
      <c r="V1338">
        <f>'raw data Crude oil'!V1339</f>
        <v>94.42</v>
      </c>
      <c r="W1338">
        <f>'raw data Crude oil'!W1339</f>
        <v>93.4</v>
      </c>
      <c r="X1338">
        <f>'raw data Crude oil'!X1339</f>
        <v>92.43</v>
      </c>
      <c r="Y1338">
        <f>'raw data Crude oil'!Y1339</f>
        <v>91.49</v>
      </c>
      <c r="Z1338">
        <f>'raw data Crude oil'!Z1339</f>
        <v>114.985</v>
      </c>
      <c r="AA1338">
        <f>'raw data Crude oil'!AA1339</f>
        <v>109.417</v>
      </c>
      <c r="AB1338">
        <f>'raw data Crude oil'!AB1339</f>
        <v>105.785</v>
      </c>
      <c r="AC1338">
        <f>'raw data Crude oil'!AC1339</f>
        <v>103.01900000000001</v>
      </c>
      <c r="AD1338">
        <f>'raw data Crude oil'!AD1339</f>
        <v>101.02</v>
      </c>
      <c r="AE1338">
        <f>'raw data Crude oil'!AE1339</f>
        <v>99.516000000000005</v>
      </c>
      <c r="AF1338">
        <f>'raw data Crude oil'!AF1339</f>
        <v>98.298000000000002</v>
      </c>
      <c r="AG1338">
        <f>'raw data Crude oil'!AG1339</f>
        <v>96.977999999999994</v>
      </c>
      <c r="AH1338">
        <f>'raw data Crude oil'!AH1339</f>
        <v>95.704999999999998</v>
      </c>
      <c r="AI1338">
        <f>'raw data Crude oil'!AI1339</f>
        <v>94.566999999999993</v>
      </c>
      <c r="AJ1338">
        <f>'raw data Crude oil'!AJ1339</f>
        <v>93.730999999999995</v>
      </c>
      <c r="AK1338">
        <f>'raw data Crude oil'!AK1339</f>
        <v>92.972999999999999</v>
      </c>
    </row>
    <row r="1339" spans="1:37" x14ac:dyDescent="0.3">
      <c r="A1339" s="18">
        <f>'raw data Crude oil'!A1340</f>
        <v>44627</v>
      </c>
      <c r="B1339">
        <f>'raw data Crude oil'!B1340</f>
        <v>123.21</v>
      </c>
      <c r="C1339">
        <f>'raw data Crude oil'!C1340</f>
        <v>118.87</v>
      </c>
      <c r="D1339">
        <f>'raw data Crude oil'!D1340</f>
        <v>115.1</v>
      </c>
      <c r="E1339">
        <f>'raw data Crude oil'!E1340</f>
        <v>111.7</v>
      </c>
      <c r="F1339">
        <f>'raw data Crude oil'!F1340</f>
        <v>108.79</v>
      </c>
      <c r="G1339">
        <f>'raw data Crude oil'!G1340</f>
        <v>106.46</v>
      </c>
      <c r="H1339">
        <f>'raw data Crude oil'!H1340</f>
        <v>104.66</v>
      </c>
      <c r="I1339">
        <f>'raw data Crude oil'!I1340</f>
        <v>103</v>
      </c>
      <c r="J1339">
        <f>'raw data Crude oil'!J1340</f>
        <v>101.52</v>
      </c>
      <c r="K1339">
        <f>'raw data Crude oil'!K1340</f>
        <v>100.18</v>
      </c>
      <c r="L1339">
        <f>'raw data Crude oil'!L1340</f>
        <v>99.04</v>
      </c>
      <c r="M1339">
        <f>'raw data Crude oil'!M1340</f>
        <v>98.14</v>
      </c>
      <c r="N1339">
        <f>'raw data Crude oil'!N1340</f>
        <v>119.4</v>
      </c>
      <c r="O1339">
        <f>'raw data Crude oil'!O1340</f>
        <v>115.8</v>
      </c>
      <c r="P1339">
        <f>'raw data Crude oil'!P1340</f>
        <v>111.71</v>
      </c>
      <c r="Q1339">
        <f>'raw data Crude oil'!Q1340</f>
        <v>107.72</v>
      </c>
      <c r="R1339">
        <f>'raw data Crude oil'!R1340</f>
        <v>104.28</v>
      </c>
      <c r="S1339">
        <f>'raw data Crude oil'!S1340</f>
        <v>101.5</v>
      </c>
      <c r="T1339">
        <f>'raw data Crude oil'!T1340</f>
        <v>99.45</v>
      </c>
      <c r="U1339">
        <f>'raw data Crude oil'!U1340</f>
        <v>97.75</v>
      </c>
      <c r="V1339">
        <f>'raw data Crude oil'!V1340</f>
        <v>96.28</v>
      </c>
      <c r="W1339">
        <f>'raw data Crude oil'!W1340</f>
        <v>94.92</v>
      </c>
      <c r="X1339">
        <f>'raw data Crude oil'!X1340</f>
        <v>93.66</v>
      </c>
      <c r="Y1339">
        <f>'raw data Crude oil'!Y1340</f>
        <v>92.55</v>
      </c>
      <c r="Z1339">
        <f>'raw data Crude oil'!Z1340</f>
        <v>118.893</v>
      </c>
      <c r="AA1339">
        <f>'raw data Crude oil'!AA1340</f>
        <v>113.55200000000001</v>
      </c>
      <c r="AB1339">
        <f>'raw data Crude oil'!AB1340</f>
        <v>109.69499999999999</v>
      </c>
      <c r="AC1339">
        <f>'raw data Crude oil'!AC1340</f>
        <v>106.72799999999999</v>
      </c>
      <c r="AD1339">
        <f>'raw data Crude oil'!AD1340</f>
        <v>104.379</v>
      </c>
      <c r="AE1339">
        <f>'raw data Crude oil'!AE1340</f>
        <v>102.652</v>
      </c>
      <c r="AF1339">
        <f>'raw data Crude oil'!AF1340</f>
        <v>100.97499999999999</v>
      </c>
      <c r="AG1339">
        <f>'raw data Crude oil'!AG1340</f>
        <v>99.48</v>
      </c>
      <c r="AH1339">
        <f>'raw data Crude oil'!AH1340</f>
        <v>97.978999999999999</v>
      </c>
      <c r="AI1339">
        <f>'raw data Crude oil'!AI1340</f>
        <v>96.691000000000003</v>
      </c>
      <c r="AJ1339">
        <f>'raw data Crude oil'!AJ1340</f>
        <v>95.647000000000006</v>
      </c>
      <c r="AK1339">
        <f>'raw data Crude oil'!AK1340</f>
        <v>94.766999999999996</v>
      </c>
    </row>
    <row r="1340" spans="1:37" x14ac:dyDescent="0.3">
      <c r="A1340" s="18">
        <f>'raw data Crude oil'!A1341</f>
        <v>44628</v>
      </c>
      <c r="B1340">
        <f>'raw data Crude oil'!B1341</f>
        <v>127.98</v>
      </c>
      <c r="C1340">
        <f>'raw data Crude oil'!C1341</f>
        <v>123.48</v>
      </c>
      <c r="D1340">
        <f>'raw data Crude oil'!D1341</f>
        <v>119.34</v>
      </c>
      <c r="E1340">
        <f>'raw data Crude oil'!E1341</f>
        <v>115.46</v>
      </c>
      <c r="F1340">
        <f>'raw data Crude oil'!F1341</f>
        <v>111.86</v>
      </c>
      <c r="G1340">
        <f>'raw data Crude oil'!G1341</f>
        <v>108.85</v>
      </c>
      <c r="H1340">
        <f>'raw data Crude oil'!H1341</f>
        <v>106.4</v>
      </c>
      <c r="I1340">
        <f>'raw data Crude oil'!I1341</f>
        <v>104.33</v>
      </c>
      <c r="J1340">
        <f>'raw data Crude oil'!J1341</f>
        <v>102.47</v>
      </c>
      <c r="K1340">
        <f>'raw data Crude oil'!K1341</f>
        <v>100.79</v>
      </c>
      <c r="L1340">
        <f>'raw data Crude oil'!L1341</f>
        <v>99.39</v>
      </c>
      <c r="M1340">
        <f>'raw data Crude oil'!M1341</f>
        <v>98.22</v>
      </c>
      <c r="N1340">
        <f>'raw data Crude oil'!N1341</f>
        <v>123.7</v>
      </c>
      <c r="O1340">
        <f>'raw data Crude oil'!O1341</f>
        <v>119.65</v>
      </c>
      <c r="P1340">
        <f>'raw data Crude oil'!P1341</f>
        <v>115.21</v>
      </c>
      <c r="Q1340">
        <f>'raw data Crude oil'!Q1341</f>
        <v>110.83</v>
      </c>
      <c r="R1340">
        <f>'raw data Crude oil'!R1341</f>
        <v>106.8</v>
      </c>
      <c r="S1340">
        <f>'raw data Crude oil'!S1341</f>
        <v>103.41</v>
      </c>
      <c r="T1340">
        <f>'raw data Crude oil'!T1341</f>
        <v>100.77</v>
      </c>
      <c r="U1340">
        <f>'raw data Crude oil'!U1341</f>
        <v>98.61</v>
      </c>
      <c r="V1340">
        <f>'raw data Crude oil'!V1341</f>
        <v>96.77</v>
      </c>
      <c r="W1340">
        <f>'raw data Crude oil'!W1341</f>
        <v>95.09</v>
      </c>
      <c r="X1340">
        <f>'raw data Crude oil'!X1341</f>
        <v>93.55</v>
      </c>
      <c r="Y1340">
        <f>'raw data Crude oil'!Y1341</f>
        <v>92.17</v>
      </c>
      <c r="Z1340">
        <f>'raw data Crude oil'!Z1341</f>
        <v>122.622</v>
      </c>
      <c r="AA1340">
        <f>'raw data Crude oil'!AA1341</f>
        <v>118.473</v>
      </c>
      <c r="AB1340">
        <f>'raw data Crude oil'!AB1341</f>
        <v>114.09399999999999</v>
      </c>
      <c r="AC1340">
        <f>'raw data Crude oil'!AC1341</f>
        <v>110.586</v>
      </c>
      <c r="AD1340">
        <f>'raw data Crude oil'!AD1341</f>
        <v>107.64700000000001</v>
      </c>
      <c r="AE1340">
        <f>'raw data Crude oil'!AE1341</f>
        <v>105.32299999999999</v>
      </c>
      <c r="AF1340">
        <f>'raw data Crude oil'!AF1341</f>
        <v>103.07599999999999</v>
      </c>
      <c r="AG1340">
        <f>'raw data Crude oil'!AG1341</f>
        <v>101.011</v>
      </c>
      <c r="AH1340">
        <f>'raw data Crude oil'!AH1341</f>
        <v>99.174000000000007</v>
      </c>
      <c r="AI1340">
        <f>'raw data Crude oil'!AI1341</f>
        <v>97.456999999999994</v>
      </c>
      <c r="AJ1340">
        <f>'raw data Crude oil'!AJ1341</f>
        <v>96.203999999999994</v>
      </c>
      <c r="AK1340">
        <f>'raw data Crude oil'!AK1341</f>
        <v>95.063000000000002</v>
      </c>
    </row>
    <row r="1341" spans="1:37" x14ac:dyDescent="0.3">
      <c r="A1341" s="18">
        <f>'raw data Crude oil'!A1342</f>
        <v>44629</v>
      </c>
      <c r="B1341">
        <f>'raw data Crude oil'!B1342</f>
        <v>111.14</v>
      </c>
      <c r="C1341">
        <f>'raw data Crude oil'!C1342</f>
        <v>107.03</v>
      </c>
      <c r="D1341">
        <f>'raw data Crude oil'!D1342</f>
        <v>103.51</v>
      </c>
      <c r="E1341">
        <f>'raw data Crude oil'!E1342</f>
        <v>100.32</v>
      </c>
      <c r="F1341">
        <f>'raw data Crude oil'!F1342</f>
        <v>97.66</v>
      </c>
      <c r="G1341">
        <f>'raw data Crude oil'!G1342</f>
        <v>95.55</v>
      </c>
      <c r="H1341">
        <f>'raw data Crude oil'!H1342</f>
        <v>93.73</v>
      </c>
      <c r="I1341">
        <f>'raw data Crude oil'!I1342</f>
        <v>92.15</v>
      </c>
      <c r="J1341">
        <f>'raw data Crude oil'!J1342</f>
        <v>90.75</v>
      </c>
      <c r="K1341">
        <f>'raw data Crude oil'!K1342</f>
        <v>89.5</v>
      </c>
      <c r="L1341">
        <f>'raw data Crude oil'!L1342</f>
        <v>88.49</v>
      </c>
      <c r="M1341">
        <f>'raw data Crude oil'!M1342</f>
        <v>87.61</v>
      </c>
      <c r="N1341">
        <f>'raw data Crude oil'!N1342</f>
        <v>108.7</v>
      </c>
      <c r="O1341">
        <f>'raw data Crude oil'!O1342</f>
        <v>105.05</v>
      </c>
      <c r="P1341">
        <f>'raw data Crude oil'!P1342</f>
        <v>100.95</v>
      </c>
      <c r="Q1341">
        <f>'raw data Crude oil'!Q1342</f>
        <v>97.26</v>
      </c>
      <c r="R1341">
        <f>'raw data Crude oil'!R1342</f>
        <v>93.91</v>
      </c>
      <c r="S1341">
        <f>'raw data Crude oil'!S1342</f>
        <v>91.22</v>
      </c>
      <c r="T1341">
        <f>'raw data Crude oil'!T1342</f>
        <v>89.14</v>
      </c>
      <c r="U1341">
        <f>'raw data Crude oil'!U1342</f>
        <v>87.52</v>
      </c>
      <c r="V1341">
        <f>'raw data Crude oil'!V1342</f>
        <v>86.17</v>
      </c>
      <c r="W1341">
        <f>'raw data Crude oil'!W1342</f>
        <v>84.95</v>
      </c>
      <c r="X1341">
        <f>'raw data Crude oil'!X1342</f>
        <v>83.83</v>
      </c>
      <c r="Y1341">
        <f>'raw data Crude oil'!Y1342</f>
        <v>82.82</v>
      </c>
      <c r="Z1341">
        <f>'raw data Crude oil'!Z1342</f>
        <v>111.21899999999999</v>
      </c>
      <c r="AA1341">
        <f>'raw data Crude oil'!AA1342</f>
        <v>102.354</v>
      </c>
      <c r="AB1341">
        <f>'raw data Crude oil'!AB1342</f>
        <v>98.495000000000005</v>
      </c>
      <c r="AC1341">
        <f>'raw data Crude oil'!AC1342</f>
        <v>95.558999999999997</v>
      </c>
      <c r="AD1341">
        <f>'raw data Crude oil'!AD1342</f>
        <v>93.49</v>
      </c>
      <c r="AE1341">
        <f>'raw data Crude oil'!AE1342</f>
        <v>92.021000000000001</v>
      </c>
      <c r="AF1341">
        <f>'raw data Crude oil'!AF1342</f>
        <v>90.468000000000004</v>
      </c>
      <c r="AG1341">
        <f>'raw data Crude oil'!AG1342</f>
        <v>88.882999999999996</v>
      </c>
      <c r="AH1341">
        <f>'raw data Crude oil'!AH1342</f>
        <v>87.472999999999999</v>
      </c>
      <c r="AI1341">
        <f>'raw data Crude oil'!AI1342</f>
        <v>86.164000000000001</v>
      </c>
      <c r="AJ1341">
        <f>'raw data Crude oil'!AJ1342</f>
        <v>85.298000000000002</v>
      </c>
      <c r="AK1341">
        <f>'raw data Crude oil'!AK1342</f>
        <v>84.45</v>
      </c>
    </row>
    <row r="1342" spans="1:37" x14ac:dyDescent="0.3">
      <c r="A1342" s="18">
        <f>'raw data Crude oil'!A1343</f>
        <v>44630</v>
      </c>
      <c r="B1342">
        <f>'raw data Crude oil'!B1343</f>
        <v>109.33</v>
      </c>
      <c r="C1342">
        <f>'raw data Crude oil'!C1343</f>
        <v>105.43</v>
      </c>
      <c r="D1342">
        <f>'raw data Crude oil'!D1343</f>
        <v>102.36</v>
      </c>
      <c r="E1342">
        <f>'raw data Crude oil'!E1343</f>
        <v>99.69</v>
      </c>
      <c r="F1342">
        <f>'raw data Crude oil'!F1343</f>
        <v>97.51</v>
      </c>
      <c r="G1342">
        <f>'raw data Crude oil'!G1343</f>
        <v>95.59</v>
      </c>
      <c r="H1342">
        <f>'raw data Crude oil'!H1343</f>
        <v>93.89</v>
      </c>
      <c r="I1342">
        <f>'raw data Crude oil'!I1343</f>
        <v>92.38</v>
      </c>
      <c r="J1342">
        <f>'raw data Crude oil'!J1343</f>
        <v>91.07</v>
      </c>
      <c r="K1342">
        <f>'raw data Crude oil'!K1343</f>
        <v>89.95</v>
      </c>
      <c r="L1342">
        <f>'raw data Crude oil'!L1343</f>
        <v>89.13</v>
      </c>
      <c r="M1342">
        <f>'raw data Crude oil'!M1343</f>
        <v>88.35</v>
      </c>
      <c r="N1342">
        <f>'raw data Crude oil'!N1343</f>
        <v>106.02</v>
      </c>
      <c r="O1342">
        <f>'raw data Crude oil'!O1343</f>
        <v>102.99</v>
      </c>
      <c r="P1342">
        <f>'raw data Crude oil'!P1343</f>
        <v>99.64</v>
      </c>
      <c r="Q1342">
        <f>'raw data Crude oil'!Q1343</f>
        <v>96.73</v>
      </c>
      <c r="R1342">
        <f>'raw data Crude oil'!R1343</f>
        <v>94.05</v>
      </c>
      <c r="S1342">
        <f>'raw data Crude oil'!S1343</f>
        <v>91.59</v>
      </c>
      <c r="T1342">
        <f>'raw data Crude oil'!T1343</f>
        <v>89.61</v>
      </c>
      <c r="U1342">
        <f>'raw data Crude oil'!U1343</f>
        <v>88.06</v>
      </c>
      <c r="V1342">
        <f>'raw data Crude oil'!V1343</f>
        <v>86.81</v>
      </c>
      <c r="W1342">
        <f>'raw data Crude oil'!W1343</f>
        <v>85.69</v>
      </c>
      <c r="X1342">
        <f>'raw data Crude oil'!X1343</f>
        <v>84.68</v>
      </c>
      <c r="Y1342">
        <f>'raw data Crude oil'!Y1343</f>
        <v>83.76</v>
      </c>
      <c r="Z1342">
        <f>'raw data Crude oil'!Z1343</f>
        <v>110.062</v>
      </c>
      <c r="AA1342">
        <f>'raw data Crude oil'!AA1343</f>
        <v>101.277</v>
      </c>
      <c r="AB1342">
        <f>'raw data Crude oil'!AB1343</f>
        <v>97.459000000000003</v>
      </c>
      <c r="AC1342">
        <f>'raw data Crude oil'!AC1343</f>
        <v>94.950999999999993</v>
      </c>
      <c r="AD1342">
        <f>'raw data Crude oil'!AD1343</f>
        <v>93.269000000000005</v>
      </c>
      <c r="AE1342">
        <f>'raw data Crude oil'!AE1343</f>
        <v>92.006</v>
      </c>
      <c r="AF1342">
        <f>'raw data Crude oil'!AF1343</f>
        <v>90.570999999999998</v>
      </c>
      <c r="AG1342">
        <f>'raw data Crude oil'!AG1343</f>
        <v>89.007999999999996</v>
      </c>
      <c r="AH1342">
        <f>'raw data Crude oil'!AH1343</f>
        <v>87.698999999999998</v>
      </c>
      <c r="AI1342">
        <f>'raw data Crude oil'!AI1343</f>
        <v>86.572000000000003</v>
      </c>
      <c r="AJ1342">
        <f>'raw data Crude oil'!AJ1343</f>
        <v>85.852999999999994</v>
      </c>
      <c r="AK1342">
        <f>'raw data Crude oil'!AK1343</f>
        <v>85.164000000000001</v>
      </c>
    </row>
    <row r="1343" spans="1:37" x14ac:dyDescent="0.3">
      <c r="A1343" s="18">
        <f>'raw data Crude oil'!A1344</f>
        <v>44631</v>
      </c>
      <c r="B1343">
        <f>'raw data Crude oil'!B1344</f>
        <v>112.67</v>
      </c>
      <c r="C1343">
        <f>'raw data Crude oil'!C1344</f>
        <v>109.1</v>
      </c>
      <c r="D1343">
        <f>'raw data Crude oil'!D1344</f>
        <v>106.16</v>
      </c>
      <c r="E1343">
        <f>'raw data Crude oil'!E1344</f>
        <v>103.59</v>
      </c>
      <c r="F1343">
        <f>'raw data Crude oil'!F1344</f>
        <v>101.34</v>
      </c>
      <c r="G1343">
        <f>'raw data Crude oil'!G1344</f>
        <v>99.36</v>
      </c>
      <c r="H1343">
        <f>'raw data Crude oil'!H1344</f>
        <v>97.55</v>
      </c>
      <c r="I1343">
        <f>'raw data Crude oil'!I1344</f>
        <v>95.96</v>
      </c>
      <c r="J1343">
        <f>'raw data Crude oil'!J1344</f>
        <v>94.57</v>
      </c>
      <c r="K1343">
        <f>'raw data Crude oil'!K1344</f>
        <v>93.37</v>
      </c>
      <c r="L1343">
        <f>'raw data Crude oil'!L1344</f>
        <v>92.48</v>
      </c>
      <c r="M1343">
        <f>'raw data Crude oil'!M1344</f>
        <v>91.68</v>
      </c>
      <c r="N1343">
        <f>'raw data Crude oil'!N1344</f>
        <v>109.33</v>
      </c>
      <c r="O1343">
        <f>'raw data Crude oil'!O1344</f>
        <v>106.3</v>
      </c>
      <c r="P1343">
        <f>'raw data Crude oil'!P1344</f>
        <v>103.2</v>
      </c>
      <c r="Q1343">
        <f>'raw data Crude oil'!Q1344</f>
        <v>100.48</v>
      </c>
      <c r="R1343">
        <f>'raw data Crude oil'!R1344</f>
        <v>97.86</v>
      </c>
      <c r="S1343">
        <f>'raw data Crude oil'!S1344</f>
        <v>95.31</v>
      </c>
      <c r="T1343">
        <f>'raw data Crude oil'!T1344</f>
        <v>93.26</v>
      </c>
      <c r="U1343">
        <f>'raw data Crude oil'!U1344</f>
        <v>91.62</v>
      </c>
      <c r="V1343">
        <f>'raw data Crude oil'!V1344</f>
        <v>90.23</v>
      </c>
      <c r="W1343">
        <f>'raw data Crude oil'!W1344</f>
        <v>88.98</v>
      </c>
      <c r="X1343">
        <f>'raw data Crude oil'!X1344</f>
        <v>87.85</v>
      </c>
      <c r="Y1343">
        <f>'raw data Crude oil'!Y1344</f>
        <v>86.84</v>
      </c>
      <c r="Z1343">
        <f>'raw data Crude oil'!Z1344</f>
        <v>112.69799999999999</v>
      </c>
      <c r="AA1343">
        <f>'raw data Crude oil'!AA1344</f>
        <v>105.46299999999999</v>
      </c>
      <c r="AB1343">
        <f>'raw data Crude oil'!AB1344</f>
        <v>101.383</v>
      </c>
      <c r="AC1343">
        <f>'raw data Crude oil'!AC1344</f>
        <v>98.938000000000002</v>
      </c>
      <c r="AD1343">
        <f>'raw data Crude oil'!AD1344</f>
        <v>97.186000000000007</v>
      </c>
      <c r="AE1343">
        <f>'raw data Crude oil'!AE1344</f>
        <v>95.801000000000002</v>
      </c>
      <c r="AF1343">
        <f>'raw data Crude oil'!AF1344</f>
        <v>94.278000000000006</v>
      </c>
      <c r="AG1343">
        <f>'raw data Crude oil'!AG1344</f>
        <v>92.744</v>
      </c>
      <c r="AH1343">
        <f>'raw data Crude oil'!AH1344</f>
        <v>91.224999999999994</v>
      </c>
      <c r="AI1343">
        <f>'raw data Crude oil'!AI1344</f>
        <v>89.984999999999999</v>
      </c>
      <c r="AJ1343">
        <f>'raw data Crude oil'!AJ1344</f>
        <v>89.201999999999998</v>
      </c>
      <c r="AK1343">
        <f>'raw data Crude oil'!AK1344</f>
        <v>88.492000000000004</v>
      </c>
    </row>
    <row r="1344" spans="1:37" x14ac:dyDescent="0.3">
      <c r="A1344" s="18">
        <f>'raw data Crude oil'!A1345</f>
        <v>44634</v>
      </c>
      <c r="B1344">
        <f>'raw data Crude oil'!B1345</f>
        <v>106.9</v>
      </c>
      <c r="C1344">
        <f>'raw data Crude oil'!C1345</f>
        <v>103.4</v>
      </c>
      <c r="D1344">
        <f>'raw data Crude oil'!D1345</f>
        <v>100.58</v>
      </c>
      <c r="E1344">
        <f>'raw data Crude oil'!E1345</f>
        <v>98.21</v>
      </c>
      <c r="F1344">
        <f>'raw data Crude oil'!F1345</f>
        <v>96.3</v>
      </c>
      <c r="G1344">
        <f>'raw data Crude oil'!G1345</f>
        <v>94.67</v>
      </c>
      <c r="H1344">
        <f>'raw data Crude oil'!H1345</f>
        <v>93.27</v>
      </c>
      <c r="I1344">
        <f>'raw data Crude oil'!I1345</f>
        <v>91.96</v>
      </c>
      <c r="J1344">
        <f>'raw data Crude oil'!J1345</f>
        <v>90.76</v>
      </c>
      <c r="K1344">
        <f>'raw data Crude oil'!K1345</f>
        <v>89.7</v>
      </c>
      <c r="L1344">
        <f>'raw data Crude oil'!L1345</f>
        <v>88.85</v>
      </c>
      <c r="M1344">
        <f>'raw data Crude oil'!M1345</f>
        <v>88.11</v>
      </c>
      <c r="N1344">
        <f>'raw data Crude oil'!N1345</f>
        <v>103.01</v>
      </c>
      <c r="O1344">
        <f>'raw data Crude oil'!O1345</f>
        <v>101.18</v>
      </c>
      <c r="P1344">
        <f>'raw data Crude oil'!P1345</f>
        <v>98.44</v>
      </c>
      <c r="Q1344">
        <f>'raw data Crude oil'!Q1345</f>
        <v>95.84</v>
      </c>
      <c r="R1344">
        <f>'raw data Crude oil'!R1345</f>
        <v>93.39</v>
      </c>
      <c r="S1344">
        <f>'raw data Crude oil'!S1345</f>
        <v>91.18</v>
      </c>
      <c r="T1344">
        <f>'raw data Crude oil'!T1345</f>
        <v>89.41</v>
      </c>
      <c r="U1344">
        <f>'raw data Crude oil'!U1345</f>
        <v>88</v>
      </c>
      <c r="V1344">
        <f>'raw data Crude oil'!V1345</f>
        <v>86.76</v>
      </c>
      <c r="W1344">
        <f>'raw data Crude oil'!W1345</f>
        <v>85.61</v>
      </c>
      <c r="X1344">
        <f>'raw data Crude oil'!X1345</f>
        <v>84.55</v>
      </c>
      <c r="Y1344">
        <f>'raw data Crude oil'!Y1345</f>
        <v>83.59</v>
      </c>
      <c r="Z1344">
        <f>'raw data Crude oil'!Z1345</f>
        <v>109.247</v>
      </c>
      <c r="AA1344">
        <f>'raw data Crude oil'!AA1345</f>
        <v>99.659000000000006</v>
      </c>
      <c r="AB1344">
        <f>'raw data Crude oil'!AB1345</f>
        <v>96.001999999999995</v>
      </c>
      <c r="AC1344">
        <f>'raw data Crude oil'!AC1345</f>
        <v>93.863</v>
      </c>
      <c r="AD1344">
        <f>'raw data Crude oil'!AD1345</f>
        <v>92.341999999999999</v>
      </c>
      <c r="AE1344">
        <f>'raw data Crude oil'!AE1345</f>
        <v>91.129000000000005</v>
      </c>
      <c r="AF1344">
        <f>'raw data Crude oil'!AF1345</f>
        <v>90.01</v>
      </c>
      <c r="AG1344">
        <f>'raw data Crude oil'!AG1345</f>
        <v>88.753</v>
      </c>
      <c r="AH1344">
        <f>'raw data Crude oil'!AH1345</f>
        <v>87.421999999999997</v>
      </c>
      <c r="AI1344">
        <f>'raw data Crude oil'!AI1345</f>
        <v>86.319000000000003</v>
      </c>
      <c r="AJ1344">
        <f>'raw data Crude oil'!AJ1345</f>
        <v>85.635000000000005</v>
      </c>
      <c r="AK1344">
        <f>'raw data Crude oil'!AK1345</f>
        <v>85.006</v>
      </c>
    </row>
    <row r="1345" spans="1:37" x14ac:dyDescent="0.3">
      <c r="A1345" s="18">
        <f>'raw data Crude oil'!A1346</f>
        <v>44635</v>
      </c>
      <c r="B1345">
        <f>'raw data Crude oil'!B1346</f>
        <v>99.91</v>
      </c>
      <c r="C1345">
        <f>'raw data Crude oil'!C1346</f>
        <v>97.58</v>
      </c>
      <c r="D1345">
        <f>'raw data Crude oil'!D1346</f>
        <v>95.64</v>
      </c>
      <c r="E1345">
        <f>'raw data Crude oil'!E1346</f>
        <v>94</v>
      </c>
      <c r="F1345">
        <f>'raw data Crude oil'!F1346</f>
        <v>92.66</v>
      </c>
      <c r="G1345">
        <f>'raw data Crude oil'!G1346</f>
        <v>91.5</v>
      </c>
      <c r="H1345">
        <f>'raw data Crude oil'!H1346</f>
        <v>90.45</v>
      </c>
      <c r="I1345">
        <f>'raw data Crude oil'!I1346</f>
        <v>89.46</v>
      </c>
      <c r="J1345">
        <f>'raw data Crude oil'!J1346</f>
        <v>88.54</v>
      </c>
      <c r="K1345">
        <f>'raw data Crude oil'!K1346</f>
        <v>87.68</v>
      </c>
      <c r="L1345">
        <f>'raw data Crude oil'!L1346</f>
        <v>86.96</v>
      </c>
      <c r="M1345">
        <f>'raw data Crude oil'!M1346</f>
        <v>86.34</v>
      </c>
      <c r="N1345">
        <f>'raw data Crude oil'!N1346</f>
        <v>96.44</v>
      </c>
      <c r="O1345">
        <f>'raw data Crude oil'!O1346</f>
        <v>94.79</v>
      </c>
      <c r="P1345">
        <f>'raw data Crude oil'!P1346</f>
        <v>92.83</v>
      </c>
      <c r="Q1345">
        <f>'raw data Crude oil'!Q1346</f>
        <v>90.87</v>
      </c>
      <c r="R1345">
        <f>'raw data Crude oil'!R1346</f>
        <v>88.95</v>
      </c>
      <c r="S1345">
        <f>'raw data Crude oil'!S1346</f>
        <v>87.35</v>
      </c>
      <c r="T1345">
        <f>'raw data Crude oil'!T1346</f>
        <v>86.1</v>
      </c>
      <c r="U1345">
        <f>'raw data Crude oil'!U1346</f>
        <v>85.07</v>
      </c>
      <c r="V1345">
        <f>'raw data Crude oil'!V1346</f>
        <v>84.13</v>
      </c>
      <c r="W1345">
        <f>'raw data Crude oil'!W1346</f>
        <v>83.24</v>
      </c>
      <c r="X1345">
        <f>'raw data Crude oil'!X1346</f>
        <v>82.39</v>
      </c>
      <c r="Y1345">
        <f>'raw data Crude oil'!Y1346</f>
        <v>81.58</v>
      </c>
      <c r="Z1345">
        <f>'raw data Crude oil'!Z1346</f>
        <v>105.747</v>
      </c>
      <c r="AA1345">
        <f>'raw data Crude oil'!AA1346</f>
        <v>94.593000000000004</v>
      </c>
      <c r="AB1345">
        <f>'raw data Crude oil'!AB1346</f>
        <v>91.465000000000003</v>
      </c>
      <c r="AC1345">
        <f>'raw data Crude oil'!AC1346</f>
        <v>90.009</v>
      </c>
      <c r="AD1345">
        <f>'raw data Crude oil'!AD1346</f>
        <v>89.034999999999997</v>
      </c>
      <c r="AE1345">
        <f>'raw data Crude oil'!AE1346</f>
        <v>88.084000000000003</v>
      </c>
      <c r="AF1345">
        <f>'raw data Crude oil'!AF1346</f>
        <v>87.204999999999998</v>
      </c>
      <c r="AG1345">
        <f>'raw data Crude oil'!AG1346</f>
        <v>86.325999999999993</v>
      </c>
      <c r="AH1345">
        <f>'raw data Crude oil'!AH1346</f>
        <v>85.290999999999997</v>
      </c>
      <c r="AI1345">
        <f>'raw data Crude oil'!AI1346</f>
        <v>84.411000000000001</v>
      </c>
      <c r="AJ1345">
        <f>'raw data Crude oil'!AJ1346</f>
        <v>83.83</v>
      </c>
      <c r="AK1345">
        <f>'raw data Crude oil'!AK1346</f>
        <v>83.281999999999996</v>
      </c>
    </row>
    <row r="1346" spans="1:37" x14ac:dyDescent="0.3">
      <c r="A1346" s="18">
        <f>'raw data Crude oil'!A1347</f>
        <v>44636</v>
      </c>
      <c r="B1346">
        <f>'raw data Crude oil'!B1347</f>
        <v>98.02</v>
      </c>
      <c r="C1346">
        <f>'raw data Crude oil'!C1347</f>
        <v>95.64</v>
      </c>
      <c r="D1346">
        <f>'raw data Crude oil'!D1347</f>
        <v>93.66</v>
      </c>
      <c r="E1346">
        <f>'raw data Crude oil'!E1347</f>
        <v>91.98</v>
      </c>
      <c r="F1346">
        <f>'raw data Crude oil'!F1347</f>
        <v>90.59</v>
      </c>
      <c r="G1346">
        <f>'raw data Crude oil'!G1347</f>
        <v>89.46</v>
      </c>
      <c r="H1346">
        <f>'raw data Crude oil'!H1347</f>
        <v>88.47</v>
      </c>
      <c r="I1346">
        <f>'raw data Crude oil'!I1347</f>
        <v>87.53</v>
      </c>
      <c r="J1346">
        <f>'raw data Crude oil'!J1347</f>
        <v>86.65</v>
      </c>
      <c r="K1346">
        <f>'raw data Crude oil'!K1347</f>
        <v>85.83</v>
      </c>
      <c r="L1346">
        <f>'raw data Crude oil'!L1347</f>
        <v>85.15</v>
      </c>
      <c r="M1346">
        <f>'raw data Crude oil'!M1347</f>
        <v>84.54</v>
      </c>
      <c r="N1346">
        <f>'raw data Crude oil'!N1347</f>
        <v>95.04</v>
      </c>
      <c r="O1346">
        <f>'raw data Crude oil'!O1347</f>
        <v>93.59</v>
      </c>
      <c r="P1346">
        <f>'raw data Crude oil'!P1347</f>
        <v>91.59</v>
      </c>
      <c r="Q1346">
        <f>'raw data Crude oil'!Q1347</f>
        <v>89.53</v>
      </c>
      <c r="R1346">
        <f>'raw data Crude oil'!R1347</f>
        <v>87.56</v>
      </c>
      <c r="S1346">
        <f>'raw data Crude oil'!S1347</f>
        <v>85.95</v>
      </c>
      <c r="T1346">
        <f>'raw data Crude oil'!T1347</f>
        <v>84.68</v>
      </c>
      <c r="U1346">
        <f>'raw data Crude oil'!U1347</f>
        <v>83.62</v>
      </c>
      <c r="V1346">
        <f>'raw data Crude oil'!V1347</f>
        <v>82.7</v>
      </c>
      <c r="W1346">
        <f>'raw data Crude oil'!W1347</f>
        <v>81.819999999999993</v>
      </c>
      <c r="X1346">
        <f>'raw data Crude oil'!X1347</f>
        <v>81.010000000000005</v>
      </c>
      <c r="Y1346">
        <f>'raw data Crude oil'!Y1347</f>
        <v>80.239999999999995</v>
      </c>
      <c r="Z1346">
        <f>'raw data Crude oil'!Z1347</f>
        <v>105.01600000000001</v>
      </c>
      <c r="AA1346">
        <f>'raw data Crude oil'!AA1347</f>
        <v>92.741</v>
      </c>
      <c r="AB1346">
        <f>'raw data Crude oil'!AB1347</f>
        <v>89.784000000000006</v>
      </c>
      <c r="AC1346">
        <f>'raw data Crude oil'!AC1347</f>
        <v>88.266999999999996</v>
      </c>
      <c r="AD1346">
        <f>'raw data Crude oil'!AD1347</f>
        <v>87.195999999999998</v>
      </c>
      <c r="AE1346">
        <f>'raw data Crude oil'!AE1347</f>
        <v>86.287000000000006</v>
      </c>
      <c r="AF1346">
        <f>'raw data Crude oil'!AF1347</f>
        <v>85.447000000000003</v>
      </c>
      <c r="AG1346">
        <f>'raw data Crude oil'!AG1347</f>
        <v>84.408000000000001</v>
      </c>
      <c r="AH1346">
        <f>'raw data Crude oil'!AH1347</f>
        <v>83.552999999999997</v>
      </c>
      <c r="AI1346">
        <f>'raw data Crude oil'!AI1347</f>
        <v>82.704999999999998</v>
      </c>
      <c r="AJ1346">
        <f>'raw data Crude oil'!AJ1347</f>
        <v>82.111000000000004</v>
      </c>
      <c r="AK1346">
        <f>'raw data Crude oil'!AK1347</f>
        <v>81.572999999999993</v>
      </c>
    </row>
    <row r="1347" spans="1:37" x14ac:dyDescent="0.3">
      <c r="A1347" s="18">
        <f>'raw data Crude oil'!A1348</f>
        <v>44637</v>
      </c>
      <c r="B1347">
        <f>'raw data Crude oil'!B1348</f>
        <v>106.64</v>
      </c>
      <c r="C1347">
        <f>'raw data Crude oil'!C1348</f>
        <v>103.56</v>
      </c>
      <c r="D1347">
        <f>'raw data Crude oil'!D1348</f>
        <v>100.95</v>
      </c>
      <c r="E1347">
        <f>'raw data Crude oil'!E1348</f>
        <v>98.83</v>
      </c>
      <c r="F1347">
        <f>'raw data Crude oil'!F1348</f>
        <v>97.05</v>
      </c>
      <c r="G1347">
        <f>'raw data Crude oil'!G1348</f>
        <v>95.56</v>
      </c>
      <c r="H1347">
        <f>'raw data Crude oil'!H1348</f>
        <v>94.26</v>
      </c>
      <c r="I1347">
        <f>'raw data Crude oil'!I1348</f>
        <v>93.04</v>
      </c>
      <c r="J1347">
        <f>'raw data Crude oil'!J1348</f>
        <v>91.91</v>
      </c>
      <c r="K1347">
        <f>'raw data Crude oil'!K1348</f>
        <v>90.91</v>
      </c>
      <c r="L1347">
        <f>'raw data Crude oil'!L1348</f>
        <v>90.08</v>
      </c>
      <c r="M1347">
        <f>'raw data Crude oil'!M1348</f>
        <v>89.35</v>
      </c>
      <c r="N1347">
        <f>'raw data Crude oil'!N1348</f>
        <v>102.98</v>
      </c>
      <c r="O1347">
        <f>'raw data Crude oil'!O1348</f>
        <v>101.65</v>
      </c>
      <c r="P1347">
        <f>'raw data Crude oil'!P1348</f>
        <v>99.38</v>
      </c>
      <c r="Q1347">
        <f>'raw data Crude oil'!Q1348</f>
        <v>96.98</v>
      </c>
      <c r="R1347">
        <f>'raw data Crude oil'!R1348</f>
        <v>94.5</v>
      </c>
      <c r="S1347">
        <f>'raw data Crude oil'!S1348</f>
        <v>92.36</v>
      </c>
      <c r="T1347">
        <f>'raw data Crude oil'!T1348</f>
        <v>90.65</v>
      </c>
      <c r="U1347">
        <f>'raw data Crude oil'!U1348</f>
        <v>89.29</v>
      </c>
      <c r="V1347">
        <f>'raw data Crude oil'!V1348</f>
        <v>88.12</v>
      </c>
      <c r="W1347">
        <f>'raw data Crude oil'!W1348</f>
        <v>87.04</v>
      </c>
      <c r="X1347">
        <f>'raw data Crude oil'!X1348</f>
        <v>86.05</v>
      </c>
      <c r="Y1347">
        <f>'raw data Crude oil'!Y1348</f>
        <v>85.14</v>
      </c>
      <c r="Z1347">
        <f>'raw data Crude oil'!Z1348</f>
        <v>108.6</v>
      </c>
      <c r="AA1347">
        <f>'raw data Crude oil'!AA1348</f>
        <v>100.77</v>
      </c>
      <c r="AB1347">
        <f>'raw data Crude oil'!AB1348</f>
        <v>97.424000000000007</v>
      </c>
      <c r="AC1347">
        <f>'raw data Crude oil'!AC1348</f>
        <v>95.209000000000003</v>
      </c>
      <c r="AD1347">
        <f>'raw data Crude oil'!AD1348</f>
        <v>93.748999999999995</v>
      </c>
      <c r="AE1347">
        <f>'raw data Crude oil'!AE1348</f>
        <v>92.442999999999998</v>
      </c>
      <c r="AF1347">
        <f>'raw data Crude oil'!AF1348</f>
        <v>91.305000000000007</v>
      </c>
      <c r="AG1347">
        <f>'raw data Crude oil'!AG1348</f>
        <v>90.075999999999993</v>
      </c>
      <c r="AH1347">
        <f>'raw data Crude oil'!AH1348</f>
        <v>88.905000000000001</v>
      </c>
      <c r="AI1347">
        <f>'raw data Crude oil'!AI1348</f>
        <v>87.801000000000002</v>
      </c>
      <c r="AJ1347">
        <f>'raw data Crude oil'!AJ1348</f>
        <v>87.084999999999994</v>
      </c>
      <c r="AK1347">
        <f>'raw data Crude oil'!AK1348</f>
        <v>86.427999999999997</v>
      </c>
    </row>
    <row r="1348" spans="1:37" x14ac:dyDescent="0.3">
      <c r="A1348" s="18">
        <f>'raw data Crude oil'!A1349</f>
        <v>44638</v>
      </c>
      <c r="B1348">
        <f>'raw data Crude oil'!B1349</f>
        <v>107.93</v>
      </c>
      <c r="C1348">
        <f>'raw data Crude oil'!C1349</f>
        <v>105.07</v>
      </c>
      <c r="D1348">
        <f>'raw data Crude oil'!D1349</f>
        <v>102.54</v>
      </c>
      <c r="E1348">
        <f>'raw data Crude oil'!E1349</f>
        <v>100.43</v>
      </c>
      <c r="F1348">
        <f>'raw data Crude oil'!F1349</f>
        <v>98.62</v>
      </c>
      <c r="G1348">
        <f>'raw data Crude oil'!G1349</f>
        <v>97.06</v>
      </c>
      <c r="H1348">
        <f>'raw data Crude oil'!H1349</f>
        <v>95.67</v>
      </c>
      <c r="I1348">
        <f>'raw data Crude oil'!I1349</f>
        <v>94.35</v>
      </c>
      <c r="J1348">
        <f>'raw data Crude oil'!J1349</f>
        <v>93.16</v>
      </c>
      <c r="K1348">
        <f>'raw data Crude oil'!K1349</f>
        <v>92.1</v>
      </c>
      <c r="L1348">
        <f>'raw data Crude oil'!L1349</f>
        <v>91.2</v>
      </c>
      <c r="M1348">
        <f>'raw data Crude oil'!M1349</f>
        <v>90.4</v>
      </c>
      <c r="N1348">
        <f>'raw data Crude oil'!N1349</f>
        <v>104.7</v>
      </c>
      <c r="O1348">
        <f>'raw data Crude oil'!O1349</f>
        <v>103.09</v>
      </c>
      <c r="P1348">
        <f>'raw data Crude oil'!P1349</f>
        <v>100.65</v>
      </c>
      <c r="Q1348">
        <f>'raw data Crude oil'!Q1349</f>
        <v>98.19</v>
      </c>
      <c r="R1348">
        <f>'raw data Crude oil'!R1349</f>
        <v>95.75</v>
      </c>
      <c r="S1348">
        <f>'raw data Crude oil'!S1349</f>
        <v>93.62</v>
      </c>
      <c r="T1348">
        <f>'raw data Crude oil'!T1349</f>
        <v>91.91</v>
      </c>
      <c r="U1348">
        <f>'raw data Crude oil'!U1349</f>
        <v>90.47</v>
      </c>
      <c r="V1348">
        <f>'raw data Crude oil'!V1349</f>
        <v>89.2</v>
      </c>
      <c r="W1348">
        <f>'raw data Crude oil'!W1349</f>
        <v>88.03</v>
      </c>
      <c r="X1348">
        <f>'raw data Crude oil'!X1349</f>
        <v>86.95</v>
      </c>
      <c r="Y1348">
        <f>'raw data Crude oil'!Y1349</f>
        <v>85.96</v>
      </c>
      <c r="Z1348">
        <f>'raw data Crude oil'!Z1349</f>
        <v>109.297</v>
      </c>
      <c r="AA1348">
        <f>'raw data Crude oil'!AA1349</f>
        <v>102.164</v>
      </c>
      <c r="AB1348">
        <f>'raw data Crude oil'!AB1349</f>
        <v>98.793999999999997</v>
      </c>
      <c r="AC1348">
        <f>'raw data Crude oil'!AC1349</f>
        <v>96.677999999999997</v>
      </c>
      <c r="AD1348">
        <f>'raw data Crude oil'!AD1349</f>
        <v>95.215999999999994</v>
      </c>
      <c r="AE1348">
        <f>'raw data Crude oil'!AE1349</f>
        <v>93.95</v>
      </c>
      <c r="AF1348">
        <f>'raw data Crude oil'!AF1349</f>
        <v>92.71</v>
      </c>
      <c r="AG1348">
        <f>'raw data Crude oil'!AG1349</f>
        <v>91.382999999999996</v>
      </c>
      <c r="AH1348">
        <f>'raw data Crude oil'!AH1349</f>
        <v>90.152000000000001</v>
      </c>
      <c r="AI1348">
        <f>'raw data Crude oil'!AI1349</f>
        <v>88.983999999999995</v>
      </c>
      <c r="AJ1348">
        <f>'raw data Crude oil'!AJ1349</f>
        <v>88.201999999999998</v>
      </c>
      <c r="AK1348">
        <f>'raw data Crude oil'!AK1349</f>
        <v>87.474999999999994</v>
      </c>
    </row>
    <row r="1349" spans="1:37" x14ac:dyDescent="0.3">
      <c r="A1349" s="18">
        <f>'raw data Crude oil'!A1350</f>
        <v>44641</v>
      </c>
      <c r="B1349">
        <f>'raw data Crude oil'!B1350</f>
        <v>115.62</v>
      </c>
      <c r="C1349">
        <f>'raw data Crude oil'!C1350</f>
        <v>111.92</v>
      </c>
      <c r="D1349">
        <f>'raw data Crude oil'!D1350</f>
        <v>108.64</v>
      </c>
      <c r="E1349">
        <f>'raw data Crude oil'!E1350</f>
        <v>105.9</v>
      </c>
      <c r="F1349">
        <f>'raw data Crude oil'!F1350</f>
        <v>103.66</v>
      </c>
      <c r="G1349">
        <f>'raw data Crude oil'!G1350</f>
        <v>101.73</v>
      </c>
      <c r="H1349">
        <f>'raw data Crude oil'!H1350</f>
        <v>100.04</v>
      </c>
      <c r="I1349">
        <f>'raw data Crude oil'!I1350</f>
        <v>98.47</v>
      </c>
      <c r="J1349">
        <f>'raw data Crude oil'!J1350</f>
        <v>97.02</v>
      </c>
      <c r="K1349">
        <f>'raw data Crude oil'!K1350</f>
        <v>95.73</v>
      </c>
      <c r="L1349">
        <f>'raw data Crude oil'!L1350</f>
        <v>94.65</v>
      </c>
      <c r="M1349">
        <f>'raw data Crude oil'!M1350</f>
        <v>93.69</v>
      </c>
      <c r="N1349">
        <f>'raw data Crude oil'!N1350</f>
        <v>112.12</v>
      </c>
      <c r="O1349">
        <f>'raw data Crude oil'!O1350</f>
        <v>109.97</v>
      </c>
      <c r="P1349">
        <f>'raw data Crude oil'!P1350</f>
        <v>107.06</v>
      </c>
      <c r="Q1349">
        <f>'raw data Crude oil'!Q1350</f>
        <v>103.98</v>
      </c>
      <c r="R1349">
        <f>'raw data Crude oil'!R1350</f>
        <v>100.96</v>
      </c>
      <c r="S1349">
        <f>'raw data Crude oil'!S1350</f>
        <v>98.37</v>
      </c>
      <c r="T1349">
        <f>'raw data Crude oil'!T1350</f>
        <v>96.33</v>
      </c>
      <c r="U1349">
        <f>'raw data Crude oil'!U1350</f>
        <v>94.68</v>
      </c>
      <c r="V1349">
        <f>'raw data Crude oil'!V1350</f>
        <v>93.25</v>
      </c>
      <c r="W1349">
        <f>'raw data Crude oil'!W1350</f>
        <v>91.93</v>
      </c>
      <c r="X1349">
        <f>'raw data Crude oil'!X1350</f>
        <v>90.69</v>
      </c>
      <c r="Y1349">
        <f>'raw data Crude oil'!Y1350</f>
        <v>89.55</v>
      </c>
      <c r="Z1349">
        <f>'raw data Crude oil'!Z1350</f>
        <v>111.661</v>
      </c>
      <c r="AA1349">
        <f>'raw data Crude oil'!AA1350</f>
        <v>108.71599999999999</v>
      </c>
      <c r="AB1349">
        <f>'raw data Crude oil'!AB1350</f>
        <v>104.637</v>
      </c>
      <c r="AC1349">
        <f>'raw data Crude oil'!AC1350</f>
        <v>101.94799999999999</v>
      </c>
      <c r="AD1349">
        <f>'raw data Crude oil'!AD1350</f>
        <v>100.148</v>
      </c>
      <c r="AE1349">
        <f>'raw data Crude oil'!AE1350</f>
        <v>98.576999999999998</v>
      </c>
      <c r="AF1349">
        <f>'raw data Crude oil'!AF1350</f>
        <v>96.998999999999995</v>
      </c>
      <c r="AG1349">
        <f>'raw data Crude oil'!AG1350</f>
        <v>95.411000000000001</v>
      </c>
      <c r="AH1349">
        <f>'raw data Crude oil'!AH1350</f>
        <v>93.891000000000005</v>
      </c>
      <c r="AI1349">
        <f>'raw data Crude oil'!AI1350</f>
        <v>92.497</v>
      </c>
      <c r="AJ1349">
        <f>'raw data Crude oil'!AJ1350</f>
        <v>91.563999999999993</v>
      </c>
      <c r="AK1349">
        <f>'raw data Crude oil'!AK1350</f>
        <v>90.677999999999997</v>
      </c>
    </row>
    <row r="1350" spans="1:37" x14ac:dyDescent="0.3">
      <c r="A1350" s="18">
        <f>'raw data Crude oil'!A1351</f>
        <v>44642</v>
      </c>
      <c r="B1350">
        <f>'raw data Crude oil'!B1351</f>
        <v>115.48</v>
      </c>
      <c r="C1350">
        <f>'raw data Crude oil'!C1351</f>
        <v>111.83</v>
      </c>
      <c r="D1350">
        <f>'raw data Crude oil'!D1351</f>
        <v>108.53</v>
      </c>
      <c r="E1350">
        <f>'raw data Crude oil'!E1351</f>
        <v>105.78</v>
      </c>
      <c r="F1350">
        <f>'raw data Crude oil'!F1351</f>
        <v>103.51</v>
      </c>
      <c r="G1350">
        <f>'raw data Crude oil'!G1351</f>
        <v>101.57</v>
      </c>
      <c r="H1350">
        <f>'raw data Crude oil'!H1351</f>
        <v>99.82</v>
      </c>
      <c r="I1350">
        <f>'raw data Crude oil'!I1351</f>
        <v>98.19</v>
      </c>
      <c r="J1350">
        <f>'raw data Crude oil'!J1351</f>
        <v>96.7</v>
      </c>
      <c r="K1350">
        <f>'raw data Crude oil'!K1351</f>
        <v>95.39</v>
      </c>
      <c r="L1350">
        <f>'raw data Crude oil'!L1351</f>
        <v>94.33</v>
      </c>
      <c r="M1350">
        <f>'raw data Crude oil'!M1351</f>
        <v>93.37</v>
      </c>
      <c r="N1350">
        <f>'raw data Crude oil'!N1351</f>
        <v>111.76</v>
      </c>
      <c r="O1350">
        <f>'raw data Crude oil'!O1351</f>
        <v>109.27</v>
      </c>
      <c r="P1350">
        <f>'raw data Crude oil'!P1351</f>
        <v>106.55</v>
      </c>
      <c r="Q1350">
        <f>'raw data Crude oil'!Q1351</f>
        <v>103.57</v>
      </c>
      <c r="R1350">
        <f>'raw data Crude oil'!R1351</f>
        <v>100.63</v>
      </c>
      <c r="S1350">
        <f>'raw data Crude oil'!S1351</f>
        <v>98.03</v>
      </c>
      <c r="T1350">
        <f>'raw data Crude oil'!T1351</f>
        <v>95.9</v>
      </c>
      <c r="U1350">
        <f>'raw data Crude oil'!U1351</f>
        <v>94.17</v>
      </c>
      <c r="V1350">
        <f>'raw data Crude oil'!V1351</f>
        <v>92.69</v>
      </c>
      <c r="W1350">
        <f>'raw data Crude oil'!W1351</f>
        <v>91.34</v>
      </c>
      <c r="X1350">
        <f>'raw data Crude oil'!X1351</f>
        <v>90.1</v>
      </c>
      <c r="Y1350">
        <f>'raw data Crude oil'!Y1351</f>
        <v>88.96</v>
      </c>
      <c r="Z1350">
        <f>'raw data Crude oil'!Z1351</f>
        <v>111.301</v>
      </c>
      <c r="AA1350">
        <f>'raw data Crude oil'!AA1351</f>
        <v>108.38500000000001</v>
      </c>
      <c r="AB1350">
        <f>'raw data Crude oil'!AB1351</f>
        <v>104.395</v>
      </c>
      <c r="AC1350">
        <f>'raw data Crude oil'!AC1351</f>
        <v>101.78700000000001</v>
      </c>
      <c r="AD1350">
        <f>'raw data Crude oil'!AD1351</f>
        <v>99.897999999999996</v>
      </c>
      <c r="AE1350">
        <f>'raw data Crude oil'!AE1351</f>
        <v>98.244</v>
      </c>
      <c r="AF1350">
        <f>'raw data Crude oil'!AF1351</f>
        <v>96.646000000000001</v>
      </c>
      <c r="AG1350">
        <f>'raw data Crude oil'!AG1351</f>
        <v>94.968999999999994</v>
      </c>
      <c r="AH1350">
        <f>'raw data Crude oil'!AH1351</f>
        <v>93.44</v>
      </c>
      <c r="AI1350">
        <f>'raw data Crude oil'!AI1351</f>
        <v>92.069000000000003</v>
      </c>
      <c r="AJ1350">
        <f>'raw data Crude oil'!AJ1351</f>
        <v>91.084000000000003</v>
      </c>
      <c r="AK1350">
        <f>'raw data Crude oil'!AK1351</f>
        <v>90.206999999999994</v>
      </c>
    </row>
    <row r="1351" spans="1:37" x14ac:dyDescent="0.3">
      <c r="A1351" s="18">
        <f>'raw data Crude oil'!A1352</f>
        <v>44643</v>
      </c>
      <c r="B1351">
        <f>'raw data Crude oil'!B1352</f>
        <v>121.6</v>
      </c>
      <c r="C1351">
        <f>'raw data Crude oil'!C1352</f>
        <v>117.75</v>
      </c>
      <c r="D1351">
        <f>'raw data Crude oil'!D1352</f>
        <v>113.86</v>
      </c>
      <c r="E1351">
        <f>'raw data Crude oil'!E1352</f>
        <v>110.49</v>
      </c>
      <c r="F1351">
        <f>'raw data Crude oil'!F1352</f>
        <v>107.65</v>
      </c>
      <c r="G1351">
        <f>'raw data Crude oil'!G1352</f>
        <v>105.23</v>
      </c>
      <c r="H1351">
        <f>'raw data Crude oil'!H1352</f>
        <v>103.13</v>
      </c>
      <c r="I1351">
        <f>'raw data Crude oil'!I1352</f>
        <v>101.22</v>
      </c>
      <c r="J1351">
        <f>'raw data Crude oil'!J1352</f>
        <v>99.51</v>
      </c>
      <c r="K1351">
        <f>'raw data Crude oil'!K1352</f>
        <v>98.01</v>
      </c>
      <c r="L1351">
        <f>'raw data Crude oil'!L1352</f>
        <v>96.83</v>
      </c>
      <c r="M1351">
        <f>'raw data Crude oil'!M1352</f>
        <v>95.76</v>
      </c>
      <c r="N1351">
        <f>'raw data Crude oil'!N1352</f>
        <v>114.93</v>
      </c>
      <c r="O1351">
        <f>'raw data Crude oil'!O1352</f>
        <v>111.99</v>
      </c>
      <c r="P1351">
        <f>'raw data Crude oil'!P1352</f>
        <v>108.65</v>
      </c>
      <c r="Q1351">
        <f>'raw data Crude oil'!Q1352</f>
        <v>105.26</v>
      </c>
      <c r="R1351">
        <f>'raw data Crude oil'!R1352</f>
        <v>102.12</v>
      </c>
      <c r="S1351">
        <f>'raw data Crude oil'!S1352</f>
        <v>99.52</v>
      </c>
      <c r="T1351">
        <f>'raw data Crude oil'!T1352</f>
        <v>97.46</v>
      </c>
      <c r="U1351">
        <f>'raw data Crude oil'!U1352</f>
        <v>95.72</v>
      </c>
      <c r="V1351">
        <f>'raw data Crude oil'!V1352</f>
        <v>94.16</v>
      </c>
      <c r="W1351">
        <f>'raw data Crude oil'!W1352</f>
        <v>92.73</v>
      </c>
      <c r="X1351">
        <f>'raw data Crude oil'!X1352</f>
        <v>91.44</v>
      </c>
      <c r="Y1351">
        <f>'raw data Crude oil'!Y1352</f>
        <v>90.3</v>
      </c>
      <c r="Z1351">
        <f>'raw data Crude oil'!Z1352</f>
        <v>112.497</v>
      </c>
      <c r="AA1351">
        <f>'raw data Crude oil'!AA1352</f>
        <v>113.196</v>
      </c>
      <c r="AB1351">
        <f>'raw data Crude oil'!AB1352</f>
        <v>108.907</v>
      </c>
      <c r="AC1351">
        <f>'raw data Crude oil'!AC1352</f>
        <v>105.73099999999999</v>
      </c>
      <c r="AD1351">
        <f>'raw data Crude oil'!AD1352</f>
        <v>103.325</v>
      </c>
      <c r="AE1351">
        <f>'raw data Crude oil'!AE1352</f>
        <v>101.249</v>
      </c>
      <c r="AF1351">
        <f>'raw data Crude oil'!AF1352</f>
        <v>99.302999999999997</v>
      </c>
      <c r="AG1351">
        <f>'raw data Crude oil'!AG1352</f>
        <v>97.448999999999998</v>
      </c>
      <c r="AH1351">
        <f>'raw data Crude oil'!AH1352</f>
        <v>95.682000000000002</v>
      </c>
      <c r="AI1351">
        <f>'raw data Crude oil'!AI1352</f>
        <v>94.358000000000004</v>
      </c>
      <c r="AJ1351">
        <f>'raw data Crude oil'!AJ1352</f>
        <v>93.489000000000004</v>
      </c>
      <c r="AK1351">
        <f>'raw data Crude oil'!AK1352</f>
        <v>92.593000000000004</v>
      </c>
    </row>
    <row r="1352" spans="1:37" x14ac:dyDescent="0.3">
      <c r="A1352" s="18">
        <f>'raw data Crude oil'!A1353</f>
        <v>44644</v>
      </c>
      <c r="B1352">
        <f>'raw data Crude oil'!B1353</f>
        <v>119.03</v>
      </c>
      <c r="C1352">
        <f>'raw data Crude oil'!C1353</f>
        <v>115.3</v>
      </c>
      <c r="D1352">
        <f>'raw data Crude oil'!D1353</f>
        <v>111.51</v>
      </c>
      <c r="E1352">
        <f>'raw data Crude oil'!E1353</f>
        <v>108.21</v>
      </c>
      <c r="F1352">
        <f>'raw data Crude oil'!F1353</f>
        <v>105.4</v>
      </c>
      <c r="G1352">
        <f>'raw data Crude oil'!G1353</f>
        <v>103.02</v>
      </c>
      <c r="H1352">
        <f>'raw data Crude oil'!H1353</f>
        <v>100.99</v>
      </c>
      <c r="I1352">
        <f>'raw data Crude oil'!I1353</f>
        <v>99.14</v>
      </c>
      <c r="J1352">
        <f>'raw data Crude oil'!J1353</f>
        <v>97.45</v>
      </c>
      <c r="K1352">
        <f>'raw data Crude oil'!K1353</f>
        <v>95.97</v>
      </c>
      <c r="L1352">
        <f>'raw data Crude oil'!L1353</f>
        <v>94.78</v>
      </c>
      <c r="M1352">
        <f>'raw data Crude oil'!M1353</f>
        <v>93.7</v>
      </c>
      <c r="N1352">
        <f>'raw data Crude oil'!N1353</f>
        <v>112.34</v>
      </c>
      <c r="O1352">
        <f>'raw data Crude oil'!O1353</f>
        <v>109.43</v>
      </c>
      <c r="P1352">
        <f>'raw data Crude oil'!P1353</f>
        <v>106.19</v>
      </c>
      <c r="Q1352">
        <f>'raw data Crude oil'!Q1353</f>
        <v>102.87</v>
      </c>
      <c r="R1352">
        <f>'raw data Crude oil'!R1353</f>
        <v>99.75</v>
      </c>
      <c r="S1352">
        <f>'raw data Crude oil'!S1353</f>
        <v>97.19</v>
      </c>
      <c r="T1352">
        <f>'raw data Crude oil'!T1353</f>
        <v>95.18</v>
      </c>
      <c r="U1352">
        <f>'raw data Crude oil'!U1353</f>
        <v>93.48</v>
      </c>
      <c r="V1352">
        <f>'raw data Crude oil'!V1353</f>
        <v>91.94</v>
      </c>
      <c r="W1352">
        <f>'raw data Crude oil'!W1353</f>
        <v>90.53</v>
      </c>
      <c r="X1352">
        <f>'raw data Crude oil'!X1353</f>
        <v>89.25</v>
      </c>
      <c r="Y1352">
        <f>'raw data Crude oil'!Y1353</f>
        <v>88.1</v>
      </c>
      <c r="Z1352">
        <f>'raw data Crude oil'!Z1353</f>
        <v>110.78</v>
      </c>
      <c r="AA1352">
        <f>'raw data Crude oil'!AA1353</f>
        <v>111.505</v>
      </c>
      <c r="AB1352">
        <f>'raw data Crude oil'!AB1353</f>
        <v>106.905</v>
      </c>
      <c r="AC1352">
        <f>'raw data Crude oil'!AC1353</f>
        <v>103.595</v>
      </c>
      <c r="AD1352">
        <f>'raw data Crude oil'!AD1353</f>
        <v>101.185</v>
      </c>
      <c r="AE1352">
        <f>'raw data Crude oil'!AE1353</f>
        <v>99.174999999999997</v>
      </c>
      <c r="AF1352">
        <f>'raw data Crude oil'!AF1353</f>
        <v>97.215000000000003</v>
      </c>
      <c r="AG1352">
        <f>'raw data Crude oil'!AG1353</f>
        <v>95.355000000000004</v>
      </c>
      <c r="AH1352">
        <f>'raw data Crude oil'!AH1353</f>
        <v>93.584999999999994</v>
      </c>
      <c r="AI1352">
        <f>'raw data Crude oil'!AI1353</f>
        <v>92.265000000000001</v>
      </c>
      <c r="AJ1352">
        <f>'raw data Crude oil'!AJ1353</f>
        <v>91.394999999999996</v>
      </c>
      <c r="AK1352">
        <f>'raw data Crude oil'!AK1353</f>
        <v>90.495000000000005</v>
      </c>
    </row>
    <row r="1353" spans="1:37" x14ac:dyDescent="0.3">
      <c r="A1353" s="18">
        <f>'raw data Crude oil'!A1354</f>
        <v>44645</v>
      </c>
      <c r="B1353">
        <f>'raw data Crude oil'!B1354</f>
        <v>120.65</v>
      </c>
      <c r="C1353">
        <f>'raw data Crude oil'!C1354</f>
        <v>117.37</v>
      </c>
      <c r="D1353">
        <f>'raw data Crude oil'!D1354</f>
        <v>113.58</v>
      </c>
      <c r="E1353">
        <f>'raw data Crude oil'!E1354</f>
        <v>110.19</v>
      </c>
      <c r="F1353">
        <f>'raw data Crude oil'!F1354</f>
        <v>107.22</v>
      </c>
      <c r="G1353">
        <f>'raw data Crude oil'!G1354</f>
        <v>104.69</v>
      </c>
      <c r="H1353">
        <f>'raw data Crude oil'!H1354</f>
        <v>102.56</v>
      </c>
      <c r="I1353">
        <f>'raw data Crude oil'!I1354</f>
        <v>100.61</v>
      </c>
      <c r="J1353">
        <f>'raw data Crude oil'!J1354</f>
        <v>98.86</v>
      </c>
      <c r="K1353">
        <f>'raw data Crude oil'!K1354</f>
        <v>97.33</v>
      </c>
      <c r="L1353">
        <f>'raw data Crude oil'!L1354</f>
        <v>96.09</v>
      </c>
      <c r="M1353">
        <f>'raw data Crude oil'!M1354</f>
        <v>94.96</v>
      </c>
      <c r="N1353">
        <f>'raw data Crude oil'!N1354</f>
        <v>113.9</v>
      </c>
      <c r="O1353">
        <f>'raw data Crude oil'!O1354</f>
        <v>111.06</v>
      </c>
      <c r="P1353">
        <f>'raw data Crude oil'!P1354</f>
        <v>107.93</v>
      </c>
      <c r="Q1353">
        <f>'raw data Crude oil'!Q1354</f>
        <v>104.54</v>
      </c>
      <c r="R1353">
        <f>'raw data Crude oil'!R1354</f>
        <v>101.31</v>
      </c>
      <c r="S1353">
        <f>'raw data Crude oil'!S1354</f>
        <v>98.66</v>
      </c>
      <c r="T1353">
        <f>'raw data Crude oil'!T1354</f>
        <v>96.58</v>
      </c>
      <c r="U1353">
        <f>'raw data Crude oil'!U1354</f>
        <v>94.83</v>
      </c>
      <c r="V1353">
        <f>'raw data Crude oil'!V1354</f>
        <v>93.25</v>
      </c>
      <c r="W1353">
        <f>'raw data Crude oil'!W1354</f>
        <v>91.8</v>
      </c>
      <c r="X1353">
        <f>'raw data Crude oil'!X1354</f>
        <v>90.49</v>
      </c>
      <c r="Y1353">
        <f>'raw data Crude oil'!Y1354</f>
        <v>89.33</v>
      </c>
      <c r="Z1353">
        <f>'raw data Crude oil'!Z1354</f>
        <v>112.246</v>
      </c>
      <c r="AA1353">
        <f>'raw data Crude oil'!AA1354</f>
        <v>113.39100000000001</v>
      </c>
      <c r="AB1353">
        <f>'raw data Crude oil'!AB1354</f>
        <v>108.726</v>
      </c>
      <c r="AC1353">
        <f>'raw data Crude oil'!AC1354</f>
        <v>105.30500000000001</v>
      </c>
      <c r="AD1353">
        <f>'raw data Crude oil'!AD1354</f>
        <v>102.74</v>
      </c>
      <c r="AE1353">
        <f>'raw data Crude oil'!AE1354</f>
        <v>100.67700000000001</v>
      </c>
      <c r="AF1353">
        <f>'raw data Crude oil'!AF1354</f>
        <v>98.730999999999995</v>
      </c>
      <c r="AG1353">
        <f>'raw data Crude oil'!AG1354</f>
        <v>96.837000000000003</v>
      </c>
      <c r="AH1353">
        <f>'raw data Crude oil'!AH1354</f>
        <v>95.02</v>
      </c>
      <c r="AI1353">
        <f>'raw data Crude oil'!AI1354</f>
        <v>93.632000000000005</v>
      </c>
      <c r="AJ1353">
        <f>'raw data Crude oil'!AJ1354</f>
        <v>92.626000000000005</v>
      </c>
      <c r="AK1353">
        <f>'raw data Crude oil'!AK1354</f>
        <v>91.692999999999998</v>
      </c>
    </row>
    <row r="1354" spans="1:37" x14ac:dyDescent="0.3">
      <c r="A1354" s="18">
        <f>'raw data Crude oil'!A1355</f>
        <v>44648</v>
      </c>
      <c r="B1354">
        <f>'raw data Crude oil'!B1355</f>
        <v>112.48</v>
      </c>
      <c r="C1354">
        <f>'raw data Crude oil'!C1355</f>
        <v>109.49</v>
      </c>
      <c r="D1354">
        <f>'raw data Crude oil'!D1355</f>
        <v>106.16</v>
      </c>
      <c r="E1354">
        <f>'raw data Crude oil'!E1355</f>
        <v>103.23</v>
      </c>
      <c r="F1354">
        <f>'raw data Crude oil'!F1355</f>
        <v>100.74</v>
      </c>
      <c r="G1354">
        <f>'raw data Crude oil'!G1355</f>
        <v>98.63</v>
      </c>
      <c r="H1354">
        <f>'raw data Crude oil'!H1355</f>
        <v>96.88</v>
      </c>
      <c r="I1354">
        <f>'raw data Crude oil'!I1355</f>
        <v>95.28</v>
      </c>
      <c r="J1354">
        <f>'raw data Crude oil'!J1355</f>
        <v>93.84</v>
      </c>
      <c r="K1354">
        <f>'raw data Crude oil'!K1355</f>
        <v>92.58</v>
      </c>
      <c r="L1354">
        <f>'raw data Crude oil'!L1355</f>
        <v>91.56</v>
      </c>
      <c r="M1354">
        <f>'raw data Crude oil'!M1355</f>
        <v>90.64</v>
      </c>
      <c r="N1354">
        <f>'raw data Crude oil'!N1355</f>
        <v>105.96</v>
      </c>
      <c r="O1354">
        <f>'raw data Crude oil'!O1355</f>
        <v>103.42</v>
      </c>
      <c r="P1354">
        <f>'raw data Crude oil'!P1355</f>
        <v>100.72</v>
      </c>
      <c r="Q1354">
        <f>'raw data Crude oil'!Q1355</f>
        <v>97.84</v>
      </c>
      <c r="R1354">
        <f>'raw data Crude oil'!R1355</f>
        <v>95.09</v>
      </c>
      <c r="S1354">
        <f>'raw data Crude oil'!S1355</f>
        <v>92.82</v>
      </c>
      <c r="T1354">
        <f>'raw data Crude oil'!T1355</f>
        <v>91.08</v>
      </c>
      <c r="U1354">
        <f>'raw data Crude oil'!U1355</f>
        <v>89.61</v>
      </c>
      <c r="V1354">
        <f>'raw data Crude oil'!V1355</f>
        <v>88.29</v>
      </c>
      <c r="W1354">
        <f>'raw data Crude oil'!W1355</f>
        <v>87.1</v>
      </c>
      <c r="X1354">
        <f>'raw data Crude oil'!X1355</f>
        <v>86.02</v>
      </c>
      <c r="Y1354">
        <f>'raw data Crude oil'!Y1355</f>
        <v>85.05</v>
      </c>
      <c r="Z1354">
        <f>'raw data Crude oil'!Z1355</f>
        <v>110.825</v>
      </c>
      <c r="AA1354">
        <f>'raw data Crude oil'!AA1355</f>
        <v>105.774</v>
      </c>
      <c r="AB1354">
        <f>'raw data Crude oil'!AB1355</f>
        <v>101.217</v>
      </c>
      <c r="AC1354">
        <f>'raw data Crude oil'!AC1355</f>
        <v>98.356999999999999</v>
      </c>
      <c r="AD1354">
        <f>'raw data Crude oil'!AD1355</f>
        <v>96.28</v>
      </c>
      <c r="AE1354">
        <f>'raw data Crude oil'!AE1355</f>
        <v>94.603999999999999</v>
      </c>
      <c r="AF1354">
        <f>'raw data Crude oil'!AF1355</f>
        <v>93.057000000000002</v>
      </c>
      <c r="AG1354">
        <f>'raw data Crude oil'!AG1355</f>
        <v>91.570999999999998</v>
      </c>
      <c r="AH1354">
        <f>'raw data Crude oil'!AH1355</f>
        <v>90.153000000000006</v>
      </c>
      <c r="AI1354">
        <f>'raw data Crude oil'!AI1355</f>
        <v>88.912999999999997</v>
      </c>
      <c r="AJ1354">
        <f>'raw data Crude oil'!AJ1355</f>
        <v>88.156000000000006</v>
      </c>
      <c r="AK1354">
        <f>'raw data Crude oil'!AK1355</f>
        <v>87.391999999999996</v>
      </c>
    </row>
    <row r="1355" spans="1:37" x14ac:dyDescent="0.3">
      <c r="A1355" s="18">
        <f>'raw data Crude oil'!A1356</f>
        <v>44649</v>
      </c>
      <c r="B1355">
        <f>'raw data Crude oil'!B1356</f>
        <v>110.23</v>
      </c>
      <c r="C1355">
        <f>'raw data Crude oil'!C1356</f>
        <v>107.71</v>
      </c>
      <c r="D1355">
        <f>'raw data Crude oil'!D1356</f>
        <v>104.74</v>
      </c>
      <c r="E1355">
        <f>'raw data Crude oil'!E1356</f>
        <v>102.14</v>
      </c>
      <c r="F1355">
        <f>'raw data Crude oil'!F1356</f>
        <v>99.96</v>
      </c>
      <c r="G1355">
        <f>'raw data Crude oil'!G1356</f>
        <v>98.12</v>
      </c>
      <c r="H1355">
        <f>'raw data Crude oil'!H1356</f>
        <v>96.57</v>
      </c>
      <c r="I1355">
        <f>'raw data Crude oil'!I1356</f>
        <v>95.14</v>
      </c>
      <c r="J1355">
        <f>'raw data Crude oil'!J1356</f>
        <v>93.8</v>
      </c>
      <c r="K1355">
        <f>'raw data Crude oil'!K1356</f>
        <v>92.61</v>
      </c>
      <c r="L1355">
        <f>'raw data Crude oil'!L1356</f>
        <v>91.64</v>
      </c>
      <c r="M1355">
        <f>'raw data Crude oil'!M1356</f>
        <v>90.74</v>
      </c>
      <c r="N1355">
        <f>'raw data Crude oil'!N1356</f>
        <v>104.24</v>
      </c>
      <c r="O1355">
        <f>'raw data Crude oil'!O1356</f>
        <v>102.05</v>
      </c>
      <c r="P1355">
        <f>'raw data Crude oil'!P1356</f>
        <v>99.65</v>
      </c>
      <c r="Q1355">
        <f>'raw data Crude oil'!Q1356</f>
        <v>97.07</v>
      </c>
      <c r="R1355">
        <f>'raw data Crude oil'!R1356</f>
        <v>94.64</v>
      </c>
      <c r="S1355">
        <f>'raw data Crude oil'!S1356</f>
        <v>92.65</v>
      </c>
      <c r="T1355">
        <f>'raw data Crude oil'!T1356</f>
        <v>91.06</v>
      </c>
      <c r="U1355">
        <f>'raw data Crude oil'!U1356</f>
        <v>89.68</v>
      </c>
      <c r="V1355">
        <f>'raw data Crude oil'!V1356</f>
        <v>88.44</v>
      </c>
      <c r="W1355">
        <f>'raw data Crude oil'!W1356</f>
        <v>87.3</v>
      </c>
      <c r="X1355">
        <f>'raw data Crude oil'!X1356</f>
        <v>86.25</v>
      </c>
      <c r="Y1355">
        <f>'raw data Crude oil'!Y1356</f>
        <v>85.29</v>
      </c>
      <c r="Z1355">
        <f>'raw data Crude oil'!Z1356</f>
        <v>110.741</v>
      </c>
      <c r="AA1355">
        <f>'raw data Crude oil'!AA1356</f>
        <v>104.352</v>
      </c>
      <c r="AB1355">
        <f>'raw data Crude oil'!AB1356</f>
        <v>100.042</v>
      </c>
      <c r="AC1355">
        <f>'raw data Crude oil'!AC1356</f>
        <v>97.421000000000006</v>
      </c>
      <c r="AD1355">
        <f>'raw data Crude oil'!AD1356</f>
        <v>95.602000000000004</v>
      </c>
      <c r="AE1355">
        <f>'raw data Crude oil'!AE1356</f>
        <v>94.173000000000002</v>
      </c>
      <c r="AF1355">
        <f>'raw data Crude oil'!AF1356</f>
        <v>92.834999999999994</v>
      </c>
      <c r="AG1355">
        <f>'raw data Crude oil'!AG1356</f>
        <v>91.495999999999995</v>
      </c>
      <c r="AH1355">
        <f>'raw data Crude oil'!AH1356</f>
        <v>90.165999999999997</v>
      </c>
      <c r="AI1355">
        <f>'raw data Crude oil'!AI1356</f>
        <v>88.977999999999994</v>
      </c>
      <c r="AJ1355">
        <f>'raw data Crude oil'!AJ1356</f>
        <v>88.147000000000006</v>
      </c>
      <c r="AK1355">
        <f>'raw data Crude oil'!AK1356</f>
        <v>87.460999999999999</v>
      </c>
    </row>
    <row r="1356" spans="1:37" x14ac:dyDescent="0.3">
      <c r="A1356" s="18">
        <f>'raw data Crude oil'!A1357</f>
        <v>44650</v>
      </c>
      <c r="B1356">
        <f>'raw data Crude oil'!B1357</f>
        <v>113.45</v>
      </c>
      <c r="C1356">
        <f>'raw data Crude oil'!C1357</f>
        <v>111.44</v>
      </c>
      <c r="D1356">
        <f>'raw data Crude oil'!D1357</f>
        <v>108.64</v>
      </c>
      <c r="E1356">
        <f>'raw data Crude oil'!E1357</f>
        <v>106.07</v>
      </c>
      <c r="F1356">
        <f>'raw data Crude oil'!F1357</f>
        <v>103.77</v>
      </c>
      <c r="G1356">
        <f>'raw data Crude oil'!G1357</f>
        <v>101.78</v>
      </c>
      <c r="H1356">
        <f>'raw data Crude oil'!H1357</f>
        <v>100.04</v>
      </c>
      <c r="I1356">
        <f>'raw data Crude oil'!I1357</f>
        <v>98.44</v>
      </c>
      <c r="J1356">
        <f>'raw data Crude oil'!J1357</f>
        <v>96.97</v>
      </c>
      <c r="K1356">
        <f>'raw data Crude oil'!K1357</f>
        <v>95.66</v>
      </c>
      <c r="L1356">
        <f>'raw data Crude oil'!L1357</f>
        <v>94.57</v>
      </c>
      <c r="M1356">
        <f>'raw data Crude oil'!M1357</f>
        <v>93.56</v>
      </c>
      <c r="N1356">
        <f>'raw data Crude oil'!N1357</f>
        <v>107.82</v>
      </c>
      <c r="O1356">
        <f>'raw data Crude oil'!O1357</f>
        <v>105.68</v>
      </c>
      <c r="P1356">
        <f>'raw data Crude oil'!P1357</f>
        <v>103.32</v>
      </c>
      <c r="Q1356">
        <f>'raw data Crude oil'!Q1357</f>
        <v>100.74</v>
      </c>
      <c r="R1356">
        <f>'raw data Crude oil'!R1357</f>
        <v>98.24</v>
      </c>
      <c r="S1356">
        <f>'raw data Crude oil'!S1357</f>
        <v>96.08</v>
      </c>
      <c r="T1356">
        <f>'raw data Crude oil'!T1357</f>
        <v>94.36</v>
      </c>
      <c r="U1356">
        <f>'raw data Crude oil'!U1357</f>
        <v>92.86</v>
      </c>
      <c r="V1356">
        <f>'raw data Crude oil'!V1357</f>
        <v>91.5</v>
      </c>
      <c r="W1356">
        <f>'raw data Crude oil'!W1357</f>
        <v>90.26</v>
      </c>
      <c r="X1356">
        <f>'raw data Crude oil'!X1357</f>
        <v>89.11</v>
      </c>
      <c r="Y1356">
        <f>'raw data Crude oil'!Y1357</f>
        <v>88.06</v>
      </c>
      <c r="Z1356">
        <f>'raw data Crude oil'!Z1357</f>
        <v>111.01300000000001</v>
      </c>
      <c r="AA1356">
        <f>'raw data Crude oil'!AA1357</f>
        <v>108.2</v>
      </c>
      <c r="AB1356">
        <f>'raw data Crude oil'!AB1357</f>
        <v>103.783</v>
      </c>
      <c r="AC1356">
        <f>'raw data Crude oil'!AC1357</f>
        <v>101.16500000000001</v>
      </c>
      <c r="AD1356">
        <f>'raw data Crude oil'!AD1357</f>
        <v>99.295000000000002</v>
      </c>
      <c r="AE1356">
        <f>'raw data Crude oil'!AE1357</f>
        <v>97.754000000000005</v>
      </c>
      <c r="AF1356">
        <f>'raw data Crude oil'!AF1357</f>
        <v>96.296999999999997</v>
      </c>
      <c r="AG1356">
        <f>'raw data Crude oil'!AG1357</f>
        <v>94.83</v>
      </c>
      <c r="AH1356">
        <f>'raw data Crude oil'!AH1357</f>
        <v>93.38</v>
      </c>
      <c r="AI1356">
        <f>'raw data Crude oil'!AI1357</f>
        <v>92.055999999999997</v>
      </c>
      <c r="AJ1356">
        <f>'raw data Crude oil'!AJ1357</f>
        <v>91.171999999999997</v>
      </c>
      <c r="AK1356">
        <f>'raw data Crude oil'!AK1357</f>
        <v>90.335999999999999</v>
      </c>
    </row>
    <row r="1357" spans="1:37" x14ac:dyDescent="0.3">
      <c r="A1357" s="18">
        <f>'raw data Crude oil'!A1358</f>
        <v>44651</v>
      </c>
      <c r="B1357">
        <f>'raw data Crude oil'!B1358</f>
        <v>107.91</v>
      </c>
      <c r="C1357">
        <f>'raw data Crude oil'!C1358</f>
        <v>104.71</v>
      </c>
      <c r="D1357">
        <f>'raw data Crude oil'!D1358</f>
        <v>102.73</v>
      </c>
      <c r="E1357">
        <f>'raw data Crude oil'!E1358</f>
        <v>100.98</v>
      </c>
      <c r="F1357">
        <f>'raw data Crude oil'!F1358</f>
        <v>99.43</v>
      </c>
      <c r="G1357">
        <f>'raw data Crude oil'!G1358</f>
        <v>98.04</v>
      </c>
      <c r="H1357">
        <f>'raw data Crude oil'!H1358</f>
        <v>96.75</v>
      </c>
      <c r="I1357">
        <f>'raw data Crude oil'!I1358</f>
        <v>95.51</v>
      </c>
      <c r="J1357">
        <f>'raw data Crude oil'!J1358</f>
        <v>94.35</v>
      </c>
      <c r="K1357">
        <f>'raw data Crude oil'!K1358</f>
        <v>93.33</v>
      </c>
      <c r="L1357">
        <f>'raw data Crude oil'!L1358</f>
        <v>92.53</v>
      </c>
      <c r="M1357">
        <f>'raw data Crude oil'!M1358</f>
        <v>91.78</v>
      </c>
      <c r="N1357">
        <f>'raw data Crude oil'!N1358</f>
        <v>100.28</v>
      </c>
      <c r="O1357">
        <f>'raw data Crude oil'!O1358</f>
        <v>98.52</v>
      </c>
      <c r="P1357">
        <f>'raw data Crude oil'!P1358</f>
        <v>96.88</v>
      </c>
      <c r="Q1357">
        <f>'raw data Crude oil'!Q1358</f>
        <v>95.08</v>
      </c>
      <c r="R1357">
        <f>'raw data Crude oil'!R1358</f>
        <v>93.32</v>
      </c>
      <c r="S1357">
        <f>'raw data Crude oil'!S1358</f>
        <v>91.82</v>
      </c>
      <c r="T1357">
        <f>'raw data Crude oil'!T1358</f>
        <v>90.64</v>
      </c>
      <c r="U1357">
        <f>'raw data Crude oil'!U1358</f>
        <v>89.6</v>
      </c>
      <c r="V1357">
        <f>'raw data Crude oil'!V1358</f>
        <v>88.62</v>
      </c>
      <c r="W1357">
        <f>'raw data Crude oil'!W1358</f>
        <v>87.7</v>
      </c>
      <c r="X1357">
        <f>'raw data Crude oil'!X1358</f>
        <v>86.84</v>
      </c>
      <c r="Y1357">
        <f>'raw data Crude oil'!Y1358</f>
        <v>86.05</v>
      </c>
      <c r="Z1357">
        <f>'raw data Crude oil'!Z1358</f>
        <v>110.89400000000001</v>
      </c>
      <c r="AA1357">
        <f>'raw data Crude oil'!AA1358</f>
        <v>102.31100000000001</v>
      </c>
      <c r="AB1357">
        <f>'raw data Crude oil'!AB1358</f>
        <v>98.4</v>
      </c>
      <c r="AC1357">
        <f>'raw data Crude oil'!AC1358</f>
        <v>96.52</v>
      </c>
      <c r="AD1357">
        <f>'raw data Crude oil'!AD1358</f>
        <v>95.293999999999997</v>
      </c>
      <c r="AE1357">
        <f>'raw data Crude oil'!AE1358</f>
        <v>94.263999999999996</v>
      </c>
      <c r="AF1357">
        <f>'raw data Crude oil'!AF1358</f>
        <v>93.284000000000006</v>
      </c>
      <c r="AG1357">
        <f>'raw data Crude oil'!AG1358</f>
        <v>92.094999999999999</v>
      </c>
      <c r="AH1357">
        <f>'raw data Crude oil'!AH1358</f>
        <v>90.944000000000003</v>
      </c>
      <c r="AI1357">
        <f>'raw data Crude oil'!AI1358</f>
        <v>89.894000000000005</v>
      </c>
      <c r="AJ1357">
        <f>'raw data Crude oil'!AJ1358</f>
        <v>89.274000000000001</v>
      </c>
      <c r="AK1357">
        <f>'raw data Crude oil'!AK1358</f>
        <v>88.677999999999997</v>
      </c>
    </row>
    <row r="1358" spans="1:37" x14ac:dyDescent="0.3">
      <c r="A1358" s="18">
        <f>'raw data Crude oil'!A1359</f>
        <v>44652</v>
      </c>
      <c r="B1358">
        <f>'raw data Crude oil'!B1359</f>
        <v>104.39</v>
      </c>
      <c r="C1358">
        <f>'raw data Crude oil'!C1359</f>
        <v>102.82</v>
      </c>
      <c r="D1358">
        <f>'raw data Crude oil'!D1359</f>
        <v>101.44</v>
      </c>
      <c r="E1358">
        <f>'raw data Crude oil'!E1359</f>
        <v>100.24</v>
      </c>
      <c r="F1358">
        <f>'raw data Crude oil'!F1359</f>
        <v>99.12</v>
      </c>
      <c r="G1358">
        <f>'raw data Crude oil'!G1359</f>
        <v>98.03</v>
      </c>
      <c r="H1358">
        <f>'raw data Crude oil'!H1359</f>
        <v>97</v>
      </c>
      <c r="I1358">
        <f>'raw data Crude oil'!I1359</f>
        <v>96.01</v>
      </c>
      <c r="J1358">
        <f>'raw data Crude oil'!J1359</f>
        <v>95.1</v>
      </c>
      <c r="K1358">
        <f>'raw data Crude oil'!K1359</f>
        <v>94.38</v>
      </c>
      <c r="L1358">
        <f>'raw data Crude oil'!L1359</f>
        <v>93.67</v>
      </c>
      <c r="M1358">
        <f>'raw data Crude oil'!M1359</f>
        <v>93.05</v>
      </c>
      <c r="N1358">
        <f>'raw data Crude oil'!N1359</f>
        <v>99.27</v>
      </c>
      <c r="O1358">
        <f>'raw data Crude oil'!O1359</f>
        <v>97.9</v>
      </c>
      <c r="P1358">
        <f>'raw data Crude oil'!P1359</f>
        <v>96.76</v>
      </c>
      <c r="Q1358">
        <f>'raw data Crude oil'!Q1359</f>
        <v>95.53</v>
      </c>
      <c r="R1358">
        <f>'raw data Crude oil'!R1359</f>
        <v>94.29</v>
      </c>
      <c r="S1358">
        <f>'raw data Crude oil'!S1359</f>
        <v>93.17</v>
      </c>
      <c r="T1358">
        <f>'raw data Crude oil'!T1359</f>
        <v>92.22</v>
      </c>
      <c r="U1358">
        <f>'raw data Crude oil'!U1359</f>
        <v>91.33</v>
      </c>
      <c r="V1358">
        <f>'raw data Crude oil'!V1359</f>
        <v>90.48</v>
      </c>
      <c r="W1358">
        <f>'raw data Crude oil'!W1359</f>
        <v>89.68</v>
      </c>
      <c r="X1358">
        <f>'raw data Crude oil'!X1359</f>
        <v>88.91</v>
      </c>
      <c r="Y1358">
        <f>'raw data Crude oil'!Y1359</f>
        <v>88.19</v>
      </c>
      <c r="Z1358">
        <f>'raw data Crude oil'!Z1359</f>
        <v>110.89400000000001</v>
      </c>
      <c r="AA1358">
        <f>'raw data Crude oil'!AA1359</f>
        <v>101.873</v>
      </c>
      <c r="AB1358">
        <f>'raw data Crude oil'!AB1359</f>
        <v>98.617000000000004</v>
      </c>
      <c r="AC1358">
        <f>'raw data Crude oil'!AC1359</f>
        <v>97.114999999999995</v>
      </c>
      <c r="AD1358">
        <f>'raw data Crude oil'!AD1359</f>
        <v>96.167000000000002</v>
      </c>
      <c r="AE1358">
        <f>'raw data Crude oil'!AE1359</f>
        <v>95.373000000000005</v>
      </c>
      <c r="AF1358">
        <f>'raw data Crude oil'!AF1359</f>
        <v>94.613</v>
      </c>
      <c r="AG1358">
        <f>'raw data Crude oil'!AG1359</f>
        <v>93.632999999999996</v>
      </c>
      <c r="AH1358">
        <f>'raw data Crude oil'!AH1359</f>
        <v>92.649000000000001</v>
      </c>
      <c r="AI1358">
        <f>'raw data Crude oil'!AI1359</f>
        <v>91.710999999999999</v>
      </c>
      <c r="AJ1358">
        <f>'raw data Crude oil'!AJ1359</f>
        <v>91.176000000000002</v>
      </c>
      <c r="AK1358">
        <f>'raw data Crude oil'!AK1359</f>
        <v>90.638999999999996</v>
      </c>
    </row>
    <row r="1359" spans="1:37" x14ac:dyDescent="0.3">
      <c r="A1359" s="18">
        <f>'raw data Crude oil'!A1360</f>
        <v>44655</v>
      </c>
      <c r="B1359">
        <f>'raw data Crude oil'!B1360</f>
        <v>107.53</v>
      </c>
      <c r="C1359">
        <f>'raw data Crude oil'!C1360</f>
        <v>106</v>
      </c>
      <c r="D1359">
        <f>'raw data Crude oil'!D1360</f>
        <v>104.56</v>
      </c>
      <c r="E1359">
        <f>'raw data Crude oil'!E1360</f>
        <v>103.26</v>
      </c>
      <c r="F1359">
        <f>'raw data Crude oil'!F1360</f>
        <v>102.06</v>
      </c>
      <c r="G1359">
        <f>'raw data Crude oil'!G1360</f>
        <v>100.93</v>
      </c>
      <c r="H1359">
        <f>'raw data Crude oil'!H1360</f>
        <v>99.85</v>
      </c>
      <c r="I1359">
        <f>'raw data Crude oil'!I1360</f>
        <v>98.81</v>
      </c>
      <c r="J1359">
        <f>'raw data Crude oil'!J1360</f>
        <v>97.81</v>
      </c>
      <c r="K1359">
        <f>'raw data Crude oil'!K1360</f>
        <v>96.97</v>
      </c>
      <c r="L1359">
        <f>'raw data Crude oil'!L1360</f>
        <v>96.18</v>
      </c>
      <c r="M1359">
        <f>'raw data Crude oil'!M1360</f>
        <v>95.48</v>
      </c>
      <c r="N1359">
        <f>'raw data Crude oil'!N1360</f>
        <v>103.28</v>
      </c>
      <c r="O1359">
        <f>'raw data Crude oil'!O1360</f>
        <v>101.84</v>
      </c>
      <c r="P1359">
        <f>'raw data Crude oil'!P1360</f>
        <v>100.6</v>
      </c>
      <c r="Q1359">
        <f>'raw data Crude oil'!Q1360</f>
        <v>99.28</v>
      </c>
      <c r="R1359">
        <f>'raw data Crude oil'!R1360</f>
        <v>97.95</v>
      </c>
      <c r="S1359">
        <f>'raw data Crude oil'!S1360</f>
        <v>96.66</v>
      </c>
      <c r="T1359">
        <f>'raw data Crude oil'!T1360</f>
        <v>95.52</v>
      </c>
      <c r="U1359">
        <f>'raw data Crude oil'!U1360</f>
        <v>94.47</v>
      </c>
      <c r="V1359">
        <f>'raw data Crude oil'!V1360</f>
        <v>93.49</v>
      </c>
      <c r="W1359">
        <f>'raw data Crude oil'!W1360</f>
        <v>92.55</v>
      </c>
      <c r="X1359">
        <f>'raw data Crude oil'!X1360</f>
        <v>91.66</v>
      </c>
      <c r="Y1359">
        <f>'raw data Crude oil'!Y1360</f>
        <v>90.83</v>
      </c>
      <c r="Z1359">
        <f>'raw data Crude oil'!Z1360</f>
        <v>104.404</v>
      </c>
      <c r="AA1359">
        <f>'raw data Crude oil'!AA1360</f>
        <v>101.705</v>
      </c>
      <c r="AB1359">
        <f>'raw data Crude oil'!AB1360</f>
        <v>100.241</v>
      </c>
      <c r="AC1359">
        <f>'raw data Crude oil'!AC1360</f>
        <v>99.293000000000006</v>
      </c>
      <c r="AD1359">
        <f>'raw data Crude oil'!AD1360</f>
        <v>98.450999999999993</v>
      </c>
      <c r="AE1359">
        <f>'raw data Crude oil'!AE1360</f>
        <v>97.611000000000004</v>
      </c>
      <c r="AF1359">
        <f>'raw data Crude oil'!AF1360</f>
        <v>96.53</v>
      </c>
      <c r="AG1359">
        <f>'raw data Crude oil'!AG1360</f>
        <v>95.504999999999995</v>
      </c>
      <c r="AH1359">
        <f>'raw data Crude oil'!AH1360</f>
        <v>94.46</v>
      </c>
      <c r="AI1359">
        <f>'raw data Crude oil'!AI1360</f>
        <v>93.822000000000003</v>
      </c>
      <c r="AJ1359">
        <f>'raw data Crude oil'!AJ1360</f>
        <v>93.185000000000002</v>
      </c>
      <c r="AK1359">
        <f>'raw data Crude oil'!AK1360</f>
        <v>92.558999999999997</v>
      </c>
    </row>
    <row r="1360" spans="1:37" x14ac:dyDescent="0.3">
      <c r="A1360" s="18">
        <f>'raw data Crude oil'!A1361</f>
        <v>44656</v>
      </c>
      <c r="B1360">
        <f>'raw data Crude oil'!B1361</f>
        <v>106.64</v>
      </c>
      <c r="C1360">
        <f>'raw data Crude oil'!C1361</f>
        <v>105.2</v>
      </c>
      <c r="D1360">
        <f>'raw data Crude oil'!D1361</f>
        <v>103.8</v>
      </c>
      <c r="E1360">
        <f>'raw data Crude oil'!E1361</f>
        <v>102.51</v>
      </c>
      <c r="F1360">
        <f>'raw data Crude oil'!F1361</f>
        <v>101.31</v>
      </c>
      <c r="G1360">
        <f>'raw data Crude oil'!G1361</f>
        <v>100.17</v>
      </c>
      <c r="H1360">
        <f>'raw data Crude oil'!H1361</f>
        <v>99.05</v>
      </c>
      <c r="I1360">
        <f>'raw data Crude oil'!I1361</f>
        <v>97.99</v>
      </c>
      <c r="J1360">
        <f>'raw data Crude oil'!J1361</f>
        <v>96.98</v>
      </c>
      <c r="K1360">
        <f>'raw data Crude oil'!K1361</f>
        <v>96.13</v>
      </c>
      <c r="L1360">
        <f>'raw data Crude oil'!L1361</f>
        <v>95.34</v>
      </c>
      <c r="M1360">
        <f>'raw data Crude oil'!M1361</f>
        <v>94.64</v>
      </c>
      <c r="N1360">
        <f>'raw data Crude oil'!N1361</f>
        <v>101.96</v>
      </c>
      <c r="O1360">
        <f>'raw data Crude oil'!O1361</f>
        <v>100.68</v>
      </c>
      <c r="P1360">
        <f>'raw data Crude oil'!P1361</f>
        <v>99.55</v>
      </c>
      <c r="Q1360">
        <f>'raw data Crude oil'!Q1361</f>
        <v>98.31</v>
      </c>
      <c r="R1360">
        <f>'raw data Crude oil'!R1361</f>
        <v>97.07</v>
      </c>
      <c r="S1360">
        <f>'raw data Crude oil'!S1361</f>
        <v>95.88</v>
      </c>
      <c r="T1360">
        <f>'raw data Crude oil'!T1361</f>
        <v>94.78</v>
      </c>
      <c r="U1360">
        <f>'raw data Crude oil'!U1361</f>
        <v>93.74</v>
      </c>
      <c r="V1360">
        <f>'raw data Crude oil'!V1361</f>
        <v>92.76</v>
      </c>
      <c r="W1360">
        <f>'raw data Crude oil'!W1361</f>
        <v>91.82</v>
      </c>
      <c r="X1360">
        <f>'raw data Crude oil'!X1361</f>
        <v>90.93</v>
      </c>
      <c r="Y1360">
        <f>'raw data Crude oil'!Y1361</f>
        <v>90.08</v>
      </c>
      <c r="Z1360">
        <f>'raw data Crude oil'!Z1361</f>
        <v>103.542</v>
      </c>
      <c r="AA1360">
        <f>'raw data Crude oil'!AA1361</f>
        <v>100.65600000000001</v>
      </c>
      <c r="AB1360">
        <f>'raw data Crude oil'!AB1361</f>
        <v>99.210999999999999</v>
      </c>
      <c r="AC1360">
        <f>'raw data Crude oil'!AC1361</f>
        <v>98.293000000000006</v>
      </c>
      <c r="AD1360">
        <f>'raw data Crude oil'!AD1361</f>
        <v>97.46</v>
      </c>
      <c r="AE1360">
        <f>'raw data Crude oil'!AE1361</f>
        <v>96.638999999999996</v>
      </c>
      <c r="AF1360">
        <f>'raw data Crude oil'!AF1361</f>
        <v>95.55</v>
      </c>
      <c r="AG1360">
        <f>'raw data Crude oil'!AG1361</f>
        <v>94.463999999999999</v>
      </c>
      <c r="AH1360">
        <f>'raw data Crude oil'!AH1361</f>
        <v>93.578999999999994</v>
      </c>
      <c r="AI1360">
        <f>'raw data Crude oil'!AI1361</f>
        <v>92.882000000000005</v>
      </c>
      <c r="AJ1360">
        <f>'raw data Crude oil'!AJ1361</f>
        <v>92.334999999999994</v>
      </c>
      <c r="AK1360">
        <f>'raw data Crude oil'!AK1361</f>
        <v>91.778999999999996</v>
      </c>
    </row>
    <row r="1361" spans="1:37" x14ac:dyDescent="0.3">
      <c r="A1361" s="18">
        <f>'raw data Crude oil'!A1362</f>
        <v>44657</v>
      </c>
      <c r="B1361">
        <f>'raw data Crude oil'!B1362</f>
        <v>101.07</v>
      </c>
      <c r="C1361">
        <f>'raw data Crude oil'!C1362</f>
        <v>100.25</v>
      </c>
      <c r="D1361">
        <f>'raw data Crude oil'!D1362</f>
        <v>99.31</v>
      </c>
      <c r="E1361">
        <f>'raw data Crude oil'!E1362</f>
        <v>98.38</v>
      </c>
      <c r="F1361">
        <f>'raw data Crude oil'!F1362</f>
        <v>97.43</v>
      </c>
      <c r="G1361">
        <f>'raw data Crude oil'!G1362</f>
        <v>96.51</v>
      </c>
      <c r="H1361">
        <f>'raw data Crude oil'!H1362</f>
        <v>95.63</v>
      </c>
      <c r="I1361">
        <f>'raw data Crude oil'!I1362</f>
        <v>94.77</v>
      </c>
      <c r="J1361">
        <f>'raw data Crude oil'!J1362</f>
        <v>93.95</v>
      </c>
      <c r="K1361">
        <f>'raw data Crude oil'!K1362</f>
        <v>93.25</v>
      </c>
      <c r="L1361">
        <f>'raw data Crude oil'!L1362</f>
        <v>92.58</v>
      </c>
      <c r="M1361">
        <f>'raw data Crude oil'!M1362</f>
        <v>91.99</v>
      </c>
      <c r="N1361">
        <f>'raw data Crude oil'!N1362</f>
        <v>96.23</v>
      </c>
      <c r="O1361">
        <f>'raw data Crude oil'!O1362</f>
        <v>95.41</v>
      </c>
      <c r="P1361">
        <f>'raw data Crude oil'!P1362</f>
        <v>94.63</v>
      </c>
      <c r="Q1361">
        <f>'raw data Crude oil'!Q1362</f>
        <v>93.76</v>
      </c>
      <c r="R1361">
        <f>'raw data Crude oil'!R1362</f>
        <v>92.86</v>
      </c>
      <c r="S1361">
        <f>'raw data Crude oil'!S1362</f>
        <v>91.98</v>
      </c>
      <c r="T1361">
        <f>'raw data Crude oil'!T1362</f>
        <v>91.17</v>
      </c>
      <c r="U1361">
        <f>'raw data Crude oil'!U1362</f>
        <v>90.37</v>
      </c>
      <c r="V1361">
        <f>'raw data Crude oil'!V1362</f>
        <v>89.59</v>
      </c>
      <c r="W1361">
        <f>'raw data Crude oil'!W1362</f>
        <v>88.82</v>
      </c>
      <c r="X1361">
        <f>'raw data Crude oil'!X1362</f>
        <v>88.08</v>
      </c>
      <c r="Y1361">
        <f>'raw data Crude oil'!Y1362</f>
        <v>87.39</v>
      </c>
      <c r="Z1361">
        <f>'raw data Crude oil'!Z1362</f>
        <v>98.756</v>
      </c>
      <c r="AA1361">
        <f>'raw data Crude oil'!AA1362</f>
        <v>95.167000000000002</v>
      </c>
      <c r="AB1361">
        <f>'raw data Crude oil'!AB1362</f>
        <v>94.128</v>
      </c>
      <c r="AC1361">
        <f>'raw data Crude oil'!AC1362</f>
        <v>93.594999999999999</v>
      </c>
      <c r="AD1361">
        <f>'raw data Crude oil'!AD1362</f>
        <v>93.02</v>
      </c>
      <c r="AE1361">
        <f>'raw data Crude oil'!AE1362</f>
        <v>92.44</v>
      </c>
      <c r="AF1361">
        <f>'raw data Crude oil'!AF1362</f>
        <v>91.888999999999996</v>
      </c>
      <c r="AG1361">
        <f>'raw data Crude oil'!AG1362</f>
        <v>91.123000000000005</v>
      </c>
      <c r="AH1361">
        <f>'raw data Crude oil'!AH1362</f>
        <v>90.382999999999996</v>
      </c>
      <c r="AI1361">
        <f>'raw data Crude oil'!AI1362</f>
        <v>89.918000000000006</v>
      </c>
      <c r="AJ1361">
        <f>'raw data Crude oil'!AJ1362</f>
        <v>89.501999999999995</v>
      </c>
      <c r="AK1361">
        <f>'raw data Crude oil'!AK1362</f>
        <v>89.063999999999993</v>
      </c>
    </row>
    <row r="1362" spans="1:37" x14ac:dyDescent="0.3">
      <c r="A1362" s="18">
        <f>'raw data Crude oil'!A1363</f>
        <v>44658</v>
      </c>
      <c r="B1362">
        <f>'raw data Crude oil'!B1363</f>
        <v>100.58</v>
      </c>
      <c r="C1362">
        <f>'raw data Crude oil'!C1363</f>
        <v>100.05</v>
      </c>
      <c r="D1362">
        <f>'raw data Crude oil'!D1363</f>
        <v>99.36</v>
      </c>
      <c r="E1362">
        <f>'raw data Crude oil'!E1363</f>
        <v>98.62</v>
      </c>
      <c r="F1362">
        <f>'raw data Crude oil'!F1363</f>
        <v>97.79</v>
      </c>
      <c r="G1362">
        <f>'raw data Crude oil'!G1363</f>
        <v>96.95</v>
      </c>
      <c r="H1362">
        <f>'raw data Crude oil'!H1363</f>
        <v>96.12</v>
      </c>
      <c r="I1362">
        <f>'raw data Crude oil'!I1363</f>
        <v>95.31</v>
      </c>
      <c r="J1362">
        <f>'raw data Crude oil'!J1363</f>
        <v>94.53</v>
      </c>
      <c r="K1362">
        <f>'raw data Crude oil'!K1363</f>
        <v>93.86</v>
      </c>
      <c r="L1362">
        <f>'raw data Crude oil'!L1363</f>
        <v>93.18</v>
      </c>
      <c r="M1362">
        <f>'raw data Crude oil'!M1363</f>
        <v>92.6</v>
      </c>
      <c r="N1362">
        <f>'raw data Crude oil'!N1363</f>
        <v>96.03</v>
      </c>
      <c r="O1362">
        <f>'raw data Crude oil'!O1363</f>
        <v>95.51</v>
      </c>
      <c r="P1362">
        <f>'raw data Crude oil'!P1363</f>
        <v>94.81</v>
      </c>
      <c r="Q1362">
        <f>'raw data Crude oil'!Q1363</f>
        <v>94.12</v>
      </c>
      <c r="R1362">
        <f>'raw data Crude oil'!R1363</f>
        <v>93.42</v>
      </c>
      <c r="S1362">
        <f>'raw data Crude oil'!S1363</f>
        <v>92.68</v>
      </c>
      <c r="T1362">
        <f>'raw data Crude oil'!T1363</f>
        <v>91.94</v>
      </c>
      <c r="U1362">
        <f>'raw data Crude oil'!U1363</f>
        <v>91.19</v>
      </c>
      <c r="V1362">
        <f>'raw data Crude oil'!V1363</f>
        <v>90.47</v>
      </c>
      <c r="W1362">
        <f>'raw data Crude oil'!W1363</f>
        <v>89.74</v>
      </c>
      <c r="X1362">
        <f>'raw data Crude oil'!X1363</f>
        <v>89.01</v>
      </c>
      <c r="Y1362">
        <f>'raw data Crude oil'!Y1363</f>
        <v>88.32</v>
      </c>
      <c r="Z1362">
        <f>'raw data Crude oil'!Z1363</f>
        <v>98.397000000000006</v>
      </c>
      <c r="AA1362">
        <f>'raw data Crude oil'!AA1363</f>
        <v>95.459000000000003</v>
      </c>
      <c r="AB1362">
        <f>'raw data Crude oil'!AB1363</f>
        <v>94.676000000000002</v>
      </c>
      <c r="AC1362">
        <f>'raw data Crude oil'!AC1363</f>
        <v>94.18</v>
      </c>
      <c r="AD1362">
        <f>'raw data Crude oil'!AD1363</f>
        <v>93.623000000000005</v>
      </c>
      <c r="AE1362">
        <f>'raw data Crude oil'!AE1363</f>
        <v>93.081999999999994</v>
      </c>
      <c r="AF1362">
        <f>'raw data Crude oil'!AF1363</f>
        <v>92.480999999999995</v>
      </c>
      <c r="AG1362">
        <f>'raw data Crude oil'!AG1363</f>
        <v>91.795000000000002</v>
      </c>
      <c r="AH1362">
        <f>'raw data Crude oil'!AH1363</f>
        <v>91.105999999999995</v>
      </c>
      <c r="AI1362">
        <f>'raw data Crude oil'!AI1363</f>
        <v>90.578000000000003</v>
      </c>
      <c r="AJ1362">
        <f>'raw data Crude oil'!AJ1363</f>
        <v>90.081000000000003</v>
      </c>
      <c r="AK1362">
        <f>'raw data Crude oil'!AK1363</f>
        <v>89.605999999999995</v>
      </c>
    </row>
    <row r="1363" spans="1:37" x14ac:dyDescent="0.3">
      <c r="A1363" s="18">
        <f>'raw data Crude oil'!A1364</f>
        <v>44659</v>
      </c>
      <c r="B1363">
        <f>'raw data Crude oil'!B1364</f>
        <v>102.78</v>
      </c>
      <c r="C1363">
        <f>'raw data Crude oil'!C1364</f>
        <v>102.17</v>
      </c>
      <c r="D1363">
        <f>'raw data Crude oil'!D1364</f>
        <v>101.37</v>
      </c>
      <c r="E1363">
        <f>'raw data Crude oil'!E1364</f>
        <v>100.58</v>
      </c>
      <c r="F1363">
        <f>'raw data Crude oil'!F1364</f>
        <v>99.74</v>
      </c>
      <c r="G1363">
        <f>'raw data Crude oil'!G1364</f>
        <v>98.86</v>
      </c>
      <c r="H1363">
        <f>'raw data Crude oil'!H1364</f>
        <v>97.95</v>
      </c>
      <c r="I1363">
        <f>'raw data Crude oil'!I1364</f>
        <v>97.04</v>
      </c>
      <c r="J1363">
        <f>'raw data Crude oil'!J1364</f>
        <v>96.15</v>
      </c>
      <c r="K1363">
        <f>'raw data Crude oil'!K1364</f>
        <v>95.36</v>
      </c>
      <c r="L1363">
        <f>'raw data Crude oil'!L1364</f>
        <v>94.58</v>
      </c>
      <c r="M1363">
        <f>'raw data Crude oil'!M1364</f>
        <v>93.9</v>
      </c>
      <c r="N1363">
        <f>'raw data Crude oil'!N1364</f>
        <v>98.26</v>
      </c>
      <c r="O1363">
        <f>'raw data Crude oil'!O1364</f>
        <v>97.73</v>
      </c>
      <c r="P1363">
        <f>'raw data Crude oil'!P1364</f>
        <v>97.01</v>
      </c>
      <c r="Q1363">
        <f>'raw data Crude oil'!Q1364</f>
        <v>96.29</v>
      </c>
      <c r="R1363">
        <f>'raw data Crude oil'!R1364</f>
        <v>95.51</v>
      </c>
      <c r="S1363">
        <f>'raw data Crude oil'!S1364</f>
        <v>94.66</v>
      </c>
      <c r="T1363">
        <f>'raw data Crude oil'!T1364</f>
        <v>93.82</v>
      </c>
      <c r="U1363">
        <f>'raw data Crude oil'!U1364</f>
        <v>92.99</v>
      </c>
      <c r="V1363">
        <f>'raw data Crude oil'!V1364</f>
        <v>92.17</v>
      </c>
      <c r="W1363">
        <f>'raw data Crude oil'!W1364</f>
        <v>91.35</v>
      </c>
      <c r="X1363">
        <f>'raw data Crude oil'!X1364</f>
        <v>90.54</v>
      </c>
      <c r="Y1363">
        <f>'raw data Crude oil'!Y1364</f>
        <v>89.77</v>
      </c>
      <c r="Z1363">
        <f>'raw data Crude oil'!Z1364</f>
        <v>99.86</v>
      </c>
      <c r="AA1363">
        <f>'raw data Crude oil'!AA1364</f>
        <v>97.634</v>
      </c>
      <c r="AB1363">
        <f>'raw data Crude oil'!AB1364</f>
        <v>96.763999999999996</v>
      </c>
      <c r="AC1363">
        <f>'raw data Crude oil'!AC1364</f>
        <v>96.05</v>
      </c>
      <c r="AD1363">
        <f>'raw data Crude oil'!AD1364</f>
        <v>95.492000000000004</v>
      </c>
      <c r="AE1363">
        <f>'raw data Crude oil'!AE1364</f>
        <v>94.938999999999993</v>
      </c>
      <c r="AF1363">
        <f>'raw data Crude oil'!AF1364</f>
        <v>94.287000000000006</v>
      </c>
      <c r="AG1363">
        <f>'raw data Crude oil'!AG1364</f>
        <v>93.39</v>
      </c>
      <c r="AH1363">
        <f>'raw data Crude oil'!AH1364</f>
        <v>92.495000000000005</v>
      </c>
      <c r="AI1363">
        <f>'raw data Crude oil'!AI1364</f>
        <v>91.942999999999998</v>
      </c>
      <c r="AJ1363">
        <f>'raw data Crude oil'!AJ1364</f>
        <v>91.406000000000006</v>
      </c>
      <c r="AK1363">
        <f>'raw data Crude oil'!AK1364</f>
        <v>90.872</v>
      </c>
    </row>
    <row r="1364" spans="1:37" x14ac:dyDescent="0.3">
      <c r="A1364" s="18">
        <f>'raw data Crude oil'!A1365</f>
        <v>44662</v>
      </c>
      <c r="B1364">
        <f>'raw data Crude oil'!B1365</f>
        <v>98.48</v>
      </c>
      <c r="C1364">
        <f>'raw data Crude oil'!C1365</f>
        <v>98.27</v>
      </c>
      <c r="D1364">
        <f>'raw data Crude oil'!D1365</f>
        <v>97.87</v>
      </c>
      <c r="E1364">
        <f>'raw data Crude oil'!E1365</f>
        <v>97.4</v>
      </c>
      <c r="F1364">
        <f>'raw data Crude oil'!F1365</f>
        <v>96.82</v>
      </c>
      <c r="G1364">
        <f>'raw data Crude oil'!G1365</f>
        <v>96.16</v>
      </c>
      <c r="H1364">
        <f>'raw data Crude oil'!H1365</f>
        <v>95.45</v>
      </c>
      <c r="I1364">
        <f>'raw data Crude oil'!I1365</f>
        <v>94.73</v>
      </c>
      <c r="J1364">
        <f>'raw data Crude oil'!J1365</f>
        <v>93.99</v>
      </c>
      <c r="K1364">
        <f>'raw data Crude oil'!K1365</f>
        <v>93.32</v>
      </c>
      <c r="L1364">
        <f>'raw data Crude oil'!L1365</f>
        <v>92.64</v>
      </c>
      <c r="M1364">
        <f>'raw data Crude oil'!M1365</f>
        <v>92.06</v>
      </c>
      <c r="N1364">
        <f>'raw data Crude oil'!N1365</f>
        <v>94.29</v>
      </c>
      <c r="O1364">
        <f>'raw data Crude oil'!O1365</f>
        <v>93.92</v>
      </c>
      <c r="P1364">
        <f>'raw data Crude oil'!P1365</f>
        <v>93.46</v>
      </c>
      <c r="Q1364">
        <f>'raw data Crude oil'!Q1365</f>
        <v>92.97</v>
      </c>
      <c r="R1364">
        <f>'raw data Crude oil'!R1365</f>
        <v>92.46</v>
      </c>
      <c r="S1364">
        <f>'raw data Crude oil'!S1365</f>
        <v>91.86</v>
      </c>
      <c r="T1364">
        <f>'raw data Crude oil'!T1365</f>
        <v>91.23</v>
      </c>
      <c r="U1364">
        <f>'raw data Crude oil'!U1365</f>
        <v>90.58</v>
      </c>
      <c r="V1364">
        <f>'raw data Crude oil'!V1365</f>
        <v>89.92</v>
      </c>
      <c r="W1364">
        <f>'raw data Crude oil'!W1365</f>
        <v>89.23</v>
      </c>
      <c r="X1364">
        <f>'raw data Crude oil'!X1365</f>
        <v>88.53</v>
      </c>
      <c r="Y1364">
        <f>'raw data Crude oil'!Y1365</f>
        <v>87.84</v>
      </c>
      <c r="Z1364">
        <f>'raw data Crude oil'!Z1365</f>
        <v>97.545000000000002</v>
      </c>
      <c r="AA1364">
        <f>'raw data Crude oil'!AA1365</f>
        <v>93.998999999999995</v>
      </c>
      <c r="AB1364">
        <f>'raw data Crude oil'!AB1365</f>
        <v>93.519000000000005</v>
      </c>
      <c r="AC1364">
        <f>'raw data Crude oil'!AC1365</f>
        <v>93.018000000000001</v>
      </c>
      <c r="AD1364">
        <f>'raw data Crude oil'!AD1365</f>
        <v>92.537999999999997</v>
      </c>
      <c r="AE1364">
        <f>'raw data Crude oil'!AE1365</f>
        <v>92.067999999999998</v>
      </c>
      <c r="AF1364">
        <f>'raw data Crude oil'!AF1365</f>
        <v>91.518000000000001</v>
      </c>
      <c r="AG1364">
        <f>'raw data Crude oil'!AG1365</f>
        <v>90.927999999999997</v>
      </c>
      <c r="AH1364">
        <f>'raw data Crude oil'!AH1365</f>
        <v>90.337999999999994</v>
      </c>
      <c r="AI1364">
        <f>'raw data Crude oil'!AI1365</f>
        <v>89.822999999999993</v>
      </c>
      <c r="AJ1364">
        <f>'raw data Crude oil'!AJ1365</f>
        <v>89.361000000000004</v>
      </c>
      <c r="AK1364">
        <f>'raw data Crude oil'!AK1365</f>
        <v>88.927000000000007</v>
      </c>
    </row>
    <row r="1365" spans="1:37" x14ac:dyDescent="0.3">
      <c r="A1365" s="18">
        <f>'raw data Crude oil'!A1366</f>
        <v>44663</v>
      </c>
      <c r="B1365">
        <f>'raw data Crude oil'!B1366</f>
        <v>104.64</v>
      </c>
      <c r="C1365">
        <f>'raw data Crude oil'!C1366</f>
        <v>104.22</v>
      </c>
      <c r="D1365">
        <f>'raw data Crude oil'!D1366</f>
        <v>103.55</v>
      </c>
      <c r="E1365">
        <f>'raw data Crude oil'!E1366</f>
        <v>102.71</v>
      </c>
      <c r="F1365">
        <f>'raw data Crude oil'!F1366</f>
        <v>101.75</v>
      </c>
      <c r="G1365">
        <f>'raw data Crude oil'!G1366</f>
        <v>100.74</v>
      </c>
      <c r="H1365">
        <f>'raw data Crude oil'!H1366</f>
        <v>99.7</v>
      </c>
      <c r="I1365">
        <f>'raw data Crude oil'!I1366</f>
        <v>98.68</v>
      </c>
      <c r="J1365">
        <f>'raw data Crude oil'!J1366</f>
        <v>97.67</v>
      </c>
      <c r="K1365">
        <f>'raw data Crude oil'!K1366</f>
        <v>96.75</v>
      </c>
      <c r="L1365">
        <f>'raw data Crude oil'!L1366</f>
        <v>95.86</v>
      </c>
      <c r="M1365">
        <f>'raw data Crude oil'!M1366</f>
        <v>95.09</v>
      </c>
      <c r="N1365">
        <f>'raw data Crude oil'!N1366</f>
        <v>100.6</v>
      </c>
      <c r="O1365">
        <f>'raw data Crude oil'!O1366</f>
        <v>100.15</v>
      </c>
      <c r="P1365">
        <f>'raw data Crude oil'!P1366</f>
        <v>99.4</v>
      </c>
      <c r="Q1365">
        <f>'raw data Crude oil'!Q1366</f>
        <v>98.52</v>
      </c>
      <c r="R1365">
        <f>'raw data Crude oil'!R1366</f>
        <v>97.58</v>
      </c>
      <c r="S1365">
        <f>'raw data Crude oil'!S1366</f>
        <v>96.57</v>
      </c>
      <c r="T1365">
        <f>'raw data Crude oil'!T1366</f>
        <v>95.59</v>
      </c>
      <c r="U1365">
        <f>'raw data Crude oil'!U1366</f>
        <v>94.62</v>
      </c>
      <c r="V1365">
        <f>'raw data Crude oil'!V1366</f>
        <v>93.67</v>
      </c>
      <c r="W1365">
        <f>'raw data Crude oil'!W1366</f>
        <v>92.71</v>
      </c>
      <c r="X1365">
        <f>'raw data Crude oil'!X1366</f>
        <v>91.78</v>
      </c>
      <c r="Y1365">
        <f>'raw data Crude oil'!Y1366</f>
        <v>90.89</v>
      </c>
      <c r="Z1365">
        <f>'raw data Crude oil'!Z1366</f>
        <v>101.51900000000001</v>
      </c>
      <c r="AA1365">
        <f>'raw data Crude oil'!AA1366</f>
        <v>100.33</v>
      </c>
      <c r="AB1365">
        <f>'raw data Crude oil'!AB1366</f>
        <v>99.501999999999995</v>
      </c>
      <c r="AC1365">
        <f>'raw data Crude oil'!AC1366</f>
        <v>98.617000000000004</v>
      </c>
      <c r="AD1365">
        <f>'raw data Crude oil'!AD1366</f>
        <v>97.706000000000003</v>
      </c>
      <c r="AE1365">
        <f>'raw data Crude oil'!AE1366</f>
        <v>96.873000000000005</v>
      </c>
      <c r="AF1365">
        <f>'raw data Crude oil'!AF1366</f>
        <v>96.031000000000006</v>
      </c>
      <c r="AG1365">
        <f>'raw data Crude oil'!AG1366</f>
        <v>95.084000000000003</v>
      </c>
      <c r="AH1365">
        <f>'raw data Crude oil'!AH1366</f>
        <v>94.152000000000001</v>
      </c>
      <c r="AI1365">
        <f>'raw data Crude oil'!AI1366</f>
        <v>93.408000000000001</v>
      </c>
      <c r="AJ1365">
        <f>'raw data Crude oil'!AJ1366</f>
        <v>92.671999999999997</v>
      </c>
      <c r="AK1365">
        <f>'raw data Crude oil'!AK1366</f>
        <v>92.019000000000005</v>
      </c>
    </row>
    <row r="1366" spans="1:37" x14ac:dyDescent="0.3">
      <c r="A1366" s="18">
        <f>'raw data Crude oil'!A1367</f>
        <v>44664</v>
      </c>
      <c r="B1366">
        <f>'raw data Crude oil'!B1367</f>
        <v>108.78</v>
      </c>
      <c r="C1366">
        <f>'raw data Crude oil'!C1367</f>
        <v>108.08</v>
      </c>
      <c r="D1366">
        <f>'raw data Crude oil'!D1367</f>
        <v>106.99</v>
      </c>
      <c r="E1366">
        <f>'raw data Crude oil'!E1367</f>
        <v>105.81</v>
      </c>
      <c r="F1366">
        <f>'raw data Crude oil'!F1367</f>
        <v>104.6</v>
      </c>
      <c r="G1366">
        <f>'raw data Crude oil'!G1367</f>
        <v>103.42</v>
      </c>
      <c r="H1366">
        <f>'raw data Crude oil'!H1367</f>
        <v>102.24</v>
      </c>
      <c r="I1366">
        <f>'raw data Crude oil'!I1367</f>
        <v>101.1</v>
      </c>
      <c r="J1366">
        <f>'raw data Crude oil'!J1367</f>
        <v>100</v>
      </c>
      <c r="K1366">
        <f>'raw data Crude oil'!K1367</f>
        <v>99</v>
      </c>
      <c r="L1366">
        <f>'raw data Crude oil'!L1367</f>
        <v>98.03</v>
      </c>
      <c r="M1366">
        <f>'raw data Crude oil'!M1367</f>
        <v>97.2</v>
      </c>
      <c r="N1366">
        <f>'raw data Crude oil'!N1367</f>
        <v>104.25</v>
      </c>
      <c r="O1366">
        <f>'raw data Crude oil'!O1367</f>
        <v>103.79</v>
      </c>
      <c r="P1366">
        <f>'raw data Crude oil'!P1367</f>
        <v>102.89</v>
      </c>
      <c r="Q1366">
        <f>'raw data Crude oil'!Q1367</f>
        <v>101.76</v>
      </c>
      <c r="R1366">
        <f>'raw data Crude oil'!R1367</f>
        <v>100.52</v>
      </c>
      <c r="S1366">
        <f>'raw data Crude oil'!S1367</f>
        <v>99.32</v>
      </c>
      <c r="T1366">
        <f>'raw data Crude oil'!T1367</f>
        <v>98.17</v>
      </c>
      <c r="U1366">
        <f>'raw data Crude oil'!U1367</f>
        <v>97.06</v>
      </c>
      <c r="V1366">
        <f>'raw data Crude oil'!V1367</f>
        <v>95.98</v>
      </c>
      <c r="W1366">
        <f>'raw data Crude oil'!W1367</f>
        <v>94.92</v>
      </c>
      <c r="X1366">
        <f>'raw data Crude oil'!X1367</f>
        <v>93.91</v>
      </c>
      <c r="Y1366">
        <f>'raw data Crude oil'!Y1367</f>
        <v>92.95</v>
      </c>
      <c r="Z1366">
        <f>'raw data Crude oil'!Z1367</f>
        <v>103.66200000000001</v>
      </c>
      <c r="AA1366">
        <f>'raw data Crude oil'!AA1367</f>
        <v>104.11</v>
      </c>
      <c r="AB1366">
        <f>'raw data Crude oil'!AB1367</f>
        <v>102.955</v>
      </c>
      <c r="AC1366">
        <f>'raw data Crude oil'!AC1367</f>
        <v>101.77200000000001</v>
      </c>
      <c r="AD1366">
        <f>'raw data Crude oil'!AD1367</f>
        <v>100.699</v>
      </c>
      <c r="AE1366">
        <f>'raw data Crude oil'!AE1367</f>
        <v>99.725999999999999</v>
      </c>
      <c r="AF1366">
        <f>'raw data Crude oil'!AF1367</f>
        <v>98.665999999999997</v>
      </c>
      <c r="AG1366">
        <f>'raw data Crude oil'!AG1367</f>
        <v>97.6</v>
      </c>
      <c r="AH1366">
        <f>'raw data Crude oil'!AH1367</f>
        <v>96.555000000000007</v>
      </c>
      <c r="AI1366">
        <f>'raw data Crude oil'!AI1367</f>
        <v>95.713999999999999</v>
      </c>
      <c r="AJ1366">
        <f>'raw data Crude oil'!AJ1367</f>
        <v>94.899000000000001</v>
      </c>
      <c r="AK1366">
        <f>'raw data Crude oil'!AK1367</f>
        <v>94.185000000000002</v>
      </c>
    </row>
    <row r="1367" spans="1:37" x14ac:dyDescent="0.3">
      <c r="A1367" s="18">
        <f>'raw data Crude oil'!A1368</f>
        <v>44665</v>
      </c>
      <c r="B1367">
        <f>'raw data Crude oil'!B1368</f>
        <v>111.7</v>
      </c>
      <c r="C1367">
        <f>'raw data Crude oil'!C1368</f>
        <v>110.8</v>
      </c>
      <c r="D1367">
        <f>'raw data Crude oil'!D1368</f>
        <v>109.47</v>
      </c>
      <c r="E1367">
        <f>'raw data Crude oil'!E1368</f>
        <v>107.98</v>
      </c>
      <c r="F1367">
        <f>'raw data Crude oil'!F1368</f>
        <v>106.49</v>
      </c>
      <c r="G1367">
        <f>'raw data Crude oil'!G1368</f>
        <v>105.03</v>
      </c>
      <c r="H1367">
        <f>'raw data Crude oil'!H1368</f>
        <v>103.6</v>
      </c>
      <c r="I1367">
        <f>'raw data Crude oil'!I1368</f>
        <v>102.22</v>
      </c>
      <c r="J1367">
        <f>'raw data Crude oil'!J1368</f>
        <v>100.92</v>
      </c>
      <c r="K1367">
        <f>'raw data Crude oil'!K1368</f>
        <v>99.77</v>
      </c>
      <c r="L1367">
        <f>'raw data Crude oil'!L1368</f>
        <v>98.68</v>
      </c>
      <c r="M1367">
        <f>'raw data Crude oil'!M1368</f>
        <v>97.74</v>
      </c>
      <c r="N1367">
        <f>'raw data Crude oil'!N1368</f>
        <v>106.95</v>
      </c>
      <c r="O1367">
        <f>'raw data Crude oil'!O1368</f>
        <v>106.38</v>
      </c>
      <c r="P1367">
        <f>'raw data Crude oil'!P1368</f>
        <v>105.44</v>
      </c>
      <c r="Q1367">
        <f>'raw data Crude oil'!Q1368</f>
        <v>104.03</v>
      </c>
      <c r="R1367">
        <f>'raw data Crude oil'!R1368</f>
        <v>102.47</v>
      </c>
      <c r="S1367">
        <f>'raw data Crude oil'!S1368</f>
        <v>100.97</v>
      </c>
      <c r="T1367">
        <f>'raw data Crude oil'!T1368</f>
        <v>99.59</v>
      </c>
      <c r="U1367">
        <f>'raw data Crude oil'!U1368</f>
        <v>98.29</v>
      </c>
      <c r="V1367">
        <f>'raw data Crude oil'!V1368</f>
        <v>97.03</v>
      </c>
      <c r="W1367">
        <f>'raw data Crude oil'!W1368</f>
        <v>95.81</v>
      </c>
      <c r="X1367">
        <f>'raw data Crude oil'!X1368</f>
        <v>94.66</v>
      </c>
      <c r="Y1367">
        <f>'raw data Crude oil'!Y1368</f>
        <v>93.6</v>
      </c>
      <c r="Z1367">
        <f>'raw data Crude oil'!Z1368</f>
        <v>103.999</v>
      </c>
      <c r="AA1367">
        <f>'raw data Crude oil'!AA1368</f>
        <v>106.67</v>
      </c>
      <c r="AB1367">
        <f>'raw data Crude oil'!AB1368</f>
        <v>105.19199999999999</v>
      </c>
      <c r="AC1367">
        <f>'raw data Crude oil'!AC1368</f>
        <v>103.669</v>
      </c>
      <c r="AD1367">
        <f>'raw data Crude oil'!AD1368</f>
        <v>102.497</v>
      </c>
      <c r="AE1367">
        <f>'raw data Crude oil'!AE1368</f>
        <v>101.325</v>
      </c>
      <c r="AF1367">
        <f>'raw data Crude oil'!AF1368</f>
        <v>99.903999999999996</v>
      </c>
      <c r="AG1367">
        <f>'raw data Crude oil'!AG1368</f>
        <v>98.620999999999995</v>
      </c>
      <c r="AH1367">
        <f>'raw data Crude oil'!AH1368</f>
        <v>97.46</v>
      </c>
      <c r="AI1367">
        <f>'raw data Crude oil'!AI1368</f>
        <v>96.447999999999993</v>
      </c>
      <c r="AJ1367">
        <f>'raw data Crude oil'!AJ1368</f>
        <v>95.543000000000006</v>
      </c>
      <c r="AK1367">
        <f>'raw data Crude oil'!AK1368</f>
        <v>94.722999999999999</v>
      </c>
    </row>
    <row r="1368" spans="1:37" x14ac:dyDescent="0.3">
      <c r="A1368" s="18">
        <f>'raw data Crude oil'!A1369</f>
        <v>44669</v>
      </c>
      <c r="B1368">
        <f>'raw data Crude oil'!B1369</f>
        <v>113.16</v>
      </c>
      <c r="C1368">
        <f>'raw data Crude oil'!C1369</f>
        <v>111.94</v>
      </c>
      <c r="D1368">
        <f>'raw data Crude oil'!D1369</f>
        <v>110.31</v>
      </c>
      <c r="E1368">
        <f>'raw data Crude oil'!E1369</f>
        <v>108.64</v>
      </c>
      <c r="F1368">
        <f>'raw data Crude oil'!F1369</f>
        <v>107</v>
      </c>
      <c r="G1368">
        <f>'raw data Crude oil'!G1369</f>
        <v>105.39</v>
      </c>
      <c r="H1368">
        <f>'raw data Crude oil'!H1369</f>
        <v>103.82</v>
      </c>
      <c r="I1368">
        <f>'raw data Crude oil'!I1369</f>
        <v>102.34</v>
      </c>
      <c r="J1368">
        <f>'raw data Crude oil'!J1369</f>
        <v>100.97</v>
      </c>
      <c r="K1368">
        <f>'raw data Crude oil'!K1369</f>
        <v>99.77</v>
      </c>
      <c r="L1368">
        <f>'raw data Crude oil'!L1369</f>
        <v>98.64</v>
      </c>
      <c r="M1368">
        <f>'raw data Crude oil'!M1369</f>
        <v>97.66</v>
      </c>
      <c r="N1368">
        <f>'raw data Crude oil'!N1369</f>
        <v>108.21</v>
      </c>
      <c r="O1368">
        <f>'raw data Crude oil'!O1369</f>
        <v>107.61</v>
      </c>
      <c r="P1368">
        <f>'raw data Crude oil'!P1369</f>
        <v>106.41</v>
      </c>
      <c r="Q1368">
        <f>'raw data Crude oil'!Q1369</f>
        <v>104.74</v>
      </c>
      <c r="R1368">
        <f>'raw data Crude oil'!R1369</f>
        <v>103.01</v>
      </c>
      <c r="S1368">
        <f>'raw data Crude oil'!S1369</f>
        <v>101.38</v>
      </c>
      <c r="T1368">
        <f>'raw data Crude oil'!T1369</f>
        <v>99.86</v>
      </c>
      <c r="U1368">
        <f>'raw data Crude oil'!U1369</f>
        <v>98.43</v>
      </c>
      <c r="V1368">
        <f>'raw data Crude oil'!V1369</f>
        <v>97.06</v>
      </c>
      <c r="W1368">
        <f>'raw data Crude oil'!W1369</f>
        <v>95.76</v>
      </c>
      <c r="X1368">
        <f>'raw data Crude oil'!X1369</f>
        <v>94.54</v>
      </c>
      <c r="Y1368">
        <f>'raw data Crude oil'!Y1369</f>
        <v>93.4</v>
      </c>
      <c r="Z1368">
        <f>'raw data Crude oil'!Z1369</f>
        <v>105.542</v>
      </c>
      <c r="AA1368">
        <f>'raw data Crude oil'!AA1369</f>
        <v>107.746</v>
      </c>
      <c r="AB1368">
        <f>'raw data Crude oil'!AB1369</f>
        <v>105.914</v>
      </c>
      <c r="AC1368">
        <f>'raw data Crude oil'!AC1369</f>
        <v>104.22199999999999</v>
      </c>
      <c r="AD1368">
        <f>'raw data Crude oil'!AD1369</f>
        <v>102.81</v>
      </c>
      <c r="AE1368">
        <f>'raw data Crude oil'!AE1369</f>
        <v>101.399</v>
      </c>
      <c r="AF1368">
        <f>'raw data Crude oil'!AF1369</f>
        <v>99.93</v>
      </c>
      <c r="AG1368">
        <f>'raw data Crude oil'!AG1369</f>
        <v>98.548000000000002</v>
      </c>
      <c r="AH1368">
        <f>'raw data Crude oil'!AH1369</f>
        <v>97.266000000000005</v>
      </c>
      <c r="AI1368">
        <f>'raw data Crude oil'!AI1369</f>
        <v>96.296000000000006</v>
      </c>
      <c r="AJ1368">
        <f>'raw data Crude oil'!AJ1369</f>
        <v>95.381</v>
      </c>
      <c r="AK1368">
        <f>'raw data Crude oil'!AK1369</f>
        <v>94.52</v>
      </c>
    </row>
    <row r="1369" spans="1:37" x14ac:dyDescent="0.3">
      <c r="A1369" s="18">
        <f>'raw data Crude oil'!A1370</f>
        <v>44670</v>
      </c>
      <c r="B1369">
        <f>'raw data Crude oil'!B1370</f>
        <v>107.25</v>
      </c>
      <c r="C1369">
        <f>'raw data Crude oil'!C1370</f>
        <v>106.63</v>
      </c>
      <c r="D1369">
        <f>'raw data Crude oil'!D1370</f>
        <v>105.23</v>
      </c>
      <c r="E1369">
        <f>'raw data Crude oil'!E1370</f>
        <v>103.73</v>
      </c>
      <c r="F1369">
        <f>'raw data Crude oil'!F1370</f>
        <v>102.23</v>
      </c>
      <c r="G1369">
        <f>'raw data Crude oil'!G1370</f>
        <v>100.71</v>
      </c>
      <c r="H1369">
        <f>'raw data Crude oil'!H1370</f>
        <v>99.23</v>
      </c>
      <c r="I1369">
        <f>'raw data Crude oil'!I1370</f>
        <v>97.82</v>
      </c>
      <c r="J1369">
        <f>'raw data Crude oil'!J1370</f>
        <v>96.52</v>
      </c>
      <c r="K1369">
        <f>'raw data Crude oil'!K1370</f>
        <v>95.38</v>
      </c>
      <c r="L1369">
        <f>'raw data Crude oil'!L1370</f>
        <v>94.31</v>
      </c>
      <c r="M1369">
        <f>'raw data Crude oil'!M1370</f>
        <v>93.41</v>
      </c>
      <c r="N1369">
        <f>'raw data Crude oil'!N1370</f>
        <v>102.56</v>
      </c>
      <c r="O1369">
        <f>'raw data Crude oil'!O1370</f>
        <v>102.05</v>
      </c>
      <c r="P1369">
        <f>'raw data Crude oil'!P1370</f>
        <v>101.16</v>
      </c>
      <c r="Q1369">
        <f>'raw data Crude oil'!Q1370</f>
        <v>99.84</v>
      </c>
      <c r="R1369">
        <f>'raw data Crude oil'!R1370</f>
        <v>98.34</v>
      </c>
      <c r="S1369">
        <f>'raw data Crude oil'!S1370</f>
        <v>96.8</v>
      </c>
      <c r="T1369">
        <f>'raw data Crude oil'!T1370</f>
        <v>95.33</v>
      </c>
      <c r="U1369">
        <f>'raw data Crude oil'!U1370</f>
        <v>93.91</v>
      </c>
      <c r="V1369">
        <f>'raw data Crude oil'!V1370</f>
        <v>92.57</v>
      </c>
      <c r="W1369">
        <f>'raw data Crude oil'!W1370</f>
        <v>91.32</v>
      </c>
      <c r="X1369">
        <f>'raw data Crude oil'!X1370</f>
        <v>90.16</v>
      </c>
      <c r="Y1369">
        <f>'raw data Crude oil'!Y1370</f>
        <v>89.08</v>
      </c>
      <c r="Z1369">
        <f>'raw data Crude oil'!Z1370</f>
        <v>103.185</v>
      </c>
      <c r="AA1369">
        <f>'raw data Crude oil'!AA1370</f>
        <v>102.65600000000001</v>
      </c>
      <c r="AB1369">
        <f>'raw data Crude oil'!AB1370</f>
        <v>100.952</v>
      </c>
      <c r="AC1369">
        <f>'raw data Crude oil'!AC1370</f>
        <v>99.399000000000001</v>
      </c>
      <c r="AD1369">
        <f>'raw data Crude oil'!AD1370</f>
        <v>98.013999999999996</v>
      </c>
      <c r="AE1369">
        <f>'raw data Crude oil'!AE1370</f>
        <v>96.643000000000001</v>
      </c>
      <c r="AF1369">
        <f>'raw data Crude oil'!AF1370</f>
        <v>95.283000000000001</v>
      </c>
      <c r="AG1369">
        <f>'raw data Crude oil'!AG1370</f>
        <v>93.911000000000001</v>
      </c>
      <c r="AH1369">
        <f>'raw data Crude oil'!AH1370</f>
        <v>92.700999999999993</v>
      </c>
      <c r="AI1369">
        <f>'raw data Crude oil'!AI1370</f>
        <v>91.759</v>
      </c>
      <c r="AJ1369">
        <f>'raw data Crude oil'!AJ1370</f>
        <v>90.894999999999996</v>
      </c>
      <c r="AK1369">
        <f>'raw data Crude oil'!AK1370</f>
        <v>90.146000000000001</v>
      </c>
    </row>
    <row r="1370" spans="1:37" x14ac:dyDescent="0.3">
      <c r="A1370" s="18">
        <f>'raw data Crude oil'!A1371</f>
        <v>44671</v>
      </c>
      <c r="B1370">
        <f>'raw data Crude oil'!B1371</f>
        <v>106.8</v>
      </c>
      <c r="C1370">
        <f>'raw data Crude oil'!C1371</f>
        <v>106.33</v>
      </c>
      <c r="D1370">
        <f>'raw data Crude oil'!D1371</f>
        <v>105.21</v>
      </c>
      <c r="E1370">
        <f>'raw data Crude oil'!E1371</f>
        <v>103.91</v>
      </c>
      <c r="F1370">
        <f>'raw data Crude oil'!F1371</f>
        <v>102.53</v>
      </c>
      <c r="G1370">
        <f>'raw data Crude oil'!G1371</f>
        <v>101.14</v>
      </c>
      <c r="H1370">
        <f>'raw data Crude oil'!H1371</f>
        <v>99.74</v>
      </c>
      <c r="I1370">
        <f>'raw data Crude oil'!I1371</f>
        <v>98.39</v>
      </c>
      <c r="J1370">
        <f>'raw data Crude oil'!J1371</f>
        <v>97.13</v>
      </c>
      <c r="K1370">
        <f>'raw data Crude oil'!K1371</f>
        <v>96.01</v>
      </c>
      <c r="L1370">
        <f>'raw data Crude oil'!L1371</f>
        <v>94.94</v>
      </c>
      <c r="M1370">
        <f>'raw data Crude oil'!M1371</f>
        <v>94.03</v>
      </c>
      <c r="N1370">
        <f>'raw data Crude oil'!N1371</f>
        <v>102.75</v>
      </c>
      <c r="O1370">
        <f>'raw data Crude oil'!O1371</f>
        <v>102.19</v>
      </c>
      <c r="P1370">
        <f>'raw data Crude oil'!P1371</f>
        <v>101.36</v>
      </c>
      <c r="Q1370">
        <f>'raw data Crude oil'!Q1371</f>
        <v>100.17</v>
      </c>
      <c r="R1370">
        <f>'raw data Crude oil'!R1371</f>
        <v>98.76</v>
      </c>
      <c r="S1370">
        <f>'raw data Crude oil'!S1371</f>
        <v>97.28</v>
      </c>
      <c r="T1370">
        <f>'raw data Crude oil'!T1371</f>
        <v>95.85</v>
      </c>
      <c r="U1370">
        <f>'raw data Crude oil'!U1371</f>
        <v>94.49</v>
      </c>
      <c r="V1370">
        <f>'raw data Crude oil'!V1371</f>
        <v>93.19</v>
      </c>
      <c r="W1370">
        <f>'raw data Crude oil'!W1371</f>
        <v>91.95</v>
      </c>
      <c r="X1370">
        <f>'raw data Crude oil'!X1371</f>
        <v>90.78</v>
      </c>
      <c r="Y1370">
        <f>'raw data Crude oil'!Y1371</f>
        <v>89.69</v>
      </c>
      <c r="Z1370">
        <f>'raw data Crude oil'!Z1371</f>
        <v>103.34399999999999</v>
      </c>
      <c r="AA1370">
        <f>'raw data Crude oil'!AA1371</f>
        <v>102.749</v>
      </c>
      <c r="AB1370">
        <f>'raw data Crude oil'!AB1371</f>
        <v>101.001</v>
      </c>
      <c r="AC1370">
        <f>'raw data Crude oil'!AC1371</f>
        <v>99.513999999999996</v>
      </c>
      <c r="AD1370">
        <f>'raw data Crude oil'!AD1371</f>
        <v>98.25</v>
      </c>
      <c r="AE1370">
        <f>'raw data Crude oil'!AE1371</f>
        <v>96.995999999999995</v>
      </c>
      <c r="AF1370">
        <f>'raw data Crude oil'!AF1371</f>
        <v>95.745999999999995</v>
      </c>
      <c r="AG1370">
        <f>'raw data Crude oil'!AG1371</f>
        <v>94.492999999999995</v>
      </c>
      <c r="AH1370">
        <f>'raw data Crude oil'!AH1371</f>
        <v>93.313000000000002</v>
      </c>
      <c r="AI1370">
        <f>'raw data Crude oil'!AI1371</f>
        <v>92.388999999999996</v>
      </c>
      <c r="AJ1370">
        <f>'raw data Crude oil'!AJ1371</f>
        <v>91.525000000000006</v>
      </c>
      <c r="AK1370">
        <f>'raw data Crude oil'!AK1371</f>
        <v>90.745000000000005</v>
      </c>
    </row>
    <row r="1371" spans="1:37" x14ac:dyDescent="0.3">
      <c r="A1371" s="18">
        <f>'raw data Crude oil'!A1372</f>
        <v>44672</v>
      </c>
      <c r="B1371">
        <f>'raw data Crude oil'!B1372</f>
        <v>108.33</v>
      </c>
      <c r="C1371">
        <f>'raw data Crude oil'!C1372</f>
        <v>107.96</v>
      </c>
      <c r="D1371">
        <f>'raw data Crude oil'!D1372</f>
        <v>106.77</v>
      </c>
      <c r="E1371">
        <f>'raw data Crude oil'!E1372</f>
        <v>105.42</v>
      </c>
      <c r="F1371">
        <f>'raw data Crude oil'!F1372</f>
        <v>103.98</v>
      </c>
      <c r="G1371">
        <f>'raw data Crude oil'!G1372</f>
        <v>102.53</v>
      </c>
      <c r="H1371">
        <f>'raw data Crude oil'!H1372</f>
        <v>101.1</v>
      </c>
      <c r="I1371">
        <f>'raw data Crude oil'!I1372</f>
        <v>99.73</v>
      </c>
      <c r="J1371">
        <f>'raw data Crude oil'!J1372</f>
        <v>98.47</v>
      </c>
      <c r="K1371">
        <f>'raw data Crude oil'!K1372</f>
        <v>97.35</v>
      </c>
      <c r="L1371">
        <f>'raw data Crude oil'!L1372</f>
        <v>96.3</v>
      </c>
      <c r="M1371">
        <f>'raw data Crude oil'!M1372</f>
        <v>95.4</v>
      </c>
      <c r="N1371">
        <f>'raw data Crude oil'!N1372</f>
        <v>103.79</v>
      </c>
      <c r="O1371">
        <f>'raw data Crude oil'!O1372</f>
        <v>102.96</v>
      </c>
      <c r="P1371">
        <f>'raw data Crude oil'!P1372</f>
        <v>101.74</v>
      </c>
      <c r="Q1371">
        <f>'raw data Crude oil'!Q1372</f>
        <v>100.23</v>
      </c>
      <c r="R1371">
        <f>'raw data Crude oil'!R1372</f>
        <v>98.71</v>
      </c>
      <c r="S1371">
        <f>'raw data Crude oil'!S1372</f>
        <v>97.26</v>
      </c>
      <c r="T1371">
        <f>'raw data Crude oil'!T1372</f>
        <v>95.89</v>
      </c>
      <c r="U1371">
        <f>'raw data Crude oil'!U1372</f>
        <v>94.57</v>
      </c>
      <c r="V1371">
        <f>'raw data Crude oil'!V1372</f>
        <v>93.33</v>
      </c>
      <c r="W1371">
        <f>'raw data Crude oil'!W1372</f>
        <v>92.17</v>
      </c>
      <c r="X1371">
        <f>'raw data Crude oil'!X1372</f>
        <v>91.11</v>
      </c>
      <c r="Y1371">
        <f>'raw data Crude oil'!Y1372</f>
        <v>90.13</v>
      </c>
      <c r="Z1371">
        <f>'raw data Crude oil'!Z1372</f>
        <v>103.91</v>
      </c>
      <c r="AA1371">
        <f>'raw data Crude oil'!AA1372</f>
        <v>104.376</v>
      </c>
      <c r="AB1371">
        <f>'raw data Crude oil'!AB1372</f>
        <v>102.46899999999999</v>
      </c>
      <c r="AC1371">
        <f>'raw data Crude oil'!AC1372</f>
        <v>100.95099999999999</v>
      </c>
      <c r="AD1371">
        <f>'raw data Crude oil'!AD1372</f>
        <v>99.587000000000003</v>
      </c>
      <c r="AE1371">
        <f>'raw data Crude oil'!AE1372</f>
        <v>98.224999999999994</v>
      </c>
      <c r="AF1371">
        <f>'raw data Crude oil'!AF1372</f>
        <v>97.004999999999995</v>
      </c>
      <c r="AG1371">
        <f>'raw data Crude oil'!AG1372</f>
        <v>95.742999999999995</v>
      </c>
      <c r="AH1371">
        <f>'raw data Crude oil'!AH1372</f>
        <v>94.533000000000001</v>
      </c>
      <c r="AI1371">
        <f>'raw data Crude oil'!AI1372</f>
        <v>93.64</v>
      </c>
      <c r="AJ1371">
        <f>'raw data Crude oil'!AJ1372</f>
        <v>92.795000000000002</v>
      </c>
      <c r="AK1371">
        <f>'raw data Crude oil'!AK1372</f>
        <v>92.064999999999998</v>
      </c>
    </row>
    <row r="1372" spans="1:37" x14ac:dyDescent="0.3">
      <c r="A1372" s="18">
        <f>'raw data Crude oil'!A1373</f>
        <v>44673</v>
      </c>
      <c r="B1372">
        <f>'raw data Crude oil'!B1373</f>
        <v>106.65</v>
      </c>
      <c r="C1372">
        <f>'raw data Crude oil'!C1373</f>
        <v>106.15</v>
      </c>
      <c r="D1372">
        <f>'raw data Crude oil'!D1373</f>
        <v>104.87</v>
      </c>
      <c r="E1372">
        <f>'raw data Crude oil'!E1373</f>
        <v>103.44</v>
      </c>
      <c r="F1372">
        <f>'raw data Crude oil'!F1373</f>
        <v>101.92</v>
      </c>
      <c r="G1372">
        <f>'raw data Crude oil'!G1373</f>
        <v>100.41</v>
      </c>
      <c r="H1372">
        <f>'raw data Crude oil'!H1373</f>
        <v>98.93</v>
      </c>
      <c r="I1372">
        <f>'raw data Crude oil'!I1373</f>
        <v>97.53</v>
      </c>
      <c r="J1372">
        <f>'raw data Crude oil'!J1373</f>
        <v>96.25</v>
      </c>
      <c r="K1372">
        <f>'raw data Crude oil'!K1373</f>
        <v>95.13</v>
      </c>
      <c r="L1372">
        <f>'raw data Crude oil'!L1373</f>
        <v>94.11</v>
      </c>
      <c r="M1372">
        <f>'raw data Crude oil'!M1373</f>
        <v>93.24</v>
      </c>
      <c r="N1372">
        <f>'raw data Crude oil'!N1373</f>
        <v>102.07</v>
      </c>
      <c r="O1372">
        <f>'raw data Crude oil'!O1373</f>
        <v>101.05</v>
      </c>
      <c r="P1372">
        <f>'raw data Crude oil'!P1373</f>
        <v>99.72</v>
      </c>
      <c r="Q1372">
        <f>'raw data Crude oil'!Q1373</f>
        <v>98.16</v>
      </c>
      <c r="R1372">
        <f>'raw data Crude oil'!R1373</f>
        <v>96.58</v>
      </c>
      <c r="S1372">
        <f>'raw data Crude oil'!S1373</f>
        <v>95.09</v>
      </c>
      <c r="T1372">
        <f>'raw data Crude oil'!T1373</f>
        <v>93.68</v>
      </c>
      <c r="U1372">
        <f>'raw data Crude oil'!U1373</f>
        <v>92.35</v>
      </c>
      <c r="V1372">
        <f>'raw data Crude oil'!V1373</f>
        <v>91.11</v>
      </c>
      <c r="W1372">
        <f>'raw data Crude oil'!W1373</f>
        <v>89.96</v>
      </c>
      <c r="X1372">
        <f>'raw data Crude oil'!X1373</f>
        <v>88.92</v>
      </c>
      <c r="Y1372">
        <f>'raw data Crude oil'!Y1373</f>
        <v>87.96</v>
      </c>
      <c r="Z1372">
        <f>'raw data Crude oil'!Z1373</f>
        <v>103.4</v>
      </c>
      <c r="AA1372">
        <f>'raw data Crude oil'!AA1373</f>
        <v>102.66200000000001</v>
      </c>
      <c r="AB1372">
        <f>'raw data Crude oil'!AB1373</f>
        <v>100.625</v>
      </c>
      <c r="AC1372">
        <f>'raw data Crude oil'!AC1373</f>
        <v>98.968000000000004</v>
      </c>
      <c r="AD1372">
        <f>'raw data Crude oil'!AD1373</f>
        <v>97.494</v>
      </c>
      <c r="AE1372">
        <f>'raw data Crude oil'!AE1373</f>
        <v>96.043000000000006</v>
      </c>
      <c r="AF1372">
        <f>'raw data Crude oil'!AF1373</f>
        <v>94.653000000000006</v>
      </c>
      <c r="AG1372">
        <f>'raw data Crude oil'!AG1373</f>
        <v>93.341999999999999</v>
      </c>
      <c r="AH1372">
        <f>'raw data Crude oil'!AH1373</f>
        <v>92.072999999999993</v>
      </c>
      <c r="AI1372">
        <f>'raw data Crude oil'!AI1373</f>
        <v>91.200999999999993</v>
      </c>
      <c r="AJ1372">
        <f>'raw data Crude oil'!AJ1373</f>
        <v>90.417000000000002</v>
      </c>
      <c r="AK1372">
        <f>'raw data Crude oil'!AK1373</f>
        <v>89.716999999999999</v>
      </c>
    </row>
    <row r="1373" spans="1:37" x14ac:dyDescent="0.3">
      <c r="A1373" s="18">
        <f>'raw data Crude oil'!A1374</f>
        <v>44676</v>
      </c>
      <c r="B1373">
        <f>'raw data Crude oil'!B1374</f>
        <v>102.32</v>
      </c>
      <c r="C1373">
        <f>'raw data Crude oil'!C1374</f>
        <v>102.16</v>
      </c>
      <c r="D1373">
        <f>'raw data Crude oil'!D1374</f>
        <v>101.2</v>
      </c>
      <c r="E1373">
        <f>'raw data Crude oil'!E1374</f>
        <v>100.03</v>
      </c>
      <c r="F1373">
        <f>'raw data Crude oil'!F1374</f>
        <v>98.69</v>
      </c>
      <c r="G1373">
        <f>'raw data Crude oil'!G1374</f>
        <v>97.36</v>
      </c>
      <c r="H1373">
        <f>'raw data Crude oil'!H1374</f>
        <v>96.07</v>
      </c>
      <c r="I1373">
        <f>'raw data Crude oil'!I1374</f>
        <v>94.84</v>
      </c>
      <c r="J1373">
        <f>'raw data Crude oil'!J1374</f>
        <v>93.72</v>
      </c>
      <c r="K1373">
        <f>'raw data Crude oil'!K1374</f>
        <v>92.74</v>
      </c>
      <c r="L1373">
        <f>'raw data Crude oil'!L1374</f>
        <v>91.81</v>
      </c>
      <c r="M1373">
        <f>'raw data Crude oil'!M1374</f>
        <v>91.03</v>
      </c>
      <c r="N1373">
        <f>'raw data Crude oil'!N1374</f>
        <v>98.54</v>
      </c>
      <c r="O1373">
        <f>'raw data Crude oil'!O1374</f>
        <v>97.67</v>
      </c>
      <c r="P1373">
        <f>'raw data Crude oil'!P1374</f>
        <v>96.53</v>
      </c>
      <c r="Q1373">
        <f>'raw data Crude oil'!Q1374</f>
        <v>95.18</v>
      </c>
      <c r="R1373">
        <f>'raw data Crude oil'!R1374</f>
        <v>93.76</v>
      </c>
      <c r="S1373">
        <f>'raw data Crude oil'!S1374</f>
        <v>92.41</v>
      </c>
      <c r="T1373">
        <f>'raw data Crude oil'!T1374</f>
        <v>91.12</v>
      </c>
      <c r="U1373">
        <f>'raw data Crude oil'!U1374</f>
        <v>89.91</v>
      </c>
      <c r="V1373">
        <f>'raw data Crude oil'!V1374</f>
        <v>88.8</v>
      </c>
      <c r="W1373">
        <f>'raw data Crude oil'!W1374</f>
        <v>87.74</v>
      </c>
      <c r="X1373">
        <f>'raw data Crude oil'!X1374</f>
        <v>86.79</v>
      </c>
      <c r="Y1373">
        <f>'raw data Crude oil'!Y1374</f>
        <v>85.9</v>
      </c>
      <c r="Z1373">
        <f>'raw data Crude oil'!Z1374</f>
        <v>102.33799999999999</v>
      </c>
      <c r="AA1373">
        <f>'raw data Crude oil'!AA1374</f>
        <v>98.665999999999997</v>
      </c>
      <c r="AB1373">
        <f>'raw data Crude oil'!AB1374</f>
        <v>97.027000000000001</v>
      </c>
      <c r="AC1373">
        <f>'raw data Crude oil'!AC1374</f>
        <v>95.616</v>
      </c>
      <c r="AD1373">
        <f>'raw data Crude oil'!AD1374</f>
        <v>94.272000000000006</v>
      </c>
      <c r="AE1373">
        <f>'raw data Crude oil'!AE1374</f>
        <v>92.991</v>
      </c>
      <c r="AF1373">
        <f>'raw data Crude oil'!AF1374</f>
        <v>91.781000000000006</v>
      </c>
      <c r="AG1373">
        <f>'raw data Crude oil'!AG1374</f>
        <v>90.619</v>
      </c>
      <c r="AH1373">
        <f>'raw data Crude oil'!AH1374</f>
        <v>89.516999999999996</v>
      </c>
      <c r="AI1373">
        <f>'raw data Crude oil'!AI1374</f>
        <v>88.786000000000001</v>
      </c>
      <c r="AJ1373">
        <f>'raw data Crude oil'!AJ1374</f>
        <v>88.051000000000002</v>
      </c>
      <c r="AK1373">
        <f>'raw data Crude oil'!AK1374</f>
        <v>87.45</v>
      </c>
    </row>
    <row r="1374" spans="1:37" x14ac:dyDescent="0.3">
      <c r="A1374" s="18">
        <f>'raw data Crude oil'!A1375</f>
        <v>44677</v>
      </c>
      <c r="B1374">
        <f>'raw data Crude oil'!B1375</f>
        <v>104.99</v>
      </c>
      <c r="C1374">
        <f>'raw data Crude oil'!C1375</f>
        <v>104.61</v>
      </c>
      <c r="D1374">
        <f>'raw data Crude oil'!D1375</f>
        <v>103.52</v>
      </c>
      <c r="E1374">
        <f>'raw data Crude oil'!E1375</f>
        <v>102.16</v>
      </c>
      <c r="F1374">
        <f>'raw data Crude oil'!F1375</f>
        <v>100.62</v>
      </c>
      <c r="G1374">
        <f>'raw data Crude oil'!G1375</f>
        <v>99.09</v>
      </c>
      <c r="H1374">
        <f>'raw data Crude oil'!H1375</f>
        <v>97.61</v>
      </c>
      <c r="I1374">
        <f>'raw data Crude oil'!I1375</f>
        <v>96.23</v>
      </c>
      <c r="J1374">
        <f>'raw data Crude oil'!J1375</f>
        <v>94.99</v>
      </c>
      <c r="K1374">
        <f>'raw data Crude oil'!K1375</f>
        <v>93.91</v>
      </c>
      <c r="L1374">
        <f>'raw data Crude oil'!L1375</f>
        <v>92.92</v>
      </c>
      <c r="M1374">
        <f>'raw data Crude oil'!M1375</f>
        <v>92.06</v>
      </c>
      <c r="N1374">
        <f>'raw data Crude oil'!N1375</f>
        <v>101.7</v>
      </c>
      <c r="O1374">
        <f>'raw data Crude oil'!O1375</f>
        <v>100.41</v>
      </c>
      <c r="P1374">
        <f>'raw data Crude oil'!P1375</f>
        <v>98.95</v>
      </c>
      <c r="Q1374">
        <f>'raw data Crude oil'!Q1375</f>
        <v>97.39</v>
      </c>
      <c r="R1374">
        <f>'raw data Crude oil'!R1375</f>
        <v>95.84</v>
      </c>
      <c r="S1374">
        <f>'raw data Crude oil'!S1375</f>
        <v>94.34</v>
      </c>
      <c r="T1374">
        <f>'raw data Crude oil'!T1375</f>
        <v>92.89</v>
      </c>
      <c r="U1374">
        <f>'raw data Crude oil'!U1375</f>
        <v>91.53</v>
      </c>
      <c r="V1374">
        <f>'raw data Crude oil'!V1375</f>
        <v>90.26</v>
      </c>
      <c r="W1374">
        <f>'raw data Crude oil'!W1375</f>
        <v>89.1</v>
      </c>
      <c r="X1374">
        <f>'raw data Crude oil'!X1375</f>
        <v>88.05</v>
      </c>
      <c r="Y1374">
        <f>'raw data Crude oil'!Y1375</f>
        <v>87.09</v>
      </c>
      <c r="Z1374">
        <f>'raw data Crude oil'!Z1375</f>
        <v>102.64100000000001</v>
      </c>
      <c r="AA1374">
        <f>'raw data Crude oil'!AA1375</f>
        <v>101.16</v>
      </c>
      <c r="AB1374">
        <f>'raw data Crude oil'!AB1375</f>
        <v>99.397000000000006</v>
      </c>
      <c r="AC1374">
        <f>'raw data Crude oil'!AC1375</f>
        <v>97.736000000000004</v>
      </c>
      <c r="AD1374">
        <f>'raw data Crude oil'!AD1375</f>
        <v>96.213999999999999</v>
      </c>
      <c r="AE1374">
        <f>'raw data Crude oil'!AE1375</f>
        <v>94.783000000000001</v>
      </c>
      <c r="AF1374">
        <f>'raw data Crude oil'!AF1375</f>
        <v>93.373999999999995</v>
      </c>
      <c r="AG1374">
        <f>'raw data Crude oil'!AG1375</f>
        <v>92.063999999999993</v>
      </c>
      <c r="AH1374">
        <f>'raw data Crude oil'!AH1375</f>
        <v>90.826999999999998</v>
      </c>
      <c r="AI1374">
        <f>'raw data Crude oil'!AI1375</f>
        <v>89.972999999999999</v>
      </c>
      <c r="AJ1374">
        <f>'raw data Crude oil'!AJ1375</f>
        <v>89.186999999999998</v>
      </c>
      <c r="AK1374">
        <f>'raw data Crude oil'!AK1375</f>
        <v>88.507000000000005</v>
      </c>
    </row>
    <row r="1375" spans="1:37" x14ac:dyDescent="0.3">
      <c r="A1375" s="18">
        <f>'raw data Crude oil'!A1376</f>
        <v>44678</v>
      </c>
      <c r="B1375">
        <f>'raw data Crude oil'!B1376</f>
        <v>105.32</v>
      </c>
      <c r="C1375">
        <f>'raw data Crude oil'!C1376</f>
        <v>104.95</v>
      </c>
      <c r="D1375">
        <f>'raw data Crude oil'!D1376</f>
        <v>103.85</v>
      </c>
      <c r="E1375">
        <f>'raw data Crude oil'!E1376</f>
        <v>102.47</v>
      </c>
      <c r="F1375">
        <f>'raw data Crude oil'!F1376</f>
        <v>100.92</v>
      </c>
      <c r="G1375">
        <f>'raw data Crude oil'!G1376</f>
        <v>99.4</v>
      </c>
      <c r="H1375">
        <f>'raw data Crude oil'!H1376</f>
        <v>97.92</v>
      </c>
      <c r="I1375">
        <f>'raw data Crude oil'!I1376</f>
        <v>96.53</v>
      </c>
      <c r="J1375">
        <f>'raw data Crude oil'!J1376</f>
        <v>95.24</v>
      </c>
      <c r="K1375">
        <f>'raw data Crude oil'!K1376</f>
        <v>94.11</v>
      </c>
      <c r="L1375">
        <f>'raw data Crude oil'!L1376</f>
        <v>93.07</v>
      </c>
      <c r="M1375">
        <f>'raw data Crude oil'!M1376</f>
        <v>92.16</v>
      </c>
      <c r="N1375">
        <f>'raw data Crude oil'!N1376</f>
        <v>102.02</v>
      </c>
      <c r="O1375">
        <f>'raw data Crude oil'!O1376</f>
        <v>100.68</v>
      </c>
      <c r="P1375">
        <f>'raw data Crude oil'!P1376</f>
        <v>99.21</v>
      </c>
      <c r="Q1375">
        <f>'raw data Crude oil'!Q1376</f>
        <v>97.66</v>
      </c>
      <c r="R1375">
        <f>'raw data Crude oil'!R1376</f>
        <v>96.08</v>
      </c>
      <c r="S1375">
        <f>'raw data Crude oil'!S1376</f>
        <v>94.56</v>
      </c>
      <c r="T1375">
        <f>'raw data Crude oil'!T1376</f>
        <v>93.11</v>
      </c>
      <c r="U1375">
        <f>'raw data Crude oil'!U1376</f>
        <v>91.73</v>
      </c>
      <c r="V1375">
        <f>'raw data Crude oil'!V1376</f>
        <v>90.43</v>
      </c>
      <c r="W1375">
        <f>'raw data Crude oil'!W1376</f>
        <v>89.23</v>
      </c>
      <c r="X1375">
        <f>'raw data Crude oil'!X1376</f>
        <v>88.15</v>
      </c>
      <c r="Y1375">
        <f>'raw data Crude oil'!Y1376</f>
        <v>87.17</v>
      </c>
      <c r="Z1375">
        <f>'raw data Crude oil'!Z1376</f>
        <v>102.67400000000001</v>
      </c>
      <c r="AA1375">
        <f>'raw data Crude oil'!AA1376</f>
        <v>101.57</v>
      </c>
      <c r="AB1375">
        <f>'raw data Crude oil'!AB1376</f>
        <v>99.856999999999999</v>
      </c>
      <c r="AC1375">
        <f>'raw data Crude oil'!AC1376</f>
        <v>98.206000000000003</v>
      </c>
      <c r="AD1375">
        <f>'raw data Crude oil'!AD1376</f>
        <v>96.683999999999997</v>
      </c>
      <c r="AE1375">
        <f>'raw data Crude oil'!AE1376</f>
        <v>95.203000000000003</v>
      </c>
      <c r="AF1375">
        <f>'raw data Crude oil'!AF1376</f>
        <v>93.774000000000001</v>
      </c>
      <c r="AG1375">
        <f>'raw data Crude oil'!AG1376</f>
        <v>92.400999999999996</v>
      </c>
      <c r="AH1375">
        <f>'raw data Crude oil'!AH1376</f>
        <v>91.102000000000004</v>
      </c>
      <c r="AI1375">
        <f>'raw data Crude oil'!AI1376</f>
        <v>90.24</v>
      </c>
      <c r="AJ1375">
        <f>'raw data Crude oil'!AJ1376</f>
        <v>89.435000000000002</v>
      </c>
      <c r="AK1375">
        <f>'raw data Crude oil'!AK1376</f>
        <v>88.715999999999994</v>
      </c>
    </row>
    <row r="1376" spans="1:37" x14ac:dyDescent="0.3">
      <c r="A1376" s="18">
        <f>'raw data Crude oil'!A1377</f>
        <v>44679</v>
      </c>
      <c r="B1376">
        <f>'raw data Crude oil'!B1377</f>
        <v>107.59</v>
      </c>
      <c r="C1376">
        <f>'raw data Crude oil'!C1377</f>
        <v>107.26</v>
      </c>
      <c r="D1376">
        <f>'raw data Crude oil'!D1377</f>
        <v>105.72</v>
      </c>
      <c r="E1376">
        <f>'raw data Crude oil'!E1377</f>
        <v>103.96</v>
      </c>
      <c r="F1376">
        <f>'raw data Crude oil'!F1377</f>
        <v>102.11</v>
      </c>
      <c r="G1376">
        <f>'raw data Crude oil'!G1377</f>
        <v>100.4</v>
      </c>
      <c r="H1376">
        <f>'raw data Crude oil'!H1377</f>
        <v>98.79</v>
      </c>
      <c r="I1376">
        <f>'raw data Crude oil'!I1377</f>
        <v>97.29</v>
      </c>
      <c r="J1376">
        <f>'raw data Crude oil'!J1377</f>
        <v>95.9</v>
      </c>
      <c r="K1376">
        <f>'raw data Crude oil'!K1377</f>
        <v>94.67</v>
      </c>
      <c r="L1376">
        <f>'raw data Crude oil'!L1377</f>
        <v>93.57</v>
      </c>
      <c r="M1376">
        <f>'raw data Crude oil'!M1377</f>
        <v>92.6</v>
      </c>
      <c r="N1376">
        <f>'raw data Crude oil'!N1377</f>
        <v>105.36</v>
      </c>
      <c r="O1376">
        <f>'raw data Crude oil'!O1377</f>
        <v>103.47</v>
      </c>
      <c r="P1376">
        <f>'raw data Crude oil'!P1377</f>
        <v>101.52</v>
      </c>
      <c r="Q1376">
        <f>'raw data Crude oil'!Q1377</f>
        <v>99.47</v>
      </c>
      <c r="R1376">
        <f>'raw data Crude oil'!R1377</f>
        <v>97.53</v>
      </c>
      <c r="S1376">
        <f>'raw data Crude oil'!S1377</f>
        <v>95.77</v>
      </c>
      <c r="T1376">
        <f>'raw data Crude oil'!T1377</f>
        <v>94.15</v>
      </c>
      <c r="U1376">
        <f>'raw data Crude oil'!U1377</f>
        <v>92.64</v>
      </c>
      <c r="V1376">
        <f>'raw data Crude oil'!V1377</f>
        <v>91.22</v>
      </c>
      <c r="W1376">
        <f>'raw data Crude oil'!W1377</f>
        <v>89.91</v>
      </c>
      <c r="X1376">
        <f>'raw data Crude oil'!X1377</f>
        <v>88.74</v>
      </c>
      <c r="Y1376">
        <f>'raw data Crude oil'!Y1377</f>
        <v>87.67</v>
      </c>
      <c r="Z1376">
        <f>'raw data Crude oil'!Z1377</f>
        <v>102.776</v>
      </c>
      <c r="AA1376">
        <f>'raw data Crude oil'!AA1377</f>
        <v>103.65</v>
      </c>
      <c r="AB1376">
        <f>'raw data Crude oil'!AB1377</f>
        <v>101.68</v>
      </c>
      <c r="AC1376">
        <f>'raw data Crude oil'!AC1377</f>
        <v>99.622</v>
      </c>
      <c r="AD1376">
        <f>'raw data Crude oil'!AD1377</f>
        <v>97.823999999999998</v>
      </c>
      <c r="AE1376">
        <f>'raw data Crude oil'!AE1377</f>
        <v>96.186999999999998</v>
      </c>
      <c r="AF1376">
        <f>'raw data Crude oil'!AF1377</f>
        <v>94.638999999999996</v>
      </c>
      <c r="AG1376">
        <f>'raw data Crude oil'!AG1377</f>
        <v>93.156999999999996</v>
      </c>
      <c r="AH1376">
        <f>'raw data Crude oil'!AH1377</f>
        <v>91.753</v>
      </c>
      <c r="AI1376">
        <f>'raw data Crude oil'!AI1377</f>
        <v>90.798000000000002</v>
      </c>
      <c r="AJ1376">
        <f>'raw data Crude oil'!AJ1377</f>
        <v>89.932000000000002</v>
      </c>
      <c r="AK1376">
        <f>'raw data Crude oil'!AK1377</f>
        <v>89.152000000000001</v>
      </c>
    </row>
    <row r="1377" spans="1:37" x14ac:dyDescent="0.3">
      <c r="A1377" s="18">
        <f>'raw data Crude oil'!A1378</f>
        <v>44680</v>
      </c>
      <c r="B1377">
        <f>'raw data Crude oil'!B1378</f>
        <v>109.34</v>
      </c>
      <c r="C1377">
        <f>'raw data Crude oil'!C1378</f>
        <v>107.14</v>
      </c>
      <c r="D1377">
        <f>'raw data Crude oil'!D1378</f>
        <v>105.45</v>
      </c>
      <c r="E1377">
        <f>'raw data Crude oil'!E1378</f>
        <v>103.48</v>
      </c>
      <c r="F1377">
        <f>'raw data Crude oil'!F1378</f>
        <v>101.54</v>
      </c>
      <c r="G1377">
        <f>'raw data Crude oil'!G1378</f>
        <v>99.79</v>
      </c>
      <c r="H1377">
        <f>'raw data Crude oil'!H1378</f>
        <v>98.14</v>
      </c>
      <c r="I1377">
        <f>'raw data Crude oil'!I1378</f>
        <v>96.59</v>
      </c>
      <c r="J1377">
        <f>'raw data Crude oil'!J1378</f>
        <v>95.16</v>
      </c>
      <c r="K1377">
        <f>'raw data Crude oil'!K1378</f>
        <v>93.91</v>
      </c>
      <c r="L1377">
        <f>'raw data Crude oil'!L1378</f>
        <v>92.81</v>
      </c>
      <c r="M1377">
        <f>'raw data Crude oil'!M1378</f>
        <v>91.83</v>
      </c>
      <c r="N1377">
        <f>'raw data Crude oil'!N1378</f>
        <v>104.69</v>
      </c>
      <c r="O1377">
        <f>'raw data Crude oil'!O1378</f>
        <v>102.94</v>
      </c>
      <c r="P1377">
        <f>'raw data Crude oil'!P1378</f>
        <v>100.88</v>
      </c>
      <c r="Q1377">
        <f>'raw data Crude oil'!Q1378</f>
        <v>98.69</v>
      </c>
      <c r="R1377">
        <f>'raw data Crude oil'!R1378</f>
        <v>96.68</v>
      </c>
      <c r="S1377">
        <f>'raw data Crude oil'!S1378</f>
        <v>94.94</v>
      </c>
      <c r="T1377">
        <f>'raw data Crude oil'!T1378</f>
        <v>93.33</v>
      </c>
      <c r="U1377">
        <f>'raw data Crude oil'!U1378</f>
        <v>91.82</v>
      </c>
      <c r="V1377">
        <f>'raw data Crude oil'!V1378</f>
        <v>90.4</v>
      </c>
      <c r="W1377">
        <f>'raw data Crude oil'!W1378</f>
        <v>89.09</v>
      </c>
      <c r="X1377">
        <f>'raw data Crude oil'!X1378</f>
        <v>87.9</v>
      </c>
      <c r="Y1377">
        <f>'raw data Crude oil'!Y1378</f>
        <v>86.83</v>
      </c>
      <c r="Z1377">
        <f>'raw data Crude oil'!Z1378</f>
        <v>102.786</v>
      </c>
      <c r="AA1377">
        <f>'raw data Crude oil'!AA1378</f>
        <v>103.563</v>
      </c>
      <c r="AB1377">
        <f>'raw data Crude oil'!AB1378</f>
        <v>101.31</v>
      </c>
      <c r="AC1377">
        <f>'raw data Crude oil'!AC1378</f>
        <v>99.048000000000002</v>
      </c>
      <c r="AD1377">
        <f>'raw data Crude oil'!AD1378</f>
        <v>97.153999999999996</v>
      </c>
      <c r="AE1377">
        <f>'raw data Crude oil'!AE1378</f>
        <v>95.465000000000003</v>
      </c>
      <c r="AF1377">
        <f>'raw data Crude oil'!AF1378</f>
        <v>93.885999999999996</v>
      </c>
      <c r="AG1377">
        <f>'raw data Crude oil'!AG1378</f>
        <v>92.415000000000006</v>
      </c>
      <c r="AH1377">
        <f>'raw data Crude oil'!AH1378</f>
        <v>91.010999999999996</v>
      </c>
      <c r="AI1377">
        <f>'raw data Crude oil'!AI1378</f>
        <v>89.988</v>
      </c>
      <c r="AJ1377">
        <f>'raw data Crude oil'!AJ1378</f>
        <v>89.120999999999995</v>
      </c>
      <c r="AK1377">
        <f>'raw data Crude oil'!AK1378</f>
        <v>88.331999999999994</v>
      </c>
    </row>
    <row r="1378" spans="1:37" x14ac:dyDescent="0.3">
      <c r="A1378" s="18">
        <f>'raw data Crude oil'!A1379</f>
        <v>44683</v>
      </c>
      <c r="B1378">
        <f>'raw data Crude oil'!B1379</f>
        <v>107.58</v>
      </c>
      <c r="C1378">
        <f>'raw data Crude oil'!C1379</f>
        <v>105.97</v>
      </c>
      <c r="D1378">
        <f>'raw data Crude oil'!D1379</f>
        <v>104.08</v>
      </c>
      <c r="E1378">
        <f>'raw data Crude oil'!E1379</f>
        <v>102.19</v>
      </c>
      <c r="F1378">
        <f>'raw data Crude oil'!F1379</f>
        <v>100.44</v>
      </c>
      <c r="G1378">
        <f>'raw data Crude oil'!G1379</f>
        <v>98.78</v>
      </c>
      <c r="H1378">
        <f>'raw data Crude oil'!H1379</f>
        <v>97.25</v>
      </c>
      <c r="I1378">
        <f>'raw data Crude oil'!I1379</f>
        <v>95.84</v>
      </c>
      <c r="J1378">
        <f>'raw data Crude oil'!J1379</f>
        <v>94.6</v>
      </c>
      <c r="K1378">
        <f>'raw data Crude oil'!K1379</f>
        <v>93.5</v>
      </c>
      <c r="L1378">
        <f>'raw data Crude oil'!L1379</f>
        <v>92.53</v>
      </c>
      <c r="M1378">
        <f>'raw data Crude oil'!M1379</f>
        <v>91.65</v>
      </c>
      <c r="N1378">
        <f>'raw data Crude oil'!N1379</f>
        <v>105.17</v>
      </c>
      <c r="O1378">
        <f>'raw data Crude oil'!O1379</f>
        <v>103.42</v>
      </c>
      <c r="P1378">
        <f>'raw data Crude oil'!P1379</f>
        <v>101.38</v>
      </c>
      <c r="Q1378">
        <f>'raw data Crude oil'!Q1379</f>
        <v>99.29</v>
      </c>
      <c r="R1378">
        <f>'raw data Crude oil'!R1379</f>
        <v>97.33</v>
      </c>
      <c r="S1378">
        <f>'raw data Crude oil'!S1379</f>
        <v>95.57</v>
      </c>
      <c r="T1378">
        <f>'raw data Crude oil'!T1379</f>
        <v>93.94</v>
      </c>
      <c r="U1378">
        <f>'raw data Crude oil'!U1379</f>
        <v>92.41</v>
      </c>
      <c r="V1378">
        <f>'raw data Crude oil'!V1379</f>
        <v>90.99</v>
      </c>
      <c r="W1378">
        <f>'raw data Crude oil'!W1379</f>
        <v>89.7</v>
      </c>
      <c r="X1378">
        <f>'raw data Crude oil'!X1379</f>
        <v>88.51</v>
      </c>
      <c r="Y1378">
        <f>'raw data Crude oil'!Y1379</f>
        <v>87.45</v>
      </c>
      <c r="Z1378">
        <f>'raw data Crude oil'!Z1379</f>
        <v>102.786</v>
      </c>
      <c r="AA1378">
        <f>'raw data Crude oil'!AA1379</f>
        <v>104.014</v>
      </c>
      <c r="AB1378">
        <f>'raw data Crude oil'!AB1379</f>
        <v>101.81399999999999</v>
      </c>
      <c r="AC1378">
        <f>'raw data Crude oil'!AC1379</f>
        <v>99.49</v>
      </c>
      <c r="AD1378">
        <f>'raw data Crude oil'!AD1379</f>
        <v>97.644000000000005</v>
      </c>
      <c r="AE1378">
        <f>'raw data Crude oil'!AE1379</f>
        <v>95.905000000000001</v>
      </c>
      <c r="AF1378">
        <f>'raw data Crude oil'!AF1379</f>
        <v>94.307000000000002</v>
      </c>
      <c r="AG1378">
        <f>'raw data Crude oil'!AG1379</f>
        <v>92.945999999999998</v>
      </c>
      <c r="AH1378">
        <f>'raw data Crude oil'!AH1379</f>
        <v>91.691999999999993</v>
      </c>
      <c r="AI1378">
        <f>'raw data Crude oil'!AI1379</f>
        <v>90.677999999999997</v>
      </c>
      <c r="AJ1378">
        <f>'raw data Crude oil'!AJ1379</f>
        <v>89.811999999999998</v>
      </c>
      <c r="AK1378">
        <f>'raw data Crude oil'!AK1379</f>
        <v>89.031999999999996</v>
      </c>
    </row>
    <row r="1379" spans="1:37" x14ac:dyDescent="0.3">
      <c r="A1379" s="18">
        <f>'raw data Crude oil'!A1380</f>
        <v>44684</v>
      </c>
      <c r="B1379">
        <f>'raw data Crude oil'!B1380</f>
        <v>104.97</v>
      </c>
      <c r="C1379">
        <f>'raw data Crude oil'!C1380</f>
        <v>103.73</v>
      </c>
      <c r="D1379">
        <f>'raw data Crude oil'!D1380</f>
        <v>102.16</v>
      </c>
      <c r="E1379">
        <f>'raw data Crude oil'!E1380</f>
        <v>100.54</v>
      </c>
      <c r="F1379">
        <f>'raw data Crude oil'!F1380</f>
        <v>98.98</v>
      </c>
      <c r="G1379">
        <f>'raw data Crude oil'!G1380</f>
        <v>97.45</v>
      </c>
      <c r="H1379">
        <f>'raw data Crude oil'!H1380</f>
        <v>96.03</v>
      </c>
      <c r="I1379">
        <f>'raw data Crude oil'!I1380</f>
        <v>94.72</v>
      </c>
      <c r="J1379">
        <f>'raw data Crude oil'!J1380</f>
        <v>93.59</v>
      </c>
      <c r="K1379">
        <f>'raw data Crude oil'!K1380</f>
        <v>92.56</v>
      </c>
      <c r="L1379">
        <f>'raw data Crude oil'!L1380</f>
        <v>91.65</v>
      </c>
      <c r="M1379">
        <f>'raw data Crude oil'!M1380</f>
        <v>90.83</v>
      </c>
      <c r="N1379">
        <f>'raw data Crude oil'!N1380</f>
        <v>102.41</v>
      </c>
      <c r="O1379">
        <f>'raw data Crude oil'!O1380</f>
        <v>100.9</v>
      </c>
      <c r="P1379">
        <f>'raw data Crude oil'!P1380</f>
        <v>99.22</v>
      </c>
      <c r="Q1379">
        <f>'raw data Crude oil'!Q1380</f>
        <v>97.52</v>
      </c>
      <c r="R1379">
        <f>'raw data Crude oil'!R1380</f>
        <v>95.84</v>
      </c>
      <c r="S1379">
        <f>'raw data Crude oil'!S1380</f>
        <v>94.22</v>
      </c>
      <c r="T1379">
        <f>'raw data Crude oil'!T1380</f>
        <v>92.7</v>
      </c>
      <c r="U1379">
        <f>'raw data Crude oil'!U1380</f>
        <v>91.28</v>
      </c>
      <c r="V1379">
        <f>'raw data Crude oil'!V1380</f>
        <v>89.98</v>
      </c>
      <c r="W1379">
        <f>'raw data Crude oil'!W1380</f>
        <v>88.79</v>
      </c>
      <c r="X1379">
        <f>'raw data Crude oil'!X1380</f>
        <v>87.69</v>
      </c>
      <c r="Y1379">
        <f>'raw data Crude oil'!Y1380</f>
        <v>86.69</v>
      </c>
      <c r="Z1379">
        <f>'raw data Crude oil'!Z1380</f>
        <v>101.259</v>
      </c>
      <c r="AA1379">
        <f>'raw data Crude oil'!AA1380</f>
        <v>99.459000000000003</v>
      </c>
      <c r="AB1379">
        <f>'raw data Crude oil'!AB1380</f>
        <v>97.453000000000003</v>
      </c>
      <c r="AC1379">
        <f>'raw data Crude oil'!AC1380</f>
        <v>95.912000000000006</v>
      </c>
      <c r="AD1379">
        <f>'raw data Crude oil'!AD1380</f>
        <v>94.4</v>
      </c>
      <c r="AE1379">
        <f>'raw data Crude oil'!AE1380</f>
        <v>92.941999999999993</v>
      </c>
      <c r="AF1379">
        <f>'raw data Crude oil'!AF1380</f>
        <v>91.6</v>
      </c>
      <c r="AG1379">
        <f>'raw data Crude oil'!AG1380</f>
        <v>90.402000000000001</v>
      </c>
      <c r="AH1379">
        <f>'raw data Crude oil'!AH1380</f>
        <v>89.491</v>
      </c>
      <c r="AI1379">
        <f>'raw data Crude oil'!AI1380</f>
        <v>88.685000000000002</v>
      </c>
      <c r="AJ1379">
        <f>'raw data Crude oil'!AJ1380</f>
        <v>87.953999999999994</v>
      </c>
      <c r="AK1379">
        <f>'raw data Crude oil'!AK1380</f>
        <v>87.247</v>
      </c>
    </row>
    <row r="1380" spans="1:37" x14ac:dyDescent="0.3">
      <c r="A1380" s="18">
        <f>'raw data Crude oil'!A1381</f>
        <v>44685</v>
      </c>
      <c r="B1380">
        <f>'raw data Crude oil'!B1381</f>
        <v>110.14</v>
      </c>
      <c r="C1380">
        <f>'raw data Crude oil'!C1381</f>
        <v>108.72</v>
      </c>
      <c r="D1380">
        <f>'raw data Crude oil'!D1381</f>
        <v>106.95</v>
      </c>
      <c r="E1380">
        <f>'raw data Crude oil'!E1381</f>
        <v>105.14</v>
      </c>
      <c r="F1380">
        <f>'raw data Crude oil'!F1381</f>
        <v>103.42</v>
      </c>
      <c r="G1380">
        <f>'raw data Crude oil'!G1381</f>
        <v>101.73</v>
      </c>
      <c r="H1380">
        <f>'raw data Crude oil'!H1381</f>
        <v>100.12</v>
      </c>
      <c r="I1380">
        <f>'raw data Crude oil'!I1381</f>
        <v>98.64</v>
      </c>
      <c r="J1380">
        <f>'raw data Crude oil'!J1381</f>
        <v>97.35</v>
      </c>
      <c r="K1380">
        <f>'raw data Crude oil'!K1381</f>
        <v>96.16</v>
      </c>
      <c r="L1380">
        <f>'raw data Crude oil'!L1381</f>
        <v>95.1</v>
      </c>
      <c r="M1380">
        <f>'raw data Crude oil'!M1381</f>
        <v>94.16</v>
      </c>
      <c r="N1380">
        <f>'raw data Crude oil'!N1381</f>
        <v>107.81</v>
      </c>
      <c r="O1380">
        <f>'raw data Crude oil'!O1381</f>
        <v>106.22</v>
      </c>
      <c r="P1380">
        <f>'raw data Crude oil'!P1381</f>
        <v>104.42</v>
      </c>
      <c r="Q1380">
        <f>'raw data Crude oil'!Q1381</f>
        <v>102.49</v>
      </c>
      <c r="R1380">
        <f>'raw data Crude oil'!R1381</f>
        <v>100.58</v>
      </c>
      <c r="S1380">
        <f>'raw data Crude oil'!S1381</f>
        <v>98.76</v>
      </c>
      <c r="T1380">
        <f>'raw data Crude oil'!T1381</f>
        <v>97.04</v>
      </c>
      <c r="U1380">
        <f>'raw data Crude oil'!U1381</f>
        <v>95.43</v>
      </c>
      <c r="V1380">
        <f>'raw data Crude oil'!V1381</f>
        <v>93.94</v>
      </c>
      <c r="W1380">
        <f>'raw data Crude oil'!W1381</f>
        <v>92.57</v>
      </c>
      <c r="X1380">
        <f>'raw data Crude oil'!X1381</f>
        <v>91.31</v>
      </c>
      <c r="Y1380">
        <f>'raw data Crude oil'!Y1381</f>
        <v>90.16</v>
      </c>
      <c r="Z1380">
        <f>'raw data Crude oil'!Z1381</f>
        <v>105.867</v>
      </c>
      <c r="AA1380">
        <f>'raw data Crude oil'!AA1381</f>
        <v>104.23</v>
      </c>
      <c r="AB1380">
        <f>'raw data Crude oil'!AB1381</f>
        <v>102.004</v>
      </c>
      <c r="AC1380">
        <f>'raw data Crude oil'!AC1381</f>
        <v>100.255</v>
      </c>
      <c r="AD1380">
        <f>'raw data Crude oil'!AD1381</f>
        <v>98.623000000000005</v>
      </c>
      <c r="AE1380">
        <f>'raw data Crude oil'!AE1381</f>
        <v>97.022999999999996</v>
      </c>
      <c r="AF1380">
        <f>'raw data Crude oil'!AF1381</f>
        <v>95.492999999999995</v>
      </c>
      <c r="AG1380">
        <f>'raw data Crude oil'!AG1381</f>
        <v>94.037000000000006</v>
      </c>
      <c r="AH1380">
        <f>'raw data Crude oil'!AH1381</f>
        <v>93.022999999999996</v>
      </c>
      <c r="AI1380">
        <f>'raw data Crude oil'!AI1381</f>
        <v>92.106999999999999</v>
      </c>
      <c r="AJ1380">
        <f>'raw data Crude oil'!AJ1381</f>
        <v>91.269000000000005</v>
      </c>
      <c r="AK1380">
        <f>'raw data Crude oil'!AK1381</f>
        <v>90.501000000000005</v>
      </c>
    </row>
    <row r="1381" spans="1:37" x14ac:dyDescent="0.3">
      <c r="A1381" s="18">
        <f>'raw data Crude oil'!A1382</f>
        <v>44686</v>
      </c>
      <c r="B1381">
        <f>'raw data Crude oil'!B1382</f>
        <v>110.9</v>
      </c>
      <c r="C1381">
        <f>'raw data Crude oil'!C1382</f>
        <v>109.22</v>
      </c>
      <c r="D1381">
        <f>'raw data Crude oil'!D1382</f>
        <v>107.31</v>
      </c>
      <c r="E1381">
        <f>'raw data Crude oil'!E1382</f>
        <v>105.46</v>
      </c>
      <c r="F1381">
        <f>'raw data Crude oil'!F1382</f>
        <v>103.72</v>
      </c>
      <c r="G1381">
        <f>'raw data Crude oil'!G1382</f>
        <v>102</v>
      </c>
      <c r="H1381">
        <f>'raw data Crude oil'!H1382</f>
        <v>100.35</v>
      </c>
      <c r="I1381">
        <f>'raw data Crude oil'!I1382</f>
        <v>98.84</v>
      </c>
      <c r="J1381">
        <f>'raw data Crude oil'!J1382</f>
        <v>97.55</v>
      </c>
      <c r="K1381">
        <f>'raw data Crude oil'!K1382</f>
        <v>96.37</v>
      </c>
      <c r="L1381">
        <f>'raw data Crude oil'!L1382</f>
        <v>95.3</v>
      </c>
      <c r="M1381">
        <f>'raw data Crude oil'!M1382</f>
        <v>94.35</v>
      </c>
      <c r="N1381">
        <f>'raw data Crude oil'!N1382</f>
        <v>108.26</v>
      </c>
      <c r="O1381">
        <f>'raw data Crude oil'!O1382</f>
        <v>106.74</v>
      </c>
      <c r="P1381">
        <f>'raw data Crude oil'!P1382</f>
        <v>104.86</v>
      </c>
      <c r="Q1381">
        <f>'raw data Crude oil'!Q1382</f>
        <v>102.84</v>
      </c>
      <c r="R1381">
        <f>'raw data Crude oil'!R1382</f>
        <v>100.88</v>
      </c>
      <c r="S1381">
        <f>'raw data Crude oil'!S1382</f>
        <v>99.04</v>
      </c>
      <c r="T1381">
        <f>'raw data Crude oil'!T1382</f>
        <v>97.31</v>
      </c>
      <c r="U1381">
        <f>'raw data Crude oil'!U1382</f>
        <v>95.7</v>
      </c>
      <c r="V1381">
        <f>'raw data Crude oil'!V1382</f>
        <v>94.2</v>
      </c>
      <c r="W1381">
        <f>'raw data Crude oil'!W1382</f>
        <v>92.83</v>
      </c>
      <c r="X1381">
        <f>'raw data Crude oil'!X1382</f>
        <v>91.58</v>
      </c>
      <c r="Y1381">
        <f>'raw data Crude oil'!Y1382</f>
        <v>90.44</v>
      </c>
      <c r="Z1381">
        <f>'raw data Crude oil'!Z1382</f>
        <v>106.51</v>
      </c>
      <c r="AA1381">
        <f>'raw data Crude oil'!AA1382</f>
        <v>104.68300000000001</v>
      </c>
      <c r="AB1381">
        <f>'raw data Crude oil'!AB1382</f>
        <v>102.342</v>
      </c>
      <c r="AC1381">
        <f>'raw data Crude oil'!AC1382</f>
        <v>100.474</v>
      </c>
      <c r="AD1381">
        <f>'raw data Crude oil'!AD1382</f>
        <v>98.772000000000006</v>
      </c>
      <c r="AE1381">
        <f>'raw data Crude oil'!AE1382</f>
        <v>97.141000000000005</v>
      </c>
      <c r="AF1381">
        <f>'raw data Crude oil'!AF1382</f>
        <v>95.590999999999994</v>
      </c>
      <c r="AG1381">
        <f>'raw data Crude oil'!AG1382</f>
        <v>94.137</v>
      </c>
      <c r="AH1381">
        <f>'raw data Crude oil'!AH1382</f>
        <v>93.004000000000005</v>
      </c>
      <c r="AI1381">
        <f>'raw data Crude oil'!AI1382</f>
        <v>91.977000000000004</v>
      </c>
      <c r="AJ1381">
        <f>'raw data Crude oil'!AJ1382</f>
        <v>91.039000000000001</v>
      </c>
      <c r="AK1381">
        <f>'raw data Crude oil'!AK1382</f>
        <v>90.369</v>
      </c>
    </row>
    <row r="1382" spans="1:37" x14ac:dyDescent="0.3">
      <c r="A1382" s="18">
        <f>'raw data Crude oil'!A1383</f>
        <v>44687</v>
      </c>
      <c r="B1382">
        <f>'raw data Crude oil'!B1383</f>
        <v>112.39</v>
      </c>
      <c r="C1382">
        <f>'raw data Crude oil'!C1383</f>
        <v>110.84</v>
      </c>
      <c r="D1382">
        <f>'raw data Crude oil'!D1383</f>
        <v>108.99</v>
      </c>
      <c r="E1382">
        <f>'raw data Crude oil'!E1383</f>
        <v>107.16</v>
      </c>
      <c r="F1382">
        <f>'raw data Crude oil'!F1383</f>
        <v>105.39</v>
      </c>
      <c r="G1382">
        <f>'raw data Crude oil'!G1383</f>
        <v>103.61</v>
      </c>
      <c r="H1382">
        <f>'raw data Crude oil'!H1383</f>
        <v>101.89</v>
      </c>
      <c r="I1382">
        <f>'raw data Crude oil'!I1383</f>
        <v>100.29</v>
      </c>
      <c r="J1382">
        <f>'raw data Crude oil'!J1383</f>
        <v>98.88</v>
      </c>
      <c r="K1382">
        <f>'raw data Crude oil'!K1383</f>
        <v>97.6</v>
      </c>
      <c r="L1382">
        <f>'raw data Crude oil'!L1383</f>
        <v>96.44</v>
      </c>
      <c r="M1382">
        <f>'raw data Crude oil'!M1383</f>
        <v>95.39</v>
      </c>
      <c r="N1382">
        <f>'raw data Crude oil'!N1383</f>
        <v>109.77</v>
      </c>
      <c r="O1382">
        <f>'raw data Crude oil'!O1383</f>
        <v>108.33</v>
      </c>
      <c r="P1382">
        <f>'raw data Crude oil'!P1383</f>
        <v>106.48</v>
      </c>
      <c r="Q1382">
        <f>'raw data Crude oil'!Q1383</f>
        <v>104.45</v>
      </c>
      <c r="R1382">
        <f>'raw data Crude oil'!R1383</f>
        <v>102.47</v>
      </c>
      <c r="S1382">
        <f>'raw data Crude oil'!S1383</f>
        <v>100.57</v>
      </c>
      <c r="T1382">
        <f>'raw data Crude oil'!T1383</f>
        <v>98.73</v>
      </c>
      <c r="U1382">
        <f>'raw data Crude oil'!U1383</f>
        <v>97</v>
      </c>
      <c r="V1382">
        <f>'raw data Crude oil'!V1383</f>
        <v>95.39</v>
      </c>
      <c r="W1382">
        <f>'raw data Crude oil'!W1383</f>
        <v>93.91</v>
      </c>
      <c r="X1382">
        <f>'raw data Crude oil'!X1383</f>
        <v>92.55</v>
      </c>
      <c r="Y1382">
        <f>'raw data Crude oil'!Y1383</f>
        <v>91.31</v>
      </c>
      <c r="Z1382">
        <f>'raw data Crude oil'!Z1383</f>
        <v>107.783</v>
      </c>
      <c r="AA1382">
        <f>'raw data Crude oil'!AA1383</f>
        <v>106.121</v>
      </c>
      <c r="AB1382">
        <f>'raw data Crude oil'!AB1383</f>
        <v>103.783</v>
      </c>
      <c r="AC1382">
        <f>'raw data Crude oil'!AC1383</f>
        <v>101.873</v>
      </c>
      <c r="AD1382">
        <f>'raw data Crude oil'!AD1383</f>
        <v>100.119</v>
      </c>
      <c r="AE1382">
        <f>'raw data Crude oil'!AE1383</f>
        <v>98.418000000000006</v>
      </c>
      <c r="AF1382">
        <f>'raw data Crude oil'!AF1383</f>
        <v>96.837000000000003</v>
      </c>
      <c r="AG1382">
        <f>'raw data Crude oil'!AG1383</f>
        <v>95.305999999999997</v>
      </c>
      <c r="AH1382">
        <f>'raw data Crude oil'!AH1383</f>
        <v>94.099000000000004</v>
      </c>
      <c r="AI1382">
        <f>'raw data Crude oil'!AI1383</f>
        <v>92.941999999999993</v>
      </c>
      <c r="AJ1382">
        <f>'raw data Crude oil'!AJ1383</f>
        <v>91.914000000000001</v>
      </c>
      <c r="AK1382">
        <f>'raw data Crude oil'!AK1383</f>
        <v>91.126999999999995</v>
      </c>
    </row>
    <row r="1383" spans="1:37" x14ac:dyDescent="0.3">
      <c r="A1383" s="18">
        <f>'raw data Crude oil'!A1384</f>
        <v>44690</v>
      </c>
      <c r="B1383">
        <f>'raw data Crude oil'!B1384</f>
        <v>105.94</v>
      </c>
      <c r="C1383">
        <f>'raw data Crude oil'!C1384</f>
        <v>104.6</v>
      </c>
      <c r="D1383">
        <f>'raw data Crude oil'!D1384</f>
        <v>102.99</v>
      </c>
      <c r="E1383">
        <f>'raw data Crude oil'!E1384</f>
        <v>101.49</v>
      </c>
      <c r="F1383">
        <f>'raw data Crude oil'!F1384</f>
        <v>100.03</v>
      </c>
      <c r="G1383">
        <f>'raw data Crude oil'!G1384</f>
        <v>98.55</v>
      </c>
      <c r="H1383">
        <f>'raw data Crude oil'!H1384</f>
        <v>97.1</v>
      </c>
      <c r="I1383">
        <f>'raw data Crude oil'!I1384</f>
        <v>95.73</v>
      </c>
      <c r="J1383">
        <f>'raw data Crude oil'!J1384</f>
        <v>94.52</v>
      </c>
      <c r="K1383">
        <f>'raw data Crude oil'!K1384</f>
        <v>93.4</v>
      </c>
      <c r="L1383">
        <f>'raw data Crude oil'!L1384</f>
        <v>92.39</v>
      </c>
      <c r="M1383">
        <f>'raw data Crude oil'!M1384</f>
        <v>91.48</v>
      </c>
      <c r="N1383">
        <f>'raw data Crude oil'!N1384</f>
        <v>103.09</v>
      </c>
      <c r="O1383">
        <f>'raw data Crude oil'!O1384</f>
        <v>101.77</v>
      </c>
      <c r="P1383">
        <f>'raw data Crude oil'!P1384</f>
        <v>100.1</v>
      </c>
      <c r="Q1383">
        <f>'raw data Crude oil'!Q1384</f>
        <v>98.35</v>
      </c>
      <c r="R1383">
        <f>'raw data Crude oil'!R1384</f>
        <v>96.67</v>
      </c>
      <c r="S1383">
        <f>'raw data Crude oil'!S1384</f>
        <v>95.07</v>
      </c>
      <c r="T1383">
        <f>'raw data Crude oil'!T1384</f>
        <v>93.53</v>
      </c>
      <c r="U1383">
        <f>'raw data Crude oil'!U1384</f>
        <v>92.09</v>
      </c>
      <c r="V1383">
        <f>'raw data Crude oil'!V1384</f>
        <v>90.74</v>
      </c>
      <c r="W1383">
        <f>'raw data Crude oil'!W1384</f>
        <v>89.47</v>
      </c>
      <c r="X1383">
        <f>'raw data Crude oil'!X1384</f>
        <v>88.31</v>
      </c>
      <c r="Y1383">
        <f>'raw data Crude oil'!Y1384</f>
        <v>87.24</v>
      </c>
      <c r="Z1383">
        <f>'raw data Crude oil'!Z1384</f>
        <v>102.833</v>
      </c>
      <c r="AA1383">
        <f>'raw data Crude oil'!AA1384</f>
        <v>99.837000000000003</v>
      </c>
      <c r="AB1383">
        <f>'raw data Crude oil'!AB1384</f>
        <v>97.608999999999995</v>
      </c>
      <c r="AC1383">
        <f>'raw data Crude oil'!AC1384</f>
        <v>96.007000000000005</v>
      </c>
      <c r="AD1383">
        <f>'raw data Crude oil'!AD1384</f>
        <v>94.563000000000002</v>
      </c>
      <c r="AE1383">
        <f>'raw data Crude oil'!AE1384</f>
        <v>93.141000000000005</v>
      </c>
      <c r="AF1383">
        <f>'raw data Crude oil'!AF1384</f>
        <v>91.778000000000006</v>
      </c>
      <c r="AG1383">
        <f>'raw data Crude oil'!AG1384</f>
        <v>90.484999999999999</v>
      </c>
      <c r="AH1383">
        <f>'raw data Crude oil'!AH1384</f>
        <v>89.466999999999999</v>
      </c>
      <c r="AI1383">
        <f>'raw data Crude oil'!AI1384</f>
        <v>88.48</v>
      </c>
      <c r="AJ1383">
        <f>'raw data Crude oil'!AJ1384</f>
        <v>87.7</v>
      </c>
      <c r="AK1383">
        <f>'raw data Crude oil'!AK1384</f>
        <v>86.972999999999999</v>
      </c>
    </row>
    <row r="1384" spans="1:37" x14ac:dyDescent="0.3">
      <c r="A1384" s="18">
        <f>'raw data Crude oil'!A1385</f>
        <v>44691</v>
      </c>
      <c r="B1384">
        <f>'raw data Crude oil'!B1385</f>
        <v>102.46</v>
      </c>
      <c r="C1384">
        <f>'raw data Crude oil'!C1385</f>
        <v>101.24</v>
      </c>
      <c r="D1384">
        <f>'raw data Crude oil'!D1385</f>
        <v>99.77</v>
      </c>
      <c r="E1384">
        <f>'raw data Crude oil'!E1385</f>
        <v>98.42</v>
      </c>
      <c r="F1384">
        <f>'raw data Crude oil'!F1385</f>
        <v>97.13</v>
      </c>
      <c r="G1384">
        <f>'raw data Crude oil'!G1385</f>
        <v>95.84</v>
      </c>
      <c r="H1384">
        <f>'raw data Crude oil'!H1385</f>
        <v>94.56</v>
      </c>
      <c r="I1384">
        <f>'raw data Crude oil'!I1385</f>
        <v>93.37</v>
      </c>
      <c r="J1384">
        <f>'raw data Crude oil'!J1385</f>
        <v>92.31</v>
      </c>
      <c r="K1384">
        <f>'raw data Crude oil'!K1385</f>
        <v>91.35</v>
      </c>
      <c r="L1384">
        <f>'raw data Crude oil'!L1385</f>
        <v>90.49</v>
      </c>
      <c r="M1384">
        <f>'raw data Crude oil'!M1385</f>
        <v>89.7</v>
      </c>
      <c r="N1384">
        <f>'raw data Crude oil'!N1385</f>
        <v>99.76</v>
      </c>
      <c r="O1384">
        <f>'raw data Crude oil'!O1385</f>
        <v>98.45</v>
      </c>
      <c r="P1384">
        <f>'raw data Crude oil'!P1385</f>
        <v>96.87</v>
      </c>
      <c r="Q1384">
        <f>'raw data Crude oil'!Q1385</f>
        <v>95.26</v>
      </c>
      <c r="R1384">
        <f>'raw data Crude oil'!R1385</f>
        <v>93.76</v>
      </c>
      <c r="S1384">
        <f>'raw data Crude oil'!S1385</f>
        <v>92.33</v>
      </c>
      <c r="T1384">
        <f>'raw data Crude oil'!T1385</f>
        <v>90.95</v>
      </c>
      <c r="U1384">
        <f>'raw data Crude oil'!U1385</f>
        <v>89.65</v>
      </c>
      <c r="V1384">
        <f>'raw data Crude oil'!V1385</f>
        <v>88.44</v>
      </c>
      <c r="W1384">
        <f>'raw data Crude oil'!W1385</f>
        <v>87.34</v>
      </c>
      <c r="X1384">
        <f>'raw data Crude oil'!X1385</f>
        <v>86.33</v>
      </c>
      <c r="Y1384">
        <f>'raw data Crude oil'!Y1385</f>
        <v>85.41</v>
      </c>
      <c r="Z1384">
        <f>'raw data Crude oil'!Z1385</f>
        <v>100.88</v>
      </c>
      <c r="AA1384">
        <f>'raw data Crude oil'!AA1385</f>
        <v>96.742999999999995</v>
      </c>
      <c r="AB1384">
        <f>'raw data Crude oil'!AB1385</f>
        <v>94.656000000000006</v>
      </c>
      <c r="AC1384">
        <f>'raw data Crude oil'!AC1385</f>
        <v>93.123999999999995</v>
      </c>
      <c r="AD1384">
        <f>'raw data Crude oil'!AD1385</f>
        <v>91.840999999999994</v>
      </c>
      <c r="AE1384">
        <f>'raw data Crude oil'!AE1385</f>
        <v>90.578999999999994</v>
      </c>
      <c r="AF1384">
        <f>'raw data Crude oil'!AF1385</f>
        <v>89.406000000000006</v>
      </c>
      <c r="AG1384">
        <f>'raw data Crude oil'!AG1385</f>
        <v>88.259</v>
      </c>
      <c r="AH1384">
        <f>'raw data Crude oil'!AH1385</f>
        <v>87.444000000000003</v>
      </c>
      <c r="AI1384">
        <f>'raw data Crude oil'!AI1385</f>
        <v>86.647000000000006</v>
      </c>
      <c r="AJ1384">
        <f>'raw data Crude oil'!AJ1385</f>
        <v>85.915999999999997</v>
      </c>
      <c r="AK1384">
        <f>'raw data Crude oil'!AK1385</f>
        <v>85.257999999999996</v>
      </c>
    </row>
    <row r="1385" spans="1:37" x14ac:dyDescent="0.3">
      <c r="A1385" s="18">
        <f>'raw data Crude oil'!A1386</f>
        <v>44692</v>
      </c>
      <c r="B1385">
        <f>'raw data Crude oil'!B1386</f>
        <v>107.51</v>
      </c>
      <c r="C1385">
        <f>'raw data Crude oil'!C1386</f>
        <v>106.1</v>
      </c>
      <c r="D1385">
        <f>'raw data Crude oil'!D1386</f>
        <v>104.46</v>
      </c>
      <c r="E1385">
        <f>'raw data Crude oil'!E1386</f>
        <v>102.92</v>
      </c>
      <c r="F1385">
        <f>'raw data Crude oil'!F1386</f>
        <v>101.49</v>
      </c>
      <c r="G1385">
        <f>'raw data Crude oil'!G1386</f>
        <v>100.08</v>
      </c>
      <c r="H1385">
        <f>'raw data Crude oil'!H1386</f>
        <v>98.7</v>
      </c>
      <c r="I1385">
        <f>'raw data Crude oil'!I1386</f>
        <v>97.41</v>
      </c>
      <c r="J1385">
        <f>'raw data Crude oil'!J1386</f>
        <v>96.3</v>
      </c>
      <c r="K1385">
        <f>'raw data Crude oil'!K1386</f>
        <v>95.3</v>
      </c>
      <c r="L1385">
        <f>'raw data Crude oil'!L1386</f>
        <v>94.42</v>
      </c>
      <c r="M1385">
        <f>'raw data Crude oil'!M1386</f>
        <v>93.61</v>
      </c>
      <c r="N1385">
        <f>'raw data Crude oil'!N1386</f>
        <v>105.71</v>
      </c>
      <c r="O1385">
        <f>'raw data Crude oil'!O1386</f>
        <v>104.03</v>
      </c>
      <c r="P1385">
        <f>'raw data Crude oil'!P1386</f>
        <v>102.2</v>
      </c>
      <c r="Q1385">
        <f>'raw data Crude oil'!Q1386</f>
        <v>100.34</v>
      </c>
      <c r="R1385">
        <f>'raw data Crude oil'!R1386</f>
        <v>98.59</v>
      </c>
      <c r="S1385">
        <f>'raw data Crude oil'!S1386</f>
        <v>96.95</v>
      </c>
      <c r="T1385">
        <f>'raw data Crude oil'!T1386</f>
        <v>95.4</v>
      </c>
      <c r="U1385">
        <f>'raw data Crude oil'!U1386</f>
        <v>93.96</v>
      </c>
      <c r="V1385">
        <f>'raw data Crude oil'!V1386</f>
        <v>92.64</v>
      </c>
      <c r="W1385">
        <f>'raw data Crude oil'!W1386</f>
        <v>91.47</v>
      </c>
      <c r="X1385">
        <f>'raw data Crude oil'!X1386</f>
        <v>90.42</v>
      </c>
      <c r="Y1385">
        <f>'raw data Crude oil'!Y1386</f>
        <v>89.47</v>
      </c>
      <c r="Z1385">
        <f>'raw data Crude oil'!Z1386</f>
        <v>104.73099999999999</v>
      </c>
      <c r="AA1385">
        <f>'raw data Crude oil'!AA1386</f>
        <v>101.77500000000001</v>
      </c>
      <c r="AB1385">
        <f>'raw data Crude oil'!AB1386</f>
        <v>99.486999999999995</v>
      </c>
      <c r="AC1385">
        <f>'raw data Crude oil'!AC1386</f>
        <v>97.808000000000007</v>
      </c>
      <c r="AD1385">
        <f>'raw data Crude oil'!AD1386</f>
        <v>96.366</v>
      </c>
      <c r="AE1385">
        <f>'raw data Crude oil'!AE1386</f>
        <v>95.004000000000005</v>
      </c>
      <c r="AF1385">
        <f>'raw data Crude oil'!AF1386</f>
        <v>93.691000000000003</v>
      </c>
      <c r="AG1385">
        <f>'raw data Crude oil'!AG1386</f>
        <v>92.504000000000005</v>
      </c>
      <c r="AH1385">
        <f>'raw data Crude oil'!AH1386</f>
        <v>91.531999999999996</v>
      </c>
      <c r="AI1385">
        <f>'raw data Crude oil'!AI1386</f>
        <v>90.715999999999994</v>
      </c>
      <c r="AJ1385">
        <f>'raw data Crude oil'!AJ1386</f>
        <v>89.954999999999998</v>
      </c>
      <c r="AK1385">
        <f>'raw data Crude oil'!AK1386</f>
        <v>89.308000000000007</v>
      </c>
    </row>
    <row r="1386" spans="1:37" x14ac:dyDescent="0.3">
      <c r="A1386" s="18">
        <f>'raw data Crude oil'!A1387</f>
        <v>44693</v>
      </c>
      <c r="B1386">
        <f>'raw data Crude oil'!B1387</f>
        <v>107.45</v>
      </c>
      <c r="C1386">
        <f>'raw data Crude oil'!C1387</f>
        <v>105.99</v>
      </c>
      <c r="D1386">
        <f>'raw data Crude oil'!D1387</f>
        <v>104.23</v>
      </c>
      <c r="E1386">
        <f>'raw data Crude oil'!E1387</f>
        <v>102.6</v>
      </c>
      <c r="F1386">
        <f>'raw data Crude oil'!F1387</f>
        <v>101.1</v>
      </c>
      <c r="G1386">
        <f>'raw data Crude oil'!G1387</f>
        <v>99.64</v>
      </c>
      <c r="H1386">
        <f>'raw data Crude oil'!H1387</f>
        <v>98.24</v>
      </c>
      <c r="I1386">
        <f>'raw data Crude oil'!I1387</f>
        <v>96.93</v>
      </c>
      <c r="J1386">
        <f>'raw data Crude oil'!J1387</f>
        <v>95.79</v>
      </c>
      <c r="K1386">
        <f>'raw data Crude oil'!K1387</f>
        <v>94.76</v>
      </c>
      <c r="L1386">
        <f>'raw data Crude oil'!L1387</f>
        <v>93.86</v>
      </c>
      <c r="M1386">
        <f>'raw data Crude oil'!M1387</f>
        <v>93.05</v>
      </c>
      <c r="N1386">
        <f>'raw data Crude oil'!N1387</f>
        <v>106.13</v>
      </c>
      <c r="O1386">
        <f>'raw data Crude oil'!O1387</f>
        <v>104.4</v>
      </c>
      <c r="P1386">
        <f>'raw data Crude oil'!P1387</f>
        <v>102.42</v>
      </c>
      <c r="Q1386">
        <f>'raw data Crude oil'!Q1387</f>
        <v>100.42</v>
      </c>
      <c r="R1386">
        <f>'raw data Crude oil'!R1387</f>
        <v>98.54</v>
      </c>
      <c r="S1386">
        <f>'raw data Crude oil'!S1387</f>
        <v>96.81</v>
      </c>
      <c r="T1386">
        <f>'raw data Crude oil'!T1387</f>
        <v>95.19</v>
      </c>
      <c r="U1386">
        <f>'raw data Crude oil'!U1387</f>
        <v>93.7</v>
      </c>
      <c r="V1386">
        <f>'raw data Crude oil'!V1387</f>
        <v>92.33</v>
      </c>
      <c r="W1386">
        <f>'raw data Crude oil'!W1387</f>
        <v>91.12</v>
      </c>
      <c r="X1386">
        <f>'raw data Crude oil'!X1387</f>
        <v>90.03</v>
      </c>
      <c r="Y1386">
        <f>'raw data Crude oil'!Y1387</f>
        <v>89.06</v>
      </c>
      <c r="Z1386">
        <f>'raw data Crude oil'!Z1387</f>
        <v>104.748</v>
      </c>
      <c r="AA1386">
        <f>'raw data Crude oil'!AA1387</f>
        <v>101.83</v>
      </c>
      <c r="AB1386">
        <f>'raw data Crude oil'!AB1387</f>
        <v>99.352000000000004</v>
      </c>
      <c r="AC1386">
        <f>'raw data Crude oil'!AC1387</f>
        <v>97.525000000000006</v>
      </c>
      <c r="AD1386">
        <f>'raw data Crude oil'!AD1387</f>
        <v>95.994</v>
      </c>
      <c r="AE1386">
        <f>'raw data Crude oil'!AE1387</f>
        <v>94.563000000000002</v>
      </c>
      <c r="AF1386">
        <f>'raw data Crude oil'!AF1387</f>
        <v>93.23</v>
      </c>
      <c r="AG1386">
        <f>'raw data Crude oil'!AG1387</f>
        <v>91.960999999999999</v>
      </c>
      <c r="AH1386">
        <f>'raw data Crude oil'!AH1387</f>
        <v>90.950999999999993</v>
      </c>
      <c r="AI1386">
        <f>'raw data Crude oil'!AI1387</f>
        <v>90.094999999999999</v>
      </c>
      <c r="AJ1386">
        <f>'raw data Crude oil'!AJ1387</f>
        <v>89.305000000000007</v>
      </c>
      <c r="AK1386">
        <f>'raw data Crude oil'!AK1387</f>
        <v>88.658000000000001</v>
      </c>
    </row>
    <row r="1387" spans="1:37" x14ac:dyDescent="0.3">
      <c r="A1387" s="18">
        <f>'raw data Crude oil'!A1388</f>
        <v>44694</v>
      </c>
      <c r="B1387">
        <f>'raw data Crude oil'!B1388</f>
        <v>111.55</v>
      </c>
      <c r="C1387">
        <f>'raw data Crude oil'!C1388</f>
        <v>109.75</v>
      </c>
      <c r="D1387">
        <f>'raw data Crude oil'!D1388</f>
        <v>107.71</v>
      </c>
      <c r="E1387">
        <f>'raw data Crude oil'!E1388</f>
        <v>105.74</v>
      </c>
      <c r="F1387">
        <f>'raw data Crude oil'!F1388</f>
        <v>103.94</v>
      </c>
      <c r="G1387">
        <f>'raw data Crude oil'!G1388</f>
        <v>102.24</v>
      </c>
      <c r="H1387">
        <f>'raw data Crude oil'!H1388</f>
        <v>100.65</v>
      </c>
      <c r="I1387">
        <f>'raw data Crude oil'!I1388</f>
        <v>99.19</v>
      </c>
      <c r="J1387">
        <f>'raw data Crude oil'!J1388</f>
        <v>97.91</v>
      </c>
      <c r="K1387">
        <f>'raw data Crude oil'!K1388</f>
        <v>96.76</v>
      </c>
      <c r="L1387">
        <f>'raw data Crude oil'!L1388</f>
        <v>95.76</v>
      </c>
      <c r="M1387">
        <f>'raw data Crude oil'!M1388</f>
        <v>94.86</v>
      </c>
      <c r="N1387">
        <f>'raw data Crude oil'!N1388</f>
        <v>110.49</v>
      </c>
      <c r="O1387">
        <f>'raw data Crude oil'!O1388</f>
        <v>108.63</v>
      </c>
      <c r="P1387">
        <f>'raw data Crude oil'!P1388</f>
        <v>106.27</v>
      </c>
      <c r="Q1387">
        <f>'raw data Crude oil'!Q1388</f>
        <v>103.86</v>
      </c>
      <c r="R1387">
        <f>'raw data Crude oil'!R1388</f>
        <v>101.64</v>
      </c>
      <c r="S1387">
        <f>'raw data Crude oil'!S1388</f>
        <v>99.66</v>
      </c>
      <c r="T1387">
        <f>'raw data Crude oil'!T1388</f>
        <v>97.85</v>
      </c>
      <c r="U1387">
        <f>'raw data Crude oil'!U1388</f>
        <v>96.19</v>
      </c>
      <c r="V1387">
        <f>'raw data Crude oil'!V1388</f>
        <v>94.67</v>
      </c>
      <c r="W1387">
        <f>'raw data Crude oil'!W1388</f>
        <v>93.3</v>
      </c>
      <c r="X1387">
        <f>'raw data Crude oil'!X1388</f>
        <v>92.09</v>
      </c>
      <c r="Y1387">
        <f>'raw data Crude oil'!Y1388</f>
        <v>91</v>
      </c>
      <c r="Z1387">
        <f>'raw data Crude oil'!Z1388</f>
        <v>106.976</v>
      </c>
      <c r="AA1387">
        <f>'raw data Crude oil'!AA1388</f>
        <v>105.637</v>
      </c>
      <c r="AB1387">
        <f>'raw data Crude oil'!AB1388</f>
        <v>102.93600000000001</v>
      </c>
      <c r="AC1387">
        <f>'raw data Crude oil'!AC1388</f>
        <v>100.792</v>
      </c>
      <c r="AD1387">
        <f>'raw data Crude oil'!AD1388</f>
        <v>98.903000000000006</v>
      </c>
      <c r="AE1387">
        <f>'raw data Crude oil'!AE1388</f>
        <v>97.203999999999994</v>
      </c>
      <c r="AF1387">
        <f>'raw data Crude oil'!AF1388</f>
        <v>95.683999999999997</v>
      </c>
      <c r="AG1387">
        <f>'raw data Crude oil'!AG1388</f>
        <v>94.227999999999994</v>
      </c>
      <c r="AH1387">
        <f>'raw data Crude oil'!AH1388</f>
        <v>93.105000000000004</v>
      </c>
      <c r="AI1387">
        <f>'raw data Crude oil'!AI1388</f>
        <v>92.1</v>
      </c>
      <c r="AJ1387">
        <f>'raw data Crude oil'!AJ1388</f>
        <v>91.230999999999995</v>
      </c>
      <c r="AK1387">
        <f>'raw data Crude oil'!AK1388</f>
        <v>90.433000000000007</v>
      </c>
    </row>
    <row r="1388" spans="1:37" x14ac:dyDescent="0.3">
      <c r="A1388" s="18">
        <f>'raw data Crude oil'!A1389</f>
        <v>44697</v>
      </c>
      <c r="B1388">
        <f>'raw data Crude oil'!B1389</f>
        <v>114.24</v>
      </c>
      <c r="C1388">
        <f>'raw data Crude oil'!C1389</f>
        <v>112.11</v>
      </c>
      <c r="D1388">
        <f>'raw data Crude oil'!D1389</f>
        <v>109.68</v>
      </c>
      <c r="E1388">
        <f>'raw data Crude oil'!E1389</f>
        <v>107.36</v>
      </c>
      <c r="F1388">
        <f>'raw data Crude oil'!F1389</f>
        <v>105.29</v>
      </c>
      <c r="G1388">
        <f>'raw data Crude oil'!G1389</f>
        <v>103.37</v>
      </c>
      <c r="H1388">
        <f>'raw data Crude oil'!H1389</f>
        <v>101.62</v>
      </c>
      <c r="I1388">
        <f>'raw data Crude oil'!I1389</f>
        <v>100.02</v>
      </c>
      <c r="J1388">
        <f>'raw data Crude oil'!J1389</f>
        <v>98.65</v>
      </c>
      <c r="K1388">
        <f>'raw data Crude oil'!K1389</f>
        <v>97.44</v>
      </c>
      <c r="L1388">
        <f>'raw data Crude oil'!L1389</f>
        <v>96.39</v>
      </c>
      <c r="M1388">
        <f>'raw data Crude oil'!M1389</f>
        <v>95.43</v>
      </c>
      <c r="N1388">
        <f>'raw data Crude oil'!N1389</f>
        <v>114.2</v>
      </c>
      <c r="O1388">
        <f>'raw data Crude oil'!O1389</f>
        <v>111.82</v>
      </c>
      <c r="P1388">
        <f>'raw data Crude oil'!P1389</f>
        <v>108.91</v>
      </c>
      <c r="Q1388">
        <f>'raw data Crude oil'!Q1389</f>
        <v>105.93</v>
      </c>
      <c r="R1388">
        <f>'raw data Crude oil'!R1389</f>
        <v>103.25</v>
      </c>
      <c r="S1388">
        <f>'raw data Crude oil'!S1389</f>
        <v>100.99</v>
      </c>
      <c r="T1388">
        <f>'raw data Crude oil'!T1389</f>
        <v>98.99</v>
      </c>
      <c r="U1388">
        <f>'raw data Crude oil'!U1389</f>
        <v>97.16</v>
      </c>
      <c r="V1388">
        <f>'raw data Crude oil'!V1389</f>
        <v>95.51</v>
      </c>
      <c r="W1388">
        <f>'raw data Crude oil'!W1389</f>
        <v>94.06</v>
      </c>
      <c r="X1388">
        <f>'raw data Crude oil'!X1389</f>
        <v>92.78</v>
      </c>
      <c r="Y1388">
        <f>'raw data Crude oil'!Y1389</f>
        <v>91.65</v>
      </c>
      <c r="Z1388">
        <f>'raw data Crude oil'!Z1389</f>
        <v>108.211</v>
      </c>
      <c r="AA1388">
        <f>'raw data Crude oil'!AA1389</f>
        <v>107.77</v>
      </c>
      <c r="AB1388">
        <f>'raw data Crude oil'!AB1389</f>
        <v>104.989</v>
      </c>
      <c r="AC1388">
        <f>'raw data Crude oil'!AC1389</f>
        <v>102.57299999999999</v>
      </c>
      <c r="AD1388">
        <f>'raw data Crude oil'!AD1389</f>
        <v>100.425</v>
      </c>
      <c r="AE1388">
        <f>'raw data Crude oil'!AE1389</f>
        <v>98.507000000000005</v>
      </c>
      <c r="AF1388">
        <f>'raw data Crude oil'!AF1389</f>
        <v>96.747</v>
      </c>
      <c r="AG1388">
        <f>'raw data Crude oil'!AG1389</f>
        <v>95.27</v>
      </c>
      <c r="AH1388">
        <f>'raw data Crude oil'!AH1389</f>
        <v>93.841999999999999</v>
      </c>
      <c r="AI1388">
        <f>'raw data Crude oil'!AI1389</f>
        <v>92.778000000000006</v>
      </c>
      <c r="AJ1388">
        <f>'raw data Crude oil'!AJ1389</f>
        <v>91.927999999999997</v>
      </c>
      <c r="AK1388">
        <f>'raw data Crude oil'!AK1389</f>
        <v>91.081000000000003</v>
      </c>
    </row>
    <row r="1389" spans="1:37" x14ac:dyDescent="0.3">
      <c r="A1389" s="18">
        <f>'raw data Crude oil'!A1390</f>
        <v>44698</v>
      </c>
      <c r="B1389">
        <f>'raw data Crude oil'!B1390</f>
        <v>111.93</v>
      </c>
      <c r="C1389">
        <f>'raw data Crude oil'!C1390</f>
        <v>109.85</v>
      </c>
      <c r="D1389">
        <f>'raw data Crude oil'!D1390</f>
        <v>107.53</v>
      </c>
      <c r="E1389">
        <f>'raw data Crude oil'!E1390</f>
        <v>105.33</v>
      </c>
      <c r="F1389">
        <f>'raw data Crude oil'!F1390</f>
        <v>103.41</v>
      </c>
      <c r="G1389">
        <f>'raw data Crude oil'!G1390</f>
        <v>101.61</v>
      </c>
      <c r="H1389">
        <f>'raw data Crude oil'!H1390</f>
        <v>99.96</v>
      </c>
      <c r="I1389">
        <f>'raw data Crude oil'!I1390</f>
        <v>98.45</v>
      </c>
      <c r="J1389">
        <f>'raw data Crude oil'!J1390</f>
        <v>97.17</v>
      </c>
      <c r="K1389">
        <f>'raw data Crude oil'!K1390</f>
        <v>96.03</v>
      </c>
      <c r="L1389">
        <f>'raw data Crude oil'!L1390</f>
        <v>95.06</v>
      </c>
      <c r="M1389">
        <f>'raw data Crude oil'!M1390</f>
        <v>94.19</v>
      </c>
      <c r="N1389">
        <f>'raw data Crude oil'!N1390</f>
        <v>112.4</v>
      </c>
      <c r="O1389">
        <f>'raw data Crude oil'!O1390</f>
        <v>109.63</v>
      </c>
      <c r="P1389">
        <f>'raw data Crude oil'!P1390</f>
        <v>106.76</v>
      </c>
      <c r="Q1389">
        <f>'raw data Crude oil'!Q1390</f>
        <v>103.86</v>
      </c>
      <c r="R1389">
        <f>'raw data Crude oil'!R1390</f>
        <v>101.28</v>
      </c>
      <c r="S1389">
        <f>'raw data Crude oil'!S1390</f>
        <v>99.11</v>
      </c>
      <c r="T1389">
        <f>'raw data Crude oil'!T1390</f>
        <v>97.22</v>
      </c>
      <c r="U1389">
        <f>'raw data Crude oil'!U1390</f>
        <v>95.5</v>
      </c>
      <c r="V1389">
        <f>'raw data Crude oil'!V1390</f>
        <v>93.96</v>
      </c>
      <c r="W1389">
        <f>'raw data Crude oil'!W1390</f>
        <v>92.61</v>
      </c>
      <c r="X1389">
        <f>'raw data Crude oil'!X1390</f>
        <v>91.43</v>
      </c>
      <c r="Y1389">
        <f>'raw data Crude oil'!Y1390</f>
        <v>90.39</v>
      </c>
      <c r="Z1389">
        <f>'raw data Crude oil'!Z1390</f>
        <v>106.863</v>
      </c>
      <c r="AA1389">
        <f>'raw data Crude oil'!AA1390</f>
        <v>105.46</v>
      </c>
      <c r="AB1389">
        <f>'raw data Crude oil'!AB1390</f>
        <v>102.705</v>
      </c>
      <c r="AC1389">
        <f>'raw data Crude oil'!AC1390</f>
        <v>100.417</v>
      </c>
      <c r="AD1389">
        <f>'raw data Crude oil'!AD1390</f>
        <v>98.528000000000006</v>
      </c>
      <c r="AE1389">
        <f>'raw data Crude oil'!AE1390</f>
        <v>96.661000000000001</v>
      </c>
      <c r="AF1389">
        <f>'raw data Crude oil'!AF1390</f>
        <v>95.081000000000003</v>
      </c>
      <c r="AG1389">
        <f>'raw data Crude oil'!AG1390</f>
        <v>93.638000000000005</v>
      </c>
      <c r="AH1389">
        <f>'raw data Crude oil'!AH1390</f>
        <v>92.366</v>
      </c>
      <c r="AI1389">
        <f>'raw data Crude oil'!AI1390</f>
        <v>91.372</v>
      </c>
      <c r="AJ1389">
        <f>'raw data Crude oil'!AJ1390</f>
        <v>90.602000000000004</v>
      </c>
      <c r="AK1389">
        <f>'raw data Crude oil'!AK1390</f>
        <v>89.844999999999999</v>
      </c>
    </row>
    <row r="1390" spans="1:37" x14ac:dyDescent="0.3">
      <c r="A1390" s="18">
        <f>'raw data Crude oil'!A1391</f>
        <v>44699</v>
      </c>
      <c r="B1390">
        <f>'raw data Crude oil'!B1391</f>
        <v>109.11</v>
      </c>
      <c r="C1390">
        <f>'raw data Crude oil'!C1391</f>
        <v>106.93</v>
      </c>
      <c r="D1390">
        <f>'raw data Crude oil'!D1391</f>
        <v>104.53</v>
      </c>
      <c r="E1390">
        <f>'raw data Crude oil'!E1391</f>
        <v>102.33</v>
      </c>
      <c r="F1390">
        <f>'raw data Crude oil'!F1391</f>
        <v>100.46</v>
      </c>
      <c r="G1390">
        <f>'raw data Crude oil'!G1391</f>
        <v>98.76</v>
      </c>
      <c r="H1390">
        <f>'raw data Crude oil'!H1391</f>
        <v>97.21</v>
      </c>
      <c r="I1390">
        <f>'raw data Crude oil'!I1391</f>
        <v>95.81</v>
      </c>
      <c r="J1390">
        <f>'raw data Crude oil'!J1391</f>
        <v>94.64</v>
      </c>
      <c r="K1390">
        <f>'raw data Crude oil'!K1391</f>
        <v>93.6</v>
      </c>
      <c r="L1390">
        <f>'raw data Crude oil'!L1391</f>
        <v>92.72</v>
      </c>
      <c r="M1390">
        <f>'raw data Crude oil'!M1391</f>
        <v>91.94</v>
      </c>
      <c r="N1390">
        <f>'raw data Crude oil'!N1391</f>
        <v>109.59</v>
      </c>
      <c r="O1390">
        <f>'raw data Crude oil'!O1391</f>
        <v>107.04</v>
      </c>
      <c r="P1390">
        <f>'raw data Crude oil'!P1391</f>
        <v>104.07</v>
      </c>
      <c r="Q1390">
        <f>'raw data Crude oil'!Q1391</f>
        <v>101.08</v>
      </c>
      <c r="R1390">
        <f>'raw data Crude oil'!R1391</f>
        <v>98.45</v>
      </c>
      <c r="S1390">
        <f>'raw data Crude oil'!S1391</f>
        <v>96.31</v>
      </c>
      <c r="T1390">
        <f>'raw data Crude oil'!T1391</f>
        <v>94.48</v>
      </c>
      <c r="U1390">
        <f>'raw data Crude oil'!U1391</f>
        <v>92.84</v>
      </c>
      <c r="V1390">
        <f>'raw data Crude oil'!V1391</f>
        <v>91.39</v>
      </c>
      <c r="W1390">
        <f>'raw data Crude oil'!W1391</f>
        <v>90.13</v>
      </c>
      <c r="X1390">
        <f>'raw data Crude oil'!X1391</f>
        <v>89.03</v>
      </c>
      <c r="Y1390">
        <f>'raw data Crude oil'!Y1391</f>
        <v>88.06</v>
      </c>
      <c r="Z1390">
        <f>'raw data Crude oil'!Z1391</f>
        <v>105.70399999999999</v>
      </c>
      <c r="AA1390">
        <f>'raw data Crude oil'!AA1391</f>
        <v>102.741</v>
      </c>
      <c r="AB1390">
        <f>'raw data Crude oil'!AB1391</f>
        <v>99.915000000000006</v>
      </c>
      <c r="AC1390">
        <f>'raw data Crude oil'!AC1391</f>
        <v>97.599000000000004</v>
      </c>
      <c r="AD1390">
        <f>'raw data Crude oil'!AD1391</f>
        <v>95.703000000000003</v>
      </c>
      <c r="AE1390">
        <f>'raw data Crude oil'!AE1391</f>
        <v>93.971000000000004</v>
      </c>
      <c r="AF1390">
        <f>'raw data Crude oil'!AF1391</f>
        <v>92.555999999999997</v>
      </c>
      <c r="AG1390">
        <f>'raw data Crude oil'!AG1391</f>
        <v>91.209000000000003</v>
      </c>
      <c r="AH1390">
        <f>'raw data Crude oil'!AH1391</f>
        <v>89.99</v>
      </c>
      <c r="AI1390">
        <f>'raw data Crude oil'!AI1391</f>
        <v>89.055999999999997</v>
      </c>
      <c r="AJ1390">
        <f>'raw data Crude oil'!AJ1391</f>
        <v>88.366</v>
      </c>
      <c r="AK1390">
        <f>'raw data Crude oil'!AK1391</f>
        <v>87.697999999999993</v>
      </c>
    </row>
    <row r="1391" spans="1:37" x14ac:dyDescent="0.3">
      <c r="A1391" s="18">
        <f>'raw data Crude oil'!A1392</f>
        <v>44700</v>
      </c>
      <c r="B1391">
        <f>'raw data Crude oil'!B1392</f>
        <v>112.04</v>
      </c>
      <c r="C1391">
        <f>'raw data Crude oil'!C1392</f>
        <v>109.82</v>
      </c>
      <c r="D1391">
        <f>'raw data Crude oil'!D1392</f>
        <v>107.31</v>
      </c>
      <c r="E1391">
        <f>'raw data Crude oil'!E1392</f>
        <v>105.01</v>
      </c>
      <c r="F1391">
        <f>'raw data Crude oil'!F1392</f>
        <v>103.04</v>
      </c>
      <c r="G1391">
        <f>'raw data Crude oil'!G1392</f>
        <v>101.24</v>
      </c>
      <c r="H1391">
        <f>'raw data Crude oil'!H1392</f>
        <v>99.6</v>
      </c>
      <c r="I1391">
        <f>'raw data Crude oil'!I1392</f>
        <v>98.11</v>
      </c>
      <c r="J1391">
        <f>'raw data Crude oil'!J1392</f>
        <v>96.84</v>
      </c>
      <c r="K1391">
        <f>'raw data Crude oil'!K1392</f>
        <v>95.71</v>
      </c>
      <c r="L1391">
        <f>'raw data Crude oil'!L1392</f>
        <v>94.72</v>
      </c>
      <c r="M1391">
        <f>'raw data Crude oil'!M1392</f>
        <v>93.84</v>
      </c>
      <c r="N1391">
        <f>'raw data Crude oil'!N1392</f>
        <v>112.21</v>
      </c>
      <c r="O1391">
        <f>'raw data Crude oil'!O1392</f>
        <v>109.89</v>
      </c>
      <c r="P1391">
        <f>'raw data Crude oil'!P1392</f>
        <v>106.82</v>
      </c>
      <c r="Q1391">
        <f>'raw data Crude oil'!Q1392</f>
        <v>103.67</v>
      </c>
      <c r="R1391">
        <f>'raw data Crude oil'!R1392</f>
        <v>100.89</v>
      </c>
      <c r="S1391">
        <f>'raw data Crude oil'!S1392</f>
        <v>98.61</v>
      </c>
      <c r="T1391">
        <f>'raw data Crude oil'!T1392</f>
        <v>96.71</v>
      </c>
      <c r="U1391">
        <f>'raw data Crude oil'!U1392</f>
        <v>95</v>
      </c>
      <c r="V1391">
        <f>'raw data Crude oil'!V1392</f>
        <v>93.47</v>
      </c>
      <c r="W1391">
        <f>'raw data Crude oil'!W1392</f>
        <v>92.12</v>
      </c>
      <c r="X1391">
        <f>'raw data Crude oil'!X1392</f>
        <v>90.94</v>
      </c>
      <c r="Y1391">
        <f>'raw data Crude oil'!Y1392</f>
        <v>89.88</v>
      </c>
      <c r="Z1391">
        <f>'raw data Crude oil'!Z1392</f>
        <v>107.039</v>
      </c>
      <c r="AA1391">
        <f>'raw data Crude oil'!AA1392</f>
        <v>105.746</v>
      </c>
      <c r="AB1391">
        <f>'raw data Crude oil'!AB1392</f>
        <v>102.86</v>
      </c>
      <c r="AC1391">
        <f>'raw data Crude oil'!AC1392</f>
        <v>100.39400000000001</v>
      </c>
      <c r="AD1391">
        <f>'raw data Crude oil'!AD1392</f>
        <v>98.418000000000006</v>
      </c>
      <c r="AE1391">
        <f>'raw data Crude oil'!AE1392</f>
        <v>96.591999999999999</v>
      </c>
      <c r="AF1391">
        <f>'raw data Crude oil'!AF1392</f>
        <v>95.022000000000006</v>
      </c>
      <c r="AG1391">
        <f>'raw data Crude oil'!AG1392</f>
        <v>93.539000000000001</v>
      </c>
      <c r="AH1391">
        <f>'raw data Crude oil'!AH1392</f>
        <v>92.256</v>
      </c>
      <c r="AI1391">
        <f>'raw data Crude oil'!AI1392</f>
        <v>91.241</v>
      </c>
      <c r="AJ1391">
        <f>'raw data Crude oil'!AJ1392</f>
        <v>90.432000000000002</v>
      </c>
      <c r="AK1391">
        <f>'raw data Crude oil'!AK1392</f>
        <v>89.665000000000006</v>
      </c>
    </row>
    <row r="1392" spans="1:37" x14ac:dyDescent="0.3">
      <c r="A1392" s="18">
        <f>'raw data Crude oil'!A1393</f>
        <v>44701</v>
      </c>
      <c r="B1392">
        <f>'raw data Crude oil'!B1393</f>
        <v>112.55</v>
      </c>
      <c r="C1392">
        <f>'raw data Crude oil'!C1393</f>
        <v>109.99</v>
      </c>
      <c r="D1392">
        <f>'raw data Crude oil'!D1393</f>
        <v>107.32</v>
      </c>
      <c r="E1392">
        <f>'raw data Crude oil'!E1393</f>
        <v>104.9</v>
      </c>
      <c r="F1392">
        <f>'raw data Crude oil'!F1393</f>
        <v>102.87</v>
      </c>
      <c r="G1392">
        <f>'raw data Crude oil'!G1393</f>
        <v>101.04</v>
      </c>
      <c r="H1392">
        <f>'raw data Crude oil'!H1393</f>
        <v>99.39</v>
      </c>
      <c r="I1392">
        <f>'raw data Crude oil'!I1393</f>
        <v>97.88</v>
      </c>
      <c r="J1392">
        <f>'raw data Crude oil'!J1393</f>
        <v>96.59</v>
      </c>
      <c r="K1392">
        <f>'raw data Crude oil'!K1393</f>
        <v>95.42</v>
      </c>
      <c r="L1392">
        <f>'raw data Crude oil'!L1393</f>
        <v>94.4</v>
      </c>
      <c r="M1392">
        <f>'raw data Crude oil'!M1393</f>
        <v>93.51</v>
      </c>
      <c r="N1392">
        <f>'raw data Crude oil'!N1393</f>
        <v>113.23</v>
      </c>
      <c r="O1392">
        <f>'raw data Crude oil'!O1393</f>
        <v>110.28</v>
      </c>
      <c r="P1392">
        <f>'raw data Crude oil'!P1393</f>
        <v>107.17</v>
      </c>
      <c r="Q1392">
        <f>'raw data Crude oil'!Q1393</f>
        <v>103.94</v>
      </c>
      <c r="R1392">
        <f>'raw data Crude oil'!R1393</f>
        <v>101.07</v>
      </c>
      <c r="S1392">
        <f>'raw data Crude oil'!S1393</f>
        <v>98.7</v>
      </c>
      <c r="T1392">
        <f>'raw data Crude oil'!T1393</f>
        <v>96.7</v>
      </c>
      <c r="U1392">
        <f>'raw data Crude oil'!U1393</f>
        <v>94.92</v>
      </c>
      <c r="V1392">
        <f>'raw data Crude oil'!V1393</f>
        <v>93.35</v>
      </c>
      <c r="W1392">
        <f>'raw data Crude oil'!W1393</f>
        <v>91.97</v>
      </c>
      <c r="X1392">
        <f>'raw data Crude oil'!X1393</f>
        <v>90.76</v>
      </c>
      <c r="Y1392">
        <f>'raw data Crude oil'!Y1393</f>
        <v>89.68</v>
      </c>
      <c r="Z1392">
        <f>'raw data Crude oil'!Z1393</f>
        <v>107.15600000000001</v>
      </c>
      <c r="AA1392">
        <f>'raw data Crude oil'!AA1393</f>
        <v>106.07899999999999</v>
      </c>
      <c r="AB1392">
        <f>'raw data Crude oil'!AB1393</f>
        <v>102.995</v>
      </c>
      <c r="AC1392">
        <f>'raw data Crude oil'!AC1393</f>
        <v>100.41200000000001</v>
      </c>
      <c r="AD1392">
        <f>'raw data Crude oil'!AD1393</f>
        <v>98.326999999999998</v>
      </c>
      <c r="AE1392">
        <f>'raw data Crude oil'!AE1393</f>
        <v>96.480999999999995</v>
      </c>
      <c r="AF1392">
        <f>'raw data Crude oil'!AF1393</f>
        <v>94.891000000000005</v>
      </c>
      <c r="AG1392">
        <f>'raw data Crude oil'!AG1393</f>
        <v>93.387</v>
      </c>
      <c r="AH1392">
        <f>'raw data Crude oil'!AH1393</f>
        <v>92.063999999999993</v>
      </c>
      <c r="AI1392">
        <f>'raw data Crude oil'!AI1393</f>
        <v>90.948999999999998</v>
      </c>
      <c r="AJ1392">
        <f>'raw data Crude oil'!AJ1393</f>
        <v>90.081000000000003</v>
      </c>
      <c r="AK1392">
        <f>'raw data Crude oil'!AK1393</f>
        <v>89.295000000000002</v>
      </c>
    </row>
    <row r="1393" spans="1:37" x14ac:dyDescent="0.3">
      <c r="A1393" s="18">
        <f>'raw data Crude oil'!A1394</f>
        <v>44704</v>
      </c>
      <c r="B1393">
        <f>'raw data Crude oil'!B1394</f>
        <v>113.42</v>
      </c>
      <c r="C1393">
        <f>'raw data Crude oil'!C1394</f>
        <v>110.78</v>
      </c>
      <c r="D1393">
        <f>'raw data Crude oil'!D1394</f>
        <v>108.1</v>
      </c>
      <c r="E1393">
        <f>'raw data Crude oil'!E1394</f>
        <v>105.75</v>
      </c>
      <c r="F1393">
        <f>'raw data Crude oil'!F1394</f>
        <v>103.78</v>
      </c>
      <c r="G1393">
        <f>'raw data Crude oil'!G1394</f>
        <v>102.01</v>
      </c>
      <c r="H1393">
        <f>'raw data Crude oil'!H1394</f>
        <v>100.41</v>
      </c>
      <c r="I1393">
        <f>'raw data Crude oil'!I1394</f>
        <v>98.91</v>
      </c>
      <c r="J1393">
        <f>'raw data Crude oil'!J1394</f>
        <v>97.6</v>
      </c>
      <c r="K1393">
        <f>'raw data Crude oil'!K1394</f>
        <v>96.43</v>
      </c>
      <c r="L1393">
        <f>'raw data Crude oil'!L1394</f>
        <v>95.39</v>
      </c>
      <c r="M1393">
        <f>'raw data Crude oil'!M1394</f>
        <v>94.49</v>
      </c>
      <c r="N1393">
        <f>'raw data Crude oil'!N1394</f>
        <v>110.29</v>
      </c>
      <c r="O1393">
        <f>'raw data Crude oil'!O1394</f>
        <v>107.54</v>
      </c>
      <c r="P1393">
        <f>'raw data Crude oil'!P1394</f>
        <v>104.61</v>
      </c>
      <c r="Q1393">
        <f>'raw data Crude oil'!Q1394</f>
        <v>101.94</v>
      </c>
      <c r="R1393">
        <f>'raw data Crude oil'!R1394</f>
        <v>99.66</v>
      </c>
      <c r="S1393">
        <f>'raw data Crude oil'!S1394</f>
        <v>97.69</v>
      </c>
      <c r="T1393">
        <f>'raw data Crude oil'!T1394</f>
        <v>95.94</v>
      </c>
      <c r="U1393">
        <f>'raw data Crude oil'!U1394</f>
        <v>94.38</v>
      </c>
      <c r="V1393">
        <f>'raw data Crude oil'!V1394</f>
        <v>93</v>
      </c>
      <c r="W1393">
        <f>'raw data Crude oil'!W1394</f>
        <v>91.78</v>
      </c>
      <c r="X1393">
        <f>'raw data Crude oil'!X1394</f>
        <v>90.69</v>
      </c>
      <c r="Y1393">
        <f>'raw data Crude oil'!Y1394</f>
        <v>89.7</v>
      </c>
      <c r="Z1393">
        <f>'raw data Crude oil'!Z1394</f>
        <v>107.4</v>
      </c>
      <c r="AA1393">
        <f>'raw data Crude oil'!AA1394</f>
        <v>106.708</v>
      </c>
      <c r="AB1393">
        <f>'raw data Crude oil'!AB1394</f>
        <v>103.648</v>
      </c>
      <c r="AC1393">
        <f>'raw data Crude oil'!AC1394</f>
        <v>101.134</v>
      </c>
      <c r="AD1393">
        <f>'raw data Crude oil'!AD1394</f>
        <v>99.09</v>
      </c>
      <c r="AE1393">
        <f>'raw data Crude oil'!AE1394</f>
        <v>97.313999999999993</v>
      </c>
      <c r="AF1393">
        <f>'raw data Crude oil'!AF1394</f>
        <v>95.751999999999995</v>
      </c>
      <c r="AG1393">
        <f>'raw data Crude oil'!AG1394</f>
        <v>94.254999999999995</v>
      </c>
      <c r="AH1393">
        <f>'raw data Crude oil'!AH1394</f>
        <v>93.073999999999998</v>
      </c>
      <c r="AI1393">
        <f>'raw data Crude oil'!AI1394</f>
        <v>91.957999999999998</v>
      </c>
      <c r="AJ1393">
        <f>'raw data Crude oil'!AJ1394</f>
        <v>91.070999999999998</v>
      </c>
      <c r="AK1393">
        <f>'raw data Crude oil'!AK1394</f>
        <v>90.274000000000001</v>
      </c>
    </row>
    <row r="1394" spans="1:37" x14ac:dyDescent="0.3">
      <c r="A1394" s="18">
        <f>'raw data Crude oil'!A1395</f>
        <v>44705</v>
      </c>
      <c r="B1394">
        <f>'raw data Crude oil'!B1395</f>
        <v>113.56</v>
      </c>
      <c r="C1394">
        <f>'raw data Crude oil'!C1395</f>
        <v>110.69</v>
      </c>
      <c r="D1394">
        <f>'raw data Crude oil'!D1395</f>
        <v>108.11</v>
      </c>
      <c r="E1394">
        <f>'raw data Crude oil'!E1395</f>
        <v>105.88</v>
      </c>
      <c r="F1394">
        <f>'raw data Crude oil'!F1395</f>
        <v>103.99</v>
      </c>
      <c r="G1394">
        <f>'raw data Crude oil'!G1395</f>
        <v>102.28</v>
      </c>
      <c r="H1394">
        <f>'raw data Crude oil'!H1395</f>
        <v>100.72</v>
      </c>
      <c r="I1394">
        <f>'raw data Crude oil'!I1395</f>
        <v>99.27</v>
      </c>
      <c r="J1394">
        <f>'raw data Crude oil'!J1395</f>
        <v>97.99</v>
      </c>
      <c r="K1394">
        <f>'raw data Crude oil'!K1395</f>
        <v>96.82</v>
      </c>
      <c r="L1394">
        <f>'raw data Crude oil'!L1395</f>
        <v>95.79</v>
      </c>
      <c r="M1394">
        <f>'raw data Crude oil'!M1395</f>
        <v>94.89</v>
      </c>
      <c r="N1394">
        <f>'raw data Crude oil'!N1395</f>
        <v>109.77</v>
      </c>
      <c r="O1394">
        <f>'raw data Crude oil'!O1395</f>
        <v>107.2</v>
      </c>
      <c r="P1394">
        <f>'raw data Crude oil'!P1395</f>
        <v>104.45</v>
      </c>
      <c r="Q1394">
        <f>'raw data Crude oil'!Q1395</f>
        <v>101.93</v>
      </c>
      <c r="R1394">
        <f>'raw data Crude oil'!R1395</f>
        <v>99.76</v>
      </c>
      <c r="S1394">
        <f>'raw data Crude oil'!S1395</f>
        <v>97.86</v>
      </c>
      <c r="T1394">
        <f>'raw data Crude oil'!T1395</f>
        <v>96.18</v>
      </c>
      <c r="U1394">
        <f>'raw data Crude oil'!U1395</f>
        <v>94.67</v>
      </c>
      <c r="V1394">
        <f>'raw data Crude oil'!V1395</f>
        <v>93.31</v>
      </c>
      <c r="W1394">
        <f>'raw data Crude oil'!W1395</f>
        <v>92.11</v>
      </c>
      <c r="X1394">
        <f>'raw data Crude oil'!X1395</f>
        <v>91.03</v>
      </c>
      <c r="Y1394">
        <f>'raw data Crude oil'!Y1395</f>
        <v>90.04</v>
      </c>
      <c r="Z1394">
        <f>'raw data Crude oil'!Z1395</f>
        <v>107.214</v>
      </c>
      <c r="AA1394">
        <f>'raw data Crude oil'!AA1395</f>
        <v>106.613</v>
      </c>
      <c r="AB1394">
        <f>'raw data Crude oil'!AB1395</f>
        <v>103.654</v>
      </c>
      <c r="AC1394">
        <f>'raw data Crude oil'!AC1395</f>
        <v>101.248</v>
      </c>
      <c r="AD1394">
        <f>'raw data Crude oil'!AD1395</f>
        <v>99.281999999999996</v>
      </c>
      <c r="AE1394">
        <f>'raw data Crude oil'!AE1395</f>
        <v>97.566000000000003</v>
      </c>
      <c r="AF1394">
        <f>'raw data Crude oil'!AF1395</f>
        <v>96.043999999999997</v>
      </c>
      <c r="AG1394">
        <f>'raw data Crude oil'!AG1395</f>
        <v>94.597999999999999</v>
      </c>
      <c r="AH1394">
        <f>'raw data Crude oil'!AH1395</f>
        <v>93.394000000000005</v>
      </c>
      <c r="AI1394">
        <f>'raw data Crude oil'!AI1395</f>
        <v>92.299000000000007</v>
      </c>
      <c r="AJ1394">
        <f>'raw data Crude oil'!AJ1395</f>
        <v>91.441000000000003</v>
      </c>
      <c r="AK1394">
        <f>'raw data Crude oil'!AK1395</f>
        <v>90.643000000000001</v>
      </c>
    </row>
    <row r="1395" spans="1:37" x14ac:dyDescent="0.3">
      <c r="A1395" s="18">
        <f>'raw data Crude oil'!A1396</f>
        <v>44706</v>
      </c>
      <c r="B1395">
        <f>'raw data Crude oil'!B1396</f>
        <v>114.03</v>
      </c>
      <c r="C1395">
        <f>'raw data Crude oil'!C1396</f>
        <v>111.12</v>
      </c>
      <c r="D1395">
        <f>'raw data Crude oil'!D1396</f>
        <v>108.68</v>
      </c>
      <c r="E1395">
        <f>'raw data Crude oil'!E1396</f>
        <v>106.52</v>
      </c>
      <c r="F1395">
        <f>'raw data Crude oil'!F1396</f>
        <v>104.68</v>
      </c>
      <c r="G1395">
        <f>'raw data Crude oil'!G1396</f>
        <v>103.01</v>
      </c>
      <c r="H1395">
        <f>'raw data Crude oil'!H1396</f>
        <v>101.46</v>
      </c>
      <c r="I1395">
        <f>'raw data Crude oil'!I1396</f>
        <v>99.99</v>
      </c>
      <c r="J1395">
        <f>'raw data Crude oil'!J1396</f>
        <v>98.67</v>
      </c>
      <c r="K1395">
        <f>'raw data Crude oil'!K1396</f>
        <v>97.47</v>
      </c>
      <c r="L1395">
        <f>'raw data Crude oil'!L1396</f>
        <v>96.41</v>
      </c>
      <c r="M1395">
        <f>'raw data Crude oil'!M1396</f>
        <v>95.49</v>
      </c>
      <c r="N1395">
        <f>'raw data Crude oil'!N1396</f>
        <v>110.33</v>
      </c>
      <c r="O1395">
        <f>'raw data Crude oil'!O1396</f>
        <v>107.75</v>
      </c>
      <c r="P1395">
        <f>'raw data Crude oil'!P1396</f>
        <v>105.03</v>
      </c>
      <c r="Q1395">
        <f>'raw data Crude oil'!Q1396</f>
        <v>102.54</v>
      </c>
      <c r="R1395">
        <f>'raw data Crude oil'!R1396</f>
        <v>100.42</v>
      </c>
      <c r="S1395">
        <f>'raw data Crude oil'!S1396</f>
        <v>98.56</v>
      </c>
      <c r="T1395">
        <f>'raw data Crude oil'!T1396</f>
        <v>96.88</v>
      </c>
      <c r="U1395">
        <f>'raw data Crude oil'!U1396</f>
        <v>95.35</v>
      </c>
      <c r="V1395">
        <f>'raw data Crude oil'!V1396</f>
        <v>93.97</v>
      </c>
      <c r="W1395">
        <f>'raw data Crude oil'!W1396</f>
        <v>92.74</v>
      </c>
      <c r="X1395">
        <f>'raw data Crude oil'!X1396</f>
        <v>91.63</v>
      </c>
      <c r="Y1395">
        <f>'raw data Crude oil'!Y1396</f>
        <v>90.63</v>
      </c>
      <c r="Z1395">
        <f>'raw data Crude oil'!Z1396</f>
        <v>107.3</v>
      </c>
      <c r="AA1395">
        <f>'raw data Crude oil'!AA1396</f>
        <v>106.849</v>
      </c>
      <c r="AB1395">
        <f>'raw data Crude oil'!AB1396</f>
        <v>104.127</v>
      </c>
      <c r="AC1395">
        <f>'raw data Crude oil'!AC1396</f>
        <v>101.8</v>
      </c>
      <c r="AD1395">
        <f>'raw data Crude oil'!AD1396</f>
        <v>99.873999999999995</v>
      </c>
      <c r="AE1395">
        <f>'raw data Crude oil'!AE1396</f>
        <v>98.206000000000003</v>
      </c>
      <c r="AF1395">
        <f>'raw data Crude oil'!AF1396</f>
        <v>96.742999999999995</v>
      </c>
      <c r="AG1395">
        <f>'raw data Crude oil'!AG1396</f>
        <v>95.263999999999996</v>
      </c>
      <c r="AH1395">
        <f>'raw data Crude oil'!AH1396</f>
        <v>94.022999999999996</v>
      </c>
      <c r="AI1395">
        <f>'raw data Crude oil'!AI1396</f>
        <v>92.917000000000002</v>
      </c>
      <c r="AJ1395">
        <f>'raw data Crude oil'!AJ1396</f>
        <v>91.97</v>
      </c>
      <c r="AK1395">
        <f>'raw data Crude oil'!AK1396</f>
        <v>91.203000000000003</v>
      </c>
    </row>
    <row r="1396" spans="1:37" x14ac:dyDescent="0.3">
      <c r="A1396" s="18">
        <f>'raw data Crude oil'!A1397</f>
        <v>44707</v>
      </c>
      <c r="B1396">
        <f>'raw data Crude oil'!B1397</f>
        <v>117.4</v>
      </c>
      <c r="C1396">
        <f>'raw data Crude oil'!C1397</f>
        <v>114.17</v>
      </c>
      <c r="D1396">
        <f>'raw data Crude oil'!D1397</f>
        <v>111.55</v>
      </c>
      <c r="E1396">
        <f>'raw data Crude oil'!E1397</f>
        <v>109.22</v>
      </c>
      <c r="F1396">
        <f>'raw data Crude oil'!F1397</f>
        <v>107.24</v>
      </c>
      <c r="G1396">
        <f>'raw data Crude oil'!G1397</f>
        <v>105.44</v>
      </c>
      <c r="H1396">
        <f>'raw data Crude oil'!H1397</f>
        <v>103.75</v>
      </c>
      <c r="I1396">
        <f>'raw data Crude oil'!I1397</f>
        <v>102.14</v>
      </c>
      <c r="J1396">
        <f>'raw data Crude oil'!J1397</f>
        <v>100.68</v>
      </c>
      <c r="K1396">
        <f>'raw data Crude oil'!K1397</f>
        <v>99.34</v>
      </c>
      <c r="L1396">
        <f>'raw data Crude oil'!L1397</f>
        <v>98.16</v>
      </c>
      <c r="M1396">
        <f>'raw data Crude oil'!M1397</f>
        <v>97.13</v>
      </c>
      <c r="N1396">
        <f>'raw data Crude oil'!N1397</f>
        <v>114.09</v>
      </c>
      <c r="O1396">
        <f>'raw data Crude oil'!O1397</f>
        <v>111.25</v>
      </c>
      <c r="P1396">
        <f>'raw data Crude oil'!P1397</f>
        <v>108.28</v>
      </c>
      <c r="Q1396">
        <f>'raw data Crude oil'!Q1397</f>
        <v>105.57</v>
      </c>
      <c r="R1396">
        <f>'raw data Crude oil'!R1397</f>
        <v>103.26</v>
      </c>
      <c r="S1396">
        <f>'raw data Crude oil'!S1397</f>
        <v>101.21</v>
      </c>
      <c r="T1396">
        <f>'raw data Crude oil'!T1397</f>
        <v>99.35</v>
      </c>
      <c r="U1396">
        <f>'raw data Crude oil'!U1397</f>
        <v>97.66</v>
      </c>
      <c r="V1396">
        <f>'raw data Crude oil'!V1397</f>
        <v>96.12</v>
      </c>
      <c r="W1396">
        <f>'raw data Crude oil'!W1397</f>
        <v>94.77</v>
      </c>
      <c r="X1396">
        <f>'raw data Crude oil'!X1397</f>
        <v>93.55</v>
      </c>
      <c r="Y1396">
        <f>'raw data Crude oil'!Y1397</f>
        <v>92.42</v>
      </c>
      <c r="Z1396">
        <f>'raw data Crude oil'!Z1397</f>
        <v>107.68899999999999</v>
      </c>
      <c r="AA1396">
        <f>'raw data Crude oil'!AA1397</f>
        <v>109.551</v>
      </c>
      <c r="AB1396">
        <f>'raw data Crude oil'!AB1397</f>
        <v>106.82899999999999</v>
      </c>
      <c r="AC1396">
        <f>'raw data Crude oil'!AC1397</f>
        <v>104.434</v>
      </c>
      <c r="AD1396">
        <f>'raw data Crude oil'!AD1397</f>
        <v>102.398</v>
      </c>
      <c r="AE1396">
        <f>'raw data Crude oil'!AE1397</f>
        <v>100.59</v>
      </c>
      <c r="AF1396">
        <f>'raw data Crude oil'!AF1397</f>
        <v>98.906999999999996</v>
      </c>
      <c r="AG1396">
        <f>'raw data Crude oil'!AG1397</f>
        <v>97.320999999999998</v>
      </c>
      <c r="AH1396">
        <f>'raw data Crude oil'!AH1397</f>
        <v>96.025999999999996</v>
      </c>
      <c r="AI1396">
        <f>'raw data Crude oil'!AI1397</f>
        <v>94.781000000000006</v>
      </c>
      <c r="AJ1396">
        <f>'raw data Crude oil'!AJ1397</f>
        <v>93.715000000000003</v>
      </c>
      <c r="AK1396">
        <f>'raw data Crude oil'!AK1397</f>
        <v>92.775999999999996</v>
      </c>
    </row>
    <row r="1397" spans="1:37" x14ac:dyDescent="0.3">
      <c r="A1397" s="18">
        <f>'raw data Crude oil'!A1398</f>
        <v>44708</v>
      </c>
      <c r="B1397">
        <f>'raw data Crude oil'!B1398</f>
        <v>119.43</v>
      </c>
      <c r="C1397">
        <f>'raw data Crude oil'!C1398</f>
        <v>115.56</v>
      </c>
      <c r="D1397">
        <f>'raw data Crude oil'!D1398</f>
        <v>112.7</v>
      </c>
      <c r="E1397">
        <f>'raw data Crude oil'!E1398</f>
        <v>110.21</v>
      </c>
      <c r="F1397">
        <f>'raw data Crude oil'!F1398</f>
        <v>108.08</v>
      </c>
      <c r="G1397">
        <f>'raw data Crude oil'!G1398</f>
        <v>106.2</v>
      </c>
      <c r="H1397">
        <f>'raw data Crude oil'!H1398</f>
        <v>104.46</v>
      </c>
      <c r="I1397">
        <f>'raw data Crude oil'!I1398</f>
        <v>102.81</v>
      </c>
      <c r="J1397">
        <f>'raw data Crude oil'!J1398</f>
        <v>101.32</v>
      </c>
      <c r="K1397">
        <f>'raw data Crude oil'!K1398</f>
        <v>99.96</v>
      </c>
      <c r="L1397">
        <f>'raw data Crude oil'!L1398</f>
        <v>98.75</v>
      </c>
      <c r="M1397">
        <f>'raw data Crude oil'!M1398</f>
        <v>97.67</v>
      </c>
      <c r="N1397">
        <f>'raw data Crude oil'!N1398</f>
        <v>115.07</v>
      </c>
      <c r="O1397">
        <f>'raw data Crude oil'!O1398</f>
        <v>112.23</v>
      </c>
      <c r="P1397">
        <f>'raw data Crude oil'!P1398</f>
        <v>109.23</v>
      </c>
      <c r="Q1397">
        <f>'raw data Crude oil'!Q1398</f>
        <v>106.48</v>
      </c>
      <c r="R1397">
        <f>'raw data Crude oil'!R1398</f>
        <v>104.13</v>
      </c>
      <c r="S1397">
        <f>'raw data Crude oil'!S1398</f>
        <v>102.05</v>
      </c>
      <c r="T1397">
        <f>'raw data Crude oil'!T1398</f>
        <v>100.16</v>
      </c>
      <c r="U1397">
        <f>'raw data Crude oil'!U1398</f>
        <v>98.43</v>
      </c>
      <c r="V1397">
        <f>'raw data Crude oil'!V1398</f>
        <v>96.85</v>
      </c>
      <c r="W1397">
        <f>'raw data Crude oil'!W1398</f>
        <v>95.46</v>
      </c>
      <c r="X1397">
        <f>'raw data Crude oil'!X1398</f>
        <v>94.2</v>
      </c>
      <c r="Y1397">
        <f>'raw data Crude oil'!Y1398</f>
        <v>93.04</v>
      </c>
      <c r="Z1397">
        <f>'raw data Crude oil'!Z1398</f>
        <v>107.943</v>
      </c>
      <c r="AA1397">
        <f>'raw data Crude oil'!AA1398</f>
        <v>110.68</v>
      </c>
      <c r="AB1397">
        <f>'raw data Crude oil'!AB1398</f>
        <v>107.611</v>
      </c>
      <c r="AC1397">
        <f>'raw data Crude oil'!AC1398</f>
        <v>105.117</v>
      </c>
      <c r="AD1397">
        <f>'raw data Crude oil'!AD1398</f>
        <v>102.988</v>
      </c>
      <c r="AE1397">
        <f>'raw data Crude oil'!AE1398</f>
        <v>101.127</v>
      </c>
      <c r="AF1397">
        <f>'raw data Crude oil'!AF1398</f>
        <v>99.454999999999998</v>
      </c>
      <c r="AG1397">
        <f>'raw data Crude oil'!AG1398</f>
        <v>97.808000000000007</v>
      </c>
      <c r="AH1397">
        <f>'raw data Crude oil'!AH1398</f>
        <v>96.465000000000003</v>
      </c>
      <c r="AI1397">
        <f>'raw data Crude oil'!AI1398</f>
        <v>95.3</v>
      </c>
      <c r="AJ1397">
        <f>'raw data Crude oil'!AJ1398</f>
        <v>94.203000000000003</v>
      </c>
      <c r="AK1397">
        <f>'raw data Crude oil'!AK1398</f>
        <v>93.165000000000006</v>
      </c>
    </row>
    <row r="1398" spans="1:37" x14ac:dyDescent="0.3">
      <c r="A1398" s="18">
        <f>'raw data Crude oil'!A1399</f>
        <v>44711</v>
      </c>
      <c r="B1398">
        <f>'raw data Crude oil'!B1399</f>
        <v>121.67</v>
      </c>
      <c r="C1398">
        <f>'raw data Crude oil'!C1399</f>
        <v>117.6</v>
      </c>
      <c r="D1398">
        <f>'raw data Crude oil'!D1399</f>
        <v>114.51</v>
      </c>
      <c r="E1398">
        <f>'raw data Crude oil'!E1399</f>
        <v>111.79</v>
      </c>
      <c r="F1398">
        <f>'raw data Crude oil'!F1399</f>
        <v>109.48</v>
      </c>
      <c r="G1398">
        <f>'raw data Crude oil'!G1399</f>
        <v>107.46</v>
      </c>
      <c r="H1398">
        <f>'raw data Crude oil'!H1399</f>
        <v>105.61</v>
      </c>
      <c r="I1398">
        <f>'raw data Crude oil'!I1399</f>
        <v>103.88</v>
      </c>
      <c r="J1398">
        <f>'raw data Crude oil'!J1399</f>
        <v>102.32</v>
      </c>
      <c r="K1398">
        <f>'raw data Crude oil'!K1399</f>
        <v>100.89</v>
      </c>
      <c r="L1398">
        <f>'raw data Crude oil'!L1399</f>
        <v>99.61</v>
      </c>
      <c r="M1398">
        <f>'raw data Crude oil'!M1399</f>
        <v>98.47</v>
      </c>
      <c r="N1398">
        <f>'raw data Crude oil'!N1399</f>
        <v>115.07</v>
      </c>
      <c r="O1398">
        <f>'raw data Crude oil'!O1399</f>
        <v>112.23</v>
      </c>
      <c r="P1398">
        <f>'raw data Crude oil'!P1399</f>
        <v>109.23</v>
      </c>
      <c r="Q1398">
        <f>'raw data Crude oil'!Q1399</f>
        <v>106.48</v>
      </c>
      <c r="R1398">
        <f>'raw data Crude oil'!R1399</f>
        <v>104.13</v>
      </c>
      <c r="S1398">
        <f>'raw data Crude oil'!S1399</f>
        <v>102.05</v>
      </c>
      <c r="T1398">
        <f>'raw data Crude oil'!T1399</f>
        <v>100.16</v>
      </c>
      <c r="U1398">
        <f>'raw data Crude oil'!U1399</f>
        <v>98.43</v>
      </c>
      <c r="V1398">
        <f>'raw data Crude oil'!V1399</f>
        <v>96.85</v>
      </c>
      <c r="W1398">
        <f>'raw data Crude oil'!W1399</f>
        <v>95.46</v>
      </c>
      <c r="X1398">
        <f>'raw data Crude oil'!X1399</f>
        <v>94.2</v>
      </c>
      <c r="Y1398">
        <f>'raw data Crude oil'!Y1399</f>
        <v>93.04</v>
      </c>
      <c r="Z1398">
        <f>'raw data Crude oil'!Z1399</f>
        <v>108.074</v>
      </c>
      <c r="AA1398">
        <f>'raw data Crude oil'!AA1399</f>
        <v>112.66</v>
      </c>
      <c r="AB1398">
        <f>'raw data Crude oil'!AB1399</f>
        <v>109.23</v>
      </c>
      <c r="AC1398">
        <f>'raw data Crude oil'!AC1399</f>
        <v>106.5</v>
      </c>
      <c r="AD1398">
        <f>'raw data Crude oil'!AD1399</f>
        <v>104.208</v>
      </c>
      <c r="AE1398">
        <f>'raw data Crude oil'!AE1399</f>
        <v>102.212</v>
      </c>
      <c r="AF1398">
        <f>'raw data Crude oil'!AF1399</f>
        <v>100.351</v>
      </c>
      <c r="AG1398">
        <f>'raw data Crude oil'!AG1399</f>
        <v>98.631</v>
      </c>
      <c r="AH1398">
        <f>'raw data Crude oil'!AH1399</f>
        <v>97.152000000000001</v>
      </c>
      <c r="AI1398">
        <f>'raw data Crude oil'!AI1399</f>
        <v>95.855999999999995</v>
      </c>
      <c r="AJ1398">
        <f>'raw data Crude oil'!AJ1399</f>
        <v>94.67</v>
      </c>
      <c r="AK1398">
        <f>'raw data Crude oil'!AK1399</f>
        <v>93.602000000000004</v>
      </c>
    </row>
    <row r="1399" spans="1:37" x14ac:dyDescent="0.3">
      <c r="A1399" s="18">
        <f>'raw data Crude oil'!A1400</f>
        <v>44712</v>
      </c>
      <c r="B1399">
        <f>'raw data Crude oil'!B1400</f>
        <v>122.84</v>
      </c>
      <c r="C1399">
        <f>'raw data Crude oil'!C1400</f>
        <v>115.6</v>
      </c>
      <c r="D1399">
        <f>'raw data Crude oil'!D1400</f>
        <v>112.58</v>
      </c>
      <c r="E1399">
        <f>'raw data Crude oil'!E1400</f>
        <v>109.93</v>
      </c>
      <c r="F1399">
        <f>'raw data Crude oil'!F1400</f>
        <v>107.67</v>
      </c>
      <c r="G1399">
        <f>'raw data Crude oil'!G1400</f>
        <v>105.67</v>
      </c>
      <c r="H1399">
        <f>'raw data Crude oil'!H1400</f>
        <v>103.85</v>
      </c>
      <c r="I1399">
        <f>'raw data Crude oil'!I1400</f>
        <v>102.16</v>
      </c>
      <c r="J1399">
        <f>'raw data Crude oil'!J1400</f>
        <v>100.67</v>
      </c>
      <c r="K1399">
        <f>'raw data Crude oil'!K1400</f>
        <v>99.3</v>
      </c>
      <c r="L1399">
        <f>'raw data Crude oil'!L1400</f>
        <v>98.08</v>
      </c>
      <c r="M1399">
        <f>'raw data Crude oil'!M1400</f>
        <v>97</v>
      </c>
      <c r="N1399">
        <f>'raw data Crude oil'!N1400</f>
        <v>114.67</v>
      </c>
      <c r="O1399">
        <f>'raw data Crude oil'!O1400</f>
        <v>111.91</v>
      </c>
      <c r="P1399">
        <f>'raw data Crude oil'!P1400</f>
        <v>108.9</v>
      </c>
      <c r="Q1399">
        <f>'raw data Crude oil'!Q1400</f>
        <v>106.05</v>
      </c>
      <c r="R1399">
        <f>'raw data Crude oil'!R1400</f>
        <v>103.59</v>
      </c>
      <c r="S1399">
        <f>'raw data Crude oil'!S1400</f>
        <v>101.42</v>
      </c>
      <c r="T1399">
        <f>'raw data Crude oil'!T1400</f>
        <v>99.46</v>
      </c>
      <c r="U1399">
        <f>'raw data Crude oil'!U1400</f>
        <v>97.7</v>
      </c>
      <c r="V1399">
        <f>'raw data Crude oil'!V1400</f>
        <v>96.12</v>
      </c>
      <c r="W1399">
        <f>'raw data Crude oil'!W1400</f>
        <v>94.69</v>
      </c>
      <c r="X1399">
        <f>'raw data Crude oil'!X1400</f>
        <v>93.4</v>
      </c>
      <c r="Y1399">
        <f>'raw data Crude oil'!Y1400</f>
        <v>92.23</v>
      </c>
      <c r="Z1399">
        <f>'raw data Crude oil'!Z1400</f>
        <v>108.13200000000001</v>
      </c>
      <c r="AA1399">
        <f>'raw data Crude oil'!AA1400</f>
        <v>110.57299999999999</v>
      </c>
      <c r="AB1399">
        <f>'raw data Crude oil'!AB1400</f>
        <v>107.17400000000001</v>
      </c>
      <c r="AC1399">
        <f>'raw data Crude oil'!AC1400</f>
        <v>104.52200000000001</v>
      </c>
      <c r="AD1399">
        <f>'raw data Crude oil'!AD1400</f>
        <v>102.249</v>
      </c>
      <c r="AE1399">
        <f>'raw data Crude oil'!AE1400</f>
        <v>100.273</v>
      </c>
      <c r="AF1399">
        <f>'raw data Crude oil'!AF1400</f>
        <v>98.442999999999998</v>
      </c>
      <c r="AG1399">
        <f>'raw data Crude oil'!AG1400</f>
        <v>96.748000000000005</v>
      </c>
      <c r="AH1399">
        <f>'raw data Crude oil'!AH1400</f>
        <v>95.334999999999994</v>
      </c>
      <c r="AI1399">
        <f>'raw data Crude oil'!AI1400</f>
        <v>94.088999999999999</v>
      </c>
      <c r="AJ1399">
        <f>'raw data Crude oil'!AJ1400</f>
        <v>92.972999999999999</v>
      </c>
      <c r="AK1399">
        <f>'raw data Crude oil'!AK1400</f>
        <v>92.034999999999997</v>
      </c>
    </row>
    <row r="1400" spans="1:37" x14ac:dyDescent="0.3">
      <c r="A1400" s="18">
        <f>'raw data Crude oil'!A1401</f>
        <v>44713</v>
      </c>
      <c r="B1400">
        <f>'raw data Crude oil'!B1401</f>
        <v>116.29</v>
      </c>
      <c r="C1400">
        <f>'raw data Crude oil'!C1401</f>
        <v>113.56</v>
      </c>
      <c r="D1400">
        <f>'raw data Crude oil'!D1401</f>
        <v>111.03</v>
      </c>
      <c r="E1400">
        <f>'raw data Crude oil'!E1401</f>
        <v>108.82</v>
      </c>
      <c r="F1400">
        <f>'raw data Crude oil'!F1401</f>
        <v>106.81</v>
      </c>
      <c r="G1400">
        <f>'raw data Crude oil'!G1401</f>
        <v>104.92</v>
      </c>
      <c r="H1400">
        <f>'raw data Crude oil'!H1401</f>
        <v>103.17</v>
      </c>
      <c r="I1400">
        <f>'raw data Crude oil'!I1401</f>
        <v>101.6</v>
      </c>
      <c r="J1400">
        <f>'raw data Crude oil'!J1401</f>
        <v>100.17</v>
      </c>
      <c r="K1400">
        <f>'raw data Crude oil'!K1401</f>
        <v>98.92</v>
      </c>
      <c r="L1400">
        <f>'raw data Crude oil'!L1401</f>
        <v>97.82</v>
      </c>
      <c r="M1400">
        <f>'raw data Crude oil'!M1401</f>
        <v>96.77</v>
      </c>
      <c r="N1400">
        <f>'raw data Crude oil'!N1401</f>
        <v>115.26</v>
      </c>
      <c r="O1400">
        <f>'raw data Crude oil'!O1401</f>
        <v>112.72</v>
      </c>
      <c r="P1400">
        <f>'raw data Crude oil'!P1401</f>
        <v>109.96</v>
      </c>
      <c r="Q1400">
        <f>'raw data Crude oil'!Q1401</f>
        <v>107.32</v>
      </c>
      <c r="R1400">
        <f>'raw data Crude oil'!R1401</f>
        <v>104.93</v>
      </c>
      <c r="S1400">
        <f>'raw data Crude oil'!S1401</f>
        <v>102.72</v>
      </c>
      <c r="T1400">
        <f>'raw data Crude oil'!T1401</f>
        <v>100.7</v>
      </c>
      <c r="U1400">
        <f>'raw data Crude oil'!U1401</f>
        <v>98.87</v>
      </c>
      <c r="V1400">
        <f>'raw data Crude oil'!V1401</f>
        <v>97.22</v>
      </c>
      <c r="W1400">
        <f>'raw data Crude oil'!W1401</f>
        <v>95.74</v>
      </c>
      <c r="X1400">
        <f>'raw data Crude oil'!X1401</f>
        <v>94.42</v>
      </c>
      <c r="Y1400">
        <f>'raw data Crude oil'!Y1401</f>
        <v>93.23</v>
      </c>
      <c r="Z1400">
        <f>'raw data Crude oil'!Z1401</f>
        <v>108.13200000000001</v>
      </c>
      <c r="AA1400">
        <f>'raw data Crude oil'!AA1401</f>
        <v>111.76300000000001</v>
      </c>
      <c r="AB1400">
        <f>'raw data Crude oil'!AB1401</f>
        <v>107.75</v>
      </c>
      <c r="AC1400">
        <f>'raw data Crude oil'!AC1401</f>
        <v>105.004</v>
      </c>
      <c r="AD1400">
        <f>'raw data Crude oil'!AD1401</f>
        <v>102.759</v>
      </c>
      <c r="AE1400">
        <f>'raw data Crude oil'!AE1401</f>
        <v>100.84</v>
      </c>
      <c r="AF1400">
        <f>'raw data Crude oil'!AF1401</f>
        <v>98.98</v>
      </c>
      <c r="AG1400">
        <f>'raw data Crude oil'!AG1401</f>
        <v>97.27</v>
      </c>
      <c r="AH1400">
        <f>'raw data Crude oil'!AH1401</f>
        <v>95.811999999999998</v>
      </c>
      <c r="AI1400">
        <f>'raw data Crude oil'!AI1401</f>
        <v>94.558000000000007</v>
      </c>
      <c r="AJ1400">
        <f>'raw data Crude oil'!AJ1401</f>
        <v>93.432000000000002</v>
      </c>
      <c r="AK1400">
        <f>'raw data Crude oil'!AK1401</f>
        <v>92.504999999999995</v>
      </c>
    </row>
    <row r="1401" spans="1:37" x14ac:dyDescent="0.3">
      <c r="A1401" s="18">
        <f>'raw data Crude oil'!A1402</f>
        <v>44714</v>
      </c>
      <c r="B1401">
        <f>'raw data Crude oil'!B1402</f>
        <v>117.61</v>
      </c>
      <c r="C1401">
        <f>'raw data Crude oil'!C1402</f>
        <v>115.03</v>
      </c>
      <c r="D1401">
        <f>'raw data Crude oil'!D1402</f>
        <v>112.55</v>
      </c>
      <c r="E1401">
        <f>'raw data Crude oil'!E1402</f>
        <v>110.35</v>
      </c>
      <c r="F1401">
        <f>'raw data Crude oil'!F1402</f>
        <v>108.37</v>
      </c>
      <c r="G1401">
        <f>'raw data Crude oil'!G1402</f>
        <v>106.51</v>
      </c>
      <c r="H1401">
        <f>'raw data Crude oil'!H1402</f>
        <v>104.76</v>
      </c>
      <c r="I1401">
        <f>'raw data Crude oil'!I1402</f>
        <v>103.15</v>
      </c>
      <c r="J1401">
        <f>'raw data Crude oil'!J1402</f>
        <v>101.67</v>
      </c>
      <c r="K1401">
        <f>'raw data Crude oil'!K1402</f>
        <v>100.38</v>
      </c>
      <c r="L1401">
        <f>'raw data Crude oil'!L1402</f>
        <v>99.26</v>
      </c>
      <c r="M1401">
        <f>'raw data Crude oil'!M1402</f>
        <v>98.18</v>
      </c>
      <c r="N1401">
        <f>'raw data Crude oil'!N1402</f>
        <v>116.87</v>
      </c>
      <c r="O1401">
        <f>'raw data Crude oil'!O1402</f>
        <v>114.3</v>
      </c>
      <c r="P1401">
        <f>'raw data Crude oil'!P1402</f>
        <v>111.58</v>
      </c>
      <c r="Q1401">
        <f>'raw data Crude oil'!Q1402</f>
        <v>108.85</v>
      </c>
      <c r="R1401">
        <f>'raw data Crude oil'!R1402</f>
        <v>106.42</v>
      </c>
      <c r="S1401">
        <f>'raw data Crude oil'!S1402</f>
        <v>104.21</v>
      </c>
      <c r="T1401">
        <f>'raw data Crude oil'!T1402</f>
        <v>102.2</v>
      </c>
      <c r="U1401">
        <f>'raw data Crude oil'!U1402</f>
        <v>100.38</v>
      </c>
      <c r="V1401">
        <f>'raw data Crude oil'!V1402</f>
        <v>98.73</v>
      </c>
      <c r="W1401">
        <f>'raw data Crude oil'!W1402</f>
        <v>97.25</v>
      </c>
      <c r="X1401">
        <f>'raw data Crude oil'!X1402</f>
        <v>95.9</v>
      </c>
      <c r="Y1401">
        <f>'raw data Crude oil'!Y1402</f>
        <v>94.67</v>
      </c>
      <c r="Z1401">
        <f>'raw data Crude oil'!Z1402</f>
        <v>112.729</v>
      </c>
      <c r="AA1401">
        <f>'raw data Crude oil'!AA1402</f>
        <v>108.952</v>
      </c>
      <c r="AB1401">
        <f>'raw data Crude oil'!AB1402</f>
        <v>106.14400000000001</v>
      </c>
      <c r="AC1401">
        <f>'raw data Crude oil'!AC1402</f>
        <v>103.89</v>
      </c>
      <c r="AD1401">
        <f>'raw data Crude oil'!AD1402</f>
        <v>101.93</v>
      </c>
      <c r="AE1401">
        <f>'raw data Crude oil'!AE1402</f>
        <v>100.08</v>
      </c>
      <c r="AF1401">
        <f>'raw data Crude oil'!AF1402</f>
        <v>98.326999999999998</v>
      </c>
      <c r="AG1401">
        <f>'raw data Crude oil'!AG1402</f>
        <v>96.93</v>
      </c>
      <c r="AH1401">
        <f>'raw data Crude oil'!AH1402</f>
        <v>95.656000000000006</v>
      </c>
      <c r="AI1401">
        <f>'raw data Crude oil'!AI1402</f>
        <v>94.581000000000003</v>
      </c>
      <c r="AJ1401">
        <f>'raw data Crude oil'!AJ1402</f>
        <v>93.503</v>
      </c>
      <c r="AK1401">
        <f>'raw data Crude oil'!AK1402</f>
        <v>92.635000000000005</v>
      </c>
    </row>
    <row r="1402" spans="1:37" x14ac:dyDescent="0.3">
      <c r="A1402" s="18">
        <f>'raw data Crude oil'!A1403</f>
        <v>44715</v>
      </c>
      <c r="B1402">
        <f>'raw data Crude oil'!B1403</f>
        <v>119.72</v>
      </c>
      <c r="C1402">
        <f>'raw data Crude oil'!C1403</f>
        <v>117.03</v>
      </c>
      <c r="D1402">
        <f>'raw data Crude oil'!D1403</f>
        <v>114.43</v>
      </c>
      <c r="E1402">
        <f>'raw data Crude oil'!E1403</f>
        <v>112.16</v>
      </c>
      <c r="F1402">
        <f>'raw data Crude oil'!F1403</f>
        <v>110.13</v>
      </c>
      <c r="G1402">
        <f>'raw data Crude oil'!G1403</f>
        <v>108.21</v>
      </c>
      <c r="H1402">
        <f>'raw data Crude oil'!H1403</f>
        <v>106.36</v>
      </c>
      <c r="I1402">
        <f>'raw data Crude oil'!I1403</f>
        <v>104.66</v>
      </c>
      <c r="J1402">
        <f>'raw data Crude oil'!J1403</f>
        <v>103.1</v>
      </c>
      <c r="K1402">
        <f>'raw data Crude oil'!K1403</f>
        <v>101.73</v>
      </c>
      <c r="L1402">
        <f>'raw data Crude oil'!L1403</f>
        <v>100.54</v>
      </c>
      <c r="M1402">
        <f>'raw data Crude oil'!M1403</f>
        <v>99.37</v>
      </c>
      <c r="N1402">
        <f>'raw data Crude oil'!N1403</f>
        <v>118.87</v>
      </c>
      <c r="O1402">
        <f>'raw data Crude oil'!O1403</f>
        <v>116.23</v>
      </c>
      <c r="P1402">
        <f>'raw data Crude oil'!P1403</f>
        <v>113.47</v>
      </c>
      <c r="Q1402">
        <f>'raw data Crude oil'!Q1403</f>
        <v>110.7</v>
      </c>
      <c r="R1402">
        <f>'raw data Crude oil'!R1403</f>
        <v>108.21</v>
      </c>
      <c r="S1402">
        <f>'raw data Crude oil'!S1403</f>
        <v>105.91</v>
      </c>
      <c r="T1402">
        <f>'raw data Crude oil'!T1403</f>
        <v>103.79</v>
      </c>
      <c r="U1402">
        <f>'raw data Crude oil'!U1403</f>
        <v>101.88</v>
      </c>
      <c r="V1402">
        <f>'raw data Crude oil'!V1403</f>
        <v>100.15</v>
      </c>
      <c r="W1402">
        <f>'raw data Crude oil'!W1403</f>
        <v>98.58</v>
      </c>
      <c r="X1402">
        <f>'raw data Crude oil'!X1403</f>
        <v>97.14</v>
      </c>
      <c r="Y1402">
        <f>'raw data Crude oil'!Y1403</f>
        <v>95.82</v>
      </c>
      <c r="Z1402">
        <f>'raw data Crude oil'!Z1403</f>
        <v>114.578</v>
      </c>
      <c r="AA1402">
        <f>'raw data Crude oil'!AA1403</f>
        <v>111.136</v>
      </c>
      <c r="AB1402">
        <f>'raw data Crude oil'!AB1403</f>
        <v>108.191</v>
      </c>
      <c r="AC1402">
        <f>'raw data Crude oil'!AC1403</f>
        <v>105.86799999999999</v>
      </c>
      <c r="AD1402">
        <f>'raw data Crude oil'!AD1403</f>
        <v>103.869</v>
      </c>
      <c r="AE1402">
        <f>'raw data Crude oil'!AE1403</f>
        <v>102.006</v>
      </c>
      <c r="AF1402">
        <f>'raw data Crude oil'!AF1403</f>
        <v>100.078</v>
      </c>
      <c r="AG1402">
        <f>'raw data Crude oil'!AG1403</f>
        <v>98.436000000000007</v>
      </c>
      <c r="AH1402">
        <f>'raw data Crude oil'!AH1403</f>
        <v>97.081999999999994</v>
      </c>
      <c r="AI1402">
        <f>'raw data Crude oil'!AI1403</f>
        <v>95.828000000000003</v>
      </c>
      <c r="AJ1402">
        <f>'raw data Crude oil'!AJ1403</f>
        <v>94.778000000000006</v>
      </c>
      <c r="AK1402">
        <f>'raw data Crude oil'!AK1403</f>
        <v>93.822999999999993</v>
      </c>
    </row>
    <row r="1403" spans="1:37" x14ac:dyDescent="0.3">
      <c r="A1403" s="18">
        <f>'raw data Crude oil'!A1404</f>
        <v>44718</v>
      </c>
      <c r="B1403">
        <f>'raw data Crude oil'!B1404</f>
        <v>119.51</v>
      </c>
      <c r="C1403">
        <f>'raw data Crude oil'!C1404</f>
        <v>116.97</v>
      </c>
      <c r="D1403">
        <f>'raw data Crude oil'!D1404</f>
        <v>114.45</v>
      </c>
      <c r="E1403">
        <f>'raw data Crude oil'!E1404</f>
        <v>112.25</v>
      </c>
      <c r="F1403">
        <f>'raw data Crude oil'!F1404</f>
        <v>110.26</v>
      </c>
      <c r="G1403">
        <f>'raw data Crude oil'!G1404</f>
        <v>108.33</v>
      </c>
      <c r="H1403">
        <f>'raw data Crude oil'!H1404</f>
        <v>106.47</v>
      </c>
      <c r="I1403">
        <f>'raw data Crude oil'!I1404</f>
        <v>104.75</v>
      </c>
      <c r="J1403">
        <f>'raw data Crude oil'!J1404</f>
        <v>103.16</v>
      </c>
      <c r="K1403">
        <f>'raw data Crude oil'!K1404</f>
        <v>101.77</v>
      </c>
      <c r="L1403">
        <f>'raw data Crude oil'!L1404</f>
        <v>100.56</v>
      </c>
      <c r="M1403">
        <f>'raw data Crude oil'!M1404</f>
        <v>99.38</v>
      </c>
      <c r="N1403">
        <f>'raw data Crude oil'!N1404</f>
        <v>118.5</v>
      </c>
      <c r="O1403">
        <f>'raw data Crude oil'!O1404</f>
        <v>116.06</v>
      </c>
      <c r="P1403">
        <f>'raw data Crude oil'!P1404</f>
        <v>113.35</v>
      </c>
      <c r="Q1403">
        <f>'raw data Crude oil'!Q1404</f>
        <v>110.67</v>
      </c>
      <c r="R1403">
        <f>'raw data Crude oil'!R1404</f>
        <v>108.24</v>
      </c>
      <c r="S1403">
        <f>'raw data Crude oil'!S1404</f>
        <v>105.92</v>
      </c>
      <c r="T1403">
        <f>'raw data Crude oil'!T1404</f>
        <v>103.79</v>
      </c>
      <c r="U1403">
        <f>'raw data Crude oil'!U1404</f>
        <v>101.85</v>
      </c>
      <c r="V1403">
        <f>'raw data Crude oil'!V1404</f>
        <v>100.09</v>
      </c>
      <c r="W1403">
        <f>'raw data Crude oil'!W1404</f>
        <v>98.49</v>
      </c>
      <c r="X1403">
        <f>'raw data Crude oil'!X1404</f>
        <v>97.02</v>
      </c>
      <c r="Y1403">
        <f>'raw data Crude oil'!Y1404</f>
        <v>95.7</v>
      </c>
      <c r="Z1403">
        <f>'raw data Crude oil'!Z1404</f>
        <v>114.407</v>
      </c>
      <c r="AA1403">
        <f>'raw data Crude oil'!AA1404</f>
        <v>111.02</v>
      </c>
      <c r="AB1403">
        <f>'raw data Crude oil'!AB1404</f>
        <v>108.104</v>
      </c>
      <c r="AC1403">
        <f>'raw data Crude oil'!AC1404</f>
        <v>105.82</v>
      </c>
      <c r="AD1403">
        <f>'raw data Crude oil'!AD1404</f>
        <v>103.83799999999999</v>
      </c>
      <c r="AE1403">
        <f>'raw data Crude oil'!AE1404</f>
        <v>101.965</v>
      </c>
      <c r="AF1403">
        <f>'raw data Crude oil'!AF1404</f>
        <v>100.116</v>
      </c>
      <c r="AG1403">
        <f>'raw data Crude oil'!AG1404</f>
        <v>98.524000000000001</v>
      </c>
      <c r="AH1403">
        <f>'raw data Crude oil'!AH1404</f>
        <v>97.031000000000006</v>
      </c>
      <c r="AI1403">
        <f>'raw data Crude oil'!AI1404</f>
        <v>95.787000000000006</v>
      </c>
      <c r="AJ1403">
        <f>'raw data Crude oil'!AJ1404</f>
        <v>94.697999999999993</v>
      </c>
      <c r="AK1403">
        <f>'raw data Crude oil'!AK1404</f>
        <v>93.712000000000003</v>
      </c>
    </row>
    <row r="1404" spans="1:37" x14ac:dyDescent="0.3">
      <c r="A1404" s="18">
        <f>'raw data Crude oil'!A1405</f>
        <v>44719</v>
      </c>
      <c r="B1404">
        <f>'raw data Crude oil'!B1405</f>
        <v>120.57</v>
      </c>
      <c r="C1404">
        <f>'raw data Crude oil'!C1405</f>
        <v>118.14</v>
      </c>
      <c r="D1404">
        <f>'raw data Crude oil'!D1405</f>
        <v>115.8</v>
      </c>
      <c r="E1404">
        <f>'raw data Crude oil'!E1405</f>
        <v>113.74</v>
      </c>
      <c r="F1404">
        <f>'raw data Crude oil'!F1405</f>
        <v>111.85</v>
      </c>
      <c r="G1404">
        <f>'raw data Crude oil'!G1405</f>
        <v>110</v>
      </c>
      <c r="H1404">
        <f>'raw data Crude oil'!H1405</f>
        <v>108.2</v>
      </c>
      <c r="I1404">
        <f>'raw data Crude oil'!I1405</f>
        <v>106.52</v>
      </c>
      <c r="J1404">
        <f>'raw data Crude oil'!J1405</f>
        <v>104.98</v>
      </c>
      <c r="K1404">
        <f>'raw data Crude oil'!K1405</f>
        <v>103.61</v>
      </c>
      <c r="L1404">
        <f>'raw data Crude oil'!L1405</f>
        <v>102.41</v>
      </c>
      <c r="M1404">
        <f>'raw data Crude oil'!M1405</f>
        <v>101.25</v>
      </c>
      <c r="N1404">
        <f>'raw data Crude oil'!N1405</f>
        <v>119.41</v>
      </c>
      <c r="O1404">
        <f>'raw data Crude oil'!O1405</f>
        <v>117.1</v>
      </c>
      <c r="P1404">
        <f>'raw data Crude oil'!P1405</f>
        <v>114.54</v>
      </c>
      <c r="Q1404">
        <f>'raw data Crude oil'!Q1405</f>
        <v>112.04</v>
      </c>
      <c r="R1404">
        <f>'raw data Crude oil'!R1405</f>
        <v>109.74</v>
      </c>
      <c r="S1404">
        <f>'raw data Crude oil'!S1405</f>
        <v>107.58</v>
      </c>
      <c r="T1404">
        <f>'raw data Crude oil'!T1405</f>
        <v>105.56</v>
      </c>
      <c r="U1404">
        <f>'raw data Crude oil'!U1405</f>
        <v>103.69</v>
      </c>
      <c r="V1404">
        <f>'raw data Crude oil'!V1405</f>
        <v>101.98</v>
      </c>
      <c r="W1404">
        <f>'raw data Crude oil'!W1405</f>
        <v>100.41</v>
      </c>
      <c r="X1404">
        <f>'raw data Crude oil'!X1405</f>
        <v>98.98</v>
      </c>
      <c r="Y1404">
        <f>'raw data Crude oil'!Y1405</f>
        <v>97.67</v>
      </c>
      <c r="Z1404">
        <f>'raw data Crude oil'!Z1405</f>
        <v>115.187</v>
      </c>
      <c r="AA1404">
        <f>'raw data Crude oil'!AA1405</f>
        <v>112.04900000000001</v>
      </c>
      <c r="AB1404">
        <f>'raw data Crude oil'!AB1405</f>
        <v>109.33</v>
      </c>
      <c r="AC1404">
        <f>'raw data Crude oil'!AC1405</f>
        <v>107.154</v>
      </c>
      <c r="AD1404">
        <f>'raw data Crude oil'!AD1405</f>
        <v>105.312</v>
      </c>
      <c r="AE1404">
        <f>'raw data Crude oil'!AE1405</f>
        <v>103.518</v>
      </c>
      <c r="AF1404">
        <f>'raw data Crude oil'!AF1405</f>
        <v>101.73</v>
      </c>
      <c r="AG1404">
        <f>'raw data Crude oil'!AG1405</f>
        <v>100.167</v>
      </c>
      <c r="AH1404">
        <f>'raw data Crude oil'!AH1405</f>
        <v>98.731999999999999</v>
      </c>
      <c r="AI1404">
        <f>'raw data Crude oil'!AI1405</f>
        <v>97.507999999999996</v>
      </c>
      <c r="AJ1404">
        <f>'raw data Crude oil'!AJ1405</f>
        <v>96.399000000000001</v>
      </c>
      <c r="AK1404">
        <f>'raw data Crude oil'!AK1405</f>
        <v>95.381</v>
      </c>
    </row>
    <row r="1405" spans="1:37" x14ac:dyDescent="0.3">
      <c r="A1405" s="18">
        <f>'raw data Crude oil'!A1406</f>
        <v>44720</v>
      </c>
      <c r="B1405">
        <f>'raw data Crude oil'!B1406</f>
        <v>123.58</v>
      </c>
      <c r="C1405">
        <f>'raw data Crude oil'!C1406</f>
        <v>120.89</v>
      </c>
      <c r="D1405">
        <f>'raw data Crude oil'!D1406</f>
        <v>118.36</v>
      </c>
      <c r="E1405">
        <f>'raw data Crude oil'!E1406</f>
        <v>116.18</v>
      </c>
      <c r="F1405">
        <f>'raw data Crude oil'!F1406</f>
        <v>114.19</v>
      </c>
      <c r="G1405">
        <f>'raw data Crude oil'!G1406</f>
        <v>112.29</v>
      </c>
      <c r="H1405">
        <f>'raw data Crude oil'!H1406</f>
        <v>110.46</v>
      </c>
      <c r="I1405">
        <f>'raw data Crude oil'!I1406</f>
        <v>108.75</v>
      </c>
      <c r="J1405">
        <f>'raw data Crude oil'!J1406</f>
        <v>107.15</v>
      </c>
      <c r="K1405">
        <f>'raw data Crude oil'!K1406</f>
        <v>105.73</v>
      </c>
      <c r="L1405">
        <f>'raw data Crude oil'!L1406</f>
        <v>104.47</v>
      </c>
      <c r="M1405">
        <f>'raw data Crude oil'!M1406</f>
        <v>103.26</v>
      </c>
      <c r="N1405">
        <f>'raw data Crude oil'!N1406</f>
        <v>122.11</v>
      </c>
      <c r="O1405">
        <f>'raw data Crude oil'!O1406</f>
        <v>119.78</v>
      </c>
      <c r="P1405">
        <f>'raw data Crude oil'!P1406</f>
        <v>117.15</v>
      </c>
      <c r="Q1405">
        <f>'raw data Crude oil'!Q1406</f>
        <v>114.57</v>
      </c>
      <c r="R1405">
        <f>'raw data Crude oil'!R1406</f>
        <v>112.18</v>
      </c>
      <c r="S1405">
        <f>'raw data Crude oil'!S1406</f>
        <v>109.95</v>
      </c>
      <c r="T1405">
        <f>'raw data Crude oil'!T1406</f>
        <v>107.86</v>
      </c>
      <c r="U1405">
        <f>'raw data Crude oil'!U1406</f>
        <v>105.94</v>
      </c>
      <c r="V1405">
        <f>'raw data Crude oil'!V1406</f>
        <v>104.18</v>
      </c>
      <c r="W1405">
        <f>'raw data Crude oil'!W1406</f>
        <v>102.55</v>
      </c>
      <c r="X1405">
        <f>'raw data Crude oil'!X1406</f>
        <v>101.07</v>
      </c>
      <c r="Y1405">
        <f>'raw data Crude oil'!Y1406</f>
        <v>99.71</v>
      </c>
      <c r="Z1405">
        <f>'raw data Crude oil'!Z1406</f>
        <v>117.386</v>
      </c>
      <c r="AA1405">
        <f>'raw data Crude oil'!AA1406</f>
        <v>115.03</v>
      </c>
      <c r="AB1405">
        <f>'raw data Crude oil'!AB1406</f>
        <v>112.015</v>
      </c>
      <c r="AC1405">
        <f>'raw data Crude oil'!AC1406</f>
        <v>109.68</v>
      </c>
      <c r="AD1405">
        <f>'raw data Crude oil'!AD1406</f>
        <v>107.75</v>
      </c>
      <c r="AE1405">
        <f>'raw data Crude oil'!AE1406</f>
        <v>105.907</v>
      </c>
      <c r="AF1405">
        <f>'raw data Crude oil'!AF1406</f>
        <v>104.087</v>
      </c>
      <c r="AG1405">
        <f>'raw data Crude oil'!AG1406</f>
        <v>102.48399999999999</v>
      </c>
      <c r="AH1405">
        <f>'raw data Crude oil'!AH1406</f>
        <v>100.979</v>
      </c>
      <c r="AI1405">
        <f>'raw data Crude oil'!AI1406</f>
        <v>99.715000000000003</v>
      </c>
      <c r="AJ1405">
        <f>'raw data Crude oil'!AJ1406</f>
        <v>98.495999999999995</v>
      </c>
      <c r="AK1405">
        <f>'raw data Crude oil'!AK1406</f>
        <v>97.39</v>
      </c>
    </row>
    <row r="1406" spans="1:37" x14ac:dyDescent="0.3">
      <c r="A1406" s="18">
        <f>'raw data Crude oil'!A1407</f>
        <v>44721</v>
      </c>
      <c r="B1406">
        <f>'raw data Crude oil'!B1407</f>
        <v>123.07</v>
      </c>
      <c r="C1406">
        <f>'raw data Crude oil'!C1407</f>
        <v>120.3</v>
      </c>
      <c r="D1406">
        <f>'raw data Crude oil'!D1407</f>
        <v>117.82</v>
      </c>
      <c r="E1406">
        <f>'raw data Crude oil'!E1407</f>
        <v>115.7</v>
      </c>
      <c r="F1406">
        <f>'raw data Crude oil'!F1407</f>
        <v>113.78</v>
      </c>
      <c r="G1406">
        <f>'raw data Crude oil'!G1407</f>
        <v>111.96</v>
      </c>
      <c r="H1406">
        <f>'raw data Crude oil'!H1407</f>
        <v>110.26</v>
      </c>
      <c r="I1406">
        <f>'raw data Crude oil'!I1407</f>
        <v>108.7</v>
      </c>
      <c r="J1406">
        <f>'raw data Crude oil'!J1407</f>
        <v>107.23</v>
      </c>
      <c r="K1406">
        <f>'raw data Crude oil'!K1407</f>
        <v>105.93</v>
      </c>
      <c r="L1406">
        <f>'raw data Crude oil'!L1407</f>
        <v>104.75</v>
      </c>
      <c r="M1406">
        <f>'raw data Crude oil'!M1407</f>
        <v>103.57</v>
      </c>
      <c r="N1406">
        <f>'raw data Crude oil'!N1407</f>
        <v>121.51</v>
      </c>
      <c r="O1406">
        <f>'raw data Crude oil'!O1407</f>
        <v>119.09</v>
      </c>
      <c r="P1406">
        <f>'raw data Crude oil'!P1407</f>
        <v>116.49</v>
      </c>
      <c r="Q1406">
        <f>'raw data Crude oil'!Q1407</f>
        <v>114.01</v>
      </c>
      <c r="R1406">
        <f>'raw data Crude oil'!R1407</f>
        <v>111.69</v>
      </c>
      <c r="S1406">
        <f>'raw data Crude oil'!S1407</f>
        <v>109.51</v>
      </c>
      <c r="T1406">
        <f>'raw data Crude oil'!T1407</f>
        <v>107.52</v>
      </c>
      <c r="U1406">
        <f>'raw data Crude oil'!U1407</f>
        <v>105.72</v>
      </c>
      <c r="V1406">
        <f>'raw data Crude oil'!V1407</f>
        <v>104.1</v>
      </c>
      <c r="W1406">
        <f>'raw data Crude oil'!W1407</f>
        <v>102.6</v>
      </c>
      <c r="X1406">
        <f>'raw data Crude oil'!X1407</f>
        <v>101.23</v>
      </c>
      <c r="Y1406">
        <f>'raw data Crude oil'!Y1407</f>
        <v>99.98</v>
      </c>
      <c r="Z1406">
        <f>'raw data Crude oil'!Z1407</f>
        <v>117.209</v>
      </c>
      <c r="AA1406">
        <f>'raw data Crude oil'!AA1407</f>
        <v>114.76300000000001</v>
      </c>
      <c r="AB1406">
        <f>'raw data Crude oil'!AB1407</f>
        <v>111.685</v>
      </c>
      <c r="AC1406">
        <f>'raw data Crude oil'!AC1407</f>
        <v>109.363</v>
      </c>
      <c r="AD1406">
        <f>'raw data Crude oil'!AD1407</f>
        <v>107.462</v>
      </c>
      <c r="AE1406">
        <f>'raw data Crude oil'!AE1407</f>
        <v>105.68</v>
      </c>
      <c r="AF1406">
        <f>'raw data Crude oil'!AF1407</f>
        <v>103.93899999999999</v>
      </c>
      <c r="AG1406">
        <f>'raw data Crude oil'!AG1407</f>
        <v>102.48</v>
      </c>
      <c r="AH1406">
        <f>'raw data Crude oil'!AH1407</f>
        <v>101.155</v>
      </c>
      <c r="AI1406">
        <f>'raw data Crude oil'!AI1407</f>
        <v>99.959000000000003</v>
      </c>
      <c r="AJ1406">
        <f>'raw data Crude oil'!AJ1407</f>
        <v>98.778000000000006</v>
      </c>
      <c r="AK1406">
        <f>'raw data Crude oil'!AK1407</f>
        <v>97.700999999999993</v>
      </c>
    </row>
    <row r="1407" spans="1:37" x14ac:dyDescent="0.3">
      <c r="A1407" s="18">
        <f>'raw data Crude oil'!A1408</f>
        <v>44722</v>
      </c>
      <c r="B1407">
        <f>'raw data Crude oil'!B1408</f>
        <v>122.01</v>
      </c>
      <c r="C1407">
        <f>'raw data Crude oil'!C1408</f>
        <v>119.02</v>
      </c>
      <c r="D1407">
        <f>'raw data Crude oil'!D1408</f>
        <v>116.37</v>
      </c>
      <c r="E1407">
        <f>'raw data Crude oil'!E1408</f>
        <v>114.17</v>
      </c>
      <c r="F1407">
        <f>'raw data Crude oil'!F1408</f>
        <v>112.24</v>
      </c>
      <c r="G1407">
        <f>'raw data Crude oil'!G1408</f>
        <v>110.44</v>
      </c>
      <c r="H1407">
        <f>'raw data Crude oil'!H1408</f>
        <v>108.78</v>
      </c>
      <c r="I1407">
        <f>'raw data Crude oil'!I1408</f>
        <v>107.27</v>
      </c>
      <c r="J1407">
        <f>'raw data Crude oil'!J1408</f>
        <v>105.85</v>
      </c>
      <c r="K1407">
        <f>'raw data Crude oil'!K1408</f>
        <v>104.59</v>
      </c>
      <c r="L1407">
        <f>'raw data Crude oil'!L1408</f>
        <v>103.47</v>
      </c>
      <c r="M1407">
        <f>'raw data Crude oil'!M1408</f>
        <v>102.34</v>
      </c>
      <c r="N1407">
        <f>'raw data Crude oil'!N1408</f>
        <v>120.67</v>
      </c>
      <c r="O1407">
        <f>'raw data Crude oil'!O1408</f>
        <v>118.12</v>
      </c>
      <c r="P1407">
        <f>'raw data Crude oil'!P1408</f>
        <v>115.34</v>
      </c>
      <c r="Q1407">
        <f>'raw data Crude oil'!Q1408</f>
        <v>112.73</v>
      </c>
      <c r="R1407">
        <f>'raw data Crude oil'!R1408</f>
        <v>110.38</v>
      </c>
      <c r="S1407">
        <f>'raw data Crude oil'!S1408</f>
        <v>108.22</v>
      </c>
      <c r="T1407">
        <f>'raw data Crude oil'!T1408</f>
        <v>106.25</v>
      </c>
      <c r="U1407">
        <f>'raw data Crude oil'!U1408</f>
        <v>104.48</v>
      </c>
      <c r="V1407">
        <f>'raw data Crude oil'!V1408</f>
        <v>102.9</v>
      </c>
      <c r="W1407">
        <f>'raw data Crude oil'!W1408</f>
        <v>101.46</v>
      </c>
      <c r="X1407">
        <f>'raw data Crude oil'!X1408</f>
        <v>100.15</v>
      </c>
      <c r="Y1407">
        <f>'raw data Crude oil'!Y1408</f>
        <v>98.94</v>
      </c>
      <c r="Z1407">
        <f>'raw data Crude oil'!Z1408</f>
        <v>116.598</v>
      </c>
      <c r="AA1407">
        <f>'raw data Crude oil'!AA1408</f>
        <v>113.774</v>
      </c>
      <c r="AB1407">
        <f>'raw data Crude oil'!AB1408</f>
        <v>110.404</v>
      </c>
      <c r="AC1407">
        <f>'raw data Crude oil'!AC1408</f>
        <v>107.952</v>
      </c>
      <c r="AD1407">
        <f>'raw data Crude oil'!AD1408</f>
        <v>106.054</v>
      </c>
      <c r="AE1407">
        <f>'raw data Crude oil'!AE1408</f>
        <v>104.285</v>
      </c>
      <c r="AF1407">
        <f>'raw data Crude oil'!AF1408</f>
        <v>102.556</v>
      </c>
      <c r="AG1407">
        <f>'raw data Crude oil'!AG1408</f>
        <v>101.152</v>
      </c>
      <c r="AH1407">
        <f>'raw data Crude oil'!AH1408</f>
        <v>99.777000000000001</v>
      </c>
      <c r="AI1407">
        <f>'raw data Crude oil'!AI1408</f>
        <v>98.620999999999995</v>
      </c>
      <c r="AJ1407">
        <f>'raw data Crude oil'!AJ1408</f>
        <v>97.570999999999998</v>
      </c>
      <c r="AK1407">
        <f>'raw data Crude oil'!AK1408</f>
        <v>96.572000000000003</v>
      </c>
    </row>
    <row r="1408" spans="1:37" x14ac:dyDescent="0.3">
      <c r="A1408" s="18">
        <f>'raw data Crude oil'!A1409</f>
        <v>44725</v>
      </c>
      <c r="B1408">
        <f>'raw data Crude oil'!B1409</f>
        <v>122.27</v>
      </c>
      <c r="C1408">
        <f>'raw data Crude oil'!C1409</f>
        <v>119.07</v>
      </c>
      <c r="D1408">
        <f>'raw data Crude oil'!D1409</f>
        <v>116.35</v>
      </c>
      <c r="E1408">
        <f>'raw data Crude oil'!E1409</f>
        <v>114.09</v>
      </c>
      <c r="F1408">
        <f>'raw data Crude oil'!F1409</f>
        <v>112.13</v>
      </c>
      <c r="G1408">
        <f>'raw data Crude oil'!G1409</f>
        <v>110.33</v>
      </c>
      <c r="H1408">
        <f>'raw data Crude oil'!H1409</f>
        <v>108.7</v>
      </c>
      <c r="I1408">
        <f>'raw data Crude oil'!I1409</f>
        <v>107.24</v>
      </c>
      <c r="J1408">
        <f>'raw data Crude oil'!J1409</f>
        <v>105.87</v>
      </c>
      <c r="K1408">
        <f>'raw data Crude oil'!K1409</f>
        <v>104.66</v>
      </c>
      <c r="L1408">
        <f>'raw data Crude oil'!L1409</f>
        <v>103.6</v>
      </c>
      <c r="M1408">
        <f>'raw data Crude oil'!M1409</f>
        <v>102.53</v>
      </c>
      <c r="N1408">
        <f>'raw data Crude oil'!N1409</f>
        <v>120.93</v>
      </c>
      <c r="O1408">
        <f>'raw data Crude oil'!O1409</f>
        <v>118.25</v>
      </c>
      <c r="P1408">
        <f>'raw data Crude oil'!P1409</f>
        <v>115.31</v>
      </c>
      <c r="Q1408">
        <f>'raw data Crude oil'!Q1409</f>
        <v>112.62</v>
      </c>
      <c r="R1408">
        <f>'raw data Crude oil'!R1409</f>
        <v>110.25</v>
      </c>
      <c r="S1408">
        <f>'raw data Crude oil'!S1409</f>
        <v>108.1</v>
      </c>
      <c r="T1408">
        <f>'raw data Crude oil'!T1409</f>
        <v>106.16</v>
      </c>
      <c r="U1408">
        <f>'raw data Crude oil'!U1409</f>
        <v>104.43</v>
      </c>
      <c r="V1408">
        <f>'raw data Crude oil'!V1409</f>
        <v>102.9</v>
      </c>
      <c r="W1408">
        <f>'raw data Crude oil'!W1409</f>
        <v>101.51</v>
      </c>
      <c r="X1408">
        <f>'raw data Crude oil'!X1409</f>
        <v>100.25</v>
      </c>
      <c r="Y1408">
        <f>'raw data Crude oil'!Y1409</f>
        <v>99.07</v>
      </c>
      <c r="Z1408">
        <f>'raw data Crude oil'!Z1409</f>
        <v>116.479</v>
      </c>
      <c r="AA1408">
        <f>'raw data Crude oil'!AA1409</f>
        <v>113.82</v>
      </c>
      <c r="AB1408">
        <f>'raw data Crude oil'!AB1409</f>
        <v>110.462</v>
      </c>
      <c r="AC1408">
        <f>'raw data Crude oil'!AC1409</f>
        <v>107.961</v>
      </c>
      <c r="AD1408">
        <f>'raw data Crude oil'!AD1409</f>
        <v>105.994</v>
      </c>
      <c r="AE1408">
        <f>'raw data Crude oil'!AE1409</f>
        <v>104.226</v>
      </c>
      <c r="AF1408">
        <f>'raw data Crude oil'!AF1409</f>
        <v>102.511</v>
      </c>
      <c r="AG1408">
        <f>'raw data Crude oil'!AG1409</f>
        <v>101.155</v>
      </c>
      <c r="AH1408">
        <f>'raw data Crude oil'!AH1409</f>
        <v>99.83</v>
      </c>
      <c r="AI1408">
        <f>'raw data Crude oil'!AI1409</f>
        <v>98.724000000000004</v>
      </c>
      <c r="AJ1408">
        <f>'raw data Crude oil'!AJ1409</f>
        <v>97.754000000000005</v>
      </c>
      <c r="AK1408">
        <f>'raw data Crude oil'!AK1409</f>
        <v>96.834999999999994</v>
      </c>
    </row>
    <row r="1409" spans="1:37" x14ac:dyDescent="0.3">
      <c r="A1409" s="18">
        <f>'raw data Crude oil'!A1410</f>
        <v>44726</v>
      </c>
      <c r="B1409">
        <f>'raw data Crude oil'!B1410</f>
        <v>121.17</v>
      </c>
      <c r="C1409">
        <f>'raw data Crude oil'!C1410</f>
        <v>117.78</v>
      </c>
      <c r="D1409">
        <f>'raw data Crude oil'!D1410</f>
        <v>114.94</v>
      </c>
      <c r="E1409">
        <f>'raw data Crude oil'!E1410</f>
        <v>112.67</v>
      </c>
      <c r="F1409">
        <f>'raw data Crude oil'!F1410</f>
        <v>110.72</v>
      </c>
      <c r="G1409">
        <f>'raw data Crude oil'!G1410</f>
        <v>108.9</v>
      </c>
      <c r="H1409">
        <f>'raw data Crude oil'!H1410</f>
        <v>107.25</v>
      </c>
      <c r="I1409">
        <f>'raw data Crude oil'!I1410</f>
        <v>105.77</v>
      </c>
      <c r="J1409">
        <f>'raw data Crude oil'!J1410</f>
        <v>104.4</v>
      </c>
      <c r="K1409">
        <f>'raw data Crude oil'!K1410</f>
        <v>103.21</v>
      </c>
      <c r="L1409">
        <f>'raw data Crude oil'!L1410</f>
        <v>102.16</v>
      </c>
      <c r="M1409">
        <f>'raw data Crude oil'!M1410</f>
        <v>101.1</v>
      </c>
      <c r="N1409">
        <f>'raw data Crude oil'!N1410</f>
        <v>118.93</v>
      </c>
      <c r="O1409">
        <f>'raw data Crude oil'!O1410</f>
        <v>116.26</v>
      </c>
      <c r="P1409">
        <f>'raw data Crude oil'!P1410</f>
        <v>113.48</v>
      </c>
      <c r="Q1409">
        <f>'raw data Crude oil'!Q1410</f>
        <v>110.86</v>
      </c>
      <c r="R1409">
        <f>'raw data Crude oil'!R1410</f>
        <v>108.5</v>
      </c>
      <c r="S1409">
        <f>'raw data Crude oil'!S1410</f>
        <v>106.36</v>
      </c>
      <c r="T1409">
        <f>'raw data Crude oil'!T1410</f>
        <v>104.44</v>
      </c>
      <c r="U1409">
        <f>'raw data Crude oil'!U1410</f>
        <v>102.72</v>
      </c>
      <c r="V1409">
        <f>'raw data Crude oil'!V1410</f>
        <v>101.19</v>
      </c>
      <c r="W1409">
        <f>'raw data Crude oil'!W1410</f>
        <v>99.83</v>
      </c>
      <c r="X1409">
        <f>'raw data Crude oil'!X1410</f>
        <v>98.59</v>
      </c>
      <c r="Y1409">
        <f>'raw data Crude oil'!Y1410</f>
        <v>97.45</v>
      </c>
      <c r="Z1409">
        <f>'raw data Crude oil'!Z1410</f>
        <v>115.77800000000001</v>
      </c>
      <c r="AA1409">
        <f>'raw data Crude oil'!AA1410</f>
        <v>112.294</v>
      </c>
      <c r="AB1409">
        <f>'raw data Crude oil'!AB1410</f>
        <v>108.771</v>
      </c>
      <c r="AC1409">
        <f>'raw data Crude oil'!AC1410</f>
        <v>106.28100000000001</v>
      </c>
      <c r="AD1409">
        <f>'raw data Crude oil'!AD1410</f>
        <v>104.29300000000001</v>
      </c>
      <c r="AE1409">
        <f>'raw data Crude oil'!AE1410</f>
        <v>102.47499999999999</v>
      </c>
      <c r="AF1409">
        <f>'raw data Crude oil'!AF1410</f>
        <v>100.754</v>
      </c>
      <c r="AG1409">
        <f>'raw data Crude oil'!AG1410</f>
        <v>99.344999999999999</v>
      </c>
      <c r="AH1409">
        <f>'raw data Crude oil'!AH1410</f>
        <v>98.070999999999998</v>
      </c>
      <c r="AI1409">
        <f>'raw data Crude oil'!AI1410</f>
        <v>97.084000000000003</v>
      </c>
      <c r="AJ1409">
        <f>'raw data Crude oil'!AJ1410</f>
        <v>96.183999999999997</v>
      </c>
      <c r="AK1409">
        <f>'raw data Crude oil'!AK1410</f>
        <v>95.277000000000001</v>
      </c>
    </row>
    <row r="1410" spans="1:37" x14ac:dyDescent="0.3">
      <c r="A1410" s="18">
        <f>'raw data Crude oil'!A1411</f>
        <v>44727</v>
      </c>
      <c r="B1410">
        <f>'raw data Crude oil'!B1411</f>
        <v>118.51</v>
      </c>
      <c r="C1410">
        <f>'raw data Crude oil'!C1411</f>
        <v>115.47</v>
      </c>
      <c r="D1410">
        <f>'raw data Crude oil'!D1411</f>
        <v>112.85</v>
      </c>
      <c r="E1410">
        <f>'raw data Crude oil'!E1411</f>
        <v>110.76</v>
      </c>
      <c r="F1410">
        <f>'raw data Crude oil'!F1411</f>
        <v>108.92</v>
      </c>
      <c r="G1410">
        <f>'raw data Crude oil'!G1411</f>
        <v>107.19</v>
      </c>
      <c r="H1410">
        <f>'raw data Crude oil'!H1411</f>
        <v>105.61</v>
      </c>
      <c r="I1410">
        <f>'raw data Crude oil'!I1411</f>
        <v>104.2</v>
      </c>
      <c r="J1410">
        <f>'raw data Crude oil'!J1411</f>
        <v>102.88</v>
      </c>
      <c r="K1410">
        <f>'raw data Crude oil'!K1411</f>
        <v>101.75</v>
      </c>
      <c r="L1410">
        <f>'raw data Crude oil'!L1411</f>
        <v>100.76</v>
      </c>
      <c r="M1410">
        <f>'raw data Crude oil'!M1411</f>
        <v>99.77</v>
      </c>
      <c r="N1410">
        <f>'raw data Crude oil'!N1411</f>
        <v>115.31</v>
      </c>
      <c r="O1410">
        <f>'raw data Crude oil'!O1411</f>
        <v>113.09</v>
      </c>
      <c r="P1410">
        <f>'raw data Crude oil'!P1411</f>
        <v>110.75</v>
      </c>
      <c r="Q1410">
        <f>'raw data Crude oil'!Q1411</f>
        <v>108.42</v>
      </c>
      <c r="R1410">
        <f>'raw data Crude oil'!R1411</f>
        <v>106.27</v>
      </c>
      <c r="S1410">
        <f>'raw data Crude oil'!S1411</f>
        <v>104.31</v>
      </c>
      <c r="T1410">
        <f>'raw data Crude oil'!T1411</f>
        <v>102.52</v>
      </c>
      <c r="U1410">
        <f>'raw data Crude oil'!U1411</f>
        <v>100.91</v>
      </c>
      <c r="V1410">
        <f>'raw data Crude oil'!V1411</f>
        <v>99.47</v>
      </c>
      <c r="W1410">
        <f>'raw data Crude oil'!W1411</f>
        <v>98.18</v>
      </c>
      <c r="X1410">
        <f>'raw data Crude oil'!X1411</f>
        <v>97.01</v>
      </c>
      <c r="Y1410">
        <f>'raw data Crude oil'!Y1411</f>
        <v>95.94</v>
      </c>
      <c r="Z1410">
        <f>'raw data Crude oil'!Z1411</f>
        <v>114.75</v>
      </c>
      <c r="AA1410">
        <f>'raw data Crude oil'!AA1411</f>
        <v>110.375</v>
      </c>
      <c r="AB1410">
        <f>'raw data Crude oil'!AB1411</f>
        <v>106.792</v>
      </c>
      <c r="AC1410">
        <f>'raw data Crude oil'!AC1411</f>
        <v>104.31699999999999</v>
      </c>
      <c r="AD1410">
        <f>'raw data Crude oil'!AD1411</f>
        <v>102.47799999999999</v>
      </c>
      <c r="AE1410">
        <f>'raw data Crude oil'!AE1411</f>
        <v>100.73099999999999</v>
      </c>
      <c r="AF1410">
        <f>'raw data Crude oil'!AF1411</f>
        <v>99.028000000000006</v>
      </c>
      <c r="AG1410">
        <f>'raw data Crude oil'!AG1411</f>
        <v>97.697000000000003</v>
      </c>
      <c r="AH1410">
        <f>'raw data Crude oil'!AH1411</f>
        <v>96.554000000000002</v>
      </c>
      <c r="AI1410">
        <f>'raw data Crude oil'!AI1411</f>
        <v>95.527000000000001</v>
      </c>
      <c r="AJ1410">
        <f>'raw data Crude oil'!AJ1411</f>
        <v>94.707999999999998</v>
      </c>
      <c r="AK1410">
        <f>'raw data Crude oil'!AK1411</f>
        <v>93.879000000000005</v>
      </c>
    </row>
    <row r="1411" spans="1:37" x14ac:dyDescent="0.3">
      <c r="A1411" s="18">
        <f>'raw data Crude oil'!A1412</f>
        <v>44728</v>
      </c>
      <c r="B1411">
        <f>'raw data Crude oil'!B1412</f>
        <v>119.81</v>
      </c>
      <c r="C1411">
        <f>'raw data Crude oil'!C1412</f>
        <v>117</v>
      </c>
      <c r="D1411">
        <f>'raw data Crude oil'!D1412</f>
        <v>114.4</v>
      </c>
      <c r="E1411">
        <f>'raw data Crude oil'!E1412</f>
        <v>112.29</v>
      </c>
      <c r="F1411">
        <f>'raw data Crude oil'!F1412</f>
        <v>110.41</v>
      </c>
      <c r="G1411">
        <f>'raw data Crude oil'!G1412</f>
        <v>108.63</v>
      </c>
      <c r="H1411">
        <f>'raw data Crude oil'!H1412</f>
        <v>106.98</v>
      </c>
      <c r="I1411">
        <f>'raw data Crude oil'!I1412</f>
        <v>105.5</v>
      </c>
      <c r="J1411">
        <f>'raw data Crude oil'!J1412</f>
        <v>104.14</v>
      </c>
      <c r="K1411">
        <f>'raw data Crude oil'!K1412</f>
        <v>102.97</v>
      </c>
      <c r="L1411">
        <f>'raw data Crude oil'!L1412</f>
        <v>101.94</v>
      </c>
      <c r="M1411">
        <f>'raw data Crude oil'!M1412</f>
        <v>100.92</v>
      </c>
      <c r="N1411">
        <f>'raw data Crude oil'!N1412</f>
        <v>117.59</v>
      </c>
      <c r="O1411">
        <f>'raw data Crude oil'!O1412</f>
        <v>115.25</v>
      </c>
      <c r="P1411">
        <f>'raw data Crude oil'!P1412</f>
        <v>112.7</v>
      </c>
      <c r="Q1411">
        <f>'raw data Crude oil'!Q1412</f>
        <v>110.25</v>
      </c>
      <c r="R1411">
        <f>'raw data Crude oil'!R1412</f>
        <v>108.05</v>
      </c>
      <c r="S1411">
        <f>'raw data Crude oil'!S1412</f>
        <v>106.04</v>
      </c>
      <c r="T1411">
        <f>'raw data Crude oil'!T1412</f>
        <v>104.18</v>
      </c>
      <c r="U1411">
        <f>'raw data Crude oil'!U1412</f>
        <v>102.48</v>
      </c>
      <c r="V1411">
        <f>'raw data Crude oil'!V1412</f>
        <v>100.95</v>
      </c>
      <c r="W1411">
        <f>'raw data Crude oil'!W1412</f>
        <v>99.58</v>
      </c>
      <c r="X1411">
        <f>'raw data Crude oil'!X1412</f>
        <v>98.34</v>
      </c>
      <c r="Y1411">
        <f>'raw data Crude oil'!Y1412</f>
        <v>97.21</v>
      </c>
      <c r="Z1411">
        <f>'raw data Crude oil'!Z1412</f>
        <v>115.55800000000001</v>
      </c>
      <c r="AA1411">
        <f>'raw data Crude oil'!AA1412</f>
        <v>112.066</v>
      </c>
      <c r="AB1411">
        <f>'raw data Crude oil'!AB1412</f>
        <v>108.58799999999999</v>
      </c>
      <c r="AC1411">
        <f>'raw data Crude oil'!AC1412</f>
        <v>106.015</v>
      </c>
      <c r="AD1411">
        <f>'raw data Crude oil'!AD1412</f>
        <v>104.105</v>
      </c>
      <c r="AE1411">
        <f>'raw data Crude oil'!AE1412</f>
        <v>102.295</v>
      </c>
      <c r="AF1411">
        <f>'raw data Crude oil'!AF1412</f>
        <v>100.529</v>
      </c>
      <c r="AG1411">
        <f>'raw data Crude oil'!AG1412</f>
        <v>99.135000000000005</v>
      </c>
      <c r="AH1411">
        <f>'raw data Crude oil'!AH1412</f>
        <v>97.811999999999998</v>
      </c>
      <c r="AI1411">
        <f>'raw data Crude oil'!AI1412</f>
        <v>96.745000000000005</v>
      </c>
      <c r="AJ1411">
        <f>'raw data Crude oil'!AJ1412</f>
        <v>95.786000000000001</v>
      </c>
      <c r="AK1411">
        <f>'raw data Crude oil'!AK1412</f>
        <v>94.957999999999998</v>
      </c>
    </row>
    <row r="1412" spans="1:37" x14ac:dyDescent="0.3">
      <c r="A1412" s="18">
        <f>'raw data Crude oil'!A1413</f>
        <v>44729</v>
      </c>
      <c r="B1412">
        <f>'raw data Crude oil'!B1413</f>
        <v>113.12</v>
      </c>
      <c r="C1412">
        <f>'raw data Crude oil'!C1413</f>
        <v>110.39</v>
      </c>
      <c r="D1412">
        <f>'raw data Crude oil'!D1413</f>
        <v>107.92</v>
      </c>
      <c r="E1412">
        <f>'raw data Crude oil'!E1413</f>
        <v>105.95</v>
      </c>
      <c r="F1412">
        <f>'raw data Crude oil'!F1413</f>
        <v>104.24</v>
      </c>
      <c r="G1412">
        <f>'raw data Crude oil'!G1413</f>
        <v>102.65</v>
      </c>
      <c r="H1412">
        <f>'raw data Crude oil'!H1413</f>
        <v>101.21</v>
      </c>
      <c r="I1412">
        <f>'raw data Crude oil'!I1413</f>
        <v>99.94</v>
      </c>
      <c r="J1412">
        <f>'raw data Crude oil'!J1413</f>
        <v>98.81</v>
      </c>
      <c r="K1412">
        <f>'raw data Crude oil'!K1413</f>
        <v>97.84</v>
      </c>
      <c r="L1412">
        <f>'raw data Crude oil'!L1413</f>
        <v>97.02</v>
      </c>
      <c r="M1412">
        <f>'raw data Crude oil'!M1413</f>
        <v>96.19</v>
      </c>
      <c r="N1412">
        <f>'raw data Crude oil'!N1413</f>
        <v>109.56</v>
      </c>
      <c r="O1412">
        <f>'raw data Crude oil'!O1413</f>
        <v>107.99</v>
      </c>
      <c r="P1412">
        <f>'raw data Crude oil'!P1413</f>
        <v>105.78</v>
      </c>
      <c r="Q1412">
        <f>'raw data Crude oil'!Q1413</f>
        <v>103.57</v>
      </c>
      <c r="R1412">
        <f>'raw data Crude oil'!R1413</f>
        <v>101.56</v>
      </c>
      <c r="S1412">
        <f>'raw data Crude oil'!S1413</f>
        <v>99.76</v>
      </c>
      <c r="T1412">
        <f>'raw data Crude oil'!T1413</f>
        <v>98.12</v>
      </c>
      <c r="U1412">
        <f>'raw data Crude oil'!U1413</f>
        <v>96.64</v>
      </c>
      <c r="V1412">
        <f>'raw data Crude oil'!V1413</f>
        <v>95.33</v>
      </c>
      <c r="W1412">
        <f>'raw data Crude oil'!W1413</f>
        <v>94.15</v>
      </c>
      <c r="X1412">
        <f>'raw data Crude oil'!X1413</f>
        <v>93.09</v>
      </c>
      <c r="Y1412">
        <f>'raw data Crude oil'!Y1413</f>
        <v>92.13</v>
      </c>
      <c r="Z1412">
        <f>'raw data Crude oil'!Z1413</f>
        <v>113.004</v>
      </c>
      <c r="AA1412">
        <f>'raw data Crude oil'!AA1413</f>
        <v>105.572</v>
      </c>
      <c r="AB1412">
        <f>'raw data Crude oil'!AB1413</f>
        <v>102.084</v>
      </c>
      <c r="AC1412">
        <f>'raw data Crude oil'!AC1413</f>
        <v>99.701999999999998</v>
      </c>
      <c r="AD1412">
        <f>'raw data Crude oil'!AD1413</f>
        <v>97.894000000000005</v>
      </c>
      <c r="AE1412">
        <f>'raw data Crude oil'!AE1413</f>
        <v>96.215000000000003</v>
      </c>
      <c r="AF1412">
        <f>'raw data Crude oil'!AF1413</f>
        <v>94.638999999999996</v>
      </c>
      <c r="AG1412">
        <f>'raw data Crude oil'!AG1413</f>
        <v>93.396000000000001</v>
      </c>
      <c r="AH1412">
        <f>'raw data Crude oil'!AH1413</f>
        <v>92.352000000000004</v>
      </c>
      <c r="AI1412">
        <f>'raw data Crude oil'!AI1413</f>
        <v>91.474000000000004</v>
      </c>
      <c r="AJ1412">
        <f>'raw data Crude oil'!AJ1413</f>
        <v>90.796000000000006</v>
      </c>
      <c r="AK1412">
        <f>'raw data Crude oil'!AK1413</f>
        <v>90.094999999999999</v>
      </c>
    </row>
    <row r="1413" spans="1:37" x14ac:dyDescent="0.3">
      <c r="A1413" s="18">
        <f>'raw data Crude oil'!A1414</f>
        <v>44732</v>
      </c>
      <c r="B1413">
        <f>'raw data Crude oil'!B1414</f>
        <v>114.13</v>
      </c>
      <c r="C1413">
        <f>'raw data Crude oil'!C1414</f>
        <v>111.36</v>
      </c>
      <c r="D1413">
        <f>'raw data Crude oil'!D1414</f>
        <v>108.88</v>
      </c>
      <c r="E1413">
        <f>'raw data Crude oil'!E1414</f>
        <v>106.82</v>
      </c>
      <c r="F1413">
        <f>'raw data Crude oil'!F1414</f>
        <v>105.08</v>
      </c>
      <c r="G1413">
        <f>'raw data Crude oil'!G1414</f>
        <v>103.49</v>
      </c>
      <c r="H1413">
        <f>'raw data Crude oil'!H1414</f>
        <v>102.04</v>
      </c>
      <c r="I1413">
        <f>'raw data Crude oil'!I1414</f>
        <v>100.76</v>
      </c>
      <c r="J1413">
        <f>'raw data Crude oil'!J1414</f>
        <v>99.61</v>
      </c>
      <c r="K1413">
        <f>'raw data Crude oil'!K1414</f>
        <v>98.64</v>
      </c>
      <c r="L1413">
        <f>'raw data Crude oil'!L1414</f>
        <v>97.81</v>
      </c>
      <c r="M1413">
        <f>'raw data Crude oil'!M1414</f>
        <v>96.96</v>
      </c>
      <c r="N1413">
        <f>'raw data Crude oil'!N1414</f>
        <v>109.56</v>
      </c>
      <c r="O1413">
        <f>'raw data Crude oil'!O1414</f>
        <v>107.99</v>
      </c>
      <c r="P1413">
        <f>'raw data Crude oil'!P1414</f>
        <v>105.78</v>
      </c>
      <c r="Q1413">
        <f>'raw data Crude oil'!Q1414</f>
        <v>103.57</v>
      </c>
      <c r="R1413">
        <f>'raw data Crude oil'!R1414</f>
        <v>101.56</v>
      </c>
      <c r="S1413">
        <f>'raw data Crude oil'!S1414</f>
        <v>99.76</v>
      </c>
      <c r="T1413">
        <f>'raw data Crude oil'!T1414</f>
        <v>98.12</v>
      </c>
      <c r="U1413">
        <f>'raw data Crude oil'!U1414</f>
        <v>96.64</v>
      </c>
      <c r="V1413">
        <f>'raw data Crude oil'!V1414</f>
        <v>95.33</v>
      </c>
      <c r="W1413">
        <f>'raw data Crude oil'!W1414</f>
        <v>94.15</v>
      </c>
      <c r="X1413">
        <f>'raw data Crude oil'!X1414</f>
        <v>93.09</v>
      </c>
      <c r="Y1413">
        <f>'raw data Crude oil'!Y1414</f>
        <v>92.13</v>
      </c>
      <c r="Z1413">
        <f>'raw data Crude oil'!Z1414</f>
        <v>113.19199999999999</v>
      </c>
      <c r="AA1413">
        <f>'raw data Crude oil'!AA1414</f>
        <v>106.41200000000001</v>
      </c>
      <c r="AB1413">
        <f>'raw data Crude oil'!AB1414</f>
        <v>102.94</v>
      </c>
      <c r="AC1413">
        <f>'raw data Crude oil'!AC1414</f>
        <v>100.491</v>
      </c>
      <c r="AD1413">
        <f>'raw data Crude oil'!AD1414</f>
        <v>98.724000000000004</v>
      </c>
      <c r="AE1413">
        <f>'raw data Crude oil'!AE1414</f>
        <v>97.073999999999998</v>
      </c>
      <c r="AF1413">
        <f>'raw data Crude oil'!AF1414</f>
        <v>95.468000000000004</v>
      </c>
      <c r="AG1413">
        <f>'raw data Crude oil'!AG1414</f>
        <v>94.245000000000005</v>
      </c>
      <c r="AH1413">
        <f>'raw data Crude oil'!AH1414</f>
        <v>93.182000000000002</v>
      </c>
      <c r="AI1413">
        <f>'raw data Crude oil'!AI1414</f>
        <v>92.304000000000002</v>
      </c>
      <c r="AJ1413">
        <f>'raw data Crude oil'!AJ1414</f>
        <v>91.584999999999994</v>
      </c>
      <c r="AK1413">
        <f>'raw data Crude oil'!AK1414</f>
        <v>90.884</v>
      </c>
    </row>
    <row r="1414" spans="1:37" x14ac:dyDescent="0.3">
      <c r="A1414" s="18">
        <f>'raw data Crude oil'!A1415</f>
        <v>44733</v>
      </c>
      <c r="B1414">
        <f>'raw data Crude oil'!B1415</f>
        <v>114.65</v>
      </c>
      <c r="C1414">
        <f>'raw data Crude oil'!C1415</f>
        <v>111.77</v>
      </c>
      <c r="D1414">
        <f>'raw data Crude oil'!D1415</f>
        <v>109.19</v>
      </c>
      <c r="E1414">
        <f>'raw data Crude oil'!E1415</f>
        <v>107.09</v>
      </c>
      <c r="F1414">
        <f>'raw data Crude oil'!F1415</f>
        <v>105.25</v>
      </c>
      <c r="G1414">
        <f>'raw data Crude oil'!G1415</f>
        <v>103.54</v>
      </c>
      <c r="H1414">
        <f>'raw data Crude oil'!H1415</f>
        <v>102.01</v>
      </c>
      <c r="I1414">
        <f>'raw data Crude oil'!I1415</f>
        <v>100.65</v>
      </c>
      <c r="J1414">
        <f>'raw data Crude oil'!J1415</f>
        <v>99.45</v>
      </c>
      <c r="K1414">
        <f>'raw data Crude oil'!K1415</f>
        <v>98.44</v>
      </c>
      <c r="L1414">
        <f>'raw data Crude oil'!L1415</f>
        <v>97.57</v>
      </c>
      <c r="M1414">
        <f>'raw data Crude oil'!M1415</f>
        <v>96.68</v>
      </c>
      <c r="N1414">
        <f>'raw data Crude oil'!N1415</f>
        <v>110.65</v>
      </c>
      <c r="O1414">
        <f>'raw data Crude oil'!O1415</f>
        <v>109.52</v>
      </c>
      <c r="P1414">
        <f>'raw data Crude oil'!P1415</f>
        <v>107.34</v>
      </c>
      <c r="Q1414">
        <f>'raw data Crude oil'!Q1415</f>
        <v>105.06</v>
      </c>
      <c r="R1414">
        <f>'raw data Crude oil'!R1415</f>
        <v>102.97</v>
      </c>
      <c r="S1414">
        <f>'raw data Crude oil'!S1415</f>
        <v>101.07</v>
      </c>
      <c r="T1414">
        <f>'raw data Crude oil'!T1415</f>
        <v>99.35</v>
      </c>
      <c r="U1414">
        <f>'raw data Crude oil'!U1415</f>
        <v>97.78</v>
      </c>
      <c r="V1414">
        <f>'raw data Crude oil'!V1415</f>
        <v>96.37</v>
      </c>
      <c r="W1414">
        <f>'raw data Crude oil'!W1415</f>
        <v>95.12</v>
      </c>
      <c r="X1414">
        <f>'raw data Crude oil'!X1415</f>
        <v>93.99</v>
      </c>
      <c r="Y1414">
        <f>'raw data Crude oil'!Y1415</f>
        <v>92.97</v>
      </c>
      <c r="Z1414">
        <f>'raw data Crude oil'!Z1415</f>
        <v>113.29300000000001</v>
      </c>
      <c r="AA1414">
        <f>'raw data Crude oil'!AA1415</f>
        <v>106.947</v>
      </c>
      <c r="AB1414">
        <f>'raw data Crude oil'!AB1415</f>
        <v>103.449</v>
      </c>
      <c r="AC1414">
        <f>'raw data Crude oil'!AC1415</f>
        <v>100.93600000000001</v>
      </c>
      <c r="AD1414">
        <f>'raw data Crude oil'!AD1415</f>
        <v>99.028999999999996</v>
      </c>
      <c r="AE1414">
        <f>'raw data Crude oil'!AE1415</f>
        <v>97.25</v>
      </c>
      <c r="AF1414">
        <f>'raw data Crude oil'!AF1415</f>
        <v>95.52</v>
      </c>
      <c r="AG1414">
        <f>'raw data Crude oil'!AG1415</f>
        <v>94.183000000000007</v>
      </c>
      <c r="AH1414">
        <f>'raw data Crude oil'!AH1415</f>
        <v>93.02</v>
      </c>
      <c r="AI1414">
        <f>'raw data Crude oil'!AI1415</f>
        <v>92.102000000000004</v>
      </c>
      <c r="AJ1414">
        <f>'raw data Crude oil'!AJ1415</f>
        <v>91.343000000000004</v>
      </c>
      <c r="AK1414">
        <f>'raw data Crude oil'!AK1415</f>
        <v>90.602999999999994</v>
      </c>
    </row>
    <row r="1415" spans="1:37" x14ac:dyDescent="0.3">
      <c r="A1415" s="18">
        <f>'raw data Crude oil'!A1416</f>
        <v>44734</v>
      </c>
      <c r="B1415">
        <f>'raw data Crude oil'!B1416</f>
        <v>111.74</v>
      </c>
      <c r="C1415">
        <f>'raw data Crude oil'!C1416</f>
        <v>108.65</v>
      </c>
      <c r="D1415">
        <f>'raw data Crude oil'!D1416</f>
        <v>106.15</v>
      </c>
      <c r="E1415">
        <f>'raw data Crude oil'!E1416</f>
        <v>104.16</v>
      </c>
      <c r="F1415">
        <f>'raw data Crude oil'!F1416</f>
        <v>102.43</v>
      </c>
      <c r="G1415">
        <f>'raw data Crude oil'!G1416</f>
        <v>100.85</v>
      </c>
      <c r="H1415">
        <f>'raw data Crude oil'!H1416</f>
        <v>99.45</v>
      </c>
      <c r="I1415">
        <f>'raw data Crude oil'!I1416</f>
        <v>98.21</v>
      </c>
      <c r="J1415">
        <f>'raw data Crude oil'!J1416</f>
        <v>97.12</v>
      </c>
      <c r="K1415">
        <f>'raw data Crude oil'!K1416</f>
        <v>96.21</v>
      </c>
      <c r="L1415">
        <f>'raw data Crude oil'!L1416</f>
        <v>95.4</v>
      </c>
      <c r="M1415">
        <f>'raw data Crude oil'!M1416</f>
        <v>94.57</v>
      </c>
      <c r="N1415">
        <f>'raw data Crude oil'!N1416</f>
        <v>106.19</v>
      </c>
      <c r="O1415">
        <f>'raw data Crude oil'!O1416</f>
        <v>103.99</v>
      </c>
      <c r="P1415">
        <f>'raw data Crude oil'!P1416</f>
        <v>101.83</v>
      </c>
      <c r="Q1415">
        <f>'raw data Crude oil'!Q1416</f>
        <v>99.9</v>
      </c>
      <c r="R1415">
        <f>'raw data Crude oil'!R1416</f>
        <v>98.15</v>
      </c>
      <c r="S1415">
        <f>'raw data Crude oil'!S1416</f>
        <v>96.56</v>
      </c>
      <c r="T1415">
        <f>'raw data Crude oil'!T1416</f>
        <v>95.11</v>
      </c>
      <c r="U1415">
        <f>'raw data Crude oil'!U1416</f>
        <v>93.82</v>
      </c>
      <c r="V1415">
        <f>'raw data Crude oil'!V1416</f>
        <v>92.67</v>
      </c>
      <c r="W1415">
        <f>'raw data Crude oil'!W1416</f>
        <v>91.63</v>
      </c>
      <c r="X1415">
        <f>'raw data Crude oil'!X1416</f>
        <v>90.7</v>
      </c>
      <c r="Y1415">
        <f>'raw data Crude oil'!Y1416</f>
        <v>89.81</v>
      </c>
      <c r="Z1415">
        <f>'raw data Crude oil'!Z1416</f>
        <v>112.389</v>
      </c>
      <c r="AA1415">
        <f>'raw data Crude oil'!AA1416</f>
        <v>104.181</v>
      </c>
      <c r="AB1415">
        <f>'raw data Crude oil'!AB1416</f>
        <v>100.753</v>
      </c>
      <c r="AC1415">
        <f>'raw data Crude oil'!AC1416</f>
        <v>98.260999999999996</v>
      </c>
      <c r="AD1415">
        <f>'raw data Crude oil'!AD1416</f>
        <v>96.375</v>
      </c>
      <c r="AE1415">
        <f>'raw data Crude oil'!AE1416</f>
        <v>94.715999999999994</v>
      </c>
      <c r="AF1415">
        <f>'raw data Crude oil'!AF1416</f>
        <v>93.242000000000004</v>
      </c>
      <c r="AG1415">
        <f>'raw data Crude oil'!AG1416</f>
        <v>91.988</v>
      </c>
      <c r="AH1415">
        <f>'raw data Crude oil'!AH1416</f>
        <v>90.855000000000004</v>
      </c>
      <c r="AI1415">
        <f>'raw data Crude oil'!AI1416</f>
        <v>89.944999999999993</v>
      </c>
      <c r="AJ1415">
        <f>'raw data Crude oil'!AJ1416</f>
        <v>89.256</v>
      </c>
      <c r="AK1415">
        <f>'raw data Crude oil'!AK1416</f>
        <v>88.596000000000004</v>
      </c>
    </row>
    <row r="1416" spans="1:37" x14ac:dyDescent="0.3">
      <c r="A1416" s="18">
        <f>'raw data Crude oil'!A1417</f>
        <v>44735</v>
      </c>
      <c r="B1416">
        <f>'raw data Crude oil'!B1417</f>
        <v>110.05</v>
      </c>
      <c r="C1416">
        <f>'raw data Crude oil'!C1417</f>
        <v>106.46</v>
      </c>
      <c r="D1416">
        <f>'raw data Crude oil'!D1417</f>
        <v>103.69</v>
      </c>
      <c r="E1416">
        <f>'raw data Crude oil'!E1417</f>
        <v>101.42</v>
      </c>
      <c r="F1416">
        <f>'raw data Crude oil'!F1417</f>
        <v>99.53</v>
      </c>
      <c r="G1416">
        <f>'raw data Crude oil'!G1417</f>
        <v>97.85</v>
      </c>
      <c r="H1416">
        <f>'raw data Crude oil'!H1417</f>
        <v>96.37</v>
      </c>
      <c r="I1416">
        <f>'raw data Crude oil'!I1417</f>
        <v>95.08</v>
      </c>
      <c r="J1416">
        <f>'raw data Crude oil'!J1417</f>
        <v>93.96</v>
      </c>
      <c r="K1416">
        <f>'raw data Crude oil'!K1417</f>
        <v>93.02</v>
      </c>
      <c r="L1416">
        <f>'raw data Crude oil'!L1417</f>
        <v>92.2</v>
      </c>
      <c r="M1416">
        <f>'raw data Crude oil'!M1417</f>
        <v>91.37</v>
      </c>
      <c r="N1416">
        <f>'raw data Crude oil'!N1417</f>
        <v>104.27</v>
      </c>
      <c r="O1416">
        <f>'raw data Crude oil'!O1417</f>
        <v>101.58</v>
      </c>
      <c r="P1416">
        <f>'raw data Crude oil'!P1417</f>
        <v>99.05</v>
      </c>
      <c r="Q1416">
        <f>'raw data Crude oil'!Q1417</f>
        <v>96.88</v>
      </c>
      <c r="R1416">
        <f>'raw data Crude oil'!R1417</f>
        <v>94.97</v>
      </c>
      <c r="S1416">
        <f>'raw data Crude oil'!S1417</f>
        <v>93.29</v>
      </c>
      <c r="T1416">
        <f>'raw data Crude oil'!T1417</f>
        <v>91.8</v>
      </c>
      <c r="U1416">
        <f>'raw data Crude oil'!U1417</f>
        <v>90.47</v>
      </c>
      <c r="V1416">
        <f>'raw data Crude oil'!V1417</f>
        <v>89.3</v>
      </c>
      <c r="W1416">
        <f>'raw data Crude oil'!W1417</f>
        <v>88.26</v>
      </c>
      <c r="X1416">
        <f>'raw data Crude oil'!X1417</f>
        <v>87.31</v>
      </c>
      <c r="Y1416">
        <f>'raw data Crude oil'!Y1417</f>
        <v>86.42</v>
      </c>
      <c r="Z1416">
        <f>'raw data Crude oil'!Z1417</f>
        <v>111.88500000000001</v>
      </c>
      <c r="AA1416">
        <f>'raw data Crude oil'!AA1417</f>
        <v>102.018</v>
      </c>
      <c r="AB1416">
        <f>'raw data Crude oil'!AB1417</f>
        <v>98.421000000000006</v>
      </c>
      <c r="AC1416">
        <f>'raw data Crude oil'!AC1417</f>
        <v>95.744</v>
      </c>
      <c r="AD1416">
        <f>'raw data Crude oil'!AD1417</f>
        <v>93.66</v>
      </c>
      <c r="AE1416">
        <f>'raw data Crude oil'!AE1417</f>
        <v>91.863</v>
      </c>
      <c r="AF1416">
        <f>'raw data Crude oil'!AF1417</f>
        <v>90.227000000000004</v>
      </c>
      <c r="AG1416">
        <f>'raw data Crude oil'!AG1417</f>
        <v>88.977000000000004</v>
      </c>
      <c r="AH1416">
        <f>'raw data Crude oil'!AH1417</f>
        <v>87.813000000000002</v>
      </c>
      <c r="AI1416">
        <f>'raw data Crude oil'!AI1417</f>
        <v>86.853999999999999</v>
      </c>
      <c r="AJ1416">
        <f>'raw data Crude oil'!AJ1417</f>
        <v>86.055999999999997</v>
      </c>
      <c r="AK1416">
        <f>'raw data Crude oil'!AK1417</f>
        <v>85.397000000000006</v>
      </c>
    </row>
    <row r="1417" spans="1:37" x14ac:dyDescent="0.3">
      <c r="A1417" s="18">
        <f>'raw data Crude oil'!A1418</f>
        <v>44736</v>
      </c>
      <c r="B1417">
        <f>'raw data Crude oil'!B1418</f>
        <v>113.12</v>
      </c>
      <c r="C1417">
        <f>'raw data Crude oil'!C1418</f>
        <v>109.1</v>
      </c>
      <c r="D1417">
        <f>'raw data Crude oil'!D1418</f>
        <v>106.09</v>
      </c>
      <c r="E1417">
        <f>'raw data Crude oil'!E1418</f>
        <v>103.61</v>
      </c>
      <c r="F1417">
        <f>'raw data Crude oil'!F1418</f>
        <v>101.56</v>
      </c>
      <c r="G1417">
        <f>'raw data Crude oil'!G1418</f>
        <v>99.74</v>
      </c>
      <c r="H1417">
        <f>'raw data Crude oil'!H1418</f>
        <v>98.18</v>
      </c>
      <c r="I1417">
        <f>'raw data Crude oil'!I1418</f>
        <v>96.86</v>
      </c>
      <c r="J1417">
        <f>'raw data Crude oil'!J1418</f>
        <v>95.73</v>
      </c>
      <c r="K1417">
        <f>'raw data Crude oil'!K1418</f>
        <v>94.79</v>
      </c>
      <c r="L1417">
        <f>'raw data Crude oil'!L1418</f>
        <v>93.98</v>
      </c>
      <c r="M1417">
        <f>'raw data Crude oil'!M1418</f>
        <v>93.16</v>
      </c>
      <c r="N1417">
        <f>'raw data Crude oil'!N1418</f>
        <v>107.62</v>
      </c>
      <c r="O1417">
        <f>'raw data Crude oil'!O1418</f>
        <v>104.45</v>
      </c>
      <c r="P1417">
        <f>'raw data Crude oil'!P1418</f>
        <v>101.47</v>
      </c>
      <c r="Q1417">
        <f>'raw data Crude oil'!Q1418</f>
        <v>98.97</v>
      </c>
      <c r="R1417">
        <f>'raw data Crude oil'!R1418</f>
        <v>96.83</v>
      </c>
      <c r="S1417">
        <f>'raw data Crude oil'!S1418</f>
        <v>94.99</v>
      </c>
      <c r="T1417">
        <f>'raw data Crude oil'!T1418</f>
        <v>93.4</v>
      </c>
      <c r="U1417">
        <f>'raw data Crude oil'!U1418</f>
        <v>92.05</v>
      </c>
      <c r="V1417">
        <f>'raw data Crude oil'!V1418</f>
        <v>90.89</v>
      </c>
      <c r="W1417">
        <f>'raw data Crude oil'!W1418</f>
        <v>89.87</v>
      </c>
      <c r="X1417">
        <f>'raw data Crude oil'!X1418</f>
        <v>88.95</v>
      </c>
      <c r="Y1417">
        <f>'raw data Crude oil'!Y1418</f>
        <v>88.09</v>
      </c>
      <c r="Z1417">
        <f>'raw data Crude oil'!Z1418</f>
        <v>112.544</v>
      </c>
      <c r="AA1417">
        <f>'raw data Crude oil'!AA1418</f>
        <v>104.837</v>
      </c>
      <c r="AB1417">
        <f>'raw data Crude oil'!AB1418</f>
        <v>101.032</v>
      </c>
      <c r="AC1417">
        <f>'raw data Crude oil'!AC1418</f>
        <v>98.022000000000006</v>
      </c>
      <c r="AD1417">
        <f>'raw data Crude oil'!AD1418</f>
        <v>95.778000000000006</v>
      </c>
      <c r="AE1417">
        <f>'raw data Crude oil'!AE1418</f>
        <v>93.879000000000005</v>
      </c>
      <c r="AF1417">
        <f>'raw data Crude oil'!AF1418</f>
        <v>92.153999999999996</v>
      </c>
      <c r="AG1417">
        <f>'raw data Crude oil'!AG1418</f>
        <v>90.775999999999996</v>
      </c>
      <c r="AH1417">
        <f>'raw data Crude oil'!AH1418</f>
        <v>89.673000000000002</v>
      </c>
      <c r="AI1417">
        <f>'raw data Crude oil'!AI1418</f>
        <v>88.765000000000001</v>
      </c>
      <c r="AJ1417">
        <f>'raw data Crude oil'!AJ1418</f>
        <v>88.007000000000005</v>
      </c>
      <c r="AK1417">
        <f>'raw data Crude oil'!AK1418</f>
        <v>87.296999999999997</v>
      </c>
    </row>
    <row r="1418" spans="1:37" x14ac:dyDescent="0.3">
      <c r="A1418" s="18">
        <f>'raw data Crude oil'!A1419</f>
        <v>44739</v>
      </c>
      <c r="B1418">
        <f>'raw data Crude oil'!B1419</f>
        <v>115.09</v>
      </c>
      <c r="C1418">
        <f>'raw data Crude oil'!C1419</f>
        <v>110.98</v>
      </c>
      <c r="D1418">
        <f>'raw data Crude oil'!D1419</f>
        <v>107.88</v>
      </c>
      <c r="E1418">
        <f>'raw data Crude oil'!E1419</f>
        <v>105.32</v>
      </c>
      <c r="F1418">
        <f>'raw data Crude oil'!F1419</f>
        <v>103.19</v>
      </c>
      <c r="G1418">
        <f>'raw data Crude oil'!G1419</f>
        <v>101.28</v>
      </c>
      <c r="H1418">
        <f>'raw data Crude oil'!H1419</f>
        <v>99.65</v>
      </c>
      <c r="I1418">
        <f>'raw data Crude oil'!I1419</f>
        <v>98.29</v>
      </c>
      <c r="J1418">
        <f>'raw data Crude oil'!J1419</f>
        <v>97.14</v>
      </c>
      <c r="K1418">
        <f>'raw data Crude oil'!K1419</f>
        <v>96.2</v>
      </c>
      <c r="L1418">
        <f>'raw data Crude oil'!L1419</f>
        <v>95.37</v>
      </c>
      <c r="M1418">
        <f>'raw data Crude oil'!M1419</f>
        <v>94.57</v>
      </c>
      <c r="N1418">
        <f>'raw data Crude oil'!N1419</f>
        <v>109.57</v>
      </c>
      <c r="O1418">
        <f>'raw data Crude oil'!O1419</f>
        <v>106.38</v>
      </c>
      <c r="P1418">
        <f>'raw data Crude oil'!P1419</f>
        <v>103.3</v>
      </c>
      <c r="Q1418">
        <f>'raw data Crude oil'!Q1419</f>
        <v>100.68</v>
      </c>
      <c r="R1418">
        <f>'raw data Crude oil'!R1419</f>
        <v>98.44</v>
      </c>
      <c r="S1418">
        <f>'raw data Crude oil'!S1419</f>
        <v>96.5</v>
      </c>
      <c r="T1418">
        <f>'raw data Crude oil'!T1419</f>
        <v>94.86</v>
      </c>
      <c r="U1418">
        <f>'raw data Crude oil'!U1419</f>
        <v>93.46</v>
      </c>
      <c r="V1418">
        <f>'raw data Crude oil'!V1419</f>
        <v>92.27</v>
      </c>
      <c r="W1418">
        <f>'raw data Crude oil'!W1419</f>
        <v>91.22</v>
      </c>
      <c r="X1418">
        <f>'raw data Crude oil'!X1419</f>
        <v>90.28</v>
      </c>
      <c r="Y1418">
        <f>'raw data Crude oil'!Y1419</f>
        <v>89.39</v>
      </c>
      <c r="Z1418">
        <f>'raw data Crude oil'!Z1419</f>
        <v>112.923</v>
      </c>
      <c r="AA1418">
        <f>'raw data Crude oil'!AA1419</f>
        <v>106.83199999999999</v>
      </c>
      <c r="AB1418">
        <f>'raw data Crude oil'!AB1419</f>
        <v>102.90900000000001</v>
      </c>
      <c r="AC1418">
        <f>'raw data Crude oil'!AC1419</f>
        <v>99.772999999999996</v>
      </c>
      <c r="AD1418">
        <f>'raw data Crude oil'!AD1419</f>
        <v>97.418999999999997</v>
      </c>
      <c r="AE1418">
        <f>'raw data Crude oil'!AE1419</f>
        <v>95.385999999999996</v>
      </c>
      <c r="AF1418">
        <f>'raw data Crude oil'!AF1419</f>
        <v>93.65</v>
      </c>
      <c r="AG1418">
        <f>'raw data Crude oil'!AG1419</f>
        <v>92.254999999999995</v>
      </c>
      <c r="AH1418">
        <f>'raw data Crude oil'!AH1419</f>
        <v>91.132999999999996</v>
      </c>
      <c r="AI1418">
        <f>'raw data Crude oil'!AI1419</f>
        <v>90.213999999999999</v>
      </c>
      <c r="AJ1418">
        <f>'raw data Crude oil'!AJ1419</f>
        <v>89.397999999999996</v>
      </c>
      <c r="AK1418">
        <f>'raw data Crude oil'!AK1419</f>
        <v>88.736999999999995</v>
      </c>
    </row>
    <row r="1419" spans="1:37" x14ac:dyDescent="0.3">
      <c r="A1419" s="18">
        <f>'raw data Crude oil'!A1420</f>
        <v>44740</v>
      </c>
      <c r="B1419">
        <f>'raw data Crude oil'!B1420</f>
        <v>117.98</v>
      </c>
      <c r="C1419">
        <f>'raw data Crude oil'!C1420</f>
        <v>113.8</v>
      </c>
      <c r="D1419">
        <f>'raw data Crude oil'!D1420</f>
        <v>110.78</v>
      </c>
      <c r="E1419">
        <f>'raw data Crude oil'!E1420</f>
        <v>108.27</v>
      </c>
      <c r="F1419">
        <f>'raw data Crude oil'!F1420</f>
        <v>106.11</v>
      </c>
      <c r="G1419">
        <f>'raw data Crude oil'!G1420</f>
        <v>104.15</v>
      </c>
      <c r="H1419">
        <f>'raw data Crude oil'!H1420</f>
        <v>102.46</v>
      </c>
      <c r="I1419">
        <f>'raw data Crude oil'!I1420</f>
        <v>101.07</v>
      </c>
      <c r="J1419">
        <f>'raw data Crude oil'!J1420</f>
        <v>99.87</v>
      </c>
      <c r="K1419">
        <f>'raw data Crude oil'!K1420</f>
        <v>98.88</v>
      </c>
      <c r="L1419">
        <f>'raw data Crude oil'!L1420</f>
        <v>97.98</v>
      </c>
      <c r="M1419">
        <f>'raw data Crude oil'!M1420</f>
        <v>97.13</v>
      </c>
      <c r="N1419">
        <f>'raw data Crude oil'!N1420</f>
        <v>111.76</v>
      </c>
      <c r="O1419">
        <f>'raw data Crude oil'!O1420</f>
        <v>108.89</v>
      </c>
      <c r="P1419">
        <f>'raw data Crude oil'!P1420</f>
        <v>105.99</v>
      </c>
      <c r="Q1419">
        <f>'raw data Crude oil'!Q1420</f>
        <v>103.43</v>
      </c>
      <c r="R1419">
        <f>'raw data Crude oil'!R1420</f>
        <v>101.18</v>
      </c>
      <c r="S1419">
        <f>'raw data Crude oil'!S1420</f>
        <v>99.21</v>
      </c>
      <c r="T1419">
        <f>'raw data Crude oil'!T1420</f>
        <v>97.52</v>
      </c>
      <c r="U1419">
        <f>'raw data Crude oil'!U1420</f>
        <v>96.07</v>
      </c>
      <c r="V1419">
        <f>'raw data Crude oil'!V1420</f>
        <v>94.83</v>
      </c>
      <c r="W1419">
        <f>'raw data Crude oil'!W1420</f>
        <v>93.75</v>
      </c>
      <c r="X1419">
        <f>'raw data Crude oil'!X1420</f>
        <v>92.77</v>
      </c>
      <c r="Y1419">
        <f>'raw data Crude oil'!Y1420</f>
        <v>91.84</v>
      </c>
      <c r="Z1419">
        <f>'raw data Crude oil'!Z1420</f>
        <v>113.26600000000001</v>
      </c>
      <c r="AA1419">
        <f>'raw data Crude oil'!AA1420</f>
        <v>109.536</v>
      </c>
      <c r="AB1419">
        <f>'raw data Crude oil'!AB1420</f>
        <v>105.59099999999999</v>
      </c>
      <c r="AC1419">
        <f>'raw data Crude oil'!AC1420</f>
        <v>102.452</v>
      </c>
      <c r="AD1419">
        <f>'raw data Crude oil'!AD1420</f>
        <v>100.087</v>
      </c>
      <c r="AE1419">
        <f>'raw data Crude oil'!AE1420</f>
        <v>98.043000000000006</v>
      </c>
      <c r="AF1419">
        <f>'raw data Crude oil'!AF1420</f>
        <v>96.317999999999998</v>
      </c>
      <c r="AG1419">
        <f>'raw data Crude oil'!AG1420</f>
        <v>95.013000000000005</v>
      </c>
      <c r="AH1419">
        <f>'raw data Crude oil'!AH1420</f>
        <v>93.861000000000004</v>
      </c>
      <c r="AI1419">
        <f>'raw data Crude oil'!AI1420</f>
        <v>92.891000000000005</v>
      </c>
      <c r="AJ1419">
        <f>'raw data Crude oil'!AJ1420</f>
        <v>91.984999999999999</v>
      </c>
      <c r="AK1419">
        <f>'raw data Crude oil'!AK1420</f>
        <v>91.275999999999996</v>
      </c>
    </row>
    <row r="1420" spans="1:37" x14ac:dyDescent="0.3">
      <c r="A1420" s="18">
        <f>'raw data Crude oil'!A1421</f>
        <v>44741</v>
      </c>
      <c r="B1420">
        <f>'raw data Crude oil'!B1421</f>
        <v>116.26</v>
      </c>
      <c r="C1420">
        <f>'raw data Crude oil'!C1421</f>
        <v>112.45</v>
      </c>
      <c r="D1420">
        <f>'raw data Crude oil'!D1421</f>
        <v>109.26</v>
      </c>
      <c r="E1420">
        <f>'raw data Crude oil'!E1421</f>
        <v>106.6</v>
      </c>
      <c r="F1420">
        <f>'raw data Crude oil'!F1421</f>
        <v>104.36</v>
      </c>
      <c r="G1420">
        <f>'raw data Crude oil'!G1421</f>
        <v>102.36</v>
      </c>
      <c r="H1420">
        <f>'raw data Crude oil'!H1421</f>
        <v>100.66</v>
      </c>
      <c r="I1420">
        <f>'raw data Crude oil'!I1421</f>
        <v>99.3</v>
      </c>
      <c r="J1420">
        <f>'raw data Crude oil'!J1421</f>
        <v>98.15</v>
      </c>
      <c r="K1420">
        <f>'raw data Crude oil'!K1421</f>
        <v>97.21</v>
      </c>
      <c r="L1420">
        <f>'raw data Crude oil'!L1421</f>
        <v>96.37</v>
      </c>
      <c r="M1420">
        <f>'raw data Crude oil'!M1421</f>
        <v>95.57</v>
      </c>
      <c r="N1420">
        <f>'raw data Crude oil'!N1421</f>
        <v>109.78</v>
      </c>
      <c r="O1420">
        <f>'raw data Crude oil'!O1421</f>
        <v>107.01</v>
      </c>
      <c r="P1420">
        <f>'raw data Crude oil'!P1421</f>
        <v>104.13</v>
      </c>
      <c r="Q1420">
        <f>'raw data Crude oil'!Q1421</f>
        <v>101.56</v>
      </c>
      <c r="R1420">
        <f>'raw data Crude oil'!R1421</f>
        <v>99.28</v>
      </c>
      <c r="S1420">
        <f>'raw data Crude oil'!S1421</f>
        <v>97.3</v>
      </c>
      <c r="T1420">
        <f>'raw data Crude oil'!T1421</f>
        <v>95.61</v>
      </c>
      <c r="U1420">
        <f>'raw data Crude oil'!U1421</f>
        <v>94.19</v>
      </c>
      <c r="V1420">
        <f>'raw data Crude oil'!V1421</f>
        <v>92.99</v>
      </c>
      <c r="W1420">
        <f>'raw data Crude oil'!W1421</f>
        <v>91.97</v>
      </c>
      <c r="X1420">
        <f>'raw data Crude oil'!X1421</f>
        <v>91.04</v>
      </c>
      <c r="Y1420">
        <f>'raw data Crude oil'!Y1421</f>
        <v>90.17</v>
      </c>
      <c r="Z1420">
        <f>'raw data Crude oil'!Z1421</f>
        <v>113.21599999999999</v>
      </c>
      <c r="AA1420">
        <f>'raw data Crude oil'!AA1421</f>
        <v>108.288</v>
      </c>
      <c r="AB1420">
        <f>'raw data Crude oil'!AB1421</f>
        <v>104.187</v>
      </c>
      <c r="AC1420">
        <f>'raw data Crude oil'!AC1421</f>
        <v>100.898</v>
      </c>
      <c r="AD1420">
        <f>'raw data Crude oil'!AD1421</f>
        <v>98.396000000000001</v>
      </c>
      <c r="AE1420">
        <f>'raw data Crude oil'!AE1421</f>
        <v>96.313000000000002</v>
      </c>
      <c r="AF1420">
        <f>'raw data Crude oil'!AF1421</f>
        <v>94.52</v>
      </c>
      <c r="AG1420">
        <f>'raw data Crude oil'!AG1421</f>
        <v>93.114999999999995</v>
      </c>
      <c r="AH1420">
        <f>'raw data Crude oil'!AH1421</f>
        <v>92.013000000000005</v>
      </c>
      <c r="AI1420">
        <f>'raw data Crude oil'!AI1421</f>
        <v>91.113</v>
      </c>
      <c r="AJ1420">
        <f>'raw data Crude oil'!AJ1421</f>
        <v>90.378</v>
      </c>
      <c r="AK1420">
        <f>'raw data Crude oil'!AK1421</f>
        <v>89.718000000000004</v>
      </c>
    </row>
    <row r="1421" spans="1:37" x14ac:dyDescent="0.3">
      <c r="A1421" s="18">
        <f>'raw data Crude oil'!A1422</f>
        <v>44742</v>
      </c>
      <c r="B1421">
        <f>'raw data Crude oil'!B1422</f>
        <v>114.81</v>
      </c>
      <c r="C1421">
        <f>'raw data Crude oil'!C1422</f>
        <v>109.03</v>
      </c>
      <c r="D1421">
        <f>'raw data Crude oil'!D1422</f>
        <v>105.59</v>
      </c>
      <c r="E1421">
        <f>'raw data Crude oil'!E1422</f>
        <v>102.82</v>
      </c>
      <c r="F1421">
        <f>'raw data Crude oil'!F1422</f>
        <v>100.58</v>
      </c>
      <c r="G1421">
        <f>'raw data Crude oil'!G1422</f>
        <v>98.6</v>
      </c>
      <c r="H1421">
        <f>'raw data Crude oil'!H1422</f>
        <v>96.95</v>
      </c>
      <c r="I1421">
        <f>'raw data Crude oil'!I1422</f>
        <v>95.63</v>
      </c>
      <c r="J1421">
        <f>'raw data Crude oil'!J1422</f>
        <v>94.53</v>
      </c>
      <c r="K1421">
        <f>'raw data Crude oil'!K1422</f>
        <v>93.63</v>
      </c>
      <c r="L1421">
        <f>'raw data Crude oil'!L1422</f>
        <v>92.83</v>
      </c>
      <c r="M1421">
        <f>'raw data Crude oil'!M1422</f>
        <v>92.07</v>
      </c>
      <c r="N1421">
        <f>'raw data Crude oil'!N1422</f>
        <v>105.76</v>
      </c>
      <c r="O1421">
        <f>'raw data Crude oil'!O1422</f>
        <v>103.1</v>
      </c>
      <c r="P1421">
        <f>'raw data Crude oil'!P1422</f>
        <v>100.27</v>
      </c>
      <c r="Q1421">
        <f>'raw data Crude oil'!Q1422</f>
        <v>97.75</v>
      </c>
      <c r="R1421">
        <f>'raw data Crude oil'!R1422</f>
        <v>95.56</v>
      </c>
      <c r="S1421">
        <f>'raw data Crude oil'!S1422</f>
        <v>93.67</v>
      </c>
      <c r="T1421">
        <f>'raw data Crude oil'!T1422</f>
        <v>92.05</v>
      </c>
      <c r="U1421">
        <f>'raw data Crude oil'!U1422</f>
        <v>90.68</v>
      </c>
      <c r="V1421">
        <f>'raw data Crude oil'!V1422</f>
        <v>89.52</v>
      </c>
      <c r="W1421">
        <f>'raw data Crude oil'!W1422</f>
        <v>88.51</v>
      </c>
      <c r="X1421">
        <f>'raw data Crude oil'!X1422</f>
        <v>87.62</v>
      </c>
      <c r="Y1421">
        <f>'raw data Crude oil'!Y1422</f>
        <v>86.79</v>
      </c>
      <c r="Z1421">
        <f>'raw data Crude oil'!Z1422</f>
        <v>113.242</v>
      </c>
      <c r="AA1421">
        <f>'raw data Crude oil'!AA1422</f>
        <v>104.916</v>
      </c>
      <c r="AB1421">
        <f>'raw data Crude oil'!AB1422</f>
        <v>100.66</v>
      </c>
      <c r="AC1421">
        <f>'raw data Crude oil'!AC1422</f>
        <v>97.257999999999996</v>
      </c>
      <c r="AD1421">
        <f>'raw data Crude oil'!AD1422</f>
        <v>94.756</v>
      </c>
      <c r="AE1421">
        <f>'raw data Crude oil'!AE1422</f>
        <v>92.665000000000006</v>
      </c>
      <c r="AF1421">
        <f>'raw data Crude oil'!AF1422</f>
        <v>90.813999999999993</v>
      </c>
      <c r="AG1421">
        <f>'raw data Crude oil'!AG1422</f>
        <v>89.507999999999996</v>
      </c>
      <c r="AH1421">
        <f>'raw data Crude oil'!AH1422</f>
        <v>88.394999999999996</v>
      </c>
      <c r="AI1421">
        <f>'raw data Crude oil'!AI1422</f>
        <v>87.515000000000001</v>
      </c>
      <c r="AJ1421">
        <f>'raw data Crude oil'!AJ1422</f>
        <v>86.84</v>
      </c>
      <c r="AK1421">
        <f>'raw data Crude oil'!AK1422</f>
        <v>86.22</v>
      </c>
    </row>
    <row r="1422" spans="1:37" x14ac:dyDescent="0.3">
      <c r="A1422" s="18">
        <f>'raw data Crude oil'!A1423</f>
        <v>44743</v>
      </c>
      <c r="B1422">
        <f>'raw data Crude oil'!B1423</f>
        <v>111.63</v>
      </c>
      <c r="C1422">
        <f>'raw data Crude oil'!C1423</f>
        <v>107.8</v>
      </c>
      <c r="D1422">
        <f>'raw data Crude oil'!D1423</f>
        <v>104.65</v>
      </c>
      <c r="E1422">
        <f>'raw data Crude oil'!E1423</f>
        <v>102.16</v>
      </c>
      <c r="F1422">
        <f>'raw data Crude oil'!F1423</f>
        <v>100.01</v>
      </c>
      <c r="G1422">
        <f>'raw data Crude oil'!G1423</f>
        <v>98.25</v>
      </c>
      <c r="H1422">
        <f>'raw data Crude oil'!H1423</f>
        <v>96.85</v>
      </c>
      <c r="I1422">
        <f>'raw data Crude oil'!I1423</f>
        <v>95.67</v>
      </c>
      <c r="J1422">
        <f>'raw data Crude oil'!J1423</f>
        <v>94.69</v>
      </c>
      <c r="K1422">
        <f>'raw data Crude oil'!K1423</f>
        <v>93.82</v>
      </c>
      <c r="L1422">
        <f>'raw data Crude oil'!L1423</f>
        <v>92.97</v>
      </c>
      <c r="M1422">
        <f>'raw data Crude oil'!M1423</f>
        <v>92.19</v>
      </c>
      <c r="N1422">
        <f>'raw data Crude oil'!N1423</f>
        <v>108.43</v>
      </c>
      <c r="O1422">
        <f>'raw data Crude oil'!O1423</f>
        <v>105.39</v>
      </c>
      <c r="P1422">
        <f>'raw data Crude oil'!P1423</f>
        <v>102.31</v>
      </c>
      <c r="Q1422">
        <f>'raw data Crude oil'!Q1423</f>
        <v>99.62</v>
      </c>
      <c r="R1422">
        <f>'raw data Crude oil'!R1423</f>
        <v>97.3</v>
      </c>
      <c r="S1422">
        <f>'raw data Crude oil'!S1423</f>
        <v>95.27</v>
      </c>
      <c r="T1422">
        <f>'raw data Crude oil'!T1423</f>
        <v>93.54</v>
      </c>
      <c r="U1422">
        <f>'raw data Crude oil'!U1423</f>
        <v>92.07</v>
      </c>
      <c r="V1422">
        <f>'raw data Crude oil'!V1423</f>
        <v>90.81</v>
      </c>
      <c r="W1422">
        <f>'raw data Crude oil'!W1423</f>
        <v>89.73</v>
      </c>
      <c r="X1422">
        <f>'raw data Crude oil'!X1423</f>
        <v>88.77</v>
      </c>
      <c r="Y1422">
        <f>'raw data Crude oil'!Y1423</f>
        <v>87.85</v>
      </c>
      <c r="Z1422">
        <f>'raw data Crude oil'!Z1423</f>
        <v>113.242</v>
      </c>
      <c r="AA1422">
        <f>'raw data Crude oil'!AA1423</f>
        <v>107.681</v>
      </c>
      <c r="AB1422">
        <f>'raw data Crude oil'!AB1423</f>
        <v>103.15300000000001</v>
      </c>
      <c r="AC1422">
        <f>'raw data Crude oil'!AC1423</f>
        <v>99.236999999999995</v>
      </c>
      <c r="AD1422">
        <f>'raw data Crude oil'!AD1423</f>
        <v>96.468000000000004</v>
      </c>
      <c r="AE1422">
        <f>'raw data Crude oil'!AE1423</f>
        <v>94.17</v>
      </c>
      <c r="AF1422">
        <f>'raw data Crude oil'!AF1423</f>
        <v>92.227000000000004</v>
      </c>
      <c r="AG1422">
        <f>'raw data Crude oil'!AG1423</f>
        <v>90.793999999999997</v>
      </c>
      <c r="AH1422">
        <f>'raw data Crude oil'!AH1423</f>
        <v>89.730999999999995</v>
      </c>
      <c r="AI1422">
        <f>'raw data Crude oil'!AI1423</f>
        <v>88.902000000000001</v>
      </c>
      <c r="AJ1422">
        <f>'raw data Crude oil'!AJ1423</f>
        <v>88.105000000000004</v>
      </c>
      <c r="AK1422">
        <f>'raw data Crude oil'!AK1423</f>
        <v>87.325999999999993</v>
      </c>
    </row>
    <row r="1423" spans="1:37" x14ac:dyDescent="0.3">
      <c r="A1423" s="18">
        <f>'raw data Crude oil'!A1424</f>
        <v>44746</v>
      </c>
      <c r="B1423">
        <f>'raw data Crude oil'!B1424</f>
        <v>113.5</v>
      </c>
      <c r="C1423">
        <f>'raw data Crude oil'!C1424</f>
        <v>109.46</v>
      </c>
      <c r="D1423">
        <f>'raw data Crude oil'!D1424</f>
        <v>106.11</v>
      </c>
      <c r="E1423">
        <f>'raw data Crude oil'!E1424</f>
        <v>103.5</v>
      </c>
      <c r="F1423">
        <f>'raw data Crude oil'!F1424</f>
        <v>101.23</v>
      </c>
      <c r="G1423">
        <f>'raw data Crude oil'!G1424</f>
        <v>99.43</v>
      </c>
      <c r="H1423">
        <f>'raw data Crude oil'!H1424</f>
        <v>98.03</v>
      </c>
      <c r="I1423">
        <f>'raw data Crude oil'!I1424</f>
        <v>96.86</v>
      </c>
      <c r="J1423">
        <f>'raw data Crude oil'!J1424</f>
        <v>95.9</v>
      </c>
      <c r="K1423">
        <f>'raw data Crude oil'!K1424</f>
        <v>95.05</v>
      </c>
      <c r="L1423">
        <f>'raw data Crude oil'!L1424</f>
        <v>94.23</v>
      </c>
      <c r="M1423">
        <f>'raw data Crude oil'!M1424</f>
        <v>93.46</v>
      </c>
      <c r="N1423">
        <f>'raw data Crude oil'!N1424</f>
        <v>108.43</v>
      </c>
      <c r="O1423">
        <f>'raw data Crude oil'!O1424</f>
        <v>105.39</v>
      </c>
      <c r="P1423">
        <f>'raw data Crude oil'!P1424</f>
        <v>102.31</v>
      </c>
      <c r="Q1423">
        <f>'raw data Crude oil'!Q1424</f>
        <v>99.62</v>
      </c>
      <c r="R1423">
        <f>'raw data Crude oil'!R1424</f>
        <v>97.3</v>
      </c>
      <c r="S1423">
        <f>'raw data Crude oil'!S1424</f>
        <v>95.27</v>
      </c>
      <c r="T1423">
        <f>'raw data Crude oil'!T1424</f>
        <v>93.54</v>
      </c>
      <c r="U1423">
        <f>'raw data Crude oil'!U1424</f>
        <v>92.07</v>
      </c>
      <c r="V1423">
        <f>'raw data Crude oil'!V1424</f>
        <v>90.81</v>
      </c>
      <c r="W1423">
        <f>'raw data Crude oil'!W1424</f>
        <v>89.73</v>
      </c>
      <c r="X1423">
        <f>'raw data Crude oil'!X1424</f>
        <v>88.77</v>
      </c>
      <c r="Y1423">
        <f>'raw data Crude oil'!Y1424</f>
        <v>87.85</v>
      </c>
      <c r="Z1423">
        <f>'raw data Crude oil'!Z1424</f>
        <v>109.89100000000001</v>
      </c>
      <c r="AA1423">
        <f>'raw data Crude oil'!AA1424</f>
        <v>105.17400000000001</v>
      </c>
      <c r="AB1423">
        <f>'raw data Crude oil'!AB1424</f>
        <v>100.98099999999999</v>
      </c>
      <c r="AC1423">
        <f>'raw data Crude oil'!AC1424</f>
        <v>98.042000000000002</v>
      </c>
      <c r="AD1423">
        <f>'raw data Crude oil'!AD1424</f>
        <v>95.587999999999994</v>
      </c>
      <c r="AE1423">
        <f>'raw data Crude oil'!AE1424</f>
        <v>93.606999999999999</v>
      </c>
      <c r="AF1423">
        <f>'raw data Crude oil'!AF1424</f>
        <v>92.203999999999994</v>
      </c>
      <c r="AG1423">
        <f>'raw data Crude oil'!AG1424</f>
        <v>91.122</v>
      </c>
      <c r="AH1423">
        <f>'raw data Crude oil'!AH1424</f>
        <v>90.272999999999996</v>
      </c>
      <c r="AI1423">
        <f>'raw data Crude oil'!AI1424</f>
        <v>89.466999999999999</v>
      </c>
      <c r="AJ1423">
        <f>'raw data Crude oil'!AJ1424</f>
        <v>88.697000000000003</v>
      </c>
      <c r="AK1423">
        <f>'raw data Crude oil'!AK1424</f>
        <v>87.936999999999998</v>
      </c>
    </row>
    <row r="1424" spans="1:37" x14ac:dyDescent="0.3">
      <c r="A1424" s="18">
        <f>'raw data Crude oil'!A1425</f>
        <v>44747</v>
      </c>
      <c r="B1424">
        <f>'raw data Crude oil'!B1425</f>
        <v>102.77</v>
      </c>
      <c r="C1424">
        <f>'raw data Crude oil'!C1425</f>
        <v>98.99</v>
      </c>
      <c r="D1424">
        <f>'raw data Crude oil'!D1425</f>
        <v>95.79</v>
      </c>
      <c r="E1424">
        <f>'raw data Crude oil'!E1425</f>
        <v>93.3</v>
      </c>
      <c r="F1424">
        <f>'raw data Crude oil'!F1425</f>
        <v>91.21</v>
      </c>
      <c r="G1424">
        <f>'raw data Crude oil'!G1425</f>
        <v>89.58</v>
      </c>
      <c r="H1424">
        <f>'raw data Crude oil'!H1425</f>
        <v>88.35</v>
      </c>
      <c r="I1424">
        <f>'raw data Crude oil'!I1425</f>
        <v>87.38</v>
      </c>
      <c r="J1424">
        <f>'raw data Crude oil'!J1425</f>
        <v>86.61</v>
      </c>
      <c r="K1424">
        <f>'raw data Crude oil'!K1425</f>
        <v>85.95</v>
      </c>
      <c r="L1424">
        <f>'raw data Crude oil'!L1425</f>
        <v>85.33</v>
      </c>
      <c r="M1424">
        <f>'raw data Crude oil'!M1425</f>
        <v>84.76</v>
      </c>
      <c r="N1424">
        <f>'raw data Crude oil'!N1425</f>
        <v>99.5</v>
      </c>
      <c r="O1424">
        <f>'raw data Crude oil'!O1425</f>
        <v>96.52</v>
      </c>
      <c r="P1424">
        <f>'raw data Crude oil'!P1425</f>
        <v>93.44</v>
      </c>
      <c r="Q1424">
        <f>'raw data Crude oil'!Q1425</f>
        <v>90.73</v>
      </c>
      <c r="R1424">
        <f>'raw data Crude oil'!R1425</f>
        <v>88.46</v>
      </c>
      <c r="S1424">
        <f>'raw data Crude oil'!S1425</f>
        <v>86.53</v>
      </c>
      <c r="T1424">
        <f>'raw data Crude oil'!T1425</f>
        <v>84.94</v>
      </c>
      <c r="U1424">
        <f>'raw data Crude oil'!U1425</f>
        <v>83.64</v>
      </c>
      <c r="V1424">
        <f>'raw data Crude oil'!V1425</f>
        <v>82.58</v>
      </c>
      <c r="W1424">
        <f>'raw data Crude oil'!W1425</f>
        <v>81.7</v>
      </c>
      <c r="X1424">
        <f>'raw data Crude oil'!X1425</f>
        <v>80.930000000000007</v>
      </c>
      <c r="Y1424">
        <f>'raw data Crude oil'!Y1425</f>
        <v>80.23</v>
      </c>
      <c r="Z1424">
        <f>'raw data Crude oil'!Z1425</f>
        <v>100.82599999999999</v>
      </c>
      <c r="AA1424">
        <f>'raw data Crude oil'!AA1425</f>
        <v>94.661000000000001</v>
      </c>
      <c r="AB1424">
        <f>'raw data Crude oil'!AB1425</f>
        <v>90.587000000000003</v>
      </c>
      <c r="AC1424">
        <f>'raw data Crude oil'!AC1425</f>
        <v>87.77</v>
      </c>
      <c r="AD1424">
        <f>'raw data Crude oil'!AD1425</f>
        <v>85.506</v>
      </c>
      <c r="AE1424">
        <f>'raw data Crude oil'!AE1425</f>
        <v>83.712999999999994</v>
      </c>
      <c r="AF1424">
        <f>'raw data Crude oil'!AF1425</f>
        <v>82.474000000000004</v>
      </c>
      <c r="AG1424">
        <f>'raw data Crude oil'!AG1425</f>
        <v>81.572000000000003</v>
      </c>
      <c r="AH1424">
        <f>'raw data Crude oil'!AH1425</f>
        <v>80.840999999999994</v>
      </c>
      <c r="AI1424">
        <f>'raw data Crude oil'!AI1425</f>
        <v>80.167000000000002</v>
      </c>
      <c r="AJ1424">
        <f>'raw data Crude oil'!AJ1425</f>
        <v>79.584999999999994</v>
      </c>
      <c r="AK1424">
        <f>'raw data Crude oil'!AK1425</f>
        <v>79.284999999999997</v>
      </c>
    </row>
    <row r="1425" spans="1:37" x14ac:dyDescent="0.3">
      <c r="A1425" s="18">
        <f>'raw data Crude oil'!A1426</f>
        <v>44748</v>
      </c>
      <c r="B1425">
        <f>'raw data Crude oil'!B1426</f>
        <v>100.69</v>
      </c>
      <c r="C1425">
        <f>'raw data Crude oil'!C1426</f>
        <v>97.09</v>
      </c>
      <c r="D1425">
        <f>'raw data Crude oil'!D1426</f>
        <v>94.12</v>
      </c>
      <c r="E1425">
        <f>'raw data Crude oil'!E1426</f>
        <v>91.82</v>
      </c>
      <c r="F1425">
        <f>'raw data Crude oil'!F1426</f>
        <v>89.94</v>
      </c>
      <c r="G1425">
        <f>'raw data Crude oil'!G1426</f>
        <v>88.52</v>
      </c>
      <c r="H1425">
        <f>'raw data Crude oil'!H1426</f>
        <v>87.45</v>
      </c>
      <c r="I1425">
        <f>'raw data Crude oil'!I1426</f>
        <v>86.58</v>
      </c>
      <c r="J1425">
        <f>'raw data Crude oil'!J1426</f>
        <v>85.89</v>
      </c>
      <c r="K1425">
        <f>'raw data Crude oil'!K1426</f>
        <v>85.3</v>
      </c>
      <c r="L1425">
        <f>'raw data Crude oil'!L1426</f>
        <v>84.73</v>
      </c>
      <c r="M1425">
        <f>'raw data Crude oil'!M1426</f>
        <v>84.22</v>
      </c>
      <c r="N1425">
        <f>'raw data Crude oil'!N1426</f>
        <v>98.53</v>
      </c>
      <c r="O1425">
        <f>'raw data Crude oil'!O1426</f>
        <v>94.98</v>
      </c>
      <c r="P1425">
        <f>'raw data Crude oil'!P1426</f>
        <v>91.85</v>
      </c>
      <c r="Q1425">
        <f>'raw data Crude oil'!Q1426</f>
        <v>89.24</v>
      </c>
      <c r="R1425">
        <f>'raw data Crude oil'!R1426</f>
        <v>87.14</v>
      </c>
      <c r="S1425">
        <f>'raw data Crude oil'!S1426</f>
        <v>85.36</v>
      </c>
      <c r="T1425">
        <f>'raw data Crude oil'!T1426</f>
        <v>83.9</v>
      </c>
      <c r="U1425">
        <f>'raw data Crude oil'!U1426</f>
        <v>82.7</v>
      </c>
      <c r="V1425">
        <f>'raw data Crude oil'!V1426</f>
        <v>81.73</v>
      </c>
      <c r="W1425">
        <f>'raw data Crude oil'!W1426</f>
        <v>80.94</v>
      </c>
      <c r="X1425">
        <f>'raw data Crude oil'!X1426</f>
        <v>80.27</v>
      </c>
      <c r="Y1425">
        <f>'raw data Crude oil'!Y1426</f>
        <v>79.650000000000006</v>
      </c>
      <c r="Z1425">
        <f>'raw data Crude oil'!Z1426</f>
        <v>99.25</v>
      </c>
      <c r="AA1425">
        <f>'raw data Crude oil'!AA1426</f>
        <v>92.551000000000002</v>
      </c>
      <c r="AB1425">
        <f>'raw data Crude oil'!AB1426</f>
        <v>88.814999999999998</v>
      </c>
      <c r="AC1425">
        <f>'raw data Crude oil'!AC1426</f>
        <v>86.17</v>
      </c>
      <c r="AD1425">
        <f>'raw data Crude oil'!AD1426</f>
        <v>84.02</v>
      </c>
      <c r="AE1425">
        <f>'raw data Crude oil'!AE1426</f>
        <v>82.405000000000001</v>
      </c>
      <c r="AF1425">
        <f>'raw data Crude oil'!AF1426</f>
        <v>81.248999999999995</v>
      </c>
      <c r="AG1425">
        <f>'raw data Crude oil'!AG1426</f>
        <v>80.396000000000001</v>
      </c>
      <c r="AH1425">
        <f>'raw data Crude oil'!AH1426</f>
        <v>79.733999999999995</v>
      </c>
      <c r="AI1425">
        <f>'raw data Crude oil'!AI1426</f>
        <v>79.28</v>
      </c>
      <c r="AJ1425">
        <f>'raw data Crude oil'!AJ1426</f>
        <v>78.817999999999998</v>
      </c>
      <c r="AK1425">
        <f>'raw data Crude oil'!AK1426</f>
        <v>78.388000000000005</v>
      </c>
    </row>
    <row r="1426" spans="1:37" x14ac:dyDescent="0.3">
      <c r="A1426" s="18">
        <f>'raw data Crude oil'!A1427</f>
        <v>44749</v>
      </c>
      <c r="B1426">
        <f>'raw data Crude oil'!B1427</f>
        <v>104.65</v>
      </c>
      <c r="C1426">
        <f>'raw data Crude oil'!C1427</f>
        <v>100.98</v>
      </c>
      <c r="D1426">
        <f>'raw data Crude oil'!D1427</f>
        <v>97.99</v>
      </c>
      <c r="E1426">
        <f>'raw data Crude oil'!E1427</f>
        <v>95.54</v>
      </c>
      <c r="F1426">
        <f>'raw data Crude oil'!F1427</f>
        <v>93.49</v>
      </c>
      <c r="G1426">
        <f>'raw data Crude oil'!G1427</f>
        <v>91.91</v>
      </c>
      <c r="H1426">
        <f>'raw data Crude oil'!H1427</f>
        <v>90.69</v>
      </c>
      <c r="I1426">
        <f>'raw data Crude oil'!I1427</f>
        <v>89.69</v>
      </c>
      <c r="J1426">
        <f>'raw data Crude oil'!J1427</f>
        <v>88.91</v>
      </c>
      <c r="K1426">
        <f>'raw data Crude oil'!K1427</f>
        <v>88.21</v>
      </c>
      <c r="L1426">
        <f>'raw data Crude oil'!L1427</f>
        <v>87.55</v>
      </c>
      <c r="M1426">
        <f>'raw data Crude oil'!M1427</f>
        <v>86.94</v>
      </c>
      <c r="N1426">
        <f>'raw data Crude oil'!N1427</f>
        <v>102.73</v>
      </c>
      <c r="O1426">
        <f>'raw data Crude oil'!O1427</f>
        <v>99.25</v>
      </c>
      <c r="P1426">
        <f>'raw data Crude oil'!P1427</f>
        <v>96.04</v>
      </c>
      <c r="Q1426">
        <f>'raw data Crude oil'!Q1427</f>
        <v>93.24</v>
      </c>
      <c r="R1426">
        <f>'raw data Crude oil'!R1427</f>
        <v>90.9</v>
      </c>
      <c r="S1426">
        <f>'raw data Crude oil'!S1427</f>
        <v>88.92</v>
      </c>
      <c r="T1426">
        <f>'raw data Crude oil'!T1427</f>
        <v>87.28</v>
      </c>
      <c r="U1426">
        <f>'raw data Crude oil'!U1427</f>
        <v>85.94</v>
      </c>
      <c r="V1426">
        <f>'raw data Crude oil'!V1427</f>
        <v>84.85</v>
      </c>
      <c r="W1426">
        <f>'raw data Crude oil'!W1427</f>
        <v>83.95</v>
      </c>
      <c r="X1426">
        <f>'raw data Crude oil'!X1427</f>
        <v>83.16</v>
      </c>
      <c r="Y1426">
        <f>'raw data Crude oil'!Y1427</f>
        <v>82.45</v>
      </c>
      <c r="Z1426">
        <f>'raw data Crude oil'!Z1427</f>
        <v>102.367</v>
      </c>
      <c r="AA1426">
        <f>'raw data Crude oil'!AA1427</f>
        <v>96.45</v>
      </c>
      <c r="AB1426">
        <f>'raw data Crude oil'!AB1427</f>
        <v>92.728999999999999</v>
      </c>
      <c r="AC1426">
        <f>'raw data Crude oil'!AC1427</f>
        <v>89.891999999999996</v>
      </c>
      <c r="AD1426">
        <f>'raw data Crude oil'!AD1427</f>
        <v>87.602999999999994</v>
      </c>
      <c r="AE1426">
        <f>'raw data Crude oil'!AE1427</f>
        <v>85.894000000000005</v>
      </c>
      <c r="AF1426">
        <f>'raw data Crude oil'!AF1427</f>
        <v>84.662000000000006</v>
      </c>
      <c r="AG1426">
        <f>'raw data Crude oil'!AG1427</f>
        <v>83.751000000000005</v>
      </c>
      <c r="AH1426">
        <f>'raw data Crude oil'!AH1427</f>
        <v>82.98</v>
      </c>
      <c r="AI1426">
        <f>'raw data Crude oil'!AI1427</f>
        <v>82.275000000000006</v>
      </c>
      <c r="AJ1426">
        <f>'raw data Crude oil'!AJ1427</f>
        <v>81.673000000000002</v>
      </c>
      <c r="AK1426">
        <f>'raw data Crude oil'!AK1427</f>
        <v>81.135000000000005</v>
      </c>
    </row>
    <row r="1427" spans="1:37" x14ac:dyDescent="0.3">
      <c r="A1427" s="18">
        <f>'raw data Crude oil'!A1428</f>
        <v>44750</v>
      </c>
      <c r="B1427">
        <f>'raw data Crude oil'!B1428</f>
        <v>107.02</v>
      </c>
      <c r="C1427">
        <f>'raw data Crude oil'!C1428</f>
        <v>103.46</v>
      </c>
      <c r="D1427">
        <f>'raw data Crude oil'!D1428</f>
        <v>100.51</v>
      </c>
      <c r="E1427">
        <f>'raw data Crude oil'!E1428</f>
        <v>98.09</v>
      </c>
      <c r="F1427">
        <f>'raw data Crude oil'!F1428</f>
        <v>96.02</v>
      </c>
      <c r="G1427">
        <f>'raw data Crude oil'!G1428</f>
        <v>94.39</v>
      </c>
      <c r="H1427">
        <f>'raw data Crude oil'!H1428</f>
        <v>93.1</v>
      </c>
      <c r="I1427">
        <f>'raw data Crude oil'!I1428</f>
        <v>92.03</v>
      </c>
      <c r="J1427">
        <f>'raw data Crude oil'!J1428</f>
        <v>91.18</v>
      </c>
      <c r="K1427">
        <f>'raw data Crude oil'!K1428</f>
        <v>90.43</v>
      </c>
      <c r="L1427">
        <f>'raw data Crude oil'!L1428</f>
        <v>89.7</v>
      </c>
      <c r="M1427">
        <f>'raw data Crude oil'!M1428</f>
        <v>89.02</v>
      </c>
      <c r="N1427">
        <f>'raw data Crude oil'!N1428</f>
        <v>104.79</v>
      </c>
      <c r="O1427">
        <f>'raw data Crude oil'!O1428</f>
        <v>101.53</v>
      </c>
      <c r="P1427">
        <f>'raw data Crude oil'!P1428</f>
        <v>98.37</v>
      </c>
      <c r="Q1427">
        <f>'raw data Crude oil'!Q1428</f>
        <v>95.59</v>
      </c>
      <c r="R1427">
        <f>'raw data Crude oil'!R1428</f>
        <v>93.28</v>
      </c>
      <c r="S1427">
        <f>'raw data Crude oil'!S1428</f>
        <v>91.31</v>
      </c>
      <c r="T1427">
        <f>'raw data Crude oil'!T1428</f>
        <v>89.64</v>
      </c>
      <c r="U1427">
        <f>'raw data Crude oil'!U1428</f>
        <v>88.26</v>
      </c>
      <c r="V1427">
        <f>'raw data Crude oil'!V1428</f>
        <v>87.11</v>
      </c>
      <c r="W1427">
        <f>'raw data Crude oil'!W1428</f>
        <v>86.16</v>
      </c>
      <c r="X1427">
        <f>'raw data Crude oil'!X1428</f>
        <v>85.3</v>
      </c>
      <c r="Y1427">
        <f>'raw data Crude oil'!Y1428</f>
        <v>84.51</v>
      </c>
      <c r="Z1427">
        <f>'raw data Crude oil'!Z1428</f>
        <v>104.31100000000001</v>
      </c>
      <c r="AA1427">
        <f>'raw data Crude oil'!AA1428</f>
        <v>99.042000000000002</v>
      </c>
      <c r="AB1427">
        <f>'raw data Crude oil'!AB1428</f>
        <v>95.39</v>
      </c>
      <c r="AC1427">
        <f>'raw data Crude oil'!AC1428</f>
        <v>92.611000000000004</v>
      </c>
      <c r="AD1427">
        <f>'raw data Crude oil'!AD1428</f>
        <v>90.335999999999999</v>
      </c>
      <c r="AE1427">
        <f>'raw data Crude oil'!AE1428</f>
        <v>88.557000000000002</v>
      </c>
      <c r="AF1427">
        <f>'raw data Crude oil'!AF1428</f>
        <v>87.179000000000002</v>
      </c>
      <c r="AG1427">
        <f>'raw data Crude oil'!AG1428</f>
        <v>86.177999999999997</v>
      </c>
      <c r="AH1427">
        <f>'raw data Crude oil'!AH1428</f>
        <v>85.346999999999994</v>
      </c>
      <c r="AI1427">
        <f>'raw data Crude oil'!AI1428</f>
        <v>84.591999999999999</v>
      </c>
      <c r="AJ1427">
        <f>'raw data Crude oil'!AJ1428</f>
        <v>83.97</v>
      </c>
      <c r="AK1427">
        <f>'raw data Crude oil'!AK1428</f>
        <v>83.381</v>
      </c>
    </row>
    <row r="1428" spans="1:37" x14ac:dyDescent="0.3">
      <c r="A1428" s="18">
        <f>'raw data Crude oil'!A1429</f>
        <v>44753</v>
      </c>
      <c r="B1428">
        <f>'raw data Crude oil'!B1429</f>
        <v>107.1</v>
      </c>
      <c r="C1428">
        <f>'raw data Crude oil'!C1429</f>
        <v>103.65</v>
      </c>
      <c r="D1428">
        <f>'raw data Crude oil'!D1429</f>
        <v>100.8</v>
      </c>
      <c r="E1428">
        <f>'raw data Crude oil'!E1429</f>
        <v>98.52</v>
      </c>
      <c r="F1428">
        <f>'raw data Crude oil'!F1429</f>
        <v>96.57</v>
      </c>
      <c r="G1428">
        <f>'raw data Crude oil'!G1429</f>
        <v>95.04</v>
      </c>
      <c r="H1428">
        <f>'raw data Crude oil'!H1429</f>
        <v>93.84</v>
      </c>
      <c r="I1428">
        <f>'raw data Crude oil'!I1429</f>
        <v>92.86</v>
      </c>
      <c r="J1428">
        <f>'raw data Crude oil'!J1429</f>
        <v>92.09</v>
      </c>
      <c r="K1428">
        <f>'raw data Crude oil'!K1429</f>
        <v>91.42</v>
      </c>
      <c r="L1428">
        <f>'raw data Crude oil'!L1429</f>
        <v>90.77</v>
      </c>
      <c r="M1428">
        <f>'raw data Crude oil'!M1429</f>
        <v>90.15</v>
      </c>
      <c r="N1428">
        <f>'raw data Crude oil'!N1429</f>
        <v>104.09</v>
      </c>
      <c r="O1428">
        <f>'raw data Crude oil'!O1429</f>
        <v>101.21</v>
      </c>
      <c r="P1428">
        <f>'raw data Crude oil'!P1429</f>
        <v>98.2</v>
      </c>
      <c r="Q1428">
        <f>'raw data Crude oil'!Q1429</f>
        <v>95.58</v>
      </c>
      <c r="R1428">
        <f>'raw data Crude oil'!R1429</f>
        <v>93.41</v>
      </c>
      <c r="S1428">
        <f>'raw data Crude oil'!S1429</f>
        <v>91.58</v>
      </c>
      <c r="T1428">
        <f>'raw data Crude oil'!T1429</f>
        <v>90.05</v>
      </c>
      <c r="U1428">
        <f>'raw data Crude oil'!U1429</f>
        <v>88.79</v>
      </c>
      <c r="V1428">
        <f>'raw data Crude oil'!V1429</f>
        <v>87.74</v>
      </c>
      <c r="W1428">
        <f>'raw data Crude oil'!W1429</f>
        <v>86.84</v>
      </c>
      <c r="X1428">
        <f>'raw data Crude oil'!X1429</f>
        <v>86.07</v>
      </c>
      <c r="Y1428">
        <f>'raw data Crude oil'!Y1429</f>
        <v>85.36</v>
      </c>
      <c r="Z1428">
        <f>'raw data Crude oil'!Z1429</f>
        <v>104.37</v>
      </c>
      <c r="AA1428">
        <f>'raw data Crude oil'!AA1429</f>
        <v>99.126000000000005</v>
      </c>
      <c r="AB1428">
        <f>'raw data Crude oil'!AB1429</f>
        <v>95.486999999999995</v>
      </c>
      <c r="AC1428">
        <f>'raw data Crude oil'!AC1429</f>
        <v>92.826999999999998</v>
      </c>
      <c r="AD1428">
        <f>'raw data Crude oil'!AD1429</f>
        <v>90.66</v>
      </c>
      <c r="AE1428">
        <f>'raw data Crude oil'!AE1429</f>
        <v>89.016000000000005</v>
      </c>
      <c r="AF1428">
        <f>'raw data Crude oil'!AF1429</f>
        <v>87.793000000000006</v>
      </c>
      <c r="AG1428">
        <f>'raw data Crude oil'!AG1429</f>
        <v>86.831999999999994</v>
      </c>
      <c r="AH1428">
        <f>'raw data Crude oil'!AH1429</f>
        <v>86.081000000000003</v>
      </c>
      <c r="AI1428">
        <f>'raw data Crude oil'!AI1429</f>
        <v>85.415999999999997</v>
      </c>
      <c r="AJ1428">
        <f>'raw data Crude oil'!AJ1429</f>
        <v>84.893000000000001</v>
      </c>
      <c r="AK1428">
        <f>'raw data Crude oil'!AK1429</f>
        <v>84.403000000000006</v>
      </c>
    </row>
    <row r="1429" spans="1:37" x14ac:dyDescent="0.3">
      <c r="A1429" s="18">
        <f>'raw data Crude oil'!A1430</f>
        <v>44754</v>
      </c>
      <c r="B1429">
        <f>'raw data Crude oil'!B1430</f>
        <v>99.49</v>
      </c>
      <c r="C1429">
        <f>'raw data Crude oil'!C1430</f>
        <v>96.12</v>
      </c>
      <c r="D1429">
        <f>'raw data Crude oil'!D1430</f>
        <v>93.61</v>
      </c>
      <c r="E1429">
        <f>'raw data Crude oil'!E1430</f>
        <v>91.69</v>
      </c>
      <c r="F1429">
        <f>'raw data Crude oil'!F1430</f>
        <v>90.08</v>
      </c>
      <c r="G1429">
        <f>'raw data Crude oil'!G1430</f>
        <v>88.87</v>
      </c>
      <c r="H1429">
        <f>'raw data Crude oil'!H1430</f>
        <v>87.95</v>
      </c>
      <c r="I1429">
        <f>'raw data Crude oil'!I1430</f>
        <v>87.2</v>
      </c>
      <c r="J1429">
        <f>'raw data Crude oil'!J1430</f>
        <v>86.59</v>
      </c>
      <c r="K1429">
        <f>'raw data Crude oil'!K1430</f>
        <v>86.04</v>
      </c>
      <c r="L1429">
        <f>'raw data Crude oil'!L1430</f>
        <v>85.54</v>
      </c>
      <c r="M1429">
        <f>'raw data Crude oil'!M1430</f>
        <v>85.06</v>
      </c>
      <c r="N1429">
        <f>'raw data Crude oil'!N1430</f>
        <v>95.84</v>
      </c>
      <c r="O1429">
        <f>'raw data Crude oil'!O1430</f>
        <v>93.31</v>
      </c>
      <c r="P1429">
        <f>'raw data Crude oil'!P1430</f>
        <v>90.7</v>
      </c>
      <c r="Q1429">
        <f>'raw data Crude oil'!Q1430</f>
        <v>88.48</v>
      </c>
      <c r="R1429">
        <f>'raw data Crude oil'!R1430</f>
        <v>86.65</v>
      </c>
      <c r="S1429">
        <f>'raw data Crude oil'!S1430</f>
        <v>85.13</v>
      </c>
      <c r="T1429">
        <f>'raw data Crude oil'!T1430</f>
        <v>83.89</v>
      </c>
      <c r="U1429">
        <f>'raw data Crude oil'!U1430</f>
        <v>82.89</v>
      </c>
      <c r="V1429">
        <f>'raw data Crude oil'!V1430</f>
        <v>82.06</v>
      </c>
      <c r="W1429">
        <f>'raw data Crude oil'!W1430</f>
        <v>81.349999999999994</v>
      </c>
      <c r="X1429">
        <f>'raw data Crude oil'!X1430</f>
        <v>80.73</v>
      </c>
      <c r="Y1429">
        <f>'raw data Crude oil'!Y1430</f>
        <v>80.16</v>
      </c>
      <c r="Z1429">
        <f>'raw data Crude oil'!Z1430</f>
        <v>99.864999999999995</v>
      </c>
      <c r="AA1429">
        <f>'raw data Crude oil'!AA1430</f>
        <v>91.850999999999999</v>
      </c>
      <c r="AB1429">
        <f>'raw data Crude oil'!AB1430</f>
        <v>88.613</v>
      </c>
      <c r="AC1429">
        <f>'raw data Crude oil'!AC1430</f>
        <v>86.283000000000001</v>
      </c>
      <c r="AD1429">
        <f>'raw data Crude oil'!AD1430</f>
        <v>84.465000000000003</v>
      </c>
      <c r="AE1429">
        <f>'raw data Crude oil'!AE1430</f>
        <v>83.111999999999995</v>
      </c>
      <c r="AF1429">
        <f>'raw data Crude oil'!AF1430</f>
        <v>82.093999999999994</v>
      </c>
      <c r="AG1429">
        <f>'raw data Crude oil'!AG1430</f>
        <v>81.42</v>
      </c>
      <c r="AH1429">
        <f>'raw data Crude oil'!AH1430</f>
        <v>80.885999999999996</v>
      </c>
      <c r="AI1429">
        <f>'raw data Crude oil'!AI1430</f>
        <v>80.364000000000004</v>
      </c>
      <c r="AJ1429">
        <f>'raw data Crude oil'!AJ1430</f>
        <v>79.938999999999993</v>
      </c>
      <c r="AK1429">
        <f>'raw data Crude oil'!AK1430</f>
        <v>79.549000000000007</v>
      </c>
    </row>
    <row r="1430" spans="1:37" x14ac:dyDescent="0.3">
      <c r="A1430" s="18">
        <f>'raw data Crude oil'!A1431</f>
        <v>44755</v>
      </c>
      <c r="B1430">
        <f>'raw data Crude oil'!B1431</f>
        <v>99.57</v>
      </c>
      <c r="C1430">
        <f>'raw data Crude oil'!C1431</f>
        <v>96.29</v>
      </c>
      <c r="D1430">
        <f>'raw data Crude oil'!D1431</f>
        <v>93.97</v>
      </c>
      <c r="E1430">
        <f>'raw data Crude oil'!E1431</f>
        <v>92.18</v>
      </c>
      <c r="F1430">
        <f>'raw data Crude oil'!F1431</f>
        <v>90.65</v>
      </c>
      <c r="G1430">
        <f>'raw data Crude oil'!G1431</f>
        <v>89.46</v>
      </c>
      <c r="H1430">
        <f>'raw data Crude oil'!H1431</f>
        <v>88.57</v>
      </c>
      <c r="I1430">
        <f>'raw data Crude oil'!I1431</f>
        <v>87.82</v>
      </c>
      <c r="J1430">
        <f>'raw data Crude oil'!J1431</f>
        <v>87.22</v>
      </c>
      <c r="K1430">
        <f>'raw data Crude oil'!K1431</f>
        <v>86.67</v>
      </c>
      <c r="L1430">
        <f>'raw data Crude oil'!L1431</f>
        <v>86.16</v>
      </c>
      <c r="M1430">
        <f>'raw data Crude oil'!M1431</f>
        <v>85.67</v>
      </c>
      <c r="N1430">
        <f>'raw data Crude oil'!N1431</f>
        <v>96.3</v>
      </c>
      <c r="O1430">
        <f>'raw data Crude oil'!O1431</f>
        <v>93.83</v>
      </c>
      <c r="P1430">
        <f>'raw data Crude oil'!P1431</f>
        <v>91.36</v>
      </c>
      <c r="Q1430">
        <f>'raw data Crude oil'!Q1431</f>
        <v>89.27</v>
      </c>
      <c r="R1430">
        <f>'raw data Crude oil'!R1431</f>
        <v>87.54</v>
      </c>
      <c r="S1430">
        <f>'raw data Crude oil'!S1431</f>
        <v>86.1</v>
      </c>
      <c r="T1430">
        <f>'raw data Crude oil'!T1431</f>
        <v>84.9</v>
      </c>
      <c r="U1430">
        <f>'raw data Crude oil'!U1431</f>
        <v>83.9</v>
      </c>
      <c r="V1430">
        <f>'raw data Crude oil'!V1431</f>
        <v>83.06</v>
      </c>
      <c r="W1430">
        <f>'raw data Crude oil'!W1431</f>
        <v>82.34</v>
      </c>
      <c r="X1430">
        <f>'raw data Crude oil'!X1431</f>
        <v>81.680000000000007</v>
      </c>
      <c r="Y1430">
        <f>'raw data Crude oil'!Y1431</f>
        <v>81.08</v>
      </c>
      <c r="Z1430">
        <f>'raw data Crude oil'!Z1431</f>
        <v>99.947999999999993</v>
      </c>
      <c r="AA1430">
        <f>'raw data Crude oil'!AA1431</f>
        <v>92.198999999999998</v>
      </c>
      <c r="AB1430">
        <f>'raw data Crude oil'!AB1431</f>
        <v>89.209000000000003</v>
      </c>
      <c r="AC1430">
        <f>'raw data Crude oil'!AC1431</f>
        <v>86.927000000000007</v>
      </c>
      <c r="AD1430">
        <f>'raw data Crude oil'!AD1431</f>
        <v>85.126000000000005</v>
      </c>
      <c r="AE1430">
        <f>'raw data Crude oil'!AE1431</f>
        <v>83.775000000000006</v>
      </c>
      <c r="AF1430">
        <f>'raw data Crude oil'!AF1431</f>
        <v>82.774000000000001</v>
      </c>
      <c r="AG1430">
        <f>'raw data Crude oil'!AG1431</f>
        <v>82.08</v>
      </c>
      <c r="AH1430">
        <f>'raw data Crude oil'!AH1431</f>
        <v>81.546000000000006</v>
      </c>
      <c r="AI1430">
        <f>'raw data Crude oil'!AI1431</f>
        <v>81.033000000000001</v>
      </c>
      <c r="AJ1430">
        <f>'raw data Crude oil'!AJ1431</f>
        <v>80.569000000000003</v>
      </c>
      <c r="AK1430">
        <f>'raw data Crude oil'!AK1431</f>
        <v>80.138999999999996</v>
      </c>
    </row>
    <row r="1431" spans="1:37" x14ac:dyDescent="0.3">
      <c r="A1431" s="18">
        <f>'raw data Crude oil'!A1432</f>
        <v>44756</v>
      </c>
      <c r="B1431">
        <f>'raw data Crude oil'!B1432</f>
        <v>99.1</v>
      </c>
      <c r="C1431">
        <f>'raw data Crude oil'!C1432</f>
        <v>95.31</v>
      </c>
      <c r="D1431">
        <f>'raw data Crude oil'!D1432</f>
        <v>92.82</v>
      </c>
      <c r="E1431">
        <f>'raw data Crude oil'!E1432</f>
        <v>90.93</v>
      </c>
      <c r="F1431">
        <f>'raw data Crude oil'!F1432</f>
        <v>89.36</v>
      </c>
      <c r="G1431">
        <f>'raw data Crude oil'!G1432</f>
        <v>88.15</v>
      </c>
      <c r="H1431">
        <f>'raw data Crude oil'!H1432</f>
        <v>87.23</v>
      </c>
      <c r="I1431">
        <f>'raw data Crude oil'!I1432</f>
        <v>86.46</v>
      </c>
      <c r="J1431">
        <f>'raw data Crude oil'!J1432</f>
        <v>85.83</v>
      </c>
      <c r="K1431">
        <f>'raw data Crude oil'!K1432</f>
        <v>85.24</v>
      </c>
      <c r="L1431">
        <f>'raw data Crude oil'!L1432</f>
        <v>84.7</v>
      </c>
      <c r="M1431">
        <f>'raw data Crude oil'!M1432</f>
        <v>84.19</v>
      </c>
      <c r="N1431">
        <f>'raw data Crude oil'!N1432</f>
        <v>95.78</v>
      </c>
      <c r="O1431">
        <f>'raw data Crude oil'!O1432</f>
        <v>92.83</v>
      </c>
      <c r="P1431">
        <f>'raw data Crude oil'!P1432</f>
        <v>90.15</v>
      </c>
      <c r="Q1431">
        <f>'raw data Crude oil'!Q1432</f>
        <v>87.96</v>
      </c>
      <c r="R1431">
        <f>'raw data Crude oil'!R1432</f>
        <v>86.17</v>
      </c>
      <c r="S1431">
        <f>'raw data Crude oil'!S1432</f>
        <v>84.67</v>
      </c>
      <c r="T1431">
        <f>'raw data Crude oil'!T1432</f>
        <v>83.43</v>
      </c>
      <c r="U1431">
        <f>'raw data Crude oil'!U1432</f>
        <v>82.41</v>
      </c>
      <c r="V1431">
        <f>'raw data Crude oil'!V1432</f>
        <v>81.540000000000006</v>
      </c>
      <c r="W1431">
        <f>'raw data Crude oil'!W1432</f>
        <v>80.78</v>
      </c>
      <c r="X1431">
        <f>'raw data Crude oil'!X1432</f>
        <v>80.11</v>
      </c>
      <c r="Y1431">
        <f>'raw data Crude oil'!Y1432</f>
        <v>79.489999999999995</v>
      </c>
      <c r="Z1431">
        <f>'raw data Crude oil'!Z1432</f>
        <v>99.843999999999994</v>
      </c>
      <c r="AA1431">
        <f>'raw data Crude oil'!AA1432</f>
        <v>91.781999999999996</v>
      </c>
      <c r="AB1431">
        <f>'raw data Crude oil'!AB1432</f>
        <v>88.397000000000006</v>
      </c>
      <c r="AC1431">
        <f>'raw data Crude oil'!AC1432</f>
        <v>85.935000000000002</v>
      </c>
      <c r="AD1431">
        <f>'raw data Crude oil'!AD1432</f>
        <v>84.015000000000001</v>
      </c>
      <c r="AE1431">
        <f>'raw data Crude oil'!AE1432</f>
        <v>82.572000000000003</v>
      </c>
      <c r="AF1431">
        <f>'raw data Crude oil'!AF1432</f>
        <v>81.522999999999996</v>
      </c>
      <c r="AG1431">
        <f>'raw data Crude oil'!AG1432</f>
        <v>80.778999999999996</v>
      </c>
      <c r="AH1431">
        <f>'raw data Crude oil'!AH1432</f>
        <v>80.213999999999999</v>
      </c>
      <c r="AI1431">
        <f>'raw data Crude oil'!AI1432</f>
        <v>79.658000000000001</v>
      </c>
      <c r="AJ1431">
        <f>'raw data Crude oil'!AJ1432</f>
        <v>79.174000000000007</v>
      </c>
      <c r="AK1431">
        <f>'raw data Crude oil'!AK1432</f>
        <v>78.733999999999995</v>
      </c>
    </row>
    <row r="1432" spans="1:37" x14ac:dyDescent="0.3">
      <c r="A1432" s="18">
        <f>'raw data Crude oil'!A1433</f>
        <v>44757</v>
      </c>
      <c r="B1432">
        <f>'raw data Crude oil'!B1433</f>
        <v>101.16</v>
      </c>
      <c r="C1432">
        <f>'raw data Crude oil'!C1433</f>
        <v>97.15</v>
      </c>
      <c r="D1432">
        <f>'raw data Crude oil'!D1433</f>
        <v>94.54</v>
      </c>
      <c r="E1432">
        <f>'raw data Crude oil'!E1433</f>
        <v>92.51</v>
      </c>
      <c r="F1432">
        <f>'raw data Crude oil'!F1433</f>
        <v>90.83</v>
      </c>
      <c r="G1432">
        <f>'raw data Crude oil'!G1433</f>
        <v>89.54</v>
      </c>
      <c r="H1432">
        <f>'raw data Crude oil'!H1433</f>
        <v>88.53</v>
      </c>
      <c r="I1432">
        <f>'raw data Crude oil'!I1433</f>
        <v>87.7</v>
      </c>
      <c r="J1432">
        <f>'raw data Crude oil'!J1433</f>
        <v>87.03</v>
      </c>
      <c r="K1432">
        <f>'raw data Crude oil'!K1433</f>
        <v>86.4</v>
      </c>
      <c r="L1432">
        <f>'raw data Crude oil'!L1433</f>
        <v>85.85</v>
      </c>
      <c r="M1432">
        <f>'raw data Crude oil'!M1433</f>
        <v>85.34</v>
      </c>
      <c r="N1432">
        <f>'raw data Crude oil'!N1433</f>
        <v>97.59</v>
      </c>
      <c r="O1432">
        <f>'raw data Crude oil'!O1433</f>
        <v>94.57</v>
      </c>
      <c r="P1432">
        <f>'raw data Crude oil'!P1433</f>
        <v>91.74</v>
      </c>
      <c r="Q1432">
        <f>'raw data Crude oil'!Q1433</f>
        <v>89.37</v>
      </c>
      <c r="R1432">
        <f>'raw data Crude oil'!R1433</f>
        <v>87.43</v>
      </c>
      <c r="S1432">
        <f>'raw data Crude oil'!S1433</f>
        <v>85.82</v>
      </c>
      <c r="T1432">
        <f>'raw data Crude oil'!T1433</f>
        <v>84.51</v>
      </c>
      <c r="U1432">
        <f>'raw data Crude oil'!U1433</f>
        <v>83.43</v>
      </c>
      <c r="V1432">
        <f>'raw data Crude oil'!V1433</f>
        <v>82.52</v>
      </c>
      <c r="W1432">
        <f>'raw data Crude oil'!W1433</f>
        <v>81.739999999999995</v>
      </c>
      <c r="X1432">
        <f>'raw data Crude oil'!X1433</f>
        <v>81.069999999999993</v>
      </c>
      <c r="Y1432">
        <f>'raw data Crude oil'!Y1433</f>
        <v>80.459999999999994</v>
      </c>
      <c r="Z1432">
        <f>'raw data Crude oil'!Z1433</f>
        <v>101.093</v>
      </c>
      <c r="AA1432">
        <f>'raw data Crude oil'!AA1433</f>
        <v>94.167000000000002</v>
      </c>
      <c r="AB1432">
        <f>'raw data Crude oil'!AB1433</f>
        <v>90.558000000000007</v>
      </c>
      <c r="AC1432">
        <f>'raw data Crude oil'!AC1433</f>
        <v>87.74</v>
      </c>
      <c r="AD1432">
        <f>'raw data Crude oil'!AD1433</f>
        <v>85.680999999999997</v>
      </c>
      <c r="AE1432">
        <f>'raw data Crude oil'!AE1433</f>
        <v>84.103999999999999</v>
      </c>
      <c r="AF1432">
        <f>'raw data Crude oil'!AF1433</f>
        <v>82.99</v>
      </c>
      <c r="AG1432">
        <f>'raw data Crude oil'!AG1433</f>
        <v>82.247</v>
      </c>
      <c r="AH1432">
        <f>'raw data Crude oil'!AH1433</f>
        <v>81.643000000000001</v>
      </c>
      <c r="AI1432">
        <f>'raw data Crude oil'!AI1433</f>
        <v>81.061000000000007</v>
      </c>
      <c r="AJ1432">
        <f>'raw data Crude oil'!AJ1433</f>
        <v>80.537999999999997</v>
      </c>
      <c r="AK1432">
        <f>'raw data Crude oil'!AK1433</f>
        <v>80.037999999999997</v>
      </c>
    </row>
    <row r="1433" spans="1:37" x14ac:dyDescent="0.3">
      <c r="A1433" s="18">
        <f>'raw data Crude oil'!A1434</f>
        <v>44760</v>
      </c>
      <c r="B1433">
        <f>'raw data Crude oil'!B1434</f>
        <v>106.27</v>
      </c>
      <c r="C1433">
        <f>'raw data Crude oil'!C1434</f>
        <v>101.86</v>
      </c>
      <c r="D1433">
        <f>'raw data Crude oil'!D1434</f>
        <v>98.95</v>
      </c>
      <c r="E1433">
        <f>'raw data Crude oil'!E1434</f>
        <v>96.7</v>
      </c>
      <c r="F1433">
        <f>'raw data Crude oil'!F1434</f>
        <v>94.86</v>
      </c>
      <c r="G1433">
        <f>'raw data Crude oil'!G1434</f>
        <v>93.46</v>
      </c>
      <c r="H1433">
        <f>'raw data Crude oil'!H1434</f>
        <v>92.36</v>
      </c>
      <c r="I1433">
        <f>'raw data Crude oil'!I1434</f>
        <v>91.44</v>
      </c>
      <c r="J1433">
        <f>'raw data Crude oil'!J1434</f>
        <v>90.67</v>
      </c>
      <c r="K1433">
        <f>'raw data Crude oil'!K1434</f>
        <v>89.96</v>
      </c>
      <c r="L1433">
        <f>'raw data Crude oil'!L1434</f>
        <v>89.35</v>
      </c>
      <c r="M1433">
        <f>'raw data Crude oil'!M1434</f>
        <v>88.79</v>
      </c>
      <c r="N1433">
        <f>'raw data Crude oil'!N1434</f>
        <v>102.6</v>
      </c>
      <c r="O1433">
        <f>'raw data Crude oil'!O1434</f>
        <v>99.42</v>
      </c>
      <c r="P1433">
        <f>'raw data Crude oil'!P1434</f>
        <v>96.36</v>
      </c>
      <c r="Q1433">
        <f>'raw data Crude oil'!Q1434</f>
        <v>93.79</v>
      </c>
      <c r="R1433">
        <f>'raw data Crude oil'!R1434</f>
        <v>91.62</v>
      </c>
      <c r="S1433">
        <f>'raw data Crude oil'!S1434</f>
        <v>89.81</v>
      </c>
      <c r="T1433">
        <f>'raw data Crude oil'!T1434</f>
        <v>88.35</v>
      </c>
      <c r="U1433">
        <f>'raw data Crude oil'!U1434</f>
        <v>87.15</v>
      </c>
      <c r="V1433">
        <f>'raw data Crude oil'!V1434</f>
        <v>86.15</v>
      </c>
      <c r="W1433">
        <f>'raw data Crude oil'!W1434</f>
        <v>85.32</v>
      </c>
      <c r="X1433">
        <f>'raw data Crude oil'!X1434</f>
        <v>84.58</v>
      </c>
      <c r="Y1433">
        <f>'raw data Crude oil'!Y1434</f>
        <v>83.91</v>
      </c>
      <c r="Z1433">
        <f>'raw data Crude oil'!Z1434</f>
        <v>103.587</v>
      </c>
      <c r="AA1433">
        <f>'raw data Crude oil'!AA1434</f>
        <v>99.034000000000006</v>
      </c>
      <c r="AB1433">
        <f>'raw data Crude oil'!AB1434</f>
        <v>95.034999999999997</v>
      </c>
      <c r="AC1433">
        <f>'raw data Crude oil'!AC1434</f>
        <v>92.021000000000001</v>
      </c>
      <c r="AD1433">
        <f>'raw data Crude oil'!AD1434</f>
        <v>89.775000000000006</v>
      </c>
      <c r="AE1433">
        <f>'raw data Crude oil'!AE1434</f>
        <v>88.055000000000007</v>
      </c>
      <c r="AF1433">
        <f>'raw data Crude oil'!AF1434</f>
        <v>86.885999999999996</v>
      </c>
      <c r="AG1433">
        <f>'raw data Crude oil'!AG1434</f>
        <v>86.072000000000003</v>
      </c>
      <c r="AH1433">
        <f>'raw data Crude oil'!AH1434</f>
        <v>85.358999999999995</v>
      </c>
      <c r="AI1433">
        <f>'raw data Crude oil'!AI1434</f>
        <v>84.677999999999997</v>
      </c>
      <c r="AJ1433">
        <f>'raw data Crude oil'!AJ1434</f>
        <v>84.096000000000004</v>
      </c>
      <c r="AK1433">
        <f>'raw data Crude oil'!AK1434</f>
        <v>83.555000000000007</v>
      </c>
    </row>
    <row r="1434" spans="1:37" x14ac:dyDescent="0.3">
      <c r="A1434" s="18">
        <f>'raw data Crude oil'!A1435</f>
        <v>44761</v>
      </c>
      <c r="B1434">
        <f>'raw data Crude oil'!B1435</f>
        <v>107.35</v>
      </c>
      <c r="C1434">
        <f>'raw data Crude oil'!C1435</f>
        <v>102.88</v>
      </c>
      <c r="D1434">
        <f>'raw data Crude oil'!D1435</f>
        <v>99.84</v>
      </c>
      <c r="E1434">
        <f>'raw data Crude oil'!E1435</f>
        <v>97.48</v>
      </c>
      <c r="F1434">
        <f>'raw data Crude oil'!F1435</f>
        <v>95.55</v>
      </c>
      <c r="G1434">
        <f>'raw data Crude oil'!G1435</f>
        <v>94.07</v>
      </c>
      <c r="H1434">
        <f>'raw data Crude oil'!H1435</f>
        <v>92.93</v>
      </c>
      <c r="I1434">
        <f>'raw data Crude oil'!I1435</f>
        <v>91.98</v>
      </c>
      <c r="J1434">
        <f>'raw data Crude oil'!J1435</f>
        <v>91.19</v>
      </c>
      <c r="K1434">
        <f>'raw data Crude oil'!K1435</f>
        <v>90.47</v>
      </c>
      <c r="L1434">
        <f>'raw data Crude oil'!L1435</f>
        <v>89.82</v>
      </c>
      <c r="M1434">
        <f>'raw data Crude oil'!M1435</f>
        <v>89.23</v>
      </c>
      <c r="N1434">
        <f>'raw data Crude oil'!N1435</f>
        <v>104.22</v>
      </c>
      <c r="O1434">
        <f>'raw data Crude oil'!O1435</f>
        <v>100.74</v>
      </c>
      <c r="P1434">
        <f>'raw data Crude oil'!P1435</f>
        <v>97.45</v>
      </c>
      <c r="Q1434">
        <f>'raw data Crude oil'!Q1435</f>
        <v>94.71</v>
      </c>
      <c r="R1434">
        <f>'raw data Crude oil'!R1435</f>
        <v>92.43</v>
      </c>
      <c r="S1434">
        <f>'raw data Crude oil'!S1435</f>
        <v>90.54</v>
      </c>
      <c r="T1434">
        <f>'raw data Crude oil'!T1435</f>
        <v>89.01</v>
      </c>
      <c r="U1434">
        <f>'raw data Crude oil'!U1435</f>
        <v>87.77</v>
      </c>
      <c r="V1434">
        <f>'raw data Crude oil'!V1435</f>
        <v>86.73</v>
      </c>
      <c r="W1434">
        <f>'raw data Crude oil'!W1435</f>
        <v>85.87</v>
      </c>
      <c r="X1434">
        <f>'raw data Crude oil'!X1435</f>
        <v>85.13</v>
      </c>
      <c r="Y1434">
        <f>'raw data Crude oil'!Y1435</f>
        <v>84.44</v>
      </c>
      <c r="Z1434">
        <f>'raw data Crude oil'!Z1435</f>
        <v>103.914</v>
      </c>
      <c r="AA1434">
        <f>'raw data Crude oil'!AA1435</f>
        <v>99.847999999999999</v>
      </c>
      <c r="AB1434">
        <f>'raw data Crude oil'!AB1435</f>
        <v>95.983000000000004</v>
      </c>
      <c r="AC1434">
        <f>'raw data Crude oil'!AC1435</f>
        <v>92.908000000000001</v>
      </c>
      <c r="AD1434">
        <f>'raw data Crude oil'!AD1435</f>
        <v>90.613</v>
      </c>
      <c r="AE1434">
        <f>'raw data Crude oil'!AE1435</f>
        <v>88.840999999999994</v>
      </c>
      <c r="AF1434">
        <f>'raw data Crude oil'!AF1435</f>
        <v>87.545000000000002</v>
      </c>
      <c r="AG1434">
        <f>'raw data Crude oil'!AG1435</f>
        <v>86.620999999999995</v>
      </c>
      <c r="AH1434">
        <f>'raw data Crude oil'!AH1435</f>
        <v>85.929000000000002</v>
      </c>
      <c r="AI1434">
        <f>'raw data Crude oil'!AI1435</f>
        <v>85.275999999999996</v>
      </c>
      <c r="AJ1434">
        <f>'raw data Crude oil'!AJ1435</f>
        <v>84.664000000000001</v>
      </c>
      <c r="AK1434">
        <f>'raw data Crude oil'!AK1435</f>
        <v>84.114000000000004</v>
      </c>
    </row>
    <row r="1435" spans="1:37" x14ac:dyDescent="0.3">
      <c r="A1435" s="18">
        <f>'raw data Crude oil'!A1436</f>
        <v>44762</v>
      </c>
      <c r="B1435">
        <f>'raw data Crude oil'!B1436</f>
        <v>106.92</v>
      </c>
      <c r="C1435">
        <f>'raw data Crude oil'!C1436</f>
        <v>102.37</v>
      </c>
      <c r="D1435">
        <f>'raw data Crude oil'!D1436</f>
        <v>99.51</v>
      </c>
      <c r="E1435">
        <f>'raw data Crude oil'!E1436</f>
        <v>97.36</v>
      </c>
      <c r="F1435">
        <f>'raw data Crude oil'!F1436</f>
        <v>95.58</v>
      </c>
      <c r="G1435">
        <f>'raw data Crude oil'!G1436</f>
        <v>94.19</v>
      </c>
      <c r="H1435">
        <f>'raw data Crude oil'!H1436</f>
        <v>93.09</v>
      </c>
      <c r="I1435">
        <f>'raw data Crude oil'!I1436</f>
        <v>92.15</v>
      </c>
      <c r="J1435">
        <f>'raw data Crude oil'!J1436</f>
        <v>91.36</v>
      </c>
      <c r="K1435">
        <f>'raw data Crude oil'!K1436</f>
        <v>90.62</v>
      </c>
      <c r="L1435">
        <f>'raw data Crude oil'!L1436</f>
        <v>89.96</v>
      </c>
      <c r="M1435">
        <f>'raw data Crude oil'!M1436</f>
        <v>89.34</v>
      </c>
      <c r="N1435">
        <f>'raw data Crude oil'!N1436</f>
        <v>102.26</v>
      </c>
      <c r="O1435">
        <f>'raw data Crude oil'!O1436</f>
        <v>99.88</v>
      </c>
      <c r="P1435">
        <f>'raw data Crude oil'!P1436</f>
        <v>96.88</v>
      </c>
      <c r="Q1435">
        <f>'raw data Crude oil'!Q1436</f>
        <v>94.45</v>
      </c>
      <c r="R1435">
        <f>'raw data Crude oil'!R1436</f>
        <v>92.42</v>
      </c>
      <c r="S1435">
        <f>'raw data Crude oil'!S1436</f>
        <v>90.72</v>
      </c>
      <c r="T1435">
        <f>'raw data Crude oil'!T1436</f>
        <v>89.3</v>
      </c>
      <c r="U1435">
        <f>'raw data Crude oil'!U1436</f>
        <v>88.1</v>
      </c>
      <c r="V1435">
        <f>'raw data Crude oil'!V1436</f>
        <v>87.08</v>
      </c>
      <c r="W1435">
        <f>'raw data Crude oil'!W1436</f>
        <v>86.21</v>
      </c>
      <c r="X1435">
        <f>'raw data Crude oil'!X1436</f>
        <v>85.42</v>
      </c>
      <c r="Y1435">
        <f>'raw data Crude oil'!Y1436</f>
        <v>84.69</v>
      </c>
      <c r="Z1435">
        <f>'raw data Crude oil'!Z1436</f>
        <v>103.61799999999999</v>
      </c>
      <c r="AA1435">
        <f>'raw data Crude oil'!AA1436</f>
        <v>99.165999999999997</v>
      </c>
      <c r="AB1435">
        <f>'raw data Crude oil'!AB1436</f>
        <v>95.481999999999999</v>
      </c>
      <c r="AC1435">
        <f>'raw data Crude oil'!AC1436</f>
        <v>92.625</v>
      </c>
      <c r="AD1435">
        <f>'raw data Crude oil'!AD1436</f>
        <v>90.477000000000004</v>
      </c>
      <c r="AE1435">
        <f>'raw data Crude oil'!AE1436</f>
        <v>88.805000000000007</v>
      </c>
      <c r="AF1435">
        <f>'raw data Crude oil'!AF1436</f>
        <v>87.584999999999994</v>
      </c>
      <c r="AG1435">
        <f>'raw data Crude oil'!AG1436</f>
        <v>86.661000000000001</v>
      </c>
      <c r="AH1435">
        <f>'raw data Crude oil'!AH1436</f>
        <v>85.968000000000004</v>
      </c>
      <c r="AI1435">
        <f>'raw data Crude oil'!AI1436</f>
        <v>85.259</v>
      </c>
      <c r="AJ1435">
        <f>'raw data Crude oil'!AJ1436</f>
        <v>84.637</v>
      </c>
      <c r="AK1435">
        <f>'raw data Crude oil'!AK1436</f>
        <v>84.063000000000002</v>
      </c>
    </row>
    <row r="1436" spans="1:37" x14ac:dyDescent="0.3">
      <c r="A1436" s="18">
        <f>'raw data Crude oil'!A1437</f>
        <v>44763</v>
      </c>
      <c r="B1436">
        <f>'raw data Crude oil'!B1437</f>
        <v>103.86</v>
      </c>
      <c r="C1436">
        <f>'raw data Crude oil'!C1437</f>
        <v>99.48</v>
      </c>
      <c r="D1436">
        <f>'raw data Crude oil'!D1437</f>
        <v>96.97</v>
      </c>
      <c r="E1436">
        <f>'raw data Crude oil'!E1437</f>
        <v>95.05</v>
      </c>
      <c r="F1436">
        <f>'raw data Crude oil'!F1437</f>
        <v>93.47</v>
      </c>
      <c r="G1436">
        <f>'raw data Crude oil'!G1437</f>
        <v>92.24</v>
      </c>
      <c r="H1436">
        <f>'raw data Crude oil'!H1437</f>
        <v>91.26</v>
      </c>
      <c r="I1436">
        <f>'raw data Crude oil'!I1437</f>
        <v>90.41</v>
      </c>
      <c r="J1436">
        <f>'raw data Crude oil'!J1437</f>
        <v>89.68</v>
      </c>
      <c r="K1436">
        <f>'raw data Crude oil'!K1437</f>
        <v>88.97</v>
      </c>
      <c r="L1436">
        <f>'raw data Crude oil'!L1437</f>
        <v>88.35</v>
      </c>
      <c r="M1436">
        <f>'raw data Crude oil'!M1437</f>
        <v>87.76</v>
      </c>
      <c r="N1436">
        <f>'raw data Crude oil'!N1437</f>
        <v>96.35</v>
      </c>
      <c r="O1436">
        <f>'raw data Crude oil'!O1437</f>
        <v>93.78</v>
      </c>
      <c r="P1436">
        <f>'raw data Crude oil'!P1437</f>
        <v>91.72</v>
      </c>
      <c r="Q1436">
        <f>'raw data Crude oil'!Q1437</f>
        <v>89.95</v>
      </c>
      <c r="R1436">
        <f>'raw data Crude oil'!R1437</f>
        <v>88.45</v>
      </c>
      <c r="S1436">
        <f>'raw data Crude oil'!S1437</f>
        <v>87.19</v>
      </c>
      <c r="T1436">
        <f>'raw data Crude oil'!T1437</f>
        <v>86.12</v>
      </c>
      <c r="U1436">
        <f>'raw data Crude oil'!U1437</f>
        <v>85.21</v>
      </c>
      <c r="V1436">
        <f>'raw data Crude oil'!V1437</f>
        <v>84.4</v>
      </c>
      <c r="W1436">
        <f>'raw data Crude oil'!W1437</f>
        <v>83.68</v>
      </c>
      <c r="X1436">
        <f>'raw data Crude oil'!X1437</f>
        <v>83</v>
      </c>
      <c r="Y1436">
        <f>'raw data Crude oil'!Y1437</f>
        <v>82.37</v>
      </c>
      <c r="Z1436">
        <f>'raw data Crude oil'!Z1437</f>
        <v>102.62</v>
      </c>
      <c r="AA1436">
        <f>'raw data Crude oil'!AA1437</f>
        <v>96.911000000000001</v>
      </c>
      <c r="AB1436">
        <f>'raw data Crude oil'!AB1437</f>
        <v>93.313000000000002</v>
      </c>
      <c r="AC1436">
        <f>'raw data Crude oil'!AC1437</f>
        <v>90.55</v>
      </c>
      <c r="AD1436">
        <f>'raw data Crude oil'!AD1437</f>
        <v>88.524000000000001</v>
      </c>
      <c r="AE1436">
        <f>'raw data Crude oil'!AE1437</f>
        <v>87.006</v>
      </c>
      <c r="AF1436">
        <f>'raw data Crude oil'!AF1437</f>
        <v>85.94</v>
      </c>
      <c r="AG1436">
        <f>'raw data Crude oil'!AG1437</f>
        <v>85.063999999999993</v>
      </c>
      <c r="AH1436">
        <f>'raw data Crude oil'!AH1437</f>
        <v>84.418999999999997</v>
      </c>
      <c r="AI1436">
        <f>'raw data Crude oil'!AI1437</f>
        <v>83.712000000000003</v>
      </c>
      <c r="AJ1436">
        <f>'raw data Crude oil'!AJ1437</f>
        <v>83.168999999999997</v>
      </c>
      <c r="AK1436">
        <f>'raw data Crude oil'!AK1437</f>
        <v>82.638999999999996</v>
      </c>
    </row>
    <row r="1437" spans="1:37" x14ac:dyDescent="0.3">
      <c r="A1437" s="18">
        <f>'raw data Crude oil'!A1438</f>
        <v>44764</v>
      </c>
      <c r="B1437">
        <f>'raw data Crude oil'!B1438</f>
        <v>103.2</v>
      </c>
      <c r="C1437">
        <f>'raw data Crude oil'!C1438</f>
        <v>98.38</v>
      </c>
      <c r="D1437">
        <f>'raw data Crude oil'!D1438</f>
        <v>95.93</v>
      </c>
      <c r="E1437">
        <f>'raw data Crude oil'!E1438</f>
        <v>94.04</v>
      </c>
      <c r="F1437">
        <f>'raw data Crude oil'!F1438</f>
        <v>92.48</v>
      </c>
      <c r="G1437">
        <f>'raw data Crude oil'!G1438</f>
        <v>91.26</v>
      </c>
      <c r="H1437">
        <f>'raw data Crude oil'!H1438</f>
        <v>90.3</v>
      </c>
      <c r="I1437">
        <f>'raw data Crude oil'!I1438</f>
        <v>89.46</v>
      </c>
      <c r="J1437">
        <f>'raw data Crude oil'!J1438</f>
        <v>88.74</v>
      </c>
      <c r="K1437">
        <f>'raw data Crude oil'!K1438</f>
        <v>88.05</v>
      </c>
      <c r="L1437">
        <f>'raw data Crude oil'!L1438</f>
        <v>87.45</v>
      </c>
      <c r="M1437">
        <f>'raw data Crude oil'!M1438</f>
        <v>86.88</v>
      </c>
      <c r="N1437">
        <f>'raw data Crude oil'!N1438</f>
        <v>94.7</v>
      </c>
      <c r="O1437">
        <f>'raw data Crude oil'!O1438</f>
        <v>92.43</v>
      </c>
      <c r="P1437">
        <f>'raw data Crude oil'!P1438</f>
        <v>90.6</v>
      </c>
      <c r="Q1437">
        <f>'raw data Crude oil'!Q1438</f>
        <v>88.93</v>
      </c>
      <c r="R1437">
        <f>'raw data Crude oil'!R1438</f>
        <v>87.49</v>
      </c>
      <c r="S1437">
        <f>'raw data Crude oil'!S1438</f>
        <v>86.25</v>
      </c>
      <c r="T1437">
        <f>'raw data Crude oil'!T1438</f>
        <v>85.19</v>
      </c>
      <c r="U1437">
        <f>'raw data Crude oil'!U1438</f>
        <v>84.27</v>
      </c>
      <c r="V1437">
        <f>'raw data Crude oil'!V1438</f>
        <v>83.45</v>
      </c>
      <c r="W1437">
        <f>'raw data Crude oil'!W1438</f>
        <v>82.74</v>
      </c>
      <c r="X1437">
        <f>'raw data Crude oil'!X1438</f>
        <v>82.07</v>
      </c>
      <c r="Y1437">
        <f>'raw data Crude oil'!Y1438</f>
        <v>81.42</v>
      </c>
      <c r="Z1437">
        <f>'raw data Crude oil'!Z1438</f>
        <v>102.494</v>
      </c>
      <c r="AA1437">
        <f>'raw data Crude oil'!AA1438</f>
        <v>96.283000000000001</v>
      </c>
      <c r="AB1437">
        <f>'raw data Crude oil'!AB1438</f>
        <v>92.573999999999998</v>
      </c>
      <c r="AC1437">
        <f>'raw data Crude oil'!AC1438</f>
        <v>89.866</v>
      </c>
      <c r="AD1437">
        <f>'raw data Crude oil'!AD1438</f>
        <v>87.864999999999995</v>
      </c>
      <c r="AE1437">
        <f>'raw data Crude oil'!AE1438</f>
        <v>86.338999999999999</v>
      </c>
      <c r="AF1437">
        <f>'raw data Crude oil'!AF1438</f>
        <v>85.27</v>
      </c>
      <c r="AG1437">
        <f>'raw data Crude oil'!AG1438</f>
        <v>84.384</v>
      </c>
      <c r="AH1437">
        <f>'raw data Crude oil'!AH1438</f>
        <v>83.78</v>
      </c>
      <c r="AI1437">
        <f>'raw data Crude oil'!AI1438</f>
        <v>83.128</v>
      </c>
      <c r="AJ1437">
        <f>'raw data Crude oil'!AJ1438</f>
        <v>82.534999999999997</v>
      </c>
      <c r="AK1437">
        <f>'raw data Crude oil'!AK1438</f>
        <v>81.974999999999994</v>
      </c>
    </row>
    <row r="1438" spans="1:37" x14ac:dyDescent="0.3">
      <c r="A1438" s="18">
        <f>'raw data Crude oil'!A1439</f>
        <v>44767</v>
      </c>
      <c r="B1438">
        <f>'raw data Crude oil'!B1439</f>
        <v>105.15</v>
      </c>
      <c r="C1438">
        <f>'raw data Crude oil'!C1439</f>
        <v>100.19</v>
      </c>
      <c r="D1438">
        <f>'raw data Crude oil'!D1439</f>
        <v>97.8</v>
      </c>
      <c r="E1438">
        <f>'raw data Crude oil'!E1439</f>
        <v>95.92</v>
      </c>
      <c r="F1438">
        <f>'raw data Crude oil'!F1439</f>
        <v>94.37</v>
      </c>
      <c r="G1438">
        <f>'raw data Crude oil'!G1439</f>
        <v>93.18</v>
      </c>
      <c r="H1438">
        <f>'raw data Crude oil'!H1439</f>
        <v>92.24</v>
      </c>
      <c r="I1438">
        <f>'raw data Crude oil'!I1439</f>
        <v>91.4</v>
      </c>
      <c r="J1438">
        <f>'raw data Crude oil'!J1439</f>
        <v>90.66</v>
      </c>
      <c r="K1438">
        <f>'raw data Crude oil'!K1439</f>
        <v>89.96</v>
      </c>
      <c r="L1438">
        <f>'raw data Crude oil'!L1439</f>
        <v>89.33</v>
      </c>
      <c r="M1438">
        <f>'raw data Crude oil'!M1439</f>
        <v>88.74</v>
      </c>
      <c r="N1438">
        <f>'raw data Crude oil'!N1439</f>
        <v>96.7</v>
      </c>
      <c r="O1438">
        <f>'raw data Crude oil'!O1439</f>
        <v>94.42</v>
      </c>
      <c r="P1438">
        <f>'raw data Crude oil'!P1439</f>
        <v>92.58</v>
      </c>
      <c r="Q1438">
        <f>'raw data Crude oil'!Q1439</f>
        <v>90.89</v>
      </c>
      <c r="R1438">
        <f>'raw data Crude oil'!R1439</f>
        <v>89.43</v>
      </c>
      <c r="S1438">
        <f>'raw data Crude oil'!S1439</f>
        <v>88.19</v>
      </c>
      <c r="T1438">
        <f>'raw data Crude oil'!T1439</f>
        <v>87.14</v>
      </c>
      <c r="U1438">
        <f>'raw data Crude oil'!U1439</f>
        <v>86.21</v>
      </c>
      <c r="V1438">
        <f>'raw data Crude oil'!V1439</f>
        <v>85.39</v>
      </c>
      <c r="W1438">
        <f>'raw data Crude oil'!W1439</f>
        <v>84.66</v>
      </c>
      <c r="X1438">
        <f>'raw data Crude oil'!X1439</f>
        <v>83.96</v>
      </c>
      <c r="Y1438">
        <f>'raw data Crude oil'!Y1439</f>
        <v>83.31</v>
      </c>
      <c r="Z1438">
        <f>'raw data Crude oil'!Z1439</f>
        <v>102.883</v>
      </c>
      <c r="AA1438">
        <f>'raw data Crude oil'!AA1439</f>
        <v>98.036000000000001</v>
      </c>
      <c r="AB1438">
        <f>'raw data Crude oil'!AB1439</f>
        <v>94.405000000000001</v>
      </c>
      <c r="AC1438">
        <f>'raw data Crude oil'!AC1439</f>
        <v>91.736000000000004</v>
      </c>
      <c r="AD1438">
        <f>'raw data Crude oil'!AD1439</f>
        <v>89.775999999999996</v>
      </c>
      <c r="AE1438">
        <f>'raw data Crude oil'!AE1439</f>
        <v>88.31</v>
      </c>
      <c r="AF1438">
        <f>'raw data Crude oil'!AF1439</f>
        <v>87.26</v>
      </c>
      <c r="AG1438">
        <f>'raw data Crude oil'!AG1439</f>
        <v>86.382999999999996</v>
      </c>
      <c r="AH1438">
        <f>'raw data Crude oil'!AH1439</f>
        <v>85.68</v>
      </c>
      <c r="AI1438">
        <f>'raw data Crude oil'!AI1439</f>
        <v>85.016999999999996</v>
      </c>
      <c r="AJ1438">
        <f>'raw data Crude oil'!AJ1439</f>
        <v>84.444000000000003</v>
      </c>
      <c r="AK1438">
        <f>'raw data Crude oil'!AK1439</f>
        <v>83.924999999999997</v>
      </c>
    </row>
    <row r="1439" spans="1:37" x14ac:dyDescent="0.3">
      <c r="A1439" s="18">
        <f>'raw data Crude oil'!A1440</f>
        <v>44768</v>
      </c>
      <c r="B1439">
        <f>'raw data Crude oil'!B1440</f>
        <v>104.4</v>
      </c>
      <c r="C1439">
        <f>'raw data Crude oil'!C1440</f>
        <v>99.46</v>
      </c>
      <c r="D1439">
        <f>'raw data Crude oil'!D1440</f>
        <v>97.14</v>
      </c>
      <c r="E1439">
        <f>'raw data Crude oil'!E1440</f>
        <v>95.34</v>
      </c>
      <c r="F1439">
        <f>'raw data Crude oil'!F1440</f>
        <v>93.84</v>
      </c>
      <c r="G1439">
        <f>'raw data Crude oil'!G1440</f>
        <v>92.7</v>
      </c>
      <c r="H1439">
        <f>'raw data Crude oil'!H1440</f>
        <v>91.81</v>
      </c>
      <c r="I1439">
        <f>'raw data Crude oil'!I1440</f>
        <v>91.04</v>
      </c>
      <c r="J1439">
        <f>'raw data Crude oil'!J1440</f>
        <v>90.34</v>
      </c>
      <c r="K1439">
        <f>'raw data Crude oil'!K1440</f>
        <v>89.67</v>
      </c>
      <c r="L1439">
        <f>'raw data Crude oil'!L1440</f>
        <v>89.09</v>
      </c>
      <c r="M1439">
        <f>'raw data Crude oil'!M1440</f>
        <v>88.53</v>
      </c>
      <c r="N1439">
        <f>'raw data Crude oil'!N1440</f>
        <v>94.98</v>
      </c>
      <c r="O1439">
        <f>'raw data Crude oil'!O1440</f>
        <v>92.88</v>
      </c>
      <c r="P1439">
        <f>'raw data Crude oil'!P1440</f>
        <v>91.32</v>
      </c>
      <c r="Q1439">
        <f>'raw data Crude oil'!Q1440</f>
        <v>89.84</v>
      </c>
      <c r="R1439">
        <f>'raw data Crude oil'!R1440</f>
        <v>88.52</v>
      </c>
      <c r="S1439">
        <f>'raw data Crude oil'!S1440</f>
        <v>87.41</v>
      </c>
      <c r="T1439">
        <f>'raw data Crude oil'!T1440</f>
        <v>86.44</v>
      </c>
      <c r="U1439">
        <f>'raw data Crude oil'!U1440</f>
        <v>85.6</v>
      </c>
      <c r="V1439">
        <f>'raw data Crude oil'!V1440</f>
        <v>84.85</v>
      </c>
      <c r="W1439">
        <f>'raw data Crude oil'!W1440</f>
        <v>84.15</v>
      </c>
      <c r="X1439">
        <f>'raw data Crude oil'!X1440</f>
        <v>83.49</v>
      </c>
      <c r="Y1439">
        <f>'raw data Crude oil'!Y1440</f>
        <v>82.87</v>
      </c>
      <c r="Z1439">
        <f>'raw data Crude oil'!Z1440</f>
        <v>102.83799999999999</v>
      </c>
      <c r="AA1439">
        <f>'raw data Crude oil'!AA1440</f>
        <v>97.245999999999995</v>
      </c>
      <c r="AB1439">
        <f>'raw data Crude oil'!AB1440</f>
        <v>93.647999999999996</v>
      </c>
      <c r="AC1439">
        <f>'raw data Crude oil'!AC1440</f>
        <v>91.078000000000003</v>
      </c>
      <c r="AD1439">
        <f>'raw data Crude oil'!AD1440</f>
        <v>89.218000000000004</v>
      </c>
      <c r="AE1439">
        <f>'raw data Crude oil'!AE1440</f>
        <v>87.864999999999995</v>
      </c>
      <c r="AF1439">
        <f>'raw data Crude oil'!AF1440</f>
        <v>86.923000000000002</v>
      </c>
      <c r="AG1439">
        <f>'raw data Crude oil'!AG1440</f>
        <v>86.155000000000001</v>
      </c>
      <c r="AH1439">
        <f>'raw data Crude oil'!AH1440</f>
        <v>85.480999999999995</v>
      </c>
      <c r="AI1439">
        <f>'raw data Crude oil'!AI1440</f>
        <v>84.828999999999994</v>
      </c>
      <c r="AJ1439">
        <f>'raw data Crude oil'!AJ1440</f>
        <v>84.316000000000003</v>
      </c>
      <c r="AK1439">
        <f>'raw data Crude oil'!AK1440</f>
        <v>83.835999999999999</v>
      </c>
    </row>
    <row r="1440" spans="1:37" x14ac:dyDescent="0.3">
      <c r="A1440" s="18">
        <f>'raw data Crude oil'!A1441</f>
        <v>44769</v>
      </c>
      <c r="B1440">
        <f>'raw data Crude oil'!B1441</f>
        <v>106.62</v>
      </c>
      <c r="C1440">
        <f>'raw data Crude oil'!C1441</f>
        <v>101.67</v>
      </c>
      <c r="D1440">
        <f>'raw data Crude oil'!D1441</f>
        <v>99.44</v>
      </c>
      <c r="E1440">
        <f>'raw data Crude oil'!E1441</f>
        <v>97.75</v>
      </c>
      <c r="F1440">
        <f>'raw data Crude oil'!F1441</f>
        <v>96.28</v>
      </c>
      <c r="G1440">
        <f>'raw data Crude oil'!G1441</f>
        <v>95.12</v>
      </c>
      <c r="H1440">
        <f>'raw data Crude oil'!H1441</f>
        <v>94.2</v>
      </c>
      <c r="I1440">
        <f>'raw data Crude oil'!I1441</f>
        <v>93.39</v>
      </c>
      <c r="J1440">
        <f>'raw data Crude oil'!J1441</f>
        <v>92.66</v>
      </c>
      <c r="K1440">
        <f>'raw data Crude oil'!K1441</f>
        <v>91.95</v>
      </c>
      <c r="L1440">
        <f>'raw data Crude oil'!L1441</f>
        <v>91.33</v>
      </c>
      <c r="M1440">
        <f>'raw data Crude oil'!M1441</f>
        <v>90.72</v>
      </c>
      <c r="N1440">
        <f>'raw data Crude oil'!N1441</f>
        <v>97.26</v>
      </c>
      <c r="O1440">
        <f>'raw data Crude oil'!O1441</f>
        <v>95.29</v>
      </c>
      <c r="P1440">
        <f>'raw data Crude oil'!P1441</f>
        <v>93.79</v>
      </c>
      <c r="Q1440">
        <f>'raw data Crude oil'!Q1441</f>
        <v>92.34</v>
      </c>
      <c r="R1440">
        <f>'raw data Crude oil'!R1441</f>
        <v>91.02</v>
      </c>
      <c r="S1440">
        <f>'raw data Crude oil'!S1441</f>
        <v>89.86</v>
      </c>
      <c r="T1440">
        <f>'raw data Crude oil'!T1441</f>
        <v>88.86</v>
      </c>
      <c r="U1440">
        <f>'raw data Crude oil'!U1441</f>
        <v>87.98</v>
      </c>
      <c r="V1440">
        <f>'raw data Crude oil'!V1441</f>
        <v>87.19</v>
      </c>
      <c r="W1440">
        <f>'raw data Crude oil'!W1441</f>
        <v>86.46</v>
      </c>
      <c r="X1440">
        <f>'raw data Crude oil'!X1441</f>
        <v>85.78</v>
      </c>
      <c r="Y1440">
        <f>'raw data Crude oil'!Y1441</f>
        <v>85.13</v>
      </c>
      <c r="Z1440">
        <f>'raw data Crude oil'!Z1441</f>
        <v>103</v>
      </c>
      <c r="AA1440">
        <f>'raw data Crude oil'!AA1441</f>
        <v>99.483999999999995</v>
      </c>
      <c r="AB1440">
        <f>'raw data Crude oil'!AB1441</f>
        <v>96.093000000000004</v>
      </c>
      <c r="AC1440">
        <f>'raw data Crude oil'!AC1441</f>
        <v>93.631</v>
      </c>
      <c r="AD1440">
        <f>'raw data Crude oil'!AD1441</f>
        <v>91.757000000000005</v>
      </c>
      <c r="AE1440">
        <f>'raw data Crude oil'!AE1441</f>
        <v>90.361999999999995</v>
      </c>
      <c r="AF1440">
        <f>'raw data Crude oil'!AF1441</f>
        <v>89.421000000000006</v>
      </c>
      <c r="AG1440">
        <f>'raw data Crude oil'!AG1441</f>
        <v>88.623999999999995</v>
      </c>
      <c r="AH1440">
        <f>'raw data Crude oil'!AH1441</f>
        <v>87.948999999999998</v>
      </c>
      <c r="AI1440">
        <f>'raw data Crude oil'!AI1441</f>
        <v>87.296999999999997</v>
      </c>
      <c r="AJ1440">
        <f>'raw data Crude oil'!AJ1441</f>
        <v>86.733000000000004</v>
      </c>
      <c r="AK1440">
        <f>'raw data Crude oil'!AK1441</f>
        <v>86.224000000000004</v>
      </c>
    </row>
    <row r="1441" spans="1:37" x14ac:dyDescent="0.3">
      <c r="A1441" s="18">
        <f>'raw data Crude oil'!A1442</f>
        <v>44770</v>
      </c>
      <c r="B1441">
        <f>'raw data Crude oil'!B1442</f>
        <v>107.14</v>
      </c>
      <c r="C1441">
        <f>'raw data Crude oil'!C1442</f>
        <v>101.83</v>
      </c>
      <c r="D1441">
        <f>'raw data Crude oil'!D1442</f>
        <v>99.49</v>
      </c>
      <c r="E1441">
        <f>'raw data Crude oil'!E1442</f>
        <v>97.74</v>
      </c>
      <c r="F1441">
        <f>'raw data Crude oil'!F1442</f>
        <v>96.19</v>
      </c>
      <c r="G1441">
        <f>'raw data Crude oil'!G1442</f>
        <v>94.95</v>
      </c>
      <c r="H1441">
        <f>'raw data Crude oil'!H1442</f>
        <v>93.97</v>
      </c>
      <c r="I1441">
        <f>'raw data Crude oil'!I1442</f>
        <v>93.11</v>
      </c>
      <c r="J1441">
        <f>'raw data Crude oil'!J1442</f>
        <v>92.34</v>
      </c>
      <c r="K1441">
        <f>'raw data Crude oil'!K1442</f>
        <v>91.59</v>
      </c>
      <c r="L1441">
        <f>'raw data Crude oil'!L1442</f>
        <v>90.93</v>
      </c>
      <c r="M1441">
        <f>'raw data Crude oil'!M1442</f>
        <v>90.29</v>
      </c>
      <c r="N1441">
        <f>'raw data Crude oil'!N1442</f>
        <v>96.42</v>
      </c>
      <c r="O1441">
        <f>'raw data Crude oil'!O1442</f>
        <v>94.65</v>
      </c>
      <c r="P1441">
        <f>'raw data Crude oil'!P1442</f>
        <v>93.28</v>
      </c>
      <c r="Q1441">
        <f>'raw data Crude oil'!Q1442</f>
        <v>91.91</v>
      </c>
      <c r="R1441">
        <f>'raw data Crude oil'!R1442</f>
        <v>90.59</v>
      </c>
      <c r="S1441">
        <f>'raw data Crude oil'!S1442</f>
        <v>89.4</v>
      </c>
      <c r="T1441">
        <f>'raw data Crude oil'!T1442</f>
        <v>88.38</v>
      </c>
      <c r="U1441">
        <f>'raw data Crude oil'!U1442</f>
        <v>87.47</v>
      </c>
      <c r="V1441">
        <f>'raw data Crude oil'!V1442</f>
        <v>86.66</v>
      </c>
      <c r="W1441">
        <f>'raw data Crude oil'!W1442</f>
        <v>85.88</v>
      </c>
      <c r="X1441">
        <f>'raw data Crude oil'!X1442</f>
        <v>85.16</v>
      </c>
      <c r="Y1441">
        <f>'raw data Crude oil'!Y1442</f>
        <v>84.48</v>
      </c>
      <c r="Z1441">
        <f>'raw data Crude oil'!Z1442</f>
        <v>103.005</v>
      </c>
      <c r="AA1441">
        <f>'raw data Crude oil'!AA1442</f>
        <v>99.477999999999994</v>
      </c>
      <c r="AB1441">
        <f>'raw data Crude oil'!AB1442</f>
        <v>96.277000000000001</v>
      </c>
      <c r="AC1441">
        <f>'raw data Crude oil'!AC1442</f>
        <v>93.906000000000006</v>
      </c>
      <c r="AD1441">
        <f>'raw data Crude oil'!AD1442</f>
        <v>91.994</v>
      </c>
      <c r="AE1441">
        <f>'raw data Crude oil'!AE1442</f>
        <v>90.516999999999996</v>
      </c>
      <c r="AF1441">
        <f>'raw data Crude oil'!AF1442</f>
        <v>89.438999999999993</v>
      </c>
      <c r="AG1441">
        <f>'raw data Crude oil'!AG1442</f>
        <v>88.561999999999998</v>
      </c>
      <c r="AH1441">
        <f>'raw data Crude oil'!AH1442</f>
        <v>87.887</v>
      </c>
      <c r="AI1441">
        <f>'raw data Crude oil'!AI1442</f>
        <v>87.185000000000002</v>
      </c>
      <c r="AJ1441">
        <f>'raw data Crude oil'!AJ1442</f>
        <v>86.572000000000003</v>
      </c>
      <c r="AK1441">
        <f>'raw data Crude oil'!AK1442</f>
        <v>85.953000000000003</v>
      </c>
    </row>
    <row r="1442" spans="1:37" x14ac:dyDescent="0.3">
      <c r="A1442" s="18">
        <f>'raw data Crude oil'!A1443</f>
        <v>44771</v>
      </c>
      <c r="B1442">
        <f>'raw data Crude oil'!B1443</f>
        <v>110.01</v>
      </c>
      <c r="C1442">
        <f>'raw data Crude oil'!C1443</f>
        <v>103.97</v>
      </c>
      <c r="D1442">
        <f>'raw data Crude oil'!D1443</f>
        <v>101.44</v>
      </c>
      <c r="E1442">
        <f>'raw data Crude oil'!E1443</f>
        <v>99.62</v>
      </c>
      <c r="F1442">
        <f>'raw data Crude oil'!F1443</f>
        <v>98.02</v>
      </c>
      <c r="G1442">
        <f>'raw data Crude oil'!G1443</f>
        <v>96.74</v>
      </c>
      <c r="H1442">
        <f>'raw data Crude oil'!H1443</f>
        <v>95.72</v>
      </c>
      <c r="I1442">
        <f>'raw data Crude oil'!I1443</f>
        <v>94.83</v>
      </c>
      <c r="J1442">
        <f>'raw data Crude oil'!J1443</f>
        <v>94.03</v>
      </c>
      <c r="K1442">
        <f>'raw data Crude oil'!K1443</f>
        <v>93.24</v>
      </c>
      <c r="L1442">
        <f>'raw data Crude oil'!L1443</f>
        <v>92.54</v>
      </c>
      <c r="M1442">
        <f>'raw data Crude oil'!M1443</f>
        <v>91.87</v>
      </c>
      <c r="N1442">
        <f>'raw data Crude oil'!N1443</f>
        <v>98.62</v>
      </c>
      <c r="O1442">
        <f>'raw data Crude oil'!O1443</f>
        <v>96.75</v>
      </c>
      <c r="P1442">
        <f>'raw data Crude oil'!P1443</f>
        <v>95.3</v>
      </c>
      <c r="Q1442">
        <f>'raw data Crude oil'!Q1443</f>
        <v>93.87</v>
      </c>
      <c r="R1442">
        <f>'raw data Crude oil'!R1443</f>
        <v>92.52</v>
      </c>
      <c r="S1442">
        <f>'raw data Crude oil'!S1443</f>
        <v>91.29</v>
      </c>
      <c r="T1442">
        <f>'raw data Crude oil'!T1443</f>
        <v>90.22</v>
      </c>
      <c r="U1442">
        <f>'raw data Crude oil'!U1443</f>
        <v>89.27</v>
      </c>
      <c r="V1442">
        <f>'raw data Crude oil'!V1443</f>
        <v>88.41</v>
      </c>
      <c r="W1442">
        <f>'raw data Crude oil'!W1443</f>
        <v>87.59</v>
      </c>
      <c r="X1442">
        <f>'raw data Crude oil'!X1443</f>
        <v>86.84</v>
      </c>
      <c r="Y1442">
        <f>'raw data Crude oil'!Y1443</f>
        <v>86.13</v>
      </c>
      <c r="Z1442">
        <f>'raw data Crude oil'!Z1443</f>
        <v>103.123</v>
      </c>
      <c r="AA1442">
        <f>'raw data Crude oil'!AA1443</f>
        <v>101.667</v>
      </c>
      <c r="AB1442">
        <f>'raw data Crude oil'!AB1443</f>
        <v>98.227000000000004</v>
      </c>
      <c r="AC1442">
        <f>'raw data Crude oil'!AC1443</f>
        <v>95.706999999999994</v>
      </c>
      <c r="AD1442">
        <f>'raw data Crude oil'!AD1443</f>
        <v>93.759</v>
      </c>
      <c r="AE1442">
        <f>'raw data Crude oil'!AE1443</f>
        <v>92.23</v>
      </c>
      <c r="AF1442">
        <f>'raw data Crude oil'!AF1443</f>
        <v>91.156999999999996</v>
      </c>
      <c r="AG1442">
        <f>'raw data Crude oil'!AG1443</f>
        <v>90.269000000000005</v>
      </c>
      <c r="AH1442">
        <f>'raw data Crude oil'!AH1443</f>
        <v>89.525999999999996</v>
      </c>
      <c r="AI1442">
        <f>'raw data Crude oil'!AI1443</f>
        <v>88.882999999999996</v>
      </c>
      <c r="AJ1442">
        <f>'raw data Crude oil'!AJ1443</f>
        <v>88.251000000000005</v>
      </c>
      <c r="AK1442">
        <f>'raw data Crude oil'!AK1443</f>
        <v>87.662000000000006</v>
      </c>
    </row>
    <row r="1443" spans="1:37" x14ac:dyDescent="0.3">
      <c r="A1443" s="18">
        <f>'raw data Crude oil'!A1444</f>
        <v>44774</v>
      </c>
      <c r="B1443">
        <f>'raw data Crude oil'!B1444</f>
        <v>100.03</v>
      </c>
      <c r="C1443">
        <f>'raw data Crude oil'!C1444</f>
        <v>97.95</v>
      </c>
      <c r="D1443">
        <f>'raw data Crude oil'!D1444</f>
        <v>96.47</v>
      </c>
      <c r="E1443">
        <f>'raw data Crude oil'!E1444</f>
        <v>95.14</v>
      </c>
      <c r="F1443">
        <f>'raw data Crude oil'!F1444</f>
        <v>94.06</v>
      </c>
      <c r="G1443">
        <f>'raw data Crude oil'!G1444</f>
        <v>93.17</v>
      </c>
      <c r="H1443">
        <f>'raw data Crude oil'!H1444</f>
        <v>92.37</v>
      </c>
      <c r="I1443">
        <f>'raw data Crude oil'!I1444</f>
        <v>91.64</v>
      </c>
      <c r="J1443">
        <f>'raw data Crude oil'!J1444</f>
        <v>90.92</v>
      </c>
      <c r="K1443">
        <f>'raw data Crude oil'!K1444</f>
        <v>90.28</v>
      </c>
      <c r="L1443">
        <f>'raw data Crude oil'!L1444</f>
        <v>89.65</v>
      </c>
      <c r="M1443">
        <f>'raw data Crude oil'!M1444</f>
        <v>89.08</v>
      </c>
      <c r="N1443">
        <f>'raw data Crude oil'!N1444</f>
        <v>93.89</v>
      </c>
      <c r="O1443">
        <f>'raw data Crude oil'!O1444</f>
        <v>92.39</v>
      </c>
      <c r="P1443">
        <f>'raw data Crude oil'!P1444</f>
        <v>91.34</v>
      </c>
      <c r="Q1443">
        <f>'raw data Crude oil'!Q1444</f>
        <v>90.29</v>
      </c>
      <c r="R1443">
        <f>'raw data Crude oil'!R1444</f>
        <v>89.25</v>
      </c>
      <c r="S1443">
        <f>'raw data Crude oil'!S1444</f>
        <v>88.25</v>
      </c>
      <c r="T1443">
        <f>'raw data Crude oil'!T1444</f>
        <v>87.35</v>
      </c>
      <c r="U1443">
        <f>'raw data Crude oil'!U1444</f>
        <v>86.51</v>
      </c>
      <c r="V1443">
        <f>'raw data Crude oil'!V1444</f>
        <v>85.73</v>
      </c>
      <c r="W1443">
        <f>'raw data Crude oil'!W1444</f>
        <v>84.99</v>
      </c>
      <c r="X1443">
        <f>'raw data Crude oil'!X1444</f>
        <v>84.31</v>
      </c>
      <c r="Y1443">
        <f>'raw data Crude oil'!Y1444</f>
        <v>83.67</v>
      </c>
      <c r="Z1443">
        <f>'raw data Crude oil'!Z1444</f>
        <v>103.123</v>
      </c>
      <c r="AA1443">
        <f>'raw data Crude oil'!AA1444</f>
        <v>98.581999999999994</v>
      </c>
      <c r="AB1443">
        <f>'raw data Crude oil'!AB1444</f>
        <v>94.893000000000001</v>
      </c>
      <c r="AC1443">
        <f>'raw data Crude oil'!AC1444</f>
        <v>92.498000000000005</v>
      </c>
      <c r="AD1443">
        <f>'raw data Crude oil'!AD1444</f>
        <v>90.766000000000005</v>
      </c>
      <c r="AE1443">
        <f>'raw data Crude oil'!AE1444</f>
        <v>89.444999999999993</v>
      </c>
      <c r="AF1443">
        <f>'raw data Crude oil'!AF1444</f>
        <v>88.512</v>
      </c>
      <c r="AG1443">
        <f>'raw data Crude oil'!AG1444</f>
        <v>87.784000000000006</v>
      </c>
      <c r="AH1443">
        <f>'raw data Crude oil'!AH1444</f>
        <v>87.129000000000005</v>
      </c>
      <c r="AI1443">
        <f>'raw data Crude oil'!AI1444</f>
        <v>86.486000000000004</v>
      </c>
      <c r="AJ1443">
        <f>'raw data Crude oil'!AJ1444</f>
        <v>85.873000000000005</v>
      </c>
      <c r="AK1443">
        <f>'raw data Crude oil'!AK1444</f>
        <v>85.293999999999997</v>
      </c>
    </row>
    <row r="1444" spans="1:37" x14ac:dyDescent="0.3">
      <c r="A1444" s="18">
        <f>'raw data Crude oil'!A1445</f>
        <v>44775</v>
      </c>
      <c r="B1444">
        <f>'raw data Crude oil'!B1445</f>
        <v>100.54</v>
      </c>
      <c r="C1444">
        <f>'raw data Crude oil'!C1445</f>
        <v>98.64</v>
      </c>
      <c r="D1444">
        <f>'raw data Crude oil'!D1445</f>
        <v>97.28</v>
      </c>
      <c r="E1444">
        <f>'raw data Crude oil'!E1445</f>
        <v>96.06</v>
      </c>
      <c r="F1444">
        <f>'raw data Crude oil'!F1445</f>
        <v>95.08</v>
      </c>
      <c r="G1444">
        <f>'raw data Crude oil'!G1445</f>
        <v>94.27</v>
      </c>
      <c r="H1444">
        <f>'raw data Crude oil'!H1445</f>
        <v>93.51</v>
      </c>
      <c r="I1444">
        <f>'raw data Crude oil'!I1445</f>
        <v>92.8</v>
      </c>
      <c r="J1444">
        <f>'raw data Crude oil'!J1445</f>
        <v>92.09</v>
      </c>
      <c r="K1444">
        <f>'raw data Crude oil'!K1445</f>
        <v>91.46</v>
      </c>
      <c r="L1444">
        <f>'raw data Crude oil'!L1445</f>
        <v>90.84</v>
      </c>
      <c r="M1444">
        <f>'raw data Crude oil'!M1445</f>
        <v>90.28</v>
      </c>
      <c r="N1444">
        <f>'raw data Crude oil'!N1445</f>
        <v>94.42</v>
      </c>
      <c r="O1444">
        <f>'raw data Crude oil'!O1445</f>
        <v>93.22</v>
      </c>
      <c r="P1444">
        <f>'raw data Crude oil'!P1445</f>
        <v>92.29</v>
      </c>
      <c r="Q1444">
        <f>'raw data Crude oil'!Q1445</f>
        <v>91.33</v>
      </c>
      <c r="R1444">
        <f>'raw data Crude oil'!R1445</f>
        <v>90.36</v>
      </c>
      <c r="S1444">
        <f>'raw data Crude oil'!S1445</f>
        <v>89.42</v>
      </c>
      <c r="T1444">
        <f>'raw data Crude oil'!T1445</f>
        <v>88.55</v>
      </c>
      <c r="U1444">
        <f>'raw data Crude oil'!U1445</f>
        <v>87.74</v>
      </c>
      <c r="V1444">
        <f>'raw data Crude oil'!V1445</f>
        <v>86.98</v>
      </c>
      <c r="W1444">
        <f>'raw data Crude oil'!W1445</f>
        <v>86.24</v>
      </c>
      <c r="X1444">
        <f>'raw data Crude oil'!X1445</f>
        <v>85.56</v>
      </c>
      <c r="Y1444">
        <f>'raw data Crude oil'!Y1445</f>
        <v>84.91</v>
      </c>
      <c r="Z1444">
        <f>'raw data Crude oil'!Z1445</f>
        <v>99.111000000000004</v>
      </c>
      <c r="AA1444">
        <f>'raw data Crude oil'!AA1445</f>
        <v>95.567999999999998</v>
      </c>
      <c r="AB1444">
        <f>'raw data Crude oil'!AB1445</f>
        <v>93.311999999999998</v>
      </c>
      <c r="AC1444">
        <f>'raw data Crude oil'!AC1445</f>
        <v>91.716999999999999</v>
      </c>
      <c r="AD1444">
        <f>'raw data Crude oil'!AD1445</f>
        <v>90.522999999999996</v>
      </c>
      <c r="AE1444">
        <f>'raw data Crude oil'!AE1445</f>
        <v>89.662000000000006</v>
      </c>
      <c r="AF1444">
        <f>'raw data Crude oil'!AF1445</f>
        <v>88.944999999999993</v>
      </c>
      <c r="AG1444">
        <f>'raw data Crude oil'!AG1445</f>
        <v>88.299000000000007</v>
      </c>
      <c r="AH1444">
        <f>'raw data Crude oil'!AH1445</f>
        <v>87.686999999999998</v>
      </c>
      <c r="AI1444">
        <f>'raw data Crude oil'!AI1445</f>
        <v>87.072999999999993</v>
      </c>
      <c r="AJ1444">
        <f>'raw data Crude oil'!AJ1445</f>
        <v>86.504999999999995</v>
      </c>
      <c r="AK1444">
        <f>'raw data Crude oil'!AK1445</f>
        <v>86.015000000000001</v>
      </c>
    </row>
    <row r="1445" spans="1:37" x14ac:dyDescent="0.3">
      <c r="A1445" s="18">
        <f>'raw data Crude oil'!A1446</f>
        <v>44776</v>
      </c>
      <c r="B1445">
        <f>'raw data Crude oil'!B1446</f>
        <v>96.78</v>
      </c>
      <c r="C1445">
        <f>'raw data Crude oil'!C1446</f>
        <v>95.2</v>
      </c>
      <c r="D1445">
        <f>'raw data Crude oil'!D1446</f>
        <v>94.06</v>
      </c>
      <c r="E1445">
        <f>'raw data Crude oil'!E1446</f>
        <v>93.03</v>
      </c>
      <c r="F1445">
        <f>'raw data Crude oil'!F1446</f>
        <v>92.21</v>
      </c>
      <c r="G1445">
        <f>'raw data Crude oil'!G1446</f>
        <v>91.51</v>
      </c>
      <c r="H1445">
        <f>'raw data Crude oil'!H1446</f>
        <v>90.86</v>
      </c>
      <c r="I1445">
        <f>'raw data Crude oil'!I1446</f>
        <v>90.26</v>
      </c>
      <c r="J1445">
        <f>'raw data Crude oil'!J1446</f>
        <v>89.66</v>
      </c>
      <c r="K1445">
        <f>'raw data Crude oil'!K1446</f>
        <v>89.14</v>
      </c>
      <c r="L1445">
        <f>'raw data Crude oil'!L1446</f>
        <v>88.62</v>
      </c>
      <c r="M1445">
        <f>'raw data Crude oil'!M1446</f>
        <v>88.18</v>
      </c>
      <c r="N1445">
        <f>'raw data Crude oil'!N1446</f>
        <v>90.66</v>
      </c>
      <c r="O1445">
        <f>'raw data Crude oil'!O1446</f>
        <v>89.74</v>
      </c>
      <c r="P1445">
        <f>'raw data Crude oil'!P1446</f>
        <v>89.07</v>
      </c>
      <c r="Q1445">
        <f>'raw data Crude oil'!Q1446</f>
        <v>88.32</v>
      </c>
      <c r="R1445">
        <f>'raw data Crude oil'!R1446</f>
        <v>87.51</v>
      </c>
      <c r="S1445">
        <f>'raw data Crude oil'!S1446</f>
        <v>86.7</v>
      </c>
      <c r="T1445">
        <f>'raw data Crude oil'!T1446</f>
        <v>85.93</v>
      </c>
      <c r="U1445">
        <f>'raw data Crude oil'!U1446</f>
        <v>85.22</v>
      </c>
      <c r="V1445">
        <f>'raw data Crude oil'!V1446</f>
        <v>84.57</v>
      </c>
      <c r="W1445">
        <f>'raw data Crude oil'!W1446</f>
        <v>83.95</v>
      </c>
      <c r="X1445">
        <f>'raw data Crude oil'!X1446</f>
        <v>83.37</v>
      </c>
      <c r="Y1445">
        <f>'raw data Crude oil'!Y1446</f>
        <v>82.85</v>
      </c>
      <c r="Z1445">
        <f>'raw data Crude oil'!Z1446</f>
        <v>96.090999999999994</v>
      </c>
      <c r="AA1445">
        <f>'raw data Crude oil'!AA1446</f>
        <v>92.138000000000005</v>
      </c>
      <c r="AB1445">
        <f>'raw data Crude oil'!AB1446</f>
        <v>90.111999999999995</v>
      </c>
      <c r="AC1445">
        <f>'raw data Crude oil'!AC1446</f>
        <v>88.793000000000006</v>
      </c>
      <c r="AD1445">
        <f>'raw data Crude oil'!AD1446</f>
        <v>87.722999999999999</v>
      </c>
      <c r="AE1445">
        <f>'raw data Crude oil'!AE1446</f>
        <v>86.968999999999994</v>
      </c>
      <c r="AF1445">
        <f>'raw data Crude oil'!AF1446</f>
        <v>86.28</v>
      </c>
      <c r="AG1445">
        <f>'raw data Crude oil'!AG1446</f>
        <v>85.644000000000005</v>
      </c>
      <c r="AH1445">
        <f>'raw data Crude oil'!AH1446</f>
        <v>85.173000000000002</v>
      </c>
      <c r="AI1445">
        <f>'raw data Crude oil'!AI1446</f>
        <v>84.686999999999998</v>
      </c>
      <c r="AJ1445">
        <f>'raw data Crude oil'!AJ1446</f>
        <v>84.2</v>
      </c>
      <c r="AK1445">
        <f>'raw data Crude oil'!AK1446</f>
        <v>83.82</v>
      </c>
    </row>
    <row r="1446" spans="1:37" x14ac:dyDescent="0.3">
      <c r="A1446" s="18">
        <f>'raw data Crude oil'!A1447</f>
        <v>44777</v>
      </c>
      <c r="B1446">
        <f>'raw data Crude oil'!B1447</f>
        <v>94.12</v>
      </c>
      <c r="C1446">
        <f>'raw data Crude oil'!C1447</f>
        <v>92.5</v>
      </c>
      <c r="D1446">
        <f>'raw data Crude oil'!D1447</f>
        <v>91.31</v>
      </c>
      <c r="E1446">
        <f>'raw data Crude oil'!E1447</f>
        <v>90.24</v>
      </c>
      <c r="F1446">
        <f>'raw data Crude oil'!F1447</f>
        <v>89.43</v>
      </c>
      <c r="G1446">
        <f>'raw data Crude oil'!G1447</f>
        <v>88.75</v>
      </c>
      <c r="H1446">
        <f>'raw data Crude oil'!H1447</f>
        <v>88.11</v>
      </c>
      <c r="I1446">
        <f>'raw data Crude oil'!I1447</f>
        <v>87.52</v>
      </c>
      <c r="J1446">
        <f>'raw data Crude oil'!J1447</f>
        <v>86.93</v>
      </c>
      <c r="K1446">
        <f>'raw data Crude oil'!K1447</f>
        <v>86.43</v>
      </c>
      <c r="L1446">
        <f>'raw data Crude oil'!L1447</f>
        <v>85.94</v>
      </c>
      <c r="M1446">
        <f>'raw data Crude oil'!M1447</f>
        <v>85.51</v>
      </c>
      <c r="N1446">
        <f>'raw data Crude oil'!N1447</f>
        <v>88.54</v>
      </c>
      <c r="O1446">
        <f>'raw data Crude oil'!O1447</f>
        <v>87.56</v>
      </c>
      <c r="P1446">
        <f>'raw data Crude oil'!P1447</f>
        <v>86.81</v>
      </c>
      <c r="Q1446">
        <f>'raw data Crude oil'!Q1447</f>
        <v>85.99</v>
      </c>
      <c r="R1446">
        <f>'raw data Crude oil'!R1447</f>
        <v>85.13</v>
      </c>
      <c r="S1446">
        <f>'raw data Crude oil'!S1447</f>
        <v>84.29</v>
      </c>
      <c r="T1446">
        <f>'raw data Crude oil'!T1447</f>
        <v>83.51</v>
      </c>
      <c r="U1446">
        <f>'raw data Crude oil'!U1447</f>
        <v>82.79</v>
      </c>
      <c r="V1446">
        <f>'raw data Crude oil'!V1447</f>
        <v>82.12</v>
      </c>
      <c r="W1446">
        <f>'raw data Crude oil'!W1447</f>
        <v>81.489999999999995</v>
      </c>
      <c r="X1446">
        <f>'raw data Crude oil'!X1447</f>
        <v>80.91</v>
      </c>
      <c r="Y1446">
        <f>'raw data Crude oil'!Y1447</f>
        <v>80.38</v>
      </c>
      <c r="Z1446">
        <f>'raw data Crude oil'!Z1447</f>
        <v>93.869</v>
      </c>
      <c r="AA1446">
        <f>'raw data Crude oil'!AA1447</f>
        <v>89.475999999999999</v>
      </c>
      <c r="AB1446">
        <f>'raw data Crude oil'!AB1447</f>
        <v>87.409000000000006</v>
      </c>
      <c r="AC1446">
        <f>'raw data Crude oil'!AC1447</f>
        <v>86.043000000000006</v>
      </c>
      <c r="AD1446">
        <f>'raw data Crude oil'!AD1447</f>
        <v>84.965000000000003</v>
      </c>
      <c r="AE1446">
        <f>'raw data Crude oil'!AE1447</f>
        <v>84.22</v>
      </c>
      <c r="AF1446">
        <f>'raw data Crude oil'!AF1447</f>
        <v>83.600999999999999</v>
      </c>
      <c r="AG1446">
        <f>'raw data Crude oil'!AG1447</f>
        <v>83.043999999999997</v>
      </c>
      <c r="AH1446">
        <f>'raw data Crude oil'!AH1447</f>
        <v>82.524000000000001</v>
      </c>
      <c r="AI1446">
        <f>'raw data Crude oil'!AI1447</f>
        <v>82.049000000000007</v>
      </c>
      <c r="AJ1446">
        <f>'raw data Crude oil'!AJ1447</f>
        <v>81.66</v>
      </c>
      <c r="AK1446">
        <f>'raw data Crude oil'!AK1447</f>
        <v>81.281000000000006</v>
      </c>
    </row>
    <row r="1447" spans="1:37" x14ac:dyDescent="0.3">
      <c r="A1447" s="18">
        <f>'raw data Crude oil'!A1448</f>
        <v>44778</v>
      </c>
      <c r="B1447">
        <f>'raw data Crude oil'!B1448</f>
        <v>94.92</v>
      </c>
      <c r="C1447">
        <f>'raw data Crude oil'!C1448</f>
        <v>93.18</v>
      </c>
      <c r="D1447">
        <f>'raw data Crude oil'!D1448</f>
        <v>91.92</v>
      </c>
      <c r="E1447">
        <f>'raw data Crude oil'!E1448</f>
        <v>90.77</v>
      </c>
      <c r="F1447">
        <f>'raw data Crude oil'!F1448</f>
        <v>89.9</v>
      </c>
      <c r="G1447">
        <f>'raw data Crude oil'!G1448</f>
        <v>89.18</v>
      </c>
      <c r="H1447">
        <f>'raw data Crude oil'!H1448</f>
        <v>88.51</v>
      </c>
      <c r="I1447">
        <f>'raw data Crude oil'!I1448</f>
        <v>87.91</v>
      </c>
      <c r="J1447">
        <f>'raw data Crude oil'!J1448</f>
        <v>87.3</v>
      </c>
      <c r="K1447">
        <f>'raw data Crude oil'!K1448</f>
        <v>86.77</v>
      </c>
      <c r="L1447">
        <f>'raw data Crude oil'!L1448</f>
        <v>86.26</v>
      </c>
      <c r="M1447">
        <f>'raw data Crude oil'!M1448</f>
        <v>85.8</v>
      </c>
      <c r="N1447">
        <f>'raw data Crude oil'!N1448</f>
        <v>89.01</v>
      </c>
      <c r="O1447">
        <f>'raw data Crude oil'!O1448</f>
        <v>88.08</v>
      </c>
      <c r="P1447">
        <f>'raw data Crude oil'!P1448</f>
        <v>87.26</v>
      </c>
      <c r="Q1447">
        <f>'raw data Crude oil'!Q1448</f>
        <v>86.39</v>
      </c>
      <c r="R1447">
        <f>'raw data Crude oil'!R1448</f>
        <v>85.51</v>
      </c>
      <c r="S1447">
        <f>'raw data Crude oil'!S1448</f>
        <v>84.66</v>
      </c>
      <c r="T1447">
        <f>'raw data Crude oil'!T1448</f>
        <v>83.88</v>
      </c>
      <c r="U1447">
        <f>'raw data Crude oil'!U1448</f>
        <v>83.15</v>
      </c>
      <c r="V1447">
        <f>'raw data Crude oil'!V1448</f>
        <v>82.47</v>
      </c>
      <c r="W1447">
        <f>'raw data Crude oil'!W1448</f>
        <v>81.819999999999993</v>
      </c>
      <c r="X1447">
        <f>'raw data Crude oil'!X1448</f>
        <v>81.209999999999994</v>
      </c>
      <c r="Y1447">
        <f>'raw data Crude oil'!Y1448</f>
        <v>80.650000000000006</v>
      </c>
      <c r="Z1447">
        <f>'raw data Crude oil'!Z1448</f>
        <v>94.525999999999996</v>
      </c>
      <c r="AA1447">
        <f>'raw data Crude oil'!AA1448</f>
        <v>90.272999999999996</v>
      </c>
      <c r="AB1447">
        <f>'raw data Crude oil'!AB1448</f>
        <v>87.944999999999993</v>
      </c>
      <c r="AC1447">
        <f>'raw data Crude oil'!AC1448</f>
        <v>86.48</v>
      </c>
      <c r="AD1447">
        <f>'raw data Crude oil'!AD1448</f>
        <v>85.350999999999999</v>
      </c>
      <c r="AE1447">
        <f>'raw data Crude oil'!AE1448</f>
        <v>84.567999999999998</v>
      </c>
      <c r="AF1447">
        <f>'raw data Crude oil'!AF1448</f>
        <v>83.91</v>
      </c>
      <c r="AG1447">
        <f>'raw data Crude oil'!AG1448</f>
        <v>83.363</v>
      </c>
      <c r="AH1447">
        <f>'raw data Crude oil'!AH1448</f>
        <v>82.891999999999996</v>
      </c>
      <c r="AI1447">
        <f>'raw data Crude oil'!AI1448</f>
        <v>82.388000000000005</v>
      </c>
      <c r="AJ1447">
        <f>'raw data Crude oil'!AJ1448</f>
        <v>81.978999999999999</v>
      </c>
      <c r="AK1447">
        <f>'raw data Crude oil'!AK1448</f>
        <v>81.599999999999994</v>
      </c>
    </row>
    <row r="1448" spans="1:37" x14ac:dyDescent="0.3">
      <c r="A1448" s="18">
        <f>'raw data Crude oil'!A1449</f>
        <v>44781</v>
      </c>
      <c r="B1448">
        <f>'raw data Crude oil'!B1449</f>
        <v>96.65</v>
      </c>
      <c r="C1448">
        <f>'raw data Crude oil'!C1449</f>
        <v>95.12</v>
      </c>
      <c r="D1448">
        <f>'raw data Crude oil'!D1449</f>
        <v>93.9</v>
      </c>
      <c r="E1448">
        <f>'raw data Crude oil'!E1449</f>
        <v>92.82</v>
      </c>
      <c r="F1448">
        <f>'raw data Crude oil'!F1449</f>
        <v>91.99</v>
      </c>
      <c r="G1448">
        <f>'raw data Crude oil'!G1449</f>
        <v>91.27</v>
      </c>
      <c r="H1448">
        <f>'raw data Crude oil'!H1449</f>
        <v>90.6</v>
      </c>
      <c r="I1448">
        <f>'raw data Crude oil'!I1449</f>
        <v>90</v>
      </c>
      <c r="J1448">
        <f>'raw data Crude oil'!J1449</f>
        <v>89.4</v>
      </c>
      <c r="K1448">
        <f>'raw data Crude oil'!K1449</f>
        <v>88.87</v>
      </c>
      <c r="L1448">
        <f>'raw data Crude oil'!L1449</f>
        <v>88.35</v>
      </c>
      <c r="M1448">
        <f>'raw data Crude oil'!M1449</f>
        <v>87.88</v>
      </c>
      <c r="N1448">
        <f>'raw data Crude oil'!N1449</f>
        <v>90.76</v>
      </c>
      <c r="O1448">
        <f>'raw data Crude oil'!O1449</f>
        <v>89.93</v>
      </c>
      <c r="P1448">
        <f>'raw data Crude oil'!P1449</f>
        <v>89.16</v>
      </c>
      <c r="Q1448">
        <f>'raw data Crude oil'!Q1449</f>
        <v>88.36</v>
      </c>
      <c r="R1448">
        <f>'raw data Crude oil'!R1449</f>
        <v>87.54</v>
      </c>
      <c r="S1448">
        <f>'raw data Crude oil'!S1449</f>
        <v>86.72</v>
      </c>
      <c r="T1448">
        <f>'raw data Crude oil'!T1449</f>
        <v>85.95</v>
      </c>
      <c r="U1448">
        <f>'raw data Crude oil'!U1449</f>
        <v>85.23</v>
      </c>
      <c r="V1448">
        <f>'raw data Crude oil'!V1449</f>
        <v>84.55</v>
      </c>
      <c r="W1448">
        <f>'raw data Crude oil'!W1449</f>
        <v>83.91</v>
      </c>
      <c r="X1448">
        <f>'raw data Crude oil'!X1449</f>
        <v>83.3</v>
      </c>
      <c r="Y1448">
        <f>'raw data Crude oil'!Y1449</f>
        <v>82.75</v>
      </c>
      <c r="Z1448">
        <f>'raw data Crude oil'!Z1449</f>
        <v>96.103999999999999</v>
      </c>
      <c r="AA1448">
        <f>'raw data Crude oil'!AA1449</f>
        <v>92.405000000000001</v>
      </c>
      <c r="AB1448">
        <f>'raw data Crude oil'!AB1449</f>
        <v>89.968999999999994</v>
      </c>
      <c r="AC1448">
        <f>'raw data Crude oil'!AC1449</f>
        <v>88.572000000000003</v>
      </c>
      <c r="AD1448">
        <f>'raw data Crude oil'!AD1449</f>
        <v>87.460999999999999</v>
      </c>
      <c r="AE1448">
        <f>'raw data Crude oil'!AE1449</f>
        <v>86.707999999999998</v>
      </c>
      <c r="AF1448">
        <f>'raw data Crude oil'!AF1449</f>
        <v>86.06</v>
      </c>
      <c r="AG1448">
        <f>'raw data Crude oil'!AG1449</f>
        <v>85.474000000000004</v>
      </c>
      <c r="AH1448">
        <f>'raw data Crude oil'!AH1449</f>
        <v>84.962000000000003</v>
      </c>
      <c r="AI1448">
        <f>'raw data Crude oil'!AI1449</f>
        <v>84.466999999999999</v>
      </c>
      <c r="AJ1448">
        <f>'raw data Crude oil'!AJ1449</f>
        <v>83.998999999999995</v>
      </c>
      <c r="AK1448">
        <f>'raw data Crude oil'!AK1449</f>
        <v>83.507000000000005</v>
      </c>
    </row>
    <row r="1449" spans="1:37" x14ac:dyDescent="0.3">
      <c r="A1449" s="18">
        <f>'raw data Crude oil'!A1450</f>
        <v>44782</v>
      </c>
      <c r="B1449">
        <f>'raw data Crude oil'!B1450</f>
        <v>96.31</v>
      </c>
      <c r="C1449">
        <f>'raw data Crude oil'!C1450</f>
        <v>94.85</v>
      </c>
      <c r="D1449">
        <f>'raw data Crude oil'!D1450</f>
        <v>93.64</v>
      </c>
      <c r="E1449">
        <f>'raw data Crude oil'!E1450</f>
        <v>92.57</v>
      </c>
      <c r="F1449">
        <f>'raw data Crude oil'!F1450</f>
        <v>91.74</v>
      </c>
      <c r="G1449">
        <f>'raw data Crude oil'!G1450</f>
        <v>91.01</v>
      </c>
      <c r="H1449">
        <f>'raw data Crude oil'!H1450</f>
        <v>90.33</v>
      </c>
      <c r="I1449">
        <f>'raw data Crude oil'!I1450</f>
        <v>89.72</v>
      </c>
      <c r="J1449">
        <f>'raw data Crude oil'!J1450</f>
        <v>89.12</v>
      </c>
      <c r="K1449">
        <f>'raw data Crude oil'!K1450</f>
        <v>88.6</v>
      </c>
      <c r="L1449">
        <f>'raw data Crude oil'!L1450</f>
        <v>88.08</v>
      </c>
      <c r="M1449">
        <f>'raw data Crude oil'!M1450</f>
        <v>87.61</v>
      </c>
      <c r="N1449">
        <f>'raw data Crude oil'!N1450</f>
        <v>90.5</v>
      </c>
      <c r="O1449">
        <f>'raw data Crude oil'!O1450</f>
        <v>89.67</v>
      </c>
      <c r="P1449">
        <f>'raw data Crude oil'!P1450</f>
        <v>88.9</v>
      </c>
      <c r="Q1449">
        <f>'raw data Crude oil'!Q1450</f>
        <v>88.08</v>
      </c>
      <c r="R1449">
        <f>'raw data Crude oil'!R1450</f>
        <v>87.28</v>
      </c>
      <c r="S1449">
        <f>'raw data Crude oil'!S1450</f>
        <v>86.48</v>
      </c>
      <c r="T1449">
        <f>'raw data Crude oil'!T1450</f>
        <v>85.73</v>
      </c>
      <c r="U1449">
        <f>'raw data Crude oil'!U1450</f>
        <v>85.03</v>
      </c>
      <c r="V1449">
        <f>'raw data Crude oil'!V1450</f>
        <v>84.38</v>
      </c>
      <c r="W1449">
        <f>'raw data Crude oil'!W1450</f>
        <v>83.76</v>
      </c>
      <c r="X1449">
        <f>'raw data Crude oil'!X1450</f>
        <v>83.18</v>
      </c>
      <c r="Y1449">
        <f>'raw data Crude oil'!Y1450</f>
        <v>82.62</v>
      </c>
      <c r="Z1449">
        <f>'raw data Crude oil'!Z1450</f>
        <v>96.191000000000003</v>
      </c>
      <c r="AA1449">
        <f>'raw data Crude oil'!AA1450</f>
        <v>92.114999999999995</v>
      </c>
      <c r="AB1449">
        <f>'raw data Crude oil'!AB1450</f>
        <v>89.659000000000006</v>
      </c>
      <c r="AC1449">
        <f>'raw data Crude oil'!AC1450</f>
        <v>88.262</v>
      </c>
      <c r="AD1449">
        <f>'raw data Crude oil'!AD1450</f>
        <v>87.12</v>
      </c>
      <c r="AE1449">
        <f>'raw data Crude oil'!AE1450</f>
        <v>86.358000000000004</v>
      </c>
      <c r="AF1449">
        <f>'raw data Crude oil'!AF1450</f>
        <v>85.72</v>
      </c>
      <c r="AG1449">
        <f>'raw data Crude oil'!AG1450</f>
        <v>85.153999999999996</v>
      </c>
      <c r="AH1449">
        <f>'raw data Crude oil'!AH1450</f>
        <v>84.632999999999996</v>
      </c>
      <c r="AI1449">
        <f>'raw data Crude oil'!AI1450</f>
        <v>84.147000000000006</v>
      </c>
      <c r="AJ1449">
        <f>'raw data Crude oil'!AJ1450</f>
        <v>83.698999999999998</v>
      </c>
      <c r="AK1449">
        <f>'raw data Crude oil'!AK1450</f>
        <v>83.22</v>
      </c>
    </row>
    <row r="1450" spans="1:37" x14ac:dyDescent="0.3">
      <c r="A1450" s="18">
        <f>'raw data Crude oil'!A1451</f>
        <v>44783</v>
      </c>
      <c r="B1450">
        <f>'raw data Crude oil'!B1451</f>
        <v>97.4</v>
      </c>
      <c r="C1450">
        <f>'raw data Crude oil'!C1451</f>
        <v>96.23</v>
      </c>
      <c r="D1450">
        <f>'raw data Crude oil'!D1451</f>
        <v>95.18</v>
      </c>
      <c r="E1450">
        <f>'raw data Crude oil'!E1451</f>
        <v>94.16</v>
      </c>
      <c r="F1450">
        <f>'raw data Crude oil'!F1451</f>
        <v>93.33</v>
      </c>
      <c r="G1450">
        <f>'raw data Crude oil'!G1451</f>
        <v>92.58</v>
      </c>
      <c r="H1450">
        <f>'raw data Crude oil'!H1451</f>
        <v>91.88</v>
      </c>
      <c r="I1450">
        <f>'raw data Crude oil'!I1451</f>
        <v>91.26</v>
      </c>
      <c r="J1450">
        <f>'raw data Crude oil'!J1451</f>
        <v>90.64</v>
      </c>
      <c r="K1450">
        <f>'raw data Crude oil'!K1451</f>
        <v>90.13</v>
      </c>
      <c r="L1450">
        <f>'raw data Crude oil'!L1451</f>
        <v>89.61</v>
      </c>
      <c r="M1450">
        <f>'raw data Crude oil'!M1451</f>
        <v>89.13</v>
      </c>
      <c r="N1450">
        <f>'raw data Crude oil'!N1451</f>
        <v>91.93</v>
      </c>
      <c r="O1450">
        <f>'raw data Crude oil'!O1451</f>
        <v>91.2</v>
      </c>
      <c r="P1450">
        <f>'raw data Crude oil'!P1451</f>
        <v>90.47</v>
      </c>
      <c r="Q1450">
        <f>'raw data Crude oil'!Q1451</f>
        <v>89.68</v>
      </c>
      <c r="R1450">
        <f>'raw data Crude oil'!R1451</f>
        <v>88.9</v>
      </c>
      <c r="S1450">
        <f>'raw data Crude oil'!S1451</f>
        <v>88.11</v>
      </c>
      <c r="T1450">
        <f>'raw data Crude oil'!T1451</f>
        <v>87.36</v>
      </c>
      <c r="U1450">
        <f>'raw data Crude oil'!U1451</f>
        <v>86.66</v>
      </c>
      <c r="V1450">
        <f>'raw data Crude oil'!V1451</f>
        <v>85.99</v>
      </c>
      <c r="W1450">
        <f>'raw data Crude oil'!W1451</f>
        <v>85.34</v>
      </c>
      <c r="X1450">
        <f>'raw data Crude oil'!X1451</f>
        <v>84.73</v>
      </c>
      <c r="Y1450">
        <f>'raw data Crude oil'!Y1451</f>
        <v>84.16</v>
      </c>
      <c r="Z1450">
        <f>'raw data Crude oil'!Z1451</f>
        <v>96.884</v>
      </c>
      <c r="AA1450">
        <f>'raw data Crude oil'!AA1451</f>
        <v>93.602000000000004</v>
      </c>
      <c r="AB1450">
        <f>'raw data Crude oil'!AB1451</f>
        <v>91.320999999999998</v>
      </c>
      <c r="AC1450">
        <f>'raw data Crude oil'!AC1451</f>
        <v>89.932000000000002</v>
      </c>
      <c r="AD1450">
        <f>'raw data Crude oil'!AD1451</f>
        <v>88.819000000000003</v>
      </c>
      <c r="AE1450">
        <f>'raw data Crude oil'!AE1451</f>
        <v>88.037000000000006</v>
      </c>
      <c r="AF1450">
        <f>'raw data Crude oil'!AF1451</f>
        <v>87.379000000000005</v>
      </c>
      <c r="AG1450">
        <f>'raw data Crude oil'!AG1451</f>
        <v>86.813000000000002</v>
      </c>
      <c r="AH1450">
        <f>'raw data Crude oil'!AH1451</f>
        <v>86.293000000000006</v>
      </c>
      <c r="AI1450">
        <f>'raw data Crude oil'!AI1451</f>
        <v>85.816999999999993</v>
      </c>
      <c r="AJ1450">
        <f>'raw data Crude oil'!AJ1451</f>
        <v>85.388000000000005</v>
      </c>
      <c r="AK1450">
        <f>'raw data Crude oil'!AK1451</f>
        <v>84.978999999999999</v>
      </c>
    </row>
    <row r="1451" spans="1:37" x14ac:dyDescent="0.3">
      <c r="A1451" s="18">
        <f>'raw data Crude oil'!A1452</f>
        <v>44784</v>
      </c>
      <c r="B1451">
        <f>'raw data Crude oil'!B1452</f>
        <v>99.6</v>
      </c>
      <c r="C1451">
        <f>'raw data Crude oil'!C1452</f>
        <v>98.3</v>
      </c>
      <c r="D1451">
        <f>'raw data Crude oil'!D1452</f>
        <v>97.15</v>
      </c>
      <c r="E1451">
        <f>'raw data Crude oil'!E1452</f>
        <v>96.06</v>
      </c>
      <c r="F1451">
        <f>'raw data Crude oil'!F1452</f>
        <v>95.13</v>
      </c>
      <c r="G1451">
        <f>'raw data Crude oil'!G1452</f>
        <v>94.27</v>
      </c>
      <c r="H1451">
        <f>'raw data Crude oil'!H1452</f>
        <v>93.48</v>
      </c>
      <c r="I1451">
        <f>'raw data Crude oil'!I1452</f>
        <v>92.79</v>
      </c>
      <c r="J1451">
        <f>'raw data Crude oil'!J1452</f>
        <v>92.11</v>
      </c>
      <c r="K1451">
        <f>'raw data Crude oil'!K1452</f>
        <v>91.53</v>
      </c>
      <c r="L1451">
        <f>'raw data Crude oil'!L1452</f>
        <v>90.95</v>
      </c>
      <c r="M1451">
        <f>'raw data Crude oil'!M1452</f>
        <v>90.39</v>
      </c>
      <c r="N1451">
        <f>'raw data Crude oil'!N1452</f>
        <v>94.34</v>
      </c>
      <c r="O1451">
        <f>'raw data Crude oil'!O1452</f>
        <v>93.53</v>
      </c>
      <c r="P1451">
        <f>'raw data Crude oil'!P1452</f>
        <v>92.69</v>
      </c>
      <c r="Q1451">
        <f>'raw data Crude oil'!Q1452</f>
        <v>91.79</v>
      </c>
      <c r="R1451">
        <f>'raw data Crude oil'!R1452</f>
        <v>90.92</v>
      </c>
      <c r="S1451">
        <f>'raw data Crude oil'!S1452</f>
        <v>90.03</v>
      </c>
      <c r="T1451">
        <f>'raw data Crude oil'!T1452</f>
        <v>89.18</v>
      </c>
      <c r="U1451">
        <f>'raw data Crude oil'!U1452</f>
        <v>88.38</v>
      </c>
      <c r="V1451">
        <f>'raw data Crude oil'!V1452</f>
        <v>87.61</v>
      </c>
      <c r="W1451">
        <f>'raw data Crude oil'!W1452</f>
        <v>86.88</v>
      </c>
      <c r="X1451">
        <f>'raw data Crude oil'!X1452</f>
        <v>86.19</v>
      </c>
      <c r="Y1451">
        <f>'raw data Crude oil'!Y1452</f>
        <v>85.53</v>
      </c>
      <c r="Z1451">
        <f>'raw data Crude oil'!Z1452</f>
        <v>97.471999999999994</v>
      </c>
      <c r="AA1451">
        <f>'raw data Crude oil'!AA1452</f>
        <v>95.457999999999998</v>
      </c>
      <c r="AB1451">
        <f>'raw data Crude oil'!AB1452</f>
        <v>93.177999999999997</v>
      </c>
      <c r="AC1451">
        <f>'raw data Crude oil'!AC1452</f>
        <v>91.837999999999994</v>
      </c>
      <c r="AD1451">
        <f>'raw data Crude oil'!AD1452</f>
        <v>90.677000000000007</v>
      </c>
      <c r="AE1451">
        <f>'raw data Crude oil'!AE1452</f>
        <v>89.831999999999994</v>
      </c>
      <c r="AF1451">
        <f>'raw data Crude oil'!AF1452</f>
        <v>89.096000000000004</v>
      </c>
      <c r="AG1451">
        <f>'raw data Crude oil'!AG1452</f>
        <v>88.51</v>
      </c>
      <c r="AH1451">
        <f>'raw data Crude oil'!AH1452</f>
        <v>87.938999999999993</v>
      </c>
      <c r="AI1451">
        <f>'raw data Crude oil'!AI1452</f>
        <v>87.385000000000005</v>
      </c>
      <c r="AJ1451">
        <f>'raw data Crude oil'!AJ1452</f>
        <v>86.864999999999995</v>
      </c>
      <c r="AK1451">
        <f>'raw data Crude oil'!AK1452</f>
        <v>86.415999999999997</v>
      </c>
    </row>
    <row r="1452" spans="1:37" x14ac:dyDescent="0.3">
      <c r="A1452" s="18">
        <f>'raw data Crude oil'!A1453</f>
        <v>44785</v>
      </c>
      <c r="B1452">
        <f>'raw data Crude oil'!B1453</f>
        <v>98.15</v>
      </c>
      <c r="C1452">
        <f>'raw data Crude oil'!C1453</f>
        <v>96.9</v>
      </c>
      <c r="D1452">
        <f>'raw data Crude oil'!D1453</f>
        <v>95.78</v>
      </c>
      <c r="E1452">
        <f>'raw data Crude oil'!E1453</f>
        <v>94.72</v>
      </c>
      <c r="F1452">
        <f>'raw data Crude oil'!F1453</f>
        <v>93.81</v>
      </c>
      <c r="G1452">
        <f>'raw data Crude oil'!G1453</f>
        <v>92.98</v>
      </c>
      <c r="H1452">
        <f>'raw data Crude oil'!H1453</f>
        <v>92.22</v>
      </c>
      <c r="I1452">
        <f>'raw data Crude oil'!I1453</f>
        <v>91.54</v>
      </c>
      <c r="J1452">
        <f>'raw data Crude oil'!J1453</f>
        <v>90.9</v>
      </c>
      <c r="K1452">
        <f>'raw data Crude oil'!K1453</f>
        <v>90.36</v>
      </c>
      <c r="L1452">
        <f>'raw data Crude oil'!L1453</f>
        <v>89.83</v>
      </c>
      <c r="M1452">
        <f>'raw data Crude oil'!M1453</f>
        <v>89.31</v>
      </c>
      <c r="N1452">
        <f>'raw data Crude oil'!N1453</f>
        <v>92.09</v>
      </c>
      <c r="O1452">
        <f>'raw data Crude oil'!O1453</f>
        <v>91.46</v>
      </c>
      <c r="P1452">
        <f>'raw data Crude oil'!P1453</f>
        <v>90.87</v>
      </c>
      <c r="Q1452">
        <f>'raw data Crude oil'!Q1453</f>
        <v>90.16</v>
      </c>
      <c r="R1452">
        <f>'raw data Crude oil'!R1453</f>
        <v>89.4</v>
      </c>
      <c r="S1452">
        <f>'raw data Crude oil'!S1453</f>
        <v>88.58</v>
      </c>
      <c r="T1452">
        <f>'raw data Crude oil'!T1453</f>
        <v>87.79</v>
      </c>
      <c r="U1452">
        <f>'raw data Crude oil'!U1453</f>
        <v>87.05</v>
      </c>
      <c r="V1452">
        <f>'raw data Crude oil'!V1453</f>
        <v>86.36</v>
      </c>
      <c r="W1452">
        <f>'raw data Crude oil'!W1453</f>
        <v>85.69</v>
      </c>
      <c r="X1452">
        <f>'raw data Crude oil'!X1453</f>
        <v>85.07</v>
      </c>
      <c r="Y1452">
        <f>'raw data Crude oil'!Y1453</f>
        <v>84.47</v>
      </c>
      <c r="Z1452">
        <f>'raw data Crude oil'!Z1453</f>
        <v>96.617000000000004</v>
      </c>
      <c r="AA1452">
        <f>'raw data Crude oil'!AA1453</f>
        <v>94.129000000000005</v>
      </c>
      <c r="AB1452">
        <f>'raw data Crude oil'!AB1453</f>
        <v>91.75</v>
      </c>
      <c r="AC1452">
        <f>'raw data Crude oil'!AC1453</f>
        <v>90.429000000000002</v>
      </c>
      <c r="AD1452">
        <f>'raw data Crude oil'!AD1453</f>
        <v>89.311000000000007</v>
      </c>
      <c r="AE1452">
        <f>'raw data Crude oil'!AE1453</f>
        <v>88.494</v>
      </c>
      <c r="AF1452">
        <f>'raw data Crude oil'!AF1453</f>
        <v>87.796000000000006</v>
      </c>
      <c r="AG1452">
        <f>'raw data Crude oil'!AG1453</f>
        <v>87.162000000000006</v>
      </c>
      <c r="AH1452">
        <f>'raw data Crude oil'!AH1453</f>
        <v>86.632000000000005</v>
      </c>
      <c r="AI1452">
        <f>'raw data Crude oil'!AI1453</f>
        <v>86.147000000000006</v>
      </c>
      <c r="AJ1452">
        <f>'raw data Crude oil'!AJ1453</f>
        <v>85.665999999999997</v>
      </c>
      <c r="AK1452">
        <f>'raw data Crude oil'!AK1453</f>
        <v>85.209000000000003</v>
      </c>
    </row>
    <row r="1453" spans="1:37" x14ac:dyDescent="0.3">
      <c r="A1453" s="18">
        <f>'raw data Crude oil'!A1454</f>
        <v>44788</v>
      </c>
      <c r="B1453">
        <f>'raw data Crude oil'!B1454</f>
        <v>95.1</v>
      </c>
      <c r="C1453">
        <f>'raw data Crude oil'!C1454</f>
        <v>94.28</v>
      </c>
      <c r="D1453">
        <f>'raw data Crude oil'!D1454</f>
        <v>93.4</v>
      </c>
      <c r="E1453">
        <f>'raw data Crude oil'!E1454</f>
        <v>92.5</v>
      </c>
      <c r="F1453">
        <f>'raw data Crude oil'!F1454</f>
        <v>91.71</v>
      </c>
      <c r="G1453">
        <f>'raw data Crude oil'!G1454</f>
        <v>90.98</v>
      </c>
      <c r="H1453">
        <f>'raw data Crude oil'!H1454</f>
        <v>90.31</v>
      </c>
      <c r="I1453">
        <f>'raw data Crude oil'!I1454</f>
        <v>89.72</v>
      </c>
      <c r="J1453">
        <f>'raw data Crude oil'!J1454</f>
        <v>89.14</v>
      </c>
      <c r="K1453">
        <f>'raw data Crude oil'!K1454</f>
        <v>88.65</v>
      </c>
      <c r="L1453">
        <f>'raw data Crude oil'!L1454</f>
        <v>88.18</v>
      </c>
      <c r="M1453">
        <f>'raw data Crude oil'!M1454</f>
        <v>87.73</v>
      </c>
      <c r="N1453">
        <f>'raw data Crude oil'!N1454</f>
        <v>89.41</v>
      </c>
      <c r="O1453">
        <f>'raw data Crude oil'!O1454</f>
        <v>88.85</v>
      </c>
      <c r="P1453">
        <f>'raw data Crude oil'!P1454</f>
        <v>88.41</v>
      </c>
      <c r="Q1453">
        <f>'raw data Crude oil'!Q1454</f>
        <v>87.9</v>
      </c>
      <c r="R1453">
        <f>'raw data Crude oil'!R1454</f>
        <v>87.29</v>
      </c>
      <c r="S1453">
        <f>'raw data Crude oil'!S1454</f>
        <v>86.62</v>
      </c>
      <c r="T1453">
        <f>'raw data Crude oil'!T1454</f>
        <v>85.95</v>
      </c>
      <c r="U1453">
        <f>'raw data Crude oil'!U1454</f>
        <v>85.32</v>
      </c>
      <c r="V1453">
        <f>'raw data Crude oil'!V1454</f>
        <v>84.72</v>
      </c>
      <c r="W1453">
        <f>'raw data Crude oil'!W1454</f>
        <v>84.13</v>
      </c>
      <c r="X1453">
        <f>'raw data Crude oil'!X1454</f>
        <v>83.59</v>
      </c>
      <c r="Y1453">
        <f>'raw data Crude oil'!Y1454</f>
        <v>83.05</v>
      </c>
      <c r="Z1453">
        <f>'raw data Crude oil'!Z1454</f>
        <v>94.914000000000001</v>
      </c>
      <c r="AA1453">
        <f>'raw data Crude oil'!AA1454</f>
        <v>91.57</v>
      </c>
      <c r="AB1453">
        <f>'raw data Crude oil'!AB1454</f>
        <v>89.427000000000007</v>
      </c>
      <c r="AC1453">
        <f>'raw data Crude oil'!AC1454</f>
        <v>88.284000000000006</v>
      </c>
      <c r="AD1453">
        <f>'raw data Crude oil'!AD1454</f>
        <v>87.25</v>
      </c>
      <c r="AE1453">
        <f>'raw data Crude oil'!AE1454</f>
        <v>86.528000000000006</v>
      </c>
      <c r="AF1453">
        <f>'raw data Crude oil'!AF1454</f>
        <v>85.881</v>
      </c>
      <c r="AG1453">
        <f>'raw data Crude oil'!AG1454</f>
        <v>85.356999999999999</v>
      </c>
      <c r="AH1453">
        <f>'raw data Crude oil'!AH1454</f>
        <v>84.903999999999996</v>
      </c>
      <c r="AI1453">
        <f>'raw data Crude oil'!AI1454</f>
        <v>84.46</v>
      </c>
      <c r="AJ1453">
        <f>'raw data Crude oil'!AJ1454</f>
        <v>84.04</v>
      </c>
      <c r="AK1453">
        <f>'raw data Crude oil'!AK1454</f>
        <v>83.64</v>
      </c>
    </row>
    <row r="1454" spans="1:37" x14ac:dyDescent="0.3">
      <c r="A1454" s="18">
        <f>'raw data Crude oil'!A1455</f>
        <v>44789</v>
      </c>
      <c r="B1454">
        <f>'raw data Crude oil'!B1455</f>
        <v>92.34</v>
      </c>
      <c r="C1454">
        <f>'raw data Crude oil'!C1455</f>
        <v>91.74</v>
      </c>
      <c r="D1454">
        <f>'raw data Crude oil'!D1455</f>
        <v>91.06</v>
      </c>
      <c r="E1454">
        <f>'raw data Crude oil'!E1455</f>
        <v>90.34</v>
      </c>
      <c r="F1454">
        <f>'raw data Crude oil'!F1455</f>
        <v>89.66</v>
      </c>
      <c r="G1454">
        <f>'raw data Crude oil'!G1455</f>
        <v>89.01</v>
      </c>
      <c r="H1454">
        <f>'raw data Crude oil'!H1455</f>
        <v>88.42</v>
      </c>
      <c r="I1454">
        <f>'raw data Crude oil'!I1455</f>
        <v>87.9</v>
      </c>
      <c r="J1454">
        <f>'raw data Crude oil'!J1455</f>
        <v>87.4</v>
      </c>
      <c r="K1454">
        <f>'raw data Crude oil'!K1455</f>
        <v>86.98</v>
      </c>
      <c r="L1454">
        <f>'raw data Crude oil'!L1455</f>
        <v>86.57</v>
      </c>
      <c r="M1454">
        <f>'raw data Crude oil'!M1455</f>
        <v>86.18</v>
      </c>
      <c r="N1454">
        <f>'raw data Crude oil'!N1455</f>
        <v>86.53</v>
      </c>
      <c r="O1454">
        <f>'raw data Crude oil'!O1455</f>
        <v>86.16</v>
      </c>
      <c r="P1454">
        <f>'raw data Crude oil'!P1455</f>
        <v>85.86</v>
      </c>
      <c r="Q1454">
        <f>'raw data Crude oil'!Q1455</f>
        <v>85.48</v>
      </c>
      <c r="R1454">
        <f>'raw data Crude oil'!R1455</f>
        <v>85</v>
      </c>
      <c r="S1454">
        <f>'raw data Crude oil'!S1455</f>
        <v>84.45</v>
      </c>
      <c r="T1454">
        <f>'raw data Crude oil'!T1455</f>
        <v>83.89</v>
      </c>
      <c r="U1454">
        <f>'raw data Crude oil'!U1455</f>
        <v>83.36</v>
      </c>
      <c r="V1454">
        <f>'raw data Crude oil'!V1455</f>
        <v>82.85</v>
      </c>
      <c r="W1454">
        <f>'raw data Crude oil'!W1455</f>
        <v>82.33</v>
      </c>
      <c r="X1454">
        <f>'raw data Crude oil'!X1455</f>
        <v>81.86</v>
      </c>
      <c r="Y1454">
        <f>'raw data Crude oil'!Y1455</f>
        <v>81.39</v>
      </c>
      <c r="Z1454">
        <f>'raw data Crude oil'!Z1455</f>
        <v>93.412999999999997</v>
      </c>
      <c r="AA1454">
        <f>'raw data Crude oil'!AA1455</f>
        <v>88.869</v>
      </c>
      <c r="AB1454">
        <f>'raw data Crude oil'!AB1455</f>
        <v>87.066000000000003</v>
      </c>
      <c r="AC1454">
        <f>'raw data Crude oil'!AC1455</f>
        <v>86.129000000000005</v>
      </c>
      <c r="AD1454">
        <f>'raw data Crude oil'!AD1455</f>
        <v>85.236999999999995</v>
      </c>
      <c r="AE1454">
        <f>'raw data Crude oil'!AE1455</f>
        <v>84.622</v>
      </c>
      <c r="AF1454">
        <f>'raw data Crude oil'!AF1455</f>
        <v>84.034000000000006</v>
      </c>
      <c r="AG1454">
        <f>'raw data Crude oil'!AG1455</f>
        <v>83.567999999999998</v>
      </c>
      <c r="AH1454">
        <f>'raw data Crude oil'!AH1455</f>
        <v>83.168000000000006</v>
      </c>
      <c r="AI1454">
        <f>'raw data Crude oil'!AI1455</f>
        <v>82.822000000000003</v>
      </c>
      <c r="AJ1454">
        <f>'raw data Crude oil'!AJ1455</f>
        <v>82.531999999999996</v>
      </c>
      <c r="AK1454">
        <f>'raw data Crude oil'!AK1455</f>
        <v>82.263999999999996</v>
      </c>
    </row>
    <row r="1455" spans="1:37" x14ac:dyDescent="0.3">
      <c r="A1455" s="18">
        <f>'raw data Crude oil'!A1456</f>
        <v>44790</v>
      </c>
      <c r="B1455">
        <f>'raw data Crude oil'!B1456</f>
        <v>93.65</v>
      </c>
      <c r="C1455">
        <f>'raw data Crude oil'!C1456</f>
        <v>93.02</v>
      </c>
      <c r="D1455">
        <f>'raw data Crude oil'!D1456</f>
        <v>92.3</v>
      </c>
      <c r="E1455">
        <f>'raw data Crude oil'!E1456</f>
        <v>91.54</v>
      </c>
      <c r="F1455">
        <f>'raw data Crude oil'!F1456</f>
        <v>90.79</v>
      </c>
      <c r="G1455">
        <f>'raw data Crude oil'!G1456</f>
        <v>90.06</v>
      </c>
      <c r="H1455">
        <f>'raw data Crude oil'!H1456</f>
        <v>89.39</v>
      </c>
      <c r="I1455">
        <f>'raw data Crude oil'!I1456</f>
        <v>88.8</v>
      </c>
      <c r="J1455">
        <f>'raw data Crude oil'!J1456</f>
        <v>88.25</v>
      </c>
      <c r="K1455">
        <f>'raw data Crude oil'!K1456</f>
        <v>87.79</v>
      </c>
      <c r="L1455">
        <f>'raw data Crude oil'!L1456</f>
        <v>87.35</v>
      </c>
      <c r="M1455">
        <f>'raw data Crude oil'!M1456</f>
        <v>86.93</v>
      </c>
      <c r="N1455">
        <f>'raw data Crude oil'!N1456</f>
        <v>88.11</v>
      </c>
      <c r="O1455">
        <f>'raw data Crude oil'!O1456</f>
        <v>87.69</v>
      </c>
      <c r="P1455">
        <f>'raw data Crude oil'!P1456</f>
        <v>87.3</v>
      </c>
      <c r="Q1455">
        <f>'raw data Crude oil'!Q1456</f>
        <v>86.84</v>
      </c>
      <c r="R1455">
        <f>'raw data Crude oil'!R1456</f>
        <v>86.3</v>
      </c>
      <c r="S1455">
        <f>'raw data Crude oil'!S1456</f>
        <v>85.69</v>
      </c>
      <c r="T1455">
        <f>'raw data Crude oil'!T1456</f>
        <v>85.08</v>
      </c>
      <c r="U1455">
        <f>'raw data Crude oil'!U1456</f>
        <v>84.5</v>
      </c>
      <c r="V1455">
        <f>'raw data Crude oil'!V1456</f>
        <v>83.92</v>
      </c>
      <c r="W1455">
        <f>'raw data Crude oil'!W1456</f>
        <v>83.37</v>
      </c>
      <c r="X1455">
        <f>'raw data Crude oil'!X1456</f>
        <v>82.85</v>
      </c>
      <c r="Y1455">
        <f>'raw data Crude oil'!Y1456</f>
        <v>82.34</v>
      </c>
      <c r="Z1455">
        <f>'raw data Crude oil'!Z1456</f>
        <v>93.938000000000002</v>
      </c>
      <c r="AA1455">
        <f>'raw data Crude oil'!AA1456</f>
        <v>90.436999999999998</v>
      </c>
      <c r="AB1455">
        <f>'raw data Crude oil'!AB1456</f>
        <v>88.513999999999996</v>
      </c>
      <c r="AC1455">
        <f>'raw data Crude oil'!AC1456</f>
        <v>87.596000000000004</v>
      </c>
      <c r="AD1455">
        <f>'raw data Crude oil'!AD1456</f>
        <v>86.679000000000002</v>
      </c>
      <c r="AE1455">
        <f>'raw data Crude oil'!AE1456</f>
        <v>85.998000000000005</v>
      </c>
      <c r="AF1455">
        <f>'raw data Crude oil'!AF1456</f>
        <v>85.331000000000003</v>
      </c>
      <c r="AG1455">
        <f>'raw data Crude oil'!AG1456</f>
        <v>84.786000000000001</v>
      </c>
      <c r="AH1455">
        <f>'raw data Crude oil'!AH1456</f>
        <v>84.335999999999999</v>
      </c>
      <c r="AI1455">
        <f>'raw data Crude oil'!AI1456</f>
        <v>83.971000000000004</v>
      </c>
      <c r="AJ1455">
        <f>'raw data Crude oil'!AJ1456</f>
        <v>83.671000000000006</v>
      </c>
      <c r="AK1455">
        <f>'raw data Crude oil'!AK1456</f>
        <v>83.341999999999999</v>
      </c>
    </row>
    <row r="1456" spans="1:37" x14ac:dyDescent="0.3">
      <c r="A1456" s="18">
        <f>'raw data Crude oil'!A1457</f>
        <v>44791</v>
      </c>
      <c r="B1456">
        <f>'raw data Crude oil'!B1457</f>
        <v>96.59</v>
      </c>
      <c r="C1456">
        <f>'raw data Crude oil'!C1457</f>
        <v>95.76</v>
      </c>
      <c r="D1456">
        <f>'raw data Crude oil'!D1457</f>
        <v>94.68</v>
      </c>
      <c r="E1456">
        <f>'raw data Crude oil'!E1457</f>
        <v>93.64</v>
      </c>
      <c r="F1456">
        <f>'raw data Crude oil'!F1457</f>
        <v>92.71</v>
      </c>
      <c r="G1456">
        <f>'raw data Crude oil'!G1457</f>
        <v>91.85</v>
      </c>
      <c r="H1456">
        <f>'raw data Crude oil'!H1457</f>
        <v>91.06</v>
      </c>
      <c r="I1456">
        <f>'raw data Crude oil'!I1457</f>
        <v>90.35</v>
      </c>
      <c r="J1456">
        <f>'raw data Crude oil'!J1457</f>
        <v>89.69</v>
      </c>
      <c r="K1456">
        <f>'raw data Crude oil'!K1457</f>
        <v>89.13</v>
      </c>
      <c r="L1456">
        <f>'raw data Crude oil'!L1457</f>
        <v>88.58</v>
      </c>
      <c r="M1456">
        <f>'raw data Crude oil'!M1457</f>
        <v>88.06</v>
      </c>
      <c r="N1456">
        <f>'raw data Crude oil'!N1457</f>
        <v>90.5</v>
      </c>
      <c r="O1456">
        <f>'raw data Crude oil'!O1457</f>
        <v>90.11</v>
      </c>
      <c r="P1456">
        <f>'raw data Crude oil'!P1457</f>
        <v>89.67</v>
      </c>
      <c r="Q1456">
        <f>'raw data Crude oil'!Q1457</f>
        <v>89.08</v>
      </c>
      <c r="R1456">
        <f>'raw data Crude oil'!R1457</f>
        <v>88.39</v>
      </c>
      <c r="S1456">
        <f>'raw data Crude oil'!S1457</f>
        <v>87.64</v>
      </c>
      <c r="T1456">
        <f>'raw data Crude oil'!T1457</f>
        <v>86.88</v>
      </c>
      <c r="U1456">
        <f>'raw data Crude oil'!U1457</f>
        <v>86.15</v>
      </c>
      <c r="V1456">
        <f>'raw data Crude oil'!V1457</f>
        <v>85.43</v>
      </c>
      <c r="W1456">
        <f>'raw data Crude oil'!W1457</f>
        <v>84.74</v>
      </c>
      <c r="X1456">
        <f>'raw data Crude oil'!X1457</f>
        <v>84.09</v>
      </c>
      <c r="Y1456">
        <f>'raw data Crude oil'!Y1457</f>
        <v>83.48</v>
      </c>
      <c r="Z1456">
        <f>'raw data Crude oil'!Z1457</f>
        <v>95.296999999999997</v>
      </c>
      <c r="AA1456">
        <f>'raw data Crude oil'!AA1457</f>
        <v>93.409000000000006</v>
      </c>
      <c r="AB1456">
        <f>'raw data Crude oil'!AB1457</f>
        <v>91.21</v>
      </c>
      <c r="AC1456">
        <f>'raw data Crude oil'!AC1457</f>
        <v>89.927999999999997</v>
      </c>
      <c r="AD1456">
        <f>'raw data Crude oil'!AD1457</f>
        <v>88.738</v>
      </c>
      <c r="AE1456">
        <f>'raw data Crude oil'!AE1457</f>
        <v>87.902000000000001</v>
      </c>
      <c r="AF1456">
        <f>'raw data Crude oil'!AF1457</f>
        <v>87.144999999999996</v>
      </c>
      <c r="AG1456">
        <f>'raw data Crude oil'!AG1457</f>
        <v>86.480999999999995</v>
      </c>
      <c r="AH1456">
        <f>'raw data Crude oil'!AH1457</f>
        <v>85.900999999999996</v>
      </c>
      <c r="AI1456">
        <f>'raw data Crude oil'!AI1457</f>
        <v>85.415999999999997</v>
      </c>
      <c r="AJ1456">
        <f>'raw data Crude oil'!AJ1457</f>
        <v>84.975999999999999</v>
      </c>
      <c r="AK1456">
        <f>'raw data Crude oil'!AK1457</f>
        <v>84.548000000000002</v>
      </c>
    </row>
    <row r="1457" spans="1:37" x14ac:dyDescent="0.3">
      <c r="A1457" s="18">
        <f>'raw data Crude oil'!A1458</f>
        <v>44792</v>
      </c>
      <c r="B1457">
        <f>'raw data Crude oil'!B1458</f>
        <v>96.72</v>
      </c>
      <c r="C1457">
        <f>'raw data Crude oil'!C1458</f>
        <v>96.09</v>
      </c>
      <c r="D1457">
        <f>'raw data Crude oil'!D1458</f>
        <v>95.14</v>
      </c>
      <c r="E1457">
        <f>'raw data Crude oil'!E1458</f>
        <v>94.16</v>
      </c>
      <c r="F1457">
        <f>'raw data Crude oil'!F1458</f>
        <v>93.26</v>
      </c>
      <c r="G1457">
        <f>'raw data Crude oil'!G1458</f>
        <v>92.43</v>
      </c>
      <c r="H1457">
        <f>'raw data Crude oil'!H1458</f>
        <v>91.67</v>
      </c>
      <c r="I1457">
        <f>'raw data Crude oil'!I1458</f>
        <v>90.98</v>
      </c>
      <c r="J1457">
        <f>'raw data Crude oil'!J1458</f>
        <v>90.32</v>
      </c>
      <c r="K1457">
        <f>'raw data Crude oil'!K1458</f>
        <v>89.74</v>
      </c>
      <c r="L1457">
        <f>'raw data Crude oil'!L1458</f>
        <v>89.17</v>
      </c>
      <c r="M1457">
        <f>'raw data Crude oil'!M1458</f>
        <v>88.64</v>
      </c>
      <c r="N1457">
        <f>'raw data Crude oil'!N1458</f>
        <v>90.77</v>
      </c>
      <c r="O1457">
        <f>'raw data Crude oil'!O1458</f>
        <v>90.44</v>
      </c>
      <c r="P1457">
        <f>'raw data Crude oil'!P1458</f>
        <v>90.11</v>
      </c>
      <c r="Q1457">
        <f>'raw data Crude oil'!Q1458</f>
        <v>89.61</v>
      </c>
      <c r="R1457">
        <f>'raw data Crude oil'!R1458</f>
        <v>88.95</v>
      </c>
      <c r="S1457">
        <f>'raw data Crude oil'!S1458</f>
        <v>88.2</v>
      </c>
      <c r="T1457">
        <f>'raw data Crude oil'!T1458</f>
        <v>87.45</v>
      </c>
      <c r="U1457">
        <f>'raw data Crude oil'!U1458</f>
        <v>86.73</v>
      </c>
      <c r="V1457">
        <f>'raw data Crude oil'!V1458</f>
        <v>86.03</v>
      </c>
      <c r="W1457">
        <f>'raw data Crude oil'!W1458</f>
        <v>85.33</v>
      </c>
      <c r="X1457">
        <f>'raw data Crude oil'!X1458</f>
        <v>84.67</v>
      </c>
      <c r="Y1457">
        <f>'raw data Crude oil'!Y1458</f>
        <v>84.03</v>
      </c>
      <c r="Z1457">
        <f>'raw data Crude oil'!Z1458</f>
        <v>95.513000000000005</v>
      </c>
      <c r="AA1457">
        <f>'raw data Crude oil'!AA1458</f>
        <v>94.096999999999994</v>
      </c>
      <c r="AB1457">
        <f>'raw data Crude oil'!AB1458</f>
        <v>91.992999999999995</v>
      </c>
      <c r="AC1457">
        <f>'raw data Crude oil'!AC1458</f>
        <v>90.599000000000004</v>
      </c>
      <c r="AD1457">
        <f>'raw data Crude oil'!AD1458</f>
        <v>89.370999999999995</v>
      </c>
      <c r="AE1457">
        <f>'raw data Crude oil'!AE1458</f>
        <v>88.524000000000001</v>
      </c>
      <c r="AF1457">
        <f>'raw data Crude oil'!AF1458</f>
        <v>87.816000000000003</v>
      </c>
      <c r="AG1457">
        <f>'raw data Crude oil'!AG1458</f>
        <v>87.210999999999999</v>
      </c>
      <c r="AH1457">
        <f>'raw data Crude oil'!AH1458</f>
        <v>86.619</v>
      </c>
      <c r="AI1457">
        <f>'raw data Crude oil'!AI1458</f>
        <v>86.144999999999996</v>
      </c>
      <c r="AJ1457">
        <f>'raw data Crude oil'!AJ1458</f>
        <v>85.706000000000003</v>
      </c>
      <c r="AK1457">
        <f>'raw data Crude oil'!AK1458</f>
        <v>85.266999999999996</v>
      </c>
    </row>
    <row r="1458" spans="1:37" x14ac:dyDescent="0.3">
      <c r="A1458" s="18">
        <f>'raw data Crude oil'!A1459</f>
        <v>44795</v>
      </c>
      <c r="B1458">
        <f>'raw data Crude oil'!B1459</f>
        <v>96.48</v>
      </c>
      <c r="C1458">
        <f>'raw data Crude oil'!C1459</f>
        <v>95.81</v>
      </c>
      <c r="D1458">
        <f>'raw data Crude oil'!D1459</f>
        <v>94.88</v>
      </c>
      <c r="E1458">
        <f>'raw data Crude oil'!E1459</f>
        <v>93.94</v>
      </c>
      <c r="F1458">
        <f>'raw data Crude oil'!F1459</f>
        <v>93.04</v>
      </c>
      <c r="G1458">
        <f>'raw data Crude oil'!G1459</f>
        <v>92.2</v>
      </c>
      <c r="H1458">
        <f>'raw data Crude oil'!H1459</f>
        <v>91.44</v>
      </c>
      <c r="I1458">
        <f>'raw data Crude oil'!I1459</f>
        <v>90.76</v>
      </c>
      <c r="J1458">
        <f>'raw data Crude oil'!J1459</f>
        <v>90.12</v>
      </c>
      <c r="K1458">
        <f>'raw data Crude oil'!K1459</f>
        <v>89.55</v>
      </c>
      <c r="L1458">
        <f>'raw data Crude oil'!L1459</f>
        <v>88.99</v>
      </c>
      <c r="M1458">
        <f>'raw data Crude oil'!M1459</f>
        <v>88.48</v>
      </c>
      <c r="N1458">
        <f>'raw data Crude oil'!N1459</f>
        <v>90.23</v>
      </c>
      <c r="O1458">
        <f>'raw data Crude oil'!O1459</f>
        <v>90.36</v>
      </c>
      <c r="P1458">
        <f>'raw data Crude oil'!P1459</f>
        <v>89.97</v>
      </c>
      <c r="Q1458">
        <f>'raw data Crude oil'!Q1459</f>
        <v>89.45</v>
      </c>
      <c r="R1458">
        <f>'raw data Crude oil'!R1459</f>
        <v>88.78</v>
      </c>
      <c r="S1458">
        <f>'raw data Crude oil'!S1459</f>
        <v>88.04</v>
      </c>
      <c r="T1458">
        <f>'raw data Crude oil'!T1459</f>
        <v>87.31</v>
      </c>
      <c r="U1458">
        <f>'raw data Crude oil'!U1459</f>
        <v>86.6</v>
      </c>
      <c r="V1458">
        <f>'raw data Crude oil'!V1459</f>
        <v>85.91</v>
      </c>
      <c r="W1458">
        <f>'raw data Crude oil'!W1459</f>
        <v>85.25</v>
      </c>
      <c r="X1458">
        <f>'raw data Crude oil'!X1459</f>
        <v>84.61</v>
      </c>
      <c r="Y1458">
        <f>'raw data Crude oil'!Y1459</f>
        <v>83.97</v>
      </c>
      <c r="Z1458">
        <f>'raw data Crude oil'!Z1459</f>
        <v>95.372</v>
      </c>
      <c r="AA1458">
        <f>'raw data Crude oil'!AA1459</f>
        <v>93.918000000000006</v>
      </c>
      <c r="AB1458">
        <f>'raw data Crude oil'!AB1459</f>
        <v>91.855000000000004</v>
      </c>
      <c r="AC1458">
        <f>'raw data Crude oil'!AC1459</f>
        <v>90.489000000000004</v>
      </c>
      <c r="AD1458">
        <f>'raw data Crude oil'!AD1459</f>
        <v>89.32</v>
      </c>
      <c r="AE1458">
        <f>'raw data Crude oil'!AE1459</f>
        <v>88.444000000000003</v>
      </c>
      <c r="AF1458">
        <f>'raw data Crude oil'!AF1459</f>
        <v>87.695999999999998</v>
      </c>
      <c r="AG1458">
        <f>'raw data Crude oil'!AG1459</f>
        <v>87.132000000000005</v>
      </c>
      <c r="AH1458">
        <f>'raw data Crude oil'!AH1459</f>
        <v>86.56</v>
      </c>
      <c r="AI1458">
        <f>'raw data Crude oil'!AI1459</f>
        <v>86.046000000000006</v>
      </c>
      <c r="AJ1458">
        <f>'raw data Crude oil'!AJ1459</f>
        <v>85.576999999999998</v>
      </c>
      <c r="AK1458">
        <f>'raw data Crude oil'!AK1459</f>
        <v>85.158000000000001</v>
      </c>
    </row>
    <row r="1459" spans="1:37" x14ac:dyDescent="0.3">
      <c r="A1459" s="18">
        <f>'raw data Crude oil'!A1460</f>
        <v>44796</v>
      </c>
      <c r="B1459">
        <f>'raw data Crude oil'!B1460</f>
        <v>100.22</v>
      </c>
      <c r="C1459">
        <f>'raw data Crude oil'!C1460</f>
        <v>99.17</v>
      </c>
      <c r="D1459">
        <f>'raw data Crude oil'!D1460</f>
        <v>98</v>
      </c>
      <c r="E1459">
        <f>'raw data Crude oil'!E1460</f>
        <v>96.87</v>
      </c>
      <c r="F1459">
        <f>'raw data Crude oil'!F1460</f>
        <v>95.79</v>
      </c>
      <c r="G1459">
        <f>'raw data Crude oil'!G1460</f>
        <v>94.8</v>
      </c>
      <c r="H1459">
        <f>'raw data Crude oil'!H1460</f>
        <v>93.92</v>
      </c>
      <c r="I1459">
        <f>'raw data Crude oil'!I1460</f>
        <v>93.12</v>
      </c>
      <c r="J1459">
        <f>'raw data Crude oil'!J1460</f>
        <v>92.38</v>
      </c>
      <c r="K1459">
        <f>'raw data Crude oil'!K1460</f>
        <v>91.72</v>
      </c>
      <c r="L1459">
        <f>'raw data Crude oil'!L1460</f>
        <v>91.07</v>
      </c>
      <c r="M1459">
        <f>'raw data Crude oil'!M1460</f>
        <v>90.47</v>
      </c>
      <c r="N1459">
        <f>'raw data Crude oil'!N1460</f>
        <v>93.74</v>
      </c>
      <c r="O1459">
        <f>'raw data Crude oil'!O1460</f>
        <v>93.25</v>
      </c>
      <c r="P1459">
        <f>'raw data Crude oil'!P1460</f>
        <v>92.53</v>
      </c>
      <c r="Q1459">
        <f>'raw data Crude oil'!Q1460</f>
        <v>91.68</v>
      </c>
      <c r="R1459">
        <f>'raw data Crude oil'!R1460</f>
        <v>90.76</v>
      </c>
      <c r="S1459">
        <f>'raw data Crude oil'!S1460</f>
        <v>89.87</v>
      </c>
      <c r="T1459">
        <f>'raw data Crude oil'!T1460</f>
        <v>89.02</v>
      </c>
      <c r="U1459">
        <f>'raw data Crude oil'!U1460</f>
        <v>88.2</v>
      </c>
      <c r="V1459">
        <f>'raw data Crude oil'!V1460</f>
        <v>87.41</v>
      </c>
      <c r="W1459">
        <f>'raw data Crude oil'!W1460</f>
        <v>86.65</v>
      </c>
      <c r="X1459">
        <f>'raw data Crude oil'!X1460</f>
        <v>85.9</v>
      </c>
      <c r="Y1459">
        <f>'raw data Crude oil'!Y1460</f>
        <v>85.19</v>
      </c>
      <c r="Z1459">
        <f>'raw data Crude oil'!Z1460</f>
        <v>96.25</v>
      </c>
      <c r="AA1459">
        <f>'raw data Crude oil'!AA1460</f>
        <v>97.19</v>
      </c>
      <c r="AB1459">
        <f>'raw data Crude oil'!AB1460</f>
        <v>94.938999999999993</v>
      </c>
      <c r="AC1459">
        <f>'raw data Crude oil'!AC1460</f>
        <v>93.433000000000007</v>
      </c>
      <c r="AD1459">
        <f>'raw data Crude oil'!AD1460</f>
        <v>92.084000000000003</v>
      </c>
      <c r="AE1459">
        <f>'raw data Crude oil'!AE1460</f>
        <v>91.078000000000003</v>
      </c>
      <c r="AF1459">
        <f>'raw data Crude oil'!AF1460</f>
        <v>90.23</v>
      </c>
      <c r="AG1459">
        <f>'raw data Crude oil'!AG1460</f>
        <v>89.507999999999996</v>
      </c>
      <c r="AH1459">
        <f>'raw data Crude oil'!AH1460</f>
        <v>88.825000000000003</v>
      </c>
      <c r="AI1459">
        <f>'raw data Crude oil'!AI1460</f>
        <v>88.281999999999996</v>
      </c>
      <c r="AJ1459">
        <f>'raw data Crude oil'!AJ1460</f>
        <v>87.722999999999999</v>
      </c>
      <c r="AK1459">
        <f>'raw data Crude oil'!AK1460</f>
        <v>87.274000000000001</v>
      </c>
    </row>
    <row r="1460" spans="1:37" x14ac:dyDescent="0.3">
      <c r="A1460" s="18">
        <f>'raw data Crude oil'!A1461</f>
        <v>44797</v>
      </c>
      <c r="B1460">
        <f>'raw data Crude oil'!B1461</f>
        <v>101.22</v>
      </c>
      <c r="C1460">
        <f>'raw data Crude oil'!C1461</f>
        <v>100.34</v>
      </c>
      <c r="D1460">
        <f>'raw data Crude oil'!D1461</f>
        <v>99.11</v>
      </c>
      <c r="E1460">
        <f>'raw data Crude oil'!E1461</f>
        <v>97.88</v>
      </c>
      <c r="F1460">
        <f>'raw data Crude oil'!F1461</f>
        <v>96.66</v>
      </c>
      <c r="G1460">
        <f>'raw data Crude oil'!G1461</f>
        <v>95.54</v>
      </c>
      <c r="H1460">
        <f>'raw data Crude oil'!H1461</f>
        <v>94.54</v>
      </c>
      <c r="I1460">
        <f>'raw data Crude oil'!I1461</f>
        <v>93.64</v>
      </c>
      <c r="J1460">
        <f>'raw data Crude oil'!J1461</f>
        <v>92.81</v>
      </c>
      <c r="K1460">
        <f>'raw data Crude oil'!K1461</f>
        <v>92.08</v>
      </c>
      <c r="L1460">
        <f>'raw data Crude oil'!L1461</f>
        <v>91.39</v>
      </c>
      <c r="M1460">
        <f>'raw data Crude oil'!M1461</f>
        <v>90.74</v>
      </c>
      <c r="N1460">
        <f>'raw data Crude oil'!N1461</f>
        <v>94.89</v>
      </c>
      <c r="O1460">
        <f>'raw data Crude oil'!O1461</f>
        <v>94.4</v>
      </c>
      <c r="P1460">
        <f>'raw data Crude oil'!P1461</f>
        <v>93.65</v>
      </c>
      <c r="Q1460">
        <f>'raw data Crude oil'!Q1461</f>
        <v>92.72</v>
      </c>
      <c r="R1460">
        <f>'raw data Crude oil'!R1461</f>
        <v>91.69</v>
      </c>
      <c r="S1460">
        <f>'raw data Crude oil'!S1461</f>
        <v>90.67</v>
      </c>
      <c r="T1460">
        <f>'raw data Crude oil'!T1461</f>
        <v>89.71</v>
      </c>
      <c r="U1460">
        <f>'raw data Crude oil'!U1461</f>
        <v>88.8</v>
      </c>
      <c r="V1460">
        <f>'raw data Crude oil'!V1461</f>
        <v>87.92</v>
      </c>
      <c r="W1460">
        <f>'raw data Crude oil'!W1461</f>
        <v>87.09</v>
      </c>
      <c r="X1460">
        <f>'raw data Crude oil'!X1461</f>
        <v>86.28</v>
      </c>
      <c r="Y1460">
        <f>'raw data Crude oil'!Y1461</f>
        <v>85.49</v>
      </c>
      <c r="Z1460">
        <f>'raw data Crude oil'!Z1461</f>
        <v>96.573999999999998</v>
      </c>
      <c r="AA1460">
        <f>'raw data Crude oil'!AA1461</f>
        <v>98.453000000000003</v>
      </c>
      <c r="AB1460">
        <f>'raw data Crude oil'!AB1461</f>
        <v>96.070999999999998</v>
      </c>
      <c r="AC1460">
        <f>'raw data Crude oil'!AC1461</f>
        <v>94.405000000000001</v>
      </c>
      <c r="AD1460">
        <f>'raw data Crude oil'!AD1461</f>
        <v>92.923000000000002</v>
      </c>
      <c r="AE1460">
        <f>'raw data Crude oil'!AE1461</f>
        <v>91.772999999999996</v>
      </c>
      <c r="AF1460">
        <f>'raw data Crude oil'!AF1461</f>
        <v>90.835999999999999</v>
      </c>
      <c r="AG1460">
        <f>'raw data Crude oil'!AG1461</f>
        <v>90.043999999999997</v>
      </c>
      <c r="AH1460">
        <f>'raw data Crude oil'!AH1461</f>
        <v>89.311999999999998</v>
      </c>
      <c r="AI1460">
        <f>'raw data Crude oil'!AI1461</f>
        <v>88.72</v>
      </c>
      <c r="AJ1460">
        <f>'raw data Crude oil'!AJ1461</f>
        <v>88.15</v>
      </c>
      <c r="AK1460">
        <f>'raw data Crude oil'!AK1461</f>
        <v>87.602000000000004</v>
      </c>
    </row>
    <row r="1461" spans="1:37" x14ac:dyDescent="0.3">
      <c r="A1461" s="18">
        <f>'raw data Crude oil'!A1462</f>
        <v>44798</v>
      </c>
      <c r="B1461">
        <f>'raw data Crude oil'!B1462</f>
        <v>99.34</v>
      </c>
      <c r="C1461">
        <f>'raw data Crude oil'!C1462</f>
        <v>98.46</v>
      </c>
      <c r="D1461">
        <f>'raw data Crude oil'!D1462</f>
        <v>97.25</v>
      </c>
      <c r="E1461">
        <f>'raw data Crude oil'!E1462</f>
        <v>96.02</v>
      </c>
      <c r="F1461">
        <f>'raw data Crude oil'!F1462</f>
        <v>94.79</v>
      </c>
      <c r="G1461">
        <f>'raw data Crude oil'!G1462</f>
        <v>93.67</v>
      </c>
      <c r="H1461">
        <f>'raw data Crude oil'!H1462</f>
        <v>92.67</v>
      </c>
      <c r="I1461">
        <f>'raw data Crude oil'!I1462</f>
        <v>91.77</v>
      </c>
      <c r="J1461">
        <f>'raw data Crude oil'!J1462</f>
        <v>90.95</v>
      </c>
      <c r="K1461">
        <f>'raw data Crude oil'!K1462</f>
        <v>90.25</v>
      </c>
      <c r="L1461">
        <f>'raw data Crude oil'!L1462</f>
        <v>89.57</v>
      </c>
      <c r="M1461">
        <f>'raw data Crude oil'!M1462</f>
        <v>88.94</v>
      </c>
      <c r="N1461">
        <f>'raw data Crude oil'!N1462</f>
        <v>92.52</v>
      </c>
      <c r="O1461">
        <f>'raw data Crude oil'!O1462</f>
        <v>92.19</v>
      </c>
      <c r="P1461">
        <f>'raw data Crude oil'!P1462</f>
        <v>91.58</v>
      </c>
      <c r="Q1461">
        <f>'raw data Crude oil'!Q1462</f>
        <v>90.71</v>
      </c>
      <c r="R1461">
        <f>'raw data Crude oil'!R1462</f>
        <v>89.7</v>
      </c>
      <c r="S1461">
        <f>'raw data Crude oil'!S1462</f>
        <v>88.69</v>
      </c>
      <c r="T1461">
        <f>'raw data Crude oil'!T1462</f>
        <v>87.74</v>
      </c>
      <c r="U1461">
        <f>'raw data Crude oil'!U1462</f>
        <v>86.85</v>
      </c>
      <c r="V1461">
        <f>'raw data Crude oil'!V1462</f>
        <v>86.01</v>
      </c>
      <c r="W1461">
        <f>'raw data Crude oil'!W1462</f>
        <v>85.2</v>
      </c>
      <c r="X1461">
        <f>'raw data Crude oil'!X1462</f>
        <v>84.44</v>
      </c>
      <c r="Y1461">
        <f>'raw data Crude oil'!Y1462</f>
        <v>83.72</v>
      </c>
      <c r="Z1461">
        <f>'raw data Crude oil'!Z1462</f>
        <v>96.281000000000006</v>
      </c>
      <c r="AA1461">
        <f>'raw data Crude oil'!AA1462</f>
        <v>97.054000000000002</v>
      </c>
      <c r="AB1461">
        <f>'raw data Crude oil'!AB1462</f>
        <v>94.450999999999993</v>
      </c>
      <c r="AC1461">
        <f>'raw data Crude oil'!AC1462</f>
        <v>92.534000000000006</v>
      </c>
      <c r="AD1461">
        <f>'raw data Crude oil'!AD1462</f>
        <v>90.972999999999999</v>
      </c>
      <c r="AE1461">
        <f>'raw data Crude oil'!AE1462</f>
        <v>89.831999999999994</v>
      </c>
      <c r="AF1461">
        <f>'raw data Crude oil'!AF1462</f>
        <v>88.965000000000003</v>
      </c>
      <c r="AG1461">
        <f>'raw data Crude oil'!AG1462</f>
        <v>88.174000000000007</v>
      </c>
      <c r="AH1461">
        <f>'raw data Crude oil'!AH1462</f>
        <v>87.442999999999998</v>
      </c>
      <c r="AI1461">
        <f>'raw data Crude oil'!AI1462</f>
        <v>86.83</v>
      </c>
      <c r="AJ1461">
        <f>'raw data Crude oil'!AJ1462</f>
        <v>86.290999999999997</v>
      </c>
      <c r="AK1461">
        <f>'raw data Crude oil'!AK1462</f>
        <v>85.772999999999996</v>
      </c>
    </row>
    <row r="1462" spans="1:37" x14ac:dyDescent="0.3">
      <c r="A1462" s="18">
        <f>'raw data Crude oil'!A1463</f>
        <v>44799</v>
      </c>
      <c r="B1462">
        <f>'raw data Crude oil'!B1463</f>
        <v>100.99</v>
      </c>
      <c r="C1462">
        <f>'raw data Crude oil'!C1463</f>
        <v>99.01</v>
      </c>
      <c r="D1462">
        <f>'raw data Crude oil'!D1463</f>
        <v>97.35</v>
      </c>
      <c r="E1462">
        <f>'raw data Crude oil'!E1463</f>
        <v>95.87</v>
      </c>
      <c r="F1462">
        <f>'raw data Crude oil'!F1463</f>
        <v>94.51</v>
      </c>
      <c r="G1462">
        <f>'raw data Crude oil'!G1463</f>
        <v>93.33</v>
      </c>
      <c r="H1462">
        <f>'raw data Crude oil'!H1463</f>
        <v>92.3</v>
      </c>
      <c r="I1462">
        <f>'raw data Crude oil'!I1463</f>
        <v>91.42</v>
      </c>
      <c r="J1462">
        <f>'raw data Crude oil'!J1463</f>
        <v>90.62</v>
      </c>
      <c r="K1462">
        <f>'raw data Crude oil'!K1463</f>
        <v>89.94</v>
      </c>
      <c r="L1462">
        <f>'raw data Crude oil'!L1463</f>
        <v>89.28</v>
      </c>
      <c r="M1462">
        <f>'raw data Crude oil'!M1463</f>
        <v>88.67</v>
      </c>
      <c r="N1462">
        <f>'raw data Crude oil'!N1463</f>
        <v>93.06</v>
      </c>
      <c r="O1462">
        <f>'raw data Crude oil'!O1463</f>
        <v>92.39</v>
      </c>
      <c r="P1462">
        <f>'raw data Crude oil'!P1463</f>
        <v>91.55</v>
      </c>
      <c r="Q1462">
        <f>'raw data Crude oil'!Q1463</f>
        <v>90.5</v>
      </c>
      <c r="R1462">
        <f>'raw data Crude oil'!R1463</f>
        <v>89.4</v>
      </c>
      <c r="S1462">
        <f>'raw data Crude oil'!S1463</f>
        <v>88.35</v>
      </c>
      <c r="T1462">
        <f>'raw data Crude oil'!T1463</f>
        <v>87.38</v>
      </c>
      <c r="U1462">
        <f>'raw data Crude oil'!U1463</f>
        <v>86.48</v>
      </c>
      <c r="V1462">
        <f>'raw data Crude oil'!V1463</f>
        <v>85.64</v>
      </c>
      <c r="W1462">
        <f>'raw data Crude oil'!W1463</f>
        <v>84.85</v>
      </c>
      <c r="X1462">
        <f>'raw data Crude oil'!X1463</f>
        <v>84.11</v>
      </c>
      <c r="Y1462">
        <f>'raw data Crude oil'!Y1463</f>
        <v>83.41</v>
      </c>
      <c r="Z1462">
        <f>'raw data Crude oil'!Z1463</f>
        <v>96.456999999999994</v>
      </c>
      <c r="AA1462">
        <f>'raw data Crude oil'!AA1463</f>
        <v>97.915000000000006</v>
      </c>
      <c r="AB1462">
        <f>'raw data Crude oil'!AB1463</f>
        <v>94.67</v>
      </c>
      <c r="AC1462">
        <f>'raw data Crude oil'!AC1463</f>
        <v>92.378</v>
      </c>
      <c r="AD1462">
        <f>'raw data Crude oil'!AD1463</f>
        <v>90.597999999999999</v>
      </c>
      <c r="AE1462">
        <f>'raw data Crude oil'!AE1463</f>
        <v>89.290999999999997</v>
      </c>
      <c r="AF1462">
        <f>'raw data Crude oil'!AF1463</f>
        <v>88.355999999999995</v>
      </c>
      <c r="AG1462">
        <f>'raw data Crude oil'!AG1463</f>
        <v>87.614999999999995</v>
      </c>
      <c r="AH1462">
        <f>'raw data Crude oil'!AH1463</f>
        <v>86.933999999999997</v>
      </c>
      <c r="AI1462">
        <f>'raw data Crude oil'!AI1463</f>
        <v>86.331000000000003</v>
      </c>
      <c r="AJ1462">
        <f>'raw data Crude oil'!AJ1463</f>
        <v>85.802000000000007</v>
      </c>
      <c r="AK1462">
        <f>'raw data Crude oil'!AK1463</f>
        <v>85.323999999999998</v>
      </c>
    </row>
    <row r="1463" spans="1:37" x14ac:dyDescent="0.3">
      <c r="A1463" s="18">
        <f>'raw data Crude oil'!A1464</f>
        <v>44802</v>
      </c>
      <c r="B1463">
        <f>'raw data Crude oil'!B1464</f>
        <v>105.09</v>
      </c>
      <c r="C1463">
        <f>'raw data Crude oil'!C1464</f>
        <v>102.93</v>
      </c>
      <c r="D1463">
        <f>'raw data Crude oil'!D1464</f>
        <v>100.94</v>
      </c>
      <c r="E1463">
        <f>'raw data Crude oil'!E1464</f>
        <v>99.11</v>
      </c>
      <c r="F1463">
        <f>'raw data Crude oil'!F1464</f>
        <v>97.47</v>
      </c>
      <c r="G1463">
        <f>'raw data Crude oil'!G1464</f>
        <v>96.07</v>
      </c>
      <c r="H1463">
        <f>'raw data Crude oil'!H1464</f>
        <v>94.87</v>
      </c>
      <c r="I1463">
        <f>'raw data Crude oil'!I1464</f>
        <v>93.83</v>
      </c>
      <c r="J1463">
        <f>'raw data Crude oil'!J1464</f>
        <v>92.88</v>
      </c>
      <c r="K1463">
        <f>'raw data Crude oil'!K1464</f>
        <v>92.08</v>
      </c>
      <c r="L1463">
        <f>'raw data Crude oil'!L1464</f>
        <v>91.31</v>
      </c>
      <c r="M1463">
        <f>'raw data Crude oil'!M1464</f>
        <v>90.59</v>
      </c>
      <c r="N1463">
        <f>'raw data Crude oil'!N1464</f>
        <v>97.01</v>
      </c>
      <c r="O1463">
        <f>'raw data Crude oil'!O1464</f>
        <v>96.19</v>
      </c>
      <c r="P1463">
        <f>'raw data Crude oil'!P1464</f>
        <v>95.03</v>
      </c>
      <c r="Q1463">
        <f>'raw data Crude oil'!Q1464</f>
        <v>93.73</v>
      </c>
      <c r="R1463">
        <f>'raw data Crude oil'!R1464</f>
        <v>92.37</v>
      </c>
      <c r="S1463">
        <f>'raw data Crude oil'!S1464</f>
        <v>91.1</v>
      </c>
      <c r="T1463">
        <f>'raw data Crude oil'!T1464</f>
        <v>89.94</v>
      </c>
      <c r="U1463">
        <f>'raw data Crude oil'!U1464</f>
        <v>88.88</v>
      </c>
      <c r="V1463">
        <f>'raw data Crude oil'!V1464</f>
        <v>87.91</v>
      </c>
      <c r="W1463">
        <f>'raw data Crude oil'!W1464</f>
        <v>87</v>
      </c>
      <c r="X1463">
        <f>'raw data Crude oil'!X1464</f>
        <v>86.14</v>
      </c>
      <c r="Y1463">
        <f>'raw data Crude oil'!Y1464</f>
        <v>85.33</v>
      </c>
      <c r="Z1463">
        <f>'raw data Crude oil'!Z1464</f>
        <v>96.831000000000003</v>
      </c>
      <c r="AA1463">
        <f>'raw data Crude oil'!AA1464</f>
        <v>101.56</v>
      </c>
      <c r="AB1463">
        <f>'raw data Crude oil'!AB1464</f>
        <v>97.893000000000001</v>
      </c>
      <c r="AC1463">
        <f>'raw data Crude oil'!AC1464</f>
        <v>95.325000000000003</v>
      </c>
      <c r="AD1463">
        <f>'raw data Crude oil'!AD1464</f>
        <v>93.266999999999996</v>
      </c>
      <c r="AE1463">
        <f>'raw data Crude oil'!AE1464</f>
        <v>91.763000000000005</v>
      </c>
      <c r="AF1463">
        <f>'raw data Crude oil'!AF1464</f>
        <v>90.608000000000004</v>
      </c>
      <c r="AG1463">
        <f>'raw data Crude oil'!AG1464</f>
        <v>89.709000000000003</v>
      </c>
      <c r="AH1463">
        <f>'raw data Crude oil'!AH1464</f>
        <v>88.878</v>
      </c>
      <c r="AI1463">
        <f>'raw data Crude oil'!AI1464</f>
        <v>88.156999999999996</v>
      </c>
      <c r="AJ1463">
        <f>'raw data Crude oil'!AJ1464</f>
        <v>87.516999999999996</v>
      </c>
      <c r="AK1463">
        <f>'raw data Crude oil'!AK1464</f>
        <v>86.948999999999998</v>
      </c>
    </row>
    <row r="1464" spans="1:37" x14ac:dyDescent="0.3">
      <c r="A1464" s="18">
        <f>'raw data Crude oil'!A1465</f>
        <v>44803</v>
      </c>
      <c r="B1464">
        <f>'raw data Crude oil'!B1465</f>
        <v>99.31</v>
      </c>
      <c r="C1464">
        <f>'raw data Crude oil'!C1465</f>
        <v>97.84</v>
      </c>
      <c r="D1464">
        <f>'raw data Crude oil'!D1465</f>
        <v>96.46</v>
      </c>
      <c r="E1464">
        <f>'raw data Crude oil'!E1465</f>
        <v>95.06</v>
      </c>
      <c r="F1464">
        <f>'raw data Crude oil'!F1465</f>
        <v>93.68</v>
      </c>
      <c r="G1464">
        <f>'raw data Crude oil'!G1465</f>
        <v>92.49</v>
      </c>
      <c r="H1464">
        <f>'raw data Crude oil'!H1465</f>
        <v>91.46</v>
      </c>
      <c r="I1464">
        <f>'raw data Crude oil'!I1465</f>
        <v>90.55</v>
      </c>
      <c r="J1464">
        <f>'raw data Crude oil'!J1465</f>
        <v>89.71</v>
      </c>
      <c r="K1464">
        <f>'raw data Crude oil'!K1465</f>
        <v>88.99</v>
      </c>
      <c r="L1464">
        <f>'raw data Crude oil'!L1465</f>
        <v>88.28</v>
      </c>
      <c r="M1464">
        <f>'raw data Crude oil'!M1465</f>
        <v>87.63</v>
      </c>
      <c r="N1464">
        <f>'raw data Crude oil'!N1465</f>
        <v>91.64</v>
      </c>
      <c r="O1464">
        <f>'raw data Crude oil'!O1465</f>
        <v>91.17</v>
      </c>
      <c r="P1464">
        <f>'raw data Crude oil'!P1465</f>
        <v>90.46</v>
      </c>
      <c r="Q1464">
        <f>'raw data Crude oil'!Q1465</f>
        <v>89.53</v>
      </c>
      <c r="R1464">
        <f>'raw data Crude oil'!R1465</f>
        <v>88.47</v>
      </c>
      <c r="S1464">
        <f>'raw data Crude oil'!S1465</f>
        <v>87.45</v>
      </c>
      <c r="T1464">
        <f>'raw data Crude oil'!T1465</f>
        <v>86.49</v>
      </c>
      <c r="U1464">
        <f>'raw data Crude oil'!U1465</f>
        <v>85.59</v>
      </c>
      <c r="V1464">
        <f>'raw data Crude oil'!V1465</f>
        <v>84.74</v>
      </c>
      <c r="W1464">
        <f>'raw data Crude oil'!W1465</f>
        <v>83.94</v>
      </c>
      <c r="X1464">
        <f>'raw data Crude oil'!X1465</f>
        <v>83.18</v>
      </c>
      <c r="Y1464">
        <f>'raw data Crude oil'!Y1465</f>
        <v>82.46</v>
      </c>
      <c r="Z1464">
        <f>'raw data Crude oil'!Z1465</f>
        <v>96.603999999999999</v>
      </c>
      <c r="AA1464">
        <f>'raw data Crude oil'!AA1465</f>
        <v>96.617000000000004</v>
      </c>
      <c r="AB1464">
        <f>'raw data Crude oil'!AB1465</f>
        <v>93.453000000000003</v>
      </c>
      <c r="AC1464">
        <f>'raw data Crude oil'!AC1465</f>
        <v>91.126999999999995</v>
      </c>
      <c r="AD1464">
        <f>'raw data Crude oil'!AD1465</f>
        <v>89.337000000000003</v>
      </c>
      <c r="AE1464">
        <f>'raw data Crude oil'!AE1465</f>
        <v>87.991</v>
      </c>
      <c r="AF1464">
        <f>'raw data Crude oil'!AF1465</f>
        <v>87.125</v>
      </c>
      <c r="AG1464">
        <f>'raw data Crude oil'!AG1465</f>
        <v>86.423000000000002</v>
      </c>
      <c r="AH1464">
        <f>'raw data Crude oil'!AH1465</f>
        <v>85.652000000000001</v>
      </c>
      <c r="AI1464">
        <f>'raw data Crude oil'!AI1465</f>
        <v>84.998999999999995</v>
      </c>
      <c r="AJ1464">
        <f>'raw data Crude oil'!AJ1465</f>
        <v>84.34</v>
      </c>
      <c r="AK1464">
        <f>'raw data Crude oil'!AK1465</f>
        <v>83.790999999999997</v>
      </c>
    </row>
    <row r="1465" spans="1:37" x14ac:dyDescent="0.3">
      <c r="A1465" s="18">
        <f>'raw data Crude oil'!A1466</f>
        <v>44804</v>
      </c>
      <c r="B1465">
        <f>'raw data Crude oil'!B1466</f>
        <v>96.49</v>
      </c>
      <c r="C1465">
        <f>'raw data Crude oil'!C1466</f>
        <v>95.64</v>
      </c>
      <c r="D1465">
        <f>'raw data Crude oil'!D1466</f>
        <v>94.21</v>
      </c>
      <c r="E1465">
        <f>'raw data Crude oil'!E1466</f>
        <v>92.93</v>
      </c>
      <c r="F1465">
        <f>'raw data Crude oil'!F1466</f>
        <v>91.74</v>
      </c>
      <c r="G1465">
        <f>'raw data Crude oil'!G1466</f>
        <v>90.76</v>
      </c>
      <c r="H1465">
        <f>'raw data Crude oil'!H1466</f>
        <v>89.93</v>
      </c>
      <c r="I1465">
        <f>'raw data Crude oil'!I1466</f>
        <v>89.19</v>
      </c>
      <c r="J1465">
        <f>'raw data Crude oil'!J1466</f>
        <v>88.49</v>
      </c>
      <c r="K1465">
        <f>'raw data Crude oil'!K1466</f>
        <v>87.88</v>
      </c>
      <c r="L1465">
        <f>'raw data Crude oil'!L1466</f>
        <v>87.25</v>
      </c>
      <c r="M1465">
        <f>'raw data Crude oil'!M1466</f>
        <v>86.65</v>
      </c>
      <c r="N1465">
        <f>'raw data Crude oil'!N1466</f>
        <v>89.55</v>
      </c>
      <c r="O1465">
        <f>'raw data Crude oil'!O1466</f>
        <v>89.03</v>
      </c>
      <c r="P1465">
        <f>'raw data Crude oil'!P1466</f>
        <v>88.31</v>
      </c>
      <c r="Q1465">
        <f>'raw data Crude oil'!Q1466</f>
        <v>87.52</v>
      </c>
      <c r="R1465">
        <f>'raw data Crude oil'!R1466</f>
        <v>86.67</v>
      </c>
      <c r="S1465">
        <f>'raw data Crude oil'!S1466</f>
        <v>85.84</v>
      </c>
      <c r="T1465">
        <f>'raw data Crude oil'!T1466</f>
        <v>85.03</v>
      </c>
      <c r="U1465">
        <f>'raw data Crude oil'!U1466</f>
        <v>84.26</v>
      </c>
      <c r="V1465">
        <f>'raw data Crude oil'!V1466</f>
        <v>83.54</v>
      </c>
      <c r="W1465">
        <f>'raw data Crude oil'!W1466</f>
        <v>82.83</v>
      </c>
      <c r="X1465">
        <f>'raw data Crude oil'!X1466</f>
        <v>82.14</v>
      </c>
      <c r="Y1465">
        <f>'raw data Crude oil'!Y1466</f>
        <v>81.47</v>
      </c>
      <c r="Z1465">
        <f>'raw data Crude oil'!Z1466</f>
        <v>96.600999999999999</v>
      </c>
      <c r="AA1465">
        <f>'raw data Crude oil'!AA1466</f>
        <v>95.025000000000006</v>
      </c>
      <c r="AB1465">
        <f>'raw data Crude oil'!AB1466</f>
        <v>91.619</v>
      </c>
      <c r="AC1465">
        <f>'raw data Crude oil'!AC1466</f>
        <v>89.256</v>
      </c>
      <c r="AD1465">
        <f>'raw data Crude oil'!AD1466</f>
        <v>87.587000000000003</v>
      </c>
      <c r="AE1465">
        <f>'raw data Crude oil'!AE1466</f>
        <v>86.47</v>
      </c>
      <c r="AF1465">
        <f>'raw data Crude oil'!AF1466</f>
        <v>85.703000000000003</v>
      </c>
      <c r="AG1465">
        <f>'raw data Crude oil'!AG1466</f>
        <v>85.07</v>
      </c>
      <c r="AH1465">
        <f>'raw data Crude oil'!AH1466</f>
        <v>84.438000000000002</v>
      </c>
      <c r="AI1465">
        <f>'raw data Crude oil'!AI1466</f>
        <v>83.923000000000002</v>
      </c>
      <c r="AJ1465">
        <f>'raw data Crude oil'!AJ1466</f>
        <v>83.433000000000007</v>
      </c>
      <c r="AK1465">
        <f>'raw data Crude oil'!AK1466</f>
        <v>82.951999999999998</v>
      </c>
    </row>
    <row r="1466" spans="1:37" x14ac:dyDescent="0.3">
      <c r="A1466" s="18">
        <f>'raw data Crude oil'!A1467</f>
        <v>44805</v>
      </c>
      <c r="B1466">
        <f>'raw data Crude oil'!B1467</f>
        <v>92.36</v>
      </c>
      <c r="C1466">
        <f>'raw data Crude oil'!C1467</f>
        <v>91.32</v>
      </c>
      <c r="D1466">
        <f>'raw data Crude oil'!D1467</f>
        <v>90.3</v>
      </c>
      <c r="E1466">
        <f>'raw data Crude oil'!E1467</f>
        <v>89.28</v>
      </c>
      <c r="F1466">
        <f>'raw data Crude oil'!F1467</f>
        <v>88.35</v>
      </c>
      <c r="G1466">
        <f>'raw data Crude oil'!G1467</f>
        <v>87.54</v>
      </c>
      <c r="H1466">
        <f>'raw data Crude oil'!H1467</f>
        <v>86.82</v>
      </c>
      <c r="I1466">
        <f>'raw data Crude oil'!I1467</f>
        <v>86.12</v>
      </c>
      <c r="J1466">
        <f>'raw data Crude oil'!J1467</f>
        <v>85.51</v>
      </c>
      <c r="K1466">
        <f>'raw data Crude oil'!K1467</f>
        <v>84.9</v>
      </c>
      <c r="L1466">
        <f>'raw data Crude oil'!L1467</f>
        <v>84.31</v>
      </c>
      <c r="M1466">
        <f>'raw data Crude oil'!M1467</f>
        <v>83.75</v>
      </c>
      <c r="N1466">
        <f>'raw data Crude oil'!N1467</f>
        <v>86.61</v>
      </c>
      <c r="O1466">
        <f>'raw data Crude oil'!O1467</f>
        <v>86.22</v>
      </c>
      <c r="P1466">
        <f>'raw data Crude oil'!P1467</f>
        <v>85.66</v>
      </c>
      <c r="Q1466">
        <f>'raw data Crude oil'!Q1467</f>
        <v>84.99</v>
      </c>
      <c r="R1466">
        <f>'raw data Crude oil'!R1467</f>
        <v>84.24</v>
      </c>
      <c r="S1466">
        <f>'raw data Crude oil'!S1467</f>
        <v>83.47</v>
      </c>
      <c r="T1466">
        <f>'raw data Crude oil'!T1467</f>
        <v>82.72</v>
      </c>
      <c r="U1466">
        <f>'raw data Crude oil'!U1467</f>
        <v>82</v>
      </c>
      <c r="V1466">
        <f>'raw data Crude oil'!V1467</f>
        <v>81.3</v>
      </c>
      <c r="W1466">
        <f>'raw data Crude oil'!W1467</f>
        <v>80.62</v>
      </c>
      <c r="X1466">
        <f>'raw data Crude oil'!X1467</f>
        <v>79.959999999999994</v>
      </c>
      <c r="Y1466">
        <f>'raw data Crude oil'!Y1467</f>
        <v>79.349999999999994</v>
      </c>
      <c r="Z1466">
        <f>'raw data Crude oil'!Z1467</f>
        <v>96.600999999999999</v>
      </c>
      <c r="AA1466">
        <f>'raw data Crude oil'!AA1467</f>
        <v>92.176000000000002</v>
      </c>
      <c r="AB1466">
        <f>'raw data Crude oil'!AB1467</f>
        <v>88.840999999999994</v>
      </c>
      <c r="AC1466">
        <f>'raw data Crude oil'!AC1467</f>
        <v>86.843999999999994</v>
      </c>
      <c r="AD1466">
        <f>'raw data Crude oil'!AD1467</f>
        <v>85.391000000000005</v>
      </c>
      <c r="AE1466">
        <f>'raw data Crude oil'!AE1467</f>
        <v>84.290999999999997</v>
      </c>
      <c r="AF1466">
        <f>'raw data Crude oil'!AF1467</f>
        <v>83.543999999999997</v>
      </c>
      <c r="AG1466">
        <f>'raw data Crude oil'!AG1467</f>
        <v>82.93</v>
      </c>
      <c r="AH1466">
        <f>'raw data Crude oil'!AH1467</f>
        <v>82.328000000000003</v>
      </c>
      <c r="AI1466">
        <f>'raw data Crude oil'!AI1467</f>
        <v>81.772999999999996</v>
      </c>
      <c r="AJ1466">
        <f>'raw data Crude oil'!AJ1467</f>
        <v>81.253</v>
      </c>
      <c r="AK1466">
        <f>'raw data Crude oil'!AK1467</f>
        <v>80.832999999999998</v>
      </c>
    </row>
    <row r="1467" spans="1:37" x14ac:dyDescent="0.3">
      <c r="A1467" s="18">
        <f>'raw data Crude oil'!A1468</f>
        <v>44806</v>
      </c>
      <c r="B1467">
        <f>'raw data Crude oil'!B1468</f>
        <v>93.02</v>
      </c>
      <c r="C1467">
        <f>'raw data Crude oil'!C1468</f>
        <v>91.81</v>
      </c>
      <c r="D1467">
        <f>'raw data Crude oil'!D1468</f>
        <v>90.66</v>
      </c>
      <c r="E1467">
        <f>'raw data Crude oil'!E1468</f>
        <v>89.52</v>
      </c>
      <c r="F1467">
        <f>'raw data Crude oil'!F1468</f>
        <v>88.52</v>
      </c>
      <c r="G1467">
        <f>'raw data Crude oil'!G1468</f>
        <v>87.68</v>
      </c>
      <c r="H1467">
        <f>'raw data Crude oil'!H1468</f>
        <v>86.94</v>
      </c>
      <c r="I1467">
        <f>'raw data Crude oil'!I1468</f>
        <v>86.24</v>
      </c>
      <c r="J1467">
        <f>'raw data Crude oil'!J1468</f>
        <v>85.63</v>
      </c>
      <c r="K1467">
        <f>'raw data Crude oil'!K1468</f>
        <v>85.02</v>
      </c>
      <c r="L1467">
        <f>'raw data Crude oil'!L1468</f>
        <v>84.4</v>
      </c>
      <c r="M1467">
        <f>'raw data Crude oil'!M1468</f>
        <v>83.81</v>
      </c>
      <c r="N1467">
        <f>'raw data Crude oil'!N1468</f>
        <v>86.87</v>
      </c>
      <c r="O1467">
        <f>'raw data Crude oil'!O1468</f>
        <v>86.48</v>
      </c>
      <c r="P1467">
        <f>'raw data Crude oil'!P1468</f>
        <v>85.9</v>
      </c>
      <c r="Q1467">
        <f>'raw data Crude oil'!Q1468</f>
        <v>85.19</v>
      </c>
      <c r="R1467">
        <f>'raw data Crude oil'!R1468</f>
        <v>84.41</v>
      </c>
      <c r="S1467">
        <f>'raw data Crude oil'!S1468</f>
        <v>83.63</v>
      </c>
      <c r="T1467">
        <f>'raw data Crude oil'!T1468</f>
        <v>82.88</v>
      </c>
      <c r="U1467">
        <f>'raw data Crude oil'!U1468</f>
        <v>82.16</v>
      </c>
      <c r="V1467">
        <f>'raw data Crude oil'!V1468</f>
        <v>81.459999999999994</v>
      </c>
      <c r="W1467">
        <f>'raw data Crude oil'!W1468</f>
        <v>80.760000000000005</v>
      </c>
      <c r="X1467">
        <f>'raw data Crude oil'!X1468</f>
        <v>80.08</v>
      </c>
      <c r="Y1467">
        <f>'raw data Crude oil'!Y1468</f>
        <v>79.430000000000007</v>
      </c>
      <c r="Z1467">
        <f>'raw data Crude oil'!Z1468</f>
        <v>93.027000000000001</v>
      </c>
      <c r="AA1467">
        <f>'raw data Crude oil'!AA1468</f>
        <v>89.594999999999999</v>
      </c>
      <c r="AB1467">
        <f>'raw data Crude oil'!AB1468</f>
        <v>87.444000000000003</v>
      </c>
      <c r="AC1467">
        <f>'raw data Crude oil'!AC1468</f>
        <v>85.825000000000003</v>
      </c>
      <c r="AD1467">
        <f>'raw data Crude oil'!AD1468</f>
        <v>84.62</v>
      </c>
      <c r="AE1467">
        <f>'raw data Crude oil'!AE1468</f>
        <v>83.813000000000002</v>
      </c>
      <c r="AF1467">
        <f>'raw data Crude oil'!AF1468</f>
        <v>83.05</v>
      </c>
      <c r="AG1467">
        <f>'raw data Crude oil'!AG1468</f>
        <v>82.477999999999994</v>
      </c>
      <c r="AH1467">
        <f>'raw data Crude oil'!AH1468</f>
        <v>81.903000000000006</v>
      </c>
      <c r="AI1467">
        <f>'raw data Crude oil'!AI1468</f>
        <v>81.421999999999997</v>
      </c>
      <c r="AJ1467">
        <f>'raw data Crude oil'!AJ1468</f>
        <v>80.921999999999997</v>
      </c>
      <c r="AK1467">
        <f>'raw data Crude oil'!AK1468</f>
        <v>80.406999999999996</v>
      </c>
    </row>
    <row r="1468" spans="1:37" x14ac:dyDescent="0.3">
      <c r="A1468" s="18">
        <f>'raw data Crude oil'!A1469</f>
        <v>44809</v>
      </c>
      <c r="B1468">
        <f>'raw data Crude oil'!B1469</f>
        <v>95.74</v>
      </c>
      <c r="C1468">
        <f>'raw data Crude oil'!C1469</f>
        <v>94.4</v>
      </c>
      <c r="D1468">
        <f>'raw data Crude oil'!D1469</f>
        <v>93.07</v>
      </c>
      <c r="E1468">
        <f>'raw data Crude oil'!E1469</f>
        <v>91.77</v>
      </c>
      <c r="F1468">
        <f>'raw data Crude oil'!F1469</f>
        <v>90.61</v>
      </c>
      <c r="G1468">
        <f>'raw data Crude oil'!G1469</f>
        <v>89.61</v>
      </c>
      <c r="H1468">
        <f>'raw data Crude oil'!H1469</f>
        <v>88.72</v>
      </c>
      <c r="I1468">
        <f>'raw data Crude oil'!I1469</f>
        <v>87.88</v>
      </c>
      <c r="J1468">
        <f>'raw data Crude oil'!J1469</f>
        <v>87.15</v>
      </c>
      <c r="K1468">
        <f>'raw data Crude oil'!K1469</f>
        <v>86.4</v>
      </c>
      <c r="L1468">
        <f>'raw data Crude oil'!L1469</f>
        <v>85.67</v>
      </c>
      <c r="M1468">
        <f>'raw data Crude oil'!M1469</f>
        <v>84.96</v>
      </c>
      <c r="N1468">
        <f>'raw data Crude oil'!N1469</f>
        <v>86.87</v>
      </c>
      <c r="O1468">
        <f>'raw data Crude oil'!O1469</f>
        <v>86.48</v>
      </c>
      <c r="P1468">
        <f>'raw data Crude oil'!P1469</f>
        <v>85.9</v>
      </c>
      <c r="Q1468">
        <f>'raw data Crude oil'!Q1469</f>
        <v>85.19</v>
      </c>
      <c r="R1468">
        <f>'raw data Crude oil'!R1469</f>
        <v>84.41</v>
      </c>
      <c r="S1468">
        <f>'raw data Crude oil'!S1469</f>
        <v>83.63</v>
      </c>
      <c r="T1468">
        <f>'raw data Crude oil'!T1469</f>
        <v>82.88</v>
      </c>
      <c r="U1468">
        <f>'raw data Crude oil'!U1469</f>
        <v>82.16</v>
      </c>
      <c r="V1468">
        <f>'raw data Crude oil'!V1469</f>
        <v>81.459999999999994</v>
      </c>
      <c r="W1468">
        <f>'raw data Crude oil'!W1469</f>
        <v>80.760000000000005</v>
      </c>
      <c r="X1468">
        <f>'raw data Crude oil'!X1469</f>
        <v>80.08</v>
      </c>
      <c r="Y1468">
        <f>'raw data Crude oil'!Y1469</f>
        <v>79.430000000000007</v>
      </c>
      <c r="Z1468">
        <f>'raw data Crude oil'!Z1469</f>
        <v>95.281999999999996</v>
      </c>
      <c r="AA1468">
        <f>'raw data Crude oil'!AA1469</f>
        <v>92.326999999999998</v>
      </c>
      <c r="AB1468">
        <f>'raw data Crude oil'!AB1469</f>
        <v>89.930999999999997</v>
      </c>
      <c r="AC1468">
        <f>'raw data Crude oil'!AC1469</f>
        <v>88.058999999999997</v>
      </c>
      <c r="AD1468">
        <f>'raw data Crude oil'!AD1469</f>
        <v>86.701999999999998</v>
      </c>
      <c r="AE1468">
        <f>'raw data Crude oil'!AE1469</f>
        <v>85.736000000000004</v>
      </c>
      <c r="AF1468">
        <f>'raw data Crude oil'!AF1469</f>
        <v>84.903000000000006</v>
      </c>
      <c r="AG1468">
        <f>'raw data Crude oil'!AG1469</f>
        <v>84.152000000000001</v>
      </c>
      <c r="AH1468">
        <f>'raw data Crude oil'!AH1469</f>
        <v>83.497</v>
      </c>
      <c r="AI1468">
        <f>'raw data Crude oil'!AI1469</f>
        <v>82.867000000000004</v>
      </c>
      <c r="AJ1468">
        <f>'raw data Crude oil'!AJ1469</f>
        <v>82.225999999999999</v>
      </c>
      <c r="AK1468">
        <f>'raw data Crude oil'!AK1469</f>
        <v>81.602000000000004</v>
      </c>
    </row>
    <row r="1469" spans="1:37" x14ac:dyDescent="0.3">
      <c r="A1469" s="18">
        <f>'raw data Crude oil'!A1470</f>
        <v>44810</v>
      </c>
      <c r="B1469">
        <f>'raw data Crude oil'!B1470</f>
        <v>92.83</v>
      </c>
      <c r="C1469">
        <f>'raw data Crude oil'!C1470</f>
        <v>91.97</v>
      </c>
      <c r="D1469">
        <f>'raw data Crude oil'!D1470</f>
        <v>90.92</v>
      </c>
      <c r="E1469">
        <f>'raw data Crude oil'!E1470</f>
        <v>89.84</v>
      </c>
      <c r="F1469">
        <f>'raw data Crude oil'!F1470</f>
        <v>88.85</v>
      </c>
      <c r="G1469">
        <f>'raw data Crude oil'!G1470</f>
        <v>87.99</v>
      </c>
      <c r="H1469">
        <f>'raw data Crude oil'!H1470</f>
        <v>87.23</v>
      </c>
      <c r="I1469">
        <f>'raw data Crude oil'!I1470</f>
        <v>86.53</v>
      </c>
      <c r="J1469">
        <f>'raw data Crude oil'!J1470</f>
        <v>85.92</v>
      </c>
      <c r="K1469">
        <f>'raw data Crude oil'!K1470</f>
        <v>85.27</v>
      </c>
      <c r="L1469">
        <f>'raw data Crude oil'!L1470</f>
        <v>84.65</v>
      </c>
      <c r="M1469">
        <f>'raw data Crude oil'!M1470</f>
        <v>84.03</v>
      </c>
      <c r="N1469">
        <f>'raw data Crude oil'!N1470</f>
        <v>86.88</v>
      </c>
      <c r="O1469">
        <f>'raw data Crude oil'!O1470</f>
        <v>86.51</v>
      </c>
      <c r="P1469">
        <f>'raw data Crude oil'!P1470</f>
        <v>86.03</v>
      </c>
      <c r="Q1469">
        <f>'raw data Crude oil'!Q1470</f>
        <v>85.43</v>
      </c>
      <c r="R1469">
        <f>'raw data Crude oil'!R1470</f>
        <v>84.74</v>
      </c>
      <c r="S1469">
        <f>'raw data Crude oil'!S1470</f>
        <v>84</v>
      </c>
      <c r="T1469">
        <f>'raw data Crude oil'!T1470</f>
        <v>83.28</v>
      </c>
      <c r="U1469">
        <f>'raw data Crude oil'!U1470</f>
        <v>82.57</v>
      </c>
      <c r="V1469">
        <f>'raw data Crude oil'!V1470</f>
        <v>81.86</v>
      </c>
      <c r="W1469">
        <f>'raw data Crude oil'!W1470</f>
        <v>81.17</v>
      </c>
      <c r="X1469">
        <f>'raw data Crude oil'!X1470</f>
        <v>80.48</v>
      </c>
      <c r="Y1469">
        <f>'raw data Crude oil'!Y1470</f>
        <v>79.819999999999993</v>
      </c>
      <c r="Z1469">
        <f>'raw data Crude oil'!Z1470</f>
        <v>93.387</v>
      </c>
      <c r="AA1469">
        <f>'raw data Crude oil'!AA1470</f>
        <v>89.92</v>
      </c>
      <c r="AB1469">
        <f>'raw data Crude oil'!AB1470</f>
        <v>87.840999999999994</v>
      </c>
      <c r="AC1469">
        <f>'raw data Crude oil'!AC1470</f>
        <v>86.256</v>
      </c>
      <c r="AD1469">
        <f>'raw data Crude oil'!AD1470</f>
        <v>85.019000000000005</v>
      </c>
      <c r="AE1469">
        <f>'raw data Crude oil'!AE1470</f>
        <v>84.191999999999993</v>
      </c>
      <c r="AF1469">
        <f>'raw data Crude oil'!AF1470</f>
        <v>83.49</v>
      </c>
      <c r="AG1469">
        <f>'raw data Crude oil'!AG1470</f>
        <v>82.847999999999999</v>
      </c>
      <c r="AH1469">
        <f>'raw data Crude oil'!AH1470</f>
        <v>82.361999999999995</v>
      </c>
      <c r="AI1469">
        <f>'raw data Crude oil'!AI1470</f>
        <v>81.792000000000002</v>
      </c>
      <c r="AJ1469">
        <f>'raw data Crude oil'!AJ1470</f>
        <v>81.25</v>
      </c>
      <c r="AK1469">
        <f>'raw data Crude oil'!AK1470</f>
        <v>80.706000000000003</v>
      </c>
    </row>
    <row r="1470" spans="1:37" x14ac:dyDescent="0.3">
      <c r="A1470" s="18">
        <f>'raw data Crude oil'!A1471</f>
        <v>44811</v>
      </c>
      <c r="B1470">
        <f>'raw data Crude oil'!B1471</f>
        <v>88</v>
      </c>
      <c r="C1470">
        <f>'raw data Crude oil'!C1471</f>
        <v>87.21</v>
      </c>
      <c r="D1470">
        <f>'raw data Crude oil'!D1471</f>
        <v>86.31</v>
      </c>
      <c r="E1470">
        <f>'raw data Crude oil'!E1471</f>
        <v>85.43</v>
      </c>
      <c r="F1470">
        <f>'raw data Crude oil'!F1471</f>
        <v>84.6</v>
      </c>
      <c r="G1470">
        <f>'raw data Crude oil'!G1471</f>
        <v>83.84</v>
      </c>
      <c r="H1470">
        <f>'raw data Crude oil'!H1471</f>
        <v>83.15</v>
      </c>
      <c r="I1470">
        <f>'raw data Crude oil'!I1471</f>
        <v>82.51</v>
      </c>
      <c r="J1470">
        <f>'raw data Crude oil'!J1471</f>
        <v>81.97</v>
      </c>
      <c r="K1470">
        <f>'raw data Crude oil'!K1471</f>
        <v>81.41</v>
      </c>
      <c r="L1470">
        <f>'raw data Crude oil'!L1471</f>
        <v>80.87</v>
      </c>
      <c r="M1470">
        <f>'raw data Crude oil'!M1471</f>
        <v>80.37</v>
      </c>
      <c r="N1470">
        <f>'raw data Crude oil'!N1471</f>
        <v>81.94</v>
      </c>
      <c r="O1470">
        <f>'raw data Crude oil'!O1471</f>
        <v>81.63</v>
      </c>
      <c r="P1470">
        <f>'raw data Crude oil'!P1471</f>
        <v>81.25</v>
      </c>
      <c r="Q1470">
        <f>'raw data Crude oil'!Q1471</f>
        <v>80.75</v>
      </c>
      <c r="R1470">
        <f>'raw data Crude oil'!R1471</f>
        <v>80.2</v>
      </c>
      <c r="S1470">
        <f>'raw data Crude oil'!S1471</f>
        <v>79.62</v>
      </c>
      <c r="T1470">
        <f>'raw data Crude oil'!T1471</f>
        <v>79.03</v>
      </c>
      <c r="U1470">
        <f>'raw data Crude oil'!U1471</f>
        <v>78.44</v>
      </c>
      <c r="V1470">
        <f>'raw data Crude oil'!V1471</f>
        <v>77.849999999999994</v>
      </c>
      <c r="W1470">
        <f>'raw data Crude oil'!W1471</f>
        <v>77.260000000000005</v>
      </c>
      <c r="X1470">
        <f>'raw data Crude oil'!X1471</f>
        <v>76.66</v>
      </c>
      <c r="Y1470">
        <f>'raw data Crude oil'!Y1471</f>
        <v>76.099999999999994</v>
      </c>
      <c r="Z1470">
        <f>'raw data Crude oil'!Z1471</f>
        <v>89.512</v>
      </c>
      <c r="AA1470">
        <f>'raw data Crude oil'!AA1471</f>
        <v>85.156999999999996</v>
      </c>
      <c r="AB1470">
        <f>'raw data Crude oil'!AB1471</f>
        <v>83.23</v>
      </c>
      <c r="AC1470">
        <f>'raw data Crude oil'!AC1471</f>
        <v>81.840999999999994</v>
      </c>
      <c r="AD1470">
        <f>'raw data Crude oil'!AD1471</f>
        <v>80.763999999999996</v>
      </c>
      <c r="AE1470">
        <f>'raw data Crude oil'!AE1471</f>
        <v>80.055999999999997</v>
      </c>
      <c r="AF1470">
        <f>'raw data Crude oil'!AF1471</f>
        <v>79.421999999999997</v>
      </c>
      <c r="AG1470">
        <f>'raw data Crude oil'!AG1471</f>
        <v>78.882000000000005</v>
      </c>
      <c r="AH1470">
        <f>'raw data Crude oil'!AH1471</f>
        <v>78.376000000000005</v>
      </c>
      <c r="AI1470">
        <f>'raw data Crude oil'!AI1471</f>
        <v>77.924999999999997</v>
      </c>
      <c r="AJ1470">
        <f>'raw data Crude oil'!AJ1471</f>
        <v>77.525999999999996</v>
      </c>
      <c r="AK1470">
        <f>'raw data Crude oil'!AK1471</f>
        <v>77.12</v>
      </c>
    </row>
    <row r="1471" spans="1:37" x14ac:dyDescent="0.3">
      <c r="A1471" s="18">
        <f>'raw data Crude oil'!A1472</f>
        <v>44812</v>
      </c>
      <c r="B1471">
        <f>'raw data Crude oil'!B1472</f>
        <v>89.15</v>
      </c>
      <c r="C1471">
        <f>'raw data Crude oil'!C1472</f>
        <v>88.25</v>
      </c>
      <c r="D1471">
        <f>'raw data Crude oil'!D1472</f>
        <v>87.22</v>
      </c>
      <c r="E1471">
        <f>'raw data Crude oil'!E1472</f>
        <v>86.24</v>
      </c>
      <c r="F1471">
        <f>'raw data Crude oil'!F1472</f>
        <v>85.32</v>
      </c>
      <c r="G1471">
        <f>'raw data Crude oil'!G1472</f>
        <v>84.5</v>
      </c>
      <c r="H1471">
        <f>'raw data Crude oil'!H1472</f>
        <v>83.78</v>
      </c>
      <c r="I1471">
        <f>'raw data Crude oil'!I1472</f>
        <v>83.1</v>
      </c>
      <c r="J1471">
        <f>'raw data Crude oil'!J1472</f>
        <v>82.53</v>
      </c>
      <c r="K1471">
        <f>'raw data Crude oil'!K1472</f>
        <v>81.95</v>
      </c>
      <c r="L1471">
        <f>'raw data Crude oil'!L1472</f>
        <v>81.38</v>
      </c>
      <c r="M1471">
        <f>'raw data Crude oil'!M1472</f>
        <v>80.849999999999994</v>
      </c>
      <c r="N1471">
        <f>'raw data Crude oil'!N1472</f>
        <v>83.54</v>
      </c>
      <c r="O1471">
        <f>'raw data Crude oil'!O1472</f>
        <v>83.07</v>
      </c>
      <c r="P1471">
        <f>'raw data Crude oil'!P1472</f>
        <v>82.46</v>
      </c>
      <c r="Q1471">
        <f>'raw data Crude oil'!Q1472</f>
        <v>81.8</v>
      </c>
      <c r="R1471">
        <f>'raw data Crude oil'!R1472</f>
        <v>81.14</v>
      </c>
      <c r="S1471">
        <f>'raw data Crude oil'!S1472</f>
        <v>80.459999999999994</v>
      </c>
      <c r="T1471">
        <f>'raw data Crude oil'!T1472</f>
        <v>79.8</v>
      </c>
      <c r="U1471">
        <f>'raw data Crude oil'!U1472</f>
        <v>79.17</v>
      </c>
      <c r="V1471">
        <f>'raw data Crude oil'!V1472</f>
        <v>78.52</v>
      </c>
      <c r="W1471">
        <f>'raw data Crude oil'!W1472</f>
        <v>77.89</v>
      </c>
      <c r="X1471">
        <f>'raw data Crude oil'!X1472</f>
        <v>77.25</v>
      </c>
      <c r="Y1471">
        <f>'raw data Crude oil'!Y1472</f>
        <v>76.650000000000006</v>
      </c>
      <c r="Z1471">
        <f>'raw data Crude oil'!Z1472</f>
        <v>90.192999999999998</v>
      </c>
      <c r="AA1471">
        <f>'raw data Crude oil'!AA1472</f>
        <v>86.1</v>
      </c>
      <c r="AB1471">
        <f>'raw data Crude oil'!AB1472</f>
        <v>83.944999999999993</v>
      </c>
      <c r="AC1471">
        <f>'raw data Crude oil'!AC1472</f>
        <v>82.402000000000001</v>
      </c>
      <c r="AD1471">
        <f>'raw data Crude oil'!AD1472</f>
        <v>81.320999999999998</v>
      </c>
      <c r="AE1471">
        <f>'raw data Crude oil'!AE1472</f>
        <v>80.554000000000002</v>
      </c>
      <c r="AF1471">
        <f>'raw data Crude oil'!AF1472</f>
        <v>79.88</v>
      </c>
      <c r="AG1471">
        <f>'raw data Crude oil'!AG1472</f>
        <v>79.28</v>
      </c>
      <c r="AH1471">
        <f>'raw data Crude oil'!AH1472</f>
        <v>78.775000000000006</v>
      </c>
      <c r="AI1471">
        <f>'raw data Crude oil'!AI1472</f>
        <v>78.323999999999998</v>
      </c>
      <c r="AJ1471">
        <f>'raw data Crude oil'!AJ1472</f>
        <v>77.885000000000005</v>
      </c>
      <c r="AK1471">
        <f>'raw data Crude oil'!AK1472</f>
        <v>77.438999999999993</v>
      </c>
    </row>
    <row r="1472" spans="1:37" x14ac:dyDescent="0.3">
      <c r="A1472" s="18">
        <f>'raw data Crude oil'!A1473</f>
        <v>44813</v>
      </c>
      <c r="B1472">
        <f>'raw data Crude oil'!B1473</f>
        <v>92.84</v>
      </c>
      <c r="C1472">
        <f>'raw data Crude oil'!C1473</f>
        <v>91.71</v>
      </c>
      <c r="D1472">
        <f>'raw data Crude oil'!D1473</f>
        <v>90.42</v>
      </c>
      <c r="E1472">
        <f>'raw data Crude oil'!E1473</f>
        <v>89.33</v>
      </c>
      <c r="F1472">
        <f>'raw data Crude oil'!F1473</f>
        <v>88.36</v>
      </c>
      <c r="G1472">
        <f>'raw data Crude oil'!G1473</f>
        <v>87.48</v>
      </c>
      <c r="H1472">
        <f>'raw data Crude oil'!H1473</f>
        <v>86.7</v>
      </c>
      <c r="I1472">
        <f>'raw data Crude oil'!I1473</f>
        <v>85.98</v>
      </c>
      <c r="J1472">
        <f>'raw data Crude oil'!J1473</f>
        <v>85.37</v>
      </c>
      <c r="K1472">
        <f>'raw data Crude oil'!K1473</f>
        <v>84.75</v>
      </c>
      <c r="L1472">
        <f>'raw data Crude oil'!L1473</f>
        <v>84.14</v>
      </c>
      <c r="M1472">
        <f>'raw data Crude oil'!M1473</f>
        <v>83.58</v>
      </c>
      <c r="N1472">
        <f>'raw data Crude oil'!N1473</f>
        <v>86.79</v>
      </c>
      <c r="O1472">
        <f>'raw data Crude oil'!O1473</f>
        <v>86.36</v>
      </c>
      <c r="P1472">
        <f>'raw data Crude oil'!P1473</f>
        <v>85.75</v>
      </c>
      <c r="Q1472">
        <f>'raw data Crude oil'!Q1473</f>
        <v>85.05</v>
      </c>
      <c r="R1472">
        <f>'raw data Crude oil'!R1473</f>
        <v>84.33</v>
      </c>
      <c r="S1472">
        <f>'raw data Crude oil'!S1473</f>
        <v>83.6</v>
      </c>
      <c r="T1472">
        <f>'raw data Crude oil'!T1473</f>
        <v>82.89</v>
      </c>
      <c r="U1472">
        <f>'raw data Crude oil'!U1473</f>
        <v>82.21</v>
      </c>
      <c r="V1472">
        <f>'raw data Crude oil'!V1473</f>
        <v>81.52</v>
      </c>
      <c r="W1472">
        <f>'raw data Crude oil'!W1473</f>
        <v>80.849999999999994</v>
      </c>
      <c r="X1472">
        <f>'raw data Crude oil'!X1473</f>
        <v>80.180000000000007</v>
      </c>
      <c r="Y1472">
        <f>'raw data Crude oil'!Y1473</f>
        <v>79.55</v>
      </c>
      <c r="Z1472">
        <f>'raw data Crude oil'!Z1473</f>
        <v>92.736000000000004</v>
      </c>
      <c r="AA1472">
        <f>'raw data Crude oil'!AA1473</f>
        <v>89.688999999999993</v>
      </c>
      <c r="AB1472">
        <f>'raw data Crude oil'!AB1473</f>
        <v>87.14</v>
      </c>
      <c r="AC1472">
        <f>'raw data Crude oil'!AC1473</f>
        <v>85.418000000000006</v>
      </c>
      <c r="AD1472">
        <f>'raw data Crude oil'!AD1473</f>
        <v>84.278000000000006</v>
      </c>
      <c r="AE1472">
        <f>'raw data Crude oil'!AE1473</f>
        <v>83.450999999999993</v>
      </c>
      <c r="AF1472">
        <f>'raw data Crude oil'!AF1473</f>
        <v>82.718999999999994</v>
      </c>
      <c r="AG1472">
        <f>'raw data Crude oil'!AG1473</f>
        <v>82.108000000000004</v>
      </c>
      <c r="AH1472">
        <f>'raw data Crude oil'!AH1473</f>
        <v>81.503</v>
      </c>
      <c r="AI1472">
        <f>'raw data Crude oil'!AI1473</f>
        <v>80.981999999999999</v>
      </c>
      <c r="AJ1472">
        <f>'raw data Crude oil'!AJ1473</f>
        <v>80.513000000000005</v>
      </c>
      <c r="AK1472">
        <f>'raw data Crude oil'!AK1473</f>
        <v>80.057000000000002</v>
      </c>
    </row>
    <row r="1473" spans="1:37" x14ac:dyDescent="0.3">
      <c r="A1473" s="18">
        <f>'raw data Crude oil'!A1474</f>
        <v>44816</v>
      </c>
      <c r="B1473">
        <f>'raw data Crude oil'!B1474</f>
        <v>94</v>
      </c>
      <c r="C1473">
        <f>'raw data Crude oil'!C1474</f>
        <v>92.93</v>
      </c>
      <c r="D1473">
        <f>'raw data Crude oil'!D1474</f>
        <v>91.68</v>
      </c>
      <c r="E1473">
        <f>'raw data Crude oil'!E1474</f>
        <v>90.61</v>
      </c>
      <c r="F1473">
        <f>'raw data Crude oil'!F1474</f>
        <v>89.65</v>
      </c>
      <c r="G1473">
        <f>'raw data Crude oil'!G1474</f>
        <v>88.76</v>
      </c>
      <c r="H1473">
        <f>'raw data Crude oil'!H1474</f>
        <v>87.96</v>
      </c>
      <c r="I1473">
        <f>'raw data Crude oil'!I1474</f>
        <v>87.21</v>
      </c>
      <c r="J1473">
        <f>'raw data Crude oil'!J1474</f>
        <v>86.58</v>
      </c>
      <c r="K1473">
        <f>'raw data Crude oil'!K1474</f>
        <v>85.93</v>
      </c>
      <c r="L1473">
        <f>'raw data Crude oil'!L1474</f>
        <v>85.3</v>
      </c>
      <c r="M1473">
        <f>'raw data Crude oil'!M1474</f>
        <v>84.72</v>
      </c>
      <c r="N1473">
        <f>'raw data Crude oil'!N1474</f>
        <v>87.78</v>
      </c>
      <c r="O1473">
        <f>'raw data Crude oil'!O1474</f>
        <v>87.41</v>
      </c>
      <c r="P1473">
        <f>'raw data Crude oil'!P1474</f>
        <v>86.86</v>
      </c>
      <c r="Q1473">
        <f>'raw data Crude oil'!Q1474</f>
        <v>86.21</v>
      </c>
      <c r="R1473">
        <f>'raw data Crude oil'!R1474</f>
        <v>85.51</v>
      </c>
      <c r="S1473">
        <f>'raw data Crude oil'!S1474</f>
        <v>84.81</v>
      </c>
      <c r="T1473">
        <f>'raw data Crude oil'!T1474</f>
        <v>84.12</v>
      </c>
      <c r="U1473">
        <f>'raw data Crude oil'!U1474</f>
        <v>83.43</v>
      </c>
      <c r="V1473">
        <f>'raw data Crude oil'!V1474</f>
        <v>82.74</v>
      </c>
      <c r="W1473">
        <f>'raw data Crude oil'!W1474</f>
        <v>82.05</v>
      </c>
      <c r="X1473">
        <f>'raw data Crude oil'!X1474</f>
        <v>81.37</v>
      </c>
      <c r="Y1473">
        <f>'raw data Crude oil'!Y1474</f>
        <v>80.73</v>
      </c>
      <c r="Z1473">
        <f>'raw data Crude oil'!Z1474</f>
        <v>93.307000000000002</v>
      </c>
      <c r="AA1473">
        <f>'raw data Crude oil'!AA1474</f>
        <v>90.8</v>
      </c>
      <c r="AB1473">
        <f>'raw data Crude oil'!AB1474</f>
        <v>88.331000000000003</v>
      </c>
      <c r="AC1473">
        <f>'raw data Crude oil'!AC1474</f>
        <v>86.629000000000005</v>
      </c>
      <c r="AD1473">
        <f>'raw data Crude oil'!AD1474</f>
        <v>85.488</v>
      </c>
      <c r="AE1473">
        <f>'raw data Crude oil'!AE1474</f>
        <v>84.63</v>
      </c>
      <c r="AF1473">
        <f>'raw data Crude oil'!AF1474</f>
        <v>83.887</v>
      </c>
      <c r="AG1473">
        <f>'raw data Crude oil'!AG1474</f>
        <v>83.206999999999994</v>
      </c>
      <c r="AH1473">
        <f>'raw data Crude oil'!AH1474</f>
        <v>82.641999999999996</v>
      </c>
      <c r="AI1473">
        <f>'raw data Crude oil'!AI1474</f>
        <v>82.120999999999995</v>
      </c>
      <c r="AJ1473">
        <f>'raw data Crude oil'!AJ1474</f>
        <v>81.632000000000005</v>
      </c>
      <c r="AK1473">
        <f>'raw data Crude oil'!AK1474</f>
        <v>81.128</v>
      </c>
    </row>
    <row r="1474" spans="1:37" x14ac:dyDescent="0.3">
      <c r="A1474" s="18">
        <f>'raw data Crude oil'!A1475</f>
        <v>44817</v>
      </c>
      <c r="B1474">
        <f>'raw data Crude oil'!B1475</f>
        <v>93.17</v>
      </c>
      <c r="C1474">
        <f>'raw data Crude oil'!C1475</f>
        <v>92.22</v>
      </c>
      <c r="D1474">
        <f>'raw data Crude oil'!D1475</f>
        <v>90.88</v>
      </c>
      <c r="E1474">
        <f>'raw data Crude oil'!E1475</f>
        <v>89.71</v>
      </c>
      <c r="F1474">
        <f>'raw data Crude oil'!F1475</f>
        <v>88.71</v>
      </c>
      <c r="G1474">
        <f>'raw data Crude oil'!G1475</f>
        <v>87.82</v>
      </c>
      <c r="H1474">
        <f>'raw data Crude oil'!H1475</f>
        <v>87.05</v>
      </c>
      <c r="I1474">
        <f>'raw data Crude oil'!I1475</f>
        <v>86.35</v>
      </c>
      <c r="J1474">
        <f>'raw data Crude oil'!J1475</f>
        <v>85.77</v>
      </c>
      <c r="K1474">
        <f>'raw data Crude oil'!K1475</f>
        <v>85.17</v>
      </c>
      <c r="L1474">
        <f>'raw data Crude oil'!L1475</f>
        <v>84.59</v>
      </c>
      <c r="M1474">
        <f>'raw data Crude oil'!M1475</f>
        <v>84.06</v>
      </c>
      <c r="N1474">
        <f>'raw data Crude oil'!N1475</f>
        <v>87.31</v>
      </c>
      <c r="O1474">
        <f>'raw data Crude oil'!O1475</f>
        <v>86.89</v>
      </c>
      <c r="P1474">
        <f>'raw data Crude oil'!P1475</f>
        <v>86.25</v>
      </c>
      <c r="Q1474">
        <f>'raw data Crude oil'!Q1475</f>
        <v>85.5</v>
      </c>
      <c r="R1474">
        <f>'raw data Crude oil'!R1475</f>
        <v>84.75</v>
      </c>
      <c r="S1474">
        <f>'raw data Crude oil'!S1475</f>
        <v>84.03</v>
      </c>
      <c r="T1474">
        <f>'raw data Crude oil'!T1475</f>
        <v>83.35</v>
      </c>
      <c r="U1474">
        <f>'raw data Crude oil'!U1475</f>
        <v>82.69</v>
      </c>
      <c r="V1474">
        <f>'raw data Crude oil'!V1475</f>
        <v>82.03</v>
      </c>
      <c r="W1474">
        <f>'raw data Crude oil'!W1475</f>
        <v>81.38</v>
      </c>
      <c r="X1474">
        <f>'raw data Crude oil'!X1475</f>
        <v>80.73</v>
      </c>
      <c r="Y1474">
        <f>'raw data Crude oil'!Y1475</f>
        <v>80.13</v>
      </c>
      <c r="Z1474">
        <f>'raw data Crude oil'!Z1475</f>
        <v>92.721999999999994</v>
      </c>
      <c r="AA1474">
        <f>'raw data Crude oil'!AA1475</f>
        <v>89.555999999999997</v>
      </c>
      <c r="AB1474">
        <f>'raw data Crude oil'!AB1475</f>
        <v>86.977000000000004</v>
      </c>
      <c r="AC1474">
        <f>'raw data Crude oil'!AC1475</f>
        <v>85.295000000000002</v>
      </c>
      <c r="AD1474">
        <f>'raw data Crude oil'!AD1475</f>
        <v>84.236999999999995</v>
      </c>
      <c r="AE1474">
        <f>'raw data Crude oil'!AE1475</f>
        <v>83.391999999999996</v>
      </c>
      <c r="AF1474">
        <f>'raw data Crude oil'!AF1475</f>
        <v>82.73</v>
      </c>
      <c r="AG1474">
        <f>'raw data Crude oil'!AG1475</f>
        <v>82.049000000000007</v>
      </c>
      <c r="AH1474">
        <f>'raw data Crude oil'!AH1475</f>
        <v>81.524000000000001</v>
      </c>
      <c r="AI1474">
        <f>'raw data Crude oil'!AI1475</f>
        <v>81.084000000000003</v>
      </c>
      <c r="AJ1474">
        <f>'raw data Crude oil'!AJ1475</f>
        <v>80.555000000000007</v>
      </c>
      <c r="AK1474">
        <f>'raw data Crude oil'!AK1475</f>
        <v>80.13</v>
      </c>
    </row>
    <row r="1475" spans="1:37" x14ac:dyDescent="0.3">
      <c r="A1475" s="18">
        <f>'raw data Crude oil'!A1476</f>
        <v>44818</v>
      </c>
      <c r="B1475">
        <f>'raw data Crude oil'!B1476</f>
        <v>94.1</v>
      </c>
      <c r="C1475">
        <f>'raw data Crude oil'!C1476</f>
        <v>93.12</v>
      </c>
      <c r="D1475">
        <f>'raw data Crude oil'!D1476</f>
        <v>91.69</v>
      </c>
      <c r="E1475">
        <f>'raw data Crude oil'!E1476</f>
        <v>90.4</v>
      </c>
      <c r="F1475">
        <f>'raw data Crude oil'!F1476</f>
        <v>89.29</v>
      </c>
      <c r="G1475">
        <f>'raw data Crude oil'!G1476</f>
        <v>88.33</v>
      </c>
      <c r="H1475">
        <f>'raw data Crude oil'!H1476</f>
        <v>87.53</v>
      </c>
      <c r="I1475">
        <f>'raw data Crude oil'!I1476</f>
        <v>86.81</v>
      </c>
      <c r="J1475">
        <f>'raw data Crude oil'!J1476</f>
        <v>86.22</v>
      </c>
      <c r="K1475">
        <f>'raw data Crude oil'!K1476</f>
        <v>85.62</v>
      </c>
      <c r="L1475">
        <f>'raw data Crude oil'!L1476</f>
        <v>85.02</v>
      </c>
      <c r="M1475">
        <f>'raw data Crude oil'!M1476</f>
        <v>84.47</v>
      </c>
      <c r="N1475">
        <f>'raw data Crude oil'!N1476</f>
        <v>88.48</v>
      </c>
      <c r="O1475">
        <f>'raw data Crude oil'!O1476</f>
        <v>88.05</v>
      </c>
      <c r="P1475">
        <f>'raw data Crude oil'!P1476</f>
        <v>87.36</v>
      </c>
      <c r="Q1475">
        <f>'raw data Crude oil'!Q1476</f>
        <v>86.5</v>
      </c>
      <c r="R1475">
        <f>'raw data Crude oil'!R1476</f>
        <v>85.61</v>
      </c>
      <c r="S1475">
        <f>'raw data Crude oil'!S1476</f>
        <v>84.73</v>
      </c>
      <c r="T1475">
        <f>'raw data Crude oil'!T1476</f>
        <v>83.91</v>
      </c>
      <c r="U1475">
        <f>'raw data Crude oil'!U1476</f>
        <v>83.15</v>
      </c>
      <c r="V1475">
        <f>'raw data Crude oil'!V1476</f>
        <v>82.41</v>
      </c>
      <c r="W1475">
        <f>'raw data Crude oil'!W1476</f>
        <v>81.7</v>
      </c>
      <c r="X1475">
        <f>'raw data Crude oil'!X1476</f>
        <v>81.010000000000005</v>
      </c>
      <c r="Y1475">
        <f>'raw data Crude oil'!Y1476</f>
        <v>80.37</v>
      </c>
      <c r="Z1475">
        <f>'raw data Crude oil'!Z1476</f>
        <v>93.488</v>
      </c>
      <c r="AA1475">
        <f>'raw data Crude oil'!AA1476</f>
        <v>91.046999999999997</v>
      </c>
      <c r="AB1475">
        <f>'raw data Crude oil'!AB1476</f>
        <v>88.245999999999995</v>
      </c>
      <c r="AC1475">
        <f>'raw data Crude oil'!AC1476</f>
        <v>86.244</v>
      </c>
      <c r="AD1475">
        <f>'raw data Crude oil'!AD1476</f>
        <v>84.953999999999994</v>
      </c>
      <c r="AE1475">
        <f>'raw data Crude oil'!AE1476</f>
        <v>84.04</v>
      </c>
      <c r="AF1475">
        <f>'raw data Crude oil'!AF1476</f>
        <v>83.369</v>
      </c>
      <c r="AG1475">
        <f>'raw data Crude oil'!AG1476</f>
        <v>82.808999999999997</v>
      </c>
      <c r="AH1475">
        <f>'raw data Crude oil'!AH1476</f>
        <v>82.323999999999998</v>
      </c>
      <c r="AI1475">
        <f>'raw data Crude oil'!AI1476</f>
        <v>81.873000000000005</v>
      </c>
      <c r="AJ1475">
        <f>'raw data Crude oil'!AJ1476</f>
        <v>81.403999999999996</v>
      </c>
      <c r="AK1475">
        <f>'raw data Crude oil'!AK1476</f>
        <v>80.938999999999993</v>
      </c>
    </row>
    <row r="1476" spans="1:37" x14ac:dyDescent="0.3">
      <c r="A1476" s="18">
        <f>'raw data Crude oil'!A1477</f>
        <v>44819</v>
      </c>
      <c r="B1476">
        <f>'raw data Crude oil'!B1477</f>
        <v>90.84</v>
      </c>
      <c r="C1476">
        <f>'raw data Crude oil'!C1477</f>
        <v>89.61</v>
      </c>
      <c r="D1476">
        <f>'raw data Crude oil'!D1477</f>
        <v>88.12</v>
      </c>
      <c r="E1476">
        <f>'raw data Crude oil'!E1477</f>
        <v>86.79</v>
      </c>
      <c r="F1476">
        <f>'raw data Crude oil'!F1477</f>
        <v>85.66</v>
      </c>
      <c r="G1476">
        <f>'raw data Crude oil'!G1477</f>
        <v>84.7</v>
      </c>
      <c r="H1476">
        <f>'raw data Crude oil'!H1477</f>
        <v>83.92</v>
      </c>
      <c r="I1476">
        <f>'raw data Crude oil'!I1477</f>
        <v>83.27</v>
      </c>
      <c r="J1476">
        <f>'raw data Crude oil'!J1477</f>
        <v>82.75</v>
      </c>
      <c r="K1476">
        <f>'raw data Crude oil'!K1477</f>
        <v>82.23</v>
      </c>
      <c r="L1476">
        <f>'raw data Crude oil'!L1477</f>
        <v>81.709999999999994</v>
      </c>
      <c r="M1476">
        <f>'raw data Crude oil'!M1477</f>
        <v>81.23</v>
      </c>
      <c r="N1476">
        <f>'raw data Crude oil'!N1477</f>
        <v>85.1</v>
      </c>
      <c r="O1476">
        <f>'raw data Crude oil'!O1477</f>
        <v>84.65</v>
      </c>
      <c r="P1476">
        <f>'raw data Crude oil'!P1477</f>
        <v>83.9</v>
      </c>
      <c r="Q1476">
        <f>'raw data Crude oil'!Q1477</f>
        <v>82.96</v>
      </c>
      <c r="R1476">
        <f>'raw data Crude oil'!R1477</f>
        <v>82.02</v>
      </c>
      <c r="S1476">
        <f>'raw data Crude oil'!S1477</f>
        <v>81.13</v>
      </c>
      <c r="T1476">
        <f>'raw data Crude oil'!T1477</f>
        <v>80.319999999999993</v>
      </c>
      <c r="U1476">
        <f>'raw data Crude oil'!U1477</f>
        <v>79.58</v>
      </c>
      <c r="V1476">
        <f>'raw data Crude oil'!V1477</f>
        <v>78.89</v>
      </c>
      <c r="W1476">
        <f>'raw data Crude oil'!W1477</f>
        <v>78.239999999999995</v>
      </c>
      <c r="X1476">
        <f>'raw data Crude oil'!X1477</f>
        <v>77.62</v>
      </c>
      <c r="Y1476">
        <f>'raw data Crude oil'!Y1477</f>
        <v>77.05</v>
      </c>
      <c r="Z1476">
        <f>'raw data Crude oil'!Z1477</f>
        <v>91.944000000000003</v>
      </c>
      <c r="AA1476">
        <f>'raw data Crude oil'!AA1477</f>
        <v>88.088999999999999</v>
      </c>
      <c r="AB1476">
        <f>'raw data Crude oil'!AB1477</f>
        <v>85.03</v>
      </c>
      <c r="AC1476">
        <f>'raw data Crude oil'!AC1477</f>
        <v>82.882000000000005</v>
      </c>
      <c r="AD1476">
        <f>'raw data Crude oil'!AD1477</f>
        <v>81.494</v>
      </c>
      <c r="AE1476">
        <f>'raw data Crude oil'!AE1477</f>
        <v>80.581000000000003</v>
      </c>
      <c r="AF1476">
        <f>'raw data Crude oil'!AF1477</f>
        <v>79.861999999999995</v>
      </c>
      <c r="AG1476">
        <f>'raw data Crude oil'!AG1477</f>
        <v>79.263000000000005</v>
      </c>
      <c r="AH1476">
        <f>'raw data Crude oil'!AH1477</f>
        <v>78.777000000000001</v>
      </c>
      <c r="AI1476">
        <f>'raw data Crude oil'!AI1477</f>
        <v>78.355999999999995</v>
      </c>
      <c r="AJ1476">
        <f>'raw data Crude oil'!AJ1477</f>
        <v>77.936999999999998</v>
      </c>
      <c r="AK1476">
        <f>'raw data Crude oil'!AK1477</f>
        <v>77.531999999999996</v>
      </c>
    </row>
    <row r="1477" spans="1:37" x14ac:dyDescent="0.3">
      <c r="A1477" s="18">
        <f>'raw data Crude oil'!A1478</f>
        <v>44820</v>
      </c>
      <c r="B1477">
        <f>'raw data Crude oil'!B1478</f>
        <v>91.35</v>
      </c>
      <c r="C1477">
        <f>'raw data Crude oil'!C1478</f>
        <v>90.05</v>
      </c>
      <c r="D1477">
        <f>'raw data Crude oil'!D1478</f>
        <v>88.51</v>
      </c>
      <c r="E1477">
        <f>'raw data Crude oil'!E1478</f>
        <v>87.13</v>
      </c>
      <c r="F1477">
        <f>'raw data Crude oil'!F1478</f>
        <v>85.95</v>
      </c>
      <c r="G1477">
        <f>'raw data Crude oil'!G1478</f>
        <v>84.92</v>
      </c>
      <c r="H1477">
        <f>'raw data Crude oil'!H1478</f>
        <v>84.08</v>
      </c>
      <c r="I1477">
        <f>'raw data Crude oil'!I1478</f>
        <v>83.37</v>
      </c>
      <c r="J1477">
        <f>'raw data Crude oil'!J1478</f>
        <v>82.81</v>
      </c>
      <c r="K1477">
        <f>'raw data Crude oil'!K1478</f>
        <v>82.27</v>
      </c>
      <c r="L1477">
        <f>'raw data Crude oil'!L1478</f>
        <v>81.73</v>
      </c>
      <c r="M1477">
        <f>'raw data Crude oil'!M1478</f>
        <v>81.239999999999995</v>
      </c>
      <c r="N1477">
        <f>'raw data Crude oil'!N1478</f>
        <v>85.11</v>
      </c>
      <c r="O1477">
        <f>'raw data Crude oil'!O1478</f>
        <v>84.76</v>
      </c>
      <c r="P1477">
        <f>'raw data Crude oil'!P1478</f>
        <v>84.07</v>
      </c>
      <c r="Q1477">
        <f>'raw data Crude oil'!Q1478</f>
        <v>83.16</v>
      </c>
      <c r="R1477">
        <f>'raw data Crude oil'!R1478</f>
        <v>82.2</v>
      </c>
      <c r="S1477">
        <f>'raw data Crude oil'!S1478</f>
        <v>81.27</v>
      </c>
      <c r="T1477">
        <f>'raw data Crude oil'!T1478</f>
        <v>80.39</v>
      </c>
      <c r="U1477">
        <f>'raw data Crude oil'!U1478</f>
        <v>79.58</v>
      </c>
      <c r="V1477">
        <f>'raw data Crude oil'!V1478</f>
        <v>78.84</v>
      </c>
      <c r="W1477">
        <f>'raw data Crude oil'!W1478</f>
        <v>78.14</v>
      </c>
      <c r="X1477">
        <f>'raw data Crude oil'!X1478</f>
        <v>77.5</v>
      </c>
      <c r="Y1477">
        <f>'raw data Crude oil'!Y1478</f>
        <v>76.89</v>
      </c>
      <c r="Z1477">
        <f>'raw data Crude oil'!Z1478</f>
        <v>92.338999999999999</v>
      </c>
      <c r="AA1477">
        <f>'raw data Crude oil'!AA1478</f>
        <v>88.846999999999994</v>
      </c>
      <c r="AB1477">
        <f>'raw data Crude oil'!AB1478</f>
        <v>85.617000000000004</v>
      </c>
      <c r="AC1477">
        <f>'raw data Crude oil'!AC1478</f>
        <v>83.366</v>
      </c>
      <c r="AD1477">
        <f>'raw data Crude oil'!AD1478</f>
        <v>81.840999999999994</v>
      </c>
      <c r="AE1477">
        <f>'raw data Crude oil'!AE1478</f>
        <v>80.828000000000003</v>
      </c>
      <c r="AF1477">
        <f>'raw data Crude oil'!AF1478</f>
        <v>80.028999999999996</v>
      </c>
      <c r="AG1477">
        <f>'raw data Crude oil'!AG1478</f>
        <v>79.391000000000005</v>
      </c>
      <c r="AH1477">
        <f>'raw data Crude oil'!AH1478</f>
        <v>78.897000000000006</v>
      </c>
      <c r="AI1477">
        <f>'raw data Crude oil'!AI1478</f>
        <v>78.474999999999994</v>
      </c>
      <c r="AJ1477">
        <f>'raw data Crude oil'!AJ1478</f>
        <v>78.037000000000006</v>
      </c>
      <c r="AK1477">
        <f>'raw data Crude oil'!AK1478</f>
        <v>77.641999999999996</v>
      </c>
    </row>
    <row r="1478" spans="1:37" x14ac:dyDescent="0.3">
      <c r="A1478" s="18">
        <f>'raw data Crude oil'!A1479</f>
        <v>44823</v>
      </c>
      <c r="B1478">
        <f>'raw data Crude oil'!B1479</f>
        <v>92</v>
      </c>
      <c r="C1478">
        <f>'raw data Crude oil'!C1479</f>
        <v>90.66</v>
      </c>
      <c r="D1478">
        <f>'raw data Crude oil'!D1479</f>
        <v>89.09</v>
      </c>
      <c r="E1478">
        <f>'raw data Crude oil'!E1479</f>
        <v>87.66</v>
      </c>
      <c r="F1478">
        <f>'raw data Crude oil'!F1479</f>
        <v>86.45</v>
      </c>
      <c r="G1478">
        <f>'raw data Crude oil'!G1479</f>
        <v>85.41</v>
      </c>
      <c r="H1478">
        <f>'raw data Crude oil'!H1479</f>
        <v>84.56</v>
      </c>
      <c r="I1478">
        <f>'raw data Crude oil'!I1479</f>
        <v>83.84</v>
      </c>
      <c r="J1478">
        <f>'raw data Crude oil'!J1479</f>
        <v>83.25</v>
      </c>
      <c r="K1478">
        <f>'raw data Crude oil'!K1479</f>
        <v>82.67</v>
      </c>
      <c r="L1478">
        <f>'raw data Crude oil'!L1479</f>
        <v>82.1</v>
      </c>
      <c r="M1478">
        <f>'raw data Crude oil'!M1479</f>
        <v>81.59</v>
      </c>
      <c r="N1478">
        <f>'raw data Crude oil'!N1479</f>
        <v>85.73</v>
      </c>
      <c r="O1478">
        <f>'raw data Crude oil'!O1479</f>
        <v>85.36</v>
      </c>
      <c r="P1478">
        <f>'raw data Crude oil'!P1479</f>
        <v>84.61</v>
      </c>
      <c r="Q1478">
        <f>'raw data Crude oil'!Q1479</f>
        <v>83.68</v>
      </c>
      <c r="R1478">
        <f>'raw data Crude oil'!R1479</f>
        <v>82.69</v>
      </c>
      <c r="S1478">
        <f>'raw data Crude oil'!S1479</f>
        <v>81.709999999999994</v>
      </c>
      <c r="T1478">
        <f>'raw data Crude oil'!T1479</f>
        <v>80.81</v>
      </c>
      <c r="U1478">
        <f>'raw data Crude oil'!U1479</f>
        <v>79.98</v>
      </c>
      <c r="V1478">
        <f>'raw data Crude oil'!V1479</f>
        <v>79.22</v>
      </c>
      <c r="W1478">
        <f>'raw data Crude oil'!W1479</f>
        <v>78.5</v>
      </c>
      <c r="X1478">
        <f>'raw data Crude oil'!X1479</f>
        <v>77.83</v>
      </c>
      <c r="Y1478">
        <f>'raw data Crude oil'!Y1479</f>
        <v>77.2</v>
      </c>
      <c r="Z1478">
        <f>'raw data Crude oil'!Z1479</f>
        <v>92.507999999999996</v>
      </c>
      <c r="AA1478">
        <f>'raw data Crude oil'!AA1479</f>
        <v>89.415000000000006</v>
      </c>
      <c r="AB1478">
        <f>'raw data Crude oil'!AB1479</f>
        <v>86.165000000000006</v>
      </c>
      <c r="AC1478">
        <f>'raw data Crude oil'!AC1479</f>
        <v>83.926000000000002</v>
      </c>
      <c r="AD1478">
        <f>'raw data Crude oil'!AD1479</f>
        <v>82.4</v>
      </c>
      <c r="AE1478">
        <f>'raw data Crude oil'!AE1479</f>
        <v>81.347999999999999</v>
      </c>
      <c r="AF1478">
        <f>'raw data Crude oil'!AF1479</f>
        <v>80.558999999999997</v>
      </c>
      <c r="AG1478">
        <f>'raw data Crude oil'!AG1479</f>
        <v>79.858999999999995</v>
      </c>
      <c r="AH1478">
        <f>'raw data Crude oil'!AH1479</f>
        <v>79.334999999999994</v>
      </c>
      <c r="AI1478">
        <f>'raw data Crude oil'!AI1479</f>
        <v>78.873999999999995</v>
      </c>
      <c r="AJ1478">
        <f>'raw data Crude oil'!AJ1479</f>
        <v>78.406000000000006</v>
      </c>
      <c r="AK1478">
        <f>'raw data Crude oil'!AK1479</f>
        <v>77.989999999999995</v>
      </c>
    </row>
    <row r="1479" spans="1:37" x14ac:dyDescent="0.3">
      <c r="A1479" s="18">
        <f>'raw data Crude oil'!A1480</f>
        <v>44824</v>
      </c>
      <c r="B1479">
        <f>'raw data Crude oil'!B1480</f>
        <v>90.62</v>
      </c>
      <c r="C1479">
        <f>'raw data Crude oil'!C1480</f>
        <v>89.4</v>
      </c>
      <c r="D1479">
        <f>'raw data Crude oil'!D1480</f>
        <v>87.85</v>
      </c>
      <c r="E1479">
        <f>'raw data Crude oil'!E1480</f>
        <v>86.42</v>
      </c>
      <c r="F1479">
        <f>'raw data Crude oil'!F1480</f>
        <v>85.18</v>
      </c>
      <c r="G1479">
        <f>'raw data Crude oil'!G1480</f>
        <v>84.14</v>
      </c>
      <c r="H1479">
        <f>'raw data Crude oil'!H1480</f>
        <v>83.29</v>
      </c>
      <c r="I1479">
        <f>'raw data Crude oil'!I1480</f>
        <v>82.55</v>
      </c>
      <c r="J1479">
        <f>'raw data Crude oil'!J1480</f>
        <v>81.95</v>
      </c>
      <c r="K1479">
        <f>'raw data Crude oil'!K1480</f>
        <v>81.349999999999994</v>
      </c>
      <c r="L1479">
        <f>'raw data Crude oil'!L1480</f>
        <v>80.77</v>
      </c>
      <c r="M1479">
        <f>'raw data Crude oil'!M1480</f>
        <v>80.22</v>
      </c>
      <c r="N1479">
        <f>'raw data Crude oil'!N1480</f>
        <v>84.45</v>
      </c>
      <c r="O1479">
        <f>'raw data Crude oil'!O1480</f>
        <v>83.94</v>
      </c>
      <c r="P1479">
        <f>'raw data Crude oil'!P1480</f>
        <v>83.28</v>
      </c>
      <c r="Q1479">
        <f>'raw data Crude oil'!Q1480</f>
        <v>82.37</v>
      </c>
      <c r="R1479">
        <f>'raw data Crude oil'!R1480</f>
        <v>81.37</v>
      </c>
      <c r="S1479">
        <f>'raw data Crude oil'!S1480</f>
        <v>80.39</v>
      </c>
      <c r="T1479">
        <f>'raw data Crude oil'!T1480</f>
        <v>79.48</v>
      </c>
      <c r="U1479">
        <f>'raw data Crude oil'!U1480</f>
        <v>78.66</v>
      </c>
      <c r="V1479">
        <f>'raw data Crude oil'!V1480</f>
        <v>77.89</v>
      </c>
      <c r="W1479">
        <f>'raw data Crude oil'!W1480</f>
        <v>77.17</v>
      </c>
      <c r="X1479">
        <f>'raw data Crude oil'!X1480</f>
        <v>76.489999999999995</v>
      </c>
      <c r="Y1479">
        <f>'raw data Crude oil'!Y1480</f>
        <v>75.86</v>
      </c>
      <c r="Z1479">
        <f>'raw data Crude oil'!Z1480</f>
        <v>92.067999999999998</v>
      </c>
      <c r="AA1479">
        <f>'raw data Crude oil'!AA1480</f>
        <v>88.176000000000002</v>
      </c>
      <c r="AB1479">
        <f>'raw data Crude oil'!AB1480</f>
        <v>84.965000000000003</v>
      </c>
      <c r="AC1479">
        <f>'raw data Crude oil'!AC1480</f>
        <v>82.665999999999997</v>
      </c>
      <c r="AD1479">
        <f>'raw data Crude oil'!AD1480</f>
        <v>81.069999999999993</v>
      </c>
      <c r="AE1479">
        <f>'raw data Crude oil'!AE1480</f>
        <v>80.018000000000001</v>
      </c>
      <c r="AF1479">
        <f>'raw data Crude oil'!AF1480</f>
        <v>79.227999999999994</v>
      </c>
      <c r="AG1479">
        <f>'raw data Crude oil'!AG1480</f>
        <v>78.548000000000002</v>
      </c>
      <c r="AH1479">
        <f>'raw data Crude oil'!AH1480</f>
        <v>78.013999999999996</v>
      </c>
      <c r="AI1479">
        <f>'raw data Crude oil'!AI1480</f>
        <v>77.524000000000001</v>
      </c>
      <c r="AJ1479">
        <f>'raw data Crude oil'!AJ1480</f>
        <v>77.043999999999997</v>
      </c>
      <c r="AK1479">
        <f>'raw data Crude oil'!AK1480</f>
        <v>76.58</v>
      </c>
    </row>
    <row r="1480" spans="1:37" x14ac:dyDescent="0.3">
      <c r="A1480" s="18">
        <f>'raw data Crude oil'!A1481</f>
        <v>44825</v>
      </c>
      <c r="B1480">
        <f>'raw data Crude oil'!B1481</f>
        <v>89.83</v>
      </c>
      <c r="C1480">
        <f>'raw data Crude oil'!C1481</f>
        <v>88.8</v>
      </c>
      <c r="D1480">
        <f>'raw data Crude oil'!D1481</f>
        <v>87.31</v>
      </c>
      <c r="E1480">
        <f>'raw data Crude oil'!E1481</f>
        <v>85.9</v>
      </c>
      <c r="F1480">
        <f>'raw data Crude oil'!F1481</f>
        <v>84.67</v>
      </c>
      <c r="G1480">
        <f>'raw data Crude oil'!G1481</f>
        <v>83.63</v>
      </c>
      <c r="H1480">
        <f>'raw data Crude oil'!H1481</f>
        <v>82.78</v>
      </c>
      <c r="I1480">
        <f>'raw data Crude oil'!I1481</f>
        <v>82.04</v>
      </c>
      <c r="J1480">
        <f>'raw data Crude oil'!J1481</f>
        <v>81.44</v>
      </c>
      <c r="K1480">
        <f>'raw data Crude oil'!K1481</f>
        <v>80.83</v>
      </c>
      <c r="L1480">
        <f>'raw data Crude oil'!L1481</f>
        <v>80.23</v>
      </c>
      <c r="M1480">
        <f>'raw data Crude oil'!M1481</f>
        <v>79.680000000000007</v>
      </c>
      <c r="N1480">
        <f>'raw data Crude oil'!N1481</f>
        <v>82.94</v>
      </c>
      <c r="O1480">
        <f>'raw data Crude oil'!O1481</f>
        <v>82.43</v>
      </c>
      <c r="P1480">
        <f>'raw data Crude oil'!P1481</f>
        <v>81.62</v>
      </c>
      <c r="Q1480">
        <f>'raw data Crude oil'!Q1481</f>
        <v>80.680000000000007</v>
      </c>
      <c r="R1480">
        <f>'raw data Crude oil'!R1481</f>
        <v>79.739999999999995</v>
      </c>
      <c r="S1480">
        <f>'raw data Crude oil'!S1481</f>
        <v>78.849999999999994</v>
      </c>
      <c r="T1480">
        <f>'raw data Crude oil'!T1481</f>
        <v>78.03</v>
      </c>
      <c r="U1480">
        <f>'raw data Crude oil'!U1481</f>
        <v>77.260000000000005</v>
      </c>
      <c r="V1480">
        <f>'raw data Crude oil'!V1481</f>
        <v>76.540000000000006</v>
      </c>
      <c r="W1480">
        <f>'raw data Crude oil'!W1481</f>
        <v>75.849999999999994</v>
      </c>
      <c r="X1480">
        <f>'raw data Crude oil'!X1481</f>
        <v>75.2</v>
      </c>
      <c r="Y1480">
        <f>'raw data Crude oil'!Y1481</f>
        <v>74.61</v>
      </c>
      <c r="Z1480">
        <f>'raw data Crude oil'!Z1481</f>
        <v>91.936000000000007</v>
      </c>
      <c r="AA1480">
        <f>'raw data Crude oil'!AA1481</f>
        <v>87.528999999999996</v>
      </c>
      <c r="AB1480">
        <f>'raw data Crude oil'!AB1481</f>
        <v>84.445999999999998</v>
      </c>
      <c r="AC1480">
        <f>'raw data Crude oil'!AC1481</f>
        <v>82.153000000000006</v>
      </c>
      <c r="AD1480">
        <f>'raw data Crude oil'!AD1481</f>
        <v>80.58</v>
      </c>
      <c r="AE1480">
        <f>'raw data Crude oil'!AE1481</f>
        <v>79.498000000000005</v>
      </c>
      <c r="AF1480">
        <f>'raw data Crude oil'!AF1481</f>
        <v>78.697999999999993</v>
      </c>
      <c r="AG1480">
        <f>'raw data Crude oil'!AG1481</f>
        <v>78.007999999999996</v>
      </c>
      <c r="AH1480">
        <f>'raw data Crude oil'!AH1481</f>
        <v>77.472999999999999</v>
      </c>
      <c r="AI1480">
        <f>'raw data Crude oil'!AI1481</f>
        <v>76.953000000000003</v>
      </c>
      <c r="AJ1480">
        <f>'raw data Crude oil'!AJ1481</f>
        <v>76.466999999999999</v>
      </c>
      <c r="AK1480">
        <f>'raw data Crude oil'!AK1481</f>
        <v>75.992000000000004</v>
      </c>
    </row>
    <row r="1481" spans="1:37" x14ac:dyDescent="0.3">
      <c r="A1481" s="18">
        <f>'raw data Crude oil'!A1482</f>
        <v>44826</v>
      </c>
      <c r="B1481">
        <f>'raw data Crude oil'!B1482</f>
        <v>90.46</v>
      </c>
      <c r="C1481">
        <f>'raw data Crude oil'!C1482</f>
        <v>89.53</v>
      </c>
      <c r="D1481">
        <f>'raw data Crude oil'!D1482</f>
        <v>88.1</v>
      </c>
      <c r="E1481">
        <f>'raw data Crude oil'!E1482</f>
        <v>86.73</v>
      </c>
      <c r="F1481">
        <f>'raw data Crude oil'!F1482</f>
        <v>85.52</v>
      </c>
      <c r="G1481">
        <f>'raw data Crude oil'!G1482</f>
        <v>84.48</v>
      </c>
      <c r="H1481">
        <f>'raw data Crude oil'!H1482</f>
        <v>83.61</v>
      </c>
      <c r="I1481">
        <f>'raw data Crude oil'!I1482</f>
        <v>82.84</v>
      </c>
      <c r="J1481">
        <f>'raw data Crude oil'!J1482</f>
        <v>82.22</v>
      </c>
      <c r="K1481">
        <f>'raw data Crude oil'!K1482</f>
        <v>81.59</v>
      </c>
      <c r="L1481">
        <f>'raw data Crude oil'!L1482</f>
        <v>80.98</v>
      </c>
      <c r="M1481">
        <f>'raw data Crude oil'!M1482</f>
        <v>80.400000000000006</v>
      </c>
      <c r="N1481">
        <f>'raw data Crude oil'!N1482</f>
        <v>83.49</v>
      </c>
      <c r="O1481">
        <f>'raw data Crude oil'!O1482</f>
        <v>83.03</v>
      </c>
      <c r="P1481">
        <f>'raw data Crude oil'!P1482</f>
        <v>82.27</v>
      </c>
      <c r="Q1481">
        <f>'raw data Crude oil'!Q1482</f>
        <v>81.33</v>
      </c>
      <c r="R1481">
        <f>'raw data Crude oil'!R1482</f>
        <v>80.39</v>
      </c>
      <c r="S1481">
        <f>'raw data Crude oil'!S1482</f>
        <v>79.510000000000005</v>
      </c>
      <c r="T1481">
        <f>'raw data Crude oil'!T1482</f>
        <v>78.7</v>
      </c>
      <c r="U1481">
        <f>'raw data Crude oil'!U1482</f>
        <v>77.94</v>
      </c>
      <c r="V1481">
        <f>'raw data Crude oil'!V1482</f>
        <v>77.209999999999994</v>
      </c>
      <c r="W1481">
        <f>'raw data Crude oil'!W1482</f>
        <v>76.52</v>
      </c>
      <c r="X1481">
        <f>'raw data Crude oil'!X1482</f>
        <v>75.86</v>
      </c>
      <c r="Y1481">
        <f>'raw data Crude oil'!Y1482</f>
        <v>75.239999999999995</v>
      </c>
      <c r="Z1481">
        <f>'raw data Crude oil'!Z1482</f>
        <v>92.126999999999995</v>
      </c>
      <c r="AA1481">
        <f>'raw data Crude oil'!AA1482</f>
        <v>88.652000000000001</v>
      </c>
      <c r="AB1481">
        <f>'raw data Crude oil'!AB1482</f>
        <v>85.727999999999994</v>
      </c>
      <c r="AC1481">
        <f>'raw data Crude oil'!AC1482</f>
        <v>83.405000000000001</v>
      </c>
      <c r="AD1481">
        <f>'raw data Crude oil'!AD1482</f>
        <v>81.790000000000006</v>
      </c>
      <c r="AE1481">
        <f>'raw data Crude oil'!AE1482</f>
        <v>80.677000000000007</v>
      </c>
      <c r="AF1481">
        <f>'raw data Crude oil'!AF1482</f>
        <v>79.807000000000002</v>
      </c>
      <c r="AG1481">
        <f>'raw data Crude oil'!AG1482</f>
        <v>79.037000000000006</v>
      </c>
      <c r="AH1481">
        <f>'raw data Crude oil'!AH1482</f>
        <v>78.492999999999995</v>
      </c>
      <c r="AI1481">
        <f>'raw data Crude oil'!AI1482</f>
        <v>77.941999999999993</v>
      </c>
      <c r="AJ1481">
        <f>'raw data Crude oil'!AJ1482</f>
        <v>77.402000000000001</v>
      </c>
      <c r="AK1481">
        <f>'raw data Crude oil'!AK1482</f>
        <v>76.858000000000004</v>
      </c>
    </row>
    <row r="1482" spans="1:37" x14ac:dyDescent="0.3">
      <c r="A1482" s="18">
        <f>'raw data Crude oil'!A1483</f>
        <v>44827</v>
      </c>
      <c r="B1482">
        <f>'raw data Crude oil'!B1483</f>
        <v>86.15</v>
      </c>
      <c r="C1482">
        <f>'raw data Crude oil'!C1483</f>
        <v>85.03</v>
      </c>
      <c r="D1482">
        <f>'raw data Crude oil'!D1483</f>
        <v>83.61</v>
      </c>
      <c r="E1482">
        <f>'raw data Crude oil'!E1483</f>
        <v>82.36</v>
      </c>
      <c r="F1482">
        <f>'raw data Crude oil'!F1483</f>
        <v>81.28</v>
      </c>
      <c r="G1482">
        <f>'raw data Crude oil'!G1483</f>
        <v>80.37</v>
      </c>
      <c r="H1482">
        <f>'raw data Crude oil'!H1483</f>
        <v>79.59</v>
      </c>
      <c r="I1482">
        <f>'raw data Crude oil'!I1483</f>
        <v>78.930000000000007</v>
      </c>
      <c r="J1482">
        <f>'raw data Crude oil'!J1483</f>
        <v>78.400000000000006</v>
      </c>
      <c r="K1482">
        <f>'raw data Crude oil'!K1483</f>
        <v>77.87</v>
      </c>
      <c r="L1482">
        <f>'raw data Crude oil'!L1483</f>
        <v>77.349999999999994</v>
      </c>
      <c r="M1482">
        <f>'raw data Crude oil'!M1483</f>
        <v>76.87</v>
      </c>
      <c r="N1482">
        <f>'raw data Crude oil'!N1483</f>
        <v>78.739999999999995</v>
      </c>
      <c r="O1482">
        <f>'raw data Crude oil'!O1483</f>
        <v>78.25</v>
      </c>
      <c r="P1482">
        <f>'raw data Crude oil'!P1483</f>
        <v>77.53</v>
      </c>
      <c r="Q1482">
        <f>'raw data Crude oil'!Q1483</f>
        <v>76.73</v>
      </c>
      <c r="R1482">
        <f>'raw data Crude oil'!R1483</f>
        <v>75.95</v>
      </c>
      <c r="S1482">
        <f>'raw data Crude oil'!S1483</f>
        <v>75.22</v>
      </c>
      <c r="T1482">
        <f>'raw data Crude oil'!T1483</f>
        <v>74.540000000000006</v>
      </c>
      <c r="U1482">
        <f>'raw data Crude oil'!U1483</f>
        <v>73.88</v>
      </c>
      <c r="V1482">
        <f>'raw data Crude oil'!V1483</f>
        <v>73.27</v>
      </c>
      <c r="W1482">
        <f>'raw data Crude oil'!W1483</f>
        <v>72.7</v>
      </c>
      <c r="X1482">
        <f>'raw data Crude oil'!X1483</f>
        <v>72.16</v>
      </c>
      <c r="Y1482">
        <f>'raw data Crude oil'!Y1483</f>
        <v>71.66</v>
      </c>
      <c r="Z1482">
        <f>'raw data Crude oil'!Z1483</f>
        <v>91.045000000000002</v>
      </c>
      <c r="AA1482">
        <f>'raw data Crude oil'!AA1483</f>
        <v>84.331999999999994</v>
      </c>
      <c r="AB1482">
        <f>'raw data Crude oil'!AB1483</f>
        <v>81.513000000000005</v>
      </c>
      <c r="AC1482">
        <f>'raw data Crude oil'!AC1483</f>
        <v>79.387</v>
      </c>
      <c r="AD1482">
        <f>'raw data Crude oil'!AD1483</f>
        <v>77.947000000000003</v>
      </c>
      <c r="AE1482">
        <f>'raw data Crude oil'!AE1483</f>
        <v>76.950999999999993</v>
      </c>
      <c r="AF1482">
        <f>'raw data Crude oil'!AF1483</f>
        <v>76.180999999999997</v>
      </c>
      <c r="AG1482">
        <f>'raw data Crude oil'!AG1483</f>
        <v>75.542000000000002</v>
      </c>
      <c r="AH1482">
        <f>'raw data Crude oil'!AH1483</f>
        <v>75.046999999999997</v>
      </c>
      <c r="AI1482">
        <f>'raw data Crude oil'!AI1483</f>
        <v>74.536000000000001</v>
      </c>
      <c r="AJ1482">
        <f>'raw data Crude oil'!AJ1483</f>
        <v>74.126999999999995</v>
      </c>
      <c r="AK1482">
        <f>'raw data Crude oil'!AK1483</f>
        <v>73.691999999999993</v>
      </c>
    </row>
    <row r="1483" spans="1:37" x14ac:dyDescent="0.3">
      <c r="A1483" s="18">
        <f>'raw data Crude oil'!A1484</f>
        <v>44830</v>
      </c>
      <c r="B1483">
        <f>'raw data Crude oil'!B1484</f>
        <v>84.06</v>
      </c>
      <c r="C1483">
        <f>'raw data Crude oil'!C1484</f>
        <v>82.86</v>
      </c>
      <c r="D1483">
        <f>'raw data Crude oil'!D1484</f>
        <v>81.34</v>
      </c>
      <c r="E1483">
        <f>'raw data Crude oil'!E1484</f>
        <v>80.08</v>
      </c>
      <c r="F1483">
        <f>'raw data Crude oil'!F1484</f>
        <v>79.06</v>
      </c>
      <c r="G1483">
        <f>'raw data Crude oil'!G1484</f>
        <v>78.2</v>
      </c>
      <c r="H1483">
        <f>'raw data Crude oil'!H1484</f>
        <v>77.47</v>
      </c>
      <c r="I1483">
        <f>'raw data Crude oil'!I1484</f>
        <v>76.84</v>
      </c>
      <c r="J1483">
        <f>'raw data Crude oil'!J1484</f>
        <v>76.349999999999994</v>
      </c>
      <c r="K1483">
        <f>'raw data Crude oil'!K1484</f>
        <v>75.87</v>
      </c>
      <c r="L1483">
        <f>'raw data Crude oil'!L1484</f>
        <v>75.400000000000006</v>
      </c>
      <c r="M1483">
        <f>'raw data Crude oil'!M1484</f>
        <v>74.98</v>
      </c>
      <c r="N1483">
        <f>'raw data Crude oil'!N1484</f>
        <v>76.709999999999994</v>
      </c>
      <c r="O1483">
        <f>'raw data Crude oil'!O1484</f>
        <v>76.180000000000007</v>
      </c>
      <c r="P1483">
        <f>'raw data Crude oil'!P1484</f>
        <v>75.45</v>
      </c>
      <c r="Q1483">
        <f>'raw data Crude oil'!Q1484</f>
        <v>74.61</v>
      </c>
      <c r="R1483">
        <f>'raw data Crude oil'!R1484</f>
        <v>73.81</v>
      </c>
      <c r="S1483">
        <f>'raw data Crude oil'!S1484</f>
        <v>73.09</v>
      </c>
      <c r="T1483">
        <f>'raw data Crude oil'!T1484</f>
        <v>72.42</v>
      </c>
      <c r="U1483">
        <f>'raw data Crude oil'!U1484</f>
        <v>71.790000000000006</v>
      </c>
      <c r="V1483">
        <f>'raw data Crude oil'!V1484</f>
        <v>71.209999999999994</v>
      </c>
      <c r="W1483">
        <f>'raw data Crude oil'!W1484</f>
        <v>70.680000000000007</v>
      </c>
      <c r="X1483">
        <f>'raw data Crude oil'!X1484</f>
        <v>70.19</v>
      </c>
      <c r="Y1483">
        <f>'raw data Crude oil'!Y1484</f>
        <v>69.739999999999995</v>
      </c>
      <c r="Z1483">
        <f>'raw data Crude oil'!Z1484</f>
        <v>90.516999999999996</v>
      </c>
      <c r="AA1483">
        <f>'raw data Crude oil'!AA1484</f>
        <v>81.888000000000005</v>
      </c>
      <c r="AB1483">
        <f>'raw data Crude oil'!AB1484</f>
        <v>79.253</v>
      </c>
      <c r="AC1483">
        <f>'raw data Crude oil'!AC1484</f>
        <v>77.173000000000002</v>
      </c>
      <c r="AD1483">
        <f>'raw data Crude oil'!AD1484</f>
        <v>75.959000000000003</v>
      </c>
      <c r="AE1483">
        <f>'raw data Crude oil'!AE1484</f>
        <v>74.974000000000004</v>
      </c>
      <c r="AF1483">
        <f>'raw data Crude oil'!AF1484</f>
        <v>74.212999999999994</v>
      </c>
      <c r="AG1483">
        <f>'raw data Crude oil'!AG1484</f>
        <v>73.563999999999993</v>
      </c>
      <c r="AH1483">
        <f>'raw data Crude oil'!AH1484</f>
        <v>73.078999999999994</v>
      </c>
      <c r="AI1483">
        <f>'raw data Crude oil'!AI1484</f>
        <v>72.629000000000005</v>
      </c>
      <c r="AJ1483">
        <f>'raw data Crude oil'!AJ1484</f>
        <v>72.19</v>
      </c>
      <c r="AK1483">
        <f>'raw data Crude oil'!AK1484</f>
        <v>71.805000000000007</v>
      </c>
    </row>
    <row r="1484" spans="1:37" x14ac:dyDescent="0.3">
      <c r="A1484" s="18">
        <f>'raw data Crude oil'!A1485</f>
        <v>44831</v>
      </c>
      <c r="B1484">
        <f>'raw data Crude oil'!B1485</f>
        <v>86.27</v>
      </c>
      <c r="C1484">
        <f>'raw data Crude oil'!C1485</f>
        <v>84.87</v>
      </c>
      <c r="D1484">
        <f>'raw data Crude oil'!D1485</f>
        <v>83.11</v>
      </c>
      <c r="E1484">
        <f>'raw data Crude oil'!E1485</f>
        <v>81.64</v>
      </c>
      <c r="F1484">
        <f>'raw data Crude oil'!F1485</f>
        <v>80.459999999999994</v>
      </c>
      <c r="G1484">
        <f>'raw data Crude oil'!G1485</f>
        <v>79.459999999999994</v>
      </c>
      <c r="H1484">
        <f>'raw data Crude oil'!H1485</f>
        <v>78.63</v>
      </c>
      <c r="I1484">
        <f>'raw data Crude oil'!I1485</f>
        <v>77.91</v>
      </c>
      <c r="J1484">
        <f>'raw data Crude oil'!J1485</f>
        <v>77.349999999999994</v>
      </c>
      <c r="K1484">
        <f>'raw data Crude oil'!K1485</f>
        <v>76.81</v>
      </c>
      <c r="L1484">
        <f>'raw data Crude oil'!L1485</f>
        <v>76.28</v>
      </c>
      <c r="M1484">
        <f>'raw data Crude oil'!M1485</f>
        <v>75.83</v>
      </c>
      <c r="N1484">
        <f>'raw data Crude oil'!N1485</f>
        <v>78.5</v>
      </c>
      <c r="O1484">
        <f>'raw data Crude oil'!O1485</f>
        <v>77.81</v>
      </c>
      <c r="P1484">
        <f>'raw data Crude oil'!P1485</f>
        <v>76.930000000000007</v>
      </c>
      <c r="Q1484">
        <f>'raw data Crude oil'!Q1485</f>
        <v>75.98</v>
      </c>
      <c r="R1484">
        <f>'raw data Crude oil'!R1485</f>
        <v>75.08</v>
      </c>
      <c r="S1484">
        <f>'raw data Crude oil'!S1485</f>
        <v>74.23</v>
      </c>
      <c r="T1484">
        <f>'raw data Crude oil'!T1485</f>
        <v>73.44</v>
      </c>
      <c r="U1484">
        <f>'raw data Crude oil'!U1485</f>
        <v>72.69</v>
      </c>
      <c r="V1484">
        <f>'raw data Crude oil'!V1485</f>
        <v>72.03</v>
      </c>
      <c r="W1484">
        <f>'raw data Crude oil'!W1485</f>
        <v>71.459999999999994</v>
      </c>
      <c r="X1484">
        <f>'raw data Crude oil'!X1485</f>
        <v>70.94</v>
      </c>
      <c r="Y1484">
        <f>'raw data Crude oil'!Y1485</f>
        <v>70.47</v>
      </c>
      <c r="Z1484">
        <f>'raw data Crude oil'!Z1485</f>
        <v>90.757000000000005</v>
      </c>
      <c r="AA1484">
        <f>'raw data Crude oil'!AA1485</f>
        <v>83.656000000000006</v>
      </c>
      <c r="AB1484">
        <f>'raw data Crude oil'!AB1485</f>
        <v>80.783000000000001</v>
      </c>
      <c r="AC1484">
        <f>'raw data Crude oil'!AC1485</f>
        <v>78.617999999999995</v>
      </c>
      <c r="AD1484">
        <f>'raw data Crude oil'!AD1485</f>
        <v>77.191999999999993</v>
      </c>
      <c r="AE1484">
        <f>'raw data Crude oil'!AE1485</f>
        <v>76.134</v>
      </c>
      <c r="AF1484">
        <f>'raw data Crude oil'!AF1485</f>
        <v>75.319000000000003</v>
      </c>
      <c r="AG1484">
        <f>'raw data Crude oil'!AG1485</f>
        <v>74.600999999999999</v>
      </c>
      <c r="AH1484">
        <f>'raw data Crude oil'!AH1485</f>
        <v>74.057000000000002</v>
      </c>
      <c r="AI1484">
        <f>'raw data Crude oil'!AI1485</f>
        <v>73.585999999999999</v>
      </c>
      <c r="AJ1484">
        <f>'raw data Crude oil'!AJ1485</f>
        <v>73.138999999999996</v>
      </c>
      <c r="AK1484">
        <f>'raw data Crude oil'!AK1485</f>
        <v>72.722999999999999</v>
      </c>
    </row>
    <row r="1485" spans="1:37" x14ac:dyDescent="0.3">
      <c r="A1485" s="18">
        <f>'raw data Crude oil'!A1486</f>
        <v>44832</v>
      </c>
      <c r="B1485">
        <f>'raw data Crude oil'!B1486</f>
        <v>89.32</v>
      </c>
      <c r="C1485">
        <f>'raw data Crude oil'!C1486</f>
        <v>88.05</v>
      </c>
      <c r="D1485">
        <f>'raw data Crude oil'!D1486</f>
        <v>86.28</v>
      </c>
      <c r="E1485">
        <f>'raw data Crude oil'!E1486</f>
        <v>84.69</v>
      </c>
      <c r="F1485">
        <f>'raw data Crude oil'!F1486</f>
        <v>83.37</v>
      </c>
      <c r="G1485">
        <f>'raw data Crude oil'!G1486</f>
        <v>82.23</v>
      </c>
      <c r="H1485">
        <f>'raw data Crude oil'!H1486</f>
        <v>81.28</v>
      </c>
      <c r="I1485">
        <f>'raw data Crude oil'!I1486</f>
        <v>80.48</v>
      </c>
      <c r="J1485">
        <f>'raw data Crude oil'!J1486</f>
        <v>79.849999999999994</v>
      </c>
      <c r="K1485">
        <f>'raw data Crude oil'!K1486</f>
        <v>79.25</v>
      </c>
      <c r="L1485">
        <f>'raw data Crude oil'!L1486</f>
        <v>78.67</v>
      </c>
      <c r="M1485">
        <f>'raw data Crude oil'!M1486</f>
        <v>78.17</v>
      </c>
      <c r="N1485">
        <f>'raw data Crude oil'!N1486</f>
        <v>82.15</v>
      </c>
      <c r="O1485">
        <f>'raw data Crude oil'!O1486</f>
        <v>81.239999999999995</v>
      </c>
      <c r="P1485">
        <f>'raw data Crude oil'!P1486</f>
        <v>80.2</v>
      </c>
      <c r="Q1485">
        <f>'raw data Crude oil'!Q1486</f>
        <v>79.09</v>
      </c>
      <c r="R1485">
        <f>'raw data Crude oil'!R1486</f>
        <v>78.02</v>
      </c>
      <c r="S1485">
        <f>'raw data Crude oil'!S1486</f>
        <v>77.05</v>
      </c>
      <c r="T1485">
        <f>'raw data Crude oil'!T1486</f>
        <v>76.180000000000007</v>
      </c>
      <c r="U1485">
        <f>'raw data Crude oil'!U1486</f>
        <v>75.38</v>
      </c>
      <c r="V1485">
        <f>'raw data Crude oil'!V1486</f>
        <v>74.66</v>
      </c>
      <c r="W1485">
        <f>'raw data Crude oil'!W1486</f>
        <v>74.02</v>
      </c>
      <c r="X1485">
        <f>'raw data Crude oil'!X1486</f>
        <v>73.430000000000007</v>
      </c>
      <c r="Y1485">
        <f>'raw data Crude oil'!Y1486</f>
        <v>72.900000000000006</v>
      </c>
      <c r="Z1485">
        <f>'raw data Crude oil'!Z1486</f>
        <v>90.991</v>
      </c>
      <c r="AA1485">
        <f>'raw data Crude oil'!AA1486</f>
        <v>86.926000000000002</v>
      </c>
      <c r="AB1485">
        <f>'raw data Crude oil'!AB1486</f>
        <v>83.938000000000002</v>
      </c>
      <c r="AC1485">
        <f>'raw data Crude oil'!AC1486</f>
        <v>81.634</v>
      </c>
      <c r="AD1485">
        <f>'raw data Crude oil'!AD1486</f>
        <v>80.117000000000004</v>
      </c>
      <c r="AE1485">
        <f>'raw data Crude oil'!AE1486</f>
        <v>78.972999999999999</v>
      </c>
      <c r="AF1485">
        <f>'raw data Crude oil'!AF1486</f>
        <v>78.015000000000001</v>
      </c>
      <c r="AG1485">
        <f>'raw data Crude oil'!AG1486</f>
        <v>77.197000000000003</v>
      </c>
      <c r="AH1485">
        <f>'raw data Crude oil'!AH1486</f>
        <v>76.593999999999994</v>
      </c>
      <c r="AI1485">
        <f>'raw data Crude oil'!AI1486</f>
        <v>76.043999999999997</v>
      </c>
      <c r="AJ1485">
        <f>'raw data Crude oil'!AJ1486</f>
        <v>75.495999999999995</v>
      </c>
      <c r="AK1485">
        <f>'raw data Crude oil'!AK1486</f>
        <v>75.042000000000002</v>
      </c>
    </row>
    <row r="1486" spans="1:37" x14ac:dyDescent="0.3">
      <c r="A1486" s="18">
        <f>'raw data Crude oil'!A1487</f>
        <v>44833</v>
      </c>
      <c r="B1486">
        <f>'raw data Crude oil'!B1487</f>
        <v>88.49</v>
      </c>
      <c r="C1486">
        <f>'raw data Crude oil'!C1487</f>
        <v>87.18</v>
      </c>
      <c r="D1486">
        <f>'raw data Crude oil'!D1487</f>
        <v>85.48</v>
      </c>
      <c r="E1486">
        <f>'raw data Crude oil'!E1487</f>
        <v>83.91</v>
      </c>
      <c r="F1486">
        <f>'raw data Crude oil'!F1487</f>
        <v>82.6</v>
      </c>
      <c r="G1486">
        <f>'raw data Crude oil'!G1487</f>
        <v>81.47</v>
      </c>
      <c r="H1486">
        <f>'raw data Crude oil'!H1487</f>
        <v>80.510000000000005</v>
      </c>
      <c r="I1486">
        <f>'raw data Crude oil'!I1487</f>
        <v>79.680000000000007</v>
      </c>
      <c r="J1486">
        <f>'raw data Crude oil'!J1487</f>
        <v>79.03</v>
      </c>
      <c r="K1486">
        <f>'raw data Crude oil'!K1487</f>
        <v>78.41</v>
      </c>
      <c r="L1486">
        <f>'raw data Crude oil'!L1487</f>
        <v>77.8</v>
      </c>
      <c r="M1486">
        <f>'raw data Crude oil'!M1487</f>
        <v>77.27</v>
      </c>
      <c r="N1486">
        <f>'raw data Crude oil'!N1487</f>
        <v>81.23</v>
      </c>
      <c r="O1486">
        <f>'raw data Crude oil'!O1487</f>
        <v>80.42</v>
      </c>
      <c r="P1486">
        <f>'raw data Crude oil'!P1487</f>
        <v>79.42</v>
      </c>
      <c r="Q1486">
        <f>'raw data Crude oil'!Q1487</f>
        <v>78.3</v>
      </c>
      <c r="R1486">
        <f>'raw data Crude oil'!R1487</f>
        <v>77.209999999999994</v>
      </c>
      <c r="S1486">
        <f>'raw data Crude oil'!S1487</f>
        <v>76.22</v>
      </c>
      <c r="T1486">
        <f>'raw data Crude oil'!T1487</f>
        <v>75.34</v>
      </c>
      <c r="U1486">
        <f>'raw data Crude oil'!U1487</f>
        <v>74.53</v>
      </c>
      <c r="V1486">
        <f>'raw data Crude oil'!V1487</f>
        <v>73.790000000000006</v>
      </c>
      <c r="W1486">
        <f>'raw data Crude oil'!W1487</f>
        <v>73.12</v>
      </c>
      <c r="X1486">
        <f>'raw data Crude oil'!X1487</f>
        <v>72.53</v>
      </c>
      <c r="Y1486">
        <f>'raw data Crude oil'!Y1487</f>
        <v>71.989999999999995</v>
      </c>
      <c r="Z1486">
        <f>'raw data Crude oil'!Z1487</f>
        <v>90.864999999999995</v>
      </c>
      <c r="AA1486">
        <f>'raw data Crude oil'!AA1487</f>
        <v>86.129000000000005</v>
      </c>
      <c r="AB1486">
        <f>'raw data Crude oil'!AB1487</f>
        <v>83.388999999999996</v>
      </c>
      <c r="AC1486">
        <f>'raw data Crude oil'!AC1487</f>
        <v>81.045000000000002</v>
      </c>
      <c r="AD1486">
        <f>'raw data Crude oil'!AD1487</f>
        <v>79.465999999999994</v>
      </c>
      <c r="AE1486">
        <f>'raw data Crude oil'!AE1487</f>
        <v>78.331999999999994</v>
      </c>
      <c r="AF1486">
        <f>'raw data Crude oil'!AF1487</f>
        <v>77.384</v>
      </c>
      <c r="AG1486">
        <f>'raw data Crude oil'!AG1487</f>
        <v>76.575999999999993</v>
      </c>
      <c r="AH1486">
        <f>'raw data Crude oil'!AH1487</f>
        <v>75.962999999999994</v>
      </c>
      <c r="AI1486">
        <f>'raw data Crude oil'!AI1487</f>
        <v>75.372</v>
      </c>
      <c r="AJ1486">
        <f>'raw data Crude oil'!AJ1487</f>
        <v>74.825000000000003</v>
      </c>
      <c r="AK1486">
        <f>'raw data Crude oil'!AK1487</f>
        <v>74.36</v>
      </c>
    </row>
    <row r="1487" spans="1:37" x14ac:dyDescent="0.3">
      <c r="A1487" s="18">
        <f>'raw data Crude oil'!A1488</f>
        <v>44834</v>
      </c>
      <c r="B1487">
        <f>'raw data Crude oil'!B1488</f>
        <v>87.96</v>
      </c>
      <c r="C1487">
        <f>'raw data Crude oil'!C1488</f>
        <v>85.14</v>
      </c>
      <c r="D1487">
        <f>'raw data Crude oil'!D1488</f>
        <v>83.52</v>
      </c>
      <c r="E1487">
        <f>'raw data Crude oil'!E1488</f>
        <v>81.99</v>
      </c>
      <c r="F1487">
        <f>'raw data Crude oil'!F1488</f>
        <v>80.709999999999994</v>
      </c>
      <c r="G1487">
        <f>'raw data Crude oil'!G1488</f>
        <v>79.63</v>
      </c>
      <c r="H1487">
        <f>'raw data Crude oil'!H1488</f>
        <v>78.73</v>
      </c>
      <c r="I1487">
        <f>'raw data Crude oil'!I1488</f>
        <v>77.959999999999994</v>
      </c>
      <c r="J1487">
        <f>'raw data Crude oil'!J1488</f>
        <v>77.349999999999994</v>
      </c>
      <c r="K1487">
        <f>'raw data Crude oil'!K1488</f>
        <v>76.760000000000005</v>
      </c>
      <c r="L1487">
        <f>'raw data Crude oil'!L1488</f>
        <v>76.180000000000007</v>
      </c>
      <c r="M1487">
        <f>'raw data Crude oil'!M1488</f>
        <v>75.67</v>
      </c>
      <c r="N1487">
        <f>'raw data Crude oil'!N1488</f>
        <v>79.489999999999995</v>
      </c>
      <c r="O1487">
        <f>'raw data Crude oil'!O1488</f>
        <v>78.72</v>
      </c>
      <c r="P1487">
        <f>'raw data Crude oil'!P1488</f>
        <v>77.75</v>
      </c>
      <c r="Q1487">
        <f>'raw data Crude oil'!Q1488</f>
        <v>76.63</v>
      </c>
      <c r="R1487">
        <f>'raw data Crude oil'!R1488</f>
        <v>75.569999999999993</v>
      </c>
      <c r="S1487">
        <f>'raw data Crude oil'!S1488</f>
        <v>74.61</v>
      </c>
      <c r="T1487">
        <f>'raw data Crude oil'!T1488</f>
        <v>73.77</v>
      </c>
      <c r="U1487">
        <f>'raw data Crude oil'!U1488</f>
        <v>73</v>
      </c>
      <c r="V1487">
        <f>'raw data Crude oil'!V1488</f>
        <v>72.3</v>
      </c>
      <c r="W1487">
        <f>'raw data Crude oil'!W1488</f>
        <v>71.66</v>
      </c>
      <c r="X1487">
        <f>'raw data Crude oil'!X1488</f>
        <v>71.08</v>
      </c>
      <c r="Y1487">
        <f>'raw data Crude oil'!Y1488</f>
        <v>70.569999999999993</v>
      </c>
      <c r="Z1487">
        <f>'raw data Crude oil'!Z1488</f>
        <v>90.911000000000001</v>
      </c>
      <c r="AA1487">
        <f>'raw data Crude oil'!AA1488</f>
        <v>84.143000000000001</v>
      </c>
      <c r="AB1487">
        <f>'raw data Crude oil'!AB1488</f>
        <v>81.525000000000006</v>
      </c>
      <c r="AC1487">
        <f>'raw data Crude oil'!AC1488</f>
        <v>79.072999999999993</v>
      </c>
      <c r="AD1487">
        <f>'raw data Crude oil'!AD1488</f>
        <v>77.418999999999997</v>
      </c>
      <c r="AE1487">
        <f>'raw data Crude oil'!AE1488</f>
        <v>76.254999999999995</v>
      </c>
      <c r="AF1487">
        <f>'raw data Crude oil'!AF1488</f>
        <v>75.346999999999994</v>
      </c>
      <c r="AG1487">
        <f>'raw data Crude oil'!AG1488</f>
        <v>74.707999999999998</v>
      </c>
      <c r="AH1487">
        <f>'raw data Crude oil'!AH1488</f>
        <v>74.123999999999995</v>
      </c>
      <c r="AI1487">
        <f>'raw data Crude oil'!AI1488</f>
        <v>73.554000000000002</v>
      </c>
      <c r="AJ1487">
        <f>'raw data Crude oil'!AJ1488</f>
        <v>73.046000000000006</v>
      </c>
      <c r="AK1487">
        <f>'raw data Crude oil'!AK1488</f>
        <v>72.600999999999999</v>
      </c>
    </row>
    <row r="1488" spans="1:37" x14ac:dyDescent="0.3">
      <c r="A1488" s="18">
        <f>'raw data Crude oil'!A1489</f>
        <v>44837</v>
      </c>
      <c r="B1488">
        <f>'raw data Crude oil'!B1489</f>
        <v>88.86</v>
      </c>
      <c r="C1488">
        <f>'raw data Crude oil'!C1489</f>
        <v>86.94</v>
      </c>
      <c r="D1488">
        <f>'raw data Crude oil'!D1489</f>
        <v>85.22</v>
      </c>
      <c r="E1488">
        <f>'raw data Crude oil'!E1489</f>
        <v>83.8</v>
      </c>
      <c r="F1488">
        <f>'raw data Crude oil'!F1489</f>
        <v>82.58</v>
      </c>
      <c r="G1488">
        <f>'raw data Crude oil'!G1489</f>
        <v>81.56</v>
      </c>
      <c r="H1488">
        <f>'raw data Crude oil'!H1489</f>
        <v>80.7</v>
      </c>
      <c r="I1488">
        <f>'raw data Crude oil'!I1489</f>
        <v>80.010000000000005</v>
      </c>
      <c r="J1488">
        <f>'raw data Crude oil'!J1489</f>
        <v>79.349999999999994</v>
      </c>
      <c r="K1488">
        <f>'raw data Crude oil'!K1489</f>
        <v>78.72</v>
      </c>
      <c r="L1488">
        <f>'raw data Crude oil'!L1489</f>
        <v>78.150000000000006</v>
      </c>
      <c r="M1488">
        <f>'raw data Crude oil'!M1489</f>
        <v>77.66</v>
      </c>
      <c r="N1488">
        <f>'raw data Crude oil'!N1489</f>
        <v>83.63</v>
      </c>
      <c r="O1488">
        <f>'raw data Crude oil'!O1489</f>
        <v>82.7</v>
      </c>
      <c r="P1488">
        <f>'raw data Crude oil'!P1489</f>
        <v>81.38</v>
      </c>
      <c r="Q1488">
        <f>'raw data Crude oil'!Q1489</f>
        <v>79.959999999999994</v>
      </c>
      <c r="R1488">
        <f>'raw data Crude oil'!R1489</f>
        <v>78.66</v>
      </c>
      <c r="S1488">
        <f>'raw data Crude oil'!S1489</f>
        <v>77.52</v>
      </c>
      <c r="T1488">
        <f>'raw data Crude oil'!T1489</f>
        <v>76.53</v>
      </c>
      <c r="U1488">
        <f>'raw data Crude oil'!U1489</f>
        <v>75.67</v>
      </c>
      <c r="V1488">
        <f>'raw data Crude oil'!V1489</f>
        <v>74.89</v>
      </c>
      <c r="W1488">
        <f>'raw data Crude oil'!W1489</f>
        <v>74.19</v>
      </c>
      <c r="X1488">
        <f>'raw data Crude oil'!X1489</f>
        <v>73.540000000000006</v>
      </c>
      <c r="Y1488">
        <f>'raw data Crude oil'!Y1489</f>
        <v>72.98</v>
      </c>
      <c r="Z1488">
        <f>'raw data Crude oil'!Z1489</f>
        <v>90.911000000000001</v>
      </c>
      <c r="AA1488">
        <f>'raw data Crude oil'!AA1489</f>
        <v>88.061999999999998</v>
      </c>
      <c r="AB1488">
        <f>'raw data Crude oil'!AB1489</f>
        <v>85.201999999999998</v>
      </c>
      <c r="AC1488">
        <f>'raw data Crude oil'!AC1489</f>
        <v>82.564999999999998</v>
      </c>
      <c r="AD1488">
        <f>'raw data Crude oil'!AD1489</f>
        <v>80.682000000000002</v>
      </c>
      <c r="AE1488">
        <f>'raw data Crude oil'!AE1489</f>
        <v>79.259</v>
      </c>
      <c r="AF1488">
        <f>'raw data Crude oil'!AF1489</f>
        <v>78.173000000000002</v>
      </c>
      <c r="AG1488">
        <f>'raw data Crude oil'!AG1489</f>
        <v>77.313999999999993</v>
      </c>
      <c r="AH1488">
        <f>'raw data Crude oil'!AH1489</f>
        <v>76.680999999999997</v>
      </c>
      <c r="AI1488">
        <f>'raw data Crude oil'!AI1489</f>
        <v>76.081000000000003</v>
      </c>
      <c r="AJ1488">
        <f>'raw data Crude oil'!AJ1489</f>
        <v>75.503</v>
      </c>
      <c r="AK1488">
        <f>'raw data Crude oil'!AK1489</f>
        <v>74.948999999999998</v>
      </c>
    </row>
    <row r="1489" spans="1:37" x14ac:dyDescent="0.3">
      <c r="A1489" s="18">
        <f>'raw data Crude oil'!A1490</f>
        <v>44838</v>
      </c>
      <c r="B1489">
        <f>'raw data Crude oil'!B1490</f>
        <v>91.8</v>
      </c>
      <c r="C1489">
        <f>'raw data Crude oil'!C1490</f>
        <v>89.82</v>
      </c>
      <c r="D1489">
        <f>'raw data Crude oil'!D1490</f>
        <v>87.99</v>
      </c>
      <c r="E1489">
        <f>'raw data Crude oil'!E1490</f>
        <v>86.51</v>
      </c>
      <c r="F1489">
        <f>'raw data Crude oil'!F1490</f>
        <v>85.25</v>
      </c>
      <c r="G1489">
        <f>'raw data Crude oil'!G1490</f>
        <v>84.19</v>
      </c>
      <c r="H1489">
        <f>'raw data Crude oil'!H1490</f>
        <v>83.29</v>
      </c>
      <c r="I1489">
        <f>'raw data Crude oil'!I1490</f>
        <v>82.54</v>
      </c>
      <c r="J1489">
        <f>'raw data Crude oil'!J1490</f>
        <v>81.819999999999993</v>
      </c>
      <c r="K1489">
        <f>'raw data Crude oil'!K1490</f>
        <v>81.150000000000006</v>
      </c>
      <c r="L1489">
        <f>'raw data Crude oil'!L1490</f>
        <v>80.540000000000006</v>
      </c>
      <c r="M1489">
        <f>'raw data Crude oil'!M1490</f>
        <v>80.02</v>
      </c>
      <c r="N1489">
        <f>'raw data Crude oil'!N1490</f>
        <v>86.52</v>
      </c>
      <c r="O1489">
        <f>'raw data Crude oil'!O1490</f>
        <v>85.5</v>
      </c>
      <c r="P1489">
        <f>'raw data Crude oil'!P1490</f>
        <v>84.17</v>
      </c>
      <c r="Q1489">
        <f>'raw data Crude oil'!Q1490</f>
        <v>82.71</v>
      </c>
      <c r="R1489">
        <f>'raw data Crude oil'!R1490</f>
        <v>81.37</v>
      </c>
      <c r="S1489">
        <f>'raw data Crude oil'!S1490</f>
        <v>80.180000000000007</v>
      </c>
      <c r="T1489">
        <f>'raw data Crude oil'!T1490</f>
        <v>79.13</v>
      </c>
      <c r="U1489">
        <f>'raw data Crude oil'!U1490</f>
        <v>78.209999999999994</v>
      </c>
      <c r="V1489">
        <f>'raw data Crude oil'!V1490</f>
        <v>77.37</v>
      </c>
      <c r="W1489">
        <f>'raw data Crude oil'!W1490</f>
        <v>76.62</v>
      </c>
      <c r="X1489">
        <f>'raw data Crude oil'!X1490</f>
        <v>75.930000000000007</v>
      </c>
      <c r="Y1489">
        <f>'raw data Crude oil'!Y1490</f>
        <v>75.319999999999993</v>
      </c>
      <c r="Z1489">
        <f>'raw data Crude oil'!Z1490</f>
        <v>90.894000000000005</v>
      </c>
      <c r="AA1489">
        <f>'raw data Crude oil'!AA1490</f>
        <v>88.257000000000005</v>
      </c>
      <c r="AB1489">
        <f>'raw data Crude oil'!AB1490</f>
        <v>85.519000000000005</v>
      </c>
      <c r="AC1489">
        <f>'raw data Crude oil'!AC1490</f>
        <v>83.48</v>
      </c>
      <c r="AD1489">
        <f>'raw data Crude oil'!AD1490</f>
        <v>81.917000000000002</v>
      </c>
      <c r="AE1489">
        <f>'raw data Crude oil'!AE1490</f>
        <v>80.751000000000005</v>
      </c>
      <c r="AF1489">
        <f>'raw data Crude oil'!AF1490</f>
        <v>79.811000000000007</v>
      </c>
      <c r="AG1489">
        <f>'raw data Crude oil'!AG1490</f>
        <v>79.099000000000004</v>
      </c>
      <c r="AH1489">
        <f>'raw data Crude oil'!AH1490</f>
        <v>78.459999999999994</v>
      </c>
      <c r="AI1489">
        <f>'raw data Crude oil'!AI1490</f>
        <v>77.971000000000004</v>
      </c>
      <c r="AJ1489">
        <f>'raw data Crude oil'!AJ1490</f>
        <v>77.376999999999995</v>
      </c>
      <c r="AK1489">
        <f>'raw data Crude oil'!AK1490</f>
        <v>76.864999999999995</v>
      </c>
    </row>
    <row r="1490" spans="1:37" x14ac:dyDescent="0.3">
      <c r="A1490" s="18">
        <f>'raw data Crude oil'!A1491</f>
        <v>44839</v>
      </c>
      <c r="B1490">
        <f>'raw data Crude oil'!B1491</f>
        <v>93.37</v>
      </c>
      <c r="C1490">
        <f>'raw data Crude oil'!C1491</f>
        <v>91.61</v>
      </c>
      <c r="D1490">
        <f>'raw data Crude oil'!D1491</f>
        <v>89.86</v>
      </c>
      <c r="E1490">
        <f>'raw data Crude oil'!E1491</f>
        <v>88.44</v>
      </c>
      <c r="F1490">
        <f>'raw data Crude oil'!F1491</f>
        <v>87.2</v>
      </c>
      <c r="G1490">
        <f>'raw data Crude oil'!G1491</f>
        <v>86.15</v>
      </c>
      <c r="H1490">
        <f>'raw data Crude oil'!H1491</f>
        <v>85.24</v>
      </c>
      <c r="I1490">
        <f>'raw data Crude oil'!I1491</f>
        <v>84.47</v>
      </c>
      <c r="J1490">
        <f>'raw data Crude oil'!J1491</f>
        <v>83.73</v>
      </c>
      <c r="K1490">
        <f>'raw data Crude oil'!K1491</f>
        <v>83.05</v>
      </c>
      <c r="L1490">
        <f>'raw data Crude oil'!L1491</f>
        <v>82.42</v>
      </c>
      <c r="M1490">
        <f>'raw data Crude oil'!M1491</f>
        <v>81.88</v>
      </c>
      <c r="N1490">
        <f>'raw data Crude oil'!N1491</f>
        <v>87.76</v>
      </c>
      <c r="O1490">
        <f>'raw data Crude oil'!O1491</f>
        <v>86.84</v>
      </c>
      <c r="P1490">
        <f>'raw data Crude oil'!P1491</f>
        <v>85.7</v>
      </c>
      <c r="Q1490">
        <f>'raw data Crude oil'!Q1491</f>
        <v>84.42</v>
      </c>
      <c r="R1490">
        <f>'raw data Crude oil'!R1491</f>
        <v>83.19</v>
      </c>
      <c r="S1490">
        <f>'raw data Crude oil'!S1491</f>
        <v>82.04</v>
      </c>
      <c r="T1490">
        <f>'raw data Crude oil'!T1491</f>
        <v>81.02</v>
      </c>
      <c r="U1490">
        <f>'raw data Crude oil'!U1491</f>
        <v>80.099999999999994</v>
      </c>
      <c r="V1490">
        <f>'raw data Crude oil'!V1491</f>
        <v>79.260000000000005</v>
      </c>
      <c r="W1490">
        <f>'raw data Crude oil'!W1491</f>
        <v>78.5</v>
      </c>
      <c r="X1490">
        <f>'raw data Crude oil'!X1491</f>
        <v>77.8</v>
      </c>
      <c r="Y1490">
        <f>'raw data Crude oil'!Y1491</f>
        <v>77.17</v>
      </c>
      <c r="Z1490">
        <f>'raw data Crude oil'!Z1491</f>
        <v>92.335999999999999</v>
      </c>
      <c r="AA1490">
        <f>'raw data Crude oil'!AA1491</f>
        <v>90.052000000000007</v>
      </c>
      <c r="AB1490">
        <f>'raw data Crude oil'!AB1491</f>
        <v>87.275000000000006</v>
      </c>
      <c r="AC1490">
        <f>'raw data Crude oil'!AC1491</f>
        <v>85.241</v>
      </c>
      <c r="AD1490">
        <f>'raw data Crude oil'!AD1491</f>
        <v>83.688000000000002</v>
      </c>
      <c r="AE1490">
        <f>'raw data Crude oil'!AE1491</f>
        <v>82.53</v>
      </c>
      <c r="AF1490">
        <f>'raw data Crude oil'!AF1491</f>
        <v>81.638999999999996</v>
      </c>
      <c r="AG1490">
        <f>'raw data Crude oil'!AG1491</f>
        <v>80.998000000000005</v>
      </c>
      <c r="AH1490">
        <f>'raw data Crude oil'!AH1491</f>
        <v>80.349000000000004</v>
      </c>
      <c r="AI1490">
        <f>'raw data Crude oil'!AI1491</f>
        <v>79.739999999999995</v>
      </c>
      <c r="AJ1490">
        <f>'raw data Crude oil'!AJ1491</f>
        <v>79.147000000000006</v>
      </c>
      <c r="AK1490">
        <f>'raw data Crude oil'!AK1491</f>
        <v>78.623999999999995</v>
      </c>
    </row>
    <row r="1491" spans="1:37" x14ac:dyDescent="0.3">
      <c r="A1491" s="18">
        <f>'raw data Crude oil'!A1492</f>
        <v>44840</v>
      </c>
      <c r="B1491">
        <f>'raw data Crude oil'!B1492</f>
        <v>94.42</v>
      </c>
      <c r="C1491">
        <f>'raw data Crude oil'!C1492</f>
        <v>92.67</v>
      </c>
      <c r="D1491">
        <f>'raw data Crude oil'!D1492</f>
        <v>90.95</v>
      </c>
      <c r="E1491">
        <f>'raw data Crude oil'!E1492</f>
        <v>89.54</v>
      </c>
      <c r="F1491">
        <f>'raw data Crude oil'!F1492</f>
        <v>88.3</v>
      </c>
      <c r="G1491">
        <f>'raw data Crude oil'!G1492</f>
        <v>87.27</v>
      </c>
      <c r="H1491">
        <f>'raw data Crude oil'!H1492</f>
        <v>86.36</v>
      </c>
      <c r="I1491">
        <f>'raw data Crude oil'!I1492</f>
        <v>85.58</v>
      </c>
      <c r="J1491">
        <f>'raw data Crude oil'!J1492</f>
        <v>84.83</v>
      </c>
      <c r="K1491">
        <f>'raw data Crude oil'!K1492</f>
        <v>84.14</v>
      </c>
      <c r="L1491">
        <f>'raw data Crude oil'!L1492</f>
        <v>83.49</v>
      </c>
      <c r="M1491">
        <f>'raw data Crude oil'!M1492</f>
        <v>82.93</v>
      </c>
      <c r="N1491">
        <f>'raw data Crude oil'!N1492</f>
        <v>88.45</v>
      </c>
      <c r="O1491">
        <f>'raw data Crude oil'!O1492</f>
        <v>87.59</v>
      </c>
      <c r="P1491">
        <f>'raw data Crude oil'!P1492</f>
        <v>86.51</v>
      </c>
      <c r="Q1491">
        <f>'raw data Crude oil'!Q1492</f>
        <v>85.3</v>
      </c>
      <c r="R1491">
        <f>'raw data Crude oil'!R1492</f>
        <v>84.15</v>
      </c>
      <c r="S1491">
        <f>'raw data Crude oil'!S1492</f>
        <v>83.08</v>
      </c>
      <c r="T1491">
        <f>'raw data Crude oil'!T1492</f>
        <v>82.1</v>
      </c>
      <c r="U1491">
        <f>'raw data Crude oil'!U1492</f>
        <v>81.2</v>
      </c>
      <c r="V1491">
        <f>'raw data Crude oil'!V1492</f>
        <v>80.37</v>
      </c>
      <c r="W1491">
        <f>'raw data Crude oil'!W1492</f>
        <v>79.61</v>
      </c>
      <c r="X1491">
        <f>'raw data Crude oil'!X1492</f>
        <v>78.91</v>
      </c>
      <c r="Y1491">
        <f>'raw data Crude oil'!Y1492</f>
        <v>78.260000000000005</v>
      </c>
      <c r="Z1491">
        <f>'raw data Crude oil'!Z1492</f>
        <v>93.188000000000002</v>
      </c>
      <c r="AA1491">
        <f>'raw data Crude oil'!AA1492</f>
        <v>91.141000000000005</v>
      </c>
      <c r="AB1491">
        <f>'raw data Crude oil'!AB1492</f>
        <v>88.396000000000001</v>
      </c>
      <c r="AC1491">
        <f>'raw data Crude oil'!AC1492</f>
        <v>86.381</v>
      </c>
      <c r="AD1491">
        <f>'raw data Crude oil'!AD1492</f>
        <v>84.819000000000003</v>
      </c>
      <c r="AE1491">
        <f>'raw data Crude oil'!AE1492</f>
        <v>83.67</v>
      </c>
      <c r="AF1491">
        <f>'raw data Crude oil'!AF1492</f>
        <v>82.739000000000004</v>
      </c>
      <c r="AG1491">
        <f>'raw data Crude oil'!AG1492</f>
        <v>81.997</v>
      </c>
      <c r="AH1491">
        <f>'raw data Crude oil'!AH1492</f>
        <v>81.319000000000003</v>
      </c>
      <c r="AI1491">
        <f>'raw data Crude oil'!AI1492</f>
        <v>80.659000000000006</v>
      </c>
      <c r="AJ1491">
        <f>'raw data Crude oil'!AJ1492</f>
        <v>80.025999999999996</v>
      </c>
      <c r="AK1491">
        <f>'raw data Crude oil'!AK1492</f>
        <v>79.483000000000004</v>
      </c>
    </row>
    <row r="1492" spans="1:37" x14ac:dyDescent="0.3">
      <c r="A1492" s="18">
        <f>'raw data Crude oil'!A1493</f>
        <v>44841</v>
      </c>
      <c r="B1492">
        <f>'raw data Crude oil'!B1493</f>
        <v>97.92</v>
      </c>
      <c r="C1492">
        <f>'raw data Crude oil'!C1493</f>
        <v>95.89</v>
      </c>
      <c r="D1492">
        <f>'raw data Crude oil'!D1493</f>
        <v>93.92</v>
      </c>
      <c r="E1492">
        <f>'raw data Crude oil'!E1493</f>
        <v>92.3</v>
      </c>
      <c r="F1492">
        <f>'raw data Crude oil'!F1493</f>
        <v>90.93</v>
      </c>
      <c r="G1492">
        <f>'raw data Crude oil'!G1493</f>
        <v>89.8</v>
      </c>
      <c r="H1492">
        <f>'raw data Crude oil'!H1493</f>
        <v>88.79</v>
      </c>
      <c r="I1492">
        <f>'raw data Crude oil'!I1493</f>
        <v>87.93</v>
      </c>
      <c r="J1492">
        <f>'raw data Crude oil'!J1493</f>
        <v>87.1</v>
      </c>
      <c r="K1492">
        <f>'raw data Crude oil'!K1493</f>
        <v>86.35</v>
      </c>
      <c r="L1492">
        <f>'raw data Crude oil'!L1493</f>
        <v>85.64</v>
      </c>
      <c r="M1492">
        <f>'raw data Crude oil'!M1493</f>
        <v>85.01</v>
      </c>
      <c r="N1492">
        <f>'raw data Crude oil'!N1493</f>
        <v>92.64</v>
      </c>
      <c r="O1492">
        <f>'raw data Crude oil'!O1493</f>
        <v>91.35</v>
      </c>
      <c r="P1492">
        <f>'raw data Crude oil'!P1493</f>
        <v>89.85</v>
      </c>
      <c r="Q1492">
        <f>'raw data Crude oil'!Q1493</f>
        <v>88.3</v>
      </c>
      <c r="R1492">
        <f>'raw data Crude oil'!R1493</f>
        <v>86.85</v>
      </c>
      <c r="S1492">
        <f>'raw data Crude oil'!S1493</f>
        <v>85.58</v>
      </c>
      <c r="T1492">
        <f>'raw data Crude oil'!T1493</f>
        <v>84.48</v>
      </c>
      <c r="U1492">
        <f>'raw data Crude oil'!U1493</f>
        <v>83.49</v>
      </c>
      <c r="V1492">
        <f>'raw data Crude oil'!V1493</f>
        <v>82.57</v>
      </c>
      <c r="W1492">
        <f>'raw data Crude oil'!W1493</f>
        <v>81.73</v>
      </c>
      <c r="X1492">
        <f>'raw data Crude oil'!X1493</f>
        <v>80.95</v>
      </c>
      <c r="Y1492">
        <f>'raw data Crude oil'!Y1493</f>
        <v>80.239999999999995</v>
      </c>
      <c r="Z1492">
        <f>'raw data Crude oil'!Z1493</f>
        <v>95.753</v>
      </c>
      <c r="AA1492">
        <f>'raw data Crude oil'!AA1493</f>
        <v>94.43</v>
      </c>
      <c r="AB1492">
        <f>'raw data Crude oil'!AB1493</f>
        <v>91.486000000000004</v>
      </c>
      <c r="AC1492">
        <f>'raw data Crude oil'!AC1493</f>
        <v>89.344999999999999</v>
      </c>
      <c r="AD1492">
        <f>'raw data Crude oil'!AD1493</f>
        <v>87.674000000000007</v>
      </c>
      <c r="AE1492">
        <f>'raw data Crude oil'!AE1493</f>
        <v>86.436000000000007</v>
      </c>
      <c r="AF1492">
        <f>'raw data Crude oil'!AF1493</f>
        <v>85.375</v>
      </c>
      <c r="AG1492">
        <f>'raw data Crude oil'!AG1493</f>
        <v>84.513999999999996</v>
      </c>
      <c r="AH1492">
        <f>'raw data Crude oil'!AH1493</f>
        <v>83.725999999999999</v>
      </c>
      <c r="AI1492">
        <f>'raw data Crude oil'!AI1493</f>
        <v>83.006</v>
      </c>
      <c r="AJ1492">
        <f>'raw data Crude oil'!AJ1493</f>
        <v>82.313000000000002</v>
      </c>
      <c r="AK1492">
        <f>'raw data Crude oil'!AK1493</f>
        <v>81.66</v>
      </c>
    </row>
    <row r="1493" spans="1:37" x14ac:dyDescent="0.3">
      <c r="A1493" s="18">
        <f>'raw data Crude oil'!A1494</f>
        <v>44844</v>
      </c>
      <c r="B1493">
        <f>'raw data Crude oil'!B1494</f>
        <v>96.19</v>
      </c>
      <c r="C1493">
        <f>'raw data Crude oil'!C1494</f>
        <v>94.36</v>
      </c>
      <c r="D1493">
        <f>'raw data Crude oil'!D1494</f>
        <v>92.49</v>
      </c>
      <c r="E1493">
        <f>'raw data Crude oil'!E1494</f>
        <v>90.91</v>
      </c>
      <c r="F1493">
        <f>'raw data Crude oil'!F1494</f>
        <v>89.57</v>
      </c>
      <c r="G1493">
        <f>'raw data Crude oil'!G1494</f>
        <v>88.48</v>
      </c>
      <c r="H1493">
        <f>'raw data Crude oil'!H1494</f>
        <v>87.49</v>
      </c>
      <c r="I1493">
        <f>'raw data Crude oil'!I1494</f>
        <v>86.65</v>
      </c>
      <c r="J1493">
        <f>'raw data Crude oil'!J1494</f>
        <v>85.85</v>
      </c>
      <c r="K1493">
        <f>'raw data Crude oil'!K1494</f>
        <v>85.12</v>
      </c>
      <c r="L1493">
        <f>'raw data Crude oil'!L1494</f>
        <v>84.43</v>
      </c>
      <c r="M1493">
        <f>'raw data Crude oil'!M1494</f>
        <v>83.83</v>
      </c>
      <c r="N1493">
        <f>'raw data Crude oil'!N1494</f>
        <v>91.13</v>
      </c>
      <c r="O1493">
        <f>'raw data Crude oil'!O1494</f>
        <v>89.84</v>
      </c>
      <c r="P1493">
        <f>'raw data Crude oil'!P1494</f>
        <v>88.4</v>
      </c>
      <c r="Q1493">
        <f>'raw data Crude oil'!Q1494</f>
        <v>86.88</v>
      </c>
      <c r="R1493">
        <f>'raw data Crude oil'!R1494</f>
        <v>85.43</v>
      </c>
      <c r="S1493">
        <f>'raw data Crude oil'!S1494</f>
        <v>84.16</v>
      </c>
      <c r="T1493">
        <f>'raw data Crude oil'!T1494</f>
        <v>83.07</v>
      </c>
      <c r="U1493">
        <f>'raw data Crude oil'!U1494</f>
        <v>82.11</v>
      </c>
      <c r="V1493">
        <f>'raw data Crude oil'!V1494</f>
        <v>81.23</v>
      </c>
      <c r="W1493">
        <f>'raw data Crude oil'!W1494</f>
        <v>80.430000000000007</v>
      </c>
      <c r="X1493">
        <f>'raw data Crude oil'!X1494</f>
        <v>79.69</v>
      </c>
      <c r="Y1493">
        <f>'raw data Crude oil'!Y1494</f>
        <v>79.03</v>
      </c>
      <c r="Z1493">
        <f>'raw data Crude oil'!Z1494</f>
        <v>94.367999999999995</v>
      </c>
      <c r="AA1493">
        <f>'raw data Crude oil'!AA1494</f>
        <v>92.704999999999998</v>
      </c>
      <c r="AB1493">
        <f>'raw data Crude oil'!AB1494</f>
        <v>89.93</v>
      </c>
      <c r="AC1493">
        <f>'raw data Crude oil'!AC1494</f>
        <v>87.906000000000006</v>
      </c>
      <c r="AD1493">
        <f>'raw data Crude oil'!AD1494</f>
        <v>86.316000000000003</v>
      </c>
      <c r="AE1493">
        <f>'raw data Crude oil'!AE1494</f>
        <v>85.126999999999995</v>
      </c>
      <c r="AF1493">
        <f>'raw data Crude oil'!AF1494</f>
        <v>84.085999999999999</v>
      </c>
      <c r="AG1493">
        <f>'raw data Crude oil'!AG1494</f>
        <v>83.245000000000005</v>
      </c>
      <c r="AH1493">
        <f>'raw data Crude oil'!AH1494</f>
        <v>82.436999999999998</v>
      </c>
      <c r="AI1493">
        <f>'raw data Crude oil'!AI1494</f>
        <v>81.706999999999994</v>
      </c>
      <c r="AJ1493">
        <f>'raw data Crude oil'!AJ1494</f>
        <v>81.063999999999993</v>
      </c>
      <c r="AK1493">
        <f>'raw data Crude oil'!AK1494</f>
        <v>80.462000000000003</v>
      </c>
    </row>
    <row r="1494" spans="1:37" x14ac:dyDescent="0.3">
      <c r="A1494" s="18">
        <f>'raw data Crude oil'!A1495</f>
        <v>44845</v>
      </c>
      <c r="B1494">
        <f>'raw data Crude oil'!B1495</f>
        <v>94.29</v>
      </c>
      <c r="C1494">
        <f>'raw data Crude oil'!C1495</f>
        <v>92.49</v>
      </c>
      <c r="D1494">
        <f>'raw data Crude oil'!D1495</f>
        <v>90.7</v>
      </c>
      <c r="E1494">
        <f>'raw data Crude oil'!E1495</f>
        <v>89.13</v>
      </c>
      <c r="F1494">
        <f>'raw data Crude oil'!F1495</f>
        <v>87.77</v>
      </c>
      <c r="G1494">
        <f>'raw data Crude oil'!G1495</f>
        <v>86.65</v>
      </c>
      <c r="H1494">
        <f>'raw data Crude oil'!H1495</f>
        <v>85.62</v>
      </c>
      <c r="I1494">
        <f>'raw data Crude oil'!I1495</f>
        <v>84.76</v>
      </c>
      <c r="J1494">
        <f>'raw data Crude oil'!J1495</f>
        <v>83.97</v>
      </c>
      <c r="K1494">
        <f>'raw data Crude oil'!K1495</f>
        <v>83.27</v>
      </c>
      <c r="L1494">
        <f>'raw data Crude oil'!L1495</f>
        <v>82.62</v>
      </c>
      <c r="M1494">
        <f>'raw data Crude oil'!M1495</f>
        <v>82.06</v>
      </c>
      <c r="N1494">
        <f>'raw data Crude oil'!N1495</f>
        <v>89.35</v>
      </c>
      <c r="O1494">
        <f>'raw data Crude oil'!O1495</f>
        <v>87.97</v>
      </c>
      <c r="P1494">
        <f>'raw data Crude oil'!P1495</f>
        <v>86.56</v>
      </c>
      <c r="Q1494">
        <f>'raw data Crude oil'!Q1495</f>
        <v>85.1</v>
      </c>
      <c r="R1494">
        <f>'raw data Crude oil'!R1495</f>
        <v>83.68</v>
      </c>
      <c r="S1494">
        <f>'raw data Crude oil'!S1495</f>
        <v>82.39</v>
      </c>
      <c r="T1494">
        <f>'raw data Crude oil'!T1495</f>
        <v>81.28</v>
      </c>
      <c r="U1494">
        <f>'raw data Crude oil'!U1495</f>
        <v>80.290000000000006</v>
      </c>
      <c r="V1494">
        <f>'raw data Crude oil'!V1495</f>
        <v>79.400000000000006</v>
      </c>
      <c r="W1494">
        <f>'raw data Crude oil'!W1495</f>
        <v>78.61</v>
      </c>
      <c r="X1494">
        <f>'raw data Crude oil'!X1495</f>
        <v>77.900000000000006</v>
      </c>
      <c r="Y1494">
        <f>'raw data Crude oil'!Y1495</f>
        <v>77.25</v>
      </c>
      <c r="Z1494">
        <f>'raw data Crude oil'!Z1495</f>
        <v>92.897000000000006</v>
      </c>
      <c r="AA1494">
        <f>'raw data Crude oil'!AA1495</f>
        <v>90.718999999999994</v>
      </c>
      <c r="AB1494">
        <f>'raw data Crude oil'!AB1495</f>
        <v>87.99</v>
      </c>
      <c r="AC1494">
        <f>'raw data Crude oil'!AC1495</f>
        <v>86.015000000000001</v>
      </c>
      <c r="AD1494">
        <f>'raw data Crude oil'!AD1495</f>
        <v>84.463999999999999</v>
      </c>
      <c r="AE1494">
        <f>'raw data Crude oil'!AE1495</f>
        <v>83.265000000000001</v>
      </c>
      <c r="AF1494">
        <f>'raw data Crude oil'!AF1495</f>
        <v>82.185000000000002</v>
      </c>
      <c r="AG1494">
        <f>'raw data Crude oil'!AG1495</f>
        <v>81.325999999999993</v>
      </c>
      <c r="AH1494">
        <f>'raw data Crude oil'!AH1495</f>
        <v>80.558000000000007</v>
      </c>
      <c r="AI1494">
        <f>'raw data Crude oil'!AI1495</f>
        <v>79.888999999999996</v>
      </c>
      <c r="AJ1494">
        <f>'raw data Crude oil'!AJ1495</f>
        <v>79.256</v>
      </c>
      <c r="AK1494">
        <f>'raw data Crude oil'!AK1495</f>
        <v>78.703999999999994</v>
      </c>
    </row>
    <row r="1495" spans="1:37" x14ac:dyDescent="0.3">
      <c r="A1495" s="18">
        <f>'raw data Crude oil'!A1496</f>
        <v>44846</v>
      </c>
      <c r="B1495">
        <f>'raw data Crude oil'!B1496</f>
        <v>92.45</v>
      </c>
      <c r="C1495">
        <f>'raw data Crude oil'!C1496</f>
        <v>90.82</v>
      </c>
      <c r="D1495">
        <f>'raw data Crude oil'!D1496</f>
        <v>89.16</v>
      </c>
      <c r="E1495">
        <f>'raw data Crude oil'!E1496</f>
        <v>87.67</v>
      </c>
      <c r="F1495">
        <f>'raw data Crude oil'!F1496</f>
        <v>86.36</v>
      </c>
      <c r="G1495">
        <f>'raw data Crude oil'!G1496</f>
        <v>85.25</v>
      </c>
      <c r="H1495">
        <f>'raw data Crude oil'!H1496</f>
        <v>84.22</v>
      </c>
      <c r="I1495">
        <f>'raw data Crude oil'!I1496</f>
        <v>83.37</v>
      </c>
      <c r="J1495">
        <f>'raw data Crude oil'!J1496</f>
        <v>82.59</v>
      </c>
      <c r="K1495">
        <f>'raw data Crude oil'!K1496</f>
        <v>81.92</v>
      </c>
      <c r="L1495">
        <f>'raw data Crude oil'!L1496</f>
        <v>81.290000000000006</v>
      </c>
      <c r="M1495">
        <f>'raw data Crude oil'!M1496</f>
        <v>80.75</v>
      </c>
      <c r="N1495">
        <f>'raw data Crude oil'!N1496</f>
        <v>87.27</v>
      </c>
      <c r="O1495">
        <f>'raw data Crude oil'!O1496</f>
        <v>86.06</v>
      </c>
      <c r="P1495">
        <f>'raw data Crude oil'!P1496</f>
        <v>84.74</v>
      </c>
      <c r="Q1495">
        <f>'raw data Crude oil'!Q1496</f>
        <v>83.35</v>
      </c>
      <c r="R1495">
        <f>'raw data Crude oil'!R1496</f>
        <v>82.04</v>
      </c>
      <c r="S1495">
        <f>'raw data Crude oil'!S1496</f>
        <v>80.849999999999994</v>
      </c>
      <c r="T1495">
        <f>'raw data Crude oil'!T1496</f>
        <v>79.819999999999993</v>
      </c>
      <c r="U1495">
        <f>'raw data Crude oil'!U1496</f>
        <v>78.900000000000006</v>
      </c>
      <c r="V1495">
        <f>'raw data Crude oil'!V1496</f>
        <v>78.069999999999993</v>
      </c>
      <c r="W1495">
        <f>'raw data Crude oil'!W1496</f>
        <v>77.31</v>
      </c>
      <c r="X1495">
        <f>'raw data Crude oil'!X1496</f>
        <v>76.63</v>
      </c>
      <c r="Y1495">
        <f>'raw data Crude oil'!Y1496</f>
        <v>75.989999999999995</v>
      </c>
      <c r="Z1495">
        <f>'raw data Crude oil'!Z1496</f>
        <v>91.192999999999998</v>
      </c>
      <c r="AA1495">
        <f>'raw data Crude oil'!AA1496</f>
        <v>88.504999999999995</v>
      </c>
      <c r="AB1495">
        <f>'raw data Crude oil'!AB1496</f>
        <v>86.037999999999997</v>
      </c>
      <c r="AC1495">
        <f>'raw data Crude oil'!AC1496</f>
        <v>84.207999999999998</v>
      </c>
      <c r="AD1495">
        <f>'raw data Crude oil'!AD1496</f>
        <v>82.775000000000006</v>
      </c>
      <c r="AE1495">
        <f>'raw data Crude oil'!AE1496</f>
        <v>81.655000000000001</v>
      </c>
      <c r="AF1495">
        <f>'raw data Crude oil'!AF1496</f>
        <v>80.655000000000001</v>
      </c>
      <c r="AG1495">
        <f>'raw data Crude oil'!AG1496</f>
        <v>79.816000000000003</v>
      </c>
      <c r="AH1495">
        <f>'raw data Crude oil'!AH1496</f>
        <v>79.05</v>
      </c>
      <c r="AI1495">
        <f>'raw data Crude oil'!AI1496</f>
        <v>78.39</v>
      </c>
      <c r="AJ1495">
        <f>'raw data Crude oil'!AJ1496</f>
        <v>77.787000000000006</v>
      </c>
      <c r="AK1495">
        <f>'raw data Crude oil'!AK1496</f>
        <v>77.265000000000001</v>
      </c>
    </row>
    <row r="1496" spans="1:37" x14ac:dyDescent="0.3">
      <c r="A1496" s="18">
        <f>'raw data Crude oil'!A1497</f>
        <v>44847</v>
      </c>
      <c r="B1496">
        <f>'raw data Crude oil'!B1497</f>
        <v>94.57</v>
      </c>
      <c r="C1496">
        <f>'raw data Crude oil'!C1497</f>
        <v>92.92</v>
      </c>
      <c r="D1496">
        <f>'raw data Crude oil'!D1497</f>
        <v>91.21</v>
      </c>
      <c r="E1496">
        <f>'raw data Crude oil'!E1497</f>
        <v>89.68</v>
      </c>
      <c r="F1496">
        <f>'raw data Crude oil'!F1497</f>
        <v>88.31</v>
      </c>
      <c r="G1496">
        <f>'raw data Crude oil'!G1497</f>
        <v>87.14</v>
      </c>
      <c r="H1496">
        <f>'raw data Crude oil'!H1497</f>
        <v>86.07</v>
      </c>
      <c r="I1496">
        <f>'raw data Crude oil'!I1497</f>
        <v>85.17</v>
      </c>
      <c r="J1496">
        <f>'raw data Crude oil'!J1497</f>
        <v>84.35</v>
      </c>
      <c r="K1496">
        <f>'raw data Crude oil'!K1497</f>
        <v>83.64</v>
      </c>
      <c r="L1496">
        <f>'raw data Crude oil'!L1497</f>
        <v>82.97</v>
      </c>
      <c r="M1496">
        <f>'raw data Crude oil'!M1497</f>
        <v>82.39</v>
      </c>
      <c r="N1496">
        <f>'raw data Crude oil'!N1497</f>
        <v>89.11</v>
      </c>
      <c r="O1496">
        <f>'raw data Crude oil'!O1497</f>
        <v>87.95</v>
      </c>
      <c r="P1496">
        <f>'raw data Crude oil'!P1497</f>
        <v>86.65</v>
      </c>
      <c r="Q1496">
        <f>'raw data Crude oil'!Q1497</f>
        <v>85.25</v>
      </c>
      <c r="R1496">
        <f>'raw data Crude oil'!R1497</f>
        <v>83.9</v>
      </c>
      <c r="S1496">
        <f>'raw data Crude oil'!S1497</f>
        <v>82.66</v>
      </c>
      <c r="T1496">
        <f>'raw data Crude oil'!T1497</f>
        <v>81.59</v>
      </c>
      <c r="U1496">
        <f>'raw data Crude oil'!U1497</f>
        <v>80.63</v>
      </c>
      <c r="V1496">
        <f>'raw data Crude oil'!V1497</f>
        <v>79.760000000000005</v>
      </c>
      <c r="W1496">
        <f>'raw data Crude oil'!W1497</f>
        <v>78.95</v>
      </c>
      <c r="X1496">
        <f>'raw data Crude oil'!X1497</f>
        <v>78.2</v>
      </c>
      <c r="Y1496">
        <f>'raw data Crude oil'!Y1497</f>
        <v>77.510000000000005</v>
      </c>
      <c r="Z1496">
        <f>'raw data Crude oil'!Z1497</f>
        <v>92.355999999999995</v>
      </c>
      <c r="AA1496">
        <f>'raw data Crude oil'!AA1497</f>
        <v>90.552000000000007</v>
      </c>
      <c r="AB1496">
        <f>'raw data Crude oil'!AB1497</f>
        <v>87.994</v>
      </c>
      <c r="AC1496">
        <f>'raw data Crude oil'!AC1497</f>
        <v>86.114999999999995</v>
      </c>
      <c r="AD1496">
        <f>'raw data Crude oil'!AD1497</f>
        <v>84.622</v>
      </c>
      <c r="AE1496">
        <f>'raw data Crude oil'!AE1497</f>
        <v>83.442999999999998</v>
      </c>
      <c r="AF1496">
        <f>'raw data Crude oil'!AF1497</f>
        <v>82.393000000000001</v>
      </c>
      <c r="AG1496">
        <f>'raw data Crude oil'!AG1497</f>
        <v>81.614000000000004</v>
      </c>
      <c r="AH1496">
        <f>'raw data Crude oil'!AH1497</f>
        <v>80.808000000000007</v>
      </c>
      <c r="AI1496">
        <f>'raw data Crude oil'!AI1497</f>
        <v>80.108000000000004</v>
      </c>
      <c r="AJ1496">
        <f>'raw data Crude oil'!AJ1497</f>
        <v>79.465000000000003</v>
      </c>
      <c r="AK1496">
        <f>'raw data Crude oil'!AK1497</f>
        <v>78.903000000000006</v>
      </c>
    </row>
    <row r="1497" spans="1:37" x14ac:dyDescent="0.3">
      <c r="A1497" s="18">
        <f>'raw data Crude oil'!A1498</f>
        <v>44848</v>
      </c>
      <c r="B1497">
        <f>'raw data Crude oil'!B1498</f>
        <v>91.63</v>
      </c>
      <c r="C1497">
        <f>'raw data Crude oil'!C1498</f>
        <v>90.15</v>
      </c>
      <c r="D1497">
        <f>'raw data Crude oil'!D1498</f>
        <v>88.51</v>
      </c>
      <c r="E1497">
        <f>'raw data Crude oil'!E1498</f>
        <v>87.07</v>
      </c>
      <c r="F1497">
        <f>'raw data Crude oil'!F1498</f>
        <v>85.8</v>
      </c>
      <c r="G1497">
        <f>'raw data Crude oil'!G1498</f>
        <v>84.73</v>
      </c>
      <c r="H1497">
        <f>'raw data Crude oil'!H1498</f>
        <v>83.74</v>
      </c>
      <c r="I1497">
        <f>'raw data Crude oil'!I1498</f>
        <v>82.91</v>
      </c>
      <c r="J1497">
        <f>'raw data Crude oil'!J1498</f>
        <v>82.14</v>
      </c>
      <c r="K1497">
        <f>'raw data Crude oil'!K1498</f>
        <v>81.48</v>
      </c>
      <c r="L1497">
        <f>'raw data Crude oil'!L1498</f>
        <v>80.86</v>
      </c>
      <c r="M1497">
        <f>'raw data Crude oil'!M1498</f>
        <v>80.33</v>
      </c>
      <c r="N1497">
        <f>'raw data Crude oil'!N1498</f>
        <v>85.61</v>
      </c>
      <c r="O1497">
        <f>'raw data Crude oil'!O1498</f>
        <v>84.65</v>
      </c>
      <c r="P1497">
        <f>'raw data Crude oil'!P1498</f>
        <v>83.55</v>
      </c>
      <c r="Q1497">
        <f>'raw data Crude oil'!Q1498</f>
        <v>82.29</v>
      </c>
      <c r="R1497">
        <f>'raw data Crude oil'!R1498</f>
        <v>81.08</v>
      </c>
      <c r="S1497">
        <f>'raw data Crude oil'!S1498</f>
        <v>79.98</v>
      </c>
      <c r="T1497">
        <f>'raw data Crude oil'!T1498</f>
        <v>79.03</v>
      </c>
      <c r="U1497">
        <f>'raw data Crude oil'!U1498</f>
        <v>78.19</v>
      </c>
      <c r="V1497">
        <f>'raw data Crude oil'!V1498</f>
        <v>77.41</v>
      </c>
      <c r="W1497">
        <f>'raw data Crude oil'!W1498</f>
        <v>76.69</v>
      </c>
      <c r="X1497">
        <f>'raw data Crude oil'!X1498</f>
        <v>76.02</v>
      </c>
      <c r="Y1497">
        <f>'raw data Crude oil'!Y1498</f>
        <v>75.41</v>
      </c>
      <c r="Z1497">
        <f>'raw data Crude oil'!Z1498</f>
        <v>90.875</v>
      </c>
      <c r="AA1497">
        <f>'raw data Crude oil'!AA1498</f>
        <v>87.424999999999997</v>
      </c>
      <c r="AB1497">
        <f>'raw data Crude oil'!AB1498</f>
        <v>84.923000000000002</v>
      </c>
      <c r="AC1497">
        <f>'raw data Crude oil'!AC1498</f>
        <v>83.15</v>
      </c>
      <c r="AD1497">
        <f>'raw data Crude oil'!AD1498</f>
        <v>81.816999999999993</v>
      </c>
      <c r="AE1497">
        <f>'raw data Crude oil'!AE1498</f>
        <v>80.796999999999997</v>
      </c>
      <c r="AF1497">
        <f>'raw data Crude oil'!AF1498</f>
        <v>79.835999999999999</v>
      </c>
      <c r="AG1497">
        <f>'raw data Crude oil'!AG1498</f>
        <v>79.037000000000006</v>
      </c>
      <c r="AH1497">
        <f>'raw data Crude oil'!AH1498</f>
        <v>78.28</v>
      </c>
      <c r="AI1497">
        <f>'raw data Crude oil'!AI1498</f>
        <v>77.650000000000006</v>
      </c>
      <c r="AJ1497">
        <f>'raw data Crude oil'!AJ1498</f>
        <v>77.076999999999998</v>
      </c>
      <c r="AK1497">
        <f>'raw data Crude oil'!AK1498</f>
        <v>76.584999999999994</v>
      </c>
    </row>
    <row r="1498" spans="1:37" x14ac:dyDescent="0.3">
      <c r="A1498" s="18">
        <f>'raw data Crude oil'!A1499</f>
        <v>44851</v>
      </c>
      <c r="B1498">
        <f>'raw data Crude oil'!B1499</f>
        <v>91.62</v>
      </c>
      <c r="C1498">
        <f>'raw data Crude oil'!C1499</f>
        <v>90.18</v>
      </c>
      <c r="D1498">
        <f>'raw data Crude oil'!D1499</f>
        <v>88.58</v>
      </c>
      <c r="E1498">
        <f>'raw data Crude oil'!E1499</f>
        <v>87.19</v>
      </c>
      <c r="F1498">
        <f>'raw data Crude oil'!F1499</f>
        <v>85.97</v>
      </c>
      <c r="G1498">
        <f>'raw data Crude oil'!G1499</f>
        <v>84.95</v>
      </c>
      <c r="H1498">
        <f>'raw data Crude oil'!H1499</f>
        <v>84.01</v>
      </c>
      <c r="I1498">
        <f>'raw data Crude oil'!I1499</f>
        <v>83.24</v>
      </c>
      <c r="J1498">
        <f>'raw data Crude oil'!J1499</f>
        <v>82.52</v>
      </c>
      <c r="K1498">
        <f>'raw data Crude oil'!K1499</f>
        <v>81.87</v>
      </c>
      <c r="L1498">
        <f>'raw data Crude oil'!L1499</f>
        <v>81.27</v>
      </c>
      <c r="M1498">
        <f>'raw data Crude oil'!M1499</f>
        <v>80.75</v>
      </c>
      <c r="N1498">
        <f>'raw data Crude oil'!N1499</f>
        <v>85.46</v>
      </c>
      <c r="O1498">
        <f>'raw data Crude oil'!O1499</f>
        <v>84.53</v>
      </c>
      <c r="P1498">
        <f>'raw data Crude oil'!P1499</f>
        <v>83.51</v>
      </c>
      <c r="Q1498">
        <f>'raw data Crude oil'!Q1499</f>
        <v>82.31</v>
      </c>
      <c r="R1498">
        <f>'raw data Crude oil'!R1499</f>
        <v>81.14</v>
      </c>
      <c r="S1498">
        <f>'raw data Crude oil'!S1499</f>
        <v>80.069999999999993</v>
      </c>
      <c r="T1498">
        <f>'raw data Crude oil'!T1499</f>
        <v>79.16</v>
      </c>
      <c r="U1498">
        <f>'raw data Crude oil'!U1499</f>
        <v>78.349999999999994</v>
      </c>
      <c r="V1498">
        <f>'raw data Crude oil'!V1499</f>
        <v>77.59</v>
      </c>
      <c r="W1498">
        <f>'raw data Crude oil'!W1499</f>
        <v>76.900000000000006</v>
      </c>
      <c r="X1498">
        <f>'raw data Crude oil'!X1499</f>
        <v>76.25</v>
      </c>
      <c r="Y1498">
        <f>'raw data Crude oil'!Y1499</f>
        <v>75.650000000000006</v>
      </c>
      <c r="Z1498">
        <f>'raw data Crude oil'!Z1499</f>
        <v>90.563000000000002</v>
      </c>
      <c r="AA1498">
        <f>'raw data Crude oil'!AA1499</f>
        <v>86.716999999999999</v>
      </c>
      <c r="AB1498">
        <f>'raw data Crude oil'!AB1499</f>
        <v>84.507999999999996</v>
      </c>
      <c r="AC1498">
        <f>'raw data Crude oil'!AC1499</f>
        <v>82.852000000000004</v>
      </c>
      <c r="AD1498">
        <f>'raw data Crude oil'!AD1499</f>
        <v>81.629000000000005</v>
      </c>
      <c r="AE1498">
        <f>'raw data Crude oil'!AE1499</f>
        <v>80.638999999999996</v>
      </c>
      <c r="AF1498">
        <f>'raw data Crude oil'!AF1499</f>
        <v>79.778999999999996</v>
      </c>
      <c r="AG1498">
        <f>'raw data Crude oil'!AG1499</f>
        <v>78.968999999999994</v>
      </c>
      <c r="AH1498">
        <f>'raw data Crude oil'!AH1499</f>
        <v>78.28</v>
      </c>
      <c r="AI1498">
        <f>'raw data Crude oil'!AI1499</f>
        <v>77.661000000000001</v>
      </c>
      <c r="AJ1498">
        <f>'raw data Crude oil'!AJ1499</f>
        <v>77.137</v>
      </c>
      <c r="AK1498">
        <f>'raw data Crude oil'!AK1499</f>
        <v>76.637</v>
      </c>
    </row>
    <row r="1499" spans="1:37" x14ac:dyDescent="0.3">
      <c r="A1499" s="18">
        <f>'raw data Crude oil'!A1500</f>
        <v>44852</v>
      </c>
      <c r="B1499">
        <f>'raw data Crude oil'!B1500</f>
        <v>90.03</v>
      </c>
      <c r="C1499">
        <f>'raw data Crude oil'!C1500</f>
        <v>88.6</v>
      </c>
      <c r="D1499">
        <f>'raw data Crude oil'!D1500</f>
        <v>87.13</v>
      </c>
      <c r="E1499">
        <f>'raw data Crude oil'!E1500</f>
        <v>85.85</v>
      </c>
      <c r="F1499">
        <f>'raw data Crude oil'!F1500</f>
        <v>84.78</v>
      </c>
      <c r="G1499">
        <f>'raw data Crude oil'!G1500</f>
        <v>83.91</v>
      </c>
      <c r="H1499">
        <f>'raw data Crude oil'!H1500</f>
        <v>83.11</v>
      </c>
      <c r="I1499">
        <f>'raw data Crude oil'!I1500</f>
        <v>82.47</v>
      </c>
      <c r="J1499">
        <f>'raw data Crude oil'!J1500</f>
        <v>81.88</v>
      </c>
      <c r="K1499">
        <f>'raw data Crude oil'!K1500</f>
        <v>81.319999999999993</v>
      </c>
      <c r="L1499">
        <f>'raw data Crude oil'!L1500</f>
        <v>80.81</v>
      </c>
      <c r="M1499">
        <f>'raw data Crude oil'!M1500</f>
        <v>80.38</v>
      </c>
      <c r="N1499">
        <f>'raw data Crude oil'!N1500</f>
        <v>82.82</v>
      </c>
      <c r="O1499">
        <f>'raw data Crude oil'!O1500</f>
        <v>82.07</v>
      </c>
      <c r="P1499">
        <f>'raw data Crude oil'!P1500</f>
        <v>81.290000000000006</v>
      </c>
      <c r="Q1499">
        <f>'raw data Crude oil'!Q1500</f>
        <v>80.36</v>
      </c>
      <c r="R1499">
        <f>'raw data Crude oil'!R1500</f>
        <v>79.44</v>
      </c>
      <c r="S1499">
        <f>'raw data Crude oil'!S1500</f>
        <v>78.599999999999994</v>
      </c>
      <c r="T1499">
        <f>'raw data Crude oil'!T1500</f>
        <v>77.88</v>
      </c>
      <c r="U1499">
        <f>'raw data Crude oil'!U1500</f>
        <v>77.260000000000005</v>
      </c>
      <c r="V1499">
        <f>'raw data Crude oil'!V1500</f>
        <v>76.67</v>
      </c>
      <c r="W1499">
        <f>'raw data Crude oil'!W1500</f>
        <v>76.12</v>
      </c>
      <c r="X1499">
        <f>'raw data Crude oil'!X1500</f>
        <v>75.62</v>
      </c>
      <c r="Y1499">
        <f>'raw data Crude oil'!Y1500</f>
        <v>75.14</v>
      </c>
      <c r="Z1499">
        <f>'raw data Crude oil'!Z1500</f>
        <v>89.813000000000002</v>
      </c>
      <c r="AA1499">
        <f>'raw data Crude oil'!AA1500</f>
        <v>85.003</v>
      </c>
      <c r="AB1499">
        <f>'raw data Crude oil'!AB1500</f>
        <v>82.938000000000002</v>
      </c>
      <c r="AC1499">
        <f>'raw data Crude oil'!AC1500</f>
        <v>81.409000000000006</v>
      </c>
      <c r="AD1499">
        <f>'raw data Crude oil'!AD1500</f>
        <v>80.307000000000002</v>
      </c>
      <c r="AE1499">
        <f>'raw data Crude oil'!AE1500</f>
        <v>79.444999999999993</v>
      </c>
      <c r="AF1499">
        <f>'raw data Crude oil'!AF1500</f>
        <v>78.745999999999995</v>
      </c>
      <c r="AG1499">
        <f>'raw data Crude oil'!AG1500</f>
        <v>78.144000000000005</v>
      </c>
      <c r="AH1499">
        <f>'raw data Crude oil'!AH1500</f>
        <v>77.605000000000004</v>
      </c>
      <c r="AI1499">
        <f>'raw data Crude oil'!AI1500</f>
        <v>77.075999999999993</v>
      </c>
      <c r="AJ1499">
        <f>'raw data Crude oil'!AJ1500</f>
        <v>76.671000000000006</v>
      </c>
      <c r="AK1499">
        <f>'raw data Crude oil'!AK1500</f>
        <v>76.260000000000005</v>
      </c>
    </row>
    <row r="1500" spans="1:37" x14ac:dyDescent="0.3">
      <c r="A1500" s="18">
        <f>'raw data Crude oil'!A1501</f>
        <v>44853</v>
      </c>
      <c r="B1500">
        <f>'raw data Crude oil'!B1501</f>
        <v>92.41</v>
      </c>
      <c r="C1500">
        <f>'raw data Crude oil'!C1501</f>
        <v>90.56</v>
      </c>
      <c r="D1500">
        <f>'raw data Crude oil'!D1501</f>
        <v>88.85</v>
      </c>
      <c r="E1500">
        <f>'raw data Crude oil'!E1501</f>
        <v>87.42</v>
      </c>
      <c r="F1500">
        <f>'raw data Crude oil'!F1501</f>
        <v>86.22</v>
      </c>
      <c r="G1500">
        <f>'raw data Crude oil'!G1501</f>
        <v>85.24</v>
      </c>
      <c r="H1500">
        <f>'raw data Crude oil'!H1501</f>
        <v>84.37</v>
      </c>
      <c r="I1500">
        <f>'raw data Crude oil'!I1501</f>
        <v>83.67</v>
      </c>
      <c r="J1500">
        <f>'raw data Crude oil'!J1501</f>
        <v>83.02</v>
      </c>
      <c r="K1500">
        <f>'raw data Crude oil'!K1501</f>
        <v>82.42</v>
      </c>
      <c r="L1500">
        <f>'raw data Crude oil'!L1501</f>
        <v>81.86</v>
      </c>
      <c r="M1500">
        <f>'raw data Crude oil'!M1501</f>
        <v>81.400000000000006</v>
      </c>
      <c r="N1500">
        <f>'raw data Crude oil'!N1501</f>
        <v>85.55</v>
      </c>
      <c r="O1500">
        <f>'raw data Crude oil'!O1501</f>
        <v>84.52</v>
      </c>
      <c r="P1500">
        <f>'raw data Crude oil'!P1501</f>
        <v>83.42</v>
      </c>
      <c r="Q1500">
        <f>'raw data Crude oil'!Q1501</f>
        <v>82.25</v>
      </c>
      <c r="R1500">
        <f>'raw data Crude oil'!R1501</f>
        <v>81.17</v>
      </c>
      <c r="S1500">
        <f>'raw data Crude oil'!S1501</f>
        <v>80.2</v>
      </c>
      <c r="T1500">
        <f>'raw data Crude oil'!T1501</f>
        <v>79.36</v>
      </c>
      <c r="U1500">
        <f>'raw data Crude oil'!U1501</f>
        <v>78.63</v>
      </c>
      <c r="V1500">
        <f>'raw data Crude oil'!V1501</f>
        <v>77.97</v>
      </c>
      <c r="W1500">
        <f>'raw data Crude oil'!W1501</f>
        <v>77.37</v>
      </c>
      <c r="X1500">
        <f>'raw data Crude oil'!X1501</f>
        <v>76.83</v>
      </c>
      <c r="Y1500">
        <f>'raw data Crude oil'!Y1501</f>
        <v>76.33</v>
      </c>
      <c r="Z1500">
        <f>'raw data Crude oil'!Z1501</f>
        <v>90.138000000000005</v>
      </c>
      <c r="AA1500">
        <f>'raw data Crude oil'!AA1501</f>
        <v>86.841999999999999</v>
      </c>
      <c r="AB1500">
        <f>'raw data Crude oil'!AB1501</f>
        <v>84.614000000000004</v>
      </c>
      <c r="AC1500">
        <f>'raw data Crude oil'!AC1501</f>
        <v>82.843000000000004</v>
      </c>
      <c r="AD1500">
        <f>'raw data Crude oil'!AD1501</f>
        <v>81.570999999999998</v>
      </c>
      <c r="AE1500">
        <f>'raw data Crude oil'!AE1501</f>
        <v>80.591999999999999</v>
      </c>
      <c r="AF1500">
        <f>'raw data Crude oil'!AF1501</f>
        <v>79.783000000000001</v>
      </c>
      <c r="AG1500">
        <f>'raw data Crude oil'!AG1501</f>
        <v>79.162000000000006</v>
      </c>
      <c r="AH1500">
        <f>'raw data Crude oil'!AH1501</f>
        <v>78.593000000000004</v>
      </c>
      <c r="AI1500">
        <f>'raw data Crude oil'!AI1501</f>
        <v>78.033000000000001</v>
      </c>
      <c r="AJ1500">
        <f>'raw data Crude oil'!AJ1501</f>
        <v>77.5</v>
      </c>
      <c r="AK1500">
        <f>'raw data Crude oil'!AK1501</f>
        <v>77.058999999999997</v>
      </c>
    </row>
    <row r="1501" spans="1:37" x14ac:dyDescent="0.3">
      <c r="A1501" s="18">
        <f>'raw data Crude oil'!A1502</f>
        <v>44854</v>
      </c>
      <c r="B1501">
        <f>'raw data Crude oil'!B1502</f>
        <v>92.38</v>
      </c>
      <c r="C1501">
        <f>'raw data Crude oil'!C1502</f>
        <v>90.45</v>
      </c>
      <c r="D1501">
        <f>'raw data Crude oil'!D1502</f>
        <v>88.61</v>
      </c>
      <c r="E1501">
        <f>'raw data Crude oil'!E1502</f>
        <v>87.07</v>
      </c>
      <c r="F1501">
        <f>'raw data Crude oil'!F1502</f>
        <v>85.79</v>
      </c>
      <c r="G1501">
        <f>'raw data Crude oil'!G1502</f>
        <v>84.75</v>
      </c>
      <c r="H1501">
        <f>'raw data Crude oil'!H1502</f>
        <v>83.85</v>
      </c>
      <c r="I1501">
        <f>'raw data Crude oil'!I1502</f>
        <v>83.13</v>
      </c>
      <c r="J1501">
        <f>'raw data Crude oil'!J1502</f>
        <v>82.47</v>
      </c>
      <c r="K1501">
        <f>'raw data Crude oil'!K1502</f>
        <v>81.84</v>
      </c>
      <c r="L1501">
        <f>'raw data Crude oil'!L1502</f>
        <v>81.28</v>
      </c>
      <c r="M1501">
        <f>'raw data Crude oil'!M1502</f>
        <v>80.81</v>
      </c>
      <c r="N1501">
        <f>'raw data Crude oil'!N1502</f>
        <v>85.98</v>
      </c>
      <c r="O1501">
        <f>'raw data Crude oil'!O1502</f>
        <v>84.51</v>
      </c>
      <c r="P1501">
        <f>'raw data Crude oil'!P1502</f>
        <v>83.3</v>
      </c>
      <c r="Q1501">
        <f>'raw data Crude oil'!Q1502</f>
        <v>81.99</v>
      </c>
      <c r="R1501">
        <f>'raw data Crude oil'!R1502</f>
        <v>80.78</v>
      </c>
      <c r="S1501">
        <f>'raw data Crude oil'!S1502</f>
        <v>79.709999999999994</v>
      </c>
      <c r="T1501">
        <f>'raw data Crude oil'!T1502</f>
        <v>78.8</v>
      </c>
      <c r="U1501">
        <f>'raw data Crude oil'!U1502</f>
        <v>78.010000000000005</v>
      </c>
      <c r="V1501">
        <f>'raw data Crude oil'!V1502</f>
        <v>77.319999999999993</v>
      </c>
      <c r="W1501">
        <f>'raw data Crude oil'!W1502</f>
        <v>76.72</v>
      </c>
      <c r="X1501">
        <f>'raw data Crude oil'!X1502</f>
        <v>76.17</v>
      </c>
      <c r="Y1501">
        <f>'raw data Crude oil'!Y1502</f>
        <v>75.69</v>
      </c>
      <c r="Z1501">
        <f>'raw data Crude oil'!Z1502</f>
        <v>90.614000000000004</v>
      </c>
      <c r="AA1501">
        <f>'raw data Crude oil'!AA1502</f>
        <v>87.715999999999994</v>
      </c>
      <c r="AB1501">
        <f>'raw data Crude oil'!AB1502</f>
        <v>85.212999999999994</v>
      </c>
      <c r="AC1501">
        <f>'raw data Crude oil'!AC1502</f>
        <v>83.198999999999998</v>
      </c>
      <c r="AD1501">
        <f>'raw data Crude oil'!AD1502</f>
        <v>81.677999999999997</v>
      </c>
      <c r="AE1501">
        <f>'raw data Crude oil'!AE1502</f>
        <v>80.561000000000007</v>
      </c>
      <c r="AF1501">
        <f>'raw data Crude oil'!AF1502</f>
        <v>79.622</v>
      </c>
      <c r="AG1501">
        <f>'raw data Crude oil'!AG1502</f>
        <v>78.991</v>
      </c>
      <c r="AH1501">
        <f>'raw data Crude oil'!AH1502</f>
        <v>78.370999999999995</v>
      </c>
      <c r="AI1501">
        <f>'raw data Crude oil'!AI1502</f>
        <v>77.692999999999998</v>
      </c>
      <c r="AJ1501">
        <f>'raw data Crude oil'!AJ1502</f>
        <v>77.150000000000006</v>
      </c>
      <c r="AK1501">
        <f>'raw data Crude oil'!AK1502</f>
        <v>76.688999999999993</v>
      </c>
    </row>
    <row r="1502" spans="1:37" x14ac:dyDescent="0.3">
      <c r="A1502" s="18">
        <f>'raw data Crude oil'!A1503</f>
        <v>44855</v>
      </c>
      <c r="B1502">
        <f>'raw data Crude oil'!B1503</f>
        <v>93.5</v>
      </c>
      <c r="C1502">
        <f>'raw data Crude oil'!C1503</f>
        <v>91.34</v>
      </c>
      <c r="D1502">
        <f>'raw data Crude oil'!D1503</f>
        <v>89.45</v>
      </c>
      <c r="E1502">
        <f>'raw data Crude oil'!E1503</f>
        <v>87.86</v>
      </c>
      <c r="F1502">
        <f>'raw data Crude oil'!F1503</f>
        <v>86.52</v>
      </c>
      <c r="G1502">
        <f>'raw data Crude oil'!G1503</f>
        <v>85.43</v>
      </c>
      <c r="H1502">
        <f>'raw data Crude oil'!H1503</f>
        <v>84.49</v>
      </c>
      <c r="I1502">
        <f>'raw data Crude oil'!I1503</f>
        <v>83.71</v>
      </c>
      <c r="J1502">
        <f>'raw data Crude oil'!J1503</f>
        <v>83</v>
      </c>
      <c r="K1502">
        <f>'raw data Crude oil'!K1503</f>
        <v>82.33</v>
      </c>
      <c r="L1502">
        <f>'raw data Crude oil'!L1503</f>
        <v>81.73</v>
      </c>
      <c r="M1502">
        <f>'raw data Crude oil'!M1503</f>
        <v>81.209999999999994</v>
      </c>
      <c r="N1502">
        <f>'raw data Crude oil'!N1503</f>
        <v>85.05</v>
      </c>
      <c r="O1502">
        <f>'raw data Crude oil'!O1503</f>
        <v>83.95</v>
      </c>
      <c r="P1502">
        <f>'raw data Crude oil'!P1503</f>
        <v>82.65</v>
      </c>
      <c r="Q1502">
        <f>'raw data Crude oil'!Q1503</f>
        <v>81.430000000000007</v>
      </c>
      <c r="R1502">
        <f>'raw data Crude oil'!R1503</f>
        <v>80.319999999999993</v>
      </c>
      <c r="S1502">
        <f>'raw data Crude oil'!S1503</f>
        <v>79.36</v>
      </c>
      <c r="T1502">
        <f>'raw data Crude oil'!T1503</f>
        <v>78.53</v>
      </c>
      <c r="U1502">
        <f>'raw data Crude oil'!U1503</f>
        <v>77.8</v>
      </c>
      <c r="V1502">
        <f>'raw data Crude oil'!V1503</f>
        <v>77.14</v>
      </c>
      <c r="W1502">
        <f>'raw data Crude oil'!W1503</f>
        <v>76.55</v>
      </c>
      <c r="X1502">
        <f>'raw data Crude oil'!X1503</f>
        <v>76.010000000000005</v>
      </c>
      <c r="Y1502">
        <f>'raw data Crude oil'!Y1503</f>
        <v>75.510000000000005</v>
      </c>
      <c r="Z1502">
        <f>'raw data Crude oil'!Z1503</f>
        <v>90.965999999999994</v>
      </c>
      <c r="AA1502">
        <f>'raw data Crude oil'!AA1503</f>
        <v>88.744</v>
      </c>
      <c r="AB1502">
        <f>'raw data Crude oil'!AB1503</f>
        <v>86.138999999999996</v>
      </c>
      <c r="AC1502">
        <f>'raw data Crude oil'!AC1503</f>
        <v>84.036000000000001</v>
      </c>
      <c r="AD1502">
        <f>'raw data Crude oil'!AD1503</f>
        <v>82.406000000000006</v>
      </c>
      <c r="AE1502">
        <f>'raw data Crude oil'!AE1503</f>
        <v>81.278999999999996</v>
      </c>
      <c r="AF1502">
        <f>'raw data Crude oil'!AF1503</f>
        <v>80.269000000000005</v>
      </c>
      <c r="AG1502">
        <f>'raw data Crude oil'!AG1503</f>
        <v>79.498999999999995</v>
      </c>
      <c r="AH1502">
        <f>'raw data Crude oil'!AH1503</f>
        <v>78.8</v>
      </c>
      <c r="AI1502">
        <f>'raw data Crude oil'!AI1503</f>
        <v>78.150999999999996</v>
      </c>
      <c r="AJ1502">
        <f>'raw data Crude oil'!AJ1503</f>
        <v>77.546999999999997</v>
      </c>
      <c r="AK1502">
        <f>'raw data Crude oil'!AK1503</f>
        <v>76.975999999999999</v>
      </c>
    </row>
    <row r="1503" spans="1:37" x14ac:dyDescent="0.3">
      <c r="A1503" s="18">
        <f>'raw data Crude oil'!A1504</f>
        <v>44858</v>
      </c>
      <c r="B1503">
        <f>'raw data Crude oil'!B1504</f>
        <v>93.26</v>
      </c>
      <c r="C1503">
        <f>'raw data Crude oil'!C1504</f>
        <v>91.21</v>
      </c>
      <c r="D1503">
        <f>'raw data Crude oil'!D1504</f>
        <v>89.43</v>
      </c>
      <c r="E1503">
        <f>'raw data Crude oil'!E1504</f>
        <v>87.93</v>
      </c>
      <c r="F1503">
        <f>'raw data Crude oil'!F1504</f>
        <v>86.65</v>
      </c>
      <c r="G1503">
        <f>'raw data Crude oil'!G1504</f>
        <v>85.6</v>
      </c>
      <c r="H1503">
        <f>'raw data Crude oil'!H1504</f>
        <v>84.67</v>
      </c>
      <c r="I1503">
        <f>'raw data Crude oil'!I1504</f>
        <v>83.9</v>
      </c>
      <c r="J1503">
        <f>'raw data Crude oil'!J1504</f>
        <v>83.19</v>
      </c>
      <c r="K1503">
        <f>'raw data Crude oil'!K1504</f>
        <v>82.51</v>
      </c>
      <c r="L1503">
        <f>'raw data Crude oil'!L1504</f>
        <v>81.89</v>
      </c>
      <c r="M1503">
        <f>'raw data Crude oil'!M1504</f>
        <v>81.349999999999994</v>
      </c>
      <c r="N1503">
        <f>'raw data Crude oil'!N1504</f>
        <v>84.58</v>
      </c>
      <c r="O1503">
        <f>'raw data Crude oil'!O1504</f>
        <v>83.59</v>
      </c>
      <c r="P1503">
        <f>'raw data Crude oil'!P1504</f>
        <v>82.39</v>
      </c>
      <c r="Q1503">
        <f>'raw data Crude oil'!Q1504</f>
        <v>81.25</v>
      </c>
      <c r="R1503">
        <f>'raw data Crude oil'!R1504</f>
        <v>80.209999999999994</v>
      </c>
      <c r="S1503">
        <f>'raw data Crude oil'!S1504</f>
        <v>79.31</v>
      </c>
      <c r="T1503">
        <f>'raw data Crude oil'!T1504</f>
        <v>78.53</v>
      </c>
      <c r="U1503">
        <f>'raw data Crude oil'!U1504</f>
        <v>77.83</v>
      </c>
      <c r="V1503">
        <f>'raw data Crude oil'!V1504</f>
        <v>77.180000000000007</v>
      </c>
      <c r="W1503">
        <f>'raw data Crude oil'!W1504</f>
        <v>76.61</v>
      </c>
      <c r="X1503">
        <f>'raw data Crude oil'!X1504</f>
        <v>76.09</v>
      </c>
      <c r="Y1503">
        <f>'raw data Crude oil'!Y1504</f>
        <v>75.599999999999994</v>
      </c>
      <c r="Z1503">
        <f>'raw data Crude oil'!Z1504</f>
        <v>90.846999999999994</v>
      </c>
      <c r="AA1503">
        <f>'raw data Crude oil'!AA1504</f>
        <v>88.269000000000005</v>
      </c>
      <c r="AB1503">
        <f>'raw data Crude oil'!AB1504</f>
        <v>85.677000000000007</v>
      </c>
      <c r="AC1503">
        <f>'raw data Crude oil'!AC1504</f>
        <v>83.599000000000004</v>
      </c>
      <c r="AD1503">
        <f>'raw data Crude oil'!AD1504</f>
        <v>82.138000000000005</v>
      </c>
      <c r="AE1503">
        <f>'raw data Crude oil'!AE1504</f>
        <v>81.069999999999993</v>
      </c>
      <c r="AF1503">
        <f>'raw data Crude oil'!AF1504</f>
        <v>80.159000000000006</v>
      </c>
      <c r="AG1503">
        <f>'raw data Crude oil'!AG1504</f>
        <v>79.409000000000006</v>
      </c>
      <c r="AH1503">
        <f>'raw data Crude oil'!AH1504</f>
        <v>78.728999999999999</v>
      </c>
      <c r="AI1503">
        <f>'raw data Crude oil'!AI1504</f>
        <v>78.069999999999993</v>
      </c>
      <c r="AJ1503">
        <f>'raw data Crude oil'!AJ1504</f>
        <v>77.466999999999999</v>
      </c>
      <c r="AK1503">
        <f>'raw data Crude oil'!AK1504</f>
        <v>76.915999999999997</v>
      </c>
    </row>
    <row r="1504" spans="1:37" x14ac:dyDescent="0.3">
      <c r="A1504" s="18">
        <f>'raw data Crude oil'!A1505</f>
        <v>44859</v>
      </c>
      <c r="B1504">
        <f>'raw data Crude oil'!B1505</f>
        <v>93.52</v>
      </c>
      <c r="C1504">
        <f>'raw data Crude oil'!C1505</f>
        <v>91.74</v>
      </c>
      <c r="D1504">
        <f>'raw data Crude oil'!D1505</f>
        <v>90.1</v>
      </c>
      <c r="E1504">
        <f>'raw data Crude oil'!E1505</f>
        <v>88.68</v>
      </c>
      <c r="F1504">
        <f>'raw data Crude oil'!F1505</f>
        <v>87.45</v>
      </c>
      <c r="G1504">
        <f>'raw data Crude oil'!G1505</f>
        <v>86.44</v>
      </c>
      <c r="H1504">
        <f>'raw data Crude oil'!H1505</f>
        <v>85.53</v>
      </c>
      <c r="I1504">
        <f>'raw data Crude oil'!I1505</f>
        <v>84.78</v>
      </c>
      <c r="J1504">
        <f>'raw data Crude oil'!J1505</f>
        <v>84.08</v>
      </c>
      <c r="K1504">
        <f>'raw data Crude oil'!K1505</f>
        <v>83.4</v>
      </c>
      <c r="L1504">
        <f>'raw data Crude oil'!L1505</f>
        <v>82.78</v>
      </c>
      <c r="M1504">
        <f>'raw data Crude oil'!M1505</f>
        <v>82.25</v>
      </c>
      <c r="N1504">
        <f>'raw data Crude oil'!N1505</f>
        <v>85.32</v>
      </c>
      <c r="O1504">
        <f>'raw data Crude oil'!O1505</f>
        <v>84.31</v>
      </c>
      <c r="P1504">
        <f>'raw data Crude oil'!P1505</f>
        <v>83.15</v>
      </c>
      <c r="Q1504">
        <f>'raw data Crude oil'!Q1505</f>
        <v>82.05</v>
      </c>
      <c r="R1504">
        <f>'raw data Crude oil'!R1505</f>
        <v>81.06</v>
      </c>
      <c r="S1504">
        <f>'raw data Crude oil'!S1505</f>
        <v>80.2</v>
      </c>
      <c r="T1504">
        <f>'raw data Crude oil'!T1505</f>
        <v>79.430000000000007</v>
      </c>
      <c r="U1504">
        <f>'raw data Crude oil'!U1505</f>
        <v>78.739999999999995</v>
      </c>
      <c r="V1504">
        <f>'raw data Crude oil'!V1505</f>
        <v>78.12</v>
      </c>
      <c r="W1504">
        <f>'raw data Crude oil'!W1505</f>
        <v>77.540000000000006</v>
      </c>
      <c r="X1504">
        <f>'raw data Crude oil'!X1505</f>
        <v>77.010000000000005</v>
      </c>
      <c r="Y1504">
        <f>'raw data Crude oil'!Y1505</f>
        <v>76.510000000000005</v>
      </c>
      <c r="Z1504">
        <f>'raw data Crude oil'!Z1505</f>
        <v>90.721999999999994</v>
      </c>
      <c r="AA1504">
        <f>'raw data Crude oil'!AA1505</f>
        <v>88.905000000000001</v>
      </c>
      <c r="AB1504">
        <f>'raw data Crude oil'!AB1505</f>
        <v>86.435000000000002</v>
      </c>
      <c r="AC1504">
        <f>'raw data Crude oil'!AC1505</f>
        <v>84.48</v>
      </c>
      <c r="AD1504">
        <f>'raw data Crude oil'!AD1505</f>
        <v>83.046000000000006</v>
      </c>
      <c r="AE1504">
        <f>'raw data Crude oil'!AE1505</f>
        <v>81.995999999999995</v>
      </c>
      <c r="AF1504">
        <f>'raw data Crude oil'!AF1505</f>
        <v>81.031000000000006</v>
      </c>
      <c r="AG1504">
        <f>'raw data Crude oil'!AG1505</f>
        <v>80.319999999999993</v>
      </c>
      <c r="AH1504">
        <f>'raw data Crude oil'!AH1505</f>
        <v>79.659000000000006</v>
      </c>
      <c r="AI1504">
        <f>'raw data Crude oil'!AI1505</f>
        <v>79</v>
      </c>
      <c r="AJ1504">
        <f>'raw data Crude oil'!AJ1505</f>
        <v>78.376999999999995</v>
      </c>
      <c r="AK1504">
        <f>'raw data Crude oil'!AK1505</f>
        <v>77.775999999999996</v>
      </c>
    </row>
    <row r="1505" spans="1:37" x14ac:dyDescent="0.3">
      <c r="A1505" s="18">
        <f>'raw data Crude oil'!A1506</f>
        <v>44860</v>
      </c>
      <c r="B1505">
        <f>'raw data Crude oil'!B1506</f>
        <v>95.69</v>
      </c>
      <c r="C1505">
        <f>'raw data Crude oil'!C1506</f>
        <v>93.79</v>
      </c>
      <c r="D1505">
        <f>'raw data Crude oil'!D1506</f>
        <v>92.09</v>
      </c>
      <c r="E1505">
        <f>'raw data Crude oil'!E1506</f>
        <v>90.61</v>
      </c>
      <c r="F1505">
        <f>'raw data Crude oil'!F1506</f>
        <v>89.29</v>
      </c>
      <c r="G1505">
        <f>'raw data Crude oil'!G1506</f>
        <v>88.19</v>
      </c>
      <c r="H1505">
        <f>'raw data Crude oil'!H1506</f>
        <v>87.21</v>
      </c>
      <c r="I1505">
        <f>'raw data Crude oil'!I1506</f>
        <v>86.4</v>
      </c>
      <c r="J1505">
        <f>'raw data Crude oil'!J1506</f>
        <v>85.65</v>
      </c>
      <c r="K1505">
        <f>'raw data Crude oil'!K1506</f>
        <v>84.93</v>
      </c>
      <c r="L1505">
        <f>'raw data Crude oil'!L1506</f>
        <v>84.27</v>
      </c>
      <c r="M1505">
        <f>'raw data Crude oil'!M1506</f>
        <v>83.7</v>
      </c>
      <c r="N1505">
        <f>'raw data Crude oil'!N1506</f>
        <v>87.91</v>
      </c>
      <c r="O1505">
        <f>'raw data Crude oil'!O1506</f>
        <v>86.68</v>
      </c>
      <c r="P1505">
        <f>'raw data Crude oil'!P1506</f>
        <v>85.34</v>
      </c>
      <c r="Q1505">
        <f>'raw data Crude oil'!Q1506</f>
        <v>84.05</v>
      </c>
      <c r="R1505">
        <f>'raw data Crude oil'!R1506</f>
        <v>82.91</v>
      </c>
      <c r="S1505">
        <f>'raw data Crude oil'!S1506</f>
        <v>81.91</v>
      </c>
      <c r="T1505">
        <f>'raw data Crude oil'!T1506</f>
        <v>81.040000000000006</v>
      </c>
      <c r="U1505">
        <f>'raw data Crude oil'!U1506</f>
        <v>80.25</v>
      </c>
      <c r="V1505">
        <f>'raw data Crude oil'!V1506</f>
        <v>79.55</v>
      </c>
      <c r="W1505">
        <f>'raw data Crude oil'!W1506</f>
        <v>78.92</v>
      </c>
      <c r="X1505">
        <f>'raw data Crude oil'!X1506</f>
        <v>78.349999999999994</v>
      </c>
      <c r="Y1505">
        <f>'raw data Crude oil'!Y1506</f>
        <v>77.819999999999993</v>
      </c>
      <c r="Z1505">
        <f>'raw data Crude oil'!Z1506</f>
        <v>91.287000000000006</v>
      </c>
      <c r="AA1505">
        <f>'raw data Crude oil'!AA1506</f>
        <v>90.992999999999995</v>
      </c>
      <c r="AB1505">
        <f>'raw data Crude oil'!AB1506</f>
        <v>88.438999999999993</v>
      </c>
      <c r="AC1505">
        <f>'raw data Crude oil'!AC1506</f>
        <v>86.408000000000001</v>
      </c>
      <c r="AD1505">
        <f>'raw data Crude oil'!AD1506</f>
        <v>84.97</v>
      </c>
      <c r="AE1505">
        <f>'raw data Crude oil'!AE1506</f>
        <v>83.841999999999999</v>
      </c>
      <c r="AF1505">
        <f>'raw data Crude oil'!AF1506</f>
        <v>82.826999999999998</v>
      </c>
      <c r="AG1505">
        <f>'raw data Crude oil'!AG1506</f>
        <v>82.027000000000001</v>
      </c>
      <c r="AH1505">
        <f>'raw data Crude oil'!AH1506</f>
        <v>81.307000000000002</v>
      </c>
      <c r="AI1505">
        <f>'raw data Crude oil'!AI1506</f>
        <v>80.629000000000005</v>
      </c>
      <c r="AJ1505">
        <f>'raw data Crude oil'!AJ1506</f>
        <v>79.984999999999999</v>
      </c>
      <c r="AK1505">
        <f>'raw data Crude oil'!AK1506</f>
        <v>79.405000000000001</v>
      </c>
    </row>
    <row r="1506" spans="1:37" x14ac:dyDescent="0.3">
      <c r="A1506" s="18">
        <f>'raw data Crude oil'!A1507</f>
        <v>44861</v>
      </c>
      <c r="B1506">
        <f>'raw data Crude oil'!B1507</f>
        <v>96.96</v>
      </c>
      <c r="C1506">
        <f>'raw data Crude oil'!C1507</f>
        <v>95.04</v>
      </c>
      <c r="D1506">
        <f>'raw data Crude oil'!D1507</f>
        <v>93.25</v>
      </c>
      <c r="E1506">
        <f>'raw data Crude oil'!E1507</f>
        <v>91.67</v>
      </c>
      <c r="F1506">
        <f>'raw data Crude oil'!F1507</f>
        <v>90.29</v>
      </c>
      <c r="G1506">
        <f>'raw data Crude oil'!G1507</f>
        <v>89.14</v>
      </c>
      <c r="H1506">
        <f>'raw data Crude oil'!H1507</f>
        <v>88.12</v>
      </c>
      <c r="I1506">
        <f>'raw data Crude oil'!I1507</f>
        <v>87.27</v>
      </c>
      <c r="J1506">
        <f>'raw data Crude oil'!J1507</f>
        <v>86.49</v>
      </c>
      <c r="K1506">
        <f>'raw data Crude oil'!K1507</f>
        <v>85.76</v>
      </c>
      <c r="L1506">
        <f>'raw data Crude oil'!L1507</f>
        <v>85.08</v>
      </c>
      <c r="M1506">
        <f>'raw data Crude oil'!M1507</f>
        <v>84.5</v>
      </c>
      <c r="N1506">
        <f>'raw data Crude oil'!N1507</f>
        <v>89.08</v>
      </c>
      <c r="O1506">
        <f>'raw data Crude oil'!O1507</f>
        <v>87.83</v>
      </c>
      <c r="P1506">
        <f>'raw data Crude oil'!P1507</f>
        <v>86.43</v>
      </c>
      <c r="Q1506">
        <f>'raw data Crude oil'!Q1507</f>
        <v>85.06</v>
      </c>
      <c r="R1506">
        <f>'raw data Crude oil'!R1507</f>
        <v>83.84</v>
      </c>
      <c r="S1506">
        <f>'raw data Crude oil'!S1507</f>
        <v>82.77</v>
      </c>
      <c r="T1506">
        <f>'raw data Crude oil'!T1507</f>
        <v>81.84</v>
      </c>
      <c r="U1506">
        <f>'raw data Crude oil'!U1507</f>
        <v>81</v>
      </c>
      <c r="V1506">
        <f>'raw data Crude oil'!V1507</f>
        <v>80.27</v>
      </c>
      <c r="W1506">
        <f>'raw data Crude oil'!W1507</f>
        <v>79.61</v>
      </c>
      <c r="X1506">
        <f>'raw data Crude oil'!X1507</f>
        <v>79.02</v>
      </c>
      <c r="Y1506">
        <f>'raw data Crude oil'!Y1507</f>
        <v>78.47</v>
      </c>
      <c r="Z1506">
        <f>'raw data Crude oil'!Z1507</f>
        <v>91.289000000000001</v>
      </c>
      <c r="AA1506">
        <f>'raw data Crude oil'!AA1507</f>
        <v>91.778999999999996</v>
      </c>
      <c r="AB1506">
        <f>'raw data Crude oil'!AB1507</f>
        <v>89.29</v>
      </c>
      <c r="AC1506">
        <f>'raw data Crude oil'!AC1507</f>
        <v>87.233999999999995</v>
      </c>
      <c r="AD1506">
        <f>'raw data Crude oil'!AD1507</f>
        <v>85.763000000000005</v>
      </c>
      <c r="AE1506">
        <f>'raw data Crude oil'!AE1507</f>
        <v>84.596000000000004</v>
      </c>
      <c r="AF1506">
        <f>'raw data Crude oil'!AF1507</f>
        <v>83.614999999999995</v>
      </c>
      <c r="AG1506">
        <f>'raw data Crude oil'!AG1507</f>
        <v>82.816000000000003</v>
      </c>
      <c r="AH1506">
        <f>'raw data Crude oil'!AH1507</f>
        <v>82.076999999999998</v>
      </c>
      <c r="AI1506">
        <f>'raw data Crude oil'!AI1507</f>
        <v>81.378</v>
      </c>
      <c r="AJ1506">
        <f>'raw data Crude oil'!AJ1507</f>
        <v>80.724999999999994</v>
      </c>
      <c r="AK1506">
        <f>'raw data Crude oil'!AK1507</f>
        <v>80.144999999999996</v>
      </c>
    </row>
    <row r="1507" spans="1:37" x14ac:dyDescent="0.3">
      <c r="A1507" s="18">
        <f>'raw data Crude oil'!A1508</f>
        <v>44862</v>
      </c>
      <c r="B1507">
        <f>'raw data Crude oil'!B1508</f>
        <v>95.77</v>
      </c>
      <c r="C1507">
        <f>'raw data Crude oil'!C1508</f>
        <v>93.77</v>
      </c>
      <c r="D1507">
        <f>'raw data Crude oil'!D1508</f>
        <v>91.86</v>
      </c>
      <c r="E1507">
        <f>'raw data Crude oil'!E1508</f>
        <v>90.24</v>
      </c>
      <c r="F1507">
        <f>'raw data Crude oil'!F1508</f>
        <v>88.85</v>
      </c>
      <c r="G1507">
        <f>'raw data Crude oil'!G1508</f>
        <v>87.71</v>
      </c>
      <c r="H1507">
        <f>'raw data Crude oil'!H1508</f>
        <v>86.7</v>
      </c>
      <c r="I1507">
        <f>'raw data Crude oil'!I1508</f>
        <v>85.88</v>
      </c>
      <c r="J1507">
        <f>'raw data Crude oil'!J1508</f>
        <v>85.14</v>
      </c>
      <c r="K1507">
        <f>'raw data Crude oil'!K1508</f>
        <v>84.43</v>
      </c>
      <c r="L1507">
        <f>'raw data Crude oil'!L1508</f>
        <v>83.81</v>
      </c>
      <c r="M1507">
        <f>'raw data Crude oil'!M1508</f>
        <v>83.27</v>
      </c>
      <c r="N1507">
        <f>'raw data Crude oil'!N1508</f>
        <v>87.9</v>
      </c>
      <c r="O1507">
        <f>'raw data Crude oil'!O1508</f>
        <v>86.61</v>
      </c>
      <c r="P1507">
        <f>'raw data Crude oil'!P1508</f>
        <v>85.17</v>
      </c>
      <c r="Q1507">
        <f>'raw data Crude oil'!Q1508</f>
        <v>83.83</v>
      </c>
      <c r="R1507">
        <f>'raw data Crude oil'!R1508</f>
        <v>82.62</v>
      </c>
      <c r="S1507">
        <f>'raw data Crude oil'!S1508</f>
        <v>81.569999999999993</v>
      </c>
      <c r="T1507">
        <f>'raw data Crude oil'!T1508</f>
        <v>80.66</v>
      </c>
      <c r="U1507">
        <f>'raw data Crude oil'!U1508</f>
        <v>79.849999999999994</v>
      </c>
      <c r="V1507">
        <f>'raw data Crude oil'!V1508</f>
        <v>79.14</v>
      </c>
      <c r="W1507">
        <f>'raw data Crude oil'!W1508</f>
        <v>78.489999999999995</v>
      </c>
      <c r="X1507">
        <f>'raw data Crude oil'!X1508</f>
        <v>77.900000000000006</v>
      </c>
      <c r="Y1507">
        <f>'raw data Crude oil'!Y1508</f>
        <v>77.37</v>
      </c>
      <c r="Z1507">
        <f>'raw data Crude oil'!Z1508</f>
        <v>91.203999999999994</v>
      </c>
      <c r="AA1507">
        <f>'raw data Crude oil'!AA1508</f>
        <v>90.373000000000005</v>
      </c>
      <c r="AB1507">
        <f>'raw data Crude oil'!AB1508</f>
        <v>87.796000000000006</v>
      </c>
      <c r="AC1507">
        <f>'raw data Crude oil'!AC1508</f>
        <v>85.763999999999996</v>
      </c>
      <c r="AD1507">
        <f>'raw data Crude oil'!AD1508</f>
        <v>84.302999999999997</v>
      </c>
      <c r="AE1507">
        <f>'raw data Crude oil'!AE1508</f>
        <v>83.135999999999996</v>
      </c>
      <c r="AF1507">
        <f>'raw data Crude oil'!AF1508</f>
        <v>82.126999999999995</v>
      </c>
      <c r="AG1507">
        <f>'raw data Crude oil'!AG1508</f>
        <v>81.317999999999998</v>
      </c>
      <c r="AH1507">
        <f>'raw data Crude oil'!AH1508</f>
        <v>80.608000000000004</v>
      </c>
      <c r="AI1507">
        <f>'raw data Crude oil'!AI1508</f>
        <v>80</v>
      </c>
      <c r="AJ1507">
        <f>'raw data Crude oil'!AJ1508</f>
        <v>79.356999999999999</v>
      </c>
      <c r="AK1507">
        <f>'raw data Crude oil'!AK1508</f>
        <v>78.807000000000002</v>
      </c>
    </row>
    <row r="1508" spans="1:37" x14ac:dyDescent="0.3">
      <c r="A1508" s="18">
        <f>'raw data Crude oil'!A1509</f>
        <v>44865</v>
      </c>
      <c r="B1508">
        <f>'raw data Crude oil'!B1509</f>
        <v>94.83</v>
      </c>
      <c r="C1508">
        <f>'raw data Crude oil'!C1509</f>
        <v>92.81</v>
      </c>
      <c r="D1508">
        <f>'raw data Crude oil'!D1509</f>
        <v>91.02</v>
      </c>
      <c r="E1508">
        <f>'raw data Crude oil'!E1509</f>
        <v>89.47</v>
      </c>
      <c r="F1508">
        <f>'raw data Crude oil'!F1509</f>
        <v>88.13</v>
      </c>
      <c r="G1508">
        <f>'raw data Crude oil'!G1509</f>
        <v>87.03</v>
      </c>
      <c r="H1508">
        <f>'raw data Crude oil'!H1509</f>
        <v>86.05</v>
      </c>
      <c r="I1508">
        <f>'raw data Crude oil'!I1509</f>
        <v>85.25</v>
      </c>
      <c r="J1508">
        <f>'raw data Crude oil'!J1509</f>
        <v>84.52</v>
      </c>
      <c r="K1508">
        <f>'raw data Crude oil'!K1509</f>
        <v>83.85</v>
      </c>
      <c r="L1508">
        <f>'raw data Crude oil'!L1509</f>
        <v>83.26</v>
      </c>
      <c r="M1508">
        <f>'raw data Crude oil'!M1509</f>
        <v>82.76</v>
      </c>
      <c r="N1508">
        <f>'raw data Crude oil'!N1509</f>
        <v>86.53</v>
      </c>
      <c r="O1508">
        <f>'raw data Crude oil'!O1509</f>
        <v>85.4</v>
      </c>
      <c r="P1508">
        <f>'raw data Crude oil'!P1509</f>
        <v>84.1</v>
      </c>
      <c r="Q1508">
        <f>'raw data Crude oil'!Q1509</f>
        <v>82.88</v>
      </c>
      <c r="R1508">
        <f>'raw data Crude oil'!R1509</f>
        <v>81.78</v>
      </c>
      <c r="S1508">
        <f>'raw data Crude oil'!S1509</f>
        <v>80.83</v>
      </c>
      <c r="T1508">
        <f>'raw data Crude oil'!T1509</f>
        <v>80</v>
      </c>
      <c r="U1508">
        <f>'raw data Crude oil'!U1509</f>
        <v>79.25</v>
      </c>
      <c r="V1508">
        <f>'raw data Crude oil'!V1509</f>
        <v>78.569999999999993</v>
      </c>
      <c r="W1508">
        <f>'raw data Crude oil'!W1509</f>
        <v>77.95</v>
      </c>
      <c r="X1508">
        <f>'raw data Crude oil'!X1509</f>
        <v>77.400000000000006</v>
      </c>
      <c r="Y1508">
        <f>'raw data Crude oil'!Y1509</f>
        <v>76.900000000000006</v>
      </c>
      <c r="Z1508">
        <f>'raw data Crude oil'!Z1509</f>
        <v>91.13</v>
      </c>
      <c r="AA1508">
        <f>'raw data Crude oil'!AA1509</f>
        <v>89.739000000000004</v>
      </c>
      <c r="AB1508">
        <f>'raw data Crude oil'!AB1509</f>
        <v>87.122</v>
      </c>
      <c r="AC1508">
        <f>'raw data Crude oil'!AC1509</f>
        <v>85.063999999999993</v>
      </c>
      <c r="AD1508">
        <f>'raw data Crude oil'!AD1509</f>
        <v>83.605000000000004</v>
      </c>
      <c r="AE1508">
        <f>'raw data Crude oil'!AE1509</f>
        <v>82.466999999999999</v>
      </c>
      <c r="AF1508">
        <f>'raw data Crude oil'!AF1509</f>
        <v>81.518000000000001</v>
      </c>
      <c r="AG1508">
        <f>'raw data Crude oil'!AG1509</f>
        <v>80.817999999999998</v>
      </c>
      <c r="AH1508">
        <f>'raw data Crude oil'!AH1509</f>
        <v>80.099999999999994</v>
      </c>
      <c r="AI1508">
        <f>'raw data Crude oil'!AI1509</f>
        <v>79.462000000000003</v>
      </c>
      <c r="AJ1508">
        <f>'raw data Crude oil'!AJ1509</f>
        <v>78.878</v>
      </c>
      <c r="AK1508">
        <f>'raw data Crude oil'!AK1509</f>
        <v>78.367999999999995</v>
      </c>
    </row>
    <row r="1509" spans="1:37" x14ac:dyDescent="0.3">
      <c r="A1509" s="18">
        <f>'raw data Crude oil'!A1510</f>
        <v>44866</v>
      </c>
      <c r="B1509">
        <f>'raw data Crude oil'!B1510</f>
        <v>94.65</v>
      </c>
      <c r="C1509">
        <f>'raw data Crude oil'!C1510</f>
        <v>92.79</v>
      </c>
      <c r="D1509">
        <f>'raw data Crude oil'!D1510</f>
        <v>91.17</v>
      </c>
      <c r="E1509">
        <f>'raw data Crude oil'!E1510</f>
        <v>89.77</v>
      </c>
      <c r="F1509">
        <f>'raw data Crude oil'!F1510</f>
        <v>88.57</v>
      </c>
      <c r="G1509">
        <f>'raw data Crude oil'!G1510</f>
        <v>87.51</v>
      </c>
      <c r="H1509">
        <f>'raw data Crude oil'!H1510</f>
        <v>86.63</v>
      </c>
      <c r="I1509">
        <f>'raw data Crude oil'!I1510</f>
        <v>85.84</v>
      </c>
      <c r="J1509">
        <f>'raw data Crude oil'!J1510</f>
        <v>85.11</v>
      </c>
      <c r="K1509">
        <f>'raw data Crude oil'!K1510</f>
        <v>84.45</v>
      </c>
      <c r="L1509">
        <f>'raw data Crude oil'!L1510</f>
        <v>83.88</v>
      </c>
      <c r="M1509">
        <f>'raw data Crude oil'!M1510</f>
        <v>83.35</v>
      </c>
      <c r="N1509">
        <f>'raw data Crude oil'!N1510</f>
        <v>88.37</v>
      </c>
      <c r="O1509">
        <f>'raw data Crude oil'!O1510</f>
        <v>87.19</v>
      </c>
      <c r="P1509">
        <f>'raw data Crude oil'!P1510</f>
        <v>85.82</v>
      </c>
      <c r="Q1509">
        <f>'raw data Crude oil'!Q1510</f>
        <v>84.53</v>
      </c>
      <c r="R1509">
        <f>'raw data Crude oil'!R1510</f>
        <v>83.37</v>
      </c>
      <c r="S1509">
        <f>'raw data Crude oil'!S1510</f>
        <v>82.34</v>
      </c>
      <c r="T1509">
        <f>'raw data Crude oil'!T1510</f>
        <v>81.430000000000007</v>
      </c>
      <c r="U1509">
        <f>'raw data Crude oil'!U1510</f>
        <v>80.599999999999994</v>
      </c>
      <c r="V1509">
        <f>'raw data Crude oil'!V1510</f>
        <v>79.86</v>
      </c>
      <c r="W1509">
        <f>'raw data Crude oil'!W1510</f>
        <v>79.17</v>
      </c>
      <c r="X1509">
        <f>'raw data Crude oil'!X1510</f>
        <v>78.56</v>
      </c>
      <c r="Y1509">
        <f>'raw data Crude oil'!Y1510</f>
        <v>78.010000000000005</v>
      </c>
      <c r="Z1509">
        <f>'raw data Crude oil'!Z1510</f>
        <v>91.13</v>
      </c>
      <c r="AA1509">
        <f>'raw data Crude oil'!AA1510</f>
        <v>91.204999999999998</v>
      </c>
      <c r="AB1509">
        <f>'raw data Crude oil'!AB1510</f>
        <v>88.736000000000004</v>
      </c>
      <c r="AC1509">
        <f>'raw data Crude oil'!AC1510</f>
        <v>86.712999999999994</v>
      </c>
      <c r="AD1509">
        <f>'raw data Crude oil'!AD1510</f>
        <v>85.2</v>
      </c>
      <c r="AE1509">
        <f>'raw data Crude oil'!AE1510</f>
        <v>84.009</v>
      </c>
      <c r="AF1509">
        <f>'raw data Crude oil'!AF1510</f>
        <v>82.933999999999997</v>
      </c>
      <c r="AG1509">
        <f>'raw data Crude oil'!AG1510</f>
        <v>82.085999999999999</v>
      </c>
      <c r="AH1509">
        <f>'raw data Crude oil'!AH1510</f>
        <v>81.326999999999998</v>
      </c>
      <c r="AI1509">
        <f>'raw data Crude oil'!AI1510</f>
        <v>80.649000000000001</v>
      </c>
      <c r="AJ1509">
        <f>'raw data Crude oil'!AJ1510</f>
        <v>80.004999999999995</v>
      </c>
      <c r="AK1509">
        <f>'raw data Crude oil'!AK1510</f>
        <v>79.415000000000006</v>
      </c>
    </row>
    <row r="1510" spans="1:37" x14ac:dyDescent="0.3">
      <c r="A1510" s="18">
        <f>'raw data Crude oil'!A1511</f>
        <v>44867</v>
      </c>
      <c r="B1510">
        <f>'raw data Crude oil'!B1511</f>
        <v>96.16</v>
      </c>
      <c r="C1510">
        <f>'raw data Crude oil'!C1511</f>
        <v>94.42</v>
      </c>
      <c r="D1510">
        <f>'raw data Crude oil'!D1511</f>
        <v>92.85</v>
      </c>
      <c r="E1510">
        <f>'raw data Crude oil'!E1511</f>
        <v>91.48</v>
      </c>
      <c r="F1510">
        <f>'raw data Crude oil'!F1511</f>
        <v>90.3</v>
      </c>
      <c r="G1510">
        <f>'raw data Crude oil'!G1511</f>
        <v>89.24</v>
      </c>
      <c r="H1510">
        <f>'raw data Crude oil'!H1511</f>
        <v>88.36</v>
      </c>
      <c r="I1510">
        <f>'raw data Crude oil'!I1511</f>
        <v>87.56</v>
      </c>
      <c r="J1510">
        <f>'raw data Crude oil'!J1511</f>
        <v>86.82</v>
      </c>
      <c r="K1510">
        <f>'raw data Crude oil'!K1511</f>
        <v>86.15</v>
      </c>
      <c r="L1510">
        <f>'raw data Crude oil'!L1511</f>
        <v>85.56</v>
      </c>
      <c r="M1510">
        <f>'raw data Crude oil'!M1511</f>
        <v>85.03</v>
      </c>
      <c r="N1510">
        <f>'raw data Crude oil'!N1511</f>
        <v>90</v>
      </c>
      <c r="O1510">
        <f>'raw data Crude oil'!O1511</f>
        <v>88.86</v>
      </c>
      <c r="P1510">
        <f>'raw data Crude oil'!P1511</f>
        <v>87.53</v>
      </c>
      <c r="Q1510">
        <f>'raw data Crude oil'!Q1511</f>
        <v>86.27</v>
      </c>
      <c r="R1510">
        <f>'raw data Crude oil'!R1511</f>
        <v>85.13</v>
      </c>
      <c r="S1510">
        <f>'raw data Crude oil'!S1511</f>
        <v>84.11</v>
      </c>
      <c r="T1510">
        <f>'raw data Crude oil'!T1511</f>
        <v>83.19</v>
      </c>
      <c r="U1510">
        <f>'raw data Crude oil'!U1511</f>
        <v>82.36</v>
      </c>
      <c r="V1510">
        <f>'raw data Crude oil'!V1511</f>
        <v>81.61</v>
      </c>
      <c r="W1510">
        <f>'raw data Crude oil'!W1511</f>
        <v>80.94</v>
      </c>
      <c r="X1510">
        <f>'raw data Crude oil'!X1511</f>
        <v>80.319999999999993</v>
      </c>
      <c r="Y1510">
        <f>'raw data Crude oil'!Y1511</f>
        <v>79.760000000000005</v>
      </c>
      <c r="Z1510">
        <f>'raw data Crude oil'!Z1511</f>
        <v>91.552000000000007</v>
      </c>
      <c r="AA1510">
        <f>'raw data Crude oil'!AA1511</f>
        <v>89.34</v>
      </c>
      <c r="AB1510">
        <f>'raw data Crude oil'!AB1511</f>
        <v>87.584999999999994</v>
      </c>
      <c r="AC1510">
        <f>'raw data Crude oil'!AC1511</f>
        <v>86.301000000000002</v>
      </c>
      <c r="AD1510">
        <f>'raw data Crude oil'!AD1511</f>
        <v>85.254000000000005</v>
      </c>
      <c r="AE1510">
        <f>'raw data Crude oil'!AE1511</f>
        <v>84.304000000000002</v>
      </c>
      <c r="AF1510">
        <f>'raw data Crude oil'!AF1511</f>
        <v>83.465000000000003</v>
      </c>
      <c r="AG1510">
        <f>'raw data Crude oil'!AG1511</f>
        <v>82.656000000000006</v>
      </c>
      <c r="AH1510">
        <f>'raw data Crude oil'!AH1511</f>
        <v>82.028000000000006</v>
      </c>
      <c r="AI1510">
        <f>'raw data Crude oil'!AI1511</f>
        <v>81.394000000000005</v>
      </c>
      <c r="AJ1510">
        <f>'raw data Crude oil'!AJ1511</f>
        <v>80.855000000000004</v>
      </c>
      <c r="AK1510">
        <f>'raw data Crude oil'!AK1511</f>
        <v>80.355000000000004</v>
      </c>
    </row>
    <row r="1511" spans="1:37" x14ac:dyDescent="0.3">
      <c r="A1511" s="18">
        <f>'raw data Crude oil'!A1512</f>
        <v>44868</v>
      </c>
      <c r="B1511">
        <f>'raw data Crude oil'!B1512</f>
        <v>94.67</v>
      </c>
      <c r="C1511">
        <f>'raw data Crude oil'!C1512</f>
        <v>93.07</v>
      </c>
      <c r="D1511">
        <f>'raw data Crude oil'!D1512</f>
        <v>91.56</v>
      </c>
      <c r="E1511">
        <f>'raw data Crude oil'!E1512</f>
        <v>90.24</v>
      </c>
      <c r="F1511">
        <f>'raw data Crude oil'!F1512</f>
        <v>89.1</v>
      </c>
      <c r="G1511">
        <f>'raw data Crude oil'!G1512</f>
        <v>88.07</v>
      </c>
      <c r="H1511">
        <f>'raw data Crude oil'!H1512</f>
        <v>87.2</v>
      </c>
      <c r="I1511">
        <f>'raw data Crude oil'!I1512</f>
        <v>86.41</v>
      </c>
      <c r="J1511">
        <f>'raw data Crude oil'!J1512</f>
        <v>85.68</v>
      </c>
      <c r="K1511">
        <f>'raw data Crude oil'!K1512</f>
        <v>85.01</v>
      </c>
      <c r="L1511">
        <f>'raw data Crude oil'!L1512</f>
        <v>84.44</v>
      </c>
      <c r="M1511">
        <f>'raw data Crude oil'!M1512</f>
        <v>83.91</v>
      </c>
      <c r="N1511">
        <f>'raw data Crude oil'!N1512</f>
        <v>88.17</v>
      </c>
      <c r="O1511">
        <f>'raw data Crude oil'!O1512</f>
        <v>87.18</v>
      </c>
      <c r="P1511">
        <f>'raw data Crude oil'!P1512</f>
        <v>86.02</v>
      </c>
      <c r="Q1511">
        <f>'raw data Crude oil'!Q1512</f>
        <v>84.87</v>
      </c>
      <c r="R1511">
        <f>'raw data Crude oil'!R1512</f>
        <v>83.84</v>
      </c>
      <c r="S1511">
        <f>'raw data Crude oil'!S1512</f>
        <v>82.91</v>
      </c>
      <c r="T1511">
        <f>'raw data Crude oil'!T1512</f>
        <v>82.05</v>
      </c>
      <c r="U1511">
        <f>'raw data Crude oil'!U1512</f>
        <v>81.25</v>
      </c>
      <c r="V1511">
        <f>'raw data Crude oil'!V1512</f>
        <v>80.52</v>
      </c>
      <c r="W1511">
        <f>'raw data Crude oil'!W1512</f>
        <v>79.84</v>
      </c>
      <c r="X1511">
        <f>'raw data Crude oil'!X1512</f>
        <v>79.25</v>
      </c>
      <c r="Y1511">
        <f>'raw data Crude oil'!Y1512</f>
        <v>78.7</v>
      </c>
      <c r="Z1511">
        <f>'raw data Crude oil'!Z1512</f>
        <v>90.655000000000001</v>
      </c>
      <c r="AA1511">
        <f>'raw data Crude oil'!AA1512</f>
        <v>88.445999999999998</v>
      </c>
      <c r="AB1511">
        <f>'raw data Crude oil'!AB1512</f>
        <v>86.634</v>
      </c>
      <c r="AC1511">
        <f>'raw data Crude oil'!AC1512</f>
        <v>85.387</v>
      </c>
      <c r="AD1511">
        <f>'raw data Crude oil'!AD1512</f>
        <v>84.344999999999999</v>
      </c>
      <c r="AE1511">
        <f>'raw data Crude oil'!AE1512</f>
        <v>83.353999999999999</v>
      </c>
      <c r="AF1511">
        <f>'raw data Crude oil'!AF1512</f>
        <v>82.596000000000004</v>
      </c>
      <c r="AG1511">
        <f>'raw data Crude oil'!AG1512</f>
        <v>81.837000000000003</v>
      </c>
      <c r="AH1511">
        <f>'raw data Crude oil'!AH1512</f>
        <v>81.117999999999995</v>
      </c>
      <c r="AI1511">
        <f>'raw data Crude oil'!AI1512</f>
        <v>80.504999999999995</v>
      </c>
      <c r="AJ1511">
        <f>'raw data Crude oil'!AJ1512</f>
        <v>80.015000000000001</v>
      </c>
      <c r="AK1511">
        <f>'raw data Crude oil'!AK1512</f>
        <v>79.515000000000001</v>
      </c>
    </row>
    <row r="1512" spans="1:37" x14ac:dyDescent="0.3">
      <c r="A1512" s="18">
        <f>'raw data Crude oil'!A1513</f>
        <v>44869</v>
      </c>
      <c r="B1512">
        <f>'raw data Crude oil'!B1513</f>
        <v>98.57</v>
      </c>
      <c r="C1512">
        <f>'raw data Crude oil'!C1513</f>
        <v>96.9</v>
      </c>
      <c r="D1512">
        <f>'raw data Crude oil'!D1513</f>
        <v>95.33</v>
      </c>
      <c r="E1512">
        <f>'raw data Crude oil'!E1513</f>
        <v>93.9</v>
      </c>
      <c r="F1512">
        <f>'raw data Crude oil'!F1513</f>
        <v>92.65</v>
      </c>
      <c r="G1512">
        <f>'raw data Crude oil'!G1513</f>
        <v>91.53</v>
      </c>
      <c r="H1512">
        <f>'raw data Crude oil'!H1513</f>
        <v>90.55</v>
      </c>
      <c r="I1512">
        <f>'raw data Crude oil'!I1513</f>
        <v>89.65</v>
      </c>
      <c r="J1512">
        <f>'raw data Crude oil'!J1513</f>
        <v>88.8</v>
      </c>
      <c r="K1512">
        <f>'raw data Crude oil'!K1513</f>
        <v>88.03</v>
      </c>
      <c r="L1512">
        <f>'raw data Crude oil'!L1513</f>
        <v>87.35</v>
      </c>
      <c r="M1512">
        <f>'raw data Crude oil'!M1513</f>
        <v>86.73</v>
      </c>
      <c r="N1512">
        <f>'raw data Crude oil'!N1513</f>
        <v>92.61</v>
      </c>
      <c r="O1512">
        <f>'raw data Crude oil'!O1513</f>
        <v>91.45</v>
      </c>
      <c r="P1512">
        <f>'raw data Crude oil'!P1513</f>
        <v>90.12</v>
      </c>
      <c r="Q1512">
        <f>'raw data Crude oil'!Q1513</f>
        <v>88.83</v>
      </c>
      <c r="R1512">
        <f>'raw data Crude oil'!R1513</f>
        <v>87.65</v>
      </c>
      <c r="S1512">
        <f>'raw data Crude oil'!S1513</f>
        <v>86.54</v>
      </c>
      <c r="T1512">
        <f>'raw data Crude oil'!T1513</f>
        <v>85.5</v>
      </c>
      <c r="U1512">
        <f>'raw data Crude oil'!U1513</f>
        <v>84.55</v>
      </c>
      <c r="V1512">
        <f>'raw data Crude oil'!V1513</f>
        <v>83.65</v>
      </c>
      <c r="W1512">
        <f>'raw data Crude oil'!W1513</f>
        <v>82.85</v>
      </c>
      <c r="X1512">
        <f>'raw data Crude oil'!X1513</f>
        <v>82.1</v>
      </c>
      <c r="Y1512">
        <f>'raw data Crude oil'!Y1513</f>
        <v>81.430000000000007</v>
      </c>
      <c r="Z1512">
        <f>'raw data Crude oil'!Z1513</f>
        <v>93.587999999999994</v>
      </c>
      <c r="AA1512">
        <f>'raw data Crude oil'!AA1513</f>
        <v>92.04</v>
      </c>
      <c r="AB1512">
        <f>'raw data Crude oil'!AB1513</f>
        <v>90.200999999999993</v>
      </c>
      <c r="AC1512">
        <f>'raw data Crude oil'!AC1513</f>
        <v>88.817999999999998</v>
      </c>
      <c r="AD1512">
        <f>'raw data Crude oil'!AD1513</f>
        <v>87.691000000000003</v>
      </c>
      <c r="AE1512">
        <f>'raw data Crude oil'!AE1513</f>
        <v>86.668000000000006</v>
      </c>
      <c r="AF1512">
        <f>'raw data Crude oil'!AF1513</f>
        <v>85.771000000000001</v>
      </c>
      <c r="AG1512">
        <f>'raw data Crude oil'!AG1513</f>
        <v>84.950999999999993</v>
      </c>
      <c r="AH1512">
        <f>'raw data Crude oil'!AH1513</f>
        <v>84.143000000000001</v>
      </c>
      <c r="AI1512">
        <f>'raw data Crude oil'!AI1513</f>
        <v>83.4</v>
      </c>
      <c r="AJ1512">
        <f>'raw data Crude oil'!AJ1513</f>
        <v>82.73</v>
      </c>
      <c r="AK1512">
        <f>'raw data Crude oil'!AK1513</f>
        <v>82.150999999999996</v>
      </c>
    </row>
    <row r="1513" spans="1:37" x14ac:dyDescent="0.3">
      <c r="A1513" s="18">
        <f>'raw data Crude oil'!A1514</f>
        <v>44872</v>
      </c>
      <c r="B1513">
        <f>'raw data Crude oil'!B1514</f>
        <v>97.92</v>
      </c>
      <c r="C1513">
        <f>'raw data Crude oil'!C1514</f>
        <v>96.36</v>
      </c>
      <c r="D1513">
        <f>'raw data Crude oil'!D1514</f>
        <v>94.88</v>
      </c>
      <c r="E1513">
        <f>'raw data Crude oil'!E1514</f>
        <v>93.53</v>
      </c>
      <c r="F1513">
        <f>'raw data Crude oil'!F1514</f>
        <v>92.33</v>
      </c>
      <c r="G1513">
        <f>'raw data Crude oil'!G1514</f>
        <v>91.22</v>
      </c>
      <c r="H1513">
        <f>'raw data Crude oil'!H1514</f>
        <v>90.25</v>
      </c>
      <c r="I1513">
        <f>'raw data Crude oil'!I1514</f>
        <v>89.36</v>
      </c>
      <c r="J1513">
        <f>'raw data Crude oil'!J1514</f>
        <v>88.53</v>
      </c>
      <c r="K1513">
        <f>'raw data Crude oil'!K1514</f>
        <v>87.76</v>
      </c>
      <c r="L1513">
        <f>'raw data Crude oil'!L1514</f>
        <v>87.08</v>
      </c>
      <c r="M1513">
        <f>'raw data Crude oil'!M1514</f>
        <v>86.46</v>
      </c>
      <c r="N1513">
        <f>'raw data Crude oil'!N1514</f>
        <v>91.79</v>
      </c>
      <c r="O1513">
        <f>'raw data Crude oil'!O1514</f>
        <v>90.73</v>
      </c>
      <c r="P1513">
        <f>'raw data Crude oil'!P1514</f>
        <v>89.54</v>
      </c>
      <c r="Q1513">
        <f>'raw data Crude oil'!Q1514</f>
        <v>88.38</v>
      </c>
      <c r="R1513">
        <f>'raw data Crude oil'!R1514</f>
        <v>87.29</v>
      </c>
      <c r="S1513">
        <f>'raw data Crude oil'!S1514</f>
        <v>86.26</v>
      </c>
      <c r="T1513">
        <f>'raw data Crude oil'!T1514</f>
        <v>85.28</v>
      </c>
      <c r="U1513">
        <f>'raw data Crude oil'!U1514</f>
        <v>84.35</v>
      </c>
      <c r="V1513">
        <f>'raw data Crude oil'!V1514</f>
        <v>83.48</v>
      </c>
      <c r="W1513">
        <f>'raw data Crude oil'!W1514</f>
        <v>82.66</v>
      </c>
      <c r="X1513">
        <f>'raw data Crude oil'!X1514</f>
        <v>81.92</v>
      </c>
      <c r="Y1513">
        <f>'raw data Crude oil'!Y1514</f>
        <v>81.260000000000005</v>
      </c>
      <c r="Z1513">
        <f>'raw data Crude oil'!Z1514</f>
        <v>92.349000000000004</v>
      </c>
      <c r="AA1513">
        <f>'raw data Crude oil'!AA1514</f>
        <v>90.459000000000003</v>
      </c>
      <c r="AB1513">
        <f>'raw data Crude oil'!AB1514</f>
        <v>88.825999999999993</v>
      </c>
      <c r="AC1513">
        <f>'raw data Crude oil'!AC1514</f>
        <v>87.67</v>
      </c>
      <c r="AD1513">
        <f>'raw data Crude oil'!AD1514</f>
        <v>86.712000000000003</v>
      </c>
      <c r="AE1513">
        <f>'raw data Crude oil'!AE1514</f>
        <v>85.789000000000001</v>
      </c>
      <c r="AF1513">
        <f>'raw data Crude oil'!AF1514</f>
        <v>84.971000000000004</v>
      </c>
      <c r="AG1513">
        <f>'raw data Crude oil'!AG1514</f>
        <v>84.221999999999994</v>
      </c>
      <c r="AH1513">
        <f>'raw data Crude oil'!AH1514</f>
        <v>83.522999999999996</v>
      </c>
      <c r="AI1513">
        <f>'raw data Crude oil'!AI1514</f>
        <v>82.85</v>
      </c>
      <c r="AJ1513">
        <f>'raw data Crude oil'!AJ1514</f>
        <v>82.22</v>
      </c>
      <c r="AK1513">
        <f>'raw data Crude oil'!AK1514</f>
        <v>81.650999999999996</v>
      </c>
    </row>
    <row r="1514" spans="1:37" x14ac:dyDescent="0.3">
      <c r="A1514" s="18">
        <f>'raw data Crude oil'!A1515</f>
        <v>44873</v>
      </c>
      <c r="B1514">
        <f>'raw data Crude oil'!B1515</f>
        <v>95.36</v>
      </c>
      <c r="C1514">
        <f>'raw data Crude oil'!C1515</f>
        <v>93.98</v>
      </c>
      <c r="D1514">
        <f>'raw data Crude oil'!D1515</f>
        <v>92.64</v>
      </c>
      <c r="E1514">
        <f>'raw data Crude oil'!E1515</f>
        <v>91.41</v>
      </c>
      <c r="F1514">
        <f>'raw data Crude oil'!F1515</f>
        <v>90.3</v>
      </c>
      <c r="G1514">
        <f>'raw data Crude oil'!G1515</f>
        <v>89.28</v>
      </c>
      <c r="H1514">
        <f>'raw data Crude oil'!H1515</f>
        <v>88.39</v>
      </c>
      <c r="I1514">
        <f>'raw data Crude oil'!I1515</f>
        <v>87.57</v>
      </c>
      <c r="J1514">
        <f>'raw data Crude oil'!J1515</f>
        <v>86.79</v>
      </c>
      <c r="K1514">
        <f>'raw data Crude oil'!K1515</f>
        <v>86.06</v>
      </c>
      <c r="L1514">
        <f>'raw data Crude oil'!L1515</f>
        <v>85.43</v>
      </c>
      <c r="M1514">
        <f>'raw data Crude oil'!M1515</f>
        <v>84.84</v>
      </c>
      <c r="N1514">
        <f>'raw data Crude oil'!N1515</f>
        <v>88.91</v>
      </c>
      <c r="O1514">
        <f>'raw data Crude oil'!O1515</f>
        <v>88</v>
      </c>
      <c r="P1514">
        <f>'raw data Crude oil'!P1515</f>
        <v>86.95</v>
      </c>
      <c r="Q1514">
        <f>'raw data Crude oil'!Q1515</f>
        <v>85.91</v>
      </c>
      <c r="R1514">
        <f>'raw data Crude oil'!R1515</f>
        <v>84.93</v>
      </c>
      <c r="S1514">
        <f>'raw data Crude oil'!S1515</f>
        <v>84.01</v>
      </c>
      <c r="T1514">
        <f>'raw data Crude oil'!T1515</f>
        <v>83.13</v>
      </c>
      <c r="U1514">
        <f>'raw data Crude oil'!U1515</f>
        <v>82.31</v>
      </c>
      <c r="V1514">
        <f>'raw data Crude oil'!V1515</f>
        <v>81.52</v>
      </c>
      <c r="W1514">
        <f>'raw data Crude oil'!W1515</f>
        <v>80.790000000000006</v>
      </c>
      <c r="X1514">
        <f>'raw data Crude oil'!X1515</f>
        <v>80.12</v>
      </c>
      <c r="Y1514">
        <f>'raw data Crude oil'!Y1515</f>
        <v>79.510000000000005</v>
      </c>
      <c r="Z1514">
        <f>'raw data Crude oil'!Z1515</f>
        <v>90.677999999999997</v>
      </c>
      <c r="AA1514">
        <f>'raw data Crude oil'!AA1515</f>
        <v>88.182000000000002</v>
      </c>
      <c r="AB1514">
        <f>'raw data Crude oil'!AB1515</f>
        <v>86.611000000000004</v>
      </c>
      <c r="AC1514">
        <f>'raw data Crude oil'!AC1515</f>
        <v>85.54</v>
      </c>
      <c r="AD1514">
        <f>'raw data Crude oil'!AD1515</f>
        <v>84.665999999999997</v>
      </c>
      <c r="AE1514">
        <f>'raw data Crude oil'!AE1515</f>
        <v>83.903000000000006</v>
      </c>
      <c r="AF1514">
        <f>'raw data Crude oil'!AF1515</f>
        <v>83.134</v>
      </c>
      <c r="AG1514">
        <f>'raw data Crude oil'!AG1515</f>
        <v>82.415000000000006</v>
      </c>
      <c r="AH1514">
        <f>'raw data Crude oil'!AH1515</f>
        <v>81.754999999999995</v>
      </c>
      <c r="AI1514">
        <f>'raw data Crude oil'!AI1515</f>
        <v>81.063000000000002</v>
      </c>
      <c r="AJ1514">
        <f>'raw data Crude oil'!AJ1515</f>
        <v>80.481999999999999</v>
      </c>
      <c r="AK1514">
        <f>'raw data Crude oil'!AK1515</f>
        <v>79.962999999999994</v>
      </c>
    </row>
    <row r="1515" spans="1:37" x14ac:dyDescent="0.3">
      <c r="A1515" s="18">
        <f>'raw data Crude oil'!A1516</f>
        <v>44874</v>
      </c>
      <c r="B1515">
        <f>'raw data Crude oil'!B1516</f>
        <v>92.65</v>
      </c>
      <c r="C1515">
        <f>'raw data Crude oil'!C1516</f>
        <v>91.21</v>
      </c>
      <c r="D1515">
        <f>'raw data Crude oil'!D1516</f>
        <v>89.91</v>
      </c>
      <c r="E1515">
        <f>'raw data Crude oil'!E1516</f>
        <v>88.74</v>
      </c>
      <c r="F1515">
        <f>'raw data Crude oil'!F1516</f>
        <v>87.69</v>
      </c>
      <c r="G1515">
        <f>'raw data Crude oil'!G1516</f>
        <v>86.72</v>
      </c>
      <c r="H1515">
        <f>'raw data Crude oil'!H1516</f>
        <v>85.89</v>
      </c>
      <c r="I1515">
        <f>'raw data Crude oil'!I1516</f>
        <v>85.12</v>
      </c>
      <c r="J1515">
        <f>'raw data Crude oil'!J1516</f>
        <v>84.38</v>
      </c>
      <c r="K1515">
        <f>'raw data Crude oil'!K1516</f>
        <v>83.7</v>
      </c>
      <c r="L1515">
        <f>'raw data Crude oil'!L1516</f>
        <v>83.11</v>
      </c>
      <c r="M1515">
        <f>'raw data Crude oil'!M1516</f>
        <v>82.57</v>
      </c>
      <c r="N1515">
        <f>'raw data Crude oil'!N1516</f>
        <v>85.83</v>
      </c>
      <c r="O1515">
        <f>'raw data Crude oil'!O1516</f>
        <v>85</v>
      </c>
      <c r="P1515">
        <f>'raw data Crude oil'!P1516</f>
        <v>84</v>
      </c>
      <c r="Q1515">
        <f>'raw data Crude oil'!Q1516</f>
        <v>83.02</v>
      </c>
      <c r="R1515">
        <f>'raw data Crude oil'!R1516</f>
        <v>82.1</v>
      </c>
      <c r="S1515">
        <f>'raw data Crude oil'!S1516</f>
        <v>81.239999999999995</v>
      </c>
      <c r="T1515">
        <f>'raw data Crude oil'!T1516</f>
        <v>80.44</v>
      </c>
      <c r="U1515">
        <f>'raw data Crude oil'!U1516</f>
        <v>79.7</v>
      </c>
      <c r="V1515">
        <f>'raw data Crude oil'!V1516</f>
        <v>78.989999999999995</v>
      </c>
      <c r="W1515">
        <f>'raw data Crude oil'!W1516</f>
        <v>78.34</v>
      </c>
      <c r="X1515">
        <f>'raw data Crude oil'!X1516</f>
        <v>77.75</v>
      </c>
      <c r="Y1515">
        <f>'raw data Crude oil'!Y1516</f>
        <v>77.2</v>
      </c>
      <c r="Z1515">
        <f>'raw data Crude oil'!Z1516</f>
        <v>88.793999999999997</v>
      </c>
      <c r="AA1515">
        <f>'raw data Crude oil'!AA1516</f>
        <v>85.456000000000003</v>
      </c>
      <c r="AB1515">
        <f>'raw data Crude oil'!AB1516</f>
        <v>83.963999999999999</v>
      </c>
      <c r="AC1515">
        <f>'raw data Crude oil'!AC1516</f>
        <v>82.888000000000005</v>
      </c>
      <c r="AD1515">
        <f>'raw data Crude oil'!AD1516</f>
        <v>82.018000000000001</v>
      </c>
      <c r="AE1515">
        <f>'raw data Crude oil'!AE1516</f>
        <v>81.286000000000001</v>
      </c>
      <c r="AF1515">
        <f>'raw data Crude oil'!AF1516</f>
        <v>80.656999999999996</v>
      </c>
      <c r="AG1515">
        <f>'raw data Crude oil'!AG1516</f>
        <v>80.016000000000005</v>
      </c>
      <c r="AH1515">
        <f>'raw data Crude oil'!AH1516</f>
        <v>79.367999999999995</v>
      </c>
      <c r="AI1515">
        <f>'raw data Crude oil'!AI1516</f>
        <v>78.754000000000005</v>
      </c>
      <c r="AJ1515">
        <f>'raw data Crude oil'!AJ1516</f>
        <v>78.183999999999997</v>
      </c>
      <c r="AK1515">
        <f>'raw data Crude oil'!AK1516</f>
        <v>77.685000000000002</v>
      </c>
    </row>
    <row r="1516" spans="1:37" x14ac:dyDescent="0.3">
      <c r="A1516" s="18">
        <f>'raw data Crude oil'!A1517</f>
        <v>44875</v>
      </c>
      <c r="B1516">
        <f>'raw data Crude oil'!B1517</f>
        <v>93.67</v>
      </c>
      <c r="C1516">
        <f>'raw data Crude oil'!C1517</f>
        <v>92.09</v>
      </c>
      <c r="D1516">
        <f>'raw data Crude oil'!D1517</f>
        <v>90.71</v>
      </c>
      <c r="E1516">
        <f>'raw data Crude oil'!E1517</f>
        <v>89.46</v>
      </c>
      <c r="F1516">
        <f>'raw data Crude oil'!F1517</f>
        <v>88.34</v>
      </c>
      <c r="G1516">
        <f>'raw data Crude oil'!G1517</f>
        <v>87.31</v>
      </c>
      <c r="H1516">
        <f>'raw data Crude oil'!H1517</f>
        <v>86.41</v>
      </c>
      <c r="I1516">
        <f>'raw data Crude oil'!I1517</f>
        <v>85.59</v>
      </c>
      <c r="J1516">
        <f>'raw data Crude oil'!J1517</f>
        <v>84.81</v>
      </c>
      <c r="K1516">
        <f>'raw data Crude oil'!K1517</f>
        <v>84.08</v>
      </c>
      <c r="L1516">
        <f>'raw data Crude oil'!L1517</f>
        <v>83.43</v>
      </c>
      <c r="M1516">
        <f>'raw data Crude oil'!M1517</f>
        <v>82.83</v>
      </c>
      <c r="N1516">
        <f>'raw data Crude oil'!N1517</f>
        <v>86.47</v>
      </c>
      <c r="O1516">
        <f>'raw data Crude oil'!O1517</f>
        <v>85.66</v>
      </c>
      <c r="P1516">
        <f>'raw data Crude oil'!P1517</f>
        <v>84.69</v>
      </c>
      <c r="Q1516">
        <f>'raw data Crude oil'!Q1517</f>
        <v>83.7</v>
      </c>
      <c r="R1516">
        <f>'raw data Crude oil'!R1517</f>
        <v>82.75</v>
      </c>
      <c r="S1516">
        <f>'raw data Crude oil'!S1517</f>
        <v>81.86</v>
      </c>
      <c r="T1516">
        <f>'raw data Crude oil'!T1517</f>
        <v>81.02</v>
      </c>
      <c r="U1516">
        <f>'raw data Crude oil'!U1517</f>
        <v>80.23</v>
      </c>
      <c r="V1516">
        <f>'raw data Crude oil'!V1517</f>
        <v>79.48</v>
      </c>
      <c r="W1516">
        <f>'raw data Crude oil'!W1517</f>
        <v>78.78</v>
      </c>
      <c r="X1516">
        <f>'raw data Crude oil'!X1517</f>
        <v>78.150000000000006</v>
      </c>
      <c r="Y1516">
        <f>'raw data Crude oil'!Y1517</f>
        <v>77.56</v>
      </c>
      <c r="Z1516">
        <f>'raw data Crude oil'!Z1517</f>
        <v>89.480999999999995</v>
      </c>
      <c r="AA1516">
        <f>'raw data Crude oil'!AA1517</f>
        <v>86.619</v>
      </c>
      <c r="AB1516">
        <f>'raw data Crude oil'!AB1517</f>
        <v>85.04</v>
      </c>
      <c r="AC1516">
        <f>'raw data Crude oil'!AC1517</f>
        <v>83.843999999999994</v>
      </c>
      <c r="AD1516">
        <f>'raw data Crude oil'!AD1517</f>
        <v>82.844999999999999</v>
      </c>
      <c r="AE1516">
        <f>'raw data Crude oil'!AE1517</f>
        <v>82.022999999999996</v>
      </c>
      <c r="AF1516">
        <f>'raw data Crude oil'!AF1517</f>
        <v>81.343999999999994</v>
      </c>
      <c r="AG1516">
        <f>'raw data Crude oil'!AG1517</f>
        <v>80.575000000000003</v>
      </c>
      <c r="AH1516">
        <f>'raw data Crude oil'!AH1517</f>
        <v>79.984999999999999</v>
      </c>
      <c r="AI1516">
        <f>'raw data Crude oil'!AI1517</f>
        <v>79.331999999999994</v>
      </c>
      <c r="AJ1516">
        <f>'raw data Crude oil'!AJ1517</f>
        <v>78.700999999999993</v>
      </c>
      <c r="AK1516">
        <f>'raw data Crude oil'!AK1517</f>
        <v>78.102000000000004</v>
      </c>
    </row>
    <row r="1517" spans="1:37" x14ac:dyDescent="0.3">
      <c r="A1517" s="18">
        <f>'raw data Crude oil'!A1518</f>
        <v>44876</v>
      </c>
      <c r="B1517">
        <f>'raw data Crude oil'!B1518</f>
        <v>95.99</v>
      </c>
      <c r="C1517">
        <f>'raw data Crude oil'!C1518</f>
        <v>94.41</v>
      </c>
      <c r="D1517">
        <f>'raw data Crude oil'!D1518</f>
        <v>92.98</v>
      </c>
      <c r="E1517">
        <f>'raw data Crude oil'!E1518</f>
        <v>91.68</v>
      </c>
      <c r="F1517">
        <f>'raw data Crude oil'!F1518</f>
        <v>90.52</v>
      </c>
      <c r="G1517">
        <f>'raw data Crude oil'!G1518</f>
        <v>89.45</v>
      </c>
      <c r="H1517">
        <f>'raw data Crude oil'!H1518</f>
        <v>88.5</v>
      </c>
      <c r="I1517">
        <f>'raw data Crude oil'!I1518</f>
        <v>87.62</v>
      </c>
      <c r="J1517">
        <f>'raw data Crude oil'!J1518</f>
        <v>86.78</v>
      </c>
      <c r="K1517">
        <f>'raw data Crude oil'!K1518</f>
        <v>86</v>
      </c>
      <c r="L1517">
        <f>'raw data Crude oil'!L1518</f>
        <v>85.3</v>
      </c>
      <c r="M1517">
        <f>'raw data Crude oil'!M1518</f>
        <v>84.66</v>
      </c>
      <c r="N1517">
        <f>'raw data Crude oil'!N1518</f>
        <v>88.96</v>
      </c>
      <c r="O1517">
        <f>'raw data Crude oil'!O1518</f>
        <v>88.16</v>
      </c>
      <c r="P1517">
        <f>'raw data Crude oil'!P1518</f>
        <v>87.17</v>
      </c>
      <c r="Q1517">
        <f>'raw data Crude oil'!Q1518</f>
        <v>86.14</v>
      </c>
      <c r="R1517">
        <f>'raw data Crude oil'!R1518</f>
        <v>85.14</v>
      </c>
      <c r="S1517">
        <f>'raw data Crude oil'!S1518</f>
        <v>84.18</v>
      </c>
      <c r="T1517">
        <f>'raw data Crude oil'!T1518</f>
        <v>83.25</v>
      </c>
      <c r="U1517">
        <f>'raw data Crude oil'!U1518</f>
        <v>82.37</v>
      </c>
      <c r="V1517">
        <f>'raw data Crude oil'!V1518</f>
        <v>81.540000000000006</v>
      </c>
      <c r="W1517">
        <f>'raw data Crude oil'!W1518</f>
        <v>80.77</v>
      </c>
      <c r="X1517">
        <f>'raw data Crude oil'!X1518</f>
        <v>80.06</v>
      </c>
      <c r="Y1517">
        <f>'raw data Crude oil'!Y1518</f>
        <v>79.42</v>
      </c>
      <c r="Z1517">
        <f>'raw data Crude oil'!Z1518</f>
        <v>91.244</v>
      </c>
      <c r="AA1517">
        <f>'raw data Crude oil'!AA1518</f>
        <v>89.573999999999998</v>
      </c>
      <c r="AB1517">
        <f>'raw data Crude oil'!AB1518</f>
        <v>87.918000000000006</v>
      </c>
      <c r="AC1517">
        <f>'raw data Crude oil'!AC1518</f>
        <v>86.641999999999996</v>
      </c>
      <c r="AD1517">
        <f>'raw data Crude oil'!AD1518</f>
        <v>85.552999999999997</v>
      </c>
      <c r="AE1517">
        <f>'raw data Crude oil'!AE1518</f>
        <v>84.63</v>
      </c>
      <c r="AF1517">
        <f>'raw data Crude oil'!AF1518</f>
        <v>83.822000000000003</v>
      </c>
      <c r="AG1517">
        <f>'raw data Crude oil'!AG1518</f>
        <v>83.022000000000006</v>
      </c>
      <c r="AH1517">
        <f>'raw data Crude oil'!AH1518</f>
        <v>82.272999999999996</v>
      </c>
      <c r="AI1517">
        <f>'raw data Crude oil'!AI1518</f>
        <v>81.56</v>
      </c>
      <c r="AJ1517">
        <f>'raw data Crude oil'!AJ1518</f>
        <v>80.87</v>
      </c>
      <c r="AK1517">
        <f>'raw data Crude oil'!AK1518</f>
        <v>80.27</v>
      </c>
    </row>
    <row r="1518" spans="1:37" x14ac:dyDescent="0.3">
      <c r="A1518" s="18">
        <f>'raw data Crude oil'!A1519</f>
        <v>44879</v>
      </c>
      <c r="B1518">
        <f>'raw data Crude oil'!B1519</f>
        <v>93.14</v>
      </c>
      <c r="C1518">
        <f>'raw data Crude oil'!C1519</f>
        <v>91.82</v>
      </c>
      <c r="D1518">
        <f>'raw data Crude oil'!D1519</f>
        <v>90.6</v>
      </c>
      <c r="E1518">
        <f>'raw data Crude oil'!E1519</f>
        <v>89.47</v>
      </c>
      <c r="F1518">
        <f>'raw data Crude oil'!F1519</f>
        <v>88.47</v>
      </c>
      <c r="G1518">
        <f>'raw data Crude oil'!G1519</f>
        <v>87.53</v>
      </c>
      <c r="H1518">
        <f>'raw data Crude oil'!H1519</f>
        <v>86.72</v>
      </c>
      <c r="I1518">
        <f>'raw data Crude oil'!I1519</f>
        <v>85.95</v>
      </c>
      <c r="J1518">
        <f>'raw data Crude oil'!J1519</f>
        <v>85.2</v>
      </c>
      <c r="K1518">
        <f>'raw data Crude oil'!K1519</f>
        <v>84.51</v>
      </c>
      <c r="L1518">
        <f>'raw data Crude oil'!L1519</f>
        <v>83.9</v>
      </c>
      <c r="M1518">
        <f>'raw data Crude oil'!M1519</f>
        <v>83.34</v>
      </c>
      <c r="N1518">
        <f>'raw data Crude oil'!N1519</f>
        <v>85.87</v>
      </c>
      <c r="O1518">
        <f>'raw data Crude oil'!O1519</f>
        <v>85.16</v>
      </c>
      <c r="P1518">
        <f>'raw data Crude oil'!P1519</f>
        <v>84.36</v>
      </c>
      <c r="Q1518">
        <f>'raw data Crude oil'!Q1519</f>
        <v>83.52</v>
      </c>
      <c r="R1518">
        <f>'raw data Crude oil'!R1519</f>
        <v>82.68</v>
      </c>
      <c r="S1518">
        <f>'raw data Crude oil'!S1519</f>
        <v>81.87</v>
      </c>
      <c r="T1518">
        <f>'raw data Crude oil'!T1519</f>
        <v>81.11</v>
      </c>
      <c r="U1518">
        <f>'raw data Crude oil'!U1519</f>
        <v>80.39</v>
      </c>
      <c r="V1518">
        <f>'raw data Crude oil'!V1519</f>
        <v>79.709999999999994</v>
      </c>
      <c r="W1518">
        <f>'raw data Crude oil'!W1519</f>
        <v>79.069999999999993</v>
      </c>
      <c r="X1518">
        <f>'raw data Crude oil'!X1519</f>
        <v>78.47</v>
      </c>
      <c r="Y1518">
        <f>'raw data Crude oil'!Y1519</f>
        <v>77.92</v>
      </c>
      <c r="Z1518">
        <f>'raw data Crude oil'!Z1519</f>
        <v>89.284000000000006</v>
      </c>
      <c r="AA1518">
        <f>'raw data Crude oil'!AA1519</f>
        <v>86.203999999999994</v>
      </c>
      <c r="AB1518">
        <f>'raw data Crude oil'!AB1519</f>
        <v>84.840999999999994</v>
      </c>
      <c r="AC1518">
        <f>'raw data Crude oil'!AC1519</f>
        <v>83.915000000000006</v>
      </c>
      <c r="AD1518">
        <f>'raw data Crude oil'!AD1519</f>
        <v>83.103999999999999</v>
      </c>
      <c r="AE1518">
        <f>'raw data Crude oil'!AE1519</f>
        <v>82.337000000000003</v>
      </c>
      <c r="AF1518">
        <f>'raw data Crude oil'!AF1519</f>
        <v>81.733999999999995</v>
      </c>
      <c r="AG1518">
        <f>'raw data Crude oil'!AG1519</f>
        <v>81.102999999999994</v>
      </c>
      <c r="AH1518">
        <f>'raw data Crude oil'!AH1519</f>
        <v>80.516999999999996</v>
      </c>
      <c r="AI1518">
        <f>'raw data Crude oil'!AI1519</f>
        <v>79.972999999999999</v>
      </c>
      <c r="AJ1518">
        <f>'raw data Crude oil'!AJ1519</f>
        <v>79.403000000000006</v>
      </c>
      <c r="AK1518">
        <f>'raw data Crude oil'!AK1519</f>
        <v>78.873999999999995</v>
      </c>
    </row>
    <row r="1519" spans="1:37" x14ac:dyDescent="0.3">
      <c r="A1519" s="18">
        <f>'raw data Crude oil'!A1520</f>
        <v>44880</v>
      </c>
      <c r="B1519">
        <f>'raw data Crude oil'!B1520</f>
        <v>93.86</v>
      </c>
      <c r="C1519">
        <f>'raw data Crude oil'!C1520</f>
        <v>92.75</v>
      </c>
      <c r="D1519">
        <f>'raw data Crude oil'!D1520</f>
        <v>91.73</v>
      </c>
      <c r="E1519">
        <f>'raw data Crude oil'!E1520</f>
        <v>90.73</v>
      </c>
      <c r="F1519">
        <f>'raw data Crude oil'!F1520</f>
        <v>89.79</v>
      </c>
      <c r="G1519">
        <f>'raw data Crude oil'!G1520</f>
        <v>88.9</v>
      </c>
      <c r="H1519">
        <f>'raw data Crude oil'!H1520</f>
        <v>88.11</v>
      </c>
      <c r="I1519">
        <f>'raw data Crude oil'!I1520</f>
        <v>87.36</v>
      </c>
      <c r="J1519">
        <f>'raw data Crude oil'!J1520</f>
        <v>86.62</v>
      </c>
      <c r="K1519">
        <f>'raw data Crude oil'!K1520</f>
        <v>85.92</v>
      </c>
      <c r="L1519">
        <f>'raw data Crude oil'!L1520</f>
        <v>85.3</v>
      </c>
      <c r="M1519">
        <f>'raw data Crude oil'!M1520</f>
        <v>84.74</v>
      </c>
      <c r="N1519">
        <f>'raw data Crude oil'!N1520</f>
        <v>86.92</v>
      </c>
      <c r="O1519">
        <f>'raw data Crude oil'!O1520</f>
        <v>86.25</v>
      </c>
      <c r="P1519">
        <f>'raw data Crude oil'!P1520</f>
        <v>85.52</v>
      </c>
      <c r="Q1519">
        <f>'raw data Crude oil'!Q1520</f>
        <v>84.77</v>
      </c>
      <c r="R1519">
        <f>'raw data Crude oil'!R1520</f>
        <v>84.02</v>
      </c>
      <c r="S1519">
        <f>'raw data Crude oil'!S1520</f>
        <v>83.3</v>
      </c>
      <c r="T1519">
        <f>'raw data Crude oil'!T1520</f>
        <v>82.57</v>
      </c>
      <c r="U1519">
        <f>'raw data Crude oil'!U1520</f>
        <v>81.87</v>
      </c>
      <c r="V1519">
        <f>'raw data Crude oil'!V1520</f>
        <v>81.180000000000007</v>
      </c>
      <c r="W1519">
        <f>'raw data Crude oil'!W1520</f>
        <v>80.53</v>
      </c>
      <c r="X1519">
        <f>'raw data Crude oil'!X1520</f>
        <v>79.930000000000007</v>
      </c>
      <c r="Y1519">
        <f>'raw data Crude oil'!Y1520</f>
        <v>79.37</v>
      </c>
      <c r="Z1519">
        <f>'raw data Crude oil'!Z1520</f>
        <v>89.379000000000005</v>
      </c>
      <c r="AA1519">
        <f>'raw data Crude oil'!AA1520</f>
        <v>86.472999999999999</v>
      </c>
      <c r="AB1519">
        <f>'raw data Crude oil'!AB1520</f>
        <v>85.451999999999998</v>
      </c>
      <c r="AC1519">
        <f>'raw data Crude oil'!AC1520</f>
        <v>84.742999999999995</v>
      </c>
      <c r="AD1519">
        <f>'raw data Crude oil'!AD1520</f>
        <v>84.100999999999999</v>
      </c>
      <c r="AE1519">
        <f>'raw data Crude oil'!AE1520</f>
        <v>83.558000000000007</v>
      </c>
      <c r="AF1519">
        <f>'raw data Crude oil'!AF1520</f>
        <v>83.057000000000002</v>
      </c>
      <c r="AG1519">
        <f>'raw data Crude oil'!AG1520</f>
        <v>82.536000000000001</v>
      </c>
      <c r="AH1519">
        <f>'raw data Crude oil'!AH1520</f>
        <v>81.986999999999995</v>
      </c>
      <c r="AI1519">
        <f>'raw data Crude oil'!AI1520</f>
        <v>81.483000000000004</v>
      </c>
      <c r="AJ1519">
        <f>'raw data Crude oil'!AJ1520</f>
        <v>80.962999999999994</v>
      </c>
      <c r="AK1519">
        <f>'raw data Crude oil'!AK1520</f>
        <v>80.423000000000002</v>
      </c>
    </row>
    <row r="1520" spans="1:37" x14ac:dyDescent="0.3">
      <c r="A1520" s="18">
        <f>'raw data Crude oil'!A1521</f>
        <v>44881</v>
      </c>
      <c r="B1520">
        <f>'raw data Crude oil'!B1521</f>
        <v>92.86</v>
      </c>
      <c r="C1520">
        <f>'raw data Crude oil'!C1521</f>
        <v>91.65</v>
      </c>
      <c r="D1520">
        <f>'raw data Crude oil'!D1521</f>
        <v>90.57</v>
      </c>
      <c r="E1520">
        <f>'raw data Crude oil'!E1521</f>
        <v>89.53</v>
      </c>
      <c r="F1520">
        <f>'raw data Crude oil'!F1521</f>
        <v>88.56</v>
      </c>
      <c r="G1520">
        <f>'raw data Crude oil'!G1521</f>
        <v>87.64</v>
      </c>
      <c r="H1520">
        <f>'raw data Crude oil'!H1521</f>
        <v>86.83</v>
      </c>
      <c r="I1520">
        <f>'raw data Crude oil'!I1521</f>
        <v>86.05</v>
      </c>
      <c r="J1520">
        <f>'raw data Crude oil'!J1521</f>
        <v>85.29</v>
      </c>
      <c r="K1520">
        <f>'raw data Crude oil'!K1521</f>
        <v>84.58</v>
      </c>
      <c r="L1520">
        <f>'raw data Crude oil'!L1521</f>
        <v>83.95</v>
      </c>
      <c r="M1520">
        <f>'raw data Crude oil'!M1521</f>
        <v>83.38</v>
      </c>
      <c r="N1520">
        <f>'raw data Crude oil'!N1521</f>
        <v>85.59</v>
      </c>
      <c r="O1520">
        <f>'raw data Crude oil'!O1521</f>
        <v>85</v>
      </c>
      <c r="P1520">
        <f>'raw data Crude oil'!P1521</f>
        <v>84.26</v>
      </c>
      <c r="Q1520">
        <f>'raw data Crude oil'!Q1521</f>
        <v>83.52</v>
      </c>
      <c r="R1520">
        <f>'raw data Crude oil'!R1521</f>
        <v>82.77</v>
      </c>
      <c r="S1520">
        <f>'raw data Crude oil'!S1521</f>
        <v>82.04</v>
      </c>
      <c r="T1520">
        <f>'raw data Crude oil'!T1521</f>
        <v>81.31</v>
      </c>
      <c r="U1520">
        <f>'raw data Crude oil'!U1521</f>
        <v>80.599999999999994</v>
      </c>
      <c r="V1520">
        <f>'raw data Crude oil'!V1521</f>
        <v>79.89</v>
      </c>
      <c r="W1520">
        <f>'raw data Crude oil'!W1521</f>
        <v>79.22</v>
      </c>
      <c r="X1520">
        <f>'raw data Crude oil'!X1521</f>
        <v>78.59</v>
      </c>
      <c r="Y1520">
        <f>'raw data Crude oil'!Y1521</f>
        <v>78</v>
      </c>
      <c r="Z1520">
        <f>'raw data Crude oil'!Z1521</f>
        <v>88.861999999999995</v>
      </c>
      <c r="AA1520">
        <f>'raw data Crude oil'!AA1521</f>
        <v>85.757000000000005</v>
      </c>
      <c r="AB1520">
        <f>'raw data Crude oil'!AB1521</f>
        <v>84.62</v>
      </c>
      <c r="AC1520">
        <f>'raw data Crude oil'!AC1521</f>
        <v>83.772000000000006</v>
      </c>
      <c r="AD1520">
        <f>'raw data Crude oil'!AD1521</f>
        <v>83.11</v>
      </c>
      <c r="AE1520">
        <f>'raw data Crude oil'!AE1521</f>
        <v>82.516999999999996</v>
      </c>
      <c r="AF1520">
        <f>'raw data Crude oil'!AF1521</f>
        <v>81.965999999999994</v>
      </c>
      <c r="AG1520">
        <f>'raw data Crude oil'!AG1521</f>
        <v>81.344999999999999</v>
      </c>
      <c r="AH1520">
        <f>'raw data Crude oil'!AH1521</f>
        <v>80.745999999999995</v>
      </c>
      <c r="AI1520">
        <f>'raw data Crude oil'!AI1521</f>
        <v>80.192999999999998</v>
      </c>
      <c r="AJ1520">
        <f>'raw data Crude oil'!AJ1521</f>
        <v>79.673000000000002</v>
      </c>
      <c r="AK1520">
        <f>'raw data Crude oil'!AK1521</f>
        <v>79.173000000000002</v>
      </c>
    </row>
    <row r="1521" spans="1:37" x14ac:dyDescent="0.3">
      <c r="A1521" s="18">
        <f>'raw data Crude oil'!A1522</f>
        <v>44882</v>
      </c>
      <c r="B1521">
        <f>'raw data Crude oil'!B1522</f>
        <v>89.78</v>
      </c>
      <c r="C1521">
        <f>'raw data Crude oil'!C1522</f>
        <v>88.82</v>
      </c>
      <c r="D1521">
        <f>'raw data Crude oil'!D1522</f>
        <v>87.99</v>
      </c>
      <c r="E1521">
        <f>'raw data Crude oil'!E1522</f>
        <v>87.17</v>
      </c>
      <c r="F1521">
        <f>'raw data Crude oil'!F1522</f>
        <v>86.35</v>
      </c>
      <c r="G1521">
        <f>'raw data Crude oil'!G1522</f>
        <v>85.55</v>
      </c>
      <c r="H1521">
        <f>'raw data Crude oil'!H1522</f>
        <v>84.85</v>
      </c>
      <c r="I1521">
        <f>'raw data Crude oil'!I1522</f>
        <v>84.17</v>
      </c>
      <c r="J1521">
        <f>'raw data Crude oil'!J1522</f>
        <v>83.51</v>
      </c>
      <c r="K1521">
        <f>'raw data Crude oil'!K1522</f>
        <v>82.88</v>
      </c>
      <c r="L1521">
        <f>'raw data Crude oil'!L1522</f>
        <v>82.32</v>
      </c>
      <c r="M1521">
        <f>'raw data Crude oil'!M1522</f>
        <v>81.790000000000006</v>
      </c>
      <c r="N1521">
        <f>'raw data Crude oil'!N1522</f>
        <v>81.64</v>
      </c>
      <c r="O1521">
        <f>'raw data Crude oil'!O1522</f>
        <v>81.400000000000006</v>
      </c>
      <c r="P1521">
        <f>'raw data Crude oil'!P1522</f>
        <v>81.09</v>
      </c>
      <c r="Q1521">
        <f>'raw data Crude oil'!Q1522</f>
        <v>80.67</v>
      </c>
      <c r="R1521">
        <f>'raw data Crude oil'!R1522</f>
        <v>80.150000000000006</v>
      </c>
      <c r="S1521">
        <f>'raw data Crude oil'!S1522</f>
        <v>79.58</v>
      </c>
      <c r="T1521">
        <f>'raw data Crude oil'!T1522</f>
        <v>78.98</v>
      </c>
      <c r="U1521">
        <f>'raw data Crude oil'!U1522</f>
        <v>78.39</v>
      </c>
      <c r="V1521">
        <f>'raw data Crude oil'!V1522</f>
        <v>77.8</v>
      </c>
      <c r="W1521">
        <f>'raw data Crude oil'!W1522</f>
        <v>77.22</v>
      </c>
      <c r="X1521">
        <f>'raw data Crude oil'!X1522</f>
        <v>76.66</v>
      </c>
      <c r="Y1521">
        <f>'raw data Crude oil'!Y1522</f>
        <v>76.14</v>
      </c>
      <c r="Z1521">
        <f>'raw data Crude oil'!Z1522</f>
        <v>87.509</v>
      </c>
      <c r="AA1521">
        <f>'raw data Crude oil'!AA1522</f>
        <v>82.771000000000001</v>
      </c>
      <c r="AB1521">
        <f>'raw data Crude oil'!AB1522</f>
        <v>81.790999999999997</v>
      </c>
      <c r="AC1521">
        <f>'raw data Crude oil'!AC1522</f>
        <v>81.149000000000001</v>
      </c>
      <c r="AD1521">
        <f>'raw data Crude oil'!AD1522</f>
        <v>80.694999999999993</v>
      </c>
      <c r="AE1521">
        <f>'raw data Crude oil'!AE1522</f>
        <v>80.254000000000005</v>
      </c>
      <c r="AF1521">
        <f>'raw data Crude oil'!AF1522</f>
        <v>79.852999999999994</v>
      </c>
      <c r="AG1521">
        <f>'raw data Crude oil'!AG1522</f>
        <v>79.325999999999993</v>
      </c>
      <c r="AH1521">
        <f>'raw data Crude oil'!AH1522</f>
        <v>78.819999999999993</v>
      </c>
      <c r="AI1521">
        <f>'raw data Crude oil'!AI1522</f>
        <v>78.346000000000004</v>
      </c>
      <c r="AJ1521">
        <f>'raw data Crude oil'!AJ1522</f>
        <v>77.894999999999996</v>
      </c>
      <c r="AK1521">
        <f>'raw data Crude oil'!AK1522</f>
        <v>77.47</v>
      </c>
    </row>
    <row r="1522" spans="1:37" x14ac:dyDescent="0.3">
      <c r="A1522" s="18">
        <f>'raw data Crude oil'!A1523</f>
        <v>44883</v>
      </c>
      <c r="B1522">
        <f>'raw data Crude oil'!B1523</f>
        <v>87.62</v>
      </c>
      <c r="C1522">
        <f>'raw data Crude oil'!C1523</f>
        <v>87.15</v>
      </c>
      <c r="D1522">
        <f>'raw data Crude oil'!D1523</f>
        <v>86.56</v>
      </c>
      <c r="E1522">
        <f>'raw data Crude oil'!E1523</f>
        <v>85.93</v>
      </c>
      <c r="F1522">
        <f>'raw data Crude oil'!F1523</f>
        <v>85.27</v>
      </c>
      <c r="G1522">
        <f>'raw data Crude oil'!G1523</f>
        <v>84.57</v>
      </c>
      <c r="H1522">
        <f>'raw data Crude oil'!H1523</f>
        <v>83.96</v>
      </c>
      <c r="I1522">
        <f>'raw data Crude oil'!I1523</f>
        <v>83.36</v>
      </c>
      <c r="J1522">
        <f>'raw data Crude oil'!J1523</f>
        <v>82.76</v>
      </c>
      <c r="K1522">
        <f>'raw data Crude oil'!K1523</f>
        <v>82.18</v>
      </c>
      <c r="L1522">
        <f>'raw data Crude oil'!L1523</f>
        <v>81.64</v>
      </c>
      <c r="M1522">
        <f>'raw data Crude oil'!M1523</f>
        <v>81.14</v>
      </c>
      <c r="N1522">
        <f>'raw data Crude oil'!N1523</f>
        <v>80.08</v>
      </c>
      <c r="O1522">
        <f>'raw data Crude oil'!O1523</f>
        <v>80.11</v>
      </c>
      <c r="P1522">
        <f>'raw data Crude oil'!P1523</f>
        <v>79.83</v>
      </c>
      <c r="Q1522">
        <f>'raw data Crude oil'!Q1523</f>
        <v>79.489999999999995</v>
      </c>
      <c r="R1522">
        <f>'raw data Crude oil'!R1523</f>
        <v>79.069999999999993</v>
      </c>
      <c r="S1522">
        <f>'raw data Crude oil'!S1523</f>
        <v>78.62</v>
      </c>
      <c r="T1522">
        <f>'raw data Crude oil'!T1523</f>
        <v>78.14</v>
      </c>
      <c r="U1522">
        <f>'raw data Crude oil'!U1523</f>
        <v>77.64</v>
      </c>
      <c r="V1522">
        <f>'raw data Crude oil'!V1523</f>
        <v>77.12</v>
      </c>
      <c r="W1522">
        <f>'raw data Crude oil'!W1523</f>
        <v>76.569999999999993</v>
      </c>
      <c r="X1522">
        <f>'raw data Crude oil'!X1523</f>
        <v>76.040000000000006</v>
      </c>
      <c r="Y1522">
        <f>'raw data Crude oil'!Y1523</f>
        <v>75.540000000000006</v>
      </c>
      <c r="Z1522">
        <f>'raw data Crude oil'!Z1523</f>
        <v>86.844999999999999</v>
      </c>
      <c r="AA1522">
        <f>'raw data Crude oil'!AA1523</f>
        <v>81.364000000000004</v>
      </c>
      <c r="AB1522">
        <f>'raw data Crude oil'!AB1523</f>
        <v>80.8</v>
      </c>
      <c r="AC1522">
        <f>'raw data Crude oil'!AC1523</f>
        <v>80.387</v>
      </c>
      <c r="AD1522">
        <f>'raw data Crude oil'!AD1523</f>
        <v>80.010000000000005</v>
      </c>
      <c r="AE1522">
        <f>'raw data Crude oil'!AE1523</f>
        <v>79.617999999999995</v>
      </c>
      <c r="AF1522">
        <f>'raw data Crude oil'!AF1523</f>
        <v>79.213999999999999</v>
      </c>
      <c r="AG1522">
        <f>'raw data Crude oil'!AG1523</f>
        <v>78.772999999999996</v>
      </c>
      <c r="AH1522">
        <f>'raw data Crude oil'!AH1523</f>
        <v>78.341999999999999</v>
      </c>
      <c r="AI1522">
        <f>'raw data Crude oil'!AI1523</f>
        <v>77.876999999999995</v>
      </c>
      <c r="AJ1522">
        <f>'raw data Crude oil'!AJ1523</f>
        <v>77.436000000000007</v>
      </c>
      <c r="AK1522">
        <f>'raw data Crude oil'!AK1523</f>
        <v>77.057000000000002</v>
      </c>
    </row>
    <row r="1523" spans="1:37" x14ac:dyDescent="0.3">
      <c r="A1523" s="18">
        <f>'raw data Crude oil'!A1524</f>
        <v>44886</v>
      </c>
      <c r="B1523">
        <f>'raw data Crude oil'!B1524</f>
        <v>87.45</v>
      </c>
      <c r="C1523">
        <f>'raw data Crude oil'!C1524</f>
        <v>87.09</v>
      </c>
      <c r="D1523">
        <f>'raw data Crude oil'!D1524</f>
        <v>86.67</v>
      </c>
      <c r="E1523">
        <f>'raw data Crude oil'!E1524</f>
        <v>86.16</v>
      </c>
      <c r="F1523">
        <f>'raw data Crude oil'!F1524</f>
        <v>85.6</v>
      </c>
      <c r="G1523">
        <f>'raw data Crude oil'!G1524</f>
        <v>84.98</v>
      </c>
      <c r="H1523">
        <f>'raw data Crude oil'!H1524</f>
        <v>84.42</v>
      </c>
      <c r="I1523">
        <f>'raw data Crude oil'!I1524</f>
        <v>83.87</v>
      </c>
      <c r="J1523">
        <f>'raw data Crude oil'!J1524</f>
        <v>83.33</v>
      </c>
      <c r="K1523">
        <f>'raw data Crude oil'!K1524</f>
        <v>82.77</v>
      </c>
      <c r="L1523">
        <f>'raw data Crude oil'!L1524</f>
        <v>82.24</v>
      </c>
      <c r="M1523">
        <f>'raw data Crude oil'!M1524</f>
        <v>81.760000000000005</v>
      </c>
      <c r="N1523">
        <f>'raw data Crude oil'!N1524</f>
        <v>79.73</v>
      </c>
      <c r="O1523">
        <f>'raw data Crude oil'!O1524</f>
        <v>80.040000000000006</v>
      </c>
      <c r="P1523">
        <f>'raw data Crude oil'!P1524</f>
        <v>79.91</v>
      </c>
      <c r="Q1523">
        <f>'raw data Crude oil'!Q1524</f>
        <v>79.72</v>
      </c>
      <c r="R1523">
        <f>'raw data Crude oil'!R1524</f>
        <v>79.459999999999994</v>
      </c>
      <c r="S1523">
        <f>'raw data Crude oil'!S1524</f>
        <v>79.13</v>
      </c>
      <c r="T1523">
        <f>'raw data Crude oil'!T1524</f>
        <v>78.739999999999995</v>
      </c>
      <c r="U1523">
        <f>'raw data Crude oil'!U1524</f>
        <v>78.3</v>
      </c>
      <c r="V1523">
        <f>'raw data Crude oil'!V1524</f>
        <v>77.83</v>
      </c>
      <c r="W1523">
        <f>'raw data Crude oil'!W1524</f>
        <v>77.34</v>
      </c>
      <c r="X1523">
        <f>'raw data Crude oil'!X1524</f>
        <v>76.86</v>
      </c>
      <c r="Y1523">
        <f>'raw data Crude oil'!Y1524</f>
        <v>76.38</v>
      </c>
      <c r="Z1523">
        <f>'raw data Crude oil'!Z1524</f>
        <v>86.47</v>
      </c>
      <c r="AA1523">
        <f>'raw data Crude oil'!AA1524</f>
        <v>80.39</v>
      </c>
      <c r="AB1523">
        <f>'raw data Crude oil'!AB1524</f>
        <v>80.215999999999994</v>
      </c>
      <c r="AC1523">
        <f>'raw data Crude oil'!AC1524</f>
        <v>80.072000000000003</v>
      </c>
      <c r="AD1523">
        <f>'raw data Crude oil'!AD1524</f>
        <v>79.912999999999997</v>
      </c>
      <c r="AE1523">
        <f>'raw data Crude oil'!AE1524</f>
        <v>79.691000000000003</v>
      </c>
      <c r="AF1523">
        <f>'raw data Crude oil'!AF1524</f>
        <v>79.316000000000003</v>
      </c>
      <c r="AG1523">
        <f>'raw data Crude oil'!AG1524</f>
        <v>78.954999999999998</v>
      </c>
      <c r="AH1523">
        <f>'raw data Crude oil'!AH1524</f>
        <v>78.783000000000001</v>
      </c>
      <c r="AI1523">
        <f>'raw data Crude oil'!AI1524</f>
        <v>78.376999999999995</v>
      </c>
      <c r="AJ1523">
        <f>'raw data Crude oil'!AJ1524</f>
        <v>77.927000000000007</v>
      </c>
      <c r="AK1523">
        <f>'raw data Crude oil'!AK1524</f>
        <v>77.457999999999998</v>
      </c>
    </row>
    <row r="1524" spans="1:37" x14ac:dyDescent="0.3">
      <c r="A1524" s="18">
        <f>'raw data Crude oil'!A1525</f>
        <v>44887</v>
      </c>
      <c r="B1524">
        <f>'raw data Crude oil'!B1525</f>
        <v>88.36</v>
      </c>
      <c r="C1524">
        <f>'raw data Crude oil'!C1525</f>
        <v>87.7</v>
      </c>
      <c r="D1524">
        <f>'raw data Crude oil'!D1525</f>
        <v>87.21</v>
      </c>
      <c r="E1524">
        <f>'raw data Crude oil'!E1525</f>
        <v>86.66</v>
      </c>
      <c r="F1524">
        <f>'raw data Crude oil'!F1525</f>
        <v>86.06</v>
      </c>
      <c r="G1524">
        <f>'raw data Crude oil'!G1525</f>
        <v>85.39</v>
      </c>
      <c r="H1524">
        <f>'raw data Crude oil'!H1525</f>
        <v>84.79</v>
      </c>
      <c r="I1524">
        <f>'raw data Crude oil'!I1525</f>
        <v>84.21</v>
      </c>
      <c r="J1524">
        <f>'raw data Crude oil'!J1525</f>
        <v>83.65</v>
      </c>
      <c r="K1524">
        <f>'raw data Crude oil'!K1525</f>
        <v>83.09</v>
      </c>
      <c r="L1524">
        <f>'raw data Crude oil'!L1525</f>
        <v>82.56</v>
      </c>
      <c r="M1524">
        <f>'raw data Crude oil'!M1525</f>
        <v>82.06</v>
      </c>
      <c r="N1524">
        <f>'raw data Crude oil'!N1525</f>
        <v>80.95</v>
      </c>
      <c r="O1524">
        <f>'raw data Crude oil'!O1525</f>
        <v>80.73</v>
      </c>
      <c r="P1524">
        <f>'raw data Crude oil'!P1525</f>
        <v>80.48</v>
      </c>
      <c r="Q1524">
        <f>'raw data Crude oil'!Q1525</f>
        <v>80.14</v>
      </c>
      <c r="R1524">
        <f>'raw data Crude oil'!R1525</f>
        <v>79.73</v>
      </c>
      <c r="S1524">
        <f>'raw data Crude oil'!S1525</f>
        <v>79.28</v>
      </c>
      <c r="T1524">
        <f>'raw data Crude oil'!T1525</f>
        <v>78.790000000000006</v>
      </c>
      <c r="U1524">
        <f>'raw data Crude oil'!U1525</f>
        <v>78.27</v>
      </c>
      <c r="V1524">
        <f>'raw data Crude oil'!V1525</f>
        <v>77.75</v>
      </c>
      <c r="W1524">
        <f>'raw data Crude oil'!W1525</f>
        <v>77.23</v>
      </c>
      <c r="X1524">
        <f>'raw data Crude oil'!X1525</f>
        <v>76.73</v>
      </c>
      <c r="Y1524">
        <f>'raw data Crude oil'!Y1525</f>
        <v>76.23</v>
      </c>
      <c r="Z1524">
        <f>'raw data Crude oil'!Z1525</f>
        <v>86.611999999999995</v>
      </c>
      <c r="AA1524">
        <f>'raw data Crude oil'!AA1525</f>
        <v>80.373000000000005</v>
      </c>
      <c r="AB1524">
        <f>'raw data Crude oil'!AB1525</f>
        <v>80.233999999999995</v>
      </c>
      <c r="AC1524">
        <f>'raw data Crude oil'!AC1525</f>
        <v>80.11</v>
      </c>
      <c r="AD1524">
        <f>'raw data Crude oil'!AD1525</f>
        <v>79.941000000000003</v>
      </c>
      <c r="AE1524">
        <f>'raw data Crude oil'!AE1525</f>
        <v>79.748000000000005</v>
      </c>
      <c r="AF1524">
        <f>'raw data Crude oil'!AF1525</f>
        <v>79.545000000000002</v>
      </c>
      <c r="AG1524">
        <f>'raw data Crude oil'!AG1525</f>
        <v>79.194999999999993</v>
      </c>
      <c r="AH1524">
        <f>'raw data Crude oil'!AH1525</f>
        <v>78.893000000000001</v>
      </c>
      <c r="AI1524">
        <f>'raw data Crude oil'!AI1525</f>
        <v>78.537000000000006</v>
      </c>
      <c r="AJ1524">
        <f>'raw data Crude oil'!AJ1525</f>
        <v>78.176000000000002</v>
      </c>
      <c r="AK1524">
        <f>'raw data Crude oil'!AK1525</f>
        <v>77.777000000000001</v>
      </c>
    </row>
    <row r="1525" spans="1:37" x14ac:dyDescent="0.3">
      <c r="A1525" s="18">
        <f>'raw data Crude oil'!A1526</f>
        <v>44888</v>
      </c>
      <c r="B1525">
        <f>'raw data Crude oil'!B1526</f>
        <v>85.41</v>
      </c>
      <c r="C1525">
        <f>'raw data Crude oil'!C1526</f>
        <v>85.14</v>
      </c>
      <c r="D1525">
        <f>'raw data Crude oil'!D1526</f>
        <v>84.93</v>
      </c>
      <c r="E1525">
        <f>'raw data Crude oil'!E1526</f>
        <v>84.62</v>
      </c>
      <c r="F1525">
        <f>'raw data Crude oil'!F1526</f>
        <v>84.24</v>
      </c>
      <c r="G1525">
        <f>'raw data Crude oil'!G1526</f>
        <v>83.77</v>
      </c>
      <c r="H1525">
        <f>'raw data Crude oil'!H1526</f>
        <v>83.32</v>
      </c>
      <c r="I1525">
        <f>'raw data Crude oil'!I1526</f>
        <v>82.85</v>
      </c>
      <c r="J1525">
        <f>'raw data Crude oil'!J1526</f>
        <v>82.36</v>
      </c>
      <c r="K1525">
        <f>'raw data Crude oil'!K1526</f>
        <v>81.87</v>
      </c>
      <c r="L1525">
        <f>'raw data Crude oil'!L1526</f>
        <v>81.41</v>
      </c>
      <c r="M1525">
        <f>'raw data Crude oil'!M1526</f>
        <v>80.97</v>
      </c>
      <c r="N1525">
        <f>'raw data Crude oil'!N1526</f>
        <v>77.94</v>
      </c>
      <c r="O1525">
        <f>'raw data Crude oil'!O1526</f>
        <v>78.069999999999993</v>
      </c>
      <c r="P1525">
        <f>'raw data Crude oil'!P1526</f>
        <v>78.12</v>
      </c>
      <c r="Q1525">
        <f>'raw data Crude oil'!Q1526</f>
        <v>78.05</v>
      </c>
      <c r="R1525">
        <f>'raw data Crude oil'!R1526</f>
        <v>77.88</v>
      </c>
      <c r="S1525">
        <f>'raw data Crude oil'!S1526</f>
        <v>77.62</v>
      </c>
      <c r="T1525">
        <f>'raw data Crude oil'!T1526</f>
        <v>77.290000000000006</v>
      </c>
      <c r="U1525">
        <f>'raw data Crude oil'!U1526</f>
        <v>76.91</v>
      </c>
      <c r="V1525">
        <f>'raw data Crude oil'!V1526</f>
        <v>76.489999999999995</v>
      </c>
      <c r="W1525">
        <f>'raw data Crude oil'!W1526</f>
        <v>76.06</v>
      </c>
      <c r="X1525">
        <f>'raw data Crude oil'!X1526</f>
        <v>75.63</v>
      </c>
      <c r="Y1525">
        <f>'raw data Crude oil'!Y1526</f>
        <v>75.209999999999994</v>
      </c>
      <c r="Z1525">
        <f>'raw data Crude oil'!Z1526</f>
        <v>85.846000000000004</v>
      </c>
      <c r="AA1525">
        <f>'raw data Crude oil'!AA1526</f>
        <v>76.98</v>
      </c>
      <c r="AB1525">
        <f>'raw data Crude oil'!AB1526</f>
        <v>77.144999999999996</v>
      </c>
      <c r="AC1525">
        <f>'raw data Crude oil'!AC1526</f>
        <v>77.34</v>
      </c>
      <c r="AD1525">
        <f>'raw data Crude oil'!AD1526</f>
        <v>77.52</v>
      </c>
      <c r="AE1525">
        <f>'raw data Crude oil'!AE1526</f>
        <v>77.695999999999998</v>
      </c>
      <c r="AF1525">
        <f>'raw data Crude oil'!AF1526</f>
        <v>77.72</v>
      </c>
      <c r="AG1525">
        <f>'raw data Crude oil'!AG1526</f>
        <v>77.647999999999996</v>
      </c>
      <c r="AH1525">
        <f>'raw data Crude oil'!AH1526</f>
        <v>77.436999999999998</v>
      </c>
      <c r="AI1525">
        <f>'raw data Crude oil'!AI1526</f>
        <v>77.09</v>
      </c>
      <c r="AJ1525">
        <f>'raw data Crude oil'!AJ1526</f>
        <v>76.789000000000001</v>
      </c>
      <c r="AK1525">
        <f>'raw data Crude oil'!AK1526</f>
        <v>76.509</v>
      </c>
    </row>
    <row r="1526" spans="1:37" x14ac:dyDescent="0.3">
      <c r="A1526" s="18">
        <f>'raw data Crude oil'!A1527</f>
        <v>44889</v>
      </c>
      <c r="B1526">
        <f>'raw data Crude oil'!B1527</f>
        <v>85.34</v>
      </c>
      <c r="C1526">
        <f>'raw data Crude oil'!C1527</f>
        <v>85.24</v>
      </c>
      <c r="D1526">
        <f>'raw data Crude oil'!D1527</f>
        <v>85.1</v>
      </c>
      <c r="E1526">
        <f>'raw data Crude oil'!E1527</f>
        <v>84.86</v>
      </c>
      <c r="F1526">
        <f>'raw data Crude oil'!F1527</f>
        <v>84.53</v>
      </c>
      <c r="G1526">
        <f>'raw data Crude oil'!G1527</f>
        <v>84.1</v>
      </c>
      <c r="H1526">
        <f>'raw data Crude oil'!H1527</f>
        <v>83.67</v>
      </c>
      <c r="I1526">
        <f>'raw data Crude oil'!I1527</f>
        <v>83.21</v>
      </c>
      <c r="J1526">
        <f>'raw data Crude oil'!J1527</f>
        <v>82.71</v>
      </c>
      <c r="K1526">
        <f>'raw data Crude oil'!K1527</f>
        <v>82.21</v>
      </c>
      <c r="L1526">
        <f>'raw data Crude oil'!L1527</f>
        <v>81.739999999999995</v>
      </c>
      <c r="M1526">
        <f>'raw data Crude oil'!M1527</f>
        <v>81.3</v>
      </c>
      <c r="N1526">
        <f>'raw data Crude oil'!N1527</f>
        <v>77.94</v>
      </c>
      <c r="O1526">
        <f>'raw data Crude oil'!O1527</f>
        <v>78.069999999999993</v>
      </c>
      <c r="P1526">
        <f>'raw data Crude oil'!P1527</f>
        <v>78.12</v>
      </c>
      <c r="Q1526">
        <f>'raw data Crude oil'!Q1527</f>
        <v>78.05</v>
      </c>
      <c r="R1526">
        <f>'raw data Crude oil'!R1527</f>
        <v>77.88</v>
      </c>
      <c r="S1526">
        <f>'raw data Crude oil'!S1527</f>
        <v>77.62</v>
      </c>
      <c r="T1526">
        <f>'raw data Crude oil'!T1527</f>
        <v>77.290000000000006</v>
      </c>
      <c r="U1526">
        <f>'raw data Crude oil'!U1527</f>
        <v>76.91</v>
      </c>
      <c r="V1526">
        <f>'raw data Crude oil'!V1527</f>
        <v>76.489999999999995</v>
      </c>
      <c r="W1526">
        <f>'raw data Crude oil'!W1527</f>
        <v>76.06</v>
      </c>
      <c r="X1526">
        <f>'raw data Crude oil'!X1527</f>
        <v>75.63</v>
      </c>
      <c r="Y1526">
        <f>'raw data Crude oil'!Y1527</f>
        <v>75.209999999999994</v>
      </c>
      <c r="Z1526">
        <f>'raw data Crude oil'!Z1527</f>
        <v>86.016999999999996</v>
      </c>
      <c r="AA1526">
        <f>'raw data Crude oil'!AA1527</f>
        <v>77.629000000000005</v>
      </c>
      <c r="AB1526">
        <f>'raw data Crude oil'!AB1527</f>
        <v>77.659000000000006</v>
      </c>
      <c r="AC1526">
        <f>'raw data Crude oil'!AC1527</f>
        <v>77.744</v>
      </c>
      <c r="AD1526">
        <f>'raw data Crude oil'!AD1527</f>
        <v>77.831000000000003</v>
      </c>
      <c r="AE1526">
        <f>'raw data Crude oil'!AE1527</f>
        <v>77.917000000000002</v>
      </c>
      <c r="AF1526">
        <f>'raw data Crude oil'!AF1527</f>
        <v>77.88</v>
      </c>
      <c r="AG1526">
        <f>'raw data Crude oil'!AG1527</f>
        <v>77.716999999999999</v>
      </c>
      <c r="AH1526">
        <f>'raw data Crude oil'!AH1527</f>
        <v>77.445999999999998</v>
      </c>
      <c r="AI1526">
        <f>'raw data Crude oil'!AI1527</f>
        <v>77.099999999999994</v>
      </c>
      <c r="AJ1526">
        <f>'raw data Crude oil'!AJ1527</f>
        <v>76.748999999999995</v>
      </c>
      <c r="AK1526">
        <f>'raw data Crude oil'!AK1527</f>
        <v>76.418999999999997</v>
      </c>
    </row>
    <row r="1527" spans="1:37" x14ac:dyDescent="0.3">
      <c r="A1527" s="18">
        <f>'raw data Crude oil'!A1528</f>
        <v>44890</v>
      </c>
      <c r="B1527">
        <f>'raw data Crude oil'!B1528</f>
        <v>83.63</v>
      </c>
      <c r="C1527">
        <f>'raw data Crude oil'!C1528</f>
        <v>83.71</v>
      </c>
      <c r="D1527">
        <f>'raw data Crude oil'!D1528</f>
        <v>83.54</v>
      </c>
      <c r="E1527">
        <f>'raw data Crude oil'!E1528</f>
        <v>83.27</v>
      </c>
      <c r="F1527">
        <f>'raw data Crude oil'!F1528</f>
        <v>82.95</v>
      </c>
      <c r="G1527">
        <f>'raw data Crude oil'!G1528</f>
        <v>82.54</v>
      </c>
      <c r="H1527">
        <f>'raw data Crude oil'!H1528</f>
        <v>82.13</v>
      </c>
      <c r="I1527">
        <f>'raw data Crude oil'!I1528</f>
        <v>81.709999999999994</v>
      </c>
      <c r="J1527">
        <f>'raw data Crude oil'!J1528</f>
        <v>81.27</v>
      </c>
      <c r="K1527">
        <f>'raw data Crude oil'!K1528</f>
        <v>80.84</v>
      </c>
      <c r="L1527">
        <f>'raw data Crude oil'!L1528</f>
        <v>80.41</v>
      </c>
      <c r="M1527">
        <f>'raw data Crude oil'!M1528</f>
        <v>80</v>
      </c>
      <c r="N1527">
        <f>'raw data Crude oil'!N1528</f>
        <v>76.28</v>
      </c>
      <c r="O1527">
        <f>'raw data Crude oil'!O1528</f>
        <v>76.430000000000007</v>
      </c>
      <c r="P1527">
        <f>'raw data Crude oil'!P1528</f>
        <v>76.540000000000006</v>
      </c>
      <c r="Q1527">
        <f>'raw data Crude oil'!Q1528</f>
        <v>76.540000000000006</v>
      </c>
      <c r="R1527">
        <f>'raw data Crude oil'!R1528</f>
        <v>76.459999999999994</v>
      </c>
      <c r="S1527">
        <f>'raw data Crude oil'!S1528</f>
        <v>76.27</v>
      </c>
      <c r="T1527">
        <f>'raw data Crude oil'!T1528</f>
        <v>76</v>
      </c>
      <c r="U1527">
        <f>'raw data Crude oil'!U1528</f>
        <v>75.680000000000007</v>
      </c>
      <c r="V1527">
        <f>'raw data Crude oil'!V1528</f>
        <v>75.31</v>
      </c>
      <c r="W1527">
        <f>'raw data Crude oil'!W1528</f>
        <v>74.930000000000007</v>
      </c>
      <c r="X1527">
        <f>'raw data Crude oil'!X1528</f>
        <v>74.56</v>
      </c>
      <c r="Y1527">
        <f>'raw data Crude oil'!Y1528</f>
        <v>74.19</v>
      </c>
      <c r="Z1527">
        <f>'raw data Crude oil'!Z1528</f>
        <v>85.918999999999997</v>
      </c>
      <c r="AA1527">
        <f>'raw data Crude oil'!AA1528</f>
        <v>76.894000000000005</v>
      </c>
      <c r="AB1527">
        <f>'raw data Crude oil'!AB1528</f>
        <v>76.835999999999999</v>
      </c>
      <c r="AC1527">
        <f>'raw data Crude oil'!AC1528</f>
        <v>76.744</v>
      </c>
      <c r="AD1527">
        <f>'raw data Crude oil'!AD1528</f>
        <v>76.792000000000002</v>
      </c>
      <c r="AE1527">
        <f>'raw data Crude oil'!AE1528</f>
        <v>76.837999999999994</v>
      </c>
      <c r="AF1527">
        <f>'raw data Crude oil'!AF1528</f>
        <v>76.781999999999996</v>
      </c>
      <c r="AG1527">
        <f>'raw data Crude oil'!AG1528</f>
        <v>76.63</v>
      </c>
      <c r="AH1527">
        <f>'raw data Crude oil'!AH1528</f>
        <v>76.37</v>
      </c>
      <c r="AI1527">
        <f>'raw data Crude oil'!AI1528</f>
        <v>76.061000000000007</v>
      </c>
      <c r="AJ1527">
        <f>'raw data Crude oil'!AJ1528</f>
        <v>75.760000000000005</v>
      </c>
      <c r="AK1527">
        <f>'raw data Crude oil'!AK1528</f>
        <v>75.430000000000007</v>
      </c>
    </row>
    <row r="1528" spans="1:37" x14ac:dyDescent="0.3">
      <c r="A1528" s="18">
        <f>'raw data Crude oil'!A1529</f>
        <v>44893</v>
      </c>
      <c r="B1528">
        <f>'raw data Crude oil'!B1529</f>
        <v>83.19</v>
      </c>
      <c r="C1528">
        <f>'raw data Crude oil'!C1529</f>
        <v>83.89</v>
      </c>
      <c r="D1528">
        <f>'raw data Crude oil'!D1529</f>
        <v>83.79</v>
      </c>
      <c r="E1528">
        <f>'raw data Crude oil'!E1529</f>
        <v>83.56</v>
      </c>
      <c r="F1528">
        <f>'raw data Crude oil'!F1529</f>
        <v>83.26</v>
      </c>
      <c r="G1528">
        <f>'raw data Crude oil'!G1529</f>
        <v>82.88</v>
      </c>
      <c r="H1528">
        <f>'raw data Crude oil'!H1529</f>
        <v>82.5</v>
      </c>
      <c r="I1528">
        <f>'raw data Crude oil'!I1529</f>
        <v>82.11</v>
      </c>
      <c r="J1528">
        <f>'raw data Crude oil'!J1529</f>
        <v>81.69</v>
      </c>
      <c r="K1528">
        <f>'raw data Crude oil'!K1529</f>
        <v>81.28</v>
      </c>
      <c r="L1528">
        <f>'raw data Crude oil'!L1529</f>
        <v>80.87</v>
      </c>
      <c r="M1528">
        <f>'raw data Crude oil'!M1529</f>
        <v>80.489999999999995</v>
      </c>
      <c r="N1528">
        <f>'raw data Crude oil'!N1529</f>
        <v>77.239999999999995</v>
      </c>
      <c r="O1528">
        <f>'raw data Crude oil'!O1529</f>
        <v>77.33</v>
      </c>
      <c r="P1528">
        <f>'raw data Crude oil'!P1529</f>
        <v>77.36</v>
      </c>
      <c r="Q1528">
        <f>'raw data Crude oil'!Q1529</f>
        <v>77.239999999999995</v>
      </c>
      <c r="R1528">
        <f>'raw data Crude oil'!R1529</f>
        <v>77.09</v>
      </c>
      <c r="S1528">
        <f>'raw data Crude oil'!S1529</f>
        <v>76.88</v>
      </c>
      <c r="T1528">
        <f>'raw data Crude oil'!T1529</f>
        <v>76.59</v>
      </c>
      <c r="U1528">
        <f>'raw data Crude oil'!U1529</f>
        <v>76.25</v>
      </c>
      <c r="V1528">
        <f>'raw data Crude oil'!V1529</f>
        <v>75.89</v>
      </c>
      <c r="W1528">
        <f>'raw data Crude oil'!W1529</f>
        <v>75.510000000000005</v>
      </c>
      <c r="X1528">
        <f>'raw data Crude oil'!X1529</f>
        <v>75.14</v>
      </c>
      <c r="Y1528">
        <f>'raw data Crude oil'!Y1529</f>
        <v>74.77</v>
      </c>
      <c r="Z1528">
        <f>'raw data Crude oil'!Z1529</f>
        <v>86.013000000000005</v>
      </c>
      <c r="AA1528">
        <f>'raw data Crude oil'!AA1529</f>
        <v>76.569999999999993</v>
      </c>
      <c r="AB1528">
        <f>'raw data Crude oil'!AB1529</f>
        <v>76.688999999999993</v>
      </c>
      <c r="AC1528">
        <f>'raw data Crude oil'!AC1529</f>
        <v>76.765000000000001</v>
      </c>
      <c r="AD1528">
        <f>'raw data Crude oil'!AD1529</f>
        <v>76.983000000000004</v>
      </c>
      <c r="AE1528">
        <f>'raw data Crude oil'!AE1529</f>
        <v>77.11</v>
      </c>
      <c r="AF1528">
        <f>'raw data Crude oil'!AF1529</f>
        <v>77.162999999999997</v>
      </c>
      <c r="AG1528">
        <f>'raw data Crude oil'!AG1529</f>
        <v>77.040999999999997</v>
      </c>
      <c r="AH1528">
        <f>'raw data Crude oil'!AH1529</f>
        <v>76.88</v>
      </c>
      <c r="AI1528">
        <f>'raw data Crude oil'!AI1529</f>
        <v>76.632000000000005</v>
      </c>
      <c r="AJ1528">
        <f>'raw data Crude oil'!AJ1529</f>
        <v>76.341999999999999</v>
      </c>
      <c r="AK1528">
        <f>'raw data Crude oil'!AK1529</f>
        <v>76.040999999999997</v>
      </c>
    </row>
    <row r="1529" spans="1:37" x14ac:dyDescent="0.3">
      <c r="A1529" s="18">
        <f>'raw data Crude oil'!A1530</f>
        <v>44894</v>
      </c>
      <c r="B1529">
        <f>'raw data Crude oil'!B1530</f>
        <v>83.03</v>
      </c>
      <c r="C1529">
        <f>'raw data Crude oil'!C1530</f>
        <v>84.25</v>
      </c>
      <c r="D1529">
        <f>'raw data Crude oil'!D1530</f>
        <v>84.24</v>
      </c>
      <c r="E1529">
        <f>'raw data Crude oil'!E1530</f>
        <v>84.09</v>
      </c>
      <c r="F1529">
        <f>'raw data Crude oil'!F1530</f>
        <v>83.85</v>
      </c>
      <c r="G1529">
        <f>'raw data Crude oil'!G1530</f>
        <v>83.48</v>
      </c>
      <c r="H1529">
        <f>'raw data Crude oil'!H1530</f>
        <v>83.1</v>
      </c>
      <c r="I1529">
        <f>'raw data Crude oil'!I1530</f>
        <v>82.71</v>
      </c>
      <c r="J1529">
        <f>'raw data Crude oil'!J1530</f>
        <v>82.3</v>
      </c>
      <c r="K1529">
        <f>'raw data Crude oil'!K1530</f>
        <v>81.900000000000006</v>
      </c>
      <c r="L1529">
        <f>'raw data Crude oil'!L1530</f>
        <v>81.489999999999995</v>
      </c>
      <c r="M1529">
        <f>'raw data Crude oil'!M1530</f>
        <v>81.11</v>
      </c>
      <c r="N1529">
        <f>'raw data Crude oil'!N1530</f>
        <v>78.2</v>
      </c>
      <c r="O1529">
        <f>'raw data Crude oil'!O1530</f>
        <v>78.28</v>
      </c>
      <c r="P1529">
        <f>'raw data Crude oil'!P1530</f>
        <v>78.319999999999993</v>
      </c>
      <c r="Q1529">
        <f>'raw data Crude oil'!Q1530</f>
        <v>78.239999999999995</v>
      </c>
      <c r="R1529">
        <f>'raw data Crude oil'!R1530</f>
        <v>78.099999999999994</v>
      </c>
      <c r="S1529">
        <f>'raw data Crude oil'!S1530</f>
        <v>77.87</v>
      </c>
      <c r="T1529">
        <f>'raw data Crude oil'!T1530</f>
        <v>77.56</v>
      </c>
      <c r="U1529">
        <f>'raw data Crude oil'!U1530</f>
        <v>77.2</v>
      </c>
      <c r="V1529">
        <f>'raw data Crude oil'!V1530</f>
        <v>76.81</v>
      </c>
      <c r="W1529">
        <f>'raw data Crude oil'!W1530</f>
        <v>76.41</v>
      </c>
      <c r="X1529">
        <f>'raw data Crude oil'!X1530</f>
        <v>76.02</v>
      </c>
      <c r="Y1529">
        <f>'raw data Crude oil'!Y1530</f>
        <v>75.62</v>
      </c>
      <c r="Z1529">
        <f>'raw data Crude oil'!Z1530</f>
        <v>86.174999999999997</v>
      </c>
      <c r="AA1529">
        <f>'raw data Crude oil'!AA1530</f>
        <v>77.549000000000007</v>
      </c>
      <c r="AB1529">
        <f>'raw data Crude oil'!AB1530</f>
        <v>77.533000000000001</v>
      </c>
      <c r="AC1529">
        <f>'raw data Crude oil'!AC1530</f>
        <v>77.613</v>
      </c>
      <c r="AD1529">
        <f>'raw data Crude oil'!AD1530</f>
        <v>77.793999999999997</v>
      </c>
      <c r="AE1529">
        <f>'raw data Crude oil'!AE1530</f>
        <v>77.87</v>
      </c>
      <c r="AF1529">
        <f>'raw data Crude oil'!AF1530</f>
        <v>77.867999999999995</v>
      </c>
      <c r="AG1529">
        <f>'raw data Crude oil'!AG1530</f>
        <v>77.811000000000007</v>
      </c>
      <c r="AH1529">
        <f>'raw data Crude oil'!AH1530</f>
        <v>77.581000000000003</v>
      </c>
      <c r="AI1529">
        <f>'raw data Crude oil'!AI1530</f>
        <v>77.352000000000004</v>
      </c>
      <c r="AJ1529">
        <f>'raw data Crude oil'!AJ1530</f>
        <v>77.081999999999994</v>
      </c>
      <c r="AK1529">
        <f>'raw data Crude oil'!AK1530</f>
        <v>76.820999999999998</v>
      </c>
    </row>
    <row r="1530" spans="1:37" x14ac:dyDescent="0.3">
      <c r="A1530" s="18">
        <f>'raw data Crude oil'!A1531</f>
        <v>44895</v>
      </c>
      <c r="B1530">
        <f>'raw data Crude oil'!B1531</f>
        <v>85.43</v>
      </c>
      <c r="C1530">
        <f>'raw data Crude oil'!C1531</f>
        <v>86.97</v>
      </c>
      <c r="D1530">
        <f>'raw data Crude oil'!D1531</f>
        <v>86.99</v>
      </c>
      <c r="E1530">
        <f>'raw data Crude oil'!E1531</f>
        <v>86.83</v>
      </c>
      <c r="F1530">
        <f>'raw data Crude oil'!F1531</f>
        <v>86.58</v>
      </c>
      <c r="G1530">
        <f>'raw data Crude oil'!G1531</f>
        <v>86.16</v>
      </c>
      <c r="H1530">
        <f>'raw data Crude oil'!H1531</f>
        <v>85.75</v>
      </c>
      <c r="I1530">
        <f>'raw data Crude oil'!I1531</f>
        <v>85.31</v>
      </c>
      <c r="J1530">
        <f>'raw data Crude oil'!J1531</f>
        <v>84.86</v>
      </c>
      <c r="K1530">
        <f>'raw data Crude oil'!K1531</f>
        <v>84.42</v>
      </c>
      <c r="L1530">
        <f>'raw data Crude oil'!L1531</f>
        <v>83.97</v>
      </c>
      <c r="M1530">
        <f>'raw data Crude oil'!M1531</f>
        <v>83.52</v>
      </c>
      <c r="N1530">
        <f>'raw data Crude oil'!N1531</f>
        <v>80.55</v>
      </c>
      <c r="O1530">
        <f>'raw data Crude oil'!O1531</f>
        <v>80.66</v>
      </c>
      <c r="P1530">
        <f>'raw data Crude oil'!P1531</f>
        <v>80.75</v>
      </c>
      <c r="Q1530">
        <f>'raw data Crude oil'!Q1531</f>
        <v>80.709999999999994</v>
      </c>
      <c r="R1530">
        <f>'raw data Crude oil'!R1531</f>
        <v>80.59</v>
      </c>
      <c r="S1530">
        <f>'raw data Crude oil'!S1531</f>
        <v>80.37</v>
      </c>
      <c r="T1530">
        <f>'raw data Crude oil'!T1531</f>
        <v>80.05</v>
      </c>
      <c r="U1530">
        <f>'raw data Crude oil'!U1531</f>
        <v>79.66</v>
      </c>
      <c r="V1530">
        <f>'raw data Crude oil'!V1531</f>
        <v>79.239999999999995</v>
      </c>
      <c r="W1530">
        <f>'raw data Crude oil'!W1531</f>
        <v>78.8</v>
      </c>
      <c r="X1530">
        <f>'raw data Crude oil'!X1531</f>
        <v>78.36</v>
      </c>
      <c r="Y1530">
        <f>'raw data Crude oil'!Y1531</f>
        <v>77.92</v>
      </c>
      <c r="Z1530">
        <f>'raw data Crude oil'!Z1531</f>
        <v>86.222999999999999</v>
      </c>
      <c r="AA1530">
        <f>'raw data Crude oil'!AA1531</f>
        <v>80.36</v>
      </c>
      <c r="AB1530">
        <f>'raw data Crude oil'!AB1531</f>
        <v>80.19</v>
      </c>
      <c r="AC1530">
        <f>'raw data Crude oil'!AC1531</f>
        <v>80.17</v>
      </c>
      <c r="AD1530">
        <f>'raw data Crude oil'!AD1531</f>
        <v>80.290000000000006</v>
      </c>
      <c r="AE1530">
        <f>'raw data Crude oil'!AE1531</f>
        <v>80.34</v>
      </c>
      <c r="AF1530">
        <f>'raw data Crude oil'!AF1531</f>
        <v>80.290000000000006</v>
      </c>
      <c r="AG1530">
        <f>'raw data Crude oil'!AG1531</f>
        <v>80.22</v>
      </c>
      <c r="AH1530">
        <f>'raw data Crude oil'!AH1531</f>
        <v>79.959999999999994</v>
      </c>
      <c r="AI1530">
        <f>'raw data Crude oil'!AI1531</f>
        <v>79.66</v>
      </c>
      <c r="AJ1530">
        <f>'raw data Crude oil'!AJ1531</f>
        <v>79.349999999999994</v>
      </c>
      <c r="AK1530">
        <f>'raw data Crude oil'!AK1531</f>
        <v>78.97</v>
      </c>
    </row>
    <row r="1531" spans="1:37" x14ac:dyDescent="0.3">
      <c r="A1531" s="18">
        <f>'raw data Crude oil'!A1532</f>
        <v>44896</v>
      </c>
      <c r="B1531">
        <f>'raw data Crude oil'!B1532</f>
        <v>86.88</v>
      </c>
      <c r="C1531">
        <f>'raw data Crude oil'!C1532</f>
        <v>86.81</v>
      </c>
      <c r="D1531">
        <f>'raw data Crude oil'!D1532</f>
        <v>86.58</v>
      </c>
      <c r="E1531">
        <f>'raw data Crude oil'!E1532</f>
        <v>86.3</v>
      </c>
      <c r="F1531">
        <f>'raw data Crude oil'!F1532</f>
        <v>85.88</v>
      </c>
      <c r="G1531">
        <f>'raw data Crude oil'!G1532</f>
        <v>85.46</v>
      </c>
      <c r="H1531">
        <f>'raw data Crude oil'!H1532</f>
        <v>85.04</v>
      </c>
      <c r="I1531">
        <f>'raw data Crude oil'!I1532</f>
        <v>84.62</v>
      </c>
      <c r="J1531">
        <f>'raw data Crude oil'!J1532</f>
        <v>84.18</v>
      </c>
      <c r="K1531">
        <f>'raw data Crude oil'!K1532</f>
        <v>83.74</v>
      </c>
      <c r="L1531">
        <f>'raw data Crude oil'!L1532</f>
        <v>83.3</v>
      </c>
      <c r="M1531">
        <f>'raw data Crude oil'!M1532</f>
        <v>82.83</v>
      </c>
      <c r="N1531">
        <f>'raw data Crude oil'!N1532</f>
        <v>81.22</v>
      </c>
      <c r="O1531">
        <f>'raw data Crude oil'!O1532</f>
        <v>81.14</v>
      </c>
      <c r="P1531">
        <f>'raw data Crude oil'!P1532</f>
        <v>81.03</v>
      </c>
      <c r="Q1531">
        <f>'raw data Crude oil'!Q1532</f>
        <v>80.849999999999994</v>
      </c>
      <c r="R1531">
        <f>'raw data Crude oil'!R1532</f>
        <v>80.650000000000006</v>
      </c>
      <c r="S1531">
        <f>'raw data Crude oil'!S1532</f>
        <v>80.37</v>
      </c>
      <c r="T1531">
        <f>'raw data Crude oil'!T1532</f>
        <v>80.02</v>
      </c>
      <c r="U1531">
        <f>'raw data Crude oil'!U1532</f>
        <v>79.63</v>
      </c>
      <c r="V1531">
        <f>'raw data Crude oil'!V1532</f>
        <v>79.2</v>
      </c>
      <c r="W1531">
        <f>'raw data Crude oil'!W1532</f>
        <v>78.760000000000005</v>
      </c>
      <c r="X1531">
        <f>'raw data Crude oil'!X1532</f>
        <v>78.31</v>
      </c>
      <c r="Y1531">
        <f>'raw data Crude oil'!Y1532</f>
        <v>77.88</v>
      </c>
      <c r="Z1531">
        <f>'raw data Crude oil'!Z1532</f>
        <v>86.222999999999999</v>
      </c>
      <c r="AA1531">
        <f>'raw data Crude oil'!AA1532</f>
        <v>81.159000000000006</v>
      </c>
      <c r="AB1531">
        <f>'raw data Crude oil'!AB1532</f>
        <v>80.498999999999995</v>
      </c>
      <c r="AC1531">
        <f>'raw data Crude oil'!AC1532</f>
        <v>80.186000000000007</v>
      </c>
      <c r="AD1531">
        <f>'raw data Crude oil'!AD1532</f>
        <v>80.171999999999997</v>
      </c>
      <c r="AE1531">
        <f>'raw data Crude oil'!AE1532</f>
        <v>80.078000000000003</v>
      </c>
      <c r="AF1531">
        <f>'raw data Crude oil'!AF1532</f>
        <v>79.981999999999999</v>
      </c>
      <c r="AG1531">
        <f>'raw data Crude oil'!AG1532</f>
        <v>79.820999999999998</v>
      </c>
      <c r="AH1531">
        <f>'raw data Crude oil'!AH1532</f>
        <v>79.578999999999994</v>
      </c>
      <c r="AI1531">
        <f>'raw data Crude oil'!AI1532</f>
        <v>79.230999999999995</v>
      </c>
      <c r="AJ1531">
        <f>'raw data Crude oil'!AJ1532</f>
        <v>78.869</v>
      </c>
      <c r="AK1531">
        <f>'raw data Crude oil'!AK1532</f>
        <v>78.599000000000004</v>
      </c>
    </row>
    <row r="1532" spans="1:37" x14ac:dyDescent="0.3">
      <c r="A1532" s="18">
        <f>'raw data Crude oil'!A1533</f>
        <v>44897</v>
      </c>
      <c r="B1532">
        <f>'raw data Crude oil'!B1533</f>
        <v>85.57</v>
      </c>
      <c r="C1532">
        <f>'raw data Crude oil'!C1533</f>
        <v>85.55</v>
      </c>
      <c r="D1532">
        <f>'raw data Crude oil'!D1533</f>
        <v>85.43</v>
      </c>
      <c r="E1532">
        <f>'raw data Crude oil'!E1533</f>
        <v>85.27</v>
      </c>
      <c r="F1532">
        <f>'raw data Crude oil'!F1533</f>
        <v>84.98</v>
      </c>
      <c r="G1532">
        <f>'raw data Crude oil'!G1533</f>
        <v>84.66</v>
      </c>
      <c r="H1532">
        <f>'raw data Crude oil'!H1533</f>
        <v>84.3</v>
      </c>
      <c r="I1532">
        <f>'raw data Crude oil'!I1533</f>
        <v>83.94</v>
      </c>
      <c r="J1532">
        <f>'raw data Crude oil'!J1533</f>
        <v>83.57</v>
      </c>
      <c r="K1532">
        <f>'raw data Crude oil'!K1533</f>
        <v>83.22</v>
      </c>
      <c r="L1532">
        <f>'raw data Crude oil'!L1533</f>
        <v>82.87</v>
      </c>
      <c r="M1532">
        <f>'raw data Crude oil'!M1533</f>
        <v>82.51</v>
      </c>
      <c r="N1532">
        <f>'raw data Crude oil'!N1533</f>
        <v>79.98</v>
      </c>
      <c r="O1532">
        <f>'raw data Crude oil'!O1533</f>
        <v>80.05</v>
      </c>
      <c r="P1532">
        <f>'raw data Crude oil'!P1533</f>
        <v>80.08</v>
      </c>
      <c r="Q1532">
        <f>'raw data Crude oil'!Q1533</f>
        <v>80.02</v>
      </c>
      <c r="R1532">
        <f>'raw data Crude oil'!R1533</f>
        <v>79.930000000000007</v>
      </c>
      <c r="S1532">
        <f>'raw data Crude oil'!S1533</f>
        <v>79.78</v>
      </c>
      <c r="T1532">
        <f>'raw data Crude oil'!T1533</f>
        <v>79.55</v>
      </c>
      <c r="U1532">
        <f>'raw data Crude oil'!U1533</f>
        <v>79.260000000000005</v>
      </c>
      <c r="V1532">
        <f>'raw data Crude oil'!V1533</f>
        <v>78.930000000000007</v>
      </c>
      <c r="W1532">
        <f>'raw data Crude oil'!W1533</f>
        <v>78.58</v>
      </c>
      <c r="X1532">
        <f>'raw data Crude oil'!X1533</f>
        <v>78.22</v>
      </c>
      <c r="Y1532">
        <f>'raw data Crude oil'!Y1533</f>
        <v>77.84</v>
      </c>
      <c r="Z1532">
        <f>'raw data Crude oil'!Z1533</f>
        <v>79.960999999999999</v>
      </c>
      <c r="AA1532">
        <f>'raw data Crude oil'!AA1533</f>
        <v>79.272999999999996</v>
      </c>
      <c r="AB1532">
        <f>'raw data Crude oil'!AB1533</f>
        <v>79.061999999999998</v>
      </c>
      <c r="AC1532">
        <f>'raw data Crude oil'!AC1533</f>
        <v>79.161000000000001</v>
      </c>
      <c r="AD1532">
        <f>'raw data Crude oil'!AD1533</f>
        <v>79.22</v>
      </c>
      <c r="AE1532">
        <f>'raw data Crude oil'!AE1533</f>
        <v>79.198999999999998</v>
      </c>
      <c r="AF1532">
        <f>'raw data Crude oil'!AF1533</f>
        <v>79.019000000000005</v>
      </c>
      <c r="AG1532">
        <f>'raw data Crude oil'!AG1533</f>
        <v>78.867999999999995</v>
      </c>
      <c r="AH1532">
        <f>'raw data Crude oil'!AH1533</f>
        <v>78.594999999999999</v>
      </c>
      <c r="AI1532">
        <f>'raw data Crude oil'!AI1533</f>
        <v>78.293000000000006</v>
      </c>
      <c r="AJ1532">
        <f>'raw data Crude oil'!AJ1533</f>
        <v>77.983999999999995</v>
      </c>
      <c r="AK1532">
        <f>'raw data Crude oil'!AK1533</f>
        <v>77.643000000000001</v>
      </c>
    </row>
    <row r="1533" spans="1:37" x14ac:dyDescent="0.3">
      <c r="A1533" s="18">
        <f>'raw data Crude oil'!A1534</f>
        <v>44900</v>
      </c>
      <c r="B1533">
        <f>'raw data Crude oil'!B1534</f>
        <v>82.68</v>
      </c>
      <c r="C1533">
        <f>'raw data Crude oil'!C1534</f>
        <v>82.66</v>
      </c>
      <c r="D1533">
        <f>'raw data Crude oil'!D1534</f>
        <v>82.63</v>
      </c>
      <c r="E1533">
        <f>'raw data Crude oil'!E1534</f>
        <v>82.59</v>
      </c>
      <c r="F1533">
        <f>'raw data Crude oil'!F1534</f>
        <v>82.44</v>
      </c>
      <c r="G1533">
        <f>'raw data Crude oil'!G1534</f>
        <v>82.26</v>
      </c>
      <c r="H1533">
        <f>'raw data Crude oil'!H1534</f>
        <v>82.01</v>
      </c>
      <c r="I1533">
        <f>'raw data Crude oil'!I1534</f>
        <v>81.73</v>
      </c>
      <c r="J1533">
        <f>'raw data Crude oil'!J1534</f>
        <v>81.430000000000007</v>
      </c>
      <c r="K1533">
        <f>'raw data Crude oil'!K1534</f>
        <v>81.13</v>
      </c>
      <c r="L1533">
        <f>'raw data Crude oil'!L1534</f>
        <v>80.819999999999993</v>
      </c>
      <c r="M1533">
        <f>'raw data Crude oil'!M1534</f>
        <v>80.510000000000005</v>
      </c>
      <c r="N1533">
        <f>'raw data Crude oil'!N1534</f>
        <v>76.930000000000007</v>
      </c>
      <c r="O1533">
        <f>'raw data Crude oil'!O1534</f>
        <v>77.08</v>
      </c>
      <c r="P1533">
        <f>'raw data Crude oil'!P1534</f>
        <v>77.2</v>
      </c>
      <c r="Q1533">
        <f>'raw data Crude oil'!Q1534</f>
        <v>77.31</v>
      </c>
      <c r="R1533">
        <f>'raw data Crude oil'!R1534</f>
        <v>77.400000000000006</v>
      </c>
      <c r="S1533">
        <f>'raw data Crude oil'!S1534</f>
        <v>77.39</v>
      </c>
      <c r="T1533">
        <f>'raw data Crude oil'!T1534</f>
        <v>77.28</v>
      </c>
      <c r="U1533">
        <f>'raw data Crude oil'!U1534</f>
        <v>77.09</v>
      </c>
      <c r="V1533">
        <f>'raw data Crude oil'!V1534</f>
        <v>76.83</v>
      </c>
      <c r="W1533">
        <f>'raw data Crude oil'!W1534</f>
        <v>76.540000000000006</v>
      </c>
      <c r="X1533">
        <f>'raw data Crude oil'!X1534</f>
        <v>76.25</v>
      </c>
      <c r="Y1533">
        <f>'raw data Crude oil'!Y1534</f>
        <v>75.959999999999994</v>
      </c>
      <c r="Z1533">
        <f>'raw data Crude oil'!Z1534</f>
        <v>77.813000000000002</v>
      </c>
      <c r="AA1533">
        <f>'raw data Crude oil'!AA1534</f>
        <v>76.724000000000004</v>
      </c>
      <c r="AB1533">
        <f>'raw data Crude oil'!AB1534</f>
        <v>76.558000000000007</v>
      </c>
      <c r="AC1533">
        <f>'raw data Crude oil'!AC1534</f>
        <v>76.647999999999996</v>
      </c>
      <c r="AD1533">
        <f>'raw data Crude oil'!AD1534</f>
        <v>76.811000000000007</v>
      </c>
      <c r="AE1533">
        <f>'raw data Crude oil'!AE1534</f>
        <v>76.759</v>
      </c>
      <c r="AF1533">
        <f>'raw data Crude oil'!AF1534</f>
        <v>76.606999999999999</v>
      </c>
      <c r="AG1533">
        <f>'raw data Crude oil'!AG1534</f>
        <v>76.516000000000005</v>
      </c>
      <c r="AH1533">
        <f>'raw data Crude oil'!AH1534</f>
        <v>76.316999999999993</v>
      </c>
      <c r="AI1533">
        <f>'raw data Crude oil'!AI1534</f>
        <v>76.135000000000005</v>
      </c>
      <c r="AJ1533">
        <f>'raw data Crude oil'!AJ1534</f>
        <v>75.876000000000005</v>
      </c>
      <c r="AK1533">
        <f>'raw data Crude oil'!AK1534</f>
        <v>75.614999999999995</v>
      </c>
    </row>
    <row r="1534" spans="1:37" x14ac:dyDescent="0.3">
      <c r="A1534" s="18">
        <f>'raw data Crude oil'!A1535</f>
        <v>44901</v>
      </c>
      <c r="B1534">
        <f>'raw data Crude oil'!B1535</f>
        <v>79.349999999999994</v>
      </c>
      <c r="C1534">
        <f>'raw data Crude oil'!C1535</f>
        <v>79.67</v>
      </c>
      <c r="D1534">
        <f>'raw data Crude oil'!D1535</f>
        <v>79.84</v>
      </c>
      <c r="E1534">
        <f>'raw data Crude oil'!E1535</f>
        <v>79.91</v>
      </c>
      <c r="F1534">
        <f>'raw data Crude oil'!F1535</f>
        <v>79.83</v>
      </c>
      <c r="G1534">
        <f>'raw data Crude oil'!G1535</f>
        <v>79.680000000000007</v>
      </c>
      <c r="H1534">
        <f>'raw data Crude oil'!H1535</f>
        <v>79.45</v>
      </c>
      <c r="I1534">
        <f>'raw data Crude oil'!I1535</f>
        <v>79.19</v>
      </c>
      <c r="J1534">
        <f>'raw data Crude oil'!J1535</f>
        <v>78.92</v>
      </c>
      <c r="K1534">
        <f>'raw data Crude oil'!K1535</f>
        <v>78.63</v>
      </c>
      <c r="L1534">
        <f>'raw data Crude oil'!L1535</f>
        <v>78.36</v>
      </c>
      <c r="M1534">
        <f>'raw data Crude oil'!M1535</f>
        <v>78.09</v>
      </c>
      <c r="N1534">
        <f>'raw data Crude oil'!N1535</f>
        <v>74.25</v>
      </c>
      <c r="O1534">
        <f>'raw data Crude oil'!O1535</f>
        <v>74.459999999999994</v>
      </c>
      <c r="P1534">
        <f>'raw data Crude oil'!P1535</f>
        <v>74.63</v>
      </c>
      <c r="Q1534">
        <f>'raw data Crude oil'!Q1535</f>
        <v>74.75</v>
      </c>
      <c r="R1534">
        <f>'raw data Crude oil'!R1535</f>
        <v>74.86</v>
      </c>
      <c r="S1534">
        <f>'raw data Crude oil'!S1535</f>
        <v>74.91</v>
      </c>
      <c r="T1534">
        <f>'raw data Crude oil'!T1535</f>
        <v>74.849999999999994</v>
      </c>
      <c r="U1534">
        <f>'raw data Crude oil'!U1535</f>
        <v>74.7</v>
      </c>
      <c r="V1534">
        <f>'raw data Crude oil'!V1535</f>
        <v>74.47</v>
      </c>
      <c r="W1534">
        <f>'raw data Crude oil'!W1535</f>
        <v>74.209999999999994</v>
      </c>
      <c r="X1534">
        <f>'raw data Crude oil'!X1535</f>
        <v>73.94</v>
      </c>
      <c r="Y1534">
        <f>'raw data Crude oil'!Y1535</f>
        <v>73.66</v>
      </c>
      <c r="Z1534">
        <f>'raw data Crude oil'!Z1535</f>
        <v>75.638999999999996</v>
      </c>
      <c r="AA1534">
        <f>'raw data Crude oil'!AA1535</f>
        <v>73.798000000000002</v>
      </c>
      <c r="AB1534">
        <f>'raw data Crude oil'!AB1535</f>
        <v>73.823999999999998</v>
      </c>
      <c r="AC1534">
        <f>'raw data Crude oil'!AC1535</f>
        <v>74.012</v>
      </c>
      <c r="AD1534">
        <f>'raw data Crude oil'!AD1535</f>
        <v>74.191999999999993</v>
      </c>
      <c r="AE1534">
        <f>'raw data Crude oil'!AE1535</f>
        <v>74.239999999999995</v>
      </c>
      <c r="AF1534">
        <f>'raw data Crude oil'!AF1535</f>
        <v>74.158000000000001</v>
      </c>
      <c r="AG1534">
        <f>'raw data Crude oil'!AG1535</f>
        <v>74.057000000000002</v>
      </c>
      <c r="AH1534">
        <f>'raw data Crude oil'!AH1535</f>
        <v>73.906999999999996</v>
      </c>
      <c r="AI1534">
        <f>'raw data Crude oil'!AI1535</f>
        <v>73.716999999999999</v>
      </c>
      <c r="AJ1534">
        <f>'raw data Crude oil'!AJ1535</f>
        <v>73.488</v>
      </c>
      <c r="AK1534">
        <f>'raw data Crude oil'!AK1535</f>
        <v>73.257999999999996</v>
      </c>
    </row>
    <row r="1535" spans="1:37" x14ac:dyDescent="0.3">
      <c r="A1535" s="18">
        <f>'raw data Crude oil'!A1536</f>
        <v>44902</v>
      </c>
      <c r="B1535">
        <f>'raw data Crude oil'!B1536</f>
        <v>77.17</v>
      </c>
      <c r="C1535">
        <f>'raw data Crude oil'!C1536</f>
        <v>77.59</v>
      </c>
      <c r="D1535">
        <f>'raw data Crude oil'!D1536</f>
        <v>77.83</v>
      </c>
      <c r="E1535">
        <f>'raw data Crude oil'!E1536</f>
        <v>77.97</v>
      </c>
      <c r="F1535">
        <f>'raw data Crude oil'!F1536</f>
        <v>77.92</v>
      </c>
      <c r="G1535">
        <f>'raw data Crude oil'!G1536</f>
        <v>77.819999999999993</v>
      </c>
      <c r="H1535">
        <f>'raw data Crude oil'!H1536</f>
        <v>77.64</v>
      </c>
      <c r="I1535">
        <f>'raw data Crude oil'!I1536</f>
        <v>77.42</v>
      </c>
      <c r="J1535">
        <f>'raw data Crude oil'!J1536</f>
        <v>77.17</v>
      </c>
      <c r="K1535">
        <f>'raw data Crude oil'!K1536</f>
        <v>76.91</v>
      </c>
      <c r="L1535">
        <f>'raw data Crude oil'!L1536</f>
        <v>76.64</v>
      </c>
      <c r="M1535">
        <f>'raw data Crude oil'!M1536</f>
        <v>76.39</v>
      </c>
      <c r="N1535">
        <f>'raw data Crude oil'!N1536</f>
        <v>72.010000000000005</v>
      </c>
      <c r="O1535">
        <f>'raw data Crude oil'!O1536</f>
        <v>72.28</v>
      </c>
      <c r="P1535">
        <f>'raw data Crude oil'!P1536</f>
        <v>72.52</v>
      </c>
      <c r="Q1535">
        <f>'raw data Crude oil'!Q1536</f>
        <v>72.72</v>
      </c>
      <c r="R1535">
        <f>'raw data Crude oil'!R1536</f>
        <v>72.900000000000006</v>
      </c>
      <c r="S1535">
        <f>'raw data Crude oil'!S1536</f>
        <v>73</v>
      </c>
      <c r="T1535">
        <f>'raw data Crude oil'!T1536</f>
        <v>72.98</v>
      </c>
      <c r="U1535">
        <f>'raw data Crude oil'!U1536</f>
        <v>72.87</v>
      </c>
      <c r="V1535">
        <f>'raw data Crude oil'!V1536</f>
        <v>72.69</v>
      </c>
      <c r="W1535">
        <f>'raw data Crude oil'!W1536</f>
        <v>72.47</v>
      </c>
      <c r="X1535">
        <f>'raw data Crude oil'!X1536</f>
        <v>72.23</v>
      </c>
      <c r="Y1535">
        <f>'raw data Crude oil'!Y1536</f>
        <v>71.97</v>
      </c>
      <c r="Z1535">
        <f>'raw data Crude oil'!Z1536</f>
        <v>73.852000000000004</v>
      </c>
      <c r="AA1535">
        <f>'raw data Crude oil'!AA1536</f>
        <v>71.641000000000005</v>
      </c>
      <c r="AB1535">
        <f>'raw data Crude oil'!AB1536</f>
        <v>71.617000000000004</v>
      </c>
      <c r="AC1535">
        <f>'raw data Crude oil'!AC1536</f>
        <v>71.808000000000007</v>
      </c>
      <c r="AD1535">
        <f>'raw data Crude oil'!AD1536</f>
        <v>71.924999999999997</v>
      </c>
      <c r="AE1535">
        <f>'raw data Crude oil'!AE1536</f>
        <v>71.962000000000003</v>
      </c>
      <c r="AF1535">
        <f>'raw data Crude oil'!AF1536</f>
        <v>71.900000000000006</v>
      </c>
      <c r="AG1535">
        <f>'raw data Crude oil'!AG1536</f>
        <v>71.757999999999996</v>
      </c>
      <c r="AH1535">
        <f>'raw data Crude oil'!AH1536</f>
        <v>71.599000000000004</v>
      </c>
      <c r="AI1535">
        <f>'raw data Crude oil'!AI1536</f>
        <v>71.417000000000002</v>
      </c>
      <c r="AJ1535">
        <f>'raw data Crude oil'!AJ1536</f>
        <v>71.218999999999994</v>
      </c>
      <c r="AK1535">
        <f>'raw data Crude oil'!AK1536</f>
        <v>71.028000000000006</v>
      </c>
    </row>
    <row r="1536" spans="1:37" x14ac:dyDescent="0.3">
      <c r="A1536" s="18">
        <f>'raw data Crude oil'!A1537</f>
        <v>44903</v>
      </c>
      <c r="B1536">
        <f>'raw data Crude oil'!B1537</f>
        <v>76.150000000000006</v>
      </c>
      <c r="C1536">
        <f>'raw data Crude oil'!C1537</f>
        <v>76.59</v>
      </c>
      <c r="D1536">
        <f>'raw data Crude oil'!D1537</f>
        <v>76.83</v>
      </c>
      <c r="E1536">
        <f>'raw data Crude oil'!E1537</f>
        <v>77</v>
      </c>
      <c r="F1536">
        <f>'raw data Crude oil'!F1537</f>
        <v>76.98</v>
      </c>
      <c r="G1536">
        <f>'raw data Crude oil'!G1537</f>
        <v>76.91</v>
      </c>
      <c r="H1536">
        <f>'raw data Crude oil'!H1537</f>
        <v>76.760000000000005</v>
      </c>
      <c r="I1536">
        <f>'raw data Crude oil'!I1537</f>
        <v>76.569999999999993</v>
      </c>
      <c r="J1536">
        <f>'raw data Crude oil'!J1537</f>
        <v>76.349999999999994</v>
      </c>
      <c r="K1536">
        <f>'raw data Crude oil'!K1537</f>
        <v>76.11</v>
      </c>
      <c r="L1536">
        <f>'raw data Crude oil'!L1537</f>
        <v>75.88</v>
      </c>
      <c r="M1536">
        <f>'raw data Crude oil'!M1537</f>
        <v>75.64</v>
      </c>
      <c r="N1536">
        <f>'raw data Crude oil'!N1537</f>
        <v>71.459999999999994</v>
      </c>
      <c r="O1536">
        <f>'raw data Crude oil'!O1537</f>
        <v>71.58</v>
      </c>
      <c r="P1536">
        <f>'raw data Crude oil'!P1537</f>
        <v>71.72</v>
      </c>
      <c r="Q1536">
        <f>'raw data Crude oil'!Q1537</f>
        <v>71.900000000000006</v>
      </c>
      <c r="R1536">
        <f>'raw data Crude oil'!R1537</f>
        <v>72.099999999999994</v>
      </c>
      <c r="S1536">
        <f>'raw data Crude oil'!S1537</f>
        <v>72.209999999999994</v>
      </c>
      <c r="T1536">
        <f>'raw data Crude oil'!T1537</f>
        <v>72.209999999999994</v>
      </c>
      <c r="U1536">
        <f>'raw data Crude oil'!U1537</f>
        <v>72.13</v>
      </c>
      <c r="V1536">
        <f>'raw data Crude oil'!V1537</f>
        <v>71.98</v>
      </c>
      <c r="W1536">
        <f>'raw data Crude oil'!W1537</f>
        <v>71.78</v>
      </c>
      <c r="X1536">
        <f>'raw data Crude oil'!X1537</f>
        <v>71.569999999999993</v>
      </c>
      <c r="Y1536">
        <f>'raw data Crude oil'!Y1537</f>
        <v>71.34</v>
      </c>
      <c r="Z1536">
        <f>'raw data Crude oil'!Z1537</f>
        <v>73.632000000000005</v>
      </c>
      <c r="AA1536">
        <f>'raw data Crude oil'!AA1537</f>
        <v>71.081000000000003</v>
      </c>
      <c r="AB1536">
        <f>'raw data Crude oil'!AB1537</f>
        <v>70.927000000000007</v>
      </c>
      <c r="AC1536">
        <f>'raw data Crude oil'!AC1537</f>
        <v>71.057000000000002</v>
      </c>
      <c r="AD1536">
        <f>'raw data Crude oil'!AD1537</f>
        <v>71.135999999999996</v>
      </c>
      <c r="AE1536">
        <f>'raw data Crude oil'!AE1537</f>
        <v>71.153000000000006</v>
      </c>
      <c r="AF1536">
        <f>'raw data Crude oil'!AF1537</f>
        <v>71.100999999999999</v>
      </c>
      <c r="AG1536">
        <f>'raw data Crude oil'!AG1537</f>
        <v>71.03</v>
      </c>
      <c r="AH1536">
        <f>'raw data Crude oil'!AH1537</f>
        <v>70.849999999999994</v>
      </c>
      <c r="AI1536">
        <f>'raw data Crude oil'!AI1537</f>
        <v>70.659000000000006</v>
      </c>
      <c r="AJ1536">
        <f>'raw data Crude oil'!AJ1537</f>
        <v>70.468999999999994</v>
      </c>
      <c r="AK1536">
        <f>'raw data Crude oil'!AK1537</f>
        <v>70.28</v>
      </c>
    </row>
    <row r="1537" spans="1:37" x14ac:dyDescent="0.3">
      <c r="A1537" s="18">
        <f>'raw data Crude oil'!A1538</f>
        <v>44904</v>
      </c>
      <c r="B1537">
        <f>'raw data Crude oil'!B1538</f>
        <v>76.099999999999994</v>
      </c>
      <c r="C1537">
        <f>'raw data Crude oil'!C1538</f>
        <v>76.599999999999994</v>
      </c>
      <c r="D1537">
        <f>'raw data Crude oil'!D1538</f>
        <v>76.84</v>
      </c>
      <c r="E1537">
        <f>'raw data Crude oil'!E1538</f>
        <v>77</v>
      </c>
      <c r="F1537">
        <f>'raw data Crude oil'!F1538</f>
        <v>76.97</v>
      </c>
      <c r="G1537">
        <f>'raw data Crude oil'!G1538</f>
        <v>76.89</v>
      </c>
      <c r="H1537">
        <f>'raw data Crude oil'!H1538</f>
        <v>76.75</v>
      </c>
      <c r="I1537">
        <f>'raw data Crude oil'!I1538</f>
        <v>76.569999999999993</v>
      </c>
      <c r="J1537">
        <f>'raw data Crude oil'!J1538</f>
        <v>76.349999999999994</v>
      </c>
      <c r="K1537">
        <f>'raw data Crude oil'!K1538</f>
        <v>76.12</v>
      </c>
      <c r="L1537">
        <f>'raw data Crude oil'!L1538</f>
        <v>75.89</v>
      </c>
      <c r="M1537">
        <f>'raw data Crude oil'!M1538</f>
        <v>75.67</v>
      </c>
      <c r="N1537">
        <f>'raw data Crude oil'!N1538</f>
        <v>71.02</v>
      </c>
      <c r="O1537">
        <f>'raw data Crude oil'!O1538</f>
        <v>71.209999999999994</v>
      </c>
      <c r="P1537">
        <f>'raw data Crude oil'!P1538</f>
        <v>71.430000000000007</v>
      </c>
      <c r="Q1537">
        <f>'raw data Crude oil'!Q1538</f>
        <v>71.67</v>
      </c>
      <c r="R1537">
        <f>'raw data Crude oil'!R1538</f>
        <v>71.89</v>
      </c>
      <c r="S1537">
        <f>'raw data Crude oil'!S1538</f>
        <v>72.02</v>
      </c>
      <c r="T1537">
        <f>'raw data Crude oil'!T1538</f>
        <v>72.05</v>
      </c>
      <c r="U1537">
        <f>'raw data Crude oil'!U1538</f>
        <v>71.989999999999995</v>
      </c>
      <c r="V1537">
        <f>'raw data Crude oil'!V1538</f>
        <v>71.86</v>
      </c>
      <c r="W1537">
        <f>'raw data Crude oil'!W1538</f>
        <v>71.680000000000007</v>
      </c>
      <c r="X1537">
        <f>'raw data Crude oil'!X1538</f>
        <v>71.510000000000005</v>
      </c>
      <c r="Y1537">
        <f>'raw data Crude oil'!Y1538</f>
        <v>71.31</v>
      </c>
      <c r="Z1537">
        <f>'raw data Crude oil'!Z1538</f>
        <v>74.102999999999994</v>
      </c>
      <c r="AA1537">
        <f>'raw data Crude oil'!AA1538</f>
        <v>71.760999999999996</v>
      </c>
      <c r="AB1537">
        <f>'raw data Crude oil'!AB1538</f>
        <v>71.453000000000003</v>
      </c>
      <c r="AC1537">
        <f>'raw data Crude oil'!AC1538</f>
        <v>71.539000000000001</v>
      </c>
      <c r="AD1537">
        <f>'raw data Crude oil'!AD1538</f>
        <v>71.585999999999999</v>
      </c>
      <c r="AE1537">
        <f>'raw data Crude oil'!AE1538</f>
        <v>71.584000000000003</v>
      </c>
      <c r="AF1537">
        <f>'raw data Crude oil'!AF1538</f>
        <v>71.542000000000002</v>
      </c>
      <c r="AG1537">
        <f>'raw data Crude oil'!AG1538</f>
        <v>71.41</v>
      </c>
      <c r="AH1537">
        <f>'raw data Crude oil'!AH1538</f>
        <v>71.27</v>
      </c>
      <c r="AI1537">
        <f>'raw data Crude oil'!AI1538</f>
        <v>71.078999999999994</v>
      </c>
      <c r="AJ1537">
        <f>'raw data Crude oil'!AJ1538</f>
        <v>70.91</v>
      </c>
      <c r="AK1537">
        <f>'raw data Crude oil'!AK1538</f>
        <v>70.731999999999999</v>
      </c>
    </row>
    <row r="1538" spans="1:37" x14ac:dyDescent="0.3">
      <c r="A1538" s="18">
        <f>'raw data Crude oil'!A1539</f>
        <v>44907</v>
      </c>
      <c r="B1538">
        <f>'raw data Crude oil'!B1539</f>
        <v>77.989999999999995</v>
      </c>
      <c r="C1538">
        <f>'raw data Crude oil'!C1539</f>
        <v>78.34</v>
      </c>
      <c r="D1538">
        <f>'raw data Crude oil'!D1539</f>
        <v>78.47</v>
      </c>
      <c r="E1538">
        <f>'raw data Crude oil'!E1539</f>
        <v>78.55</v>
      </c>
      <c r="F1538">
        <f>'raw data Crude oil'!F1539</f>
        <v>78.48</v>
      </c>
      <c r="G1538">
        <f>'raw data Crude oil'!G1539</f>
        <v>78.38</v>
      </c>
      <c r="H1538">
        <f>'raw data Crude oil'!H1539</f>
        <v>78.209999999999994</v>
      </c>
      <c r="I1538">
        <f>'raw data Crude oil'!I1539</f>
        <v>77.989999999999995</v>
      </c>
      <c r="J1538">
        <f>'raw data Crude oil'!J1539</f>
        <v>77.73</v>
      </c>
      <c r="K1538">
        <f>'raw data Crude oil'!K1539</f>
        <v>77.48</v>
      </c>
      <c r="L1538">
        <f>'raw data Crude oil'!L1539</f>
        <v>77.23</v>
      </c>
      <c r="M1538">
        <f>'raw data Crude oil'!M1539</f>
        <v>76.98</v>
      </c>
      <c r="N1538">
        <f>'raw data Crude oil'!N1539</f>
        <v>73.17</v>
      </c>
      <c r="O1538">
        <f>'raw data Crude oil'!O1539</f>
        <v>73.28</v>
      </c>
      <c r="P1538">
        <f>'raw data Crude oil'!P1539</f>
        <v>73.459999999999994</v>
      </c>
      <c r="Q1538">
        <f>'raw data Crude oil'!Q1539</f>
        <v>73.63</v>
      </c>
      <c r="R1538">
        <f>'raw data Crude oil'!R1539</f>
        <v>73.77</v>
      </c>
      <c r="S1538">
        <f>'raw data Crude oil'!S1539</f>
        <v>73.84</v>
      </c>
      <c r="T1538">
        <f>'raw data Crude oil'!T1539</f>
        <v>73.790000000000006</v>
      </c>
      <c r="U1538">
        <f>'raw data Crude oil'!U1539</f>
        <v>73.66</v>
      </c>
      <c r="V1538">
        <f>'raw data Crude oil'!V1539</f>
        <v>73.47</v>
      </c>
      <c r="W1538">
        <f>'raw data Crude oil'!W1539</f>
        <v>73.25</v>
      </c>
      <c r="X1538">
        <f>'raw data Crude oil'!X1539</f>
        <v>73.02</v>
      </c>
      <c r="Y1538">
        <f>'raw data Crude oil'!Y1539</f>
        <v>72.78</v>
      </c>
      <c r="Z1538">
        <f>'raw data Crude oil'!Z1539</f>
        <v>75.087999999999994</v>
      </c>
      <c r="AA1538">
        <f>'raw data Crude oil'!AA1539</f>
        <v>73.456000000000003</v>
      </c>
      <c r="AB1538">
        <f>'raw data Crude oil'!AB1539</f>
        <v>73.054000000000002</v>
      </c>
      <c r="AC1538">
        <f>'raw data Crude oil'!AC1539</f>
        <v>73.066999999999993</v>
      </c>
      <c r="AD1538">
        <f>'raw data Crude oil'!AD1539</f>
        <v>73.075000000000003</v>
      </c>
      <c r="AE1538">
        <f>'raw data Crude oil'!AE1539</f>
        <v>73.052999999999997</v>
      </c>
      <c r="AF1538">
        <f>'raw data Crude oil'!AF1539</f>
        <v>73.05</v>
      </c>
      <c r="AG1538">
        <f>'raw data Crude oil'!AG1539</f>
        <v>72.888000000000005</v>
      </c>
      <c r="AH1538">
        <f>'raw data Crude oil'!AH1539</f>
        <v>72.668999999999997</v>
      </c>
      <c r="AI1538">
        <f>'raw data Crude oil'!AI1539</f>
        <v>72.447999999999993</v>
      </c>
      <c r="AJ1538">
        <f>'raw data Crude oil'!AJ1539</f>
        <v>72.218999999999994</v>
      </c>
      <c r="AK1538">
        <f>'raw data Crude oil'!AK1539</f>
        <v>72.05</v>
      </c>
    </row>
    <row r="1539" spans="1:37" x14ac:dyDescent="0.3">
      <c r="A1539" s="18">
        <f>'raw data Crude oil'!A1540</f>
        <v>44908</v>
      </c>
      <c r="B1539">
        <f>'raw data Crude oil'!B1540</f>
        <v>80.680000000000007</v>
      </c>
      <c r="C1539">
        <f>'raw data Crude oil'!C1540</f>
        <v>80.86</v>
      </c>
      <c r="D1539">
        <f>'raw data Crude oil'!D1540</f>
        <v>80.790000000000006</v>
      </c>
      <c r="E1539">
        <f>'raw data Crude oil'!E1540</f>
        <v>80.680000000000007</v>
      </c>
      <c r="F1539">
        <f>'raw data Crude oil'!F1540</f>
        <v>80.47</v>
      </c>
      <c r="G1539">
        <f>'raw data Crude oil'!G1540</f>
        <v>80.260000000000005</v>
      </c>
      <c r="H1539">
        <f>'raw data Crude oil'!H1540</f>
        <v>79.98</v>
      </c>
      <c r="I1539">
        <f>'raw data Crude oil'!I1540</f>
        <v>79.650000000000006</v>
      </c>
      <c r="J1539">
        <f>'raw data Crude oil'!J1540</f>
        <v>79.290000000000006</v>
      </c>
      <c r="K1539">
        <f>'raw data Crude oil'!K1540</f>
        <v>78.930000000000007</v>
      </c>
      <c r="L1539">
        <f>'raw data Crude oil'!L1540</f>
        <v>78.58</v>
      </c>
      <c r="M1539">
        <f>'raw data Crude oil'!M1540</f>
        <v>78.25</v>
      </c>
      <c r="N1539">
        <f>'raw data Crude oil'!N1540</f>
        <v>75.39</v>
      </c>
      <c r="O1539">
        <f>'raw data Crude oil'!O1540</f>
        <v>75.44</v>
      </c>
      <c r="P1539">
        <f>'raw data Crude oil'!P1540</f>
        <v>75.58</v>
      </c>
      <c r="Q1539">
        <f>'raw data Crude oil'!Q1540</f>
        <v>75.67</v>
      </c>
      <c r="R1539">
        <f>'raw data Crude oil'!R1540</f>
        <v>75.709999999999994</v>
      </c>
      <c r="S1539">
        <f>'raw data Crude oil'!S1540</f>
        <v>75.67</v>
      </c>
      <c r="T1539">
        <f>'raw data Crude oil'!T1540</f>
        <v>75.52</v>
      </c>
      <c r="U1539">
        <f>'raw data Crude oil'!U1540</f>
        <v>75.290000000000006</v>
      </c>
      <c r="V1539">
        <f>'raw data Crude oil'!V1540</f>
        <v>75</v>
      </c>
      <c r="W1539">
        <f>'raw data Crude oil'!W1540</f>
        <v>74.67</v>
      </c>
      <c r="X1539">
        <f>'raw data Crude oil'!X1540</f>
        <v>74.34</v>
      </c>
      <c r="Y1539">
        <f>'raw data Crude oil'!Y1540</f>
        <v>74.02</v>
      </c>
      <c r="Z1539">
        <f>'raw data Crude oil'!Z1540</f>
        <v>76.673000000000002</v>
      </c>
      <c r="AA1539">
        <f>'raw data Crude oil'!AA1540</f>
        <v>76.016999999999996</v>
      </c>
      <c r="AB1539">
        <f>'raw data Crude oil'!AB1540</f>
        <v>75.465000000000003</v>
      </c>
      <c r="AC1539">
        <f>'raw data Crude oil'!AC1540</f>
        <v>75.281000000000006</v>
      </c>
      <c r="AD1539">
        <f>'raw data Crude oil'!AD1540</f>
        <v>75.069000000000003</v>
      </c>
      <c r="AE1539">
        <f>'raw data Crude oil'!AE1540</f>
        <v>74.908000000000001</v>
      </c>
      <c r="AF1539">
        <f>'raw data Crude oil'!AF1540</f>
        <v>74.715000000000003</v>
      </c>
      <c r="AG1539">
        <f>'raw data Crude oil'!AG1540</f>
        <v>74.442999999999998</v>
      </c>
      <c r="AH1539">
        <f>'raw data Crude oil'!AH1540</f>
        <v>74.164000000000001</v>
      </c>
      <c r="AI1539">
        <f>'raw data Crude oil'!AI1540</f>
        <v>73.822999999999993</v>
      </c>
      <c r="AJ1539">
        <f>'raw data Crude oil'!AJ1540</f>
        <v>73.515000000000001</v>
      </c>
      <c r="AK1539">
        <f>'raw data Crude oil'!AK1540</f>
        <v>73.234999999999999</v>
      </c>
    </row>
    <row r="1540" spans="1:37" x14ac:dyDescent="0.3">
      <c r="A1540" s="18">
        <f>'raw data Crude oil'!A1541</f>
        <v>44909</v>
      </c>
      <c r="B1540">
        <f>'raw data Crude oil'!B1541</f>
        <v>82.7</v>
      </c>
      <c r="C1540">
        <f>'raw data Crude oil'!C1541</f>
        <v>82.75</v>
      </c>
      <c r="D1540">
        <f>'raw data Crude oil'!D1541</f>
        <v>82.49</v>
      </c>
      <c r="E1540">
        <f>'raw data Crude oil'!E1541</f>
        <v>82.27</v>
      </c>
      <c r="F1540">
        <f>'raw data Crude oil'!F1541</f>
        <v>81.99</v>
      </c>
      <c r="G1540">
        <f>'raw data Crude oil'!G1541</f>
        <v>81.72</v>
      </c>
      <c r="H1540">
        <f>'raw data Crude oil'!H1541</f>
        <v>81.39</v>
      </c>
      <c r="I1540">
        <f>'raw data Crude oil'!I1541</f>
        <v>81.03</v>
      </c>
      <c r="J1540">
        <f>'raw data Crude oil'!J1541</f>
        <v>80.62</v>
      </c>
      <c r="K1540">
        <f>'raw data Crude oil'!K1541</f>
        <v>80.22</v>
      </c>
      <c r="L1540">
        <f>'raw data Crude oil'!L1541</f>
        <v>79.83</v>
      </c>
      <c r="M1540">
        <f>'raw data Crude oil'!M1541</f>
        <v>79.459999999999994</v>
      </c>
      <c r="N1540">
        <f>'raw data Crude oil'!N1541</f>
        <v>77.28</v>
      </c>
      <c r="O1540">
        <f>'raw data Crude oil'!O1541</f>
        <v>77.31</v>
      </c>
      <c r="P1540">
        <f>'raw data Crude oil'!P1541</f>
        <v>77.33</v>
      </c>
      <c r="Q1540">
        <f>'raw data Crude oil'!Q1541</f>
        <v>77.28</v>
      </c>
      <c r="R1540">
        <f>'raw data Crude oil'!R1541</f>
        <v>77.2</v>
      </c>
      <c r="S1540">
        <f>'raw data Crude oil'!S1541</f>
        <v>77.040000000000006</v>
      </c>
      <c r="T1540">
        <f>'raw data Crude oil'!T1541</f>
        <v>76.81</v>
      </c>
      <c r="U1540">
        <f>'raw data Crude oil'!U1541</f>
        <v>76.510000000000005</v>
      </c>
      <c r="V1540">
        <f>'raw data Crude oil'!V1541</f>
        <v>76.180000000000007</v>
      </c>
      <c r="W1540">
        <f>'raw data Crude oil'!W1541</f>
        <v>75.81</v>
      </c>
      <c r="X1540">
        <f>'raw data Crude oil'!X1541</f>
        <v>75.44</v>
      </c>
      <c r="Y1540">
        <f>'raw data Crude oil'!Y1541</f>
        <v>75.06</v>
      </c>
      <c r="Z1540">
        <f>'raw data Crude oil'!Z1541</f>
        <v>77.56</v>
      </c>
      <c r="AA1540">
        <f>'raw data Crude oil'!AA1541</f>
        <v>77.778000000000006</v>
      </c>
      <c r="AB1540">
        <f>'raw data Crude oil'!AB1541</f>
        <v>77.049000000000007</v>
      </c>
      <c r="AC1540">
        <f>'raw data Crude oil'!AC1541</f>
        <v>76.778000000000006</v>
      </c>
      <c r="AD1540">
        <f>'raw data Crude oil'!AD1541</f>
        <v>76.506</v>
      </c>
      <c r="AE1540">
        <f>'raw data Crude oil'!AE1541</f>
        <v>76.266000000000005</v>
      </c>
      <c r="AF1540">
        <f>'raw data Crude oil'!AF1541</f>
        <v>76.013999999999996</v>
      </c>
      <c r="AG1540">
        <f>'raw data Crude oil'!AG1541</f>
        <v>75.72</v>
      </c>
      <c r="AH1540">
        <f>'raw data Crude oil'!AH1541</f>
        <v>75.412999999999997</v>
      </c>
      <c r="AI1540">
        <f>'raw data Crude oil'!AI1541</f>
        <v>75.070999999999998</v>
      </c>
      <c r="AJ1540">
        <f>'raw data Crude oil'!AJ1541</f>
        <v>74.703000000000003</v>
      </c>
      <c r="AK1540">
        <f>'raw data Crude oil'!AK1541</f>
        <v>74.343000000000004</v>
      </c>
    </row>
    <row r="1541" spans="1:37" x14ac:dyDescent="0.3">
      <c r="A1541" s="18">
        <f>'raw data Crude oil'!A1542</f>
        <v>44910</v>
      </c>
      <c r="B1541">
        <f>'raw data Crude oil'!B1542</f>
        <v>81.209999999999994</v>
      </c>
      <c r="C1541">
        <f>'raw data Crude oil'!C1542</f>
        <v>81.319999999999993</v>
      </c>
      <c r="D1541">
        <f>'raw data Crude oil'!D1542</f>
        <v>80.989999999999995</v>
      </c>
      <c r="E1541">
        <f>'raw data Crude oil'!E1542</f>
        <v>80.7</v>
      </c>
      <c r="F1541">
        <f>'raw data Crude oil'!F1542</f>
        <v>80.38</v>
      </c>
      <c r="G1541">
        <f>'raw data Crude oil'!G1542</f>
        <v>80.08</v>
      </c>
      <c r="H1541">
        <f>'raw data Crude oil'!H1542</f>
        <v>79.73</v>
      </c>
      <c r="I1541">
        <f>'raw data Crude oil'!I1542</f>
        <v>79.349999999999994</v>
      </c>
      <c r="J1541">
        <f>'raw data Crude oil'!J1542</f>
        <v>78.97</v>
      </c>
      <c r="K1541">
        <f>'raw data Crude oil'!K1542</f>
        <v>78.59</v>
      </c>
      <c r="L1541">
        <f>'raw data Crude oil'!L1542</f>
        <v>78.209999999999994</v>
      </c>
      <c r="M1541">
        <f>'raw data Crude oil'!M1542</f>
        <v>77.83</v>
      </c>
      <c r="N1541">
        <f>'raw data Crude oil'!N1542</f>
        <v>76.11</v>
      </c>
      <c r="O1541">
        <f>'raw data Crude oil'!O1542</f>
        <v>76.150000000000006</v>
      </c>
      <c r="P1541">
        <f>'raw data Crude oil'!P1542</f>
        <v>76.12</v>
      </c>
      <c r="Q1541">
        <f>'raw data Crude oil'!Q1542</f>
        <v>75.989999999999995</v>
      </c>
      <c r="R1541">
        <f>'raw data Crude oil'!R1542</f>
        <v>75.819999999999993</v>
      </c>
      <c r="S1541">
        <f>'raw data Crude oil'!S1542</f>
        <v>75.61</v>
      </c>
      <c r="T1541">
        <f>'raw data Crude oil'!T1542</f>
        <v>75.34</v>
      </c>
      <c r="U1541">
        <f>'raw data Crude oil'!U1542</f>
        <v>75.02</v>
      </c>
      <c r="V1541">
        <f>'raw data Crude oil'!V1542</f>
        <v>74.67</v>
      </c>
      <c r="W1541">
        <f>'raw data Crude oil'!W1542</f>
        <v>74.31</v>
      </c>
      <c r="X1541">
        <f>'raw data Crude oil'!X1542</f>
        <v>73.94</v>
      </c>
      <c r="Y1541">
        <f>'raw data Crude oil'!Y1542</f>
        <v>73.540000000000006</v>
      </c>
      <c r="Z1541">
        <f>'raw data Crude oil'!Z1542</f>
        <v>76.817999999999998</v>
      </c>
      <c r="AA1541">
        <f>'raw data Crude oil'!AA1542</f>
        <v>76.453999999999994</v>
      </c>
      <c r="AB1541">
        <f>'raw data Crude oil'!AB1542</f>
        <v>75.585999999999999</v>
      </c>
      <c r="AC1541">
        <f>'raw data Crude oil'!AC1542</f>
        <v>75.221000000000004</v>
      </c>
      <c r="AD1541">
        <f>'raw data Crude oil'!AD1542</f>
        <v>74.903999999999996</v>
      </c>
      <c r="AE1541">
        <f>'raw data Crude oil'!AE1542</f>
        <v>74.625</v>
      </c>
      <c r="AF1541">
        <f>'raw data Crude oil'!AF1542</f>
        <v>74.322999999999993</v>
      </c>
      <c r="AG1541">
        <f>'raw data Crude oil'!AG1542</f>
        <v>74.001999999999995</v>
      </c>
      <c r="AH1541">
        <f>'raw data Crude oil'!AH1542</f>
        <v>73.712999999999994</v>
      </c>
      <c r="AI1541">
        <f>'raw data Crude oil'!AI1542</f>
        <v>73.421999999999997</v>
      </c>
      <c r="AJ1541">
        <f>'raw data Crude oil'!AJ1542</f>
        <v>73.063000000000002</v>
      </c>
      <c r="AK1541">
        <f>'raw data Crude oil'!AK1542</f>
        <v>72.664000000000001</v>
      </c>
    </row>
    <row r="1542" spans="1:37" x14ac:dyDescent="0.3">
      <c r="A1542" s="18">
        <f>'raw data Crude oil'!A1543</f>
        <v>44911</v>
      </c>
      <c r="B1542">
        <f>'raw data Crude oil'!B1543</f>
        <v>79.040000000000006</v>
      </c>
      <c r="C1542">
        <f>'raw data Crude oil'!C1543</f>
        <v>79.489999999999995</v>
      </c>
      <c r="D1542">
        <f>'raw data Crude oil'!D1543</f>
        <v>79.36</v>
      </c>
      <c r="E1542">
        <f>'raw data Crude oil'!E1543</f>
        <v>79.16</v>
      </c>
      <c r="F1542">
        <f>'raw data Crude oil'!F1543</f>
        <v>78.92</v>
      </c>
      <c r="G1542">
        <f>'raw data Crude oil'!G1543</f>
        <v>78.67</v>
      </c>
      <c r="H1542">
        <f>'raw data Crude oil'!H1543</f>
        <v>78.38</v>
      </c>
      <c r="I1542">
        <f>'raw data Crude oil'!I1543</f>
        <v>78.06</v>
      </c>
      <c r="J1542">
        <f>'raw data Crude oil'!J1543</f>
        <v>77.72</v>
      </c>
      <c r="K1542">
        <f>'raw data Crude oil'!K1543</f>
        <v>77.39</v>
      </c>
      <c r="L1542">
        <f>'raw data Crude oil'!L1543</f>
        <v>77.06</v>
      </c>
      <c r="M1542">
        <f>'raw data Crude oil'!M1543</f>
        <v>76.709999999999994</v>
      </c>
      <c r="N1542">
        <f>'raw data Crude oil'!N1543</f>
        <v>74.290000000000006</v>
      </c>
      <c r="O1542">
        <f>'raw data Crude oil'!O1543</f>
        <v>74.459999999999994</v>
      </c>
      <c r="P1542">
        <f>'raw data Crude oil'!P1543</f>
        <v>74.540000000000006</v>
      </c>
      <c r="Q1542">
        <f>'raw data Crude oil'!Q1543</f>
        <v>74.52</v>
      </c>
      <c r="R1542">
        <f>'raw data Crude oil'!R1543</f>
        <v>74.44</v>
      </c>
      <c r="S1542">
        <f>'raw data Crude oil'!S1543</f>
        <v>74.27</v>
      </c>
      <c r="T1542">
        <f>'raw data Crude oil'!T1543</f>
        <v>74.040000000000006</v>
      </c>
      <c r="U1542">
        <f>'raw data Crude oil'!U1543</f>
        <v>73.760000000000005</v>
      </c>
      <c r="V1542">
        <f>'raw data Crude oil'!V1543</f>
        <v>73.44</v>
      </c>
      <c r="W1542">
        <f>'raw data Crude oil'!W1543</f>
        <v>73.12</v>
      </c>
      <c r="X1542">
        <f>'raw data Crude oil'!X1543</f>
        <v>72.790000000000006</v>
      </c>
      <c r="Y1542">
        <f>'raw data Crude oil'!Y1543</f>
        <v>72.459999999999994</v>
      </c>
      <c r="Z1542">
        <f>'raw data Crude oil'!Z1543</f>
        <v>75.983000000000004</v>
      </c>
      <c r="AA1542">
        <f>'raw data Crude oil'!AA1543</f>
        <v>74.634</v>
      </c>
      <c r="AB1542">
        <f>'raw data Crude oil'!AB1543</f>
        <v>74.05</v>
      </c>
      <c r="AC1542">
        <f>'raw data Crude oil'!AC1543</f>
        <v>73.73</v>
      </c>
      <c r="AD1542">
        <f>'raw data Crude oil'!AD1543</f>
        <v>73.477000000000004</v>
      </c>
      <c r="AE1542">
        <f>'raw data Crude oil'!AE1543</f>
        <v>73.227000000000004</v>
      </c>
      <c r="AF1542">
        <f>'raw data Crude oil'!AF1543</f>
        <v>72.954999999999998</v>
      </c>
      <c r="AG1542">
        <f>'raw data Crude oil'!AG1543</f>
        <v>72.703999999999994</v>
      </c>
      <c r="AH1542">
        <f>'raw data Crude oil'!AH1543</f>
        <v>72.426000000000002</v>
      </c>
      <c r="AI1542">
        <f>'raw data Crude oil'!AI1543</f>
        <v>72.153999999999996</v>
      </c>
      <c r="AJ1542">
        <f>'raw data Crude oil'!AJ1543</f>
        <v>71.774000000000001</v>
      </c>
      <c r="AK1542">
        <f>'raw data Crude oil'!AK1543</f>
        <v>71.424999999999997</v>
      </c>
    </row>
    <row r="1543" spans="1:37" x14ac:dyDescent="0.3">
      <c r="A1543" s="18">
        <f>'raw data Crude oil'!A1544</f>
        <v>44914</v>
      </c>
      <c r="B1543">
        <f>'raw data Crude oil'!B1544</f>
        <v>79.8</v>
      </c>
      <c r="C1543">
        <f>'raw data Crude oil'!C1544</f>
        <v>80.14</v>
      </c>
      <c r="D1543">
        <f>'raw data Crude oil'!D1544</f>
        <v>79.87</v>
      </c>
      <c r="E1543">
        <f>'raw data Crude oil'!E1544</f>
        <v>79.599999999999994</v>
      </c>
      <c r="F1543">
        <f>'raw data Crude oil'!F1544</f>
        <v>79.290000000000006</v>
      </c>
      <c r="G1543">
        <f>'raw data Crude oil'!G1544</f>
        <v>78.98</v>
      </c>
      <c r="H1543">
        <f>'raw data Crude oil'!H1544</f>
        <v>78.650000000000006</v>
      </c>
      <c r="I1543">
        <f>'raw data Crude oil'!I1544</f>
        <v>78.31</v>
      </c>
      <c r="J1543">
        <f>'raw data Crude oil'!J1544</f>
        <v>77.95</v>
      </c>
      <c r="K1543">
        <f>'raw data Crude oil'!K1544</f>
        <v>77.599999999999994</v>
      </c>
      <c r="L1543">
        <f>'raw data Crude oil'!L1544</f>
        <v>77.290000000000006</v>
      </c>
      <c r="M1543">
        <f>'raw data Crude oil'!M1544</f>
        <v>76.95</v>
      </c>
      <c r="N1543">
        <f>'raw data Crude oil'!N1544</f>
        <v>75.19</v>
      </c>
      <c r="O1543">
        <f>'raw data Crude oil'!O1544</f>
        <v>75.38</v>
      </c>
      <c r="P1543">
        <f>'raw data Crude oil'!P1544</f>
        <v>75.44</v>
      </c>
      <c r="Q1543">
        <f>'raw data Crude oil'!Q1544</f>
        <v>75.38</v>
      </c>
      <c r="R1543">
        <f>'raw data Crude oil'!R1544</f>
        <v>75.239999999999995</v>
      </c>
      <c r="S1543">
        <f>'raw data Crude oil'!S1544</f>
        <v>75.02</v>
      </c>
      <c r="T1543">
        <f>'raw data Crude oil'!T1544</f>
        <v>74.73</v>
      </c>
      <c r="U1543">
        <f>'raw data Crude oil'!U1544</f>
        <v>74.400000000000006</v>
      </c>
      <c r="V1543">
        <f>'raw data Crude oil'!V1544</f>
        <v>74.05</v>
      </c>
      <c r="W1543">
        <f>'raw data Crude oil'!W1544</f>
        <v>73.7</v>
      </c>
      <c r="X1543">
        <f>'raw data Crude oil'!X1544</f>
        <v>73.36</v>
      </c>
      <c r="Y1543">
        <f>'raw data Crude oil'!Y1544</f>
        <v>73</v>
      </c>
      <c r="Z1543">
        <f>'raw data Crude oil'!Z1544</f>
        <v>76.277000000000001</v>
      </c>
      <c r="AA1543">
        <f>'raw data Crude oil'!AA1544</f>
        <v>75.387</v>
      </c>
      <c r="AB1543">
        <f>'raw data Crude oil'!AB1544</f>
        <v>74.587000000000003</v>
      </c>
      <c r="AC1543">
        <f>'raw data Crude oil'!AC1544</f>
        <v>74.227000000000004</v>
      </c>
      <c r="AD1543">
        <f>'raw data Crude oil'!AD1544</f>
        <v>73.914000000000001</v>
      </c>
      <c r="AE1543">
        <f>'raw data Crude oil'!AE1544</f>
        <v>73.575999999999993</v>
      </c>
      <c r="AF1543">
        <f>'raw data Crude oil'!AF1544</f>
        <v>73.245000000000005</v>
      </c>
      <c r="AG1543">
        <f>'raw data Crude oil'!AG1544</f>
        <v>72.962999999999994</v>
      </c>
      <c r="AH1543">
        <f>'raw data Crude oil'!AH1544</f>
        <v>72.655000000000001</v>
      </c>
      <c r="AI1543">
        <f>'raw data Crude oil'!AI1544</f>
        <v>72.334999999999994</v>
      </c>
      <c r="AJ1543">
        <f>'raw data Crude oil'!AJ1544</f>
        <v>72.025000000000006</v>
      </c>
      <c r="AK1543">
        <f>'raw data Crude oil'!AK1544</f>
        <v>71.674999999999997</v>
      </c>
    </row>
    <row r="1544" spans="1:37" x14ac:dyDescent="0.3">
      <c r="A1544" s="18">
        <f>'raw data Crude oil'!A1545</f>
        <v>44915</v>
      </c>
      <c r="B1544">
        <f>'raw data Crude oil'!B1545</f>
        <v>79.989999999999995</v>
      </c>
      <c r="C1544">
        <f>'raw data Crude oil'!C1545</f>
        <v>80.53</v>
      </c>
      <c r="D1544">
        <f>'raw data Crude oil'!D1545</f>
        <v>80.44</v>
      </c>
      <c r="E1544">
        <f>'raw data Crude oil'!E1545</f>
        <v>80.25</v>
      </c>
      <c r="F1544">
        <f>'raw data Crude oil'!F1545</f>
        <v>79.97</v>
      </c>
      <c r="G1544">
        <f>'raw data Crude oil'!G1545</f>
        <v>79.680000000000007</v>
      </c>
      <c r="H1544">
        <f>'raw data Crude oil'!H1545</f>
        <v>79.34</v>
      </c>
      <c r="I1544">
        <f>'raw data Crude oil'!I1545</f>
        <v>78.97</v>
      </c>
      <c r="J1544">
        <f>'raw data Crude oil'!J1545</f>
        <v>78.59</v>
      </c>
      <c r="K1544">
        <f>'raw data Crude oil'!K1545</f>
        <v>78.23</v>
      </c>
      <c r="L1544">
        <f>'raw data Crude oil'!L1545</f>
        <v>77.91</v>
      </c>
      <c r="M1544">
        <f>'raw data Crude oil'!M1545</f>
        <v>77.55</v>
      </c>
      <c r="N1544">
        <f>'raw data Crude oil'!N1545</f>
        <v>76.09</v>
      </c>
      <c r="O1544">
        <f>'raw data Crude oil'!O1545</f>
        <v>76.23</v>
      </c>
      <c r="P1544">
        <f>'raw data Crude oil'!P1545</f>
        <v>76.23</v>
      </c>
      <c r="Q1544">
        <f>'raw data Crude oil'!Q1545</f>
        <v>76.16</v>
      </c>
      <c r="R1544">
        <f>'raw data Crude oil'!R1545</f>
        <v>76</v>
      </c>
      <c r="S1544">
        <f>'raw data Crude oil'!S1545</f>
        <v>75.739999999999995</v>
      </c>
      <c r="T1544">
        <f>'raw data Crude oil'!T1545</f>
        <v>75.42</v>
      </c>
      <c r="U1544">
        <f>'raw data Crude oil'!U1545</f>
        <v>75.06</v>
      </c>
      <c r="V1544">
        <f>'raw data Crude oil'!V1545</f>
        <v>74.709999999999994</v>
      </c>
      <c r="W1544">
        <f>'raw data Crude oil'!W1545</f>
        <v>74.36</v>
      </c>
      <c r="X1544">
        <f>'raw data Crude oil'!X1545</f>
        <v>74.02</v>
      </c>
      <c r="Y1544">
        <f>'raw data Crude oil'!Y1545</f>
        <v>73.680000000000007</v>
      </c>
      <c r="Z1544">
        <f>'raw data Crude oil'!Z1545</f>
        <v>76.438000000000002</v>
      </c>
      <c r="AA1544">
        <f>'raw data Crude oil'!AA1545</f>
        <v>75.896000000000001</v>
      </c>
      <c r="AB1544">
        <f>'raw data Crude oil'!AB1545</f>
        <v>75.271000000000001</v>
      </c>
      <c r="AC1544">
        <f>'raw data Crude oil'!AC1545</f>
        <v>74.908000000000001</v>
      </c>
      <c r="AD1544">
        <f>'raw data Crude oil'!AD1545</f>
        <v>74.575000000000003</v>
      </c>
      <c r="AE1544">
        <f>'raw data Crude oil'!AE1545</f>
        <v>74.245000000000005</v>
      </c>
      <c r="AF1544">
        <f>'raw data Crude oil'!AF1545</f>
        <v>73.882999999999996</v>
      </c>
      <c r="AG1544">
        <f>'raw data Crude oil'!AG1545</f>
        <v>73.552000000000007</v>
      </c>
      <c r="AH1544">
        <f>'raw data Crude oil'!AH1545</f>
        <v>73.213999999999999</v>
      </c>
      <c r="AI1544">
        <f>'raw data Crude oil'!AI1545</f>
        <v>72.885000000000005</v>
      </c>
      <c r="AJ1544">
        <f>'raw data Crude oil'!AJ1545</f>
        <v>72.554000000000002</v>
      </c>
      <c r="AK1544">
        <f>'raw data Crude oil'!AK1545</f>
        <v>72.194000000000003</v>
      </c>
    </row>
    <row r="1545" spans="1:37" x14ac:dyDescent="0.3">
      <c r="A1545" s="18">
        <f>'raw data Crude oil'!A1546</f>
        <v>44916</v>
      </c>
      <c r="B1545">
        <f>'raw data Crude oil'!B1546</f>
        <v>82.2</v>
      </c>
      <c r="C1545">
        <f>'raw data Crude oil'!C1546</f>
        <v>82.58</v>
      </c>
      <c r="D1545">
        <f>'raw data Crude oil'!D1546</f>
        <v>82.39</v>
      </c>
      <c r="E1545">
        <f>'raw data Crude oil'!E1546</f>
        <v>82.14</v>
      </c>
      <c r="F1545">
        <f>'raw data Crude oil'!F1546</f>
        <v>81.78</v>
      </c>
      <c r="G1545">
        <f>'raw data Crude oil'!G1546</f>
        <v>81.400000000000006</v>
      </c>
      <c r="H1545">
        <f>'raw data Crude oil'!H1546</f>
        <v>80.95</v>
      </c>
      <c r="I1545">
        <f>'raw data Crude oil'!I1546</f>
        <v>80.489999999999995</v>
      </c>
      <c r="J1545">
        <f>'raw data Crude oil'!J1546</f>
        <v>80.03</v>
      </c>
      <c r="K1545">
        <f>'raw data Crude oil'!K1546</f>
        <v>79.599999999999994</v>
      </c>
      <c r="L1545">
        <f>'raw data Crude oil'!L1546</f>
        <v>79.22</v>
      </c>
      <c r="M1545">
        <f>'raw data Crude oil'!M1546</f>
        <v>78.8</v>
      </c>
      <c r="N1545">
        <f>'raw data Crude oil'!N1546</f>
        <v>78.290000000000006</v>
      </c>
      <c r="O1545">
        <f>'raw data Crude oil'!O1546</f>
        <v>78.239999999999995</v>
      </c>
      <c r="P1545">
        <f>'raw data Crude oil'!P1546</f>
        <v>78.09</v>
      </c>
      <c r="Q1545">
        <f>'raw data Crude oil'!Q1546</f>
        <v>77.819999999999993</v>
      </c>
      <c r="R1545">
        <f>'raw data Crude oil'!R1546</f>
        <v>77.459999999999994</v>
      </c>
      <c r="S1545">
        <f>'raw data Crude oil'!S1546</f>
        <v>77.05</v>
      </c>
      <c r="T1545">
        <f>'raw data Crude oil'!T1546</f>
        <v>76.61</v>
      </c>
      <c r="U1545">
        <f>'raw data Crude oil'!U1546</f>
        <v>76.16</v>
      </c>
      <c r="V1545">
        <f>'raw data Crude oil'!V1546</f>
        <v>75.709999999999994</v>
      </c>
      <c r="W1545">
        <f>'raw data Crude oil'!W1546</f>
        <v>75.290000000000006</v>
      </c>
      <c r="X1545">
        <f>'raw data Crude oil'!X1546</f>
        <v>74.86</v>
      </c>
      <c r="Y1545">
        <f>'raw data Crude oil'!Y1546</f>
        <v>74.400000000000006</v>
      </c>
      <c r="Z1545">
        <f>'raw data Crude oil'!Z1546</f>
        <v>77.090999999999994</v>
      </c>
      <c r="AA1545">
        <f>'raw data Crude oil'!AA1546</f>
        <v>78.141000000000005</v>
      </c>
      <c r="AB1545">
        <f>'raw data Crude oil'!AB1546</f>
        <v>77.393000000000001</v>
      </c>
      <c r="AC1545">
        <f>'raw data Crude oil'!AC1546</f>
        <v>77.034000000000006</v>
      </c>
      <c r="AD1545">
        <f>'raw data Crude oil'!AD1546</f>
        <v>76.67</v>
      </c>
      <c r="AE1545">
        <f>'raw data Crude oil'!AE1546</f>
        <v>76.260000000000005</v>
      </c>
      <c r="AF1545">
        <f>'raw data Crude oil'!AF1546</f>
        <v>75.808999999999997</v>
      </c>
      <c r="AG1545">
        <f>'raw data Crude oil'!AG1546</f>
        <v>75.378</v>
      </c>
      <c r="AH1545">
        <f>'raw data Crude oil'!AH1546</f>
        <v>74.960999999999999</v>
      </c>
      <c r="AI1545">
        <f>'raw data Crude oil'!AI1546</f>
        <v>74.542000000000002</v>
      </c>
      <c r="AJ1545">
        <f>'raw data Crude oil'!AJ1546</f>
        <v>74.131</v>
      </c>
      <c r="AK1545">
        <f>'raw data Crude oil'!AK1546</f>
        <v>73.700999999999993</v>
      </c>
    </row>
    <row r="1546" spans="1:37" x14ac:dyDescent="0.3">
      <c r="A1546" s="18">
        <f>'raw data Crude oil'!A1547</f>
        <v>44917</v>
      </c>
      <c r="B1546">
        <f>'raw data Crude oil'!B1547</f>
        <v>80.98</v>
      </c>
      <c r="C1546">
        <f>'raw data Crude oil'!C1547</f>
        <v>81.67</v>
      </c>
      <c r="D1546">
        <f>'raw data Crude oil'!D1547</f>
        <v>81.459999999999994</v>
      </c>
      <c r="E1546">
        <f>'raw data Crude oil'!E1547</f>
        <v>81.19</v>
      </c>
      <c r="F1546">
        <f>'raw data Crude oil'!F1547</f>
        <v>80.84</v>
      </c>
      <c r="G1546">
        <f>'raw data Crude oil'!G1547</f>
        <v>80.44</v>
      </c>
      <c r="H1546">
        <f>'raw data Crude oil'!H1547</f>
        <v>79.989999999999995</v>
      </c>
      <c r="I1546">
        <f>'raw data Crude oil'!I1547</f>
        <v>79.55</v>
      </c>
      <c r="J1546">
        <f>'raw data Crude oil'!J1547</f>
        <v>79.11</v>
      </c>
      <c r="K1546">
        <f>'raw data Crude oil'!K1547</f>
        <v>78.69</v>
      </c>
      <c r="L1546">
        <f>'raw data Crude oil'!L1547</f>
        <v>78.319999999999993</v>
      </c>
      <c r="M1546">
        <f>'raw data Crude oil'!M1547</f>
        <v>77.91</v>
      </c>
      <c r="N1546">
        <f>'raw data Crude oil'!N1547</f>
        <v>77.489999999999995</v>
      </c>
      <c r="O1546">
        <f>'raw data Crude oil'!O1547</f>
        <v>77.42</v>
      </c>
      <c r="P1546">
        <f>'raw data Crude oil'!P1547</f>
        <v>77.260000000000005</v>
      </c>
      <c r="Q1546">
        <f>'raw data Crude oil'!Q1547</f>
        <v>76.989999999999995</v>
      </c>
      <c r="R1546">
        <f>'raw data Crude oil'!R1547</f>
        <v>76.64</v>
      </c>
      <c r="S1546">
        <f>'raw data Crude oil'!S1547</f>
        <v>76.23</v>
      </c>
      <c r="T1546">
        <f>'raw data Crude oil'!T1547</f>
        <v>75.790000000000006</v>
      </c>
      <c r="U1546">
        <f>'raw data Crude oil'!U1547</f>
        <v>75.34</v>
      </c>
      <c r="V1546">
        <f>'raw data Crude oil'!V1547</f>
        <v>74.900000000000006</v>
      </c>
      <c r="W1546">
        <f>'raw data Crude oil'!W1547</f>
        <v>74.489999999999995</v>
      </c>
      <c r="X1546">
        <f>'raw data Crude oil'!X1547</f>
        <v>74.069999999999993</v>
      </c>
      <c r="Y1546">
        <f>'raw data Crude oil'!Y1547</f>
        <v>73.62</v>
      </c>
      <c r="Z1546">
        <f>'raw data Crude oil'!Z1547</f>
        <v>76.912999999999997</v>
      </c>
      <c r="AA1546">
        <f>'raw data Crude oil'!AA1547</f>
        <v>77.36</v>
      </c>
      <c r="AB1546">
        <f>'raw data Crude oil'!AB1547</f>
        <v>76.647000000000006</v>
      </c>
      <c r="AC1546">
        <f>'raw data Crude oil'!AC1547</f>
        <v>76.284999999999997</v>
      </c>
      <c r="AD1546">
        <f>'raw data Crude oil'!AD1547</f>
        <v>75.978999999999999</v>
      </c>
      <c r="AE1546">
        <f>'raw data Crude oil'!AE1547</f>
        <v>75.569999999999993</v>
      </c>
      <c r="AF1546">
        <f>'raw data Crude oil'!AF1547</f>
        <v>75.11</v>
      </c>
      <c r="AG1546">
        <f>'raw data Crude oil'!AG1547</f>
        <v>74.698999999999998</v>
      </c>
      <c r="AH1546">
        <f>'raw data Crude oil'!AH1547</f>
        <v>74.292000000000002</v>
      </c>
      <c r="AI1546">
        <f>'raw data Crude oil'!AI1547</f>
        <v>73.872</v>
      </c>
      <c r="AJ1546">
        <f>'raw data Crude oil'!AJ1547</f>
        <v>73.460999999999999</v>
      </c>
      <c r="AK1546">
        <f>'raw data Crude oil'!AK1547</f>
        <v>73.040999999999997</v>
      </c>
    </row>
    <row r="1547" spans="1:37" x14ac:dyDescent="0.3">
      <c r="A1547" s="18">
        <f>'raw data Crude oil'!A1548</f>
        <v>44918</v>
      </c>
      <c r="B1547">
        <f>'raw data Crude oil'!B1548</f>
        <v>83.92</v>
      </c>
      <c r="C1547">
        <f>'raw data Crude oil'!C1548</f>
        <v>84.5</v>
      </c>
      <c r="D1547">
        <f>'raw data Crude oil'!D1548</f>
        <v>84.34</v>
      </c>
      <c r="E1547">
        <f>'raw data Crude oil'!E1548</f>
        <v>84.06</v>
      </c>
      <c r="F1547">
        <f>'raw data Crude oil'!F1548</f>
        <v>83.65</v>
      </c>
      <c r="G1547">
        <f>'raw data Crude oil'!G1548</f>
        <v>83.21</v>
      </c>
      <c r="H1547">
        <f>'raw data Crude oil'!H1548</f>
        <v>82.74</v>
      </c>
      <c r="I1547">
        <f>'raw data Crude oil'!I1548</f>
        <v>82.28</v>
      </c>
      <c r="J1547">
        <f>'raw data Crude oil'!J1548</f>
        <v>81.81</v>
      </c>
      <c r="K1547">
        <f>'raw data Crude oil'!K1548</f>
        <v>81.37</v>
      </c>
      <c r="L1547">
        <f>'raw data Crude oil'!L1548</f>
        <v>80.959999999999994</v>
      </c>
      <c r="M1547">
        <f>'raw data Crude oil'!M1548</f>
        <v>80.53</v>
      </c>
      <c r="N1547">
        <f>'raw data Crude oil'!N1548</f>
        <v>79.56</v>
      </c>
      <c r="O1547">
        <f>'raw data Crude oil'!O1548</f>
        <v>79.64</v>
      </c>
      <c r="P1547">
        <f>'raw data Crude oil'!P1548</f>
        <v>79.62</v>
      </c>
      <c r="Q1547">
        <f>'raw data Crude oil'!Q1548</f>
        <v>79.42</v>
      </c>
      <c r="R1547">
        <f>'raw data Crude oil'!R1548</f>
        <v>79.099999999999994</v>
      </c>
      <c r="S1547">
        <f>'raw data Crude oil'!S1548</f>
        <v>78.69</v>
      </c>
      <c r="T1547">
        <f>'raw data Crude oil'!T1548</f>
        <v>78.22</v>
      </c>
      <c r="U1547">
        <f>'raw data Crude oil'!U1548</f>
        <v>77.73</v>
      </c>
      <c r="V1547">
        <f>'raw data Crude oil'!V1548</f>
        <v>77.27</v>
      </c>
      <c r="W1547">
        <f>'raw data Crude oil'!W1548</f>
        <v>76.84</v>
      </c>
      <c r="X1547">
        <f>'raw data Crude oil'!X1548</f>
        <v>76.400000000000006</v>
      </c>
      <c r="Y1547">
        <f>'raw data Crude oil'!Y1548</f>
        <v>75.930000000000007</v>
      </c>
      <c r="Z1547">
        <f>'raw data Crude oil'!Z1548</f>
        <v>77.429000000000002</v>
      </c>
      <c r="AA1547">
        <f>'raw data Crude oil'!AA1548</f>
        <v>80.022000000000006</v>
      </c>
      <c r="AB1547">
        <f>'raw data Crude oil'!AB1548</f>
        <v>79.355999999999995</v>
      </c>
      <c r="AC1547">
        <f>'raw data Crude oil'!AC1548</f>
        <v>79.042000000000002</v>
      </c>
      <c r="AD1547">
        <f>'raw data Crude oil'!AD1548</f>
        <v>78.677000000000007</v>
      </c>
      <c r="AE1547">
        <f>'raw data Crude oil'!AE1548</f>
        <v>78.239999999999995</v>
      </c>
      <c r="AF1547">
        <f>'raw data Crude oil'!AF1548</f>
        <v>77.769000000000005</v>
      </c>
      <c r="AG1547">
        <f>'raw data Crude oil'!AG1548</f>
        <v>77.328000000000003</v>
      </c>
      <c r="AH1547">
        <f>'raw data Crude oil'!AH1548</f>
        <v>76.891000000000005</v>
      </c>
      <c r="AI1547">
        <f>'raw data Crude oil'!AI1548</f>
        <v>76.45</v>
      </c>
      <c r="AJ1547">
        <f>'raw data Crude oil'!AJ1548</f>
        <v>75.989999999999995</v>
      </c>
      <c r="AK1547">
        <f>'raw data Crude oil'!AK1548</f>
        <v>75.531000000000006</v>
      </c>
    </row>
    <row r="1548" spans="1:37" x14ac:dyDescent="0.3">
      <c r="A1548" s="18">
        <f>'raw data Crude oil'!A1549</f>
        <v>44922</v>
      </c>
      <c r="B1548">
        <f>'raw data Crude oil'!B1549</f>
        <v>84.33</v>
      </c>
      <c r="C1548">
        <f>'raw data Crude oil'!C1549</f>
        <v>84.68</v>
      </c>
      <c r="D1548">
        <f>'raw data Crude oil'!D1549</f>
        <v>84.58</v>
      </c>
      <c r="E1548">
        <f>'raw data Crude oil'!E1549</f>
        <v>84.33</v>
      </c>
      <c r="F1548">
        <f>'raw data Crude oil'!F1549</f>
        <v>83.92</v>
      </c>
      <c r="G1548">
        <f>'raw data Crude oil'!G1549</f>
        <v>83.47</v>
      </c>
      <c r="H1548">
        <f>'raw data Crude oil'!H1549</f>
        <v>83</v>
      </c>
      <c r="I1548">
        <f>'raw data Crude oil'!I1549</f>
        <v>82.54</v>
      </c>
      <c r="J1548">
        <f>'raw data Crude oil'!J1549</f>
        <v>82.08</v>
      </c>
      <c r="K1548">
        <f>'raw data Crude oil'!K1549</f>
        <v>81.64</v>
      </c>
      <c r="L1548">
        <f>'raw data Crude oil'!L1549</f>
        <v>81.23</v>
      </c>
      <c r="M1548">
        <f>'raw data Crude oil'!M1549</f>
        <v>80.8</v>
      </c>
      <c r="N1548">
        <f>'raw data Crude oil'!N1549</f>
        <v>79.53</v>
      </c>
      <c r="O1548">
        <f>'raw data Crude oil'!O1549</f>
        <v>79.64</v>
      </c>
      <c r="P1548">
        <f>'raw data Crude oil'!P1549</f>
        <v>79.680000000000007</v>
      </c>
      <c r="Q1548">
        <f>'raw data Crude oil'!Q1549</f>
        <v>79.569999999999993</v>
      </c>
      <c r="R1548">
        <f>'raw data Crude oil'!R1549</f>
        <v>79.31</v>
      </c>
      <c r="S1548">
        <f>'raw data Crude oil'!S1549</f>
        <v>78.94</v>
      </c>
      <c r="T1548">
        <f>'raw data Crude oil'!T1549</f>
        <v>78.489999999999995</v>
      </c>
      <c r="U1548">
        <f>'raw data Crude oil'!U1549</f>
        <v>78.010000000000005</v>
      </c>
      <c r="V1548">
        <f>'raw data Crude oil'!V1549</f>
        <v>77.52</v>
      </c>
      <c r="W1548">
        <f>'raw data Crude oil'!W1549</f>
        <v>77.069999999999993</v>
      </c>
      <c r="X1548">
        <f>'raw data Crude oil'!X1549</f>
        <v>76.63</v>
      </c>
      <c r="Y1548">
        <f>'raw data Crude oil'!Y1549</f>
        <v>76.16</v>
      </c>
      <c r="Z1548">
        <f>'raw data Crude oil'!Z1549</f>
        <v>77.456000000000003</v>
      </c>
      <c r="AA1548">
        <f>'raw data Crude oil'!AA1549</f>
        <v>80.204999999999998</v>
      </c>
      <c r="AB1548">
        <f>'raw data Crude oil'!AB1549</f>
        <v>79.528000000000006</v>
      </c>
      <c r="AC1548">
        <f>'raw data Crude oil'!AC1549</f>
        <v>79.191999999999993</v>
      </c>
      <c r="AD1548">
        <f>'raw data Crude oil'!AD1549</f>
        <v>78.825999999999993</v>
      </c>
      <c r="AE1548">
        <f>'raw data Crude oil'!AE1549</f>
        <v>78.37</v>
      </c>
      <c r="AF1548">
        <f>'raw data Crude oil'!AF1549</f>
        <v>77.899000000000001</v>
      </c>
      <c r="AG1548">
        <f>'raw data Crude oil'!AG1549</f>
        <v>77.447999999999993</v>
      </c>
      <c r="AH1548">
        <f>'raw data Crude oil'!AH1549</f>
        <v>77.010999999999996</v>
      </c>
      <c r="AI1548">
        <f>'raw data Crude oil'!AI1549</f>
        <v>76.59</v>
      </c>
      <c r="AJ1548">
        <f>'raw data Crude oil'!AJ1549</f>
        <v>76.180000000000007</v>
      </c>
      <c r="AK1548">
        <f>'raw data Crude oil'!AK1549</f>
        <v>75.75</v>
      </c>
    </row>
    <row r="1549" spans="1:37" x14ac:dyDescent="0.3">
      <c r="A1549" s="18">
        <f>'raw data Crude oil'!A1550</f>
        <v>44923</v>
      </c>
      <c r="B1549">
        <f>'raw data Crude oil'!B1550</f>
        <v>83.26</v>
      </c>
      <c r="C1549">
        <f>'raw data Crude oil'!C1550</f>
        <v>83.99</v>
      </c>
      <c r="D1549">
        <f>'raw data Crude oil'!D1550</f>
        <v>83.93</v>
      </c>
      <c r="E1549">
        <f>'raw data Crude oil'!E1550</f>
        <v>83.68</v>
      </c>
      <c r="F1549">
        <f>'raw data Crude oil'!F1550</f>
        <v>83.3</v>
      </c>
      <c r="G1549">
        <f>'raw data Crude oil'!G1550</f>
        <v>82.86</v>
      </c>
      <c r="H1549">
        <f>'raw data Crude oil'!H1550</f>
        <v>82.39</v>
      </c>
      <c r="I1549">
        <f>'raw data Crude oil'!I1550</f>
        <v>81.92</v>
      </c>
      <c r="J1549">
        <f>'raw data Crude oil'!J1550</f>
        <v>81.47</v>
      </c>
      <c r="K1549">
        <f>'raw data Crude oil'!K1550</f>
        <v>81.06</v>
      </c>
      <c r="L1549">
        <f>'raw data Crude oil'!L1550</f>
        <v>80.680000000000007</v>
      </c>
      <c r="M1549">
        <f>'raw data Crude oil'!M1550</f>
        <v>80.28</v>
      </c>
      <c r="N1549">
        <f>'raw data Crude oil'!N1550</f>
        <v>78.959999999999994</v>
      </c>
      <c r="O1549">
        <f>'raw data Crude oil'!O1550</f>
        <v>79.08</v>
      </c>
      <c r="P1549">
        <f>'raw data Crude oil'!P1550</f>
        <v>79.13</v>
      </c>
      <c r="Q1549">
        <f>'raw data Crude oil'!Q1550</f>
        <v>79.05</v>
      </c>
      <c r="R1549">
        <f>'raw data Crude oil'!R1550</f>
        <v>78.83</v>
      </c>
      <c r="S1549">
        <f>'raw data Crude oil'!S1550</f>
        <v>78.489999999999995</v>
      </c>
      <c r="T1549">
        <f>'raw data Crude oil'!T1550</f>
        <v>78.09</v>
      </c>
      <c r="U1549">
        <f>'raw data Crude oil'!U1550</f>
        <v>77.64</v>
      </c>
      <c r="V1549">
        <f>'raw data Crude oil'!V1550</f>
        <v>77.180000000000007</v>
      </c>
      <c r="W1549">
        <f>'raw data Crude oil'!W1550</f>
        <v>76.760000000000005</v>
      </c>
      <c r="X1549">
        <f>'raw data Crude oil'!X1550</f>
        <v>76.349999999999994</v>
      </c>
      <c r="Y1549">
        <f>'raw data Crude oil'!Y1550</f>
        <v>75.91</v>
      </c>
      <c r="Z1549">
        <f>'raw data Crude oil'!Z1550</f>
        <v>77.311999999999998</v>
      </c>
      <c r="AA1549">
        <f>'raw data Crude oil'!AA1550</f>
        <v>79.197000000000003</v>
      </c>
      <c r="AB1549">
        <f>'raw data Crude oil'!AB1550</f>
        <v>78.617999999999995</v>
      </c>
      <c r="AC1549">
        <f>'raw data Crude oil'!AC1550</f>
        <v>78.302999999999997</v>
      </c>
      <c r="AD1549">
        <f>'raw data Crude oil'!AD1550</f>
        <v>77.956999999999994</v>
      </c>
      <c r="AE1549">
        <f>'raw data Crude oil'!AE1550</f>
        <v>77.540000000000006</v>
      </c>
      <c r="AF1549">
        <f>'raw data Crude oil'!AF1550</f>
        <v>77.070999999999998</v>
      </c>
      <c r="AG1549">
        <f>'raw data Crude oil'!AG1550</f>
        <v>76.668999999999997</v>
      </c>
      <c r="AH1549">
        <f>'raw data Crude oil'!AH1550</f>
        <v>76.221999999999994</v>
      </c>
      <c r="AI1549">
        <f>'raw data Crude oil'!AI1550</f>
        <v>75.811999999999998</v>
      </c>
      <c r="AJ1549">
        <f>'raw data Crude oil'!AJ1550</f>
        <v>75.432000000000002</v>
      </c>
      <c r="AK1549">
        <f>'raw data Crude oil'!AK1550</f>
        <v>75.061999999999998</v>
      </c>
    </row>
    <row r="1550" spans="1:37" x14ac:dyDescent="0.3">
      <c r="A1550" s="18">
        <f>'raw data Crude oil'!A1551</f>
        <v>44924</v>
      </c>
      <c r="B1550">
        <f>'raw data Crude oil'!B1551</f>
        <v>82.26</v>
      </c>
      <c r="C1550">
        <f>'raw data Crude oil'!C1551</f>
        <v>83.46</v>
      </c>
      <c r="D1550">
        <f>'raw data Crude oil'!D1551</f>
        <v>83.31</v>
      </c>
      <c r="E1550">
        <f>'raw data Crude oil'!E1551</f>
        <v>83.01</v>
      </c>
      <c r="F1550">
        <f>'raw data Crude oil'!F1551</f>
        <v>82.58</v>
      </c>
      <c r="G1550">
        <f>'raw data Crude oil'!G1551</f>
        <v>82.09</v>
      </c>
      <c r="H1550">
        <f>'raw data Crude oil'!H1551</f>
        <v>81.59</v>
      </c>
      <c r="I1550">
        <f>'raw data Crude oil'!I1551</f>
        <v>81.099999999999994</v>
      </c>
      <c r="J1550">
        <f>'raw data Crude oil'!J1551</f>
        <v>80.62</v>
      </c>
      <c r="K1550">
        <f>'raw data Crude oil'!K1551</f>
        <v>80.2</v>
      </c>
      <c r="L1550">
        <f>'raw data Crude oil'!L1551</f>
        <v>79.81</v>
      </c>
      <c r="M1550">
        <f>'raw data Crude oil'!M1551</f>
        <v>79.400000000000006</v>
      </c>
      <c r="N1550">
        <f>'raw data Crude oil'!N1551</f>
        <v>78.400000000000006</v>
      </c>
      <c r="O1550">
        <f>'raw data Crude oil'!O1551</f>
        <v>78.5</v>
      </c>
      <c r="P1550">
        <f>'raw data Crude oil'!P1551</f>
        <v>78.540000000000006</v>
      </c>
      <c r="Q1550">
        <f>'raw data Crude oil'!Q1551</f>
        <v>78.459999999999994</v>
      </c>
      <c r="R1550">
        <f>'raw data Crude oil'!R1551</f>
        <v>78.239999999999995</v>
      </c>
      <c r="S1550">
        <f>'raw data Crude oil'!S1551</f>
        <v>77.89</v>
      </c>
      <c r="T1550">
        <f>'raw data Crude oil'!T1551</f>
        <v>77.45</v>
      </c>
      <c r="U1550">
        <f>'raw data Crude oil'!U1551</f>
        <v>76.98</v>
      </c>
      <c r="V1550">
        <f>'raw data Crude oil'!V1551</f>
        <v>76.5</v>
      </c>
      <c r="W1550">
        <f>'raw data Crude oil'!W1551</f>
        <v>76.05</v>
      </c>
      <c r="X1550">
        <f>'raw data Crude oil'!X1551</f>
        <v>75.599999999999994</v>
      </c>
      <c r="Y1550">
        <f>'raw data Crude oil'!Y1551</f>
        <v>75.13</v>
      </c>
      <c r="Z1550">
        <f>'raw data Crude oil'!Z1551</f>
        <v>77.206999999999994</v>
      </c>
      <c r="AA1550">
        <f>'raw data Crude oil'!AA1551</f>
        <v>78.522999999999996</v>
      </c>
      <c r="AB1550">
        <f>'raw data Crude oil'!AB1551</f>
        <v>77.872</v>
      </c>
      <c r="AC1550">
        <f>'raw data Crude oil'!AC1551</f>
        <v>77.491</v>
      </c>
      <c r="AD1550">
        <f>'raw data Crude oil'!AD1551</f>
        <v>77.164000000000001</v>
      </c>
      <c r="AE1550">
        <f>'raw data Crude oil'!AE1551</f>
        <v>76.697999999999993</v>
      </c>
      <c r="AF1550">
        <f>'raw data Crude oil'!AF1551</f>
        <v>76.218000000000004</v>
      </c>
      <c r="AG1550">
        <f>'raw data Crude oil'!AG1551</f>
        <v>75.766999999999996</v>
      </c>
      <c r="AH1550">
        <f>'raw data Crude oil'!AH1551</f>
        <v>75.302000000000007</v>
      </c>
      <c r="AI1550">
        <f>'raw data Crude oil'!AI1551</f>
        <v>74.941000000000003</v>
      </c>
      <c r="AJ1550">
        <f>'raw data Crude oil'!AJ1551</f>
        <v>74.600999999999999</v>
      </c>
      <c r="AK1550">
        <f>'raw data Crude oil'!AK1551</f>
        <v>74.200999999999993</v>
      </c>
    </row>
    <row r="1551" spans="1:37" x14ac:dyDescent="0.3">
      <c r="A1551" s="18">
        <f>'raw data Crude oil'!A1552</f>
        <v>44925</v>
      </c>
      <c r="B1551">
        <f>'raw data Crude oil'!B1552</f>
        <v>85.91</v>
      </c>
      <c r="C1551">
        <f>'raw data Crude oil'!C1552</f>
        <v>85.65</v>
      </c>
      <c r="D1551">
        <f>'raw data Crude oil'!D1552</f>
        <v>85.27</v>
      </c>
      <c r="E1551">
        <f>'raw data Crude oil'!E1552</f>
        <v>84.76</v>
      </c>
      <c r="F1551">
        <f>'raw data Crude oil'!F1552</f>
        <v>84.2</v>
      </c>
      <c r="G1551">
        <f>'raw data Crude oil'!G1552</f>
        <v>83.63</v>
      </c>
      <c r="H1551">
        <f>'raw data Crude oil'!H1552</f>
        <v>83.1</v>
      </c>
      <c r="I1551">
        <f>'raw data Crude oil'!I1552</f>
        <v>82.57</v>
      </c>
      <c r="J1551">
        <f>'raw data Crude oil'!J1552</f>
        <v>82.09</v>
      </c>
      <c r="K1551">
        <f>'raw data Crude oil'!K1552</f>
        <v>81.650000000000006</v>
      </c>
      <c r="L1551">
        <f>'raw data Crude oil'!L1552</f>
        <v>81.19</v>
      </c>
      <c r="M1551">
        <f>'raw data Crude oil'!M1552</f>
        <v>80.72</v>
      </c>
      <c r="N1551">
        <f>'raw data Crude oil'!N1552</f>
        <v>80.260000000000005</v>
      </c>
      <c r="O1551">
        <f>'raw data Crude oil'!O1552</f>
        <v>80.45</v>
      </c>
      <c r="P1551">
        <f>'raw data Crude oil'!P1552</f>
        <v>80.53</v>
      </c>
      <c r="Q1551">
        <f>'raw data Crude oil'!Q1552</f>
        <v>80.45</v>
      </c>
      <c r="R1551">
        <f>'raw data Crude oil'!R1552</f>
        <v>80.2</v>
      </c>
      <c r="S1551">
        <f>'raw data Crude oil'!S1552</f>
        <v>79.83</v>
      </c>
      <c r="T1551">
        <f>'raw data Crude oil'!T1552</f>
        <v>79.36</v>
      </c>
      <c r="U1551">
        <f>'raw data Crude oil'!U1552</f>
        <v>78.849999999999994</v>
      </c>
      <c r="V1551">
        <f>'raw data Crude oil'!V1552</f>
        <v>78.319999999999993</v>
      </c>
      <c r="W1551">
        <f>'raw data Crude oil'!W1552</f>
        <v>77.81</v>
      </c>
      <c r="X1551">
        <f>'raw data Crude oil'!X1552</f>
        <v>77.31</v>
      </c>
      <c r="Y1551">
        <f>'raw data Crude oil'!Y1552</f>
        <v>76.790000000000006</v>
      </c>
      <c r="Z1551">
        <f>'raw data Crude oil'!Z1552</f>
        <v>77.195999999999998</v>
      </c>
      <c r="AA1551">
        <f>'raw data Crude oil'!AA1552</f>
        <v>80.94</v>
      </c>
      <c r="AB1551">
        <f>'raw data Crude oil'!AB1552</f>
        <v>80.230999999999995</v>
      </c>
      <c r="AC1551">
        <f>'raw data Crude oil'!AC1552</f>
        <v>79.817999999999998</v>
      </c>
      <c r="AD1551">
        <f>'raw data Crude oil'!AD1552</f>
        <v>79.430999999999997</v>
      </c>
      <c r="AE1551">
        <f>'raw data Crude oil'!AE1552</f>
        <v>78.924999999999997</v>
      </c>
      <c r="AF1551">
        <f>'raw data Crude oil'!AF1552</f>
        <v>78.396000000000001</v>
      </c>
      <c r="AG1551">
        <f>'raw data Crude oil'!AG1552</f>
        <v>77.905000000000001</v>
      </c>
      <c r="AH1551">
        <f>'raw data Crude oil'!AH1552</f>
        <v>77.399000000000001</v>
      </c>
      <c r="AI1551">
        <f>'raw data Crude oil'!AI1552</f>
        <v>76.929000000000002</v>
      </c>
      <c r="AJ1551">
        <f>'raw data Crude oil'!AJ1552</f>
        <v>76.539000000000001</v>
      </c>
      <c r="AK1551">
        <f>'raw data Crude oil'!AK1552</f>
        <v>76.099000000000004</v>
      </c>
    </row>
    <row r="1552" spans="1:37" x14ac:dyDescent="0.3">
      <c r="A1552" s="18">
        <f>'raw data Crude oil'!A1553</f>
        <v>44929</v>
      </c>
      <c r="B1552">
        <f>'raw data Crude oil'!B1553</f>
        <v>82.1</v>
      </c>
      <c r="C1552">
        <f>'raw data Crude oil'!C1553</f>
        <v>82.12</v>
      </c>
      <c r="D1552">
        <f>'raw data Crude oil'!D1553</f>
        <v>81.95</v>
      </c>
      <c r="E1552">
        <f>'raw data Crude oil'!E1553</f>
        <v>81.63</v>
      </c>
      <c r="F1552">
        <f>'raw data Crude oil'!F1553</f>
        <v>81.23</v>
      </c>
      <c r="G1552">
        <f>'raw data Crude oil'!G1553</f>
        <v>80.78</v>
      </c>
      <c r="H1552">
        <f>'raw data Crude oil'!H1553</f>
        <v>80.34</v>
      </c>
      <c r="I1552">
        <f>'raw data Crude oil'!I1553</f>
        <v>79.88</v>
      </c>
      <c r="J1552">
        <f>'raw data Crude oil'!J1553</f>
        <v>79.45</v>
      </c>
      <c r="K1552">
        <f>'raw data Crude oil'!K1553</f>
        <v>79.05</v>
      </c>
      <c r="L1552">
        <f>'raw data Crude oil'!L1553</f>
        <v>78.62</v>
      </c>
      <c r="M1552">
        <f>'raw data Crude oil'!M1553</f>
        <v>78.2</v>
      </c>
      <c r="N1552">
        <f>'raw data Crude oil'!N1553</f>
        <v>76.930000000000007</v>
      </c>
      <c r="O1552">
        <f>'raw data Crude oil'!O1553</f>
        <v>77.12</v>
      </c>
      <c r="P1552">
        <f>'raw data Crude oil'!P1553</f>
        <v>77.27</v>
      </c>
      <c r="Q1552">
        <f>'raw data Crude oil'!Q1553</f>
        <v>77.33</v>
      </c>
      <c r="R1552">
        <f>'raw data Crude oil'!R1553</f>
        <v>77.23</v>
      </c>
      <c r="S1552">
        <f>'raw data Crude oil'!S1553</f>
        <v>76.989999999999995</v>
      </c>
      <c r="T1552">
        <f>'raw data Crude oil'!T1553</f>
        <v>76.64</v>
      </c>
      <c r="U1552">
        <f>'raw data Crude oil'!U1553</f>
        <v>76.239999999999995</v>
      </c>
      <c r="V1552">
        <f>'raw data Crude oil'!V1553</f>
        <v>75.81</v>
      </c>
      <c r="W1552">
        <f>'raw data Crude oil'!W1553</f>
        <v>75.39</v>
      </c>
      <c r="X1552">
        <f>'raw data Crude oil'!X1553</f>
        <v>74.97</v>
      </c>
      <c r="Y1552">
        <f>'raw data Crude oil'!Y1553</f>
        <v>74.53</v>
      </c>
      <c r="Z1552">
        <f>'raw data Crude oil'!Z1553</f>
        <v>77.195999999999998</v>
      </c>
      <c r="AA1552">
        <f>'raw data Crude oil'!AA1553</f>
        <v>78.3</v>
      </c>
      <c r="AB1552">
        <f>'raw data Crude oil'!AB1553</f>
        <v>77.412000000000006</v>
      </c>
      <c r="AC1552">
        <f>'raw data Crude oil'!AC1553</f>
        <v>76.956000000000003</v>
      </c>
      <c r="AD1552">
        <f>'raw data Crude oil'!AD1553</f>
        <v>76.611000000000004</v>
      </c>
      <c r="AE1552">
        <f>'raw data Crude oil'!AE1553</f>
        <v>76.161000000000001</v>
      </c>
      <c r="AF1552">
        <f>'raw data Crude oil'!AF1553</f>
        <v>75.7</v>
      </c>
      <c r="AG1552">
        <f>'raw data Crude oil'!AG1553</f>
        <v>75.278000000000006</v>
      </c>
      <c r="AH1552">
        <f>'raw data Crude oil'!AH1553</f>
        <v>74.850999999999999</v>
      </c>
      <c r="AI1552">
        <f>'raw data Crude oil'!AI1553</f>
        <v>74.441000000000003</v>
      </c>
      <c r="AJ1552">
        <f>'raw data Crude oil'!AJ1553</f>
        <v>74.02</v>
      </c>
      <c r="AK1552">
        <f>'raw data Crude oil'!AK1553</f>
        <v>73.581000000000003</v>
      </c>
    </row>
    <row r="1553" spans="1:37" x14ac:dyDescent="0.3">
      <c r="A1553" s="18">
        <f>'raw data Crude oil'!A1554</f>
        <v>44930</v>
      </c>
      <c r="B1553">
        <f>'raw data Crude oil'!B1554</f>
        <v>77.84</v>
      </c>
      <c r="C1553">
        <f>'raw data Crude oil'!C1554</f>
        <v>78.010000000000005</v>
      </c>
      <c r="D1553">
        <f>'raw data Crude oil'!D1554</f>
        <v>78.010000000000005</v>
      </c>
      <c r="E1553">
        <f>'raw data Crude oil'!E1554</f>
        <v>77.88</v>
      </c>
      <c r="F1553">
        <f>'raw data Crude oil'!F1554</f>
        <v>77.67</v>
      </c>
      <c r="G1553">
        <f>'raw data Crude oil'!G1554</f>
        <v>77.39</v>
      </c>
      <c r="H1553">
        <f>'raw data Crude oil'!H1554</f>
        <v>77.099999999999994</v>
      </c>
      <c r="I1553">
        <f>'raw data Crude oil'!I1554</f>
        <v>76.8</v>
      </c>
      <c r="J1553">
        <f>'raw data Crude oil'!J1554</f>
        <v>76.52</v>
      </c>
      <c r="K1553">
        <f>'raw data Crude oil'!K1554</f>
        <v>76.25</v>
      </c>
      <c r="L1553">
        <f>'raw data Crude oil'!L1554</f>
        <v>75.95</v>
      </c>
      <c r="M1553">
        <f>'raw data Crude oil'!M1554</f>
        <v>75.650000000000006</v>
      </c>
      <c r="N1553">
        <f>'raw data Crude oil'!N1554</f>
        <v>72.84</v>
      </c>
      <c r="O1553">
        <f>'raw data Crude oil'!O1554</f>
        <v>73.099999999999994</v>
      </c>
      <c r="P1553">
        <f>'raw data Crude oil'!P1554</f>
        <v>73.33</v>
      </c>
      <c r="Q1553">
        <f>'raw data Crude oil'!Q1554</f>
        <v>73.510000000000005</v>
      </c>
      <c r="R1553">
        <f>'raw data Crude oil'!R1554</f>
        <v>73.56</v>
      </c>
      <c r="S1553">
        <f>'raw data Crude oil'!S1554</f>
        <v>73.48</v>
      </c>
      <c r="T1553">
        <f>'raw data Crude oil'!T1554</f>
        <v>73.31</v>
      </c>
      <c r="U1553">
        <f>'raw data Crude oil'!U1554</f>
        <v>73.09</v>
      </c>
      <c r="V1553">
        <f>'raw data Crude oil'!V1554</f>
        <v>72.83</v>
      </c>
      <c r="W1553">
        <f>'raw data Crude oil'!W1554</f>
        <v>72.56</v>
      </c>
      <c r="X1553">
        <f>'raw data Crude oil'!X1554</f>
        <v>72.28</v>
      </c>
      <c r="Y1553">
        <f>'raw data Crude oil'!Y1554</f>
        <v>71.97</v>
      </c>
      <c r="Z1553">
        <f>'raw data Crude oil'!Z1554</f>
        <v>74.638000000000005</v>
      </c>
      <c r="AA1553">
        <f>'raw data Crude oil'!AA1554</f>
        <v>73.599999999999994</v>
      </c>
      <c r="AB1553">
        <f>'raw data Crude oil'!AB1554</f>
        <v>73.244</v>
      </c>
      <c r="AC1553">
        <f>'raw data Crude oil'!AC1554</f>
        <v>73.028999999999996</v>
      </c>
      <c r="AD1553">
        <f>'raw data Crude oil'!AD1554</f>
        <v>72.757999999999996</v>
      </c>
      <c r="AE1553">
        <f>'raw data Crude oil'!AE1554</f>
        <v>72.447000000000003</v>
      </c>
      <c r="AF1553">
        <f>'raw data Crude oil'!AF1554</f>
        <v>72.146000000000001</v>
      </c>
      <c r="AG1553">
        <f>'raw data Crude oil'!AG1554</f>
        <v>71.888000000000005</v>
      </c>
      <c r="AH1553">
        <f>'raw data Crude oil'!AH1554</f>
        <v>71.656000000000006</v>
      </c>
      <c r="AI1553">
        <f>'raw data Crude oil'!AI1554</f>
        <v>71.376000000000005</v>
      </c>
      <c r="AJ1553">
        <f>'raw data Crude oil'!AJ1554</f>
        <v>71.096000000000004</v>
      </c>
      <c r="AK1553">
        <f>'raw data Crude oil'!AK1554</f>
        <v>70.783000000000001</v>
      </c>
    </row>
    <row r="1554" spans="1:37" x14ac:dyDescent="0.3">
      <c r="A1554" s="18">
        <f>'raw data Crude oil'!A1555</f>
        <v>44931</v>
      </c>
      <c r="B1554">
        <f>'raw data Crude oil'!B1555</f>
        <v>78.69</v>
      </c>
      <c r="C1554">
        <f>'raw data Crude oil'!C1555</f>
        <v>78.819999999999993</v>
      </c>
      <c r="D1554">
        <f>'raw data Crude oil'!D1555</f>
        <v>78.8</v>
      </c>
      <c r="E1554">
        <f>'raw data Crude oil'!E1555</f>
        <v>78.66</v>
      </c>
      <c r="F1554">
        <f>'raw data Crude oil'!F1555</f>
        <v>78.430000000000007</v>
      </c>
      <c r="G1554">
        <f>'raw data Crude oil'!G1555</f>
        <v>78.150000000000006</v>
      </c>
      <c r="H1554">
        <f>'raw data Crude oil'!H1555</f>
        <v>77.849999999999994</v>
      </c>
      <c r="I1554">
        <f>'raw data Crude oil'!I1555</f>
        <v>77.53</v>
      </c>
      <c r="J1554">
        <f>'raw data Crude oil'!J1555</f>
        <v>77.22</v>
      </c>
      <c r="K1554">
        <f>'raw data Crude oil'!K1555</f>
        <v>76.91</v>
      </c>
      <c r="L1554">
        <f>'raw data Crude oil'!L1555</f>
        <v>76.58</v>
      </c>
      <c r="M1554">
        <f>'raw data Crude oil'!M1555</f>
        <v>76.25</v>
      </c>
      <c r="N1554">
        <f>'raw data Crude oil'!N1555</f>
        <v>73.67</v>
      </c>
      <c r="O1554">
        <f>'raw data Crude oil'!O1555</f>
        <v>73.92</v>
      </c>
      <c r="P1554">
        <f>'raw data Crude oil'!P1555</f>
        <v>74.14</v>
      </c>
      <c r="Q1554">
        <f>'raw data Crude oil'!Q1555</f>
        <v>74.3</v>
      </c>
      <c r="R1554">
        <f>'raw data Crude oil'!R1555</f>
        <v>74.34</v>
      </c>
      <c r="S1554">
        <f>'raw data Crude oil'!S1555</f>
        <v>74.25</v>
      </c>
      <c r="T1554">
        <f>'raw data Crude oil'!T1555</f>
        <v>74.069999999999993</v>
      </c>
      <c r="U1554">
        <f>'raw data Crude oil'!U1555</f>
        <v>73.83</v>
      </c>
      <c r="V1554">
        <f>'raw data Crude oil'!V1555</f>
        <v>73.56</v>
      </c>
      <c r="W1554">
        <f>'raw data Crude oil'!W1555</f>
        <v>73.27</v>
      </c>
      <c r="X1554">
        <f>'raw data Crude oil'!X1555</f>
        <v>72.95</v>
      </c>
      <c r="Y1554">
        <f>'raw data Crude oil'!Y1555</f>
        <v>72.61</v>
      </c>
      <c r="Z1554">
        <f>'raw data Crude oil'!Z1555</f>
        <v>75.569999999999993</v>
      </c>
      <c r="AA1554">
        <f>'raw data Crude oil'!AA1555</f>
        <v>74.399000000000001</v>
      </c>
      <c r="AB1554">
        <f>'raw data Crude oil'!AB1555</f>
        <v>73.983999999999995</v>
      </c>
      <c r="AC1554">
        <f>'raw data Crude oil'!AC1555</f>
        <v>73.748000000000005</v>
      </c>
      <c r="AD1554">
        <f>'raw data Crude oil'!AD1555</f>
        <v>73.447999999999993</v>
      </c>
      <c r="AE1554">
        <f>'raw data Crude oil'!AE1555</f>
        <v>73.135999999999996</v>
      </c>
      <c r="AF1554">
        <f>'raw data Crude oil'!AF1555</f>
        <v>72.834999999999994</v>
      </c>
      <c r="AG1554">
        <f>'raw data Crude oil'!AG1555</f>
        <v>72.527000000000001</v>
      </c>
      <c r="AH1554">
        <f>'raw data Crude oil'!AH1555</f>
        <v>72.245000000000005</v>
      </c>
      <c r="AI1554">
        <f>'raw data Crude oil'!AI1555</f>
        <v>71.984999999999999</v>
      </c>
      <c r="AJ1554">
        <f>'raw data Crude oil'!AJ1555</f>
        <v>71.644999999999996</v>
      </c>
      <c r="AK1554">
        <f>'raw data Crude oil'!AK1555</f>
        <v>71.290000000000006</v>
      </c>
    </row>
    <row r="1555" spans="1:37" x14ac:dyDescent="0.3">
      <c r="A1555" s="18">
        <f>'raw data Crude oil'!A1556</f>
        <v>44932</v>
      </c>
      <c r="B1555">
        <f>'raw data Crude oil'!B1556</f>
        <v>78.569999999999993</v>
      </c>
      <c r="C1555">
        <f>'raw data Crude oil'!C1556</f>
        <v>78.75</v>
      </c>
      <c r="D1555">
        <f>'raw data Crude oil'!D1556</f>
        <v>78.739999999999995</v>
      </c>
      <c r="E1555">
        <f>'raw data Crude oil'!E1556</f>
        <v>78.62</v>
      </c>
      <c r="F1555">
        <f>'raw data Crude oil'!F1556</f>
        <v>78.42</v>
      </c>
      <c r="G1555">
        <f>'raw data Crude oil'!G1556</f>
        <v>78.17</v>
      </c>
      <c r="H1555">
        <f>'raw data Crude oil'!H1556</f>
        <v>77.87</v>
      </c>
      <c r="I1555">
        <f>'raw data Crude oil'!I1556</f>
        <v>77.58</v>
      </c>
      <c r="J1555">
        <f>'raw data Crude oil'!J1556</f>
        <v>77.3</v>
      </c>
      <c r="K1555">
        <f>'raw data Crude oil'!K1556</f>
        <v>77.02</v>
      </c>
      <c r="L1555">
        <f>'raw data Crude oil'!L1556</f>
        <v>76.739999999999995</v>
      </c>
      <c r="M1555">
        <f>'raw data Crude oil'!M1556</f>
        <v>76.44</v>
      </c>
      <c r="N1555">
        <f>'raw data Crude oil'!N1556</f>
        <v>73.77</v>
      </c>
      <c r="O1555">
        <f>'raw data Crude oil'!O1556</f>
        <v>74.040000000000006</v>
      </c>
      <c r="P1555">
        <f>'raw data Crude oil'!P1556</f>
        <v>74.260000000000005</v>
      </c>
      <c r="Q1555">
        <f>'raw data Crude oil'!Q1556</f>
        <v>74.44</v>
      </c>
      <c r="R1555">
        <f>'raw data Crude oil'!R1556</f>
        <v>74.5</v>
      </c>
      <c r="S1555">
        <f>'raw data Crude oil'!S1556</f>
        <v>74.430000000000007</v>
      </c>
      <c r="T1555">
        <f>'raw data Crude oil'!T1556</f>
        <v>74.260000000000005</v>
      </c>
      <c r="U1555">
        <f>'raw data Crude oil'!U1556</f>
        <v>74.02</v>
      </c>
      <c r="V1555">
        <f>'raw data Crude oil'!V1556</f>
        <v>73.75</v>
      </c>
      <c r="W1555">
        <f>'raw data Crude oil'!W1556</f>
        <v>73.459999999999994</v>
      </c>
      <c r="X1555">
        <f>'raw data Crude oil'!X1556</f>
        <v>73.14</v>
      </c>
      <c r="Y1555">
        <f>'raw data Crude oil'!Y1556</f>
        <v>72.8</v>
      </c>
      <c r="Z1555">
        <f>'raw data Crude oil'!Z1556</f>
        <v>75.447000000000003</v>
      </c>
      <c r="AA1555">
        <f>'raw data Crude oil'!AA1556</f>
        <v>74.36</v>
      </c>
      <c r="AB1555">
        <f>'raw data Crude oil'!AB1556</f>
        <v>73.98</v>
      </c>
      <c r="AC1555">
        <f>'raw data Crude oil'!AC1556</f>
        <v>73.789000000000001</v>
      </c>
      <c r="AD1555">
        <f>'raw data Crude oil'!AD1556</f>
        <v>73.528999999999996</v>
      </c>
      <c r="AE1555">
        <f>'raw data Crude oil'!AE1556</f>
        <v>73.266000000000005</v>
      </c>
      <c r="AF1555">
        <f>'raw data Crude oil'!AF1556</f>
        <v>72.986000000000004</v>
      </c>
      <c r="AG1555">
        <f>'raw data Crude oil'!AG1556</f>
        <v>72.718000000000004</v>
      </c>
      <c r="AH1555">
        <f>'raw data Crude oil'!AH1556</f>
        <v>72.466999999999999</v>
      </c>
      <c r="AI1555">
        <f>'raw data Crude oil'!AI1556</f>
        <v>72.186999999999998</v>
      </c>
      <c r="AJ1555">
        <f>'raw data Crude oil'!AJ1556</f>
        <v>71.896000000000001</v>
      </c>
      <c r="AK1555">
        <f>'raw data Crude oil'!AK1556</f>
        <v>71.570999999999998</v>
      </c>
    </row>
    <row r="1556" spans="1:37" x14ac:dyDescent="0.3">
      <c r="A1556" s="18">
        <f>'raw data Crude oil'!A1557</f>
        <v>44935</v>
      </c>
      <c r="B1556">
        <f>'raw data Crude oil'!B1557</f>
        <v>79.650000000000006</v>
      </c>
      <c r="C1556">
        <f>'raw data Crude oil'!C1557</f>
        <v>79.89</v>
      </c>
      <c r="D1556">
        <f>'raw data Crude oil'!D1557</f>
        <v>79.89</v>
      </c>
      <c r="E1556">
        <f>'raw data Crude oil'!E1557</f>
        <v>79.78</v>
      </c>
      <c r="F1556">
        <f>'raw data Crude oil'!F1557</f>
        <v>79.59</v>
      </c>
      <c r="G1556">
        <f>'raw data Crude oil'!G1557</f>
        <v>79.34</v>
      </c>
      <c r="H1556">
        <f>'raw data Crude oil'!H1557</f>
        <v>79.05</v>
      </c>
      <c r="I1556">
        <f>'raw data Crude oil'!I1557</f>
        <v>78.760000000000005</v>
      </c>
      <c r="J1556">
        <f>'raw data Crude oil'!J1557</f>
        <v>78.48</v>
      </c>
      <c r="K1556">
        <f>'raw data Crude oil'!K1557</f>
        <v>78.2</v>
      </c>
      <c r="L1556">
        <f>'raw data Crude oil'!L1557</f>
        <v>77.91</v>
      </c>
      <c r="M1556">
        <f>'raw data Crude oil'!M1557</f>
        <v>77.62</v>
      </c>
      <c r="N1556">
        <f>'raw data Crude oil'!N1557</f>
        <v>74.63</v>
      </c>
      <c r="O1556">
        <f>'raw data Crude oil'!O1557</f>
        <v>74.92</v>
      </c>
      <c r="P1556">
        <f>'raw data Crude oil'!P1557</f>
        <v>75.17</v>
      </c>
      <c r="Q1556">
        <f>'raw data Crude oil'!Q1557</f>
        <v>75.39</v>
      </c>
      <c r="R1556">
        <f>'raw data Crude oil'!R1557</f>
        <v>75.489999999999995</v>
      </c>
      <c r="S1556">
        <f>'raw data Crude oil'!S1557</f>
        <v>75.45</v>
      </c>
      <c r="T1556">
        <f>'raw data Crude oil'!T1557</f>
        <v>75.3</v>
      </c>
      <c r="U1556">
        <f>'raw data Crude oil'!U1557</f>
        <v>75.06</v>
      </c>
      <c r="V1556">
        <f>'raw data Crude oil'!V1557</f>
        <v>74.790000000000006</v>
      </c>
      <c r="W1556">
        <f>'raw data Crude oil'!W1557</f>
        <v>74.489999999999995</v>
      </c>
      <c r="X1556">
        <f>'raw data Crude oil'!X1557</f>
        <v>74.16</v>
      </c>
      <c r="Y1556">
        <f>'raw data Crude oil'!Y1557</f>
        <v>73.819999999999993</v>
      </c>
      <c r="Z1556">
        <f>'raw data Crude oil'!Z1557</f>
        <v>76.706999999999994</v>
      </c>
      <c r="AA1556">
        <f>'raw data Crude oil'!AA1557</f>
        <v>75.8</v>
      </c>
      <c r="AB1556">
        <f>'raw data Crude oil'!AB1557</f>
        <v>75.385000000000005</v>
      </c>
      <c r="AC1556">
        <f>'raw data Crude oil'!AC1557</f>
        <v>75.16</v>
      </c>
      <c r="AD1556">
        <f>'raw data Crude oil'!AD1557</f>
        <v>74.888999999999996</v>
      </c>
      <c r="AE1556">
        <f>'raw data Crude oil'!AE1557</f>
        <v>74.596999999999994</v>
      </c>
      <c r="AF1556">
        <f>'raw data Crude oil'!AF1557</f>
        <v>74.296000000000006</v>
      </c>
      <c r="AG1556">
        <f>'raw data Crude oil'!AG1557</f>
        <v>74.007999999999996</v>
      </c>
      <c r="AH1556">
        <f>'raw data Crude oil'!AH1557</f>
        <v>73.727000000000004</v>
      </c>
      <c r="AI1556">
        <f>'raw data Crude oil'!AI1557</f>
        <v>73.486999999999995</v>
      </c>
      <c r="AJ1556">
        <f>'raw data Crude oil'!AJ1557</f>
        <v>73.197000000000003</v>
      </c>
      <c r="AK1556">
        <f>'raw data Crude oil'!AK1557</f>
        <v>72.88</v>
      </c>
    </row>
    <row r="1557" spans="1:37" x14ac:dyDescent="0.3">
      <c r="A1557" s="18">
        <f>'raw data Crude oil'!A1558</f>
        <v>44936</v>
      </c>
      <c r="B1557">
        <f>'raw data Crude oil'!B1558</f>
        <v>80.099999999999994</v>
      </c>
      <c r="C1557">
        <f>'raw data Crude oil'!C1558</f>
        <v>80.28</v>
      </c>
      <c r="D1557">
        <f>'raw data Crude oil'!D1558</f>
        <v>80.25</v>
      </c>
      <c r="E1557">
        <f>'raw data Crude oil'!E1558</f>
        <v>80.08</v>
      </c>
      <c r="F1557">
        <f>'raw data Crude oil'!F1558</f>
        <v>79.83</v>
      </c>
      <c r="G1557">
        <f>'raw data Crude oil'!G1558</f>
        <v>79.540000000000006</v>
      </c>
      <c r="H1557">
        <f>'raw data Crude oil'!H1558</f>
        <v>79.209999999999994</v>
      </c>
      <c r="I1557">
        <f>'raw data Crude oil'!I1558</f>
        <v>78.88</v>
      </c>
      <c r="J1557">
        <f>'raw data Crude oil'!J1558</f>
        <v>78.569999999999993</v>
      </c>
      <c r="K1557">
        <f>'raw data Crude oil'!K1558</f>
        <v>78.25</v>
      </c>
      <c r="L1557">
        <f>'raw data Crude oil'!L1558</f>
        <v>77.92</v>
      </c>
      <c r="M1557">
        <f>'raw data Crude oil'!M1558</f>
        <v>77.59</v>
      </c>
      <c r="N1557">
        <f>'raw data Crude oil'!N1558</f>
        <v>75.12</v>
      </c>
      <c r="O1557">
        <f>'raw data Crude oil'!O1558</f>
        <v>75.37</v>
      </c>
      <c r="P1557">
        <f>'raw data Crude oil'!P1558</f>
        <v>75.599999999999994</v>
      </c>
      <c r="Q1557">
        <f>'raw data Crude oil'!Q1558</f>
        <v>75.77</v>
      </c>
      <c r="R1557">
        <f>'raw data Crude oil'!R1558</f>
        <v>75.83</v>
      </c>
      <c r="S1557">
        <f>'raw data Crude oil'!S1558</f>
        <v>75.75</v>
      </c>
      <c r="T1557">
        <f>'raw data Crude oil'!T1558</f>
        <v>75.56</v>
      </c>
      <c r="U1557">
        <f>'raw data Crude oil'!U1558</f>
        <v>75.290000000000006</v>
      </c>
      <c r="V1557">
        <f>'raw data Crude oil'!V1558</f>
        <v>74.98</v>
      </c>
      <c r="W1557">
        <f>'raw data Crude oil'!W1558</f>
        <v>74.64</v>
      </c>
      <c r="X1557">
        <f>'raw data Crude oil'!X1558</f>
        <v>74.28</v>
      </c>
      <c r="Y1557">
        <f>'raw data Crude oil'!Y1558</f>
        <v>73.91</v>
      </c>
      <c r="Z1557">
        <f>'raw data Crude oil'!Z1558</f>
        <v>76.986999999999995</v>
      </c>
      <c r="AA1557">
        <f>'raw data Crude oil'!AA1558</f>
        <v>76.379000000000005</v>
      </c>
      <c r="AB1557">
        <f>'raw data Crude oil'!AB1558</f>
        <v>75.953000000000003</v>
      </c>
      <c r="AC1557">
        <f>'raw data Crude oil'!AC1558</f>
        <v>75.667000000000002</v>
      </c>
      <c r="AD1557">
        <f>'raw data Crude oil'!AD1558</f>
        <v>75.307000000000002</v>
      </c>
      <c r="AE1557">
        <f>'raw data Crude oil'!AE1558</f>
        <v>74.944999999999993</v>
      </c>
      <c r="AF1557">
        <f>'raw data Crude oil'!AF1558</f>
        <v>74.593999999999994</v>
      </c>
      <c r="AG1557">
        <f>'raw data Crude oil'!AG1558</f>
        <v>74.266999999999996</v>
      </c>
      <c r="AH1557">
        <f>'raw data Crude oil'!AH1558</f>
        <v>73.954999999999998</v>
      </c>
      <c r="AI1557">
        <f>'raw data Crude oil'!AI1558</f>
        <v>73.635000000000005</v>
      </c>
      <c r="AJ1557">
        <f>'raw data Crude oil'!AJ1558</f>
        <v>73.305000000000007</v>
      </c>
      <c r="AK1557">
        <f>'raw data Crude oil'!AK1558</f>
        <v>72.957999999999998</v>
      </c>
    </row>
    <row r="1558" spans="1:37" x14ac:dyDescent="0.3">
      <c r="A1558" s="18">
        <f>'raw data Crude oil'!A1559</f>
        <v>44937</v>
      </c>
      <c r="B1558">
        <f>'raw data Crude oil'!B1559</f>
        <v>82.67</v>
      </c>
      <c r="C1558">
        <f>'raw data Crude oil'!C1559</f>
        <v>82.86</v>
      </c>
      <c r="D1558">
        <f>'raw data Crude oil'!D1559</f>
        <v>82.71</v>
      </c>
      <c r="E1558">
        <f>'raw data Crude oil'!E1559</f>
        <v>82.43</v>
      </c>
      <c r="F1558">
        <f>'raw data Crude oil'!F1559</f>
        <v>82.08</v>
      </c>
      <c r="G1558">
        <f>'raw data Crude oil'!G1559</f>
        <v>81.7</v>
      </c>
      <c r="H1558">
        <f>'raw data Crude oil'!H1559</f>
        <v>81.3</v>
      </c>
      <c r="I1558">
        <f>'raw data Crude oil'!I1559</f>
        <v>80.900000000000006</v>
      </c>
      <c r="J1558">
        <f>'raw data Crude oil'!J1559</f>
        <v>80.540000000000006</v>
      </c>
      <c r="K1558">
        <f>'raw data Crude oil'!K1559</f>
        <v>80.16</v>
      </c>
      <c r="L1558">
        <f>'raw data Crude oil'!L1559</f>
        <v>79.77</v>
      </c>
      <c r="M1558">
        <f>'raw data Crude oil'!M1559</f>
        <v>79.400000000000006</v>
      </c>
      <c r="N1558">
        <f>'raw data Crude oil'!N1559</f>
        <v>77.41</v>
      </c>
      <c r="O1558">
        <f>'raw data Crude oil'!O1559</f>
        <v>77.680000000000007</v>
      </c>
      <c r="P1558">
        <f>'raw data Crude oil'!P1559</f>
        <v>77.900000000000006</v>
      </c>
      <c r="Q1558">
        <f>'raw data Crude oil'!Q1559</f>
        <v>78.040000000000006</v>
      </c>
      <c r="R1558">
        <f>'raw data Crude oil'!R1559</f>
        <v>78.03</v>
      </c>
      <c r="S1558">
        <f>'raw data Crude oil'!S1559</f>
        <v>77.87</v>
      </c>
      <c r="T1558">
        <f>'raw data Crude oil'!T1559</f>
        <v>77.599999999999994</v>
      </c>
      <c r="U1558">
        <f>'raw data Crude oil'!U1559</f>
        <v>77.260000000000005</v>
      </c>
      <c r="V1558">
        <f>'raw data Crude oil'!V1559</f>
        <v>76.89</v>
      </c>
      <c r="W1558">
        <f>'raw data Crude oil'!W1559</f>
        <v>76.5</v>
      </c>
      <c r="X1558">
        <f>'raw data Crude oil'!X1559</f>
        <v>76.099999999999994</v>
      </c>
      <c r="Y1558">
        <f>'raw data Crude oil'!Y1559</f>
        <v>75.69</v>
      </c>
      <c r="Z1558">
        <f>'raw data Crude oil'!Z1559</f>
        <v>78.668999999999997</v>
      </c>
      <c r="AA1558">
        <f>'raw data Crude oil'!AA1559</f>
        <v>79.132999999999996</v>
      </c>
      <c r="AB1558">
        <f>'raw data Crude oil'!AB1559</f>
        <v>78.587999999999994</v>
      </c>
      <c r="AC1558">
        <f>'raw data Crude oil'!AC1559</f>
        <v>78.182000000000002</v>
      </c>
      <c r="AD1558">
        <f>'raw data Crude oil'!AD1559</f>
        <v>77.703000000000003</v>
      </c>
      <c r="AE1558">
        <f>'raw data Crude oil'!AE1559</f>
        <v>77.262</v>
      </c>
      <c r="AF1558">
        <f>'raw data Crude oil'!AF1559</f>
        <v>76.861000000000004</v>
      </c>
      <c r="AG1558">
        <f>'raw data Crude oil'!AG1559</f>
        <v>76.463999999999999</v>
      </c>
      <c r="AH1558">
        <f>'raw data Crude oil'!AH1559</f>
        <v>76.102000000000004</v>
      </c>
      <c r="AI1558">
        <f>'raw data Crude oil'!AI1559</f>
        <v>75.712000000000003</v>
      </c>
      <c r="AJ1558">
        <f>'raw data Crude oil'!AJ1559</f>
        <v>75.313000000000002</v>
      </c>
      <c r="AK1558">
        <f>'raw data Crude oil'!AK1559</f>
        <v>74.923000000000002</v>
      </c>
    </row>
    <row r="1559" spans="1:37" x14ac:dyDescent="0.3">
      <c r="A1559" s="18">
        <f>'raw data Crude oil'!A1560</f>
        <v>44938</v>
      </c>
      <c r="B1559">
        <f>'raw data Crude oil'!B1560</f>
        <v>84.03</v>
      </c>
      <c r="C1559">
        <f>'raw data Crude oil'!C1560</f>
        <v>84.19</v>
      </c>
      <c r="D1559">
        <f>'raw data Crude oil'!D1560</f>
        <v>83.97</v>
      </c>
      <c r="E1559">
        <f>'raw data Crude oil'!E1560</f>
        <v>83.62</v>
      </c>
      <c r="F1559">
        <f>'raw data Crude oil'!F1560</f>
        <v>83.24</v>
      </c>
      <c r="G1559">
        <f>'raw data Crude oil'!G1560</f>
        <v>82.83</v>
      </c>
      <c r="H1559">
        <f>'raw data Crude oil'!H1560</f>
        <v>82.4</v>
      </c>
      <c r="I1559">
        <f>'raw data Crude oil'!I1560</f>
        <v>81.99</v>
      </c>
      <c r="J1559">
        <f>'raw data Crude oil'!J1560</f>
        <v>81.59</v>
      </c>
      <c r="K1559">
        <f>'raw data Crude oil'!K1560</f>
        <v>81.17</v>
      </c>
      <c r="L1559">
        <f>'raw data Crude oil'!L1560</f>
        <v>80.75</v>
      </c>
      <c r="M1559">
        <f>'raw data Crude oil'!M1560</f>
        <v>80.33</v>
      </c>
      <c r="N1559">
        <f>'raw data Crude oil'!N1560</f>
        <v>78.39</v>
      </c>
      <c r="O1559">
        <f>'raw data Crude oil'!O1560</f>
        <v>78.650000000000006</v>
      </c>
      <c r="P1559">
        <f>'raw data Crude oil'!P1560</f>
        <v>78.88</v>
      </c>
      <c r="Q1559">
        <f>'raw data Crude oil'!Q1560</f>
        <v>79</v>
      </c>
      <c r="R1559">
        <f>'raw data Crude oil'!R1560</f>
        <v>78.95</v>
      </c>
      <c r="S1559">
        <f>'raw data Crude oil'!S1560</f>
        <v>78.75</v>
      </c>
      <c r="T1559">
        <f>'raw data Crude oil'!T1560</f>
        <v>78.44</v>
      </c>
      <c r="U1559">
        <f>'raw data Crude oil'!U1560</f>
        <v>78.05</v>
      </c>
      <c r="V1559">
        <f>'raw data Crude oil'!V1560</f>
        <v>77.64</v>
      </c>
      <c r="W1559">
        <f>'raw data Crude oil'!W1560</f>
        <v>77.22</v>
      </c>
      <c r="X1559">
        <f>'raw data Crude oil'!X1560</f>
        <v>76.77</v>
      </c>
      <c r="Y1559">
        <f>'raw data Crude oil'!Y1560</f>
        <v>76.31</v>
      </c>
      <c r="Z1559">
        <f>'raw data Crude oil'!Z1560</f>
        <v>79.314999999999998</v>
      </c>
      <c r="AA1559">
        <f>'raw data Crude oil'!AA1560</f>
        <v>80.349000000000004</v>
      </c>
      <c r="AB1559">
        <f>'raw data Crude oil'!AB1560</f>
        <v>79.745000000000005</v>
      </c>
      <c r="AC1559">
        <f>'raw data Crude oil'!AC1560</f>
        <v>79.31</v>
      </c>
      <c r="AD1559">
        <f>'raw data Crude oil'!AD1560</f>
        <v>78.852000000000004</v>
      </c>
      <c r="AE1559">
        <f>'raw data Crude oil'!AE1560</f>
        <v>78.400000000000006</v>
      </c>
      <c r="AF1559">
        <f>'raw data Crude oil'!AF1560</f>
        <v>77.965000000000003</v>
      </c>
      <c r="AG1559">
        <f>'raw data Crude oil'!AG1560</f>
        <v>77.558000000000007</v>
      </c>
      <c r="AH1559">
        <f>'raw data Crude oil'!AH1560</f>
        <v>77.155000000000001</v>
      </c>
      <c r="AI1559">
        <f>'raw data Crude oil'!AI1560</f>
        <v>76.741</v>
      </c>
      <c r="AJ1559">
        <f>'raw data Crude oil'!AJ1560</f>
        <v>76.311000000000007</v>
      </c>
      <c r="AK1559">
        <f>'raw data Crude oil'!AK1560</f>
        <v>75.86</v>
      </c>
    </row>
    <row r="1560" spans="1:37" x14ac:dyDescent="0.3">
      <c r="A1560" s="18">
        <f>'raw data Crude oil'!A1561</f>
        <v>44939</v>
      </c>
      <c r="B1560">
        <f>'raw data Crude oil'!B1561</f>
        <v>85.28</v>
      </c>
      <c r="C1560">
        <f>'raw data Crude oil'!C1561</f>
        <v>85.55</v>
      </c>
      <c r="D1560">
        <f>'raw data Crude oil'!D1561</f>
        <v>85.34</v>
      </c>
      <c r="E1560">
        <f>'raw data Crude oil'!E1561</f>
        <v>84.98</v>
      </c>
      <c r="F1560">
        <f>'raw data Crude oil'!F1561</f>
        <v>84.57</v>
      </c>
      <c r="G1560">
        <f>'raw data Crude oil'!G1561</f>
        <v>84.11</v>
      </c>
      <c r="H1560">
        <f>'raw data Crude oil'!H1561</f>
        <v>83.64</v>
      </c>
      <c r="I1560">
        <f>'raw data Crude oil'!I1561</f>
        <v>83.17</v>
      </c>
      <c r="J1560">
        <f>'raw data Crude oil'!J1561</f>
        <v>82.72</v>
      </c>
      <c r="K1560">
        <f>'raw data Crude oil'!K1561</f>
        <v>82.25</v>
      </c>
      <c r="L1560">
        <f>'raw data Crude oil'!L1561</f>
        <v>81.77</v>
      </c>
      <c r="M1560">
        <f>'raw data Crude oil'!M1561</f>
        <v>81.319999999999993</v>
      </c>
      <c r="N1560">
        <f>'raw data Crude oil'!N1561</f>
        <v>79.86</v>
      </c>
      <c r="O1560">
        <f>'raw data Crude oil'!O1561</f>
        <v>80.11</v>
      </c>
      <c r="P1560">
        <f>'raw data Crude oil'!P1561</f>
        <v>80.3</v>
      </c>
      <c r="Q1560">
        <f>'raw data Crude oil'!Q1561</f>
        <v>80.38</v>
      </c>
      <c r="R1560">
        <f>'raw data Crude oil'!R1561</f>
        <v>80.290000000000006</v>
      </c>
      <c r="S1560">
        <f>'raw data Crude oil'!S1561</f>
        <v>80.040000000000006</v>
      </c>
      <c r="T1560">
        <f>'raw data Crude oil'!T1561</f>
        <v>79.680000000000007</v>
      </c>
      <c r="U1560">
        <f>'raw data Crude oil'!U1561</f>
        <v>79.239999999999995</v>
      </c>
      <c r="V1560">
        <f>'raw data Crude oil'!V1561</f>
        <v>78.77</v>
      </c>
      <c r="W1560">
        <f>'raw data Crude oil'!W1561</f>
        <v>78.290000000000006</v>
      </c>
      <c r="X1560">
        <f>'raw data Crude oil'!X1561</f>
        <v>77.81</v>
      </c>
      <c r="Y1560">
        <f>'raw data Crude oil'!Y1561</f>
        <v>77.31</v>
      </c>
      <c r="Z1560">
        <f>'raw data Crude oil'!Z1561</f>
        <v>80.135999999999996</v>
      </c>
      <c r="AA1560">
        <f>'raw data Crude oil'!AA1561</f>
        <v>81.88</v>
      </c>
      <c r="AB1560">
        <f>'raw data Crude oil'!AB1561</f>
        <v>81.183999999999997</v>
      </c>
      <c r="AC1560">
        <f>'raw data Crude oil'!AC1561</f>
        <v>80.673000000000002</v>
      </c>
      <c r="AD1560">
        <f>'raw data Crude oil'!AD1561</f>
        <v>80.16</v>
      </c>
      <c r="AE1560">
        <f>'raw data Crude oil'!AE1561</f>
        <v>79.638999999999996</v>
      </c>
      <c r="AF1560">
        <f>'raw data Crude oil'!AF1561</f>
        <v>79.168000000000006</v>
      </c>
      <c r="AG1560">
        <f>'raw data Crude oil'!AG1561</f>
        <v>78.7</v>
      </c>
      <c r="AH1560">
        <f>'raw data Crude oil'!AH1561</f>
        <v>78.257999999999996</v>
      </c>
      <c r="AI1560">
        <f>'raw data Crude oil'!AI1561</f>
        <v>77.787999999999997</v>
      </c>
      <c r="AJ1560">
        <f>'raw data Crude oil'!AJ1561</f>
        <v>77.3</v>
      </c>
      <c r="AK1560">
        <f>'raw data Crude oil'!AK1561</f>
        <v>76.795000000000002</v>
      </c>
    </row>
    <row r="1561" spans="1:37" x14ac:dyDescent="0.3">
      <c r="A1561" s="18">
        <f>'raw data Crude oil'!A1562</f>
        <v>44942</v>
      </c>
      <c r="B1561">
        <f>'raw data Crude oil'!B1562</f>
        <v>84.46</v>
      </c>
      <c r="C1561">
        <f>'raw data Crude oil'!C1562</f>
        <v>84.66</v>
      </c>
      <c r="D1561">
        <f>'raw data Crude oil'!D1562</f>
        <v>84.45</v>
      </c>
      <c r="E1561">
        <f>'raw data Crude oil'!E1562</f>
        <v>84.08</v>
      </c>
      <c r="F1561">
        <f>'raw data Crude oil'!F1562</f>
        <v>83.67</v>
      </c>
      <c r="G1561">
        <f>'raw data Crude oil'!G1562</f>
        <v>83.21</v>
      </c>
      <c r="H1561">
        <f>'raw data Crude oil'!H1562</f>
        <v>82.77</v>
      </c>
      <c r="I1561">
        <f>'raw data Crude oil'!I1562</f>
        <v>82.34</v>
      </c>
      <c r="J1561">
        <f>'raw data Crude oil'!J1562</f>
        <v>81.92</v>
      </c>
      <c r="K1561">
        <f>'raw data Crude oil'!K1562</f>
        <v>81.489999999999995</v>
      </c>
      <c r="L1561">
        <f>'raw data Crude oil'!L1562</f>
        <v>81.06</v>
      </c>
      <c r="M1561">
        <f>'raw data Crude oil'!M1562</f>
        <v>80.63</v>
      </c>
      <c r="N1561">
        <f>'raw data Crude oil'!N1562</f>
        <v>79.86</v>
      </c>
      <c r="O1561">
        <f>'raw data Crude oil'!O1562</f>
        <v>80.11</v>
      </c>
      <c r="P1561">
        <f>'raw data Crude oil'!P1562</f>
        <v>80.3</v>
      </c>
      <c r="Q1561">
        <f>'raw data Crude oil'!Q1562</f>
        <v>80.38</v>
      </c>
      <c r="R1561">
        <f>'raw data Crude oil'!R1562</f>
        <v>80.290000000000006</v>
      </c>
      <c r="S1561">
        <f>'raw data Crude oil'!S1562</f>
        <v>80.040000000000006</v>
      </c>
      <c r="T1561">
        <f>'raw data Crude oil'!T1562</f>
        <v>79.680000000000007</v>
      </c>
      <c r="U1561">
        <f>'raw data Crude oil'!U1562</f>
        <v>79.239999999999995</v>
      </c>
      <c r="V1561">
        <f>'raw data Crude oil'!V1562</f>
        <v>78.77</v>
      </c>
      <c r="W1561">
        <f>'raw data Crude oil'!W1562</f>
        <v>78.290000000000006</v>
      </c>
      <c r="X1561">
        <f>'raw data Crude oil'!X1562</f>
        <v>77.81</v>
      </c>
      <c r="Y1561">
        <f>'raw data Crude oil'!Y1562</f>
        <v>77.31</v>
      </c>
      <c r="Z1561">
        <f>'raw data Crude oil'!Z1562</f>
        <v>79.942999999999998</v>
      </c>
      <c r="AA1561">
        <f>'raw data Crude oil'!AA1562</f>
        <v>81.430000000000007</v>
      </c>
      <c r="AB1561">
        <f>'raw data Crude oil'!AB1562</f>
        <v>80.644000000000005</v>
      </c>
      <c r="AC1561">
        <f>'raw data Crude oil'!AC1562</f>
        <v>80.078000000000003</v>
      </c>
      <c r="AD1561">
        <f>'raw data Crude oil'!AD1562</f>
        <v>79.52</v>
      </c>
      <c r="AE1561">
        <f>'raw data Crude oil'!AE1562</f>
        <v>78.965000000000003</v>
      </c>
      <c r="AF1561">
        <f>'raw data Crude oil'!AF1562</f>
        <v>78.430000000000007</v>
      </c>
      <c r="AG1561">
        <f>'raw data Crude oil'!AG1562</f>
        <v>77.981999999999999</v>
      </c>
      <c r="AH1561">
        <f>'raw data Crude oil'!AH1562</f>
        <v>77.569999999999993</v>
      </c>
      <c r="AI1561">
        <f>'raw data Crude oil'!AI1562</f>
        <v>77.14</v>
      </c>
      <c r="AJ1561">
        <f>'raw data Crude oil'!AJ1562</f>
        <v>76.680000000000007</v>
      </c>
      <c r="AK1561">
        <f>'raw data Crude oil'!AK1562</f>
        <v>76.197000000000003</v>
      </c>
    </row>
    <row r="1562" spans="1:37" x14ac:dyDescent="0.3">
      <c r="A1562" s="18">
        <f>'raw data Crude oil'!A1563</f>
        <v>44943</v>
      </c>
      <c r="B1562">
        <f>'raw data Crude oil'!B1563</f>
        <v>85.92</v>
      </c>
      <c r="C1562">
        <f>'raw data Crude oil'!C1563</f>
        <v>86.09</v>
      </c>
      <c r="D1562">
        <f>'raw data Crude oil'!D1563</f>
        <v>85.88</v>
      </c>
      <c r="E1562">
        <f>'raw data Crude oil'!E1563</f>
        <v>85.49</v>
      </c>
      <c r="F1562">
        <f>'raw data Crude oil'!F1563</f>
        <v>85.04</v>
      </c>
      <c r="G1562">
        <f>'raw data Crude oil'!G1563</f>
        <v>84.53</v>
      </c>
      <c r="H1562">
        <f>'raw data Crude oil'!H1563</f>
        <v>84.01</v>
      </c>
      <c r="I1562">
        <f>'raw data Crude oil'!I1563</f>
        <v>83.49</v>
      </c>
      <c r="J1562">
        <f>'raw data Crude oil'!J1563</f>
        <v>82.97</v>
      </c>
      <c r="K1562">
        <f>'raw data Crude oil'!K1563</f>
        <v>82.48</v>
      </c>
      <c r="L1562">
        <f>'raw data Crude oil'!L1563</f>
        <v>81.97</v>
      </c>
      <c r="M1562">
        <f>'raw data Crude oil'!M1563</f>
        <v>81.459999999999994</v>
      </c>
      <c r="N1562">
        <f>'raw data Crude oil'!N1563</f>
        <v>80.180000000000007</v>
      </c>
      <c r="O1562">
        <f>'raw data Crude oil'!O1563</f>
        <v>80.45</v>
      </c>
      <c r="P1562">
        <f>'raw data Crude oil'!P1563</f>
        <v>80.650000000000006</v>
      </c>
      <c r="Q1562">
        <f>'raw data Crude oil'!Q1563</f>
        <v>80.709999999999994</v>
      </c>
      <c r="R1562">
        <f>'raw data Crude oil'!R1563</f>
        <v>80.569999999999993</v>
      </c>
      <c r="S1562">
        <f>'raw data Crude oil'!S1563</f>
        <v>80.260000000000005</v>
      </c>
      <c r="T1562">
        <f>'raw data Crude oil'!T1563</f>
        <v>79.819999999999993</v>
      </c>
      <c r="U1562">
        <f>'raw data Crude oil'!U1563</f>
        <v>79.290000000000006</v>
      </c>
      <c r="V1562">
        <f>'raw data Crude oil'!V1563</f>
        <v>78.72</v>
      </c>
      <c r="W1562">
        <f>'raw data Crude oil'!W1563</f>
        <v>78.150000000000006</v>
      </c>
      <c r="X1562">
        <f>'raw data Crude oil'!X1563</f>
        <v>77.599999999999994</v>
      </c>
      <c r="Y1562">
        <f>'raw data Crude oil'!Y1563</f>
        <v>77.02</v>
      </c>
      <c r="Z1562">
        <f>'raw data Crude oil'!Z1563</f>
        <v>80.599000000000004</v>
      </c>
      <c r="AA1562">
        <f>'raw data Crude oil'!AA1563</f>
        <v>82.97</v>
      </c>
      <c r="AB1562">
        <f>'raw data Crude oil'!AB1563</f>
        <v>82.233000000000004</v>
      </c>
      <c r="AC1562">
        <f>'raw data Crude oil'!AC1563</f>
        <v>81.626000000000005</v>
      </c>
      <c r="AD1562">
        <f>'raw data Crude oil'!AD1563</f>
        <v>80.988</v>
      </c>
      <c r="AE1562">
        <f>'raw data Crude oil'!AE1563</f>
        <v>80.385999999999996</v>
      </c>
      <c r="AF1562">
        <f>'raw data Crude oil'!AF1563</f>
        <v>79.814999999999998</v>
      </c>
      <c r="AG1562">
        <f>'raw data Crude oil'!AG1563</f>
        <v>79.296999999999997</v>
      </c>
      <c r="AH1562">
        <f>'raw data Crude oil'!AH1563</f>
        <v>78.757000000000005</v>
      </c>
      <c r="AI1562">
        <f>'raw data Crude oil'!AI1563</f>
        <v>78.277000000000001</v>
      </c>
      <c r="AJ1562">
        <f>'raw data Crude oil'!AJ1563</f>
        <v>77.727000000000004</v>
      </c>
      <c r="AK1562">
        <f>'raw data Crude oil'!AK1563</f>
        <v>77.19</v>
      </c>
    </row>
    <row r="1563" spans="1:37" x14ac:dyDescent="0.3">
      <c r="A1563" s="18">
        <f>'raw data Crude oil'!A1564</f>
        <v>44944</v>
      </c>
      <c r="B1563">
        <f>'raw data Crude oil'!B1564</f>
        <v>84.98</v>
      </c>
      <c r="C1563">
        <f>'raw data Crude oil'!C1564</f>
        <v>85.25</v>
      </c>
      <c r="D1563">
        <f>'raw data Crude oil'!D1564</f>
        <v>85.19</v>
      </c>
      <c r="E1563">
        <f>'raw data Crude oil'!E1564</f>
        <v>84.89</v>
      </c>
      <c r="F1563">
        <f>'raw data Crude oil'!F1564</f>
        <v>84.5</v>
      </c>
      <c r="G1563">
        <f>'raw data Crude oil'!G1564</f>
        <v>84.03</v>
      </c>
      <c r="H1563">
        <f>'raw data Crude oil'!H1564</f>
        <v>83.54</v>
      </c>
      <c r="I1563">
        <f>'raw data Crude oil'!I1564</f>
        <v>83.03</v>
      </c>
      <c r="J1563">
        <f>'raw data Crude oil'!J1564</f>
        <v>82.54</v>
      </c>
      <c r="K1563">
        <f>'raw data Crude oil'!K1564</f>
        <v>82.06</v>
      </c>
      <c r="L1563">
        <f>'raw data Crude oil'!L1564</f>
        <v>81.58</v>
      </c>
      <c r="M1563">
        <f>'raw data Crude oil'!M1564</f>
        <v>81.11</v>
      </c>
      <c r="N1563">
        <f>'raw data Crude oil'!N1564</f>
        <v>79.48</v>
      </c>
      <c r="O1563">
        <f>'raw data Crude oil'!O1564</f>
        <v>79.8</v>
      </c>
      <c r="P1563">
        <f>'raw data Crude oil'!P1564</f>
        <v>80.03</v>
      </c>
      <c r="Q1563">
        <f>'raw data Crude oil'!Q1564</f>
        <v>80.16</v>
      </c>
      <c r="R1563">
        <f>'raw data Crude oil'!R1564</f>
        <v>80.11</v>
      </c>
      <c r="S1563">
        <f>'raw data Crude oil'!S1564</f>
        <v>79.86</v>
      </c>
      <c r="T1563">
        <f>'raw data Crude oil'!T1564</f>
        <v>79.45</v>
      </c>
      <c r="U1563">
        <f>'raw data Crude oil'!U1564</f>
        <v>78.94</v>
      </c>
      <c r="V1563">
        <f>'raw data Crude oil'!V1564</f>
        <v>78.400000000000006</v>
      </c>
      <c r="W1563">
        <f>'raw data Crude oil'!W1564</f>
        <v>77.86</v>
      </c>
      <c r="X1563">
        <f>'raw data Crude oil'!X1564</f>
        <v>77.33</v>
      </c>
      <c r="Y1563">
        <f>'raw data Crude oil'!Y1564</f>
        <v>76.78</v>
      </c>
      <c r="Z1563">
        <f>'raw data Crude oil'!Z1564</f>
        <v>80.179000000000002</v>
      </c>
      <c r="AA1563">
        <f>'raw data Crude oil'!AA1564</f>
        <v>81.747</v>
      </c>
      <c r="AB1563">
        <f>'raw data Crude oil'!AB1564</f>
        <v>81.167000000000002</v>
      </c>
      <c r="AC1563">
        <f>'raw data Crude oil'!AC1564</f>
        <v>80.718999999999994</v>
      </c>
      <c r="AD1563">
        <f>'raw data Crude oil'!AD1564</f>
        <v>80.25</v>
      </c>
      <c r="AE1563">
        <f>'raw data Crude oil'!AE1564</f>
        <v>79.727999999999994</v>
      </c>
      <c r="AF1563">
        <f>'raw data Crude oil'!AF1564</f>
        <v>79.245999999999995</v>
      </c>
      <c r="AG1563">
        <f>'raw data Crude oil'!AG1564</f>
        <v>78.728999999999999</v>
      </c>
      <c r="AH1563">
        <f>'raw data Crude oil'!AH1564</f>
        <v>78.216999999999999</v>
      </c>
      <c r="AI1563">
        <f>'raw data Crude oil'!AI1564</f>
        <v>77.738</v>
      </c>
      <c r="AJ1563">
        <f>'raw data Crude oil'!AJ1564</f>
        <v>77.248999999999995</v>
      </c>
      <c r="AK1563">
        <f>'raw data Crude oil'!AK1564</f>
        <v>76.662000000000006</v>
      </c>
    </row>
    <row r="1564" spans="1:37" x14ac:dyDescent="0.3">
      <c r="A1564" s="18">
        <f>'raw data Crude oil'!A1565</f>
        <v>44945</v>
      </c>
      <c r="B1564">
        <f>'raw data Crude oil'!B1565</f>
        <v>86.16</v>
      </c>
      <c r="C1564">
        <f>'raw data Crude oil'!C1565</f>
        <v>86.31</v>
      </c>
      <c r="D1564">
        <f>'raw data Crude oil'!D1565</f>
        <v>86.18</v>
      </c>
      <c r="E1564">
        <f>'raw data Crude oil'!E1565</f>
        <v>85.85</v>
      </c>
      <c r="F1564">
        <f>'raw data Crude oil'!F1565</f>
        <v>85.42</v>
      </c>
      <c r="G1564">
        <f>'raw data Crude oil'!G1565</f>
        <v>84.94</v>
      </c>
      <c r="H1564">
        <f>'raw data Crude oil'!H1565</f>
        <v>84.44</v>
      </c>
      <c r="I1564">
        <f>'raw data Crude oil'!I1565</f>
        <v>83.92</v>
      </c>
      <c r="J1564">
        <f>'raw data Crude oil'!J1565</f>
        <v>83.43</v>
      </c>
      <c r="K1564">
        <f>'raw data Crude oil'!K1565</f>
        <v>82.93</v>
      </c>
      <c r="L1564">
        <f>'raw data Crude oil'!L1565</f>
        <v>82.42</v>
      </c>
      <c r="M1564">
        <f>'raw data Crude oil'!M1565</f>
        <v>81.92</v>
      </c>
      <c r="N1564">
        <f>'raw data Crude oil'!N1565</f>
        <v>80.33</v>
      </c>
      <c r="O1564">
        <f>'raw data Crude oil'!O1565</f>
        <v>80.61</v>
      </c>
      <c r="P1564">
        <f>'raw data Crude oil'!P1565</f>
        <v>80.849999999999994</v>
      </c>
      <c r="Q1564">
        <f>'raw data Crude oil'!Q1565</f>
        <v>80.989999999999995</v>
      </c>
      <c r="R1564">
        <f>'raw data Crude oil'!R1565</f>
        <v>80.94</v>
      </c>
      <c r="S1564">
        <f>'raw data Crude oil'!S1565</f>
        <v>80.7</v>
      </c>
      <c r="T1564">
        <f>'raw data Crude oil'!T1565</f>
        <v>80.3</v>
      </c>
      <c r="U1564">
        <f>'raw data Crude oil'!U1565</f>
        <v>79.81</v>
      </c>
      <c r="V1564">
        <f>'raw data Crude oil'!V1565</f>
        <v>79.28</v>
      </c>
      <c r="W1564">
        <f>'raw data Crude oil'!W1565</f>
        <v>78.739999999999995</v>
      </c>
      <c r="X1564">
        <f>'raw data Crude oil'!X1565</f>
        <v>78.2</v>
      </c>
      <c r="Y1564">
        <f>'raw data Crude oil'!Y1565</f>
        <v>77.63</v>
      </c>
      <c r="Z1564">
        <f>'raw data Crude oil'!Z1565</f>
        <v>80.575000000000003</v>
      </c>
      <c r="AA1564">
        <f>'raw data Crude oil'!AA1565</f>
        <v>83.144000000000005</v>
      </c>
      <c r="AB1564">
        <f>'raw data Crude oil'!AB1565</f>
        <v>82.456000000000003</v>
      </c>
      <c r="AC1564">
        <f>'raw data Crude oil'!AC1565</f>
        <v>81.947000000000003</v>
      </c>
      <c r="AD1564">
        <f>'raw data Crude oil'!AD1565</f>
        <v>81.409000000000006</v>
      </c>
      <c r="AE1564">
        <f>'raw data Crude oil'!AE1565</f>
        <v>80.897000000000006</v>
      </c>
      <c r="AF1564">
        <f>'raw data Crude oil'!AF1565</f>
        <v>80.364999999999995</v>
      </c>
      <c r="AG1564">
        <f>'raw data Crude oil'!AG1565</f>
        <v>79.858999999999995</v>
      </c>
      <c r="AH1564">
        <f>'raw data Crude oil'!AH1565</f>
        <v>79.376000000000005</v>
      </c>
      <c r="AI1564">
        <f>'raw data Crude oil'!AI1565</f>
        <v>78.876999999999995</v>
      </c>
      <c r="AJ1564">
        <f>'raw data Crude oil'!AJ1565</f>
        <v>78.346999999999994</v>
      </c>
      <c r="AK1564">
        <f>'raw data Crude oil'!AK1565</f>
        <v>77.801000000000002</v>
      </c>
    </row>
    <row r="1565" spans="1:37" x14ac:dyDescent="0.3">
      <c r="A1565" s="18">
        <f>'raw data Crude oil'!A1566</f>
        <v>44946</v>
      </c>
      <c r="B1565">
        <f>'raw data Crude oil'!B1566</f>
        <v>87.63</v>
      </c>
      <c r="C1565">
        <f>'raw data Crude oil'!C1566</f>
        <v>87.68</v>
      </c>
      <c r="D1565">
        <f>'raw data Crude oil'!D1566</f>
        <v>87.51</v>
      </c>
      <c r="E1565">
        <f>'raw data Crude oil'!E1566</f>
        <v>87.12</v>
      </c>
      <c r="F1565">
        <f>'raw data Crude oil'!F1566</f>
        <v>86.65</v>
      </c>
      <c r="G1565">
        <f>'raw data Crude oil'!G1566</f>
        <v>86.13</v>
      </c>
      <c r="H1565">
        <f>'raw data Crude oil'!H1566</f>
        <v>85.59</v>
      </c>
      <c r="I1565">
        <f>'raw data Crude oil'!I1566</f>
        <v>85.05</v>
      </c>
      <c r="J1565">
        <f>'raw data Crude oil'!J1566</f>
        <v>84.53</v>
      </c>
      <c r="K1565">
        <f>'raw data Crude oil'!K1566</f>
        <v>84.01</v>
      </c>
      <c r="L1565">
        <f>'raw data Crude oil'!L1566</f>
        <v>83.48</v>
      </c>
      <c r="M1565">
        <f>'raw data Crude oil'!M1566</f>
        <v>82.96</v>
      </c>
      <c r="N1565">
        <f>'raw data Crude oil'!N1566</f>
        <v>81.31</v>
      </c>
      <c r="O1565">
        <f>'raw data Crude oil'!O1566</f>
        <v>81.64</v>
      </c>
      <c r="P1565">
        <f>'raw data Crude oil'!P1566</f>
        <v>81.89</v>
      </c>
      <c r="Q1565">
        <f>'raw data Crude oil'!Q1566</f>
        <v>82</v>
      </c>
      <c r="R1565">
        <f>'raw data Crude oil'!R1566</f>
        <v>81.92</v>
      </c>
      <c r="S1565">
        <f>'raw data Crude oil'!S1566</f>
        <v>81.64</v>
      </c>
      <c r="T1565">
        <f>'raw data Crude oil'!T1566</f>
        <v>81.209999999999994</v>
      </c>
      <c r="U1565">
        <f>'raw data Crude oil'!U1566</f>
        <v>80.69</v>
      </c>
      <c r="V1565">
        <f>'raw data Crude oil'!V1566</f>
        <v>80.12</v>
      </c>
      <c r="W1565">
        <f>'raw data Crude oil'!W1566</f>
        <v>79.56</v>
      </c>
      <c r="X1565">
        <f>'raw data Crude oil'!X1566</f>
        <v>79</v>
      </c>
      <c r="Y1565">
        <f>'raw data Crude oil'!Y1566</f>
        <v>78.41</v>
      </c>
      <c r="Z1565">
        <f>'raw data Crude oil'!Z1566</f>
        <v>80.956000000000003</v>
      </c>
      <c r="AA1565">
        <f>'raw data Crude oil'!AA1566</f>
        <v>84.451999999999998</v>
      </c>
      <c r="AB1565">
        <f>'raw data Crude oil'!AB1566</f>
        <v>83.753</v>
      </c>
      <c r="AC1565">
        <f>'raw data Crude oil'!AC1566</f>
        <v>83.265000000000001</v>
      </c>
      <c r="AD1565">
        <f>'raw data Crude oil'!AD1566</f>
        <v>82.677000000000007</v>
      </c>
      <c r="AE1565">
        <f>'raw data Crude oil'!AE1566</f>
        <v>82.094999999999999</v>
      </c>
      <c r="AF1565">
        <f>'raw data Crude oil'!AF1566</f>
        <v>81.554000000000002</v>
      </c>
      <c r="AG1565">
        <f>'raw data Crude oil'!AG1566</f>
        <v>80.997</v>
      </c>
      <c r="AH1565">
        <f>'raw data Crude oil'!AH1566</f>
        <v>80.474999999999994</v>
      </c>
      <c r="AI1565">
        <f>'raw data Crude oil'!AI1566</f>
        <v>79.936000000000007</v>
      </c>
      <c r="AJ1565">
        <f>'raw data Crude oil'!AJ1566</f>
        <v>79.385999999999996</v>
      </c>
      <c r="AK1565">
        <f>'raw data Crude oil'!AK1566</f>
        <v>78.807000000000002</v>
      </c>
    </row>
    <row r="1566" spans="1:37" x14ac:dyDescent="0.3">
      <c r="A1566" s="18">
        <f>'raw data Crude oil'!A1567</f>
        <v>44949</v>
      </c>
      <c r="B1566">
        <f>'raw data Crude oil'!B1567</f>
        <v>88.19</v>
      </c>
      <c r="C1566">
        <f>'raw data Crude oil'!C1567</f>
        <v>88.16</v>
      </c>
      <c r="D1566">
        <f>'raw data Crude oil'!D1567</f>
        <v>87.97</v>
      </c>
      <c r="E1566">
        <f>'raw data Crude oil'!E1567</f>
        <v>87.59</v>
      </c>
      <c r="F1566">
        <f>'raw data Crude oil'!F1567</f>
        <v>87.14</v>
      </c>
      <c r="G1566">
        <f>'raw data Crude oil'!G1567</f>
        <v>86.64</v>
      </c>
      <c r="H1566">
        <f>'raw data Crude oil'!H1567</f>
        <v>86.13</v>
      </c>
      <c r="I1566">
        <f>'raw data Crude oil'!I1567</f>
        <v>85.6</v>
      </c>
      <c r="J1566">
        <f>'raw data Crude oil'!J1567</f>
        <v>85.08</v>
      </c>
      <c r="K1566">
        <f>'raw data Crude oil'!K1567</f>
        <v>84.55</v>
      </c>
      <c r="L1566">
        <f>'raw data Crude oil'!L1567</f>
        <v>84.03</v>
      </c>
      <c r="M1566">
        <f>'raw data Crude oil'!M1567</f>
        <v>83.52</v>
      </c>
      <c r="N1566">
        <f>'raw data Crude oil'!N1567</f>
        <v>81.62</v>
      </c>
      <c r="O1566">
        <f>'raw data Crude oil'!O1567</f>
        <v>81.93</v>
      </c>
      <c r="P1566">
        <f>'raw data Crude oil'!P1567</f>
        <v>82.13</v>
      </c>
      <c r="Q1566">
        <f>'raw data Crude oil'!Q1567</f>
        <v>82.14</v>
      </c>
      <c r="R1566">
        <f>'raw data Crude oil'!R1567</f>
        <v>81.94</v>
      </c>
      <c r="S1566">
        <f>'raw data Crude oil'!S1567</f>
        <v>81.58</v>
      </c>
      <c r="T1566">
        <f>'raw data Crude oil'!T1567</f>
        <v>81.11</v>
      </c>
      <c r="U1566">
        <f>'raw data Crude oil'!U1567</f>
        <v>80.58</v>
      </c>
      <c r="V1566">
        <f>'raw data Crude oil'!V1567</f>
        <v>80.05</v>
      </c>
      <c r="W1566">
        <f>'raw data Crude oil'!W1567</f>
        <v>79.510000000000005</v>
      </c>
      <c r="X1566">
        <f>'raw data Crude oil'!X1567</f>
        <v>78.959999999999994</v>
      </c>
      <c r="Y1566">
        <f>'raw data Crude oil'!Y1567</f>
        <v>78.42</v>
      </c>
      <c r="Z1566">
        <f>'raw data Crude oil'!Z1567</f>
        <v>81.081999999999994</v>
      </c>
      <c r="AA1566">
        <f>'raw data Crude oil'!AA1567</f>
        <v>84.930999999999997</v>
      </c>
      <c r="AB1566">
        <f>'raw data Crude oil'!AB1567</f>
        <v>84.206000000000003</v>
      </c>
      <c r="AC1566">
        <f>'raw data Crude oil'!AC1567</f>
        <v>83.695999999999998</v>
      </c>
      <c r="AD1566">
        <f>'raw data Crude oil'!AD1567</f>
        <v>83.146000000000001</v>
      </c>
      <c r="AE1566">
        <f>'raw data Crude oil'!AE1567</f>
        <v>82.572999999999993</v>
      </c>
      <c r="AF1566">
        <f>'raw data Crude oil'!AF1567</f>
        <v>82.072999999999993</v>
      </c>
      <c r="AG1566">
        <f>'raw data Crude oil'!AG1567</f>
        <v>81.546999999999997</v>
      </c>
      <c r="AH1566">
        <f>'raw data Crude oil'!AH1567</f>
        <v>81.055000000000007</v>
      </c>
      <c r="AI1566">
        <f>'raw data Crude oil'!AI1567</f>
        <v>80.525999999999996</v>
      </c>
      <c r="AJ1566">
        <f>'raw data Crude oil'!AJ1567</f>
        <v>80.007000000000005</v>
      </c>
      <c r="AK1566">
        <f>'raw data Crude oil'!AK1567</f>
        <v>79.438000000000002</v>
      </c>
    </row>
    <row r="1567" spans="1:37" x14ac:dyDescent="0.3">
      <c r="A1567" s="18">
        <f>'raw data Crude oil'!A1568</f>
        <v>44950</v>
      </c>
      <c r="B1567">
        <f>'raw data Crude oil'!B1568</f>
        <v>86.13</v>
      </c>
      <c r="C1567">
        <f>'raw data Crude oil'!C1568</f>
        <v>86.25</v>
      </c>
      <c r="D1567">
        <f>'raw data Crude oil'!D1568</f>
        <v>86.14</v>
      </c>
      <c r="E1567">
        <f>'raw data Crude oil'!E1568</f>
        <v>85.83</v>
      </c>
      <c r="F1567">
        <f>'raw data Crude oil'!F1568</f>
        <v>85.45</v>
      </c>
      <c r="G1567">
        <f>'raw data Crude oil'!G1568</f>
        <v>85.01</v>
      </c>
      <c r="H1567">
        <f>'raw data Crude oil'!H1568</f>
        <v>84.54</v>
      </c>
      <c r="I1567">
        <f>'raw data Crude oil'!I1568</f>
        <v>84.05</v>
      </c>
      <c r="J1567">
        <f>'raw data Crude oil'!J1568</f>
        <v>83.55</v>
      </c>
      <c r="K1567">
        <f>'raw data Crude oil'!K1568</f>
        <v>83.04</v>
      </c>
      <c r="L1567">
        <f>'raw data Crude oil'!L1568</f>
        <v>82.53</v>
      </c>
      <c r="M1567">
        <f>'raw data Crude oil'!M1568</f>
        <v>82.02</v>
      </c>
      <c r="N1567">
        <f>'raw data Crude oil'!N1568</f>
        <v>80.13</v>
      </c>
      <c r="O1567">
        <f>'raw data Crude oil'!O1568</f>
        <v>80.44</v>
      </c>
      <c r="P1567">
        <f>'raw data Crude oil'!P1568</f>
        <v>80.650000000000006</v>
      </c>
      <c r="Q1567">
        <f>'raw data Crude oil'!Q1568</f>
        <v>80.650000000000006</v>
      </c>
      <c r="R1567">
        <f>'raw data Crude oil'!R1568</f>
        <v>80.47</v>
      </c>
      <c r="S1567">
        <f>'raw data Crude oil'!S1568</f>
        <v>80.13</v>
      </c>
      <c r="T1567">
        <f>'raw data Crude oil'!T1568</f>
        <v>79.69</v>
      </c>
      <c r="U1567">
        <f>'raw data Crude oil'!U1568</f>
        <v>79.180000000000007</v>
      </c>
      <c r="V1567">
        <f>'raw data Crude oil'!V1568</f>
        <v>78.66</v>
      </c>
      <c r="W1567">
        <f>'raw data Crude oil'!W1568</f>
        <v>78.13</v>
      </c>
      <c r="X1567">
        <f>'raw data Crude oil'!X1568</f>
        <v>77.59</v>
      </c>
      <c r="Y1567">
        <f>'raw data Crude oil'!Y1568</f>
        <v>77.06</v>
      </c>
      <c r="Z1567">
        <f>'raw data Crude oil'!Z1568</f>
        <v>81.081999999999994</v>
      </c>
      <c r="AA1567">
        <f>'raw data Crude oil'!AA1568</f>
        <v>83.204999999999998</v>
      </c>
      <c r="AB1567">
        <f>'raw data Crude oil'!AB1568</f>
        <v>82.527000000000001</v>
      </c>
      <c r="AC1567">
        <f>'raw data Crude oil'!AC1568</f>
        <v>82.04</v>
      </c>
      <c r="AD1567">
        <f>'raw data Crude oil'!AD1568</f>
        <v>81.531000000000006</v>
      </c>
      <c r="AE1567">
        <f>'raw data Crude oil'!AE1568</f>
        <v>80.978999999999999</v>
      </c>
      <c r="AF1567">
        <f>'raw data Crude oil'!AF1568</f>
        <v>80.507000000000005</v>
      </c>
      <c r="AG1567">
        <f>'raw data Crude oil'!AG1568</f>
        <v>80.018000000000001</v>
      </c>
      <c r="AH1567">
        <f>'raw data Crude oil'!AH1568</f>
        <v>79.516000000000005</v>
      </c>
      <c r="AI1567">
        <f>'raw data Crude oil'!AI1568</f>
        <v>79.007000000000005</v>
      </c>
      <c r="AJ1567">
        <f>'raw data Crude oil'!AJ1568</f>
        <v>78.497</v>
      </c>
      <c r="AK1567">
        <f>'raw data Crude oil'!AK1568</f>
        <v>77.932000000000002</v>
      </c>
    </row>
    <row r="1568" spans="1:37" x14ac:dyDescent="0.3">
      <c r="A1568" s="18">
        <f>'raw data Crude oil'!A1569</f>
        <v>44951</v>
      </c>
      <c r="B1568">
        <f>'raw data Crude oil'!B1569</f>
        <v>86.12</v>
      </c>
      <c r="C1568">
        <f>'raw data Crude oil'!C1569</f>
        <v>86.19</v>
      </c>
      <c r="D1568">
        <f>'raw data Crude oil'!D1569</f>
        <v>86.04</v>
      </c>
      <c r="E1568">
        <f>'raw data Crude oil'!E1569</f>
        <v>85.7</v>
      </c>
      <c r="F1568">
        <f>'raw data Crude oil'!F1569</f>
        <v>85.3</v>
      </c>
      <c r="G1568">
        <f>'raw data Crude oil'!G1569</f>
        <v>84.84</v>
      </c>
      <c r="H1568">
        <f>'raw data Crude oil'!H1569</f>
        <v>84.35</v>
      </c>
      <c r="I1568">
        <f>'raw data Crude oil'!I1569</f>
        <v>83.83</v>
      </c>
      <c r="J1568">
        <f>'raw data Crude oil'!J1569</f>
        <v>83.32</v>
      </c>
      <c r="K1568">
        <f>'raw data Crude oil'!K1569</f>
        <v>82.79</v>
      </c>
      <c r="L1568">
        <f>'raw data Crude oil'!L1569</f>
        <v>82.27</v>
      </c>
      <c r="M1568">
        <f>'raw data Crude oil'!M1569</f>
        <v>81.760000000000005</v>
      </c>
      <c r="N1568">
        <f>'raw data Crude oil'!N1569</f>
        <v>80.150000000000006</v>
      </c>
      <c r="O1568">
        <f>'raw data Crude oil'!O1569</f>
        <v>80.44</v>
      </c>
      <c r="P1568">
        <f>'raw data Crude oil'!P1569</f>
        <v>80.63</v>
      </c>
      <c r="Q1568">
        <f>'raw data Crude oil'!Q1569</f>
        <v>80.61</v>
      </c>
      <c r="R1568">
        <f>'raw data Crude oil'!R1569</f>
        <v>80.400000000000006</v>
      </c>
      <c r="S1568">
        <f>'raw data Crude oil'!S1569</f>
        <v>80.03</v>
      </c>
      <c r="T1568">
        <f>'raw data Crude oil'!T1569</f>
        <v>79.55</v>
      </c>
      <c r="U1568">
        <f>'raw data Crude oil'!U1569</f>
        <v>79</v>
      </c>
      <c r="V1568">
        <f>'raw data Crude oil'!V1569</f>
        <v>78.459999999999994</v>
      </c>
      <c r="W1568">
        <f>'raw data Crude oil'!W1569</f>
        <v>77.91</v>
      </c>
      <c r="X1568">
        <f>'raw data Crude oil'!X1569</f>
        <v>77.349999999999994</v>
      </c>
      <c r="Y1568">
        <f>'raw data Crude oil'!Y1569</f>
        <v>76.8</v>
      </c>
      <c r="Z1568">
        <f>'raw data Crude oil'!Z1569</f>
        <v>80.585999999999999</v>
      </c>
      <c r="AA1568">
        <f>'raw data Crude oil'!AA1569</f>
        <v>83.082999999999998</v>
      </c>
      <c r="AB1568">
        <f>'raw data Crude oil'!AB1569</f>
        <v>82.444999999999993</v>
      </c>
      <c r="AC1568">
        <f>'raw data Crude oil'!AC1569</f>
        <v>81.968999999999994</v>
      </c>
      <c r="AD1568">
        <f>'raw data Crude oil'!AD1569</f>
        <v>81.459999999999994</v>
      </c>
      <c r="AE1568">
        <f>'raw data Crude oil'!AE1569</f>
        <v>80.95</v>
      </c>
      <c r="AF1568">
        <f>'raw data Crude oil'!AF1569</f>
        <v>80.45</v>
      </c>
      <c r="AG1568">
        <f>'raw data Crude oil'!AG1569</f>
        <v>79.938000000000002</v>
      </c>
      <c r="AH1568">
        <f>'raw data Crude oil'!AH1569</f>
        <v>79.444999999999993</v>
      </c>
      <c r="AI1568">
        <f>'raw data Crude oil'!AI1569</f>
        <v>78.936000000000007</v>
      </c>
      <c r="AJ1568">
        <f>'raw data Crude oil'!AJ1569</f>
        <v>78.406999999999996</v>
      </c>
      <c r="AK1568">
        <f>'raw data Crude oil'!AK1569</f>
        <v>77.820999999999998</v>
      </c>
    </row>
    <row r="1569" spans="1:37" x14ac:dyDescent="0.3">
      <c r="A1569" s="18">
        <f>'raw data Crude oil'!A1570</f>
        <v>44952</v>
      </c>
      <c r="B1569">
        <f>'raw data Crude oil'!B1570</f>
        <v>87.47</v>
      </c>
      <c r="C1569">
        <f>'raw data Crude oil'!C1570</f>
        <v>87.28</v>
      </c>
      <c r="D1569">
        <f>'raw data Crude oil'!D1570</f>
        <v>87.06</v>
      </c>
      <c r="E1569">
        <f>'raw data Crude oil'!E1570</f>
        <v>86.65</v>
      </c>
      <c r="F1569">
        <f>'raw data Crude oil'!F1570</f>
        <v>86.17</v>
      </c>
      <c r="G1569">
        <f>'raw data Crude oil'!G1570</f>
        <v>85.64</v>
      </c>
      <c r="H1569">
        <f>'raw data Crude oil'!H1570</f>
        <v>85.1</v>
      </c>
      <c r="I1569">
        <f>'raw data Crude oil'!I1570</f>
        <v>84.54</v>
      </c>
      <c r="J1569">
        <f>'raw data Crude oil'!J1570</f>
        <v>83.98</v>
      </c>
      <c r="K1569">
        <f>'raw data Crude oil'!K1570</f>
        <v>83.42</v>
      </c>
      <c r="L1569">
        <f>'raw data Crude oil'!L1570</f>
        <v>82.86</v>
      </c>
      <c r="M1569">
        <f>'raw data Crude oil'!M1570</f>
        <v>82.31</v>
      </c>
      <c r="N1569">
        <f>'raw data Crude oil'!N1570</f>
        <v>81.010000000000005</v>
      </c>
      <c r="O1569">
        <f>'raw data Crude oil'!O1570</f>
        <v>81.28</v>
      </c>
      <c r="P1569">
        <f>'raw data Crude oil'!P1570</f>
        <v>81.44</v>
      </c>
      <c r="Q1569">
        <f>'raw data Crude oil'!Q1570</f>
        <v>81.38</v>
      </c>
      <c r="R1569">
        <f>'raw data Crude oil'!R1570</f>
        <v>81.099999999999994</v>
      </c>
      <c r="S1569">
        <f>'raw data Crude oil'!S1570</f>
        <v>80.67</v>
      </c>
      <c r="T1569">
        <f>'raw data Crude oil'!T1570</f>
        <v>80.12</v>
      </c>
      <c r="U1569">
        <f>'raw data Crude oil'!U1570</f>
        <v>79.52</v>
      </c>
      <c r="V1569">
        <f>'raw data Crude oil'!V1570</f>
        <v>78.95</v>
      </c>
      <c r="W1569">
        <f>'raw data Crude oil'!W1570</f>
        <v>78.38</v>
      </c>
      <c r="X1569">
        <f>'raw data Crude oil'!X1570</f>
        <v>77.78</v>
      </c>
      <c r="Y1569">
        <f>'raw data Crude oil'!Y1570</f>
        <v>77.2</v>
      </c>
      <c r="Z1569">
        <f>'raw data Crude oil'!Z1570</f>
        <v>80.709999999999994</v>
      </c>
      <c r="AA1569">
        <f>'raw data Crude oil'!AA1570</f>
        <v>84.028999999999996</v>
      </c>
      <c r="AB1569">
        <f>'raw data Crude oil'!AB1570</f>
        <v>83.361999999999995</v>
      </c>
      <c r="AC1569">
        <f>'raw data Crude oil'!AC1570</f>
        <v>82.825000000000003</v>
      </c>
      <c r="AD1569">
        <f>'raw data Crude oil'!AD1570</f>
        <v>82.266999999999996</v>
      </c>
      <c r="AE1569">
        <f>'raw data Crude oil'!AE1570</f>
        <v>81.715000000000003</v>
      </c>
      <c r="AF1569">
        <f>'raw data Crude oil'!AF1570</f>
        <v>81.173000000000002</v>
      </c>
      <c r="AG1569">
        <f>'raw data Crude oil'!AG1570</f>
        <v>80.626000000000005</v>
      </c>
      <c r="AH1569">
        <f>'raw data Crude oil'!AH1570</f>
        <v>80.082999999999998</v>
      </c>
      <c r="AI1569">
        <f>'raw data Crude oil'!AI1570</f>
        <v>79.515000000000001</v>
      </c>
      <c r="AJ1569">
        <f>'raw data Crude oil'!AJ1570</f>
        <v>78.944999999999993</v>
      </c>
      <c r="AK1569">
        <f>'raw data Crude oil'!AK1570</f>
        <v>78.328000000000003</v>
      </c>
    </row>
    <row r="1570" spans="1:37" x14ac:dyDescent="0.3">
      <c r="A1570" s="18">
        <f>'raw data Crude oil'!A1571</f>
        <v>44953</v>
      </c>
      <c r="B1570">
        <f>'raw data Crude oil'!B1571</f>
        <v>86.66</v>
      </c>
      <c r="C1570">
        <f>'raw data Crude oil'!C1571</f>
        <v>86.4</v>
      </c>
      <c r="D1570">
        <f>'raw data Crude oil'!D1571</f>
        <v>86.04</v>
      </c>
      <c r="E1570">
        <f>'raw data Crude oil'!E1571</f>
        <v>85.56</v>
      </c>
      <c r="F1570">
        <f>'raw data Crude oil'!F1571</f>
        <v>85.04</v>
      </c>
      <c r="G1570">
        <f>'raw data Crude oil'!G1571</f>
        <v>84.47</v>
      </c>
      <c r="H1570">
        <f>'raw data Crude oil'!H1571</f>
        <v>83.9</v>
      </c>
      <c r="I1570">
        <f>'raw data Crude oil'!I1571</f>
        <v>83.31</v>
      </c>
      <c r="J1570">
        <f>'raw data Crude oil'!J1571</f>
        <v>82.74</v>
      </c>
      <c r="K1570">
        <f>'raw data Crude oil'!K1571</f>
        <v>82.16</v>
      </c>
      <c r="L1570">
        <f>'raw data Crude oil'!L1571</f>
        <v>81.58</v>
      </c>
      <c r="M1570">
        <f>'raw data Crude oil'!M1571</f>
        <v>81.02</v>
      </c>
      <c r="N1570">
        <f>'raw data Crude oil'!N1571</f>
        <v>79.680000000000007</v>
      </c>
      <c r="O1570">
        <f>'raw data Crude oil'!O1571</f>
        <v>79.959999999999994</v>
      </c>
      <c r="P1570">
        <f>'raw data Crude oil'!P1571</f>
        <v>80.14</v>
      </c>
      <c r="Q1570">
        <f>'raw data Crude oil'!Q1571</f>
        <v>80.08</v>
      </c>
      <c r="R1570">
        <f>'raw data Crude oil'!R1571</f>
        <v>79.8</v>
      </c>
      <c r="S1570">
        <f>'raw data Crude oil'!S1571</f>
        <v>79.349999999999994</v>
      </c>
      <c r="T1570">
        <f>'raw data Crude oil'!T1571</f>
        <v>78.790000000000006</v>
      </c>
      <c r="U1570">
        <f>'raw data Crude oil'!U1571</f>
        <v>78.2</v>
      </c>
      <c r="V1570">
        <f>'raw data Crude oil'!V1571</f>
        <v>77.63</v>
      </c>
      <c r="W1570">
        <f>'raw data Crude oil'!W1571</f>
        <v>77.069999999999993</v>
      </c>
      <c r="X1570">
        <f>'raw data Crude oil'!X1571</f>
        <v>76.489999999999995</v>
      </c>
      <c r="Y1570">
        <f>'raw data Crude oil'!Y1571</f>
        <v>75.930000000000007</v>
      </c>
      <c r="Z1570">
        <f>'raw data Crude oil'!Z1571</f>
        <v>80.576999999999998</v>
      </c>
      <c r="AA1570">
        <f>'raw data Crude oil'!AA1571</f>
        <v>83.001999999999995</v>
      </c>
      <c r="AB1570">
        <f>'raw data Crude oil'!AB1571</f>
        <v>82.222999999999999</v>
      </c>
      <c r="AC1570">
        <f>'raw data Crude oil'!AC1571</f>
        <v>81.623000000000005</v>
      </c>
      <c r="AD1570">
        <f>'raw data Crude oil'!AD1571</f>
        <v>81.045000000000002</v>
      </c>
      <c r="AE1570">
        <f>'raw data Crude oil'!AE1571</f>
        <v>80.444000000000003</v>
      </c>
      <c r="AF1570">
        <f>'raw data Crude oil'!AF1571</f>
        <v>79.888000000000005</v>
      </c>
      <c r="AG1570">
        <f>'raw data Crude oil'!AG1571</f>
        <v>79.350999999999999</v>
      </c>
      <c r="AH1570">
        <f>'raw data Crude oil'!AH1571</f>
        <v>78.798000000000002</v>
      </c>
      <c r="AI1570">
        <f>'raw data Crude oil'!AI1571</f>
        <v>78.254000000000005</v>
      </c>
      <c r="AJ1570">
        <f>'raw data Crude oil'!AJ1571</f>
        <v>77.665000000000006</v>
      </c>
      <c r="AK1570">
        <f>'raw data Crude oil'!AK1571</f>
        <v>77.049000000000007</v>
      </c>
    </row>
    <row r="1571" spans="1:37" x14ac:dyDescent="0.3">
      <c r="A1571" s="18">
        <f>'raw data Crude oil'!A1572</f>
        <v>44956</v>
      </c>
      <c r="B1571">
        <f>'raw data Crude oil'!B1572</f>
        <v>84.9</v>
      </c>
      <c r="C1571">
        <f>'raw data Crude oil'!C1572</f>
        <v>84.5</v>
      </c>
      <c r="D1571">
        <f>'raw data Crude oil'!D1572</f>
        <v>84.14</v>
      </c>
      <c r="E1571">
        <f>'raw data Crude oil'!E1572</f>
        <v>83.68</v>
      </c>
      <c r="F1571">
        <f>'raw data Crude oil'!F1572</f>
        <v>83.2</v>
      </c>
      <c r="G1571">
        <f>'raw data Crude oil'!G1572</f>
        <v>82.7</v>
      </c>
      <c r="H1571">
        <f>'raw data Crude oil'!H1572</f>
        <v>82.18</v>
      </c>
      <c r="I1571">
        <f>'raw data Crude oil'!I1572</f>
        <v>81.650000000000006</v>
      </c>
      <c r="J1571">
        <f>'raw data Crude oil'!J1572</f>
        <v>81.12</v>
      </c>
      <c r="K1571">
        <f>'raw data Crude oil'!K1572</f>
        <v>80.599999999999994</v>
      </c>
      <c r="L1571">
        <f>'raw data Crude oil'!L1572</f>
        <v>80.069999999999993</v>
      </c>
      <c r="M1571">
        <f>'raw data Crude oil'!M1572</f>
        <v>79.58</v>
      </c>
      <c r="N1571">
        <f>'raw data Crude oil'!N1572</f>
        <v>77.900000000000006</v>
      </c>
      <c r="O1571">
        <f>'raw data Crude oil'!O1572</f>
        <v>78.180000000000007</v>
      </c>
      <c r="P1571">
        <f>'raw data Crude oil'!P1572</f>
        <v>78.37</v>
      </c>
      <c r="Q1571">
        <f>'raw data Crude oil'!Q1572</f>
        <v>78.34</v>
      </c>
      <c r="R1571">
        <f>'raw data Crude oil'!R1572</f>
        <v>78.09</v>
      </c>
      <c r="S1571">
        <f>'raw data Crude oil'!S1572</f>
        <v>77.680000000000007</v>
      </c>
      <c r="T1571">
        <f>'raw data Crude oil'!T1572</f>
        <v>77.17</v>
      </c>
      <c r="U1571">
        <f>'raw data Crude oil'!U1572</f>
        <v>76.62</v>
      </c>
      <c r="V1571">
        <f>'raw data Crude oil'!V1572</f>
        <v>76.09</v>
      </c>
      <c r="W1571">
        <f>'raw data Crude oil'!W1572</f>
        <v>75.569999999999993</v>
      </c>
      <c r="X1571">
        <f>'raw data Crude oil'!X1572</f>
        <v>75.05</v>
      </c>
      <c r="Y1571">
        <f>'raw data Crude oil'!Y1572</f>
        <v>74.55</v>
      </c>
      <c r="Z1571">
        <f>'raw data Crude oil'!Z1572</f>
        <v>80.427999999999997</v>
      </c>
      <c r="AA1571">
        <f>'raw data Crude oil'!AA1572</f>
        <v>81.182000000000002</v>
      </c>
      <c r="AB1571">
        <f>'raw data Crude oil'!AB1572</f>
        <v>80.430000000000007</v>
      </c>
      <c r="AC1571">
        <f>'raw data Crude oil'!AC1572</f>
        <v>79.849000000000004</v>
      </c>
      <c r="AD1571">
        <f>'raw data Crude oil'!AD1572</f>
        <v>79.298000000000002</v>
      </c>
      <c r="AE1571">
        <f>'raw data Crude oil'!AE1572</f>
        <v>78.766000000000005</v>
      </c>
      <c r="AF1571">
        <f>'raw data Crude oil'!AF1572</f>
        <v>78.254999999999995</v>
      </c>
      <c r="AG1571">
        <f>'raw data Crude oil'!AG1572</f>
        <v>77.796999999999997</v>
      </c>
      <c r="AH1571">
        <f>'raw data Crude oil'!AH1572</f>
        <v>77.295000000000002</v>
      </c>
      <c r="AI1571">
        <f>'raw data Crude oil'!AI1572</f>
        <v>76.805999999999997</v>
      </c>
      <c r="AJ1571">
        <f>'raw data Crude oil'!AJ1572</f>
        <v>76.227999999999994</v>
      </c>
      <c r="AK1571">
        <f>'raw data Crude oil'!AK1572</f>
        <v>75.516000000000005</v>
      </c>
    </row>
    <row r="1572" spans="1:37" x14ac:dyDescent="0.3">
      <c r="A1572" s="18">
        <f>'raw data Crude oil'!A1573</f>
        <v>44957</v>
      </c>
      <c r="B1572">
        <f>'raw data Crude oil'!B1573</f>
        <v>84.49</v>
      </c>
      <c r="C1572">
        <f>'raw data Crude oil'!C1573</f>
        <v>85.46</v>
      </c>
      <c r="D1572">
        <f>'raw data Crude oil'!D1573</f>
        <v>85.17</v>
      </c>
      <c r="E1572">
        <f>'raw data Crude oil'!E1573</f>
        <v>84.75</v>
      </c>
      <c r="F1572">
        <f>'raw data Crude oil'!F1573</f>
        <v>84.31</v>
      </c>
      <c r="G1572">
        <f>'raw data Crude oil'!G1573</f>
        <v>83.83</v>
      </c>
      <c r="H1572">
        <f>'raw data Crude oil'!H1573</f>
        <v>83.33</v>
      </c>
      <c r="I1572">
        <f>'raw data Crude oil'!I1573</f>
        <v>82.81</v>
      </c>
      <c r="J1572">
        <f>'raw data Crude oil'!J1573</f>
        <v>82.3</v>
      </c>
      <c r="K1572">
        <f>'raw data Crude oil'!K1573</f>
        <v>81.790000000000006</v>
      </c>
      <c r="L1572">
        <f>'raw data Crude oil'!L1573</f>
        <v>81.27</v>
      </c>
      <c r="M1572">
        <f>'raw data Crude oil'!M1573</f>
        <v>80.77</v>
      </c>
      <c r="N1572">
        <f>'raw data Crude oil'!N1573</f>
        <v>78.87</v>
      </c>
      <c r="O1572">
        <f>'raw data Crude oil'!O1573</f>
        <v>79.17</v>
      </c>
      <c r="P1572">
        <f>'raw data Crude oil'!P1573</f>
        <v>79.38</v>
      </c>
      <c r="Q1572">
        <f>'raw data Crude oil'!Q1573</f>
        <v>79.36</v>
      </c>
      <c r="R1572">
        <f>'raw data Crude oil'!R1573</f>
        <v>79.13</v>
      </c>
      <c r="S1572">
        <f>'raw data Crude oil'!S1573</f>
        <v>78.75</v>
      </c>
      <c r="T1572">
        <f>'raw data Crude oil'!T1573</f>
        <v>78.260000000000005</v>
      </c>
      <c r="U1572">
        <f>'raw data Crude oil'!U1573</f>
        <v>77.73</v>
      </c>
      <c r="V1572">
        <f>'raw data Crude oil'!V1573</f>
        <v>77.2</v>
      </c>
      <c r="W1572">
        <f>'raw data Crude oil'!W1573</f>
        <v>76.69</v>
      </c>
      <c r="X1572">
        <f>'raw data Crude oil'!X1573</f>
        <v>76.16</v>
      </c>
      <c r="Y1572">
        <f>'raw data Crude oil'!Y1573</f>
        <v>75.66</v>
      </c>
      <c r="Z1572">
        <f>'raw data Crude oil'!Z1573</f>
        <v>80.381</v>
      </c>
      <c r="AA1572">
        <f>'raw data Crude oil'!AA1573</f>
        <v>82.486000000000004</v>
      </c>
      <c r="AB1572">
        <f>'raw data Crude oil'!AB1573</f>
        <v>81.712000000000003</v>
      </c>
      <c r="AC1572">
        <f>'raw data Crude oil'!AC1573</f>
        <v>81.126999999999995</v>
      </c>
      <c r="AD1572">
        <f>'raw data Crude oil'!AD1573</f>
        <v>80.539000000000001</v>
      </c>
      <c r="AE1572">
        <f>'raw data Crude oil'!AE1573</f>
        <v>80.016999999999996</v>
      </c>
      <c r="AF1572">
        <f>'raw data Crude oil'!AF1573</f>
        <v>79.515000000000001</v>
      </c>
      <c r="AG1572">
        <f>'raw data Crude oil'!AG1573</f>
        <v>79.037999999999997</v>
      </c>
      <c r="AH1572">
        <f>'raw data Crude oil'!AH1573</f>
        <v>78.536000000000001</v>
      </c>
      <c r="AI1572">
        <f>'raw data Crude oil'!AI1573</f>
        <v>78.036000000000001</v>
      </c>
      <c r="AJ1572">
        <f>'raw data Crude oil'!AJ1573</f>
        <v>77.507000000000005</v>
      </c>
      <c r="AK1572">
        <f>'raw data Crude oil'!AK1573</f>
        <v>76.965999999999994</v>
      </c>
    </row>
    <row r="1573" spans="1:37" x14ac:dyDescent="0.3">
      <c r="A1573" s="18">
        <f>'raw data Crude oil'!A1574</f>
        <v>44958</v>
      </c>
      <c r="B1573">
        <f>'raw data Crude oil'!B1574</f>
        <v>82.84</v>
      </c>
      <c r="C1573">
        <f>'raw data Crude oil'!C1574</f>
        <v>82.58</v>
      </c>
      <c r="D1573">
        <f>'raw data Crude oil'!D1574</f>
        <v>82.16</v>
      </c>
      <c r="E1573">
        <f>'raw data Crude oil'!E1574</f>
        <v>81.75</v>
      </c>
      <c r="F1573">
        <f>'raw data Crude oil'!F1574</f>
        <v>81.319999999999993</v>
      </c>
      <c r="G1573">
        <f>'raw data Crude oil'!G1574</f>
        <v>80.89</v>
      </c>
      <c r="H1573">
        <f>'raw data Crude oil'!H1574</f>
        <v>80.45</v>
      </c>
      <c r="I1573">
        <f>'raw data Crude oil'!I1574</f>
        <v>80.010000000000005</v>
      </c>
      <c r="J1573">
        <f>'raw data Crude oil'!J1574</f>
        <v>79.56</v>
      </c>
      <c r="K1573">
        <f>'raw data Crude oil'!K1574</f>
        <v>79.09</v>
      </c>
      <c r="L1573">
        <f>'raw data Crude oil'!L1574</f>
        <v>78.650000000000006</v>
      </c>
      <c r="M1573">
        <f>'raw data Crude oil'!M1574</f>
        <v>78.27</v>
      </c>
      <c r="N1573">
        <f>'raw data Crude oil'!N1574</f>
        <v>76.41</v>
      </c>
      <c r="O1573">
        <f>'raw data Crude oil'!O1574</f>
        <v>76.73</v>
      </c>
      <c r="P1573">
        <f>'raw data Crude oil'!P1574</f>
        <v>76.94</v>
      </c>
      <c r="Q1573">
        <f>'raw data Crude oil'!Q1574</f>
        <v>76.92</v>
      </c>
      <c r="R1573">
        <f>'raw data Crude oil'!R1574</f>
        <v>76.72</v>
      </c>
      <c r="S1573">
        <f>'raw data Crude oil'!S1574</f>
        <v>76.37</v>
      </c>
      <c r="T1573">
        <f>'raw data Crude oil'!T1574</f>
        <v>75.930000000000007</v>
      </c>
      <c r="U1573">
        <f>'raw data Crude oil'!U1574</f>
        <v>75.47</v>
      </c>
      <c r="V1573">
        <f>'raw data Crude oil'!V1574</f>
        <v>75</v>
      </c>
      <c r="W1573">
        <f>'raw data Crude oil'!W1574</f>
        <v>74.55</v>
      </c>
      <c r="X1573">
        <f>'raw data Crude oil'!X1574</f>
        <v>74.09</v>
      </c>
      <c r="Y1573">
        <f>'raw data Crude oil'!Y1574</f>
        <v>73.650000000000006</v>
      </c>
      <c r="Z1573">
        <f>'raw data Crude oil'!Z1574</f>
        <v>80.381</v>
      </c>
      <c r="AA1573">
        <f>'raw data Crude oil'!AA1574</f>
        <v>80.417000000000002</v>
      </c>
      <c r="AB1573">
        <f>'raw data Crude oil'!AB1574</f>
        <v>79.451999999999998</v>
      </c>
      <c r="AC1573">
        <f>'raw data Crude oil'!AC1574</f>
        <v>78.772000000000006</v>
      </c>
      <c r="AD1573">
        <f>'raw data Crude oil'!AD1574</f>
        <v>78.144999999999996</v>
      </c>
      <c r="AE1573">
        <f>'raw data Crude oil'!AE1574</f>
        <v>77.63</v>
      </c>
      <c r="AF1573">
        <f>'raw data Crude oil'!AF1574</f>
        <v>77.159000000000006</v>
      </c>
      <c r="AG1573">
        <f>'raw data Crude oil'!AG1574</f>
        <v>76.760999999999996</v>
      </c>
      <c r="AH1573">
        <f>'raw data Crude oil'!AH1574</f>
        <v>76.319000000000003</v>
      </c>
      <c r="AI1573">
        <f>'raw data Crude oil'!AI1574</f>
        <v>75.899000000000001</v>
      </c>
      <c r="AJ1573">
        <f>'raw data Crude oil'!AJ1574</f>
        <v>75.400000000000006</v>
      </c>
      <c r="AK1573">
        <f>'raw data Crude oil'!AK1574</f>
        <v>74.831999999999994</v>
      </c>
    </row>
    <row r="1574" spans="1:37" x14ac:dyDescent="0.3">
      <c r="A1574" s="18">
        <f>'raw data Crude oil'!A1575</f>
        <v>44959</v>
      </c>
      <c r="B1574">
        <f>'raw data Crude oil'!B1575</f>
        <v>82.17</v>
      </c>
      <c r="C1574">
        <f>'raw data Crude oil'!C1575</f>
        <v>82.03</v>
      </c>
      <c r="D1574">
        <f>'raw data Crude oil'!D1575</f>
        <v>81.7</v>
      </c>
      <c r="E1574">
        <f>'raw data Crude oil'!E1575</f>
        <v>81.36</v>
      </c>
      <c r="F1574">
        <f>'raw data Crude oil'!F1575</f>
        <v>80.959999999999994</v>
      </c>
      <c r="G1574">
        <f>'raw data Crude oil'!G1575</f>
        <v>80.56</v>
      </c>
      <c r="H1574">
        <f>'raw data Crude oil'!H1575</f>
        <v>80.150000000000006</v>
      </c>
      <c r="I1574">
        <f>'raw data Crude oil'!I1575</f>
        <v>79.75</v>
      </c>
      <c r="J1574">
        <f>'raw data Crude oil'!J1575</f>
        <v>79.33</v>
      </c>
      <c r="K1574">
        <f>'raw data Crude oil'!K1575</f>
        <v>78.900000000000006</v>
      </c>
      <c r="L1574">
        <f>'raw data Crude oil'!L1575</f>
        <v>78.48</v>
      </c>
      <c r="M1574">
        <f>'raw data Crude oil'!M1575</f>
        <v>78.11</v>
      </c>
      <c r="N1574">
        <f>'raw data Crude oil'!N1575</f>
        <v>75.88</v>
      </c>
      <c r="O1574">
        <f>'raw data Crude oil'!O1575</f>
        <v>76.2</v>
      </c>
      <c r="P1574">
        <f>'raw data Crude oil'!P1575</f>
        <v>76.44</v>
      </c>
      <c r="Q1574">
        <f>'raw data Crude oil'!Q1575</f>
        <v>76.45</v>
      </c>
      <c r="R1574">
        <f>'raw data Crude oil'!R1575</f>
        <v>76.290000000000006</v>
      </c>
      <c r="S1574">
        <f>'raw data Crude oil'!S1575</f>
        <v>75.98</v>
      </c>
      <c r="T1574">
        <f>'raw data Crude oil'!T1575</f>
        <v>75.569999999999993</v>
      </c>
      <c r="U1574">
        <f>'raw data Crude oil'!U1575</f>
        <v>75.150000000000006</v>
      </c>
      <c r="V1574">
        <f>'raw data Crude oil'!V1575</f>
        <v>74.73</v>
      </c>
      <c r="W1574">
        <f>'raw data Crude oil'!W1575</f>
        <v>74.31</v>
      </c>
      <c r="X1574">
        <f>'raw data Crude oil'!X1575</f>
        <v>73.89</v>
      </c>
      <c r="Y1574">
        <f>'raw data Crude oil'!Y1575</f>
        <v>73.48</v>
      </c>
      <c r="Z1574">
        <f>'raw data Crude oil'!Z1575</f>
        <v>80.025000000000006</v>
      </c>
      <c r="AA1574">
        <f>'raw data Crude oil'!AA1575</f>
        <v>78.932000000000002</v>
      </c>
      <c r="AB1574">
        <f>'raw data Crude oil'!AB1575</f>
        <v>78.301000000000002</v>
      </c>
      <c r="AC1574">
        <f>'raw data Crude oil'!AC1575</f>
        <v>77.72</v>
      </c>
      <c r="AD1574">
        <f>'raw data Crude oil'!AD1575</f>
        <v>77.248000000000005</v>
      </c>
      <c r="AE1574">
        <f>'raw data Crude oil'!AE1575</f>
        <v>76.796000000000006</v>
      </c>
      <c r="AF1574">
        <f>'raw data Crude oil'!AF1575</f>
        <v>76.394999999999996</v>
      </c>
      <c r="AG1574">
        <f>'raw data Crude oil'!AG1575</f>
        <v>75.991</v>
      </c>
      <c r="AH1574">
        <f>'raw data Crude oil'!AH1575</f>
        <v>75.55</v>
      </c>
      <c r="AI1574">
        <f>'raw data Crude oil'!AI1575</f>
        <v>75.150999999999996</v>
      </c>
      <c r="AJ1574">
        <f>'raw data Crude oil'!AJ1575</f>
        <v>74.613</v>
      </c>
      <c r="AK1574">
        <f>'raw data Crude oil'!AK1575</f>
        <v>74.305000000000007</v>
      </c>
    </row>
    <row r="1575" spans="1:37" x14ac:dyDescent="0.3">
      <c r="A1575" s="18">
        <f>'raw data Crude oil'!A1576</f>
        <v>44960</v>
      </c>
      <c r="B1575">
        <f>'raw data Crude oil'!B1576</f>
        <v>79.94</v>
      </c>
      <c r="C1575">
        <f>'raw data Crude oil'!C1576</f>
        <v>79.709999999999994</v>
      </c>
      <c r="D1575">
        <f>'raw data Crude oil'!D1576</f>
        <v>79.33</v>
      </c>
      <c r="E1575">
        <f>'raw data Crude oil'!E1576</f>
        <v>78.97</v>
      </c>
      <c r="F1575">
        <f>'raw data Crude oil'!F1576</f>
        <v>78.58</v>
      </c>
      <c r="G1575">
        <f>'raw data Crude oil'!G1576</f>
        <v>78.19</v>
      </c>
      <c r="H1575">
        <f>'raw data Crude oil'!H1576</f>
        <v>77.8</v>
      </c>
      <c r="I1575">
        <f>'raw data Crude oil'!I1576</f>
        <v>77.41</v>
      </c>
      <c r="J1575">
        <f>'raw data Crude oil'!J1576</f>
        <v>77.03</v>
      </c>
      <c r="K1575">
        <f>'raw data Crude oil'!K1576</f>
        <v>76.63</v>
      </c>
      <c r="L1575">
        <f>'raw data Crude oil'!L1576</f>
        <v>76.239999999999995</v>
      </c>
      <c r="M1575">
        <f>'raw data Crude oil'!M1576</f>
        <v>75.900000000000006</v>
      </c>
      <c r="N1575">
        <f>'raw data Crude oil'!N1576</f>
        <v>73.39</v>
      </c>
      <c r="O1575">
        <f>'raw data Crude oil'!O1576</f>
        <v>73.739999999999995</v>
      </c>
      <c r="P1575">
        <f>'raw data Crude oil'!P1576</f>
        <v>74</v>
      </c>
      <c r="Q1575">
        <f>'raw data Crude oil'!Q1576</f>
        <v>74.05</v>
      </c>
      <c r="R1575">
        <f>'raw data Crude oil'!R1576</f>
        <v>73.900000000000006</v>
      </c>
      <c r="S1575">
        <f>'raw data Crude oil'!S1576</f>
        <v>73.62</v>
      </c>
      <c r="T1575">
        <f>'raw data Crude oil'!T1576</f>
        <v>73.260000000000005</v>
      </c>
      <c r="U1575">
        <f>'raw data Crude oil'!U1576</f>
        <v>72.87</v>
      </c>
      <c r="V1575">
        <f>'raw data Crude oil'!V1576</f>
        <v>72.48</v>
      </c>
      <c r="W1575">
        <f>'raw data Crude oil'!W1576</f>
        <v>72.09</v>
      </c>
      <c r="X1575">
        <f>'raw data Crude oil'!X1576</f>
        <v>71.7</v>
      </c>
      <c r="Y1575">
        <f>'raw data Crude oil'!Y1576</f>
        <v>71.31</v>
      </c>
      <c r="Z1575">
        <f>'raw data Crude oil'!Z1576</f>
        <v>78.052000000000007</v>
      </c>
      <c r="AA1575">
        <f>'raw data Crude oil'!AA1576</f>
        <v>76.462999999999994</v>
      </c>
      <c r="AB1575">
        <f>'raw data Crude oil'!AB1576</f>
        <v>75.819999999999993</v>
      </c>
      <c r="AC1575">
        <f>'raw data Crude oil'!AC1576</f>
        <v>75.212999999999994</v>
      </c>
      <c r="AD1575">
        <f>'raw data Crude oil'!AD1576</f>
        <v>74.731999999999999</v>
      </c>
      <c r="AE1575">
        <f>'raw data Crude oil'!AE1576</f>
        <v>74.281000000000006</v>
      </c>
      <c r="AF1575">
        <f>'raw data Crude oil'!AF1576</f>
        <v>73.893000000000001</v>
      </c>
      <c r="AG1575">
        <f>'raw data Crude oil'!AG1576</f>
        <v>73.512</v>
      </c>
      <c r="AH1575">
        <f>'raw data Crude oil'!AH1576</f>
        <v>73.141999999999996</v>
      </c>
      <c r="AI1575">
        <f>'raw data Crude oil'!AI1576</f>
        <v>72.691999999999993</v>
      </c>
      <c r="AJ1575">
        <f>'raw data Crude oil'!AJ1576</f>
        <v>72.206000000000003</v>
      </c>
      <c r="AK1575">
        <f>'raw data Crude oil'!AK1576</f>
        <v>71.956000000000003</v>
      </c>
    </row>
    <row r="1576" spans="1:37" x14ac:dyDescent="0.3">
      <c r="A1576" s="18">
        <f>'raw data Crude oil'!A1577</f>
        <v>44963</v>
      </c>
      <c r="B1576">
        <f>'raw data Crude oil'!B1577</f>
        <v>80.989999999999995</v>
      </c>
      <c r="C1576">
        <f>'raw data Crude oil'!C1577</f>
        <v>80.709999999999994</v>
      </c>
      <c r="D1576">
        <f>'raw data Crude oil'!D1577</f>
        <v>80.290000000000006</v>
      </c>
      <c r="E1576">
        <f>'raw data Crude oil'!E1577</f>
        <v>79.91</v>
      </c>
      <c r="F1576">
        <f>'raw data Crude oil'!F1577</f>
        <v>79.53</v>
      </c>
      <c r="G1576">
        <f>'raw data Crude oil'!G1577</f>
        <v>79.14</v>
      </c>
      <c r="H1576">
        <f>'raw data Crude oil'!H1577</f>
        <v>78.75</v>
      </c>
      <c r="I1576">
        <f>'raw data Crude oil'!I1577</f>
        <v>78.36</v>
      </c>
      <c r="J1576">
        <f>'raw data Crude oil'!J1577</f>
        <v>77.97</v>
      </c>
      <c r="K1576">
        <f>'raw data Crude oil'!K1577</f>
        <v>77.56</v>
      </c>
      <c r="L1576">
        <f>'raw data Crude oil'!L1577</f>
        <v>77.17</v>
      </c>
      <c r="M1576">
        <f>'raw data Crude oil'!M1577</f>
        <v>76.819999999999993</v>
      </c>
      <c r="N1576">
        <f>'raw data Crude oil'!N1577</f>
        <v>74.11</v>
      </c>
      <c r="O1576">
        <f>'raw data Crude oil'!O1577</f>
        <v>74.47</v>
      </c>
      <c r="P1576">
        <f>'raw data Crude oil'!P1577</f>
        <v>74.739999999999995</v>
      </c>
      <c r="Q1576">
        <f>'raw data Crude oil'!Q1577</f>
        <v>74.83</v>
      </c>
      <c r="R1576">
        <f>'raw data Crude oil'!R1577</f>
        <v>74.72</v>
      </c>
      <c r="S1576">
        <f>'raw data Crude oil'!S1577</f>
        <v>74.459999999999994</v>
      </c>
      <c r="T1576">
        <f>'raw data Crude oil'!T1577</f>
        <v>74.11</v>
      </c>
      <c r="U1576">
        <f>'raw data Crude oil'!U1577</f>
        <v>73.72</v>
      </c>
      <c r="V1576">
        <f>'raw data Crude oil'!V1577</f>
        <v>73.33</v>
      </c>
      <c r="W1576">
        <f>'raw data Crude oil'!W1577</f>
        <v>72.94</v>
      </c>
      <c r="X1576">
        <f>'raw data Crude oil'!X1577</f>
        <v>72.55</v>
      </c>
      <c r="Y1576">
        <f>'raw data Crude oil'!Y1577</f>
        <v>72.19</v>
      </c>
      <c r="Z1576">
        <f>'raw data Crude oil'!Z1577</f>
        <v>79.052999999999997</v>
      </c>
      <c r="AA1576">
        <f>'raw data Crude oil'!AA1577</f>
        <v>77.662000000000006</v>
      </c>
      <c r="AB1576">
        <f>'raw data Crude oil'!AB1577</f>
        <v>76.89</v>
      </c>
      <c r="AC1576">
        <f>'raw data Crude oil'!AC1577</f>
        <v>76.263000000000005</v>
      </c>
      <c r="AD1576">
        <f>'raw data Crude oil'!AD1577</f>
        <v>75.762</v>
      </c>
      <c r="AE1576">
        <f>'raw data Crude oil'!AE1577</f>
        <v>75.301000000000002</v>
      </c>
      <c r="AF1576">
        <f>'raw data Crude oil'!AF1577</f>
        <v>74.903000000000006</v>
      </c>
      <c r="AG1576">
        <f>'raw data Crude oil'!AG1577</f>
        <v>74.501000000000005</v>
      </c>
      <c r="AH1576">
        <f>'raw data Crude oil'!AH1577</f>
        <v>74.111000000000004</v>
      </c>
      <c r="AI1576">
        <f>'raw data Crude oil'!AI1577</f>
        <v>73.652000000000001</v>
      </c>
      <c r="AJ1576">
        <f>'raw data Crude oil'!AJ1577</f>
        <v>73.174999999999997</v>
      </c>
      <c r="AK1576">
        <f>'raw data Crude oil'!AK1577</f>
        <v>72.844999999999999</v>
      </c>
    </row>
    <row r="1577" spans="1:37" x14ac:dyDescent="0.3">
      <c r="A1577" s="18">
        <f>'raw data Crude oil'!A1578</f>
        <v>44964</v>
      </c>
      <c r="B1577">
        <f>'raw data Crude oil'!B1578</f>
        <v>83.69</v>
      </c>
      <c r="C1577">
        <f>'raw data Crude oil'!C1578</f>
        <v>83.37</v>
      </c>
      <c r="D1577">
        <f>'raw data Crude oil'!D1578</f>
        <v>82.89</v>
      </c>
      <c r="E1577">
        <f>'raw data Crude oil'!E1578</f>
        <v>82.44</v>
      </c>
      <c r="F1577">
        <f>'raw data Crude oil'!F1578</f>
        <v>81.97</v>
      </c>
      <c r="G1577">
        <f>'raw data Crude oil'!G1578</f>
        <v>81.52</v>
      </c>
      <c r="H1577">
        <f>'raw data Crude oil'!H1578</f>
        <v>81.06</v>
      </c>
      <c r="I1577">
        <f>'raw data Crude oil'!I1578</f>
        <v>80.599999999999994</v>
      </c>
      <c r="J1577">
        <f>'raw data Crude oil'!J1578</f>
        <v>80.13</v>
      </c>
      <c r="K1577">
        <f>'raw data Crude oil'!K1578</f>
        <v>79.650000000000006</v>
      </c>
      <c r="L1577">
        <f>'raw data Crude oil'!L1578</f>
        <v>79.19</v>
      </c>
      <c r="M1577">
        <f>'raw data Crude oil'!M1578</f>
        <v>78.77</v>
      </c>
      <c r="N1577">
        <f>'raw data Crude oil'!N1578</f>
        <v>77.14</v>
      </c>
      <c r="O1577">
        <f>'raw data Crude oil'!O1578</f>
        <v>77.39</v>
      </c>
      <c r="P1577">
        <f>'raw data Crude oil'!P1578</f>
        <v>77.56</v>
      </c>
      <c r="Q1577">
        <f>'raw data Crude oil'!Q1578</f>
        <v>77.56</v>
      </c>
      <c r="R1577">
        <f>'raw data Crude oil'!R1578</f>
        <v>77.34</v>
      </c>
      <c r="S1577">
        <f>'raw data Crude oil'!S1578</f>
        <v>76.98</v>
      </c>
      <c r="T1577">
        <f>'raw data Crude oil'!T1578</f>
        <v>76.540000000000006</v>
      </c>
      <c r="U1577">
        <f>'raw data Crude oil'!U1578</f>
        <v>76.069999999999993</v>
      </c>
      <c r="V1577">
        <f>'raw data Crude oil'!V1578</f>
        <v>75.59</v>
      </c>
      <c r="W1577">
        <f>'raw data Crude oil'!W1578</f>
        <v>75.12</v>
      </c>
      <c r="X1577">
        <f>'raw data Crude oil'!X1578</f>
        <v>74.650000000000006</v>
      </c>
      <c r="Y1577">
        <f>'raw data Crude oil'!Y1578</f>
        <v>74.2</v>
      </c>
      <c r="Z1577">
        <f>'raw data Crude oil'!Z1578</f>
        <v>81.269000000000005</v>
      </c>
      <c r="AA1577">
        <f>'raw data Crude oil'!AA1578</f>
        <v>80.448999999999998</v>
      </c>
      <c r="AB1577">
        <f>'raw data Crude oil'!AB1578</f>
        <v>79.605999999999995</v>
      </c>
      <c r="AC1577">
        <f>'raw data Crude oil'!AC1578</f>
        <v>78.88</v>
      </c>
      <c r="AD1577">
        <f>'raw data Crude oil'!AD1578</f>
        <v>78.286000000000001</v>
      </c>
      <c r="AE1577">
        <f>'raw data Crude oil'!AE1578</f>
        <v>77.738</v>
      </c>
      <c r="AF1577">
        <f>'raw data Crude oil'!AF1578</f>
        <v>77.239999999999995</v>
      </c>
      <c r="AG1577">
        <f>'raw data Crude oil'!AG1578</f>
        <v>76.763000000000005</v>
      </c>
      <c r="AH1577">
        <f>'raw data Crude oil'!AH1578</f>
        <v>76.268000000000001</v>
      </c>
      <c r="AI1577">
        <f>'raw data Crude oil'!AI1578</f>
        <v>75.688999999999993</v>
      </c>
      <c r="AJ1577">
        <f>'raw data Crude oil'!AJ1578</f>
        <v>75.147999999999996</v>
      </c>
      <c r="AK1577">
        <f>'raw data Crude oil'!AK1578</f>
        <v>74.751999999999995</v>
      </c>
    </row>
    <row r="1578" spans="1:37" x14ac:dyDescent="0.3">
      <c r="A1578" s="18">
        <f>'raw data Crude oil'!A1579</f>
        <v>44965</v>
      </c>
      <c r="B1578">
        <f>'raw data Crude oil'!B1579</f>
        <v>85.09</v>
      </c>
      <c r="C1578">
        <f>'raw data Crude oil'!C1579</f>
        <v>84.7</v>
      </c>
      <c r="D1578">
        <f>'raw data Crude oil'!D1579</f>
        <v>84.16</v>
      </c>
      <c r="E1578">
        <f>'raw data Crude oil'!E1579</f>
        <v>83.67</v>
      </c>
      <c r="F1578">
        <f>'raw data Crude oil'!F1579</f>
        <v>83.17</v>
      </c>
      <c r="G1578">
        <f>'raw data Crude oil'!G1579</f>
        <v>82.68</v>
      </c>
      <c r="H1578">
        <f>'raw data Crude oil'!H1579</f>
        <v>82.19</v>
      </c>
      <c r="I1578">
        <f>'raw data Crude oil'!I1579</f>
        <v>81.7</v>
      </c>
      <c r="J1578">
        <f>'raw data Crude oil'!J1579</f>
        <v>81.2</v>
      </c>
      <c r="K1578">
        <f>'raw data Crude oil'!K1579</f>
        <v>80.7</v>
      </c>
      <c r="L1578">
        <f>'raw data Crude oil'!L1579</f>
        <v>80.209999999999994</v>
      </c>
      <c r="M1578">
        <f>'raw data Crude oil'!M1579</f>
        <v>79.760000000000005</v>
      </c>
      <c r="N1578">
        <f>'raw data Crude oil'!N1579</f>
        <v>78.47</v>
      </c>
      <c r="O1578">
        <f>'raw data Crude oil'!O1579</f>
        <v>78.69</v>
      </c>
      <c r="P1578">
        <f>'raw data Crude oil'!P1579</f>
        <v>78.84</v>
      </c>
      <c r="Q1578">
        <f>'raw data Crude oil'!Q1579</f>
        <v>78.81</v>
      </c>
      <c r="R1578">
        <f>'raw data Crude oil'!R1579</f>
        <v>78.56</v>
      </c>
      <c r="S1578">
        <f>'raw data Crude oil'!S1579</f>
        <v>78.180000000000007</v>
      </c>
      <c r="T1578">
        <f>'raw data Crude oil'!T1579</f>
        <v>77.709999999999994</v>
      </c>
      <c r="U1578">
        <f>'raw data Crude oil'!U1579</f>
        <v>77.209999999999994</v>
      </c>
      <c r="V1578">
        <f>'raw data Crude oil'!V1579</f>
        <v>76.7</v>
      </c>
      <c r="W1578">
        <f>'raw data Crude oil'!W1579</f>
        <v>76.209999999999994</v>
      </c>
      <c r="X1578">
        <f>'raw data Crude oil'!X1579</f>
        <v>75.709999999999994</v>
      </c>
      <c r="Y1578">
        <f>'raw data Crude oil'!Y1579</f>
        <v>75.22</v>
      </c>
      <c r="Z1578">
        <f>'raw data Crude oil'!Z1579</f>
        <v>82.168999999999997</v>
      </c>
      <c r="AA1578">
        <f>'raw data Crude oil'!AA1579</f>
        <v>81.837000000000003</v>
      </c>
      <c r="AB1578">
        <f>'raw data Crude oil'!AB1579</f>
        <v>80.963999999999999</v>
      </c>
      <c r="AC1578">
        <f>'raw data Crude oil'!AC1579</f>
        <v>80.207999999999998</v>
      </c>
      <c r="AD1578">
        <f>'raw data Crude oil'!AD1579</f>
        <v>79.567999999999998</v>
      </c>
      <c r="AE1578">
        <f>'raw data Crude oil'!AE1579</f>
        <v>78.998999999999995</v>
      </c>
      <c r="AF1578">
        <f>'raw data Crude oil'!AF1579</f>
        <v>78.468999999999994</v>
      </c>
      <c r="AG1578">
        <f>'raw data Crude oil'!AG1579</f>
        <v>77.936000000000007</v>
      </c>
      <c r="AH1578">
        <f>'raw data Crude oil'!AH1579</f>
        <v>77.406999999999996</v>
      </c>
      <c r="AI1578">
        <f>'raw data Crude oil'!AI1579</f>
        <v>76.858000000000004</v>
      </c>
      <c r="AJ1578">
        <f>'raw data Crude oil'!AJ1579</f>
        <v>76.265000000000001</v>
      </c>
      <c r="AK1578">
        <f>'raw data Crude oil'!AK1579</f>
        <v>75.840999999999994</v>
      </c>
    </row>
    <row r="1579" spans="1:37" x14ac:dyDescent="0.3">
      <c r="A1579" s="18">
        <f>'raw data Crude oil'!A1580</f>
        <v>44966</v>
      </c>
      <c r="B1579">
        <f>'raw data Crude oil'!B1580</f>
        <v>84.5</v>
      </c>
      <c r="C1579">
        <f>'raw data Crude oil'!C1580</f>
        <v>84.06</v>
      </c>
      <c r="D1579">
        <f>'raw data Crude oil'!D1580</f>
        <v>83.52</v>
      </c>
      <c r="E1579">
        <f>'raw data Crude oil'!E1580</f>
        <v>83.03</v>
      </c>
      <c r="F1579">
        <f>'raw data Crude oil'!F1580</f>
        <v>82.53</v>
      </c>
      <c r="G1579">
        <f>'raw data Crude oil'!G1580</f>
        <v>82.03</v>
      </c>
      <c r="H1579">
        <f>'raw data Crude oil'!H1580</f>
        <v>81.540000000000006</v>
      </c>
      <c r="I1579">
        <f>'raw data Crude oil'!I1580</f>
        <v>81.06</v>
      </c>
      <c r="J1579">
        <f>'raw data Crude oil'!J1580</f>
        <v>80.569999999999993</v>
      </c>
      <c r="K1579">
        <f>'raw data Crude oil'!K1580</f>
        <v>80.09</v>
      </c>
      <c r="L1579">
        <f>'raw data Crude oil'!L1580</f>
        <v>79.61</v>
      </c>
      <c r="M1579">
        <f>'raw data Crude oil'!M1580</f>
        <v>79.180000000000007</v>
      </c>
      <c r="N1579">
        <f>'raw data Crude oil'!N1580</f>
        <v>78.06</v>
      </c>
      <c r="O1579">
        <f>'raw data Crude oil'!O1580</f>
        <v>78.27</v>
      </c>
      <c r="P1579">
        <f>'raw data Crude oil'!P1580</f>
        <v>78.39</v>
      </c>
      <c r="Q1579">
        <f>'raw data Crude oil'!Q1580</f>
        <v>78.349999999999994</v>
      </c>
      <c r="R1579">
        <f>'raw data Crude oil'!R1580</f>
        <v>78.09</v>
      </c>
      <c r="S1579">
        <f>'raw data Crude oil'!S1580</f>
        <v>77.69</v>
      </c>
      <c r="T1579">
        <f>'raw data Crude oil'!T1580</f>
        <v>77.2</v>
      </c>
      <c r="U1579">
        <f>'raw data Crude oil'!U1580</f>
        <v>76.69</v>
      </c>
      <c r="V1579">
        <f>'raw data Crude oil'!V1580</f>
        <v>76.180000000000007</v>
      </c>
      <c r="W1579">
        <f>'raw data Crude oil'!W1580</f>
        <v>75.7</v>
      </c>
      <c r="X1579">
        <f>'raw data Crude oil'!X1580</f>
        <v>75.22</v>
      </c>
      <c r="Y1579">
        <f>'raw data Crude oil'!Y1580</f>
        <v>74.739999999999995</v>
      </c>
      <c r="Z1579">
        <f>'raw data Crude oil'!Z1580</f>
        <v>81.930999999999997</v>
      </c>
      <c r="AA1579">
        <f>'raw data Crude oil'!AA1580</f>
        <v>81.397000000000006</v>
      </c>
      <c r="AB1579">
        <f>'raw data Crude oil'!AB1580</f>
        <v>80.474000000000004</v>
      </c>
      <c r="AC1579">
        <f>'raw data Crude oil'!AC1580</f>
        <v>79.707999999999998</v>
      </c>
      <c r="AD1579">
        <f>'raw data Crude oil'!AD1580</f>
        <v>79.058999999999997</v>
      </c>
      <c r="AE1579">
        <f>'raw data Crude oil'!AE1580</f>
        <v>78.436999999999998</v>
      </c>
      <c r="AF1579">
        <f>'raw data Crude oil'!AF1580</f>
        <v>77.909000000000006</v>
      </c>
      <c r="AG1579">
        <f>'raw data Crude oil'!AG1580</f>
        <v>77.406999999999996</v>
      </c>
      <c r="AH1579">
        <f>'raw data Crude oil'!AH1580</f>
        <v>76.878</v>
      </c>
      <c r="AI1579">
        <f>'raw data Crude oil'!AI1580</f>
        <v>76.367999999999995</v>
      </c>
      <c r="AJ1579">
        <f>'raw data Crude oil'!AJ1580</f>
        <v>75.826999999999998</v>
      </c>
      <c r="AK1579">
        <f>'raw data Crude oil'!AK1580</f>
        <v>75.402000000000001</v>
      </c>
    </row>
    <row r="1580" spans="1:37" x14ac:dyDescent="0.3">
      <c r="A1580" s="18">
        <f>'raw data Crude oil'!A1581</f>
        <v>44967</v>
      </c>
      <c r="B1580">
        <f>'raw data Crude oil'!B1581</f>
        <v>86.39</v>
      </c>
      <c r="C1580">
        <f>'raw data Crude oil'!C1581</f>
        <v>85.99</v>
      </c>
      <c r="D1580">
        <f>'raw data Crude oil'!D1581</f>
        <v>85.35</v>
      </c>
      <c r="E1580">
        <f>'raw data Crude oil'!E1581</f>
        <v>84.82</v>
      </c>
      <c r="F1580">
        <f>'raw data Crude oil'!F1581</f>
        <v>84.28</v>
      </c>
      <c r="G1580">
        <f>'raw data Crude oil'!G1581</f>
        <v>83.74</v>
      </c>
      <c r="H1580">
        <f>'raw data Crude oil'!H1581</f>
        <v>83.2</v>
      </c>
      <c r="I1580">
        <f>'raw data Crude oil'!I1581</f>
        <v>82.68</v>
      </c>
      <c r="J1580">
        <f>'raw data Crude oil'!J1581</f>
        <v>82.17</v>
      </c>
      <c r="K1580">
        <f>'raw data Crude oil'!K1581</f>
        <v>81.650000000000006</v>
      </c>
      <c r="L1580">
        <f>'raw data Crude oil'!L1581</f>
        <v>81.12</v>
      </c>
      <c r="M1580">
        <f>'raw data Crude oil'!M1581</f>
        <v>80.64</v>
      </c>
      <c r="N1580">
        <f>'raw data Crude oil'!N1581</f>
        <v>79.72</v>
      </c>
      <c r="O1580">
        <f>'raw data Crude oil'!O1581</f>
        <v>79.92</v>
      </c>
      <c r="P1580">
        <f>'raw data Crude oil'!P1581</f>
        <v>80.040000000000006</v>
      </c>
      <c r="Q1580">
        <f>'raw data Crude oil'!Q1581</f>
        <v>79.95</v>
      </c>
      <c r="R1580">
        <f>'raw data Crude oil'!R1581</f>
        <v>79.66</v>
      </c>
      <c r="S1580">
        <f>'raw data Crude oil'!S1581</f>
        <v>79.22</v>
      </c>
      <c r="T1580">
        <f>'raw data Crude oil'!T1581</f>
        <v>78.69</v>
      </c>
      <c r="U1580">
        <f>'raw data Crude oil'!U1581</f>
        <v>78.150000000000006</v>
      </c>
      <c r="V1580">
        <f>'raw data Crude oil'!V1581</f>
        <v>77.61</v>
      </c>
      <c r="W1580">
        <f>'raw data Crude oil'!W1581</f>
        <v>77.08</v>
      </c>
      <c r="X1580">
        <f>'raw data Crude oil'!X1581</f>
        <v>76.540000000000006</v>
      </c>
      <c r="Y1580">
        <f>'raw data Crude oil'!Y1581</f>
        <v>76.010000000000005</v>
      </c>
      <c r="Z1580">
        <f>'raw data Crude oil'!Z1581</f>
        <v>83.308000000000007</v>
      </c>
      <c r="AA1580">
        <f>'raw data Crude oil'!AA1581</f>
        <v>83.591999999999999</v>
      </c>
      <c r="AB1580">
        <f>'raw data Crude oil'!AB1581</f>
        <v>82.581999999999994</v>
      </c>
      <c r="AC1580">
        <f>'raw data Crude oil'!AC1581</f>
        <v>81.706999999999994</v>
      </c>
      <c r="AD1580">
        <f>'raw data Crude oil'!AD1581</f>
        <v>80.935000000000002</v>
      </c>
      <c r="AE1580">
        <f>'raw data Crude oil'!AE1581</f>
        <v>80.274000000000001</v>
      </c>
      <c r="AF1580">
        <f>'raw data Crude oil'!AF1581</f>
        <v>79.686999999999998</v>
      </c>
      <c r="AG1580">
        <f>'raw data Crude oil'!AG1581</f>
        <v>79.146000000000001</v>
      </c>
      <c r="AH1580">
        <f>'raw data Crude oil'!AH1581</f>
        <v>78.596000000000004</v>
      </c>
      <c r="AI1580">
        <f>'raw data Crude oil'!AI1581</f>
        <v>78.025999999999996</v>
      </c>
      <c r="AJ1580">
        <f>'raw data Crude oil'!AJ1581</f>
        <v>77.421999999999997</v>
      </c>
      <c r="AK1580">
        <f>'raw data Crude oil'!AK1581</f>
        <v>76.97</v>
      </c>
    </row>
    <row r="1581" spans="1:37" x14ac:dyDescent="0.3">
      <c r="A1581" s="18">
        <f>'raw data Crude oil'!A1582</f>
        <v>44970</v>
      </c>
      <c r="B1581">
        <f>'raw data Crude oil'!B1582</f>
        <v>86.61</v>
      </c>
      <c r="C1581">
        <f>'raw data Crude oil'!C1582</f>
        <v>86.23</v>
      </c>
      <c r="D1581">
        <f>'raw data Crude oil'!D1582</f>
        <v>85.63</v>
      </c>
      <c r="E1581">
        <f>'raw data Crude oil'!E1582</f>
        <v>85.13</v>
      </c>
      <c r="F1581">
        <f>'raw data Crude oil'!F1582</f>
        <v>84.61</v>
      </c>
      <c r="G1581">
        <f>'raw data Crude oil'!G1582</f>
        <v>84.08</v>
      </c>
      <c r="H1581">
        <f>'raw data Crude oil'!H1582</f>
        <v>83.54</v>
      </c>
      <c r="I1581">
        <f>'raw data Crude oil'!I1582</f>
        <v>83.03</v>
      </c>
      <c r="J1581">
        <f>'raw data Crude oil'!J1582</f>
        <v>82.53</v>
      </c>
      <c r="K1581">
        <f>'raw data Crude oil'!K1582</f>
        <v>82.02</v>
      </c>
      <c r="L1581">
        <f>'raw data Crude oil'!L1582</f>
        <v>81.5</v>
      </c>
      <c r="M1581">
        <f>'raw data Crude oil'!M1582</f>
        <v>81.040000000000006</v>
      </c>
      <c r="N1581">
        <f>'raw data Crude oil'!N1582</f>
        <v>80.14</v>
      </c>
      <c r="O1581">
        <f>'raw data Crude oil'!O1582</f>
        <v>80.33</v>
      </c>
      <c r="P1581">
        <f>'raw data Crude oil'!P1582</f>
        <v>80.45</v>
      </c>
      <c r="Q1581">
        <f>'raw data Crude oil'!Q1582</f>
        <v>80.36</v>
      </c>
      <c r="R1581">
        <f>'raw data Crude oil'!R1582</f>
        <v>80.069999999999993</v>
      </c>
      <c r="S1581">
        <f>'raw data Crude oil'!S1582</f>
        <v>79.63</v>
      </c>
      <c r="T1581">
        <f>'raw data Crude oil'!T1582</f>
        <v>79.12</v>
      </c>
      <c r="U1581">
        <f>'raw data Crude oil'!U1582</f>
        <v>78.59</v>
      </c>
      <c r="V1581">
        <f>'raw data Crude oil'!V1582</f>
        <v>78.06</v>
      </c>
      <c r="W1581">
        <f>'raw data Crude oil'!W1582</f>
        <v>77.55</v>
      </c>
      <c r="X1581">
        <f>'raw data Crude oil'!X1582</f>
        <v>77.040000000000006</v>
      </c>
      <c r="Y1581">
        <f>'raw data Crude oil'!Y1582</f>
        <v>76.540000000000006</v>
      </c>
      <c r="Z1581">
        <f>'raw data Crude oil'!Z1582</f>
        <v>83.561999999999998</v>
      </c>
      <c r="AA1581">
        <f>'raw data Crude oil'!AA1582</f>
        <v>83.974000000000004</v>
      </c>
      <c r="AB1581">
        <f>'raw data Crude oil'!AB1582</f>
        <v>82.924000000000007</v>
      </c>
      <c r="AC1581">
        <f>'raw data Crude oil'!AC1582</f>
        <v>82.057000000000002</v>
      </c>
      <c r="AD1581">
        <f>'raw data Crude oil'!AD1582</f>
        <v>81.296000000000006</v>
      </c>
      <c r="AE1581">
        <f>'raw data Crude oil'!AE1582</f>
        <v>80.623999999999995</v>
      </c>
      <c r="AF1581">
        <f>'raw data Crude oil'!AF1582</f>
        <v>80.037999999999997</v>
      </c>
      <c r="AG1581">
        <f>'raw data Crude oil'!AG1582</f>
        <v>79.516000000000005</v>
      </c>
      <c r="AH1581">
        <f>'raw data Crude oil'!AH1582</f>
        <v>78.977000000000004</v>
      </c>
      <c r="AI1581">
        <f>'raw data Crude oil'!AI1582</f>
        <v>78.426000000000002</v>
      </c>
      <c r="AJ1581">
        <f>'raw data Crude oil'!AJ1582</f>
        <v>77.834000000000003</v>
      </c>
      <c r="AK1581">
        <f>'raw data Crude oil'!AK1582</f>
        <v>77.39</v>
      </c>
    </row>
    <row r="1582" spans="1:37" x14ac:dyDescent="0.3">
      <c r="A1582" s="18">
        <f>'raw data Crude oil'!A1583</f>
        <v>44971</v>
      </c>
      <c r="B1582">
        <f>'raw data Crude oil'!B1583</f>
        <v>85.58</v>
      </c>
      <c r="C1582">
        <f>'raw data Crude oil'!C1583</f>
        <v>85.3</v>
      </c>
      <c r="D1582">
        <f>'raw data Crude oil'!D1583</f>
        <v>84.77</v>
      </c>
      <c r="E1582">
        <f>'raw data Crude oil'!E1583</f>
        <v>84.33</v>
      </c>
      <c r="F1582">
        <f>'raw data Crude oil'!F1583</f>
        <v>83.85</v>
      </c>
      <c r="G1582">
        <f>'raw data Crude oil'!G1583</f>
        <v>83.36</v>
      </c>
      <c r="H1582">
        <f>'raw data Crude oil'!H1583</f>
        <v>82.87</v>
      </c>
      <c r="I1582">
        <f>'raw data Crude oil'!I1583</f>
        <v>82.4</v>
      </c>
      <c r="J1582">
        <f>'raw data Crude oil'!J1583</f>
        <v>81.94</v>
      </c>
      <c r="K1582">
        <f>'raw data Crude oil'!K1583</f>
        <v>81.47</v>
      </c>
      <c r="L1582">
        <f>'raw data Crude oil'!L1583</f>
        <v>80.989999999999995</v>
      </c>
      <c r="M1582">
        <f>'raw data Crude oil'!M1583</f>
        <v>80.55</v>
      </c>
      <c r="N1582">
        <f>'raw data Crude oil'!N1583</f>
        <v>79.06</v>
      </c>
      <c r="O1582">
        <f>'raw data Crude oil'!O1583</f>
        <v>79.239999999999995</v>
      </c>
      <c r="P1582">
        <f>'raw data Crude oil'!P1583</f>
        <v>79.400000000000006</v>
      </c>
      <c r="Q1582">
        <f>'raw data Crude oil'!Q1583</f>
        <v>79.37</v>
      </c>
      <c r="R1582">
        <f>'raw data Crude oil'!R1583</f>
        <v>79.150000000000006</v>
      </c>
      <c r="S1582">
        <f>'raw data Crude oil'!S1583</f>
        <v>78.77</v>
      </c>
      <c r="T1582">
        <f>'raw data Crude oil'!T1583</f>
        <v>78.319999999999993</v>
      </c>
      <c r="U1582">
        <f>'raw data Crude oil'!U1583</f>
        <v>77.849999999999994</v>
      </c>
      <c r="V1582">
        <f>'raw data Crude oil'!V1583</f>
        <v>77.38</v>
      </c>
      <c r="W1582">
        <f>'raw data Crude oil'!W1583</f>
        <v>76.92</v>
      </c>
      <c r="X1582">
        <f>'raw data Crude oil'!X1583</f>
        <v>76.459999999999994</v>
      </c>
      <c r="Y1582">
        <f>'raw data Crude oil'!Y1583</f>
        <v>76</v>
      </c>
      <c r="Z1582">
        <f>'raw data Crude oil'!Z1583</f>
        <v>83.185000000000002</v>
      </c>
      <c r="AA1582">
        <f>'raw data Crude oil'!AA1583</f>
        <v>83.039000000000001</v>
      </c>
      <c r="AB1582">
        <f>'raw data Crude oil'!AB1583</f>
        <v>82.028999999999996</v>
      </c>
      <c r="AC1582">
        <f>'raw data Crude oil'!AC1583</f>
        <v>81.209000000000003</v>
      </c>
      <c r="AD1582">
        <f>'raw data Crude oil'!AD1583</f>
        <v>80.507999999999996</v>
      </c>
      <c r="AE1582">
        <f>'raw data Crude oil'!AE1583</f>
        <v>79.887</v>
      </c>
      <c r="AF1582">
        <f>'raw data Crude oil'!AF1583</f>
        <v>79.37</v>
      </c>
      <c r="AG1582">
        <f>'raw data Crude oil'!AG1583</f>
        <v>78.878</v>
      </c>
      <c r="AH1582">
        <f>'raw data Crude oil'!AH1583</f>
        <v>78.388999999999996</v>
      </c>
      <c r="AI1582">
        <f>'raw data Crude oil'!AI1583</f>
        <v>77.878</v>
      </c>
      <c r="AJ1582">
        <f>'raw data Crude oil'!AJ1583</f>
        <v>77.335999999999999</v>
      </c>
      <c r="AK1582">
        <f>'raw data Crude oil'!AK1583</f>
        <v>76.921000000000006</v>
      </c>
    </row>
    <row r="1583" spans="1:37" x14ac:dyDescent="0.3">
      <c r="A1583" s="18">
        <f>'raw data Crude oil'!A1584</f>
        <v>44972</v>
      </c>
      <c r="B1583">
        <f>'raw data Crude oil'!B1584</f>
        <v>85.38</v>
      </c>
      <c r="C1583">
        <f>'raw data Crude oil'!C1584</f>
        <v>85.05</v>
      </c>
      <c r="D1583">
        <f>'raw data Crude oil'!D1584</f>
        <v>84.5</v>
      </c>
      <c r="E1583">
        <f>'raw data Crude oil'!E1584</f>
        <v>84.04</v>
      </c>
      <c r="F1583">
        <f>'raw data Crude oil'!F1584</f>
        <v>83.57</v>
      </c>
      <c r="G1583">
        <f>'raw data Crude oil'!G1584</f>
        <v>83.09</v>
      </c>
      <c r="H1583">
        <f>'raw data Crude oil'!H1584</f>
        <v>82.6</v>
      </c>
      <c r="I1583">
        <f>'raw data Crude oil'!I1584</f>
        <v>82.15</v>
      </c>
      <c r="J1583">
        <f>'raw data Crude oil'!J1584</f>
        <v>81.7</v>
      </c>
      <c r="K1583">
        <f>'raw data Crude oil'!K1584</f>
        <v>81.23</v>
      </c>
      <c r="L1583">
        <f>'raw data Crude oil'!L1584</f>
        <v>80.77</v>
      </c>
      <c r="M1583">
        <f>'raw data Crude oil'!M1584</f>
        <v>80.349999999999994</v>
      </c>
      <c r="N1583">
        <f>'raw data Crude oil'!N1584</f>
        <v>78.59</v>
      </c>
      <c r="O1583">
        <f>'raw data Crude oil'!O1584</f>
        <v>78.83</v>
      </c>
      <c r="P1583">
        <f>'raw data Crude oil'!P1584</f>
        <v>79.02</v>
      </c>
      <c r="Q1583">
        <f>'raw data Crude oil'!Q1584</f>
        <v>79.010000000000005</v>
      </c>
      <c r="R1583">
        <f>'raw data Crude oil'!R1584</f>
        <v>78.8</v>
      </c>
      <c r="S1583">
        <f>'raw data Crude oil'!S1584</f>
        <v>78.44</v>
      </c>
      <c r="T1583">
        <f>'raw data Crude oil'!T1584</f>
        <v>78</v>
      </c>
      <c r="U1583">
        <f>'raw data Crude oil'!U1584</f>
        <v>77.52</v>
      </c>
      <c r="V1583">
        <f>'raw data Crude oil'!V1584</f>
        <v>77.06</v>
      </c>
      <c r="W1583">
        <f>'raw data Crude oil'!W1584</f>
        <v>76.61</v>
      </c>
      <c r="X1583">
        <f>'raw data Crude oil'!X1584</f>
        <v>76.150000000000006</v>
      </c>
      <c r="Y1583">
        <f>'raw data Crude oil'!Y1584</f>
        <v>75.709999999999994</v>
      </c>
      <c r="Z1583">
        <f>'raw data Crude oil'!Z1584</f>
        <v>82.947000000000003</v>
      </c>
      <c r="AA1583">
        <f>'raw data Crude oil'!AA1584</f>
        <v>82.616</v>
      </c>
      <c r="AB1583">
        <f>'raw data Crude oil'!AB1584</f>
        <v>81.635999999999996</v>
      </c>
      <c r="AC1583">
        <f>'raw data Crude oil'!AC1584</f>
        <v>80.86</v>
      </c>
      <c r="AD1583">
        <f>'raw data Crude oil'!AD1584</f>
        <v>80.168000000000006</v>
      </c>
      <c r="AE1583">
        <f>'raw data Crude oil'!AE1584</f>
        <v>79.546999999999997</v>
      </c>
      <c r="AF1583">
        <f>'raw data Crude oil'!AF1584</f>
        <v>79.040000000000006</v>
      </c>
      <c r="AG1583">
        <f>'raw data Crude oil'!AG1584</f>
        <v>78.569000000000003</v>
      </c>
      <c r="AH1583">
        <f>'raw data Crude oil'!AH1584</f>
        <v>78.108999999999995</v>
      </c>
      <c r="AI1583">
        <f>'raw data Crude oil'!AI1584</f>
        <v>77.608999999999995</v>
      </c>
      <c r="AJ1583">
        <f>'raw data Crude oil'!AJ1584</f>
        <v>77.067999999999998</v>
      </c>
      <c r="AK1583">
        <f>'raw data Crude oil'!AK1584</f>
        <v>76.683000000000007</v>
      </c>
    </row>
    <row r="1584" spans="1:37" x14ac:dyDescent="0.3">
      <c r="A1584" s="18">
        <f>'raw data Crude oil'!A1585</f>
        <v>44973</v>
      </c>
      <c r="B1584">
        <f>'raw data Crude oil'!B1585</f>
        <v>85.14</v>
      </c>
      <c r="C1584">
        <f>'raw data Crude oil'!C1585</f>
        <v>84.8</v>
      </c>
      <c r="D1584">
        <f>'raw data Crude oil'!D1585</f>
        <v>84.25</v>
      </c>
      <c r="E1584">
        <f>'raw data Crude oil'!E1585</f>
        <v>83.81</v>
      </c>
      <c r="F1584">
        <f>'raw data Crude oil'!F1585</f>
        <v>83.35</v>
      </c>
      <c r="G1584">
        <f>'raw data Crude oil'!G1585</f>
        <v>82.89</v>
      </c>
      <c r="H1584">
        <f>'raw data Crude oil'!H1585</f>
        <v>82.43</v>
      </c>
      <c r="I1584">
        <f>'raw data Crude oil'!I1585</f>
        <v>81.98</v>
      </c>
      <c r="J1584">
        <f>'raw data Crude oil'!J1585</f>
        <v>81.55</v>
      </c>
      <c r="K1584">
        <f>'raw data Crude oil'!K1585</f>
        <v>81.09</v>
      </c>
      <c r="L1584">
        <f>'raw data Crude oil'!L1585</f>
        <v>80.64</v>
      </c>
      <c r="M1584">
        <f>'raw data Crude oil'!M1585</f>
        <v>80.23</v>
      </c>
      <c r="N1584">
        <f>'raw data Crude oil'!N1585</f>
        <v>78.489999999999995</v>
      </c>
      <c r="O1584">
        <f>'raw data Crude oil'!O1585</f>
        <v>78.739999999999995</v>
      </c>
      <c r="P1584">
        <f>'raw data Crude oil'!P1585</f>
        <v>78.900000000000006</v>
      </c>
      <c r="Q1584">
        <f>'raw data Crude oil'!Q1585</f>
        <v>78.87</v>
      </c>
      <c r="R1584">
        <f>'raw data Crude oil'!R1585</f>
        <v>78.64</v>
      </c>
      <c r="S1584">
        <f>'raw data Crude oil'!S1585</f>
        <v>78.27</v>
      </c>
      <c r="T1584">
        <f>'raw data Crude oil'!T1585</f>
        <v>77.84</v>
      </c>
      <c r="U1584">
        <f>'raw data Crude oil'!U1585</f>
        <v>77.37</v>
      </c>
      <c r="V1584">
        <f>'raw data Crude oil'!V1585</f>
        <v>76.91</v>
      </c>
      <c r="W1584">
        <f>'raw data Crude oil'!W1585</f>
        <v>76.459999999999994</v>
      </c>
      <c r="X1584">
        <f>'raw data Crude oil'!X1585</f>
        <v>76</v>
      </c>
      <c r="Y1584">
        <f>'raw data Crude oil'!Y1585</f>
        <v>75.56</v>
      </c>
      <c r="Z1584">
        <f>'raw data Crude oil'!Z1585</f>
        <v>82.837999999999994</v>
      </c>
      <c r="AA1584">
        <f>'raw data Crude oil'!AA1585</f>
        <v>82.325000000000003</v>
      </c>
      <c r="AB1584">
        <f>'raw data Crude oil'!AB1585</f>
        <v>81.355999999999995</v>
      </c>
      <c r="AC1584">
        <f>'raw data Crude oil'!AC1585</f>
        <v>80.613</v>
      </c>
      <c r="AD1584">
        <f>'raw data Crude oil'!AD1585</f>
        <v>79.951999999999998</v>
      </c>
      <c r="AE1584">
        <f>'raw data Crude oil'!AE1585</f>
        <v>79.340999999999994</v>
      </c>
      <c r="AF1584">
        <f>'raw data Crude oil'!AF1585</f>
        <v>78.819999999999993</v>
      </c>
      <c r="AG1584">
        <f>'raw data Crude oil'!AG1585</f>
        <v>78.366</v>
      </c>
      <c r="AH1584">
        <f>'raw data Crude oil'!AH1585</f>
        <v>77.935000000000002</v>
      </c>
      <c r="AI1584">
        <f>'raw data Crude oil'!AI1585</f>
        <v>77.399000000000001</v>
      </c>
      <c r="AJ1584">
        <f>'raw data Crude oil'!AJ1585</f>
        <v>76.849000000000004</v>
      </c>
      <c r="AK1584">
        <f>'raw data Crude oil'!AK1585</f>
        <v>76.453000000000003</v>
      </c>
    </row>
    <row r="1585" spans="1:37" x14ac:dyDescent="0.3">
      <c r="A1585" s="18">
        <f>'raw data Crude oil'!A1586</f>
        <v>44974</v>
      </c>
      <c r="B1585">
        <f>'raw data Crude oil'!B1586</f>
        <v>83</v>
      </c>
      <c r="C1585">
        <f>'raw data Crude oil'!C1586</f>
        <v>82.67</v>
      </c>
      <c r="D1585">
        <f>'raw data Crude oil'!D1586</f>
        <v>82.17</v>
      </c>
      <c r="E1585">
        <f>'raw data Crude oil'!E1586</f>
        <v>81.77</v>
      </c>
      <c r="F1585">
        <f>'raw data Crude oil'!F1586</f>
        <v>81.36</v>
      </c>
      <c r="G1585">
        <f>'raw data Crude oil'!G1586</f>
        <v>80.95</v>
      </c>
      <c r="H1585">
        <f>'raw data Crude oil'!H1586</f>
        <v>80.53</v>
      </c>
      <c r="I1585">
        <f>'raw data Crude oil'!I1586</f>
        <v>80.13</v>
      </c>
      <c r="J1585">
        <f>'raw data Crude oil'!J1586</f>
        <v>79.739999999999995</v>
      </c>
      <c r="K1585">
        <f>'raw data Crude oil'!K1586</f>
        <v>79.34</v>
      </c>
      <c r="L1585">
        <f>'raw data Crude oil'!L1586</f>
        <v>78.92</v>
      </c>
      <c r="M1585">
        <f>'raw data Crude oil'!M1586</f>
        <v>78.55</v>
      </c>
      <c r="N1585">
        <f>'raw data Crude oil'!N1586</f>
        <v>76.34</v>
      </c>
      <c r="O1585">
        <f>'raw data Crude oil'!O1586</f>
        <v>76.55</v>
      </c>
      <c r="P1585">
        <f>'raw data Crude oil'!P1586</f>
        <v>76.7</v>
      </c>
      <c r="Q1585">
        <f>'raw data Crude oil'!Q1586</f>
        <v>76.709999999999994</v>
      </c>
      <c r="R1585">
        <f>'raw data Crude oil'!R1586</f>
        <v>76.53</v>
      </c>
      <c r="S1585">
        <f>'raw data Crude oil'!S1586</f>
        <v>76.22</v>
      </c>
      <c r="T1585">
        <f>'raw data Crude oil'!T1586</f>
        <v>75.819999999999993</v>
      </c>
      <c r="U1585">
        <f>'raw data Crude oil'!U1586</f>
        <v>75.38</v>
      </c>
      <c r="V1585">
        <f>'raw data Crude oil'!V1586</f>
        <v>74.98</v>
      </c>
      <c r="W1585">
        <f>'raw data Crude oil'!W1586</f>
        <v>74.56</v>
      </c>
      <c r="X1585">
        <f>'raw data Crude oil'!X1586</f>
        <v>74.14</v>
      </c>
      <c r="Y1585">
        <f>'raw data Crude oil'!Y1586</f>
        <v>73.75</v>
      </c>
      <c r="Z1585">
        <f>'raw data Crude oil'!Z1586</f>
        <v>82.08</v>
      </c>
      <c r="AA1585">
        <f>'raw data Crude oil'!AA1586</f>
        <v>80.358000000000004</v>
      </c>
      <c r="AB1585">
        <f>'raw data Crude oil'!AB1586</f>
        <v>79.429000000000002</v>
      </c>
      <c r="AC1585">
        <f>'raw data Crude oil'!AC1586</f>
        <v>78.662000000000006</v>
      </c>
      <c r="AD1585">
        <f>'raw data Crude oil'!AD1586</f>
        <v>78.010999999999996</v>
      </c>
      <c r="AE1585">
        <f>'raw data Crude oil'!AE1586</f>
        <v>77.45</v>
      </c>
      <c r="AF1585">
        <f>'raw data Crude oil'!AF1586</f>
        <v>76.962999999999994</v>
      </c>
      <c r="AG1585">
        <f>'raw data Crude oil'!AG1586</f>
        <v>76.521000000000001</v>
      </c>
      <c r="AH1585">
        <f>'raw data Crude oil'!AH1586</f>
        <v>76.081999999999994</v>
      </c>
      <c r="AI1585">
        <f>'raw data Crude oil'!AI1586</f>
        <v>75.59</v>
      </c>
      <c r="AJ1585">
        <f>'raw data Crude oil'!AJ1586</f>
        <v>75.082999999999998</v>
      </c>
      <c r="AK1585">
        <f>'raw data Crude oil'!AK1586</f>
        <v>74.744</v>
      </c>
    </row>
    <row r="1586" spans="1:37" x14ac:dyDescent="0.3">
      <c r="A1586" s="18">
        <f>'raw data Crude oil'!A1587</f>
        <v>44977</v>
      </c>
      <c r="B1586">
        <f>'raw data Crude oil'!B1587</f>
        <v>84.07</v>
      </c>
      <c r="C1586">
        <f>'raw data Crude oil'!C1587</f>
        <v>83.78</v>
      </c>
      <c r="D1586">
        <f>'raw data Crude oil'!D1587</f>
        <v>83.28</v>
      </c>
      <c r="E1586">
        <f>'raw data Crude oil'!E1587</f>
        <v>82.88</v>
      </c>
      <c r="F1586">
        <f>'raw data Crude oil'!F1587</f>
        <v>82.46</v>
      </c>
      <c r="G1586">
        <f>'raw data Crude oil'!G1587</f>
        <v>82.04</v>
      </c>
      <c r="H1586">
        <f>'raw data Crude oil'!H1587</f>
        <v>81.61</v>
      </c>
      <c r="I1586">
        <f>'raw data Crude oil'!I1587</f>
        <v>81.2</v>
      </c>
      <c r="J1586">
        <f>'raw data Crude oil'!J1587</f>
        <v>80.8</v>
      </c>
      <c r="K1586">
        <f>'raw data Crude oil'!K1587</f>
        <v>80.37</v>
      </c>
      <c r="L1586">
        <f>'raw data Crude oil'!L1587</f>
        <v>79.94</v>
      </c>
      <c r="M1586">
        <f>'raw data Crude oil'!M1587</f>
        <v>79.569999999999993</v>
      </c>
      <c r="N1586">
        <f>'raw data Crude oil'!N1587</f>
        <v>76.34</v>
      </c>
      <c r="O1586">
        <f>'raw data Crude oil'!O1587</f>
        <v>76.55</v>
      </c>
      <c r="P1586">
        <f>'raw data Crude oil'!P1587</f>
        <v>76.7</v>
      </c>
      <c r="Q1586">
        <f>'raw data Crude oil'!Q1587</f>
        <v>76.709999999999994</v>
      </c>
      <c r="R1586">
        <f>'raw data Crude oil'!R1587</f>
        <v>76.53</v>
      </c>
      <c r="S1586">
        <f>'raw data Crude oil'!S1587</f>
        <v>76.22</v>
      </c>
      <c r="T1586">
        <f>'raw data Crude oil'!T1587</f>
        <v>75.819999999999993</v>
      </c>
      <c r="U1586">
        <f>'raw data Crude oil'!U1587</f>
        <v>75.38</v>
      </c>
      <c r="V1586">
        <f>'raw data Crude oil'!V1587</f>
        <v>74.98</v>
      </c>
      <c r="W1586">
        <f>'raw data Crude oil'!W1587</f>
        <v>74.56</v>
      </c>
      <c r="X1586">
        <f>'raw data Crude oil'!X1587</f>
        <v>74.14</v>
      </c>
      <c r="Y1586">
        <f>'raw data Crude oil'!Y1587</f>
        <v>73.75</v>
      </c>
      <c r="Z1586">
        <f>'raw data Crude oil'!Z1587</f>
        <v>82.525999999999996</v>
      </c>
      <c r="AA1586">
        <f>'raw data Crude oil'!AA1587</f>
        <v>81.653000000000006</v>
      </c>
      <c r="AB1586">
        <f>'raw data Crude oil'!AB1587</f>
        <v>80.694000000000003</v>
      </c>
      <c r="AC1586">
        <f>'raw data Crude oil'!AC1587</f>
        <v>79.930000000000007</v>
      </c>
      <c r="AD1586">
        <f>'raw data Crude oil'!AD1587</f>
        <v>79.241</v>
      </c>
      <c r="AE1586">
        <f>'raw data Crude oil'!AE1587</f>
        <v>78.64</v>
      </c>
      <c r="AF1586">
        <f>'raw data Crude oil'!AF1587</f>
        <v>78.137</v>
      </c>
      <c r="AG1586">
        <f>'raw data Crude oil'!AG1587</f>
        <v>77.671000000000006</v>
      </c>
      <c r="AH1586">
        <f>'raw data Crude oil'!AH1587</f>
        <v>77.25</v>
      </c>
      <c r="AI1586">
        <f>'raw data Crude oil'!AI1587</f>
        <v>76.75</v>
      </c>
      <c r="AJ1586">
        <f>'raw data Crude oil'!AJ1587</f>
        <v>76.233000000000004</v>
      </c>
      <c r="AK1586">
        <f>'raw data Crude oil'!AK1587</f>
        <v>75.903999999999996</v>
      </c>
    </row>
    <row r="1587" spans="1:37" x14ac:dyDescent="0.3">
      <c r="A1587" s="18">
        <f>'raw data Crude oil'!A1588</f>
        <v>44978</v>
      </c>
      <c r="B1587">
        <f>'raw data Crude oil'!B1588</f>
        <v>83.05</v>
      </c>
      <c r="C1587">
        <f>'raw data Crude oil'!C1588</f>
        <v>82.77</v>
      </c>
      <c r="D1587">
        <f>'raw data Crude oil'!D1588</f>
        <v>82.29</v>
      </c>
      <c r="E1587">
        <f>'raw data Crude oil'!E1588</f>
        <v>81.900000000000006</v>
      </c>
      <c r="F1587">
        <f>'raw data Crude oil'!F1588</f>
        <v>81.5</v>
      </c>
      <c r="G1587">
        <f>'raw data Crude oil'!G1588</f>
        <v>81.09</v>
      </c>
      <c r="H1587">
        <f>'raw data Crude oil'!H1588</f>
        <v>80.67</v>
      </c>
      <c r="I1587">
        <f>'raw data Crude oil'!I1588</f>
        <v>80.27</v>
      </c>
      <c r="J1587">
        <f>'raw data Crude oil'!J1588</f>
        <v>79.87</v>
      </c>
      <c r="K1587">
        <f>'raw data Crude oil'!K1588</f>
        <v>79.459999999999994</v>
      </c>
      <c r="L1587">
        <f>'raw data Crude oil'!L1588</f>
        <v>79.05</v>
      </c>
      <c r="M1587">
        <f>'raw data Crude oil'!M1588</f>
        <v>78.69</v>
      </c>
      <c r="N1587">
        <f>'raw data Crude oil'!N1588</f>
        <v>76.16</v>
      </c>
      <c r="O1587">
        <f>'raw data Crude oil'!O1588</f>
        <v>76.36</v>
      </c>
      <c r="P1587">
        <f>'raw data Crude oil'!P1588</f>
        <v>76.53</v>
      </c>
      <c r="Q1587">
        <f>'raw data Crude oil'!Q1588</f>
        <v>76.56</v>
      </c>
      <c r="R1587">
        <f>'raw data Crude oil'!R1588</f>
        <v>76.400000000000006</v>
      </c>
      <c r="S1587">
        <f>'raw data Crude oil'!S1588</f>
        <v>76.099999999999994</v>
      </c>
      <c r="T1587">
        <f>'raw data Crude oil'!T1588</f>
        <v>75.73</v>
      </c>
      <c r="U1587">
        <f>'raw data Crude oil'!U1588</f>
        <v>75.319999999999993</v>
      </c>
      <c r="V1587">
        <f>'raw data Crude oil'!V1588</f>
        <v>74.92</v>
      </c>
      <c r="W1587">
        <f>'raw data Crude oil'!W1588</f>
        <v>74.52</v>
      </c>
      <c r="X1587">
        <f>'raw data Crude oil'!X1588</f>
        <v>74.099999999999994</v>
      </c>
      <c r="Y1587">
        <f>'raw data Crude oil'!Y1588</f>
        <v>73.709999999999994</v>
      </c>
      <c r="Z1587">
        <f>'raw data Crude oil'!Z1588</f>
        <v>82.209000000000003</v>
      </c>
      <c r="AA1587">
        <f>'raw data Crude oil'!AA1588</f>
        <v>80.588999999999999</v>
      </c>
      <c r="AB1587">
        <f>'raw data Crude oil'!AB1588</f>
        <v>79.688999999999993</v>
      </c>
      <c r="AC1587">
        <f>'raw data Crude oil'!AC1588</f>
        <v>78.983000000000004</v>
      </c>
      <c r="AD1587">
        <f>'raw data Crude oil'!AD1588</f>
        <v>78.331000000000003</v>
      </c>
      <c r="AE1587">
        <f>'raw data Crude oil'!AE1588</f>
        <v>77.72</v>
      </c>
      <c r="AF1587">
        <f>'raw data Crude oil'!AF1588</f>
        <v>77.212999999999994</v>
      </c>
      <c r="AG1587">
        <f>'raw data Crude oil'!AG1588</f>
        <v>76.760999999999996</v>
      </c>
      <c r="AH1587">
        <f>'raw data Crude oil'!AH1588</f>
        <v>76.350999999999999</v>
      </c>
      <c r="AI1587">
        <f>'raw data Crude oil'!AI1588</f>
        <v>75.911000000000001</v>
      </c>
      <c r="AJ1587">
        <f>'raw data Crude oil'!AJ1588</f>
        <v>75.424000000000007</v>
      </c>
      <c r="AK1587">
        <f>'raw data Crude oil'!AK1588</f>
        <v>75.075000000000003</v>
      </c>
    </row>
    <row r="1588" spans="1:37" x14ac:dyDescent="0.3">
      <c r="A1588" s="18">
        <f>'raw data Crude oil'!A1589</f>
        <v>44979</v>
      </c>
      <c r="B1588">
        <f>'raw data Crude oil'!B1589</f>
        <v>80.599999999999994</v>
      </c>
      <c r="C1588">
        <f>'raw data Crude oil'!C1589</f>
        <v>80.45</v>
      </c>
      <c r="D1588">
        <f>'raw data Crude oil'!D1589</f>
        <v>80.08</v>
      </c>
      <c r="E1588">
        <f>'raw data Crude oil'!E1589</f>
        <v>79.78</v>
      </c>
      <c r="F1588">
        <f>'raw data Crude oil'!F1589</f>
        <v>79.44</v>
      </c>
      <c r="G1588">
        <f>'raw data Crude oil'!G1589</f>
        <v>79.11</v>
      </c>
      <c r="H1588">
        <f>'raw data Crude oil'!H1589</f>
        <v>78.77</v>
      </c>
      <c r="I1588">
        <f>'raw data Crude oil'!I1589</f>
        <v>78.430000000000007</v>
      </c>
      <c r="J1588">
        <f>'raw data Crude oil'!J1589</f>
        <v>78.099999999999994</v>
      </c>
      <c r="K1588">
        <f>'raw data Crude oil'!K1589</f>
        <v>77.75</v>
      </c>
      <c r="L1588">
        <f>'raw data Crude oil'!L1589</f>
        <v>77.41</v>
      </c>
      <c r="M1588">
        <f>'raw data Crude oil'!M1589</f>
        <v>77.12</v>
      </c>
      <c r="N1588">
        <f>'raw data Crude oil'!N1589</f>
        <v>73.95</v>
      </c>
      <c r="O1588">
        <f>'raw data Crude oil'!O1589</f>
        <v>74.19</v>
      </c>
      <c r="P1588">
        <f>'raw data Crude oil'!P1589</f>
        <v>74.31</v>
      </c>
      <c r="Q1588">
        <f>'raw data Crude oil'!Q1589</f>
        <v>74.239999999999995</v>
      </c>
      <c r="R1588">
        <f>'raw data Crude oil'!R1589</f>
        <v>74.02</v>
      </c>
      <c r="S1588">
        <f>'raw data Crude oil'!S1589</f>
        <v>73.72</v>
      </c>
      <c r="T1588">
        <f>'raw data Crude oil'!T1589</f>
        <v>73.38</v>
      </c>
      <c r="U1588">
        <f>'raw data Crude oil'!U1589</f>
        <v>73.05</v>
      </c>
      <c r="V1588">
        <f>'raw data Crude oil'!V1589</f>
        <v>72.739999999999995</v>
      </c>
      <c r="W1588">
        <f>'raw data Crude oil'!W1589</f>
        <v>72.400000000000006</v>
      </c>
      <c r="X1588">
        <f>'raw data Crude oil'!X1589</f>
        <v>72.08</v>
      </c>
      <c r="Y1588">
        <f>'raw data Crude oil'!Y1589</f>
        <v>71.78</v>
      </c>
      <c r="Z1588">
        <f>'raw data Crude oil'!Z1589</f>
        <v>81.722999999999999</v>
      </c>
      <c r="AA1588">
        <f>'raw data Crude oil'!AA1589</f>
        <v>78.429000000000002</v>
      </c>
      <c r="AB1588">
        <f>'raw data Crude oil'!AB1589</f>
        <v>77.625</v>
      </c>
      <c r="AC1588">
        <f>'raw data Crude oil'!AC1589</f>
        <v>76.944999999999993</v>
      </c>
      <c r="AD1588">
        <f>'raw data Crude oil'!AD1589</f>
        <v>76.325000000000003</v>
      </c>
      <c r="AE1588">
        <f>'raw data Crude oil'!AE1589</f>
        <v>75.784000000000006</v>
      </c>
      <c r="AF1588">
        <f>'raw data Crude oil'!AF1589</f>
        <v>75.334000000000003</v>
      </c>
      <c r="AG1588">
        <f>'raw data Crude oil'!AG1589</f>
        <v>74.924000000000007</v>
      </c>
      <c r="AH1588">
        <f>'raw data Crude oil'!AH1589</f>
        <v>74.554000000000002</v>
      </c>
      <c r="AI1588">
        <f>'raw data Crude oil'!AI1589</f>
        <v>74.144999999999996</v>
      </c>
      <c r="AJ1588">
        <f>'raw data Crude oil'!AJ1589</f>
        <v>73.721000000000004</v>
      </c>
      <c r="AK1588">
        <f>'raw data Crude oil'!AK1589</f>
        <v>73.457999999999998</v>
      </c>
    </row>
    <row r="1589" spans="1:37" x14ac:dyDescent="0.3">
      <c r="A1589" s="18">
        <f>'raw data Crude oil'!A1590</f>
        <v>44980</v>
      </c>
      <c r="B1589">
        <f>'raw data Crude oil'!B1590</f>
        <v>82.21</v>
      </c>
      <c r="C1589">
        <f>'raw data Crude oil'!C1590</f>
        <v>81.95</v>
      </c>
      <c r="D1589">
        <f>'raw data Crude oil'!D1590</f>
        <v>81.48</v>
      </c>
      <c r="E1589">
        <f>'raw data Crude oil'!E1590</f>
        <v>81.11</v>
      </c>
      <c r="F1589">
        <f>'raw data Crude oil'!F1590</f>
        <v>80.72</v>
      </c>
      <c r="G1589">
        <f>'raw data Crude oil'!G1590</f>
        <v>80.33</v>
      </c>
      <c r="H1589">
        <f>'raw data Crude oil'!H1590</f>
        <v>79.95</v>
      </c>
      <c r="I1589">
        <f>'raw data Crude oil'!I1590</f>
        <v>79.569999999999993</v>
      </c>
      <c r="J1589">
        <f>'raw data Crude oil'!J1590</f>
        <v>79.2</v>
      </c>
      <c r="K1589">
        <f>'raw data Crude oil'!K1590</f>
        <v>78.83</v>
      </c>
      <c r="L1589">
        <f>'raw data Crude oil'!L1590</f>
        <v>78.45</v>
      </c>
      <c r="M1589">
        <f>'raw data Crude oil'!M1590</f>
        <v>78.13</v>
      </c>
      <c r="N1589">
        <f>'raw data Crude oil'!N1590</f>
        <v>75.39</v>
      </c>
      <c r="O1589">
        <f>'raw data Crude oil'!O1590</f>
        <v>75.599999999999994</v>
      </c>
      <c r="P1589">
        <f>'raw data Crude oil'!P1590</f>
        <v>75.680000000000007</v>
      </c>
      <c r="Q1589">
        <f>'raw data Crude oil'!Q1590</f>
        <v>75.569999999999993</v>
      </c>
      <c r="R1589">
        <f>'raw data Crude oil'!R1590</f>
        <v>75.33</v>
      </c>
      <c r="S1589">
        <f>'raw data Crude oil'!S1590</f>
        <v>75.02</v>
      </c>
      <c r="T1589">
        <f>'raw data Crude oil'!T1590</f>
        <v>74.66</v>
      </c>
      <c r="U1589">
        <f>'raw data Crude oil'!U1590</f>
        <v>74.28</v>
      </c>
      <c r="V1589">
        <f>'raw data Crude oil'!V1590</f>
        <v>73.92</v>
      </c>
      <c r="W1589">
        <f>'raw data Crude oil'!W1590</f>
        <v>73.55</v>
      </c>
      <c r="X1589">
        <f>'raw data Crude oil'!X1590</f>
        <v>73.19</v>
      </c>
      <c r="Y1589">
        <f>'raw data Crude oil'!Y1590</f>
        <v>72.86</v>
      </c>
      <c r="Z1589">
        <f>'raw data Crude oil'!Z1590</f>
        <v>81.988</v>
      </c>
      <c r="AA1589">
        <f>'raw data Crude oil'!AA1590</f>
        <v>80.09</v>
      </c>
      <c r="AB1589">
        <f>'raw data Crude oil'!AB1590</f>
        <v>79.194000000000003</v>
      </c>
      <c r="AC1589">
        <f>'raw data Crude oil'!AC1590</f>
        <v>78.393000000000001</v>
      </c>
      <c r="AD1589">
        <f>'raw data Crude oil'!AD1590</f>
        <v>77.671999999999997</v>
      </c>
      <c r="AE1589">
        <f>'raw data Crude oil'!AE1590</f>
        <v>77.061000000000007</v>
      </c>
      <c r="AF1589">
        <f>'raw data Crude oil'!AF1590</f>
        <v>76.56</v>
      </c>
      <c r="AG1589">
        <f>'raw data Crude oil'!AG1590</f>
        <v>76.096999999999994</v>
      </c>
      <c r="AH1589">
        <f>'raw data Crude oil'!AH1590</f>
        <v>75.692999999999998</v>
      </c>
      <c r="AI1589">
        <f>'raw data Crude oil'!AI1590</f>
        <v>75.253</v>
      </c>
      <c r="AJ1589">
        <f>'raw data Crude oil'!AJ1590</f>
        <v>74.757999999999996</v>
      </c>
      <c r="AK1589">
        <f>'raw data Crude oil'!AK1590</f>
        <v>74.465999999999994</v>
      </c>
    </row>
    <row r="1590" spans="1:37" x14ac:dyDescent="0.3">
      <c r="A1590" s="18">
        <f>'raw data Crude oil'!A1591</f>
        <v>44981</v>
      </c>
      <c r="B1590">
        <f>'raw data Crude oil'!B1591</f>
        <v>83.16</v>
      </c>
      <c r="C1590">
        <f>'raw data Crude oil'!C1591</f>
        <v>82.82</v>
      </c>
      <c r="D1590">
        <f>'raw data Crude oil'!D1591</f>
        <v>82.29</v>
      </c>
      <c r="E1590">
        <f>'raw data Crude oil'!E1591</f>
        <v>81.87</v>
      </c>
      <c r="F1590">
        <f>'raw data Crude oil'!F1591</f>
        <v>81.44</v>
      </c>
      <c r="G1590">
        <f>'raw data Crude oil'!G1591</f>
        <v>81.03</v>
      </c>
      <c r="H1590">
        <f>'raw data Crude oil'!H1591</f>
        <v>80.62</v>
      </c>
      <c r="I1590">
        <f>'raw data Crude oil'!I1591</f>
        <v>80.209999999999994</v>
      </c>
      <c r="J1590">
        <f>'raw data Crude oil'!J1591</f>
        <v>79.819999999999993</v>
      </c>
      <c r="K1590">
        <f>'raw data Crude oil'!K1591</f>
        <v>79.41</v>
      </c>
      <c r="L1590">
        <f>'raw data Crude oil'!L1591</f>
        <v>78.989999999999995</v>
      </c>
      <c r="M1590">
        <f>'raw data Crude oil'!M1591</f>
        <v>78.63</v>
      </c>
      <c r="N1590">
        <f>'raw data Crude oil'!N1591</f>
        <v>76.319999999999993</v>
      </c>
      <c r="O1590">
        <f>'raw data Crude oil'!O1591</f>
        <v>76.47</v>
      </c>
      <c r="P1590">
        <f>'raw data Crude oil'!P1591</f>
        <v>76.48</v>
      </c>
      <c r="Q1590">
        <f>'raw data Crude oil'!Q1591</f>
        <v>76.33</v>
      </c>
      <c r="R1590">
        <f>'raw data Crude oil'!R1591</f>
        <v>76.05</v>
      </c>
      <c r="S1590">
        <f>'raw data Crude oil'!S1591</f>
        <v>75.680000000000007</v>
      </c>
      <c r="T1590">
        <f>'raw data Crude oil'!T1591</f>
        <v>75.27</v>
      </c>
      <c r="U1590">
        <f>'raw data Crude oil'!U1591</f>
        <v>74.87</v>
      </c>
      <c r="V1590">
        <f>'raw data Crude oil'!V1591</f>
        <v>74.47</v>
      </c>
      <c r="W1590">
        <f>'raw data Crude oil'!W1591</f>
        <v>74.069999999999993</v>
      </c>
      <c r="X1590">
        <f>'raw data Crude oil'!X1591</f>
        <v>73.680000000000007</v>
      </c>
      <c r="Y1590">
        <f>'raw data Crude oil'!Y1591</f>
        <v>73.3</v>
      </c>
      <c r="Z1590">
        <f>'raw data Crude oil'!Z1591</f>
        <v>82.126999999999995</v>
      </c>
      <c r="AA1590">
        <f>'raw data Crude oil'!AA1591</f>
        <v>81.147000000000006</v>
      </c>
      <c r="AB1590">
        <f>'raw data Crude oil'!AB1591</f>
        <v>80.207999999999998</v>
      </c>
      <c r="AC1590">
        <f>'raw data Crude oil'!AC1591</f>
        <v>79.391000000000005</v>
      </c>
      <c r="AD1590">
        <f>'raw data Crude oil'!AD1591</f>
        <v>78.613</v>
      </c>
      <c r="AE1590">
        <f>'raw data Crude oil'!AE1591</f>
        <v>77.97</v>
      </c>
      <c r="AF1590">
        <f>'raw data Crude oil'!AF1591</f>
        <v>77.451999999999998</v>
      </c>
      <c r="AG1590">
        <f>'raw data Crude oil'!AG1591</f>
        <v>76.960999999999999</v>
      </c>
      <c r="AH1590">
        <f>'raw data Crude oil'!AH1591</f>
        <v>76.501000000000005</v>
      </c>
      <c r="AI1590">
        <f>'raw data Crude oil'!AI1591</f>
        <v>76.031000000000006</v>
      </c>
      <c r="AJ1590">
        <f>'raw data Crude oil'!AJ1591</f>
        <v>75.504000000000005</v>
      </c>
      <c r="AK1590">
        <f>'raw data Crude oil'!AK1591</f>
        <v>75.135000000000005</v>
      </c>
    </row>
    <row r="1591" spans="1:37" x14ac:dyDescent="0.3">
      <c r="A1591" s="18">
        <f>'raw data Crude oil'!A1592</f>
        <v>44984</v>
      </c>
      <c r="B1591">
        <f>'raw data Crude oil'!B1592</f>
        <v>82.45</v>
      </c>
      <c r="C1591">
        <f>'raw data Crude oil'!C1592</f>
        <v>82.04</v>
      </c>
      <c r="D1591">
        <f>'raw data Crude oil'!D1592</f>
        <v>81.510000000000005</v>
      </c>
      <c r="E1591">
        <f>'raw data Crude oil'!E1592</f>
        <v>81.08</v>
      </c>
      <c r="F1591">
        <f>'raw data Crude oil'!F1592</f>
        <v>80.650000000000006</v>
      </c>
      <c r="G1591">
        <f>'raw data Crude oil'!G1592</f>
        <v>80.23</v>
      </c>
      <c r="H1591">
        <f>'raw data Crude oil'!H1592</f>
        <v>79.81</v>
      </c>
      <c r="I1591">
        <f>'raw data Crude oil'!I1592</f>
        <v>79.39</v>
      </c>
      <c r="J1591">
        <f>'raw data Crude oil'!J1592</f>
        <v>78.98</v>
      </c>
      <c r="K1591">
        <f>'raw data Crude oil'!K1592</f>
        <v>78.569999999999993</v>
      </c>
      <c r="L1591">
        <f>'raw data Crude oil'!L1592</f>
        <v>78.150000000000006</v>
      </c>
      <c r="M1591">
        <f>'raw data Crude oil'!M1592</f>
        <v>77.790000000000006</v>
      </c>
      <c r="N1591">
        <f>'raw data Crude oil'!N1592</f>
        <v>75.680000000000007</v>
      </c>
      <c r="O1591">
        <f>'raw data Crude oil'!O1592</f>
        <v>75.81</v>
      </c>
      <c r="P1591">
        <f>'raw data Crude oil'!P1592</f>
        <v>75.790000000000006</v>
      </c>
      <c r="Q1591">
        <f>'raw data Crude oil'!Q1592</f>
        <v>75.61</v>
      </c>
      <c r="R1591">
        <f>'raw data Crude oil'!R1592</f>
        <v>75.31</v>
      </c>
      <c r="S1591">
        <f>'raw data Crude oil'!S1592</f>
        <v>74.92</v>
      </c>
      <c r="T1591">
        <f>'raw data Crude oil'!T1592</f>
        <v>74.5</v>
      </c>
      <c r="U1591">
        <f>'raw data Crude oil'!U1592</f>
        <v>74.06</v>
      </c>
      <c r="V1591">
        <f>'raw data Crude oil'!V1592</f>
        <v>73.64</v>
      </c>
      <c r="W1591">
        <f>'raw data Crude oil'!W1592</f>
        <v>73.22</v>
      </c>
      <c r="X1591">
        <f>'raw data Crude oil'!X1592</f>
        <v>72.819999999999993</v>
      </c>
      <c r="Y1591">
        <f>'raw data Crude oil'!Y1592</f>
        <v>72.45</v>
      </c>
      <c r="Z1591">
        <f>'raw data Crude oil'!Z1592</f>
        <v>82.063000000000002</v>
      </c>
      <c r="AA1591">
        <f>'raw data Crude oil'!AA1592</f>
        <v>80.156999999999996</v>
      </c>
      <c r="AB1591">
        <f>'raw data Crude oil'!AB1592</f>
        <v>79.247</v>
      </c>
      <c r="AC1591">
        <f>'raw data Crude oil'!AC1592</f>
        <v>78.516999999999996</v>
      </c>
      <c r="AD1591">
        <f>'raw data Crude oil'!AD1592</f>
        <v>77.760999999999996</v>
      </c>
      <c r="AE1591">
        <f>'raw data Crude oil'!AE1592</f>
        <v>77.12</v>
      </c>
      <c r="AF1591">
        <f>'raw data Crude oil'!AF1592</f>
        <v>76.591999999999999</v>
      </c>
      <c r="AG1591">
        <f>'raw data Crude oil'!AG1592</f>
        <v>76.08</v>
      </c>
      <c r="AH1591">
        <f>'raw data Crude oil'!AH1592</f>
        <v>75.590999999999994</v>
      </c>
      <c r="AI1591">
        <f>'raw data Crude oil'!AI1592</f>
        <v>75.102000000000004</v>
      </c>
      <c r="AJ1591">
        <f>'raw data Crude oil'!AJ1592</f>
        <v>74.584000000000003</v>
      </c>
      <c r="AK1591">
        <f>'raw data Crude oil'!AK1592</f>
        <v>74.265000000000001</v>
      </c>
    </row>
    <row r="1592" spans="1:37" x14ac:dyDescent="0.3">
      <c r="A1592" s="18">
        <f>'raw data Crude oil'!A1593</f>
        <v>44985</v>
      </c>
      <c r="B1592">
        <f>'raw data Crude oil'!B1593</f>
        <v>83.89</v>
      </c>
      <c r="C1592">
        <f>'raw data Crude oil'!C1593</f>
        <v>83.45</v>
      </c>
      <c r="D1592">
        <f>'raw data Crude oil'!D1593</f>
        <v>82.83</v>
      </c>
      <c r="E1592">
        <f>'raw data Crude oil'!E1593</f>
        <v>82.33</v>
      </c>
      <c r="F1592">
        <f>'raw data Crude oil'!F1593</f>
        <v>81.84</v>
      </c>
      <c r="G1592">
        <f>'raw data Crude oil'!G1593</f>
        <v>81.37</v>
      </c>
      <c r="H1592">
        <f>'raw data Crude oil'!H1593</f>
        <v>80.89</v>
      </c>
      <c r="I1592">
        <f>'raw data Crude oil'!I1593</f>
        <v>80.41</v>
      </c>
      <c r="J1592">
        <f>'raw data Crude oil'!J1593</f>
        <v>79.95</v>
      </c>
      <c r="K1592">
        <f>'raw data Crude oil'!K1593</f>
        <v>79.489999999999995</v>
      </c>
      <c r="L1592">
        <f>'raw data Crude oil'!L1593</f>
        <v>79.02</v>
      </c>
      <c r="M1592">
        <f>'raw data Crude oil'!M1593</f>
        <v>78.59</v>
      </c>
      <c r="N1592">
        <f>'raw data Crude oil'!N1593</f>
        <v>77.05</v>
      </c>
      <c r="O1592">
        <f>'raw data Crude oil'!O1593</f>
        <v>77.19</v>
      </c>
      <c r="P1592">
        <f>'raw data Crude oil'!P1593</f>
        <v>77.14</v>
      </c>
      <c r="Q1592">
        <f>'raw data Crude oil'!Q1593</f>
        <v>76.900000000000006</v>
      </c>
      <c r="R1592">
        <f>'raw data Crude oil'!R1593</f>
        <v>76.52</v>
      </c>
      <c r="S1592">
        <f>'raw data Crude oil'!S1593</f>
        <v>76.05</v>
      </c>
      <c r="T1592">
        <f>'raw data Crude oil'!T1593</f>
        <v>75.56</v>
      </c>
      <c r="U1592">
        <f>'raw data Crude oil'!U1593</f>
        <v>75.069999999999993</v>
      </c>
      <c r="V1592">
        <f>'raw data Crude oil'!V1593</f>
        <v>74.59</v>
      </c>
      <c r="W1592">
        <f>'raw data Crude oil'!W1593</f>
        <v>74.11</v>
      </c>
      <c r="X1592">
        <f>'raw data Crude oil'!X1593</f>
        <v>73.650000000000006</v>
      </c>
      <c r="Y1592">
        <f>'raw data Crude oil'!Y1593</f>
        <v>73.22</v>
      </c>
      <c r="Z1592">
        <f>'raw data Crude oil'!Z1593</f>
        <v>82.084999999999994</v>
      </c>
      <c r="AA1592">
        <f>'raw data Crude oil'!AA1593</f>
        <v>81.363</v>
      </c>
      <c r="AB1592">
        <f>'raw data Crude oil'!AB1593</f>
        <v>80.334000000000003</v>
      </c>
      <c r="AC1592">
        <f>'raw data Crude oil'!AC1593</f>
        <v>79.569000000000003</v>
      </c>
      <c r="AD1592">
        <f>'raw data Crude oil'!AD1593</f>
        <v>78.778999999999996</v>
      </c>
      <c r="AE1592">
        <f>'raw data Crude oil'!AE1593</f>
        <v>78.066999999999993</v>
      </c>
      <c r="AF1592">
        <f>'raw data Crude oil'!AF1593</f>
        <v>77.448999999999998</v>
      </c>
      <c r="AG1592">
        <f>'raw data Crude oil'!AG1593</f>
        <v>76.888000000000005</v>
      </c>
      <c r="AH1592">
        <f>'raw data Crude oil'!AH1593</f>
        <v>76.358999999999995</v>
      </c>
      <c r="AI1592">
        <f>'raw data Crude oil'!AI1593</f>
        <v>75.808999999999997</v>
      </c>
      <c r="AJ1592">
        <f>'raw data Crude oil'!AJ1593</f>
        <v>75.206999999999994</v>
      </c>
      <c r="AK1592">
        <f>'raw data Crude oil'!AK1593</f>
        <v>74.751999999999995</v>
      </c>
    </row>
    <row r="1593" spans="1:37" x14ac:dyDescent="0.3">
      <c r="A1593" s="18">
        <f>'raw data Crude oil'!A1594</f>
        <v>44986</v>
      </c>
      <c r="B1593">
        <f>'raw data Crude oil'!B1594</f>
        <v>84.31</v>
      </c>
      <c r="C1593">
        <f>'raw data Crude oil'!C1594</f>
        <v>83.69</v>
      </c>
      <c r="D1593">
        <f>'raw data Crude oil'!D1594</f>
        <v>83.17</v>
      </c>
      <c r="E1593">
        <f>'raw data Crude oil'!E1594</f>
        <v>82.67</v>
      </c>
      <c r="F1593">
        <f>'raw data Crude oil'!F1594</f>
        <v>82.18</v>
      </c>
      <c r="G1593">
        <f>'raw data Crude oil'!G1594</f>
        <v>81.69</v>
      </c>
      <c r="H1593">
        <f>'raw data Crude oil'!H1594</f>
        <v>81.22</v>
      </c>
      <c r="I1593">
        <f>'raw data Crude oil'!I1594</f>
        <v>80.75</v>
      </c>
      <c r="J1593">
        <f>'raw data Crude oil'!J1594</f>
        <v>80.27</v>
      </c>
      <c r="K1593">
        <f>'raw data Crude oil'!K1594</f>
        <v>79.790000000000006</v>
      </c>
      <c r="L1593">
        <f>'raw data Crude oil'!L1594</f>
        <v>79.34</v>
      </c>
      <c r="M1593">
        <f>'raw data Crude oil'!M1594</f>
        <v>78.930000000000007</v>
      </c>
      <c r="N1593">
        <f>'raw data Crude oil'!N1594</f>
        <v>77.69</v>
      </c>
      <c r="O1593">
        <f>'raw data Crude oil'!O1594</f>
        <v>77.83</v>
      </c>
      <c r="P1593">
        <f>'raw data Crude oil'!P1594</f>
        <v>77.8</v>
      </c>
      <c r="Q1593">
        <f>'raw data Crude oil'!Q1594</f>
        <v>77.569999999999993</v>
      </c>
      <c r="R1593">
        <f>'raw data Crude oil'!R1594</f>
        <v>77.2</v>
      </c>
      <c r="S1593">
        <f>'raw data Crude oil'!S1594</f>
        <v>76.739999999999995</v>
      </c>
      <c r="T1593">
        <f>'raw data Crude oil'!T1594</f>
        <v>76.239999999999995</v>
      </c>
      <c r="U1593">
        <f>'raw data Crude oil'!U1594</f>
        <v>75.75</v>
      </c>
      <c r="V1593">
        <f>'raw data Crude oil'!V1594</f>
        <v>75.27</v>
      </c>
      <c r="W1593">
        <f>'raw data Crude oil'!W1594</f>
        <v>74.77</v>
      </c>
      <c r="X1593">
        <f>'raw data Crude oil'!X1594</f>
        <v>74.290000000000006</v>
      </c>
      <c r="Y1593">
        <f>'raw data Crude oil'!Y1594</f>
        <v>73.849999999999994</v>
      </c>
      <c r="Z1593">
        <f>'raw data Crude oil'!Z1594</f>
        <v>82.084999999999994</v>
      </c>
      <c r="AA1593">
        <f>'raw data Crude oil'!AA1594</f>
        <v>82.52</v>
      </c>
      <c r="AB1593">
        <f>'raw data Crude oil'!AB1594</f>
        <v>81.412999999999997</v>
      </c>
      <c r="AC1593">
        <f>'raw data Crude oil'!AC1594</f>
        <v>80.537999999999997</v>
      </c>
      <c r="AD1593">
        <f>'raw data Crude oil'!AD1594</f>
        <v>79.688000000000002</v>
      </c>
      <c r="AE1593">
        <f>'raw data Crude oil'!AE1594</f>
        <v>78.94</v>
      </c>
      <c r="AF1593">
        <f>'raw data Crude oil'!AF1594</f>
        <v>78.319999999999993</v>
      </c>
      <c r="AG1593">
        <f>'raw data Crude oil'!AG1594</f>
        <v>77.748000000000005</v>
      </c>
      <c r="AH1593">
        <f>'raw data Crude oil'!AH1594</f>
        <v>77.188000000000002</v>
      </c>
      <c r="AI1593">
        <f>'raw data Crude oil'!AI1594</f>
        <v>76.587999999999994</v>
      </c>
      <c r="AJ1593">
        <f>'raw data Crude oil'!AJ1594</f>
        <v>75.954999999999998</v>
      </c>
      <c r="AK1593">
        <f>'raw data Crude oil'!AK1594</f>
        <v>75.480999999999995</v>
      </c>
    </row>
    <row r="1594" spans="1:37" x14ac:dyDescent="0.3">
      <c r="A1594" s="18">
        <f>'raw data Crude oil'!A1595</f>
        <v>44987</v>
      </c>
      <c r="B1594">
        <f>'raw data Crude oil'!B1595</f>
        <v>84.75</v>
      </c>
      <c r="C1594">
        <f>'raw data Crude oil'!C1595</f>
        <v>84.09</v>
      </c>
      <c r="D1594">
        <f>'raw data Crude oil'!D1595</f>
        <v>83.57</v>
      </c>
      <c r="E1594">
        <f>'raw data Crude oil'!E1595</f>
        <v>83.07</v>
      </c>
      <c r="F1594">
        <f>'raw data Crude oil'!F1595</f>
        <v>82.59</v>
      </c>
      <c r="G1594">
        <f>'raw data Crude oil'!G1595</f>
        <v>82.1</v>
      </c>
      <c r="H1594">
        <f>'raw data Crude oil'!H1595</f>
        <v>81.64</v>
      </c>
      <c r="I1594">
        <f>'raw data Crude oil'!I1595</f>
        <v>81.19</v>
      </c>
      <c r="J1594">
        <f>'raw data Crude oil'!J1595</f>
        <v>80.73</v>
      </c>
      <c r="K1594">
        <f>'raw data Crude oil'!K1595</f>
        <v>80.239999999999995</v>
      </c>
      <c r="L1594">
        <f>'raw data Crude oil'!L1595</f>
        <v>79.790000000000006</v>
      </c>
      <c r="M1594">
        <f>'raw data Crude oil'!M1595</f>
        <v>79.37</v>
      </c>
      <c r="N1594">
        <f>'raw data Crude oil'!N1595</f>
        <v>78.16</v>
      </c>
      <c r="O1594">
        <f>'raw data Crude oil'!O1595</f>
        <v>78.31</v>
      </c>
      <c r="P1594">
        <f>'raw data Crude oil'!P1595</f>
        <v>78.290000000000006</v>
      </c>
      <c r="Q1594">
        <f>'raw data Crude oil'!Q1595</f>
        <v>78.08</v>
      </c>
      <c r="R1594">
        <f>'raw data Crude oil'!R1595</f>
        <v>77.739999999999995</v>
      </c>
      <c r="S1594">
        <f>'raw data Crude oil'!S1595</f>
        <v>77.31</v>
      </c>
      <c r="T1594">
        <f>'raw data Crude oil'!T1595</f>
        <v>76.849999999999994</v>
      </c>
      <c r="U1594">
        <f>'raw data Crude oil'!U1595</f>
        <v>76.38</v>
      </c>
      <c r="V1594">
        <f>'raw data Crude oil'!V1595</f>
        <v>75.900000000000006</v>
      </c>
      <c r="W1594">
        <f>'raw data Crude oil'!W1595</f>
        <v>75.42</v>
      </c>
      <c r="X1594">
        <f>'raw data Crude oil'!X1595</f>
        <v>74.95</v>
      </c>
      <c r="Y1594">
        <f>'raw data Crude oil'!Y1595</f>
        <v>74.510000000000005</v>
      </c>
      <c r="Z1594">
        <f>'raw data Crude oil'!Z1595</f>
        <v>83.373999999999995</v>
      </c>
      <c r="AA1594">
        <f>'raw data Crude oil'!AA1595</f>
        <v>82.093000000000004</v>
      </c>
      <c r="AB1594">
        <f>'raw data Crude oil'!AB1595</f>
        <v>81.188000000000002</v>
      </c>
      <c r="AC1594">
        <f>'raw data Crude oil'!AC1595</f>
        <v>80.298000000000002</v>
      </c>
      <c r="AD1594">
        <f>'raw data Crude oil'!AD1595</f>
        <v>79.507000000000005</v>
      </c>
      <c r="AE1594">
        <f>'raw data Crude oil'!AE1595</f>
        <v>78.84</v>
      </c>
      <c r="AF1594">
        <f>'raw data Crude oil'!AF1595</f>
        <v>78.248999999999995</v>
      </c>
      <c r="AG1594">
        <f>'raw data Crude oil'!AG1595</f>
        <v>77.688999999999993</v>
      </c>
      <c r="AH1594">
        <f>'raw data Crude oil'!AH1595</f>
        <v>77.128</v>
      </c>
      <c r="AI1594">
        <f>'raw data Crude oil'!AI1595</f>
        <v>76.515000000000001</v>
      </c>
      <c r="AJ1594">
        <f>'raw data Crude oil'!AJ1595</f>
        <v>76.031000000000006</v>
      </c>
      <c r="AK1594">
        <f>'raw data Crude oil'!AK1595</f>
        <v>75.631</v>
      </c>
    </row>
    <row r="1595" spans="1:37" x14ac:dyDescent="0.3">
      <c r="A1595" s="18">
        <f>'raw data Crude oil'!A1596</f>
        <v>44988</v>
      </c>
      <c r="B1595">
        <f>'raw data Crude oil'!B1596</f>
        <v>85.83</v>
      </c>
      <c r="C1595">
        <f>'raw data Crude oil'!C1596</f>
        <v>85.26</v>
      </c>
      <c r="D1595">
        <f>'raw data Crude oil'!D1596</f>
        <v>84.78</v>
      </c>
      <c r="E1595">
        <f>'raw data Crude oil'!E1596</f>
        <v>84.29</v>
      </c>
      <c r="F1595">
        <f>'raw data Crude oil'!F1596</f>
        <v>83.81</v>
      </c>
      <c r="G1595">
        <f>'raw data Crude oil'!G1596</f>
        <v>83.31</v>
      </c>
      <c r="H1595">
        <f>'raw data Crude oil'!H1596</f>
        <v>82.83</v>
      </c>
      <c r="I1595">
        <f>'raw data Crude oil'!I1596</f>
        <v>82.36</v>
      </c>
      <c r="J1595">
        <f>'raw data Crude oil'!J1596</f>
        <v>81.89</v>
      </c>
      <c r="K1595">
        <f>'raw data Crude oil'!K1596</f>
        <v>81.39</v>
      </c>
      <c r="L1595">
        <f>'raw data Crude oil'!L1596</f>
        <v>80.92</v>
      </c>
      <c r="M1595">
        <f>'raw data Crude oil'!M1596</f>
        <v>80.489999999999995</v>
      </c>
      <c r="N1595">
        <f>'raw data Crude oil'!N1596</f>
        <v>79.680000000000007</v>
      </c>
      <c r="O1595">
        <f>'raw data Crude oil'!O1596</f>
        <v>79.790000000000006</v>
      </c>
      <c r="P1595">
        <f>'raw data Crude oil'!P1596</f>
        <v>79.77</v>
      </c>
      <c r="Q1595">
        <f>'raw data Crude oil'!Q1596</f>
        <v>79.56</v>
      </c>
      <c r="R1595">
        <f>'raw data Crude oil'!R1596</f>
        <v>79.22</v>
      </c>
      <c r="S1595">
        <f>'raw data Crude oil'!S1596</f>
        <v>78.78</v>
      </c>
      <c r="T1595">
        <f>'raw data Crude oil'!T1596</f>
        <v>78.3</v>
      </c>
      <c r="U1595">
        <f>'raw data Crude oil'!U1596</f>
        <v>77.8</v>
      </c>
      <c r="V1595">
        <f>'raw data Crude oil'!V1596</f>
        <v>77.31</v>
      </c>
      <c r="W1595">
        <f>'raw data Crude oil'!W1596</f>
        <v>76.8</v>
      </c>
      <c r="X1595">
        <f>'raw data Crude oil'!X1596</f>
        <v>76.319999999999993</v>
      </c>
      <c r="Y1595">
        <f>'raw data Crude oil'!Y1596</f>
        <v>75.849999999999994</v>
      </c>
      <c r="Z1595">
        <f>'raw data Crude oil'!Z1596</f>
        <v>84.201999999999998</v>
      </c>
      <c r="AA1595">
        <f>'raw data Crude oil'!AA1596</f>
        <v>83.185000000000002</v>
      </c>
      <c r="AB1595">
        <f>'raw data Crude oil'!AB1596</f>
        <v>82.319000000000003</v>
      </c>
      <c r="AC1595">
        <f>'raw data Crude oil'!AC1596</f>
        <v>81.447999999999993</v>
      </c>
      <c r="AD1595">
        <f>'raw data Crude oil'!AD1596</f>
        <v>80.656000000000006</v>
      </c>
      <c r="AE1595">
        <f>'raw data Crude oil'!AE1596</f>
        <v>79.994</v>
      </c>
      <c r="AF1595">
        <f>'raw data Crude oil'!AF1596</f>
        <v>79.403000000000006</v>
      </c>
      <c r="AG1595">
        <f>'raw data Crude oil'!AG1596</f>
        <v>78.849000000000004</v>
      </c>
      <c r="AH1595">
        <f>'raw data Crude oil'!AH1596</f>
        <v>78.266999999999996</v>
      </c>
      <c r="AI1595">
        <f>'raw data Crude oil'!AI1596</f>
        <v>77.632999999999996</v>
      </c>
      <c r="AJ1595">
        <f>'raw data Crude oil'!AJ1596</f>
        <v>77.180000000000007</v>
      </c>
      <c r="AK1595">
        <f>'raw data Crude oil'!AK1596</f>
        <v>76.739999999999995</v>
      </c>
    </row>
    <row r="1596" spans="1:37" x14ac:dyDescent="0.3">
      <c r="A1596" s="18">
        <f>'raw data Crude oil'!A1597</f>
        <v>44991</v>
      </c>
      <c r="B1596">
        <f>'raw data Crude oil'!B1597</f>
        <v>86.18</v>
      </c>
      <c r="C1596">
        <f>'raw data Crude oil'!C1597</f>
        <v>85.62</v>
      </c>
      <c r="D1596">
        <f>'raw data Crude oil'!D1597</f>
        <v>85.16</v>
      </c>
      <c r="E1596">
        <f>'raw data Crude oil'!E1597</f>
        <v>84.69</v>
      </c>
      <c r="F1596">
        <f>'raw data Crude oil'!F1597</f>
        <v>84.23</v>
      </c>
      <c r="G1596">
        <f>'raw data Crude oil'!G1597</f>
        <v>83.73</v>
      </c>
      <c r="H1596">
        <f>'raw data Crude oil'!H1597</f>
        <v>83.25</v>
      </c>
      <c r="I1596">
        <f>'raw data Crude oil'!I1597</f>
        <v>82.79</v>
      </c>
      <c r="J1596">
        <f>'raw data Crude oil'!J1597</f>
        <v>82.3</v>
      </c>
      <c r="K1596">
        <f>'raw data Crude oil'!K1597</f>
        <v>81.81</v>
      </c>
      <c r="L1596">
        <f>'raw data Crude oil'!L1597</f>
        <v>81.33</v>
      </c>
      <c r="M1596">
        <f>'raw data Crude oil'!M1597</f>
        <v>80.89</v>
      </c>
      <c r="N1596">
        <f>'raw data Crude oil'!N1597</f>
        <v>80.459999999999994</v>
      </c>
      <c r="O1596">
        <f>'raw data Crude oil'!O1597</f>
        <v>80.56</v>
      </c>
      <c r="P1596">
        <f>'raw data Crude oil'!P1597</f>
        <v>80.510000000000005</v>
      </c>
      <c r="Q1596">
        <f>'raw data Crude oil'!Q1597</f>
        <v>80.28</v>
      </c>
      <c r="R1596">
        <f>'raw data Crude oil'!R1597</f>
        <v>79.92</v>
      </c>
      <c r="S1596">
        <f>'raw data Crude oil'!S1597</f>
        <v>79.459999999999994</v>
      </c>
      <c r="T1596">
        <f>'raw data Crude oil'!T1597</f>
        <v>78.959999999999994</v>
      </c>
      <c r="U1596">
        <f>'raw data Crude oil'!U1597</f>
        <v>78.45</v>
      </c>
      <c r="V1596">
        <f>'raw data Crude oil'!V1597</f>
        <v>77.92</v>
      </c>
      <c r="W1596">
        <f>'raw data Crude oil'!W1597</f>
        <v>77.39</v>
      </c>
      <c r="X1596">
        <f>'raw data Crude oil'!X1597</f>
        <v>76.87</v>
      </c>
      <c r="Y1596">
        <f>'raw data Crude oil'!Y1597</f>
        <v>76.38</v>
      </c>
      <c r="Z1596">
        <f>'raw data Crude oil'!Z1597</f>
        <v>84.263999999999996</v>
      </c>
      <c r="AA1596">
        <f>'raw data Crude oil'!AA1597</f>
        <v>83.465999999999994</v>
      </c>
      <c r="AB1596">
        <f>'raw data Crude oil'!AB1597</f>
        <v>82.65</v>
      </c>
      <c r="AC1596">
        <f>'raw data Crude oil'!AC1597</f>
        <v>81.828999999999994</v>
      </c>
      <c r="AD1596">
        <f>'raw data Crude oil'!AD1597</f>
        <v>81.090999999999994</v>
      </c>
      <c r="AE1596">
        <f>'raw data Crude oil'!AE1597</f>
        <v>80.433999999999997</v>
      </c>
      <c r="AF1596">
        <f>'raw data Crude oil'!AF1597</f>
        <v>79.837999999999994</v>
      </c>
      <c r="AG1596">
        <f>'raw data Crude oil'!AG1597</f>
        <v>79.298000000000002</v>
      </c>
      <c r="AH1596">
        <f>'raw data Crude oil'!AH1597</f>
        <v>78.727999999999994</v>
      </c>
      <c r="AI1596">
        <f>'raw data Crude oil'!AI1597</f>
        <v>78.132000000000005</v>
      </c>
      <c r="AJ1596">
        <f>'raw data Crude oil'!AJ1597</f>
        <v>77.650000000000006</v>
      </c>
      <c r="AK1596">
        <f>'raw data Crude oil'!AK1597</f>
        <v>77.17</v>
      </c>
    </row>
    <row r="1597" spans="1:37" x14ac:dyDescent="0.3">
      <c r="A1597" s="18">
        <f>'raw data Crude oil'!A1598</f>
        <v>44992</v>
      </c>
      <c r="B1597">
        <f>'raw data Crude oil'!B1598</f>
        <v>83.29</v>
      </c>
      <c r="C1597">
        <f>'raw data Crude oil'!C1598</f>
        <v>82.8</v>
      </c>
      <c r="D1597">
        <f>'raw data Crude oil'!D1598</f>
        <v>82.43</v>
      </c>
      <c r="E1597">
        <f>'raw data Crude oil'!E1598</f>
        <v>82.03</v>
      </c>
      <c r="F1597">
        <f>'raw data Crude oil'!F1598</f>
        <v>81.63</v>
      </c>
      <c r="G1597">
        <f>'raw data Crude oil'!G1598</f>
        <v>81.19</v>
      </c>
      <c r="H1597">
        <f>'raw data Crude oil'!H1598</f>
        <v>80.760000000000005</v>
      </c>
      <c r="I1597">
        <f>'raw data Crude oil'!I1598</f>
        <v>80.34</v>
      </c>
      <c r="J1597">
        <f>'raw data Crude oil'!J1598</f>
        <v>79.89</v>
      </c>
      <c r="K1597">
        <f>'raw data Crude oil'!K1598</f>
        <v>79.430000000000007</v>
      </c>
      <c r="L1597">
        <f>'raw data Crude oil'!L1598</f>
        <v>79</v>
      </c>
      <c r="M1597">
        <f>'raw data Crude oil'!M1598</f>
        <v>78.61</v>
      </c>
      <c r="N1597">
        <f>'raw data Crude oil'!N1598</f>
        <v>77.58</v>
      </c>
      <c r="O1597">
        <f>'raw data Crude oil'!O1598</f>
        <v>77.72</v>
      </c>
      <c r="P1597">
        <f>'raw data Crude oil'!P1598</f>
        <v>77.709999999999994</v>
      </c>
      <c r="Q1597">
        <f>'raw data Crude oil'!Q1598</f>
        <v>77.53</v>
      </c>
      <c r="R1597">
        <f>'raw data Crude oil'!R1598</f>
        <v>77.22</v>
      </c>
      <c r="S1597">
        <f>'raw data Crude oil'!S1598</f>
        <v>76.83</v>
      </c>
      <c r="T1597">
        <f>'raw data Crude oil'!T1598</f>
        <v>76.39</v>
      </c>
      <c r="U1597">
        <f>'raw data Crude oil'!U1598</f>
        <v>75.94</v>
      </c>
      <c r="V1597">
        <f>'raw data Crude oil'!V1598</f>
        <v>75.47</v>
      </c>
      <c r="W1597">
        <f>'raw data Crude oil'!W1598</f>
        <v>74.98</v>
      </c>
      <c r="X1597">
        <f>'raw data Crude oil'!X1598</f>
        <v>74.5</v>
      </c>
      <c r="Y1597">
        <f>'raw data Crude oil'!Y1598</f>
        <v>74.069999999999993</v>
      </c>
      <c r="Z1597">
        <f>'raw data Crude oil'!Z1598</f>
        <v>82.22</v>
      </c>
      <c r="AA1597">
        <f>'raw data Crude oil'!AA1598</f>
        <v>80.781000000000006</v>
      </c>
      <c r="AB1597">
        <f>'raw data Crude oil'!AB1598</f>
        <v>79.992999999999995</v>
      </c>
      <c r="AC1597">
        <f>'raw data Crude oil'!AC1598</f>
        <v>79.191999999999993</v>
      </c>
      <c r="AD1597">
        <f>'raw data Crude oil'!AD1598</f>
        <v>78.468999999999994</v>
      </c>
      <c r="AE1597">
        <f>'raw data Crude oil'!AE1598</f>
        <v>77.867999999999995</v>
      </c>
      <c r="AF1597">
        <f>'raw data Crude oil'!AF1598</f>
        <v>77.296999999999997</v>
      </c>
      <c r="AG1597">
        <f>'raw data Crude oil'!AG1598</f>
        <v>76.819999999999993</v>
      </c>
      <c r="AH1597">
        <f>'raw data Crude oil'!AH1598</f>
        <v>76.269000000000005</v>
      </c>
      <c r="AI1597">
        <f>'raw data Crude oil'!AI1598</f>
        <v>75.626999999999995</v>
      </c>
      <c r="AJ1597">
        <f>'raw data Crude oil'!AJ1598</f>
        <v>75.281999999999996</v>
      </c>
      <c r="AK1597">
        <f>'raw data Crude oil'!AK1598</f>
        <v>74.861999999999995</v>
      </c>
    </row>
    <row r="1598" spans="1:37" x14ac:dyDescent="0.3">
      <c r="A1598" s="18">
        <f>'raw data Crude oil'!A1599</f>
        <v>44993</v>
      </c>
      <c r="B1598">
        <f>'raw data Crude oil'!B1599</f>
        <v>82.66</v>
      </c>
      <c r="C1598">
        <f>'raw data Crude oil'!C1599</f>
        <v>82.19</v>
      </c>
      <c r="D1598">
        <f>'raw data Crude oil'!D1599</f>
        <v>81.819999999999993</v>
      </c>
      <c r="E1598">
        <f>'raw data Crude oil'!E1599</f>
        <v>81.42</v>
      </c>
      <c r="F1598">
        <f>'raw data Crude oil'!F1599</f>
        <v>81.010000000000005</v>
      </c>
      <c r="G1598">
        <f>'raw data Crude oil'!G1599</f>
        <v>80.58</v>
      </c>
      <c r="H1598">
        <f>'raw data Crude oil'!H1599</f>
        <v>80.16</v>
      </c>
      <c r="I1598">
        <f>'raw data Crude oil'!I1599</f>
        <v>79.73</v>
      </c>
      <c r="J1598">
        <f>'raw data Crude oil'!J1599</f>
        <v>79.290000000000006</v>
      </c>
      <c r="K1598">
        <f>'raw data Crude oil'!K1599</f>
        <v>78.849999999999994</v>
      </c>
      <c r="L1598">
        <f>'raw data Crude oil'!L1599</f>
        <v>78.45</v>
      </c>
      <c r="M1598">
        <f>'raw data Crude oil'!M1599</f>
        <v>78.06</v>
      </c>
      <c r="N1598">
        <f>'raw data Crude oil'!N1599</f>
        <v>76.66</v>
      </c>
      <c r="O1598">
        <f>'raw data Crude oil'!O1599</f>
        <v>76.81</v>
      </c>
      <c r="P1598">
        <f>'raw data Crude oil'!P1599</f>
        <v>76.849999999999994</v>
      </c>
      <c r="Q1598">
        <f>'raw data Crude oil'!Q1599</f>
        <v>76.7</v>
      </c>
      <c r="R1598">
        <f>'raw data Crude oil'!R1599</f>
        <v>76.39</v>
      </c>
      <c r="S1598">
        <f>'raw data Crude oil'!S1599</f>
        <v>75.989999999999995</v>
      </c>
      <c r="T1598">
        <f>'raw data Crude oil'!T1599</f>
        <v>75.540000000000006</v>
      </c>
      <c r="U1598">
        <f>'raw data Crude oil'!U1599</f>
        <v>75.09</v>
      </c>
      <c r="V1598">
        <f>'raw data Crude oil'!V1599</f>
        <v>74.63</v>
      </c>
      <c r="W1598">
        <f>'raw data Crude oil'!W1599</f>
        <v>74.180000000000007</v>
      </c>
      <c r="X1598">
        <f>'raw data Crude oil'!X1599</f>
        <v>73.72</v>
      </c>
      <c r="Y1598">
        <f>'raw data Crude oil'!Y1599</f>
        <v>73.290000000000006</v>
      </c>
      <c r="Z1598">
        <f>'raw data Crude oil'!Z1599</f>
        <v>81.941999999999993</v>
      </c>
      <c r="AA1598">
        <f>'raw data Crude oil'!AA1599</f>
        <v>80.55</v>
      </c>
      <c r="AB1598">
        <f>'raw data Crude oil'!AB1599</f>
        <v>79.727000000000004</v>
      </c>
      <c r="AC1598">
        <f>'raw data Crude oil'!AC1599</f>
        <v>78.911000000000001</v>
      </c>
      <c r="AD1598">
        <f>'raw data Crude oil'!AD1599</f>
        <v>78.17</v>
      </c>
      <c r="AE1598">
        <f>'raw data Crude oil'!AE1599</f>
        <v>77.569000000000003</v>
      </c>
      <c r="AF1598">
        <f>'raw data Crude oil'!AF1599</f>
        <v>77.007999999999996</v>
      </c>
      <c r="AG1598">
        <f>'raw data Crude oil'!AG1599</f>
        <v>76.459999999999994</v>
      </c>
      <c r="AH1598">
        <f>'raw data Crude oil'!AH1599</f>
        <v>75.88</v>
      </c>
      <c r="AI1598">
        <f>'raw data Crude oil'!AI1599</f>
        <v>75.28</v>
      </c>
      <c r="AJ1598">
        <f>'raw data Crude oil'!AJ1599</f>
        <v>74.822000000000003</v>
      </c>
      <c r="AK1598">
        <f>'raw data Crude oil'!AK1599</f>
        <v>74.373000000000005</v>
      </c>
    </row>
    <row r="1599" spans="1:37" x14ac:dyDescent="0.3">
      <c r="A1599" s="18">
        <f>'raw data Crude oil'!A1600</f>
        <v>44994</v>
      </c>
      <c r="B1599">
        <f>'raw data Crude oil'!B1600</f>
        <v>81.59</v>
      </c>
      <c r="C1599">
        <f>'raw data Crude oil'!C1600</f>
        <v>81.09</v>
      </c>
      <c r="D1599">
        <f>'raw data Crude oil'!D1600</f>
        <v>80.709999999999994</v>
      </c>
      <c r="E1599">
        <f>'raw data Crude oil'!E1600</f>
        <v>80.31</v>
      </c>
      <c r="F1599">
        <f>'raw data Crude oil'!F1600</f>
        <v>79.91</v>
      </c>
      <c r="G1599">
        <f>'raw data Crude oil'!G1600</f>
        <v>79.489999999999995</v>
      </c>
      <c r="H1599">
        <f>'raw data Crude oil'!H1600</f>
        <v>79.08</v>
      </c>
      <c r="I1599">
        <f>'raw data Crude oil'!I1600</f>
        <v>78.67</v>
      </c>
      <c r="J1599">
        <f>'raw data Crude oil'!J1600</f>
        <v>78.25</v>
      </c>
      <c r="K1599">
        <f>'raw data Crude oil'!K1600</f>
        <v>77.83</v>
      </c>
      <c r="L1599">
        <f>'raw data Crude oil'!L1600</f>
        <v>77.45</v>
      </c>
      <c r="M1599">
        <f>'raw data Crude oil'!M1600</f>
        <v>77.099999999999994</v>
      </c>
      <c r="N1599">
        <f>'raw data Crude oil'!N1600</f>
        <v>75.72</v>
      </c>
      <c r="O1599">
        <f>'raw data Crude oil'!O1600</f>
        <v>75.84</v>
      </c>
      <c r="P1599">
        <f>'raw data Crude oil'!P1600</f>
        <v>75.88</v>
      </c>
      <c r="Q1599">
        <f>'raw data Crude oil'!Q1600</f>
        <v>75.739999999999995</v>
      </c>
      <c r="R1599">
        <f>'raw data Crude oil'!R1600</f>
        <v>75.44</v>
      </c>
      <c r="S1599">
        <f>'raw data Crude oil'!S1600</f>
        <v>75.040000000000006</v>
      </c>
      <c r="T1599">
        <f>'raw data Crude oil'!T1600</f>
        <v>74.61</v>
      </c>
      <c r="U1599">
        <f>'raw data Crude oil'!U1600</f>
        <v>74.17</v>
      </c>
      <c r="V1599">
        <f>'raw data Crude oil'!V1600</f>
        <v>73.709999999999994</v>
      </c>
      <c r="W1599">
        <f>'raw data Crude oil'!W1600</f>
        <v>73.27</v>
      </c>
      <c r="X1599">
        <f>'raw data Crude oil'!X1600</f>
        <v>72.83</v>
      </c>
      <c r="Y1599">
        <f>'raw data Crude oil'!Y1600</f>
        <v>72.430000000000007</v>
      </c>
      <c r="Z1599">
        <f>'raw data Crude oil'!Z1600</f>
        <v>81.301000000000002</v>
      </c>
      <c r="AA1599">
        <f>'raw data Crude oil'!AA1600</f>
        <v>79.56</v>
      </c>
      <c r="AB1599">
        <f>'raw data Crude oil'!AB1600</f>
        <v>78.718999999999994</v>
      </c>
      <c r="AC1599">
        <f>'raw data Crude oil'!AC1600</f>
        <v>77.879000000000005</v>
      </c>
      <c r="AD1599">
        <f>'raw data Crude oil'!AD1600</f>
        <v>77.138999999999996</v>
      </c>
      <c r="AE1599">
        <f>'raw data Crude oil'!AE1600</f>
        <v>76.542000000000002</v>
      </c>
      <c r="AF1599">
        <f>'raw data Crude oil'!AF1600</f>
        <v>75.97</v>
      </c>
      <c r="AG1599">
        <f>'raw data Crude oil'!AG1600</f>
        <v>75.450999999999993</v>
      </c>
      <c r="AH1599">
        <f>'raw data Crude oil'!AH1600</f>
        <v>74.900999999999996</v>
      </c>
      <c r="AI1599">
        <f>'raw data Crude oil'!AI1600</f>
        <v>74.352000000000004</v>
      </c>
      <c r="AJ1599">
        <f>'raw data Crude oil'!AJ1600</f>
        <v>73.933999999999997</v>
      </c>
      <c r="AK1599">
        <f>'raw data Crude oil'!AK1600</f>
        <v>73.513999999999996</v>
      </c>
    </row>
    <row r="1600" spans="1:37" x14ac:dyDescent="0.3">
      <c r="A1600" s="18">
        <f>'raw data Crude oil'!A1601</f>
        <v>44995</v>
      </c>
      <c r="B1600">
        <f>'raw data Crude oil'!B1601</f>
        <v>82.78</v>
      </c>
      <c r="C1600">
        <f>'raw data Crude oil'!C1601</f>
        <v>82.16</v>
      </c>
      <c r="D1600">
        <f>'raw data Crude oil'!D1601</f>
        <v>81.760000000000005</v>
      </c>
      <c r="E1600">
        <f>'raw data Crude oil'!E1601</f>
        <v>81.34</v>
      </c>
      <c r="F1600">
        <f>'raw data Crude oil'!F1601</f>
        <v>80.92</v>
      </c>
      <c r="G1600">
        <f>'raw data Crude oil'!G1601</f>
        <v>80.47</v>
      </c>
      <c r="H1600">
        <f>'raw data Crude oil'!H1601</f>
        <v>80.040000000000006</v>
      </c>
      <c r="I1600">
        <f>'raw data Crude oil'!I1601</f>
        <v>79.61</v>
      </c>
      <c r="J1600">
        <f>'raw data Crude oil'!J1601</f>
        <v>79.17</v>
      </c>
      <c r="K1600">
        <f>'raw data Crude oil'!K1601</f>
        <v>78.709999999999994</v>
      </c>
      <c r="L1600">
        <f>'raw data Crude oil'!L1601</f>
        <v>78.28</v>
      </c>
      <c r="M1600">
        <f>'raw data Crude oil'!M1601</f>
        <v>77.88</v>
      </c>
      <c r="N1600">
        <f>'raw data Crude oil'!N1601</f>
        <v>76.680000000000007</v>
      </c>
      <c r="O1600">
        <f>'raw data Crude oil'!O1601</f>
        <v>76.78</v>
      </c>
      <c r="P1600">
        <f>'raw data Crude oil'!P1601</f>
        <v>76.8</v>
      </c>
      <c r="Q1600">
        <f>'raw data Crude oil'!Q1601</f>
        <v>76.650000000000006</v>
      </c>
      <c r="R1600">
        <f>'raw data Crude oil'!R1601</f>
        <v>76.34</v>
      </c>
      <c r="S1600">
        <f>'raw data Crude oil'!S1601</f>
        <v>75.92</v>
      </c>
      <c r="T1600">
        <f>'raw data Crude oil'!T1601</f>
        <v>75.47</v>
      </c>
      <c r="U1600">
        <f>'raw data Crude oil'!U1601</f>
        <v>75.010000000000005</v>
      </c>
      <c r="V1600">
        <f>'raw data Crude oil'!V1601</f>
        <v>74.55</v>
      </c>
      <c r="W1600">
        <f>'raw data Crude oil'!W1601</f>
        <v>74.09</v>
      </c>
      <c r="X1600">
        <f>'raw data Crude oil'!X1601</f>
        <v>73.63</v>
      </c>
      <c r="Y1600">
        <f>'raw data Crude oil'!Y1601</f>
        <v>73.2</v>
      </c>
      <c r="Z1600">
        <f>'raw data Crude oil'!Z1601</f>
        <v>82.126000000000005</v>
      </c>
      <c r="AA1600">
        <f>'raw data Crude oil'!AA1601</f>
        <v>80.849000000000004</v>
      </c>
      <c r="AB1600">
        <f>'raw data Crude oil'!AB1601</f>
        <v>79.962000000000003</v>
      </c>
      <c r="AC1600">
        <f>'raw data Crude oil'!AC1601</f>
        <v>79.111000000000004</v>
      </c>
      <c r="AD1600">
        <f>'raw data Crude oil'!AD1601</f>
        <v>78.358999999999995</v>
      </c>
      <c r="AE1600">
        <f>'raw data Crude oil'!AE1601</f>
        <v>77.730999999999995</v>
      </c>
      <c r="AF1600">
        <f>'raw data Crude oil'!AF1601</f>
        <v>77.180000000000007</v>
      </c>
      <c r="AG1600">
        <f>'raw data Crude oil'!AG1601</f>
        <v>76.63</v>
      </c>
      <c r="AH1600">
        <f>'raw data Crude oil'!AH1601</f>
        <v>76.039000000000001</v>
      </c>
      <c r="AI1600">
        <f>'raw data Crude oil'!AI1601</f>
        <v>75.406999999999996</v>
      </c>
      <c r="AJ1600">
        <f>'raw data Crude oil'!AJ1601</f>
        <v>74.951999999999998</v>
      </c>
      <c r="AK1600">
        <f>'raw data Crude oil'!AK1601</f>
        <v>74.533000000000001</v>
      </c>
    </row>
    <row r="1601" spans="1:37" x14ac:dyDescent="0.3">
      <c r="A1601" s="18">
        <f>'raw data Crude oil'!A1602</f>
        <v>44998</v>
      </c>
      <c r="B1601">
        <f>'raw data Crude oil'!B1602</f>
        <v>80.77</v>
      </c>
      <c r="C1601">
        <f>'raw data Crude oil'!C1602</f>
        <v>80.23</v>
      </c>
      <c r="D1601">
        <f>'raw data Crude oil'!D1602</f>
        <v>79.87</v>
      </c>
      <c r="E1601">
        <f>'raw data Crude oil'!E1602</f>
        <v>79.5</v>
      </c>
      <c r="F1601">
        <f>'raw data Crude oil'!F1602</f>
        <v>79.13</v>
      </c>
      <c r="G1601">
        <f>'raw data Crude oil'!G1602</f>
        <v>78.739999999999995</v>
      </c>
      <c r="H1601">
        <f>'raw data Crude oil'!H1602</f>
        <v>78.36</v>
      </c>
      <c r="I1601">
        <f>'raw data Crude oil'!I1602</f>
        <v>77.98</v>
      </c>
      <c r="J1601">
        <f>'raw data Crude oil'!J1602</f>
        <v>77.59</v>
      </c>
      <c r="K1601">
        <f>'raw data Crude oil'!K1602</f>
        <v>77.19</v>
      </c>
      <c r="L1601">
        <f>'raw data Crude oil'!L1602</f>
        <v>76.81</v>
      </c>
      <c r="M1601">
        <f>'raw data Crude oil'!M1602</f>
        <v>76.459999999999994</v>
      </c>
      <c r="N1601">
        <f>'raw data Crude oil'!N1602</f>
        <v>74.8</v>
      </c>
      <c r="O1601">
        <f>'raw data Crude oil'!O1602</f>
        <v>74.91</v>
      </c>
      <c r="P1601">
        <f>'raw data Crude oil'!P1602</f>
        <v>74.95</v>
      </c>
      <c r="Q1601">
        <f>'raw data Crude oil'!Q1602</f>
        <v>74.819999999999993</v>
      </c>
      <c r="R1601">
        <f>'raw data Crude oil'!R1602</f>
        <v>74.540000000000006</v>
      </c>
      <c r="S1601">
        <f>'raw data Crude oil'!S1602</f>
        <v>74.16</v>
      </c>
      <c r="T1601">
        <f>'raw data Crude oil'!T1602</f>
        <v>73.75</v>
      </c>
      <c r="U1601">
        <f>'raw data Crude oil'!U1602</f>
        <v>73.34</v>
      </c>
      <c r="V1601">
        <f>'raw data Crude oil'!V1602</f>
        <v>72.92</v>
      </c>
      <c r="W1601">
        <f>'raw data Crude oil'!W1602</f>
        <v>72.5</v>
      </c>
      <c r="X1601">
        <f>'raw data Crude oil'!X1602</f>
        <v>72.09</v>
      </c>
      <c r="Y1601">
        <f>'raw data Crude oil'!Y1602</f>
        <v>71.709999999999994</v>
      </c>
      <c r="Z1601">
        <f>'raw data Crude oil'!Z1602</f>
        <v>81.100999999999999</v>
      </c>
      <c r="AA1601">
        <f>'raw data Crude oil'!AA1602</f>
        <v>79.132000000000005</v>
      </c>
      <c r="AB1601">
        <f>'raw data Crude oil'!AB1602</f>
        <v>78.244</v>
      </c>
      <c r="AC1601">
        <f>'raw data Crude oil'!AC1602</f>
        <v>77.403000000000006</v>
      </c>
      <c r="AD1601">
        <f>'raw data Crude oil'!AD1602</f>
        <v>76.661000000000001</v>
      </c>
      <c r="AE1601">
        <f>'raw data Crude oil'!AE1602</f>
        <v>76.067999999999998</v>
      </c>
      <c r="AF1601">
        <f>'raw data Crude oil'!AF1602</f>
        <v>75.566999999999993</v>
      </c>
      <c r="AG1601">
        <f>'raw data Crude oil'!AG1602</f>
        <v>75.061999999999998</v>
      </c>
      <c r="AH1601">
        <f>'raw data Crude oil'!AH1602</f>
        <v>74.552000000000007</v>
      </c>
      <c r="AI1601">
        <f>'raw data Crude oil'!AI1602</f>
        <v>73.962000000000003</v>
      </c>
      <c r="AJ1601">
        <f>'raw data Crude oil'!AJ1602</f>
        <v>73.548000000000002</v>
      </c>
      <c r="AK1601">
        <f>'raw data Crude oil'!AK1602</f>
        <v>73.185000000000002</v>
      </c>
    </row>
    <row r="1602" spans="1:37" x14ac:dyDescent="0.3">
      <c r="A1602" s="18">
        <f>'raw data Crude oil'!A1603</f>
        <v>44999</v>
      </c>
      <c r="B1602">
        <f>'raw data Crude oil'!B1603</f>
        <v>77.45</v>
      </c>
      <c r="C1602">
        <f>'raw data Crude oil'!C1603</f>
        <v>77</v>
      </c>
      <c r="D1602">
        <f>'raw data Crude oil'!D1603</f>
        <v>76.72</v>
      </c>
      <c r="E1602">
        <f>'raw data Crude oil'!E1603</f>
        <v>76.400000000000006</v>
      </c>
      <c r="F1602">
        <f>'raw data Crude oil'!F1603</f>
        <v>76.09</v>
      </c>
      <c r="G1602">
        <f>'raw data Crude oil'!G1603</f>
        <v>75.75</v>
      </c>
      <c r="H1602">
        <f>'raw data Crude oil'!H1603</f>
        <v>75.430000000000007</v>
      </c>
      <c r="I1602">
        <f>'raw data Crude oil'!I1603</f>
        <v>75.12</v>
      </c>
      <c r="J1602">
        <f>'raw data Crude oil'!J1603</f>
        <v>74.790000000000006</v>
      </c>
      <c r="K1602">
        <f>'raw data Crude oil'!K1603</f>
        <v>74.44</v>
      </c>
      <c r="L1602">
        <f>'raw data Crude oil'!L1603</f>
        <v>74.13</v>
      </c>
      <c r="M1602">
        <f>'raw data Crude oil'!M1603</f>
        <v>73.84</v>
      </c>
      <c r="N1602">
        <f>'raw data Crude oil'!N1603</f>
        <v>71.33</v>
      </c>
      <c r="O1602">
        <f>'raw data Crude oil'!O1603</f>
        <v>71.489999999999995</v>
      </c>
      <c r="P1602">
        <f>'raw data Crude oil'!P1603</f>
        <v>71.569999999999993</v>
      </c>
      <c r="Q1602">
        <f>'raw data Crude oil'!Q1603</f>
        <v>71.489999999999995</v>
      </c>
      <c r="R1602">
        <f>'raw data Crude oil'!R1603</f>
        <v>71.290000000000006</v>
      </c>
      <c r="S1602">
        <f>'raw data Crude oil'!S1603</f>
        <v>71</v>
      </c>
      <c r="T1602">
        <f>'raw data Crude oil'!T1603</f>
        <v>70.67</v>
      </c>
      <c r="U1602">
        <f>'raw data Crude oil'!U1603</f>
        <v>70.34</v>
      </c>
      <c r="V1602">
        <f>'raw data Crude oil'!V1603</f>
        <v>70</v>
      </c>
      <c r="W1602">
        <f>'raw data Crude oil'!W1603</f>
        <v>69.66</v>
      </c>
      <c r="X1602">
        <f>'raw data Crude oil'!X1603</f>
        <v>69.349999999999994</v>
      </c>
      <c r="Y1602">
        <f>'raw data Crude oil'!Y1603</f>
        <v>69.069999999999993</v>
      </c>
      <c r="Z1602">
        <f>'raw data Crude oil'!Z1603</f>
        <v>79.113</v>
      </c>
      <c r="AA1602">
        <f>'raw data Crude oil'!AA1603</f>
        <v>75.745000000000005</v>
      </c>
      <c r="AB1602">
        <f>'raw data Crude oil'!AB1603</f>
        <v>74.879000000000005</v>
      </c>
      <c r="AC1602">
        <f>'raw data Crude oil'!AC1603</f>
        <v>74.081000000000003</v>
      </c>
      <c r="AD1602">
        <f>'raw data Crude oil'!AD1603</f>
        <v>73.388999999999996</v>
      </c>
      <c r="AE1602">
        <f>'raw data Crude oil'!AE1603</f>
        <v>72.866</v>
      </c>
      <c r="AF1602">
        <f>'raw data Crude oil'!AF1603</f>
        <v>72.385000000000005</v>
      </c>
      <c r="AG1602">
        <f>'raw data Crude oil'!AG1603</f>
        <v>71.954999999999998</v>
      </c>
      <c r="AH1602">
        <f>'raw data Crude oil'!AH1603</f>
        <v>71.494</v>
      </c>
      <c r="AI1602">
        <f>'raw data Crude oil'!AI1603</f>
        <v>70.989000000000004</v>
      </c>
      <c r="AJ1602">
        <f>'raw data Crude oil'!AJ1603</f>
        <v>70.626999999999995</v>
      </c>
      <c r="AK1602">
        <f>'raw data Crude oil'!AK1603</f>
        <v>70.308999999999997</v>
      </c>
    </row>
    <row r="1603" spans="1:37" x14ac:dyDescent="0.3">
      <c r="A1603" s="18">
        <f>'raw data Crude oil'!A1604</f>
        <v>45000</v>
      </c>
      <c r="B1603">
        <f>'raw data Crude oil'!B1604</f>
        <v>73.69</v>
      </c>
      <c r="C1603">
        <f>'raw data Crude oil'!C1604</f>
        <v>73.28</v>
      </c>
      <c r="D1603">
        <f>'raw data Crude oil'!D1604</f>
        <v>73.05</v>
      </c>
      <c r="E1603">
        <f>'raw data Crude oil'!E1604</f>
        <v>72.81</v>
      </c>
      <c r="F1603">
        <f>'raw data Crude oil'!F1604</f>
        <v>72.569999999999993</v>
      </c>
      <c r="G1603">
        <f>'raw data Crude oil'!G1604</f>
        <v>72.31</v>
      </c>
      <c r="H1603">
        <f>'raw data Crude oil'!H1604</f>
        <v>72.06</v>
      </c>
      <c r="I1603">
        <f>'raw data Crude oil'!I1604</f>
        <v>71.81</v>
      </c>
      <c r="J1603">
        <f>'raw data Crude oil'!J1604</f>
        <v>71.569999999999993</v>
      </c>
      <c r="K1603">
        <f>'raw data Crude oil'!K1604</f>
        <v>71.319999999999993</v>
      </c>
      <c r="L1603">
        <f>'raw data Crude oil'!L1604</f>
        <v>71.11</v>
      </c>
      <c r="M1603">
        <f>'raw data Crude oil'!M1604</f>
        <v>70.91</v>
      </c>
      <c r="N1603">
        <f>'raw data Crude oil'!N1604</f>
        <v>67.61</v>
      </c>
      <c r="O1603">
        <f>'raw data Crude oil'!O1604</f>
        <v>67.739999999999995</v>
      </c>
      <c r="P1603">
        <f>'raw data Crude oil'!P1604</f>
        <v>67.819999999999993</v>
      </c>
      <c r="Q1603">
        <f>'raw data Crude oil'!Q1604</f>
        <v>67.760000000000005</v>
      </c>
      <c r="R1603">
        <f>'raw data Crude oil'!R1604</f>
        <v>67.599999999999994</v>
      </c>
      <c r="S1603">
        <f>'raw data Crude oil'!S1604</f>
        <v>67.37</v>
      </c>
      <c r="T1603">
        <f>'raw data Crude oil'!T1604</f>
        <v>67.12</v>
      </c>
      <c r="U1603">
        <f>'raw data Crude oil'!U1604</f>
        <v>66.87</v>
      </c>
      <c r="V1603">
        <f>'raw data Crude oil'!V1604</f>
        <v>66.62</v>
      </c>
      <c r="W1603">
        <f>'raw data Crude oil'!W1604</f>
        <v>66.37</v>
      </c>
      <c r="X1603">
        <f>'raw data Crude oil'!X1604</f>
        <v>66.14</v>
      </c>
      <c r="Y1603">
        <f>'raw data Crude oil'!Y1604</f>
        <v>65.94</v>
      </c>
      <c r="Z1603">
        <f>'raw data Crude oil'!Z1604</f>
        <v>77.378</v>
      </c>
      <c r="AA1603">
        <f>'raw data Crude oil'!AA1604</f>
        <v>72.323999999999998</v>
      </c>
      <c r="AB1603">
        <f>'raw data Crude oil'!AB1604</f>
        <v>71.472999999999999</v>
      </c>
      <c r="AC1603">
        <f>'raw data Crude oil'!AC1604</f>
        <v>70.701999999999998</v>
      </c>
      <c r="AD1603">
        <f>'raw data Crude oil'!AD1604</f>
        <v>70.061000000000007</v>
      </c>
      <c r="AE1603">
        <f>'raw data Crude oil'!AE1604</f>
        <v>69.602000000000004</v>
      </c>
      <c r="AF1603">
        <f>'raw data Crude oil'!AF1604</f>
        <v>69.227999999999994</v>
      </c>
      <c r="AG1603">
        <f>'raw data Crude oil'!AG1604</f>
        <v>68.899000000000001</v>
      </c>
      <c r="AH1603">
        <f>'raw data Crude oil'!AH1604</f>
        <v>68.509</v>
      </c>
      <c r="AI1603">
        <f>'raw data Crude oil'!AI1604</f>
        <v>68.088999999999999</v>
      </c>
      <c r="AJ1603">
        <f>'raw data Crude oil'!AJ1604</f>
        <v>67.760999999999996</v>
      </c>
      <c r="AK1603">
        <f>'raw data Crude oil'!AK1604</f>
        <v>67.462000000000003</v>
      </c>
    </row>
    <row r="1604" spans="1:37" x14ac:dyDescent="0.3">
      <c r="A1604" s="18">
        <f>'raw data Crude oil'!A1605</f>
        <v>45001</v>
      </c>
      <c r="B1604">
        <f>'raw data Crude oil'!B1605</f>
        <v>74.7</v>
      </c>
      <c r="C1604">
        <f>'raw data Crude oil'!C1605</f>
        <v>74.290000000000006</v>
      </c>
      <c r="D1604">
        <f>'raw data Crude oil'!D1605</f>
        <v>74.069999999999993</v>
      </c>
      <c r="E1604">
        <f>'raw data Crude oil'!E1605</f>
        <v>73.819999999999993</v>
      </c>
      <c r="F1604">
        <f>'raw data Crude oil'!F1605</f>
        <v>73.56</v>
      </c>
      <c r="G1604">
        <f>'raw data Crude oil'!G1605</f>
        <v>73.290000000000006</v>
      </c>
      <c r="H1604">
        <f>'raw data Crude oil'!H1605</f>
        <v>73.03</v>
      </c>
      <c r="I1604">
        <f>'raw data Crude oil'!I1605</f>
        <v>72.77</v>
      </c>
      <c r="J1604">
        <f>'raw data Crude oil'!J1605</f>
        <v>72.5</v>
      </c>
      <c r="K1604">
        <f>'raw data Crude oil'!K1605</f>
        <v>72.23</v>
      </c>
      <c r="L1604">
        <f>'raw data Crude oil'!L1605</f>
        <v>72.010000000000005</v>
      </c>
      <c r="M1604">
        <f>'raw data Crude oil'!M1605</f>
        <v>71.8</v>
      </c>
      <c r="N1604">
        <f>'raw data Crude oil'!N1605</f>
        <v>68.349999999999994</v>
      </c>
      <c r="O1604">
        <f>'raw data Crude oil'!O1605</f>
        <v>68.52</v>
      </c>
      <c r="P1604">
        <f>'raw data Crude oil'!P1605</f>
        <v>68.63</v>
      </c>
      <c r="Q1604">
        <f>'raw data Crude oil'!Q1605</f>
        <v>68.59</v>
      </c>
      <c r="R1604">
        <f>'raw data Crude oil'!R1605</f>
        <v>68.430000000000007</v>
      </c>
      <c r="S1604">
        <f>'raw data Crude oil'!S1605</f>
        <v>68.209999999999994</v>
      </c>
      <c r="T1604">
        <f>'raw data Crude oil'!T1605</f>
        <v>67.959999999999994</v>
      </c>
      <c r="U1604">
        <f>'raw data Crude oil'!U1605</f>
        <v>67.709999999999994</v>
      </c>
      <c r="V1604">
        <f>'raw data Crude oil'!V1605</f>
        <v>67.47</v>
      </c>
      <c r="W1604">
        <f>'raw data Crude oil'!W1605</f>
        <v>67.209999999999994</v>
      </c>
      <c r="X1604">
        <f>'raw data Crude oil'!X1605</f>
        <v>66.98</v>
      </c>
      <c r="Y1604">
        <f>'raw data Crude oil'!Y1605</f>
        <v>66.760000000000005</v>
      </c>
      <c r="Z1604">
        <f>'raw data Crude oil'!Z1605</f>
        <v>77.816999999999993</v>
      </c>
      <c r="AA1604">
        <f>'raw data Crude oil'!AA1605</f>
        <v>73.278999999999996</v>
      </c>
      <c r="AB1604">
        <f>'raw data Crude oil'!AB1605</f>
        <v>72.447999999999993</v>
      </c>
      <c r="AC1604">
        <f>'raw data Crude oil'!AC1605</f>
        <v>71.706999999999994</v>
      </c>
      <c r="AD1604">
        <f>'raw data Crude oil'!AD1605</f>
        <v>71.057000000000002</v>
      </c>
      <c r="AE1604">
        <f>'raw data Crude oil'!AE1605</f>
        <v>70.605999999999995</v>
      </c>
      <c r="AF1604">
        <f>'raw data Crude oil'!AF1605</f>
        <v>70.185000000000002</v>
      </c>
      <c r="AG1604">
        <f>'raw data Crude oil'!AG1605</f>
        <v>69.802999999999997</v>
      </c>
      <c r="AH1604">
        <f>'raw data Crude oil'!AH1605</f>
        <v>69.397999999999996</v>
      </c>
      <c r="AI1604">
        <f>'raw data Crude oil'!AI1605</f>
        <v>68.968000000000004</v>
      </c>
      <c r="AJ1604">
        <f>'raw data Crude oil'!AJ1605</f>
        <v>68.656999999999996</v>
      </c>
      <c r="AK1604">
        <f>'raw data Crude oil'!AK1605</f>
        <v>68.400999999999996</v>
      </c>
    </row>
    <row r="1605" spans="1:37" x14ac:dyDescent="0.3">
      <c r="A1605" s="18">
        <f>'raw data Crude oil'!A1606</f>
        <v>45002</v>
      </c>
      <c r="B1605">
        <f>'raw data Crude oil'!B1606</f>
        <v>72.97</v>
      </c>
      <c r="C1605">
        <f>'raw data Crude oil'!C1606</f>
        <v>72.77</v>
      </c>
      <c r="D1605">
        <f>'raw data Crude oil'!D1606</f>
        <v>72.680000000000007</v>
      </c>
      <c r="E1605">
        <f>'raw data Crude oil'!E1606</f>
        <v>72.5</v>
      </c>
      <c r="F1605">
        <f>'raw data Crude oil'!F1606</f>
        <v>72.27</v>
      </c>
      <c r="G1605">
        <f>'raw data Crude oil'!G1606</f>
        <v>72.03</v>
      </c>
      <c r="H1605">
        <f>'raw data Crude oil'!H1606</f>
        <v>71.81</v>
      </c>
      <c r="I1605">
        <f>'raw data Crude oil'!I1606</f>
        <v>71.599999999999994</v>
      </c>
      <c r="J1605">
        <f>'raw data Crude oil'!J1606</f>
        <v>71.37</v>
      </c>
      <c r="K1605">
        <f>'raw data Crude oil'!K1606</f>
        <v>71.14</v>
      </c>
      <c r="L1605">
        <f>'raw data Crude oil'!L1606</f>
        <v>70.97</v>
      </c>
      <c r="M1605">
        <f>'raw data Crude oil'!M1606</f>
        <v>70.8</v>
      </c>
      <c r="N1605">
        <f>'raw data Crude oil'!N1606</f>
        <v>66.739999999999995</v>
      </c>
      <c r="O1605">
        <f>'raw data Crude oil'!O1606</f>
        <v>66.930000000000007</v>
      </c>
      <c r="P1605">
        <f>'raw data Crude oil'!P1606</f>
        <v>67.12</v>
      </c>
      <c r="Q1605">
        <f>'raw data Crude oil'!Q1606</f>
        <v>67.16</v>
      </c>
      <c r="R1605">
        <f>'raw data Crude oil'!R1606</f>
        <v>67.08</v>
      </c>
      <c r="S1605">
        <f>'raw data Crude oil'!S1606</f>
        <v>66.92</v>
      </c>
      <c r="T1605">
        <f>'raw data Crude oil'!T1606</f>
        <v>66.72</v>
      </c>
      <c r="U1605">
        <f>'raw data Crude oil'!U1606</f>
        <v>66.510000000000005</v>
      </c>
      <c r="V1605">
        <f>'raw data Crude oil'!V1606</f>
        <v>66.3</v>
      </c>
      <c r="W1605">
        <f>'raw data Crude oil'!W1606</f>
        <v>66.09</v>
      </c>
      <c r="X1605">
        <f>'raw data Crude oil'!X1606</f>
        <v>65.89</v>
      </c>
      <c r="Y1605">
        <f>'raw data Crude oil'!Y1606</f>
        <v>65.709999999999994</v>
      </c>
      <c r="Z1605">
        <f>'raw data Crude oil'!Z1606</f>
        <v>77.238</v>
      </c>
      <c r="AA1605">
        <f>'raw data Crude oil'!AA1606</f>
        <v>71.974999999999994</v>
      </c>
      <c r="AB1605">
        <f>'raw data Crude oil'!AB1606</f>
        <v>71.225999999999999</v>
      </c>
      <c r="AC1605">
        <f>'raw data Crude oil'!AC1606</f>
        <v>70.58</v>
      </c>
      <c r="AD1605">
        <f>'raw data Crude oil'!AD1606</f>
        <v>69.965999999999994</v>
      </c>
      <c r="AE1605">
        <f>'raw data Crude oil'!AE1606</f>
        <v>69.510000000000005</v>
      </c>
      <c r="AF1605">
        <f>'raw data Crude oil'!AF1606</f>
        <v>69.099999999999994</v>
      </c>
      <c r="AG1605">
        <f>'raw data Crude oil'!AG1606</f>
        <v>68.75</v>
      </c>
      <c r="AH1605">
        <f>'raw data Crude oil'!AH1606</f>
        <v>68.37</v>
      </c>
      <c r="AI1605">
        <f>'raw data Crude oil'!AI1606</f>
        <v>67.962999999999994</v>
      </c>
      <c r="AJ1605">
        <f>'raw data Crude oil'!AJ1606</f>
        <v>67.641999999999996</v>
      </c>
      <c r="AK1605">
        <f>'raw data Crude oil'!AK1606</f>
        <v>67.394000000000005</v>
      </c>
    </row>
    <row r="1606" spans="1:37" x14ac:dyDescent="0.3">
      <c r="A1606" s="18">
        <f>'raw data Crude oil'!A1607</f>
        <v>45005</v>
      </c>
      <c r="B1606">
        <f>'raw data Crude oil'!B1607</f>
        <v>73.790000000000006</v>
      </c>
      <c r="C1606">
        <f>'raw data Crude oil'!C1607</f>
        <v>73.540000000000006</v>
      </c>
      <c r="D1606">
        <f>'raw data Crude oil'!D1607</f>
        <v>73.48</v>
      </c>
      <c r="E1606">
        <f>'raw data Crude oil'!E1607</f>
        <v>73.33</v>
      </c>
      <c r="F1606">
        <f>'raw data Crude oil'!F1607</f>
        <v>73.11</v>
      </c>
      <c r="G1606">
        <f>'raw data Crude oil'!G1607</f>
        <v>72.88</v>
      </c>
      <c r="H1606">
        <f>'raw data Crude oil'!H1607</f>
        <v>72.66</v>
      </c>
      <c r="I1606">
        <f>'raw data Crude oil'!I1607</f>
        <v>72.430000000000007</v>
      </c>
      <c r="J1606">
        <f>'raw data Crude oil'!J1607</f>
        <v>72.19</v>
      </c>
      <c r="K1606">
        <f>'raw data Crude oil'!K1607</f>
        <v>71.959999999999994</v>
      </c>
      <c r="L1606">
        <f>'raw data Crude oil'!L1607</f>
        <v>71.77</v>
      </c>
      <c r="M1606">
        <f>'raw data Crude oil'!M1607</f>
        <v>71.58</v>
      </c>
      <c r="N1606">
        <f>'raw data Crude oil'!N1607</f>
        <v>67.64</v>
      </c>
      <c r="O1606">
        <f>'raw data Crude oil'!O1607</f>
        <v>67.819999999999993</v>
      </c>
      <c r="P1606">
        <f>'raw data Crude oil'!P1607</f>
        <v>67.989999999999995</v>
      </c>
      <c r="Q1606">
        <f>'raw data Crude oil'!Q1607</f>
        <v>68.010000000000005</v>
      </c>
      <c r="R1606">
        <f>'raw data Crude oil'!R1607</f>
        <v>67.900000000000006</v>
      </c>
      <c r="S1606">
        <f>'raw data Crude oil'!S1607</f>
        <v>67.709999999999994</v>
      </c>
      <c r="T1606">
        <f>'raw data Crude oil'!T1607</f>
        <v>67.489999999999995</v>
      </c>
      <c r="U1606">
        <f>'raw data Crude oil'!U1607</f>
        <v>67.260000000000005</v>
      </c>
      <c r="V1606">
        <f>'raw data Crude oil'!V1607</f>
        <v>67.040000000000006</v>
      </c>
      <c r="W1606">
        <f>'raw data Crude oil'!W1607</f>
        <v>66.81</v>
      </c>
      <c r="X1606">
        <f>'raw data Crude oil'!X1607</f>
        <v>66.59</v>
      </c>
      <c r="Y1606">
        <f>'raw data Crude oil'!Y1607</f>
        <v>66.400000000000006</v>
      </c>
      <c r="Z1606">
        <f>'raw data Crude oil'!Z1607</f>
        <v>77.347999999999999</v>
      </c>
      <c r="AA1606">
        <f>'raw data Crude oil'!AA1607</f>
        <v>72.777000000000001</v>
      </c>
      <c r="AB1606">
        <f>'raw data Crude oil'!AB1607</f>
        <v>72.143000000000001</v>
      </c>
      <c r="AC1606">
        <f>'raw data Crude oil'!AC1607</f>
        <v>71.555000000000007</v>
      </c>
      <c r="AD1606">
        <f>'raw data Crude oil'!AD1607</f>
        <v>70.986000000000004</v>
      </c>
      <c r="AE1606">
        <f>'raw data Crude oil'!AE1607</f>
        <v>70.540000000000006</v>
      </c>
      <c r="AF1606">
        <f>'raw data Crude oil'!AF1607</f>
        <v>70.108999999999995</v>
      </c>
      <c r="AG1606">
        <f>'raw data Crude oil'!AG1607</f>
        <v>69.748999999999995</v>
      </c>
      <c r="AH1606">
        <f>'raw data Crude oil'!AH1607</f>
        <v>69.34</v>
      </c>
      <c r="AI1606">
        <f>'raw data Crude oil'!AI1607</f>
        <v>68.911000000000001</v>
      </c>
      <c r="AJ1606">
        <f>'raw data Crude oil'!AJ1607</f>
        <v>68.570999999999998</v>
      </c>
      <c r="AK1606">
        <f>'raw data Crude oil'!AK1607</f>
        <v>68.283000000000001</v>
      </c>
    </row>
    <row r="1607" spans="1:37" x14ac:dyDescent="0.3">
      <c r="A1607" s="18">
        <f>'raw data Crude oil'!A1608</f>
        <v>45006</v>
      </c>
      <c r="B1607">
        <f>'raw data Crude oil'!B1608</f>
        <v>75.319999999999993</v>
      </c>
      <c r="C1607">
        <f>'raw data Crude oil'!C1608</f>
        <v>75.03</v>
      </c>
      <c r="D1607">
        <f>'raw data Crude oil'!D1608</f>
        <v>74.91</v>
      </c>
      <c r="E1607">
        <f>'raw data Crude oil'!E1608</f>
        <v>74.709999999999994</v>
      </c>
      <c r="F1607">
        <f>'raw data Crude oil'!F1608</f>
        <v>74.430000000000007</v>
      </c>
      <c r="G1607">
        <f>'raw data Crude oil'!G1608</f>
        <v>74.11</v>
      </c>
      <c r="H1607">
        <f>'raw data Crude oil'!H1608</f>
        <v>73.81</v>
      </c>
      <c r="I1607">
        <f>'raw data Crude oil'!I1608</f>
        <v>73.510000000000005</v>
      </c>
      <c r="J1607">
        <f>'raw data Crude oil'!J1608</f>
        <v>73.2</v>
      </c>
      <c r="K1607">
        <f>'raw data Crude oil'!K1608</f>
        <v>72.92</v>
      </c>
      <c r="L1607">
        <f>'raw data Crude oil'!L1608</f>
        <v>72.69</v>
      </c>
      <c r="M1607">
        <f>'raw data Crude oil'!M1608</f>
        <v>72.459999999999994</v>
      </c>
      <c r="N1607">
        <f>'raw data Crude oil'!N1608</f>
        <v>69.33</v>
      </c>
      <c r="O1607">
        <f>'raw data Crude oil'!O1608</f>
        <v>69.67</v>
      </c>
      <c r="P1607">
        <f>'raw data Crude oil'!P1608</f>
        <v>69.77</v>
      </c>
      <c r="Q1607">
        <f>'raw data Crude oil'!Q1608</f>
        <v>69.72</v>
      </c>
      <c r="R1607">
        <f>'raw data Crude oil'!R1608</f>
        <v>69.53</v>
      </c>
      <c r="S1607">
        <f>'raw data Crude oil'!S1608</f>
        <v>69.260000000000005</v>
      </c>
      <c r="T1607">
        <f>'raw data Crude oil'!T1608</f>
        <v>68.959999999999994</v>
      </c>
      <c r="U1607">
        <f>'raw data Crude oil'!U1608</f>
        <v>68.66</v>
      </c>
      <c r="V1607">
        <f>'raw data Crude oil'!V1608</f>
        <v>68.34</v>
      </c>
      <c r="W1607">
        <f>'raw data Crude oil'!W1608</f>
        <v>68.040000000000006</v>
      </c>
      <c r="X1607">
        <f>'raw data Crude oil'!X1608</f>
        <v>67.75</v>
      </c>
      <c r="Y1607">
        <f>'raw data Crude oil'!Y1608</f>
        <v>67.5</v>
      </c>
      <c r="Z1607">
        <f>'raw data Crude oil'!Z1608</f>
        <v>77.933999999999997</v>
      </c>
      <c r="AA1607">
        <f>'raw data Crude oil'!AA1608</f>
        <v>74.409000000000006</v>
      </c>
      <c r="AB1607">
        <f>'raw data Crude oil'!AB1608</f>
        <v>73.665999999999997</v>
      </c>
      <c r="AC1607">
        <f>'raw data Crude oil'!AC1608</f>
        <v>73.016999999999996</v>
      </c>
      <c r="AD1607">
        <f>'raw data Crude oil'!AD1608</f>
        <v>72.405000000000001</v>
      </c>
      <c r="AE1607">
        <f>'raw data Crude oil'!AE1608</f>
        <v>71.876999999999995</v>
      </c>
      <c r="AF1607">
        <f>'raw data Crude oil'!AF1608</f>
        <v>71.388000000000005</v>
      </c>
      <c r="AG1607">
        <f>'raw data Crude oil'!AG1608</f>
        <v>70.897999999999996</v>
      </c>
      <c r="AH1607">
        <f>'raw data Crude oil'!AH1608</f>
        <v>70.417000000000002</v>
      </c>
      <c r="AI1607">
        <f>'raw data Crude oil'!AI1608</f>
        <v>69.956999999999994</v>
      </c>
      <c r="AJ1607">
        <f>'raw data Crude oil'!AJ1608</f>
        <v>69.58</v>
      </c>
      <c r="AK1607">
        <f>'raw data Crude oil'!AK1608</f>
        <v>69.271000000000001</v>
      </c>
    </row>
    <row r="1608" spans="1:37" x14ac:dyDescent="0.3">
      <c r="A1608" s="18">
        <f>'raw data Crude oil'!A1609</f>
        <v>45007</v>
      </c>
      <c r="B1608">
        <f>'raw data Crude oil'!B1609</f>
        <v>76.69</v>
      </c>
      <c r="C1608">
        <f>'raw data Crude oil'!C1609</f>
        <v>76.38</v>
      </c>
      <c r="D1608">
        <f>'raw data Crude oil'!D1609</f>
        <v>76.25</v>
      </c>
      <c r="E1608">
        <f>'raw data Crude oil'!E1609</f>
        <v>76.02</v>
      </c>
      <c r="F1608">
        <f>'raw data Crude oil'!F1609</f>
        <v>75.709999999999994</v>
      </c>
      <c r="G1608">
        <f>'raw data Crude oil'!G1609</f>
        <v>75.36</v>
      </c>
      <c r="H1608">
        <f>'raw data Crude oil'!H1609</f>
        <v>75.03</v>
      </c>
      <c r="I1608">
        <f>'raw data Crude oil'!I1609</f>
        <v>74.69</v>
      </c>
      <c r="J1608">
        <f>'raw data Crude oil'!J1609</f>
        <v>74.349999999999994</v>
      </c>
      <c r="K1608">
        <f>'raw data Crude oil'!K1609</f>
        <v>74.03</v>
      </c>
      <c r="L1608">
        <f>'raw data Crude oil'!L1609</f>
        <v>73.75</v>
      </c>
      <c r="M1608">
        <f>'raw data Crude oil'!M1609</f>
        <v>73.48</v>
      </c>
      <c r="N1608">
        <f>'raw data Crude oil'!N1609</f>
        <v>70.900000000000006</v>
      </c>
      <c r="O1608">
        <f>'raw data Crude oil'!O1609</f>
        <v>71.02</v>
      </c>
      <c r="P1608">
        <f>'raw data Crude oil'!P1609</f>
        <v>70.97</v>
      </c>
      <c r="Q1608">
        <f>'raw data Crude oil'!Q1609</f>
        <v>70.739999999999995</v>
      </c>
      <c r="R1608">
        <f>'raw data Crude oil'!R1609</f>
        <v>70.42</v>
      </c>
      <c r="S1608">
        <f>'raw data Crude oil'!S1609</f>
        <v>70.069999999999993</v>
      </c>
      <c r="T1608">
        <f>'raw data Crude oil'!T1609</f>
        <v>69.709999999999994</v>
      </c>
      <c r="U1608">
        <f>'raw data Crude oil'!U1609</f>
        <v>69.36</v>
      </c>
      <c r="V1608">
        <f>'raw data Crude oil'!V1609</f>
        <v>69.010000000000005</v>
      </c>
      <c r="W1608">
        <f>'raw data Crude oil'!W1609</f>
        <v>68.67</v>
      </c>
      <c r="X1608">
        <f>'raw data Crude oil'!X1609</f>
        <v>68.37</v>
      </c>
      <c r="Y1608">
        <f>'raw data Crude oil'!Y1609</f>
        <v>68.099999999999994</v>
      </c>
      <c r="Z1608">
        <f>'raw data Crude oil'!Z1609</f>
        <v>78.325000000000003</v>
      </c>
      <c r="AA1608">
        <f>'raw data Crude oil'!AA1609</f>
        <v>75.893000000000001</v>
      </c>
      <c r="AB1608">
        <f>'raw data Crude oil'!AB1609</f>
        <v>75.13</v>
      </c>
      <c r="AC1608">
        <f>'raw data Crude oil'!AC1609</f>
        <v>74.421000000000006</v>
      </c>
      <c r="AD1608">
        <f>'raw data Crude oil'!AD1609</f>
        <v>73.742999999999995</v>
      </c>
      <c r="AE1608">
        <f>'raw data Crude oil'!AE1609</f>
        <v>73.194000000000003</v>
      </c>
      <c r="AF1608">
        <f>'raw data Crude oil'!AF1609</f>
        <v>72.664000000000001</v>
      </c>
      <c r="AG1608">
        <f>'raw data Crude oil'!AG1609</f>
        <v>72.194999999999993</v>
      </c>
      <c r="AH1608">
        <f>'raw data Crude oil'!AH1609</f>
        <v>71.724999999999994</v>
      </c>
      <c r="AI1608">
        <f>'raw data Crude oil'!AI1609</f>
        <v>71.221999999999994</v>
      </c>
      <c r="AJ1608">
        <f>'raw data Crude oil'!AJ1609</f>
        <v>70.787999999999997</v>
      </c>
      <c r="AK1608">
        <f>'raw data Crude oil'!AK1609</f>
        <v>70.409000000000006</v>
      </c>
    </row>
    <row r="1609" spans="1:37" x14ac:dyDescent="0.3">
      <c r="A1609" s="18">
        <f>'raw data Crude oil'!A1610</f>
        <v>45008</v>
      </c>
      <c r="B1609">
        <f>'raw data Crude oil'!B1610</f>
        <v>75.91</v>
      </c>
      <c r="C1609">
        <f>'raw data Crude oil'!C1610</f>
        <v>75.5</v>
      </c>
      <c r="D1609">
        <f>'raw data Crude oil'!D1610</f>
        <v>75.400000000000006</v>
      </c>
      <c r="E1609">
        <f>'raw data Crude oil'!E1610</f>
        <v>75.2</v>
      </c>
      <c r="F1609">
        <f>'raw data Crude oil'!F1610</f>
        <v>74.92</v>
      </c>
      <c r="G1609">
        <f>'raw data Crude oil'!G1610</f>
        <v>74.61</v>
      </c>
      <c r="H1609">
        <f>'raw data Crude oil'!H1610</f>
        <v>74.319999999999993</v>
      </c>
      <c r="I1609">
        <f>'raw data Crude oil'!I1610</f>
        <v>74.02</v>
      </c>
      <c r="J1609">
        <f>'raw data Crude oil'!J1610</f>
        <v>73.72</v>
      </c>
      <c r="K1609">
        <f>'raw data Crude oil'!K1610</f>
        <v>73.430000000000007</v>
      </c>
      <c r="L1609">
        <f>'raw data Crude oil'!L1610</f>
        <v>73.19</v>
      </c>
      <c r="M1609">
        <f>'raw data Crude oil'!M1610</f>
        <v>72.95</v>
      </c>
      <c r="N1609">
        <f>'raw data Crude oil'!N1610</f>
        <v>69.959999999999994</v>
      </c>
      <c r="O1609">
        <f>'raw data Crude oil'!O1610</f>
        <v>70.12</v>
      </c>
      <c r="P1609">
        <f>'raw data Crude oil'!P1610</f>
        <v>70.11</v>
      </c>
      <c r="Q1609">
        <f>'raw data Crude oil'!Q1610</f>
        <v>69.930000000000007</v>
      </c>
      <c r="R1609">
        <f>'raw data Crude oil'!R1610</f>
        <v>69.650000000000006</v>
      </c>
      <c r="S1609">
        <f>'raw data Crude oil'!S1610</f>
        <v>69.34</v>
      </c>
      <c r="T1609">
        <f>'raw data Crude oil'!T1610</f>
        <v>69.03</v>
      </c>
      <c r="U1609">
        <f>'raw data Crude oil'!U1610</f>
        <v>68.72</v>
      </c>
      <c r="V1609">
        <f>'raw data Crude oil'!V1610</f>
        <v>68.42</v>
      </c>
      <c r="W1609">
        <f>'raw data Crude oil'!W1610</f>
        <v>68.12</v>
      </c>
      <c r="X1609">
        <f>'raw data Crude oil'!X1610</f>
        <v>67.86</v>
      </c>
      <c r="Y1609">
        <f>'raw data Crude oil'!Y1610</f>
        <v>67.63</v>
      </c>
      <c r="Z1609">
        <f>'raw data Crude oil'!Z1610</f>
        <v>78.066000000000003</v>
      </c>
      <c r="AA1609">
        <f>'raw data Crude oil'!AA1610</f>
        <v>74.926000000000002</v>
      </c>
      <c r="AB1609">
        <f>'raw data Crude oil'!AB1610</f>
        <v>74.215000000000003</v>
      </c>
      <c r="AC1609">
        <f>'raw data Crude oil'!AC1610</f>
        <v>73.522000000000006</v>
      </c>
      <c r="AD1609">
        <f>'raw data Crude oil'!AD1610</f>
        <v>72.911000000000001</v>
      </c>
      <c r="AE1609">
        <f>'raw data Crude oil'!AE1610</f>
        <v>72.387</v>
      </c>
      <c r="AF1609">
        <f>'raw data Crude oil'!AF1610</f>
        <v>71.881</v>
      </c>
      <c r="AG1609">
        <f>'raw data Crude oil'!AG1610</f>
        <v>71.406000000000006</v>
      </c>
      <c r="AH1609">
        <f>'raw data Crude oil'!AH1610</f>
        <v>70.966999999999999</v>
      </c>
      <c r="AI1609">
        <f>'raw data Crude oil'!AI1610</f>
        <v>70.506</v>
      </c>
      <c r="AJ1609">
        <f>'raw data Crude oil'!AJ1610</f>
        <v>70.119</v>
      </c>
      <c r="AK1609">
        <f>'raw data Crude oil'!AK1610</f>
        <v>69.77</v>
      </c>
    </row>
    <row r="1610" spans="1:37" x14ac:dyDescent="0.3">
      <c r="A1610" s="18">
        <f>'raw data Crude oil'!A1611</f>
        <v>45009</v>
      </c>
      <c r="B1610">
        <f>'raw data Crude oil'!B1611</f>
        <v>74.989999999999995</v>
      </c>
      <c r="C1610">
        <f>'raw data Crude oil'!C1611</f>
        <v>74.59</v>
      </c>
      <c r="D1610">
        <f>'raw data Crude oil'!D1611</f>
        <v>74.52</v>
      </c>
      <c r="E1610">
        <f>'raw data Crude oil'!E1611</f>
        <v>74.349999999999994</v>
      </c>
      <c r="F1610">
        <f>'raw data Crude oil'!F1611</f>
        <v>74.099999999999994</v>
      </c>
      <c r="G1610">
        <f>'raw data Crude oil'!G1611</f>
        <v>73.81</v>
      </c>
      <c r="H1610">
        <f>'raw data Crude oil'!H1611</f>
        <v>73.540000000000006</v>
      </c>
      <c r="I1610">
        <f>'raw data Crude oil'!I1611</f>
        <v>73.260000000000005</v>
      </c>
      <c r="J1610">
        <f>'raw data Crude oil'!J1611</f>
        <v>72.98</v>
      </c>
      <c r="K1610">
        <f>'raw data Crude oil'!K1611</f>
        <v>72.72</v>
      </c>
      <c r="L1610">
        <f>'raw data Crude oil'!L1611</f>
        <v>72.5</v>
      </c>
      <c r="M1610">
        <f>'raw data Crude oil'!M1611</f>
        <v>72.3</v>
      </c>
      <c r="N1610">
        <f>'raw data Crude oil'!N1611</f>
        <v>69.260000000000005</v>
      </c>
      <c r="O1610">
        <f>'raw data Crude oil'!O1611</f>
        <v>69.41</v>
      </c>
      <c r="P1610">
        <f>'raw data Crude oil'!P1611</f>
        <v>69.400000000000006</v>
      </c>
      <c r="Q1610">
        <f>'raw data Crude oil'!Q1611</f>
        <v>69.239999999999995</v>
      </c>
      <c r="R1610">
        <f>'raw data Crude oil'!R1611</f>
        <v>68.98</v>
      </c>
      <c r="S1610">
        <f>'raw data Crude oil'!S1611</f>
        <v>68.680000000000007</v>
      </c>
      <c r="T1610">
        <f>'raw data Crude oil'!T1611</f>
        <v>68.39</v>
      </c>
      <c r="U1610">
        <f>'raw data Crude oil'!U1611</f>
        <v>68.12</v>
      </c>
      <c r="V1610">
        <f>'raw data Crude oil'!V1611</f>
        <v>67.84</v>
      </c>
      <c r="W1610">
        <f>'raw data Crude oil'!W1611</f>
        <v>67.58</v>
      </c>
      <c r="X1610">
        <f>'raw data Crude oil'!X1611</f>
        <v>67.349999999999994</v>
      </c>
      <c r="Y1610">
        <f>'raw data Crude oil'!Y1611</f>
        <v>67.14</v>
      </c>
      <c r="Z1610">
        <f>'raw data Crude oil'!Z1611</f>
        <v>77.844999999999999</v>
      </c>
      <c r="AA1610">
        <f>'raw data Crude oil'!AA1611</f>
        <v>73.945999999999998</v>
      </c>
      <c r="AB1610">
        <f>'raw data Crude oil'!AB1611</f>
        <v>73.242999999999995</v>
      </c>
      <c r="AC1610">
        <f>'raw data Crude oil'!AC1611</f>
        <v>72.569000000000003</v>
      </c>
      <c r="AD1610">
        <f>'raw data Crude oil'!AD1611</f>
        <v>71.986000000000004</v>
      </c>
      <c r="AE1610">
        <f>'raw data Crude oil'!AE1611</f>
        <v>71.468000000000004</v>
      </c>
      <c r="AF1610">
        <f>'raw data Crude oil'!AF1611</f>
        <v>70.989000000000004</v>
      </c>
      <c r="AG1610">
        <f>'raw data Crude oil'!AG1611</f>
        <v>70.537000000000006</v>
      </c>
      <c r="AH1610">
        <f>'raw data Crude oil'!AH1611</f>
        <v>70.097999999999999</v>
      </c>
      <c r="AI1610">
        <f>'raw data Crude oil'!AI1611</f>
        <v>69.647999999999996</v>
      </c>
      <c r="AJ1610">
        <f>'raw data Crude oil'!AJ1611</f>
        <v>69.301000000000002</v>
      </c>
      <c r="AK1610">
        <f>'raw data Crude oil'!AK1611</f>
        <v>69.001000000000005</v>
      </c>
    </row>
    <row r="1611" spans="1:37" x14ac:dyDescent="0.3">
      <c r="A1611" s="18">
        <f>'raw data Crude oil'!A1612</f>
        <v>45012</v>
      </c>
      <c r="B1611">
        <f>'raw data Crude oil'!B1612</f>
        <v>78.12</v>
      </c>
      <c r="C1611">
        <f>'raw data Crude oil'!C1612</f>
        <v>77.760000000000005</v>
      </c>
      <c r="D1611">
        <f>'raw data Crude oil'!D1612</f>
        <v>77.680000000000007</v>
      </c>
      <c r="E1611">
        <f>'raw data Crude oil'!E1612</f>
        <v>77.489999999999995</v>
      </c>
      <c r="F1611">
        <f>'raw data Crude oil'!F1612</f>
        <v>77.2</v>
      </c>
      <c r="G1611">
        <f>'raw data Crude oil'!G1612</f>
        <v>76.87</v>
      </c>
      <c r="H1611">
        <f>'raw data Crude oil'!H1612</f>
        <v>76.540000000000006</v>
      </c>
      <c r="I1611">
        <f>'raw data Crude oil'!I1612</f>
        <v>76.209999999999994</v>
      </c>
      <c r="J1611">
        <f>'raw data Crude oil'!J1612</f>
        <v>75.89</v>
      </c>
      <c r="K1611">
        <f>'raw data Crude oil'!K1612</f>
        <v>75.58</v>
      </c>
      <c r="L1611">
        <f>'raw data Crude oil'!L1612</f>
        <v>75.3</v>
      </c>
      <c r="M1611">
        <f>'raw data Crude oil'!M1612</f>
        <v>75.040000000000006</v>
      </c>
      <c r="N1611">
        <f>'raw data Crude oil'!N1612</f>
        <v>72.81</v>
      </c>
      <c r="O1611">
        <f>'raw data Crude oil'!O1612</f>
        <v>72.930000000000007</v>
      </c>
      <c r="P1611">
        <f>'raw data Crude oil'!P1612</f>
        <v>72.88</v>
      </c>
      <c r="Q1611">
        <f>'raw data Crude oil'!Q1612</f>
        <v>72.67</v>
      </c>
      <c r="R1611">
        <f>'raw data Crude oil'!R1612</f>
        <v>72.349999999999994</v>
      </c>
      <c r="S1611">
        <f>'raw data Crude oil'!S1612</f>
        <v>71.98</v>
      </c>
      <c r="T1611">
        <f>'raw data Crude oil'!T1612</f>
        <v>71.63</v>
      </c>
      <c r="U1611">
        <f>'raw data Crude oil'!U1612</f>
        <v>71.3</v>
      </c>
      <c r="V1611">
        <f>'raw data Crude oil'!V1612</f>
        <v>70.959999999999994</v>
      </c>
      <c r="W1611">
        <f>'raw data Crude oil'!W1612</f>
        <v>70.63</v>
      </c>
      <c r="X1611">
        <f>'raw data Crude oil'!X1612</f>
        <v>70.33</v>
      </c>
      <c r="Y1611">
        <f>'raw data Crude oil'!Y1612</f>
        <v>70.05</v>
      </c>
      <c r="Z1611">
        <f>'raw data Crude oil'!Z1612</f>
        <v>78.411000000000001</v>
      </c>
      <c r="AA1611">
        <f>'raw data Crude oil'!AA1612</f>
        <v>77.085999999999999</v>
      </c>
      <c r="AB1611">
        <f>'raw data Crude oil'!AB1612</f>
        <v>76.391999999999996</v>
      </c>
      <c r="AC1611">
        <f>'raw data Crude oil'!AC1612</f>
        <v>75.697000000000003</v>
      </c>
      <c r="AD1611">
        <f>'raw data Crude oil'!AD1612</f>
        <v>75.063999999999993</v>
      </c>
      <c r="AE1611">
        <f>'raw data Crude oil'!AE1612</f>
        <v>74.516000000000005</v>
      </c>
      <c r="AF1611">
        <f>'raw data Crude oil'!AF1612</f>
        <v>73.994</v>
      </c>
      <c r="AG1611">
        <f>'raw data Crude oil'!AG1612</f>
        <v>73.534999999999997</v>
      </c>
      <c r="AH1611">
        <f>'raw data Crude oil'!AH1612</f>
        <v>73.096000000000004</v>
      </c>
      <c r="AI1611">
        <f>'raw data Crude oil'!AI1612</f>
        <v>72.606999999999999</v>
      </c>
      <c r="AJ1611">
        <f>'raw data Crude oil'!AJ1612</f>
        <v>72.265000000000001</v>
      </c>
      <c r="AK1611">
        <f>'raw data Crude oil'!AK1612</f>
        <v>72.028999999999996</v>
      </c>
    </row>
    <row r="1612" spans="1:37" x14ac:dyDescent="0.3">
      <c r="A1612" s="18">
        <f>'raw data Crude oil'!A1613</f>
        <v>45013</v>
      </c>
      <c r="B1612">
        <f>'raw data Crude oil'!B1613</f>
        <v>78.650000000000006</v>
      </c>
      <c r="C1612">
        <f>'raw data Crude oil'!C1613</f>
        <v>78.14</v>
      </c>
      <c r="D1612">
        <f>'raw data Crude oil'!D1613</f>
        <v>77.98</v>
      </c>
      <c r="E1612">
        <f>'raw data Crude oil'!E1613</f>
        <v>77.739999999999995</v>
      </c>
      <c r="F1612">
        <f>'raw data Crude oil'!F1613</f>
        <v>77.42</v>
      </c>
      <c r="G1612">
        <f>'raw data Crude oil'!G1613</f>
        <v>77.069999999999993</v>
      </c>
      <c r="H1612">
        <f>'raw data Crude oil'!H1613</f>
        <v>76.739999999999995</v>
      </c>
      <c r="I1612">
        <f>'raw data Crude oil'!I1613</f>
        <v>76.41</v>
      </c>
      <c r="J1612">
        <f>'raw data Crude oil'!J1613</f>
        <v>76.08</v>
      </c>
      <c r="K1612">
        <f>'raw data Crude oil'!K1613</f>
        <v>75.760000000000005</v>
      </c>
      <c r="L1612">
        <f>'raw data Crude oil'!L1613</f>
        <v>75.48</v>
      </c>
      <c r="M1612">
        <f>'raw data Crude oil'!M1613</f>
        <v>75.209999999999994</v>
      </c>
      <c r="N1612">
        <f>'raw data Crude oil'!N1613</f>
        <v>73.2</v>
      </c>
      <c r="O1612">
        <f>'raw data Crude oil'!O1613</f>
        <v>73.34</v>
      </c>
      <c r="P1612">
        <f>'raw data Crude oil'!P1613</f>
        <v>73.290000000000006</v>
      </c>
      <c r="Q1612">
        <f>'raw data Crude oil'!Q1613</f>
        <v>73.06</v>
      </c>
      <c r="R1612">
        <f>'raw data Crude oil'!R1613</f>
        <v>72.72</v>
      </c>
      <c r="S1612">
        <f>'raw data Crude oil'!S1613</f>
        <v>72.34</v>
      </c>
      <c r="T1612">
        <f>'raw data Crude oil'!T1613</f>
        <v>71.98</v>
      </c>
      <c r="U1612">
        <f>'raw data Crude oil'!U1613</f>
        <v>71.64</v>
      </c>
      <c r="V1612">
        <f>'raw data Crude oil'!V1613</f>
        <v>71.290000000000006</v>
      </c>
      <c r="W1612">
        <f>'raw data Crude oil'!W1613</f>
        <v>70.95</v>
      </c>
      <c r="X1612">
        <f>'raw data Crude oil'!X1613</f>
        <v>70.64</v>
      </c>
      <c r="Y1612">
        <f>'raw data Crude oil'!Y1613</f>
        <v>70.34</v>
      </c>
      <c r="Z1612">
        <f>'raw data Crude oil'!Z1613</f>
        <v>78.394999999999996</v>
      </c>
      <c r="AA1612">
        <f>'raw data Crude oil'!AA1613</f>
        <v>77.177000000000007</v>
      </c>
      <c r="AB1612">
        <f>'raw data Crude oil'!AB1613</f>
        <v>76.45</v>
      </c>
      <c r="AC1612">
        <f>'raw data Crude oil'!AC1613</f>
        <v>75.734999999999999</v>
      </c>
      <c r="AD1612">
        <f>'raw data Crude oil'!AD1613</f>
        <v>75.128</v>
      </c>
      <c r="AE1612">
        <f>'raw data Crude oil'!AE1613</f>
        <v>74.600999999999999</v>
      </c>
      <c r="AF1612">
        <f>'raw data Crude oil'!AF1613</f>
        <v>74.159000000000006</v>
      </c>
      <c r="AG1612">
        <f>'raw data Crude oil'!AG1613</f>
        <v>73.715000000000003</v>
      </c>
      <c r="AH1612">
        <f>'raw data Crude oil'!AH1613</f>
        <v>73.275000000000006</v>
      </c>
      <c r="AI1612">
        <f>'raw data Crude oil'!AI1613</f>
        <v>72.802000000000007</v>
      </c>
      <c r="AJ1612">
        <f>'raw data Crude oil'!AJ1613</f>
        <v>72.462999999999994</v>
      </c>
      <c r="AK1612">
        <f>'raw data Crude oil'!AK1613</f>
        <v>72.158000000000001</v>
      </c>
    </row>
    <row r="1613" spans="1:37" x14ac:dyDescent="0.3">
      <c r="A1613" s="18">
        <f>'raw data Crude oil'!A1614</f>
        <v>45014</v>
      </c>
      <c r="B1613">
        <f>'raw data Crude oil'!B1614</f>
        <v>78.28</v>
      </c>
      <c r="C1613">
        <f>'raw data Crude oil'!C1614</f>
        <v>77.59</v>
      </c>
      <c r="D1613">
        <f>'raw data Crude oil'!D1614</f>
        <v>77.44</v>
      </c>
      <c r="E1613">
        <f>'raw data Crude oil'!E1614</f>
        <v>77.209999999999994</v>
      </c>
      <c r="F1613">
        <f>'raw data Crude oil'!F1614</f>
        <v>76.91</v>
      </c>
      <c r="G1613">
        <f>'raw data Crude oil'!G1614</f>
        <v>76.569999999999993</v>
      </c>
      <c r="H1613">
        <f>'raw data Crude oil'!H1614</f>
        <v>76.239999999999995</v>
      </c>
      <c r="I1613">
        <f>'raw data Crude oil'!I1614</f>
        <v>75.900000000000006</v>
      </c>
      <c r="J1613">
        <f>'raw data Crude oil'!J1614</f>
        <v>75.58</v>
      </c>
      <c r="K1613">
        <f>'raw data Crude oil'!K1614</f>
        <v>75.27</v>
      </c>
      <c r="L1613">
        <f>'raw data Crude oil'!L1614</f>
        <v>75</v>
      </c>
      <c r="M1613">
        <f>'raw data Crude oil'!M1614</f>
        <v>74.73</v>
      </c>
      <c r="N1613">
        <f>'raw data Crude oil'!N1614</f>
        <v>72.97</v>
      </c>
      <c r="O1613">
        <f>'raw data Crude oil'!O1614</f>
        <v>73.12</v>
      </c>
      <c r="P1613">
        <f>'raw data Crude oil'!P1614</f>
        <v>73.06</v>
      </c>
      <c r="Q1613">
        <f>'raw data Crude oil'!Q1614</f>
        <v>72.81</v>
      </c>
      <c r="R1613">
        <f>'raw data Crude oil'!R1614</f>
        <v>72.45</v>
      </c>
      <c r="S1613">
        <f>'raw data Crude oil'!S1614</f>
        <v>72.05</v>
      </c>
      <c r="T1613">
        <f>'raw data Crude oil'!T1614</f>
        <v>71.66</v>
      </c>
      <c r="U1613">
        <f>'raw data Crude oil'!U1614</f>
        <v>71.290000000000006</v>
      </c>
      <c r="V1613">
        <f>'raw data Crude oil'!V1614</f>
        <v>70.930000000000007</v>
      </c>
      <c r="W1613">
        <f>'raw data Crude oil'!W1614</f>
        <v>70.59</v>
      </c>
      <c r="X1613">
        <f>'raw data Crude oil'!X1614</f>
        <v>70.28</v>
      </c>
      <c r="Y1613">
        <f>'raw data Crude oil'!Y1614</f>
        <v>69.989999999999995</v>
      </c>
      <c r="Z1613">
        <f>'raw data Crude oil'!Z1614</f>
        <v>78.393000000000001</v>
      </c>
      <c r="AA1613">
        <f>'raw data Crude oil'!AA1614</f>
        <v>76.751999999999995</v>
      </c>
      <c r="AB1613">
        <f>'raw data Crude oil'!AB1614</f>
        <v>75.95</v>
      </c>
      <c r="AC1613">
        <f>'raw data Crude oil'!AC1614</f>
        <v>75.195999999999998</v>
      </c>
      <c r="AD1613">
        <f>'raw data Crude oil'!AD1614</f>
        <v>74.563999999999993</v>
      </c>
      <c r="AE1613">
        <f>'raw data Crude oil'!AE1614</f>
        <v>74.013000000000005</v>
      </c>
      <c r="AF1613">
        <f>'raw data Crude oil'!AF1614</f>
        <v>73.561000000000007</v>
      </c>
      <c r="AG1613">
        <f>'raw data Crude oil'!AG1614</f>
        <v>73.12</v>
      </c>
      <c r="AH1613">
        <f>'raw data Crude oil'!AH1614</f>
        <v>72.695999999999998</v>
      </c>
      <c r="AI1613">
        <f>'raw data Crude oil'!AI1614</f>
        <v>72.242999999999995</v>
      </c>
      <c r="AJ1613">
        <f>'raw data Crude oil'!AJ1614</f>
        <v>71.917000000000002</v>
      </c>
      <c r="AK1613">
        <f>'raw data Crude oil'!AK1614</f>
        <v>71.647999999999996</v>
      </c>
    </row>
    <row r="1614" spans="1:37" x14ac:dyDescent="0.3">
      <c r="A1614" s="18">
        <f>'raw data Crude oil'!A1615</f>
        <v>45015</v>
      </c>
      <c r="B1614">
        <f>'raw data Crude oil'!B1615</f>
        <v>79.27</v>
      </c>
      <c r="C1614">
        <f>'raw data Crude oil'!C1615</f>
        <v>78.599999999999994</v>
      </c>
      <c r="D1614">
        <f>'raw data Crude oil'!D1615</f>
        <v>78.459999999999994</v>
      </c>
      <c r="E1614">
        <f>'raw data Crude oil'!E1615</f>
        <v>78.209999999999994</v>
      </c>
      <c r="F1614">
        <f>'raw data Crude oil'!F1615</f>
        <v>77.89</v>
      </c>
      <c r="G1614">
        <f>'raw data Crude oil'!G1615</f>
        <v>77.510000000000005</v>
      </c>
      <c r="H1614">
        <f>'raw data Crude oil'!H1615</f>
        <v>77.150000000000006</v>
      </c>
      <c r="I1614">
        <f>'raw data Crude oil'!I1615</f>
        <v>76.790000000000006</v>
      </c>
      <c r="J1614">
        <f>'raw data Crude oil'!J1615</f>
        <v>76.430000000000007</v>
      </c>
      <c r="K1614">
        <f>'raw data Crude oil'!K1615</f>
        <v>76.09</v>
      </c>
      <c r="L1614">
        <f>'raw data Crude oil'!L1615</f>
        <v>75.790000000000006</v>
      </c>
      <c r="M1614">
        <f>'raw data Crude oil'!M1615</f>
        <v>75.489999999999995</v>
      </c>
      <c r="N1614">
        <f>'raw data Crude oil'!N1615</f>
        <v>74.37</v>
      </c>
      <c r="O1614">
        <f>'raw data Crude oil'!O1615</f>
        <v>74.489999999999995</v>
      </c>
      <c r="P1614">
        <f>'raw data Crude oil'!P1615</f>
        <v>74.41</v>
      </c>
      <c r="Q1614">
        <f>'raw data Crude oil'!Q1615</f>
        <v>74.13</v>
      </c>
      <c r="R1614">
        <f>'raw data Crude oil'!R1615</f>
        <v>73.73</v>
      </c>
      <c r="S1614">
        <f>'raw data Crude oil'!S1615</f>
        <v>73.27</v>
      </c>
      <c r="T1614">
        <f>'raw data Crude oil'!T1615</f>
        <v>72.83</v>
      </c>
      <c r="U1614">
        <f>'raw data Crude oil'!U1615</f>
        <v>72.41</v>
      </c>
      <c r="V1614">
        <f>'raw data Crude oil'!V1615</f>
        <v>72</v>
      </c>
      <c r="W1614">
        <f>'raw data Crude oil'!W1615</f>
        <v>71.61</v>
      </c>
      <c r="X1614">
        <f>'raw data Crude oil'!X1615</f>
        <v>71.25</v>
      </c>
      <c r="Y1614">
        <f>'raw data Crude oil'!Y1615</f>
        <v>70.92</v>
      </c>
      <c r="Z1614">
        <f>'raw data Crude oil'!Z1615</f>
        <v>78.503</v>
      </c>
      <c r="AA1614">
        <f>'raw data Crude oil'!AA1615</f>
        <v>77.933000000000007</v>
      </c>
      <c r="AB1614">
        <f>'raw data Crude oil'!AB1615</f>
        <v>77.108999999999995</v>
      </c>
      <c r="AC1614">
        <f>'raw data Crude oil'!AC1615</f>
        <v>76.265000000000001</v>
      </c>
      <c r="AD1614">
        <f>'raw data Crude oil'!AD1615</f>
        <v>75.602000000000004</v>
      </c>
      <c r="AE1614">
        <f>'raw data Crude oil'!AE1615</f>
        <v>75.034000000000006</v>
      </c>
      <c r="AF1614">
        <f>'raw data Crude oil'!AF1615</f>
        <v>74.522999999999996</v>
      </c>
      <c r="AG1614">
        <f>'raw data Crude oil'!AG1615</f>
        <v>74.024000000000001</v>
      </c>
      <c r="AH1614">
        <f>'raw data Crude oil'!AH1615</f>
        <v>73.564999999999998</v>
      </c>
      <c r="AI1614">
        <f>'raw data Crude oil'!AI1615</f>
        <v>73.11</v>
      </c>
      <c r="AJ1614">
        <f>'raw data Crude oil'!AJ1615</f>
        <v>72.775999999999996</v>
      </c>
      <c r="AK1614">
        <f>'raw data Crude oil'!AK1615</f>
        <v>72.466999999999999</v>
      </c>
    </row>
    <row r="1615" spans="1:37" x14ac:dyDescent="0.3">
      <c r="A1615" s="18">
        <f>'raw data Crude oil'!A1616</f>
        <v>45016</v>
      </c>
      <c r="B1615">
        <f>'raw data Crude oil'!B1616</f>
        <v>79.77</v>
      </c>
      <c r="C1615">
        <f>'raw data Crude oil'!C1616</f>
        <v>79.89</v>
      </c>
      <c r="D1615">
        <f>'raw data Crude oil'!D1616</f>
        <v>79.73</v>
      </c>
      <c r="E1615">
        <f>'raw data Crude oil'!E1616</f>
        <v>79.45</v>
      </c>
      <c r="F1615">
        <f>'raw data Crude oil'!F1616</f>
        <v>79.11</v>
      </c>
      <c r="G1615">
        <f>'raw data Crude oil'!G1616</f>
        <v>78.709999999999994</v>
      </c>
      <c r="H1615">
        <f>'raw data Crude oil'!H1616</f>
        <v>78.31</v>
      </c>
      <c r="I1615">
        <f>'raw data Crude oil'!I1616</f>
        <v>77.91</v>
      </c>
      <c r="J1615">
        <f>'raw data Crude oil'!J1616</f>
        <v>77.53</v>
      </c>
      <c r="K1615">
        <f>'raw data Crude oil'!K1616</f>
        <v>77.150000000000006</v>
      </c>
      <c r="L1615">
        <f>'raw data Crude oil'!L1616</f>
        <v>76.81</v>
      </c>
      <c r="M1615">
        <f>'raw data Crude oil'!M1616</f>
        <v>76.48</v>
      </c>
      <c r="N1615">
        <f>'raw data Crude oil'!N1616</f>
        <v>75.67</v>
      </c>
      <c r="O1615">
        <f>'raw data Crude oil'!O1616</f>
        <v>75.8</v>
      </c>
      <c r="P1615">
        <f>'raw data Crude oil'!P1616</f>
        <v>75.73</v>
      </c>
      <c r="Q1615">
        <f>'raw data Crude oil'!Q1616</f>
        <v>75.44</v>
      </c>
      <c r="R1615">
        <f>'raw data Crude oil'!R1616</f>
        <v>75</v>
      </c>
      <c r="S1615">
        <f>'raw data Crude oil'!S1616</f>
        <v>74.510000000000005</v>
      </c>
      <c r="T1615">
        <f>'raw data Crude oil'!T1616</f>
        <v>74.02</v>
      </c>
      <c r="U1615">
        <f>'raw data Crude oil'!U1616</f>
        <v>73.55</v>
      </c>
      <c r="V1615">
        <f>'raw data Crude oil'!V1616</f>
        <v>73.099999999999994</v>
      </c>
      <c r="W1615">
        <f>'raw data Crude oil'!W1616</f>
        <v>72.66</v>
      </c>
      <c r="X1615">
        <f>'raw data Crude oil'!X1616</f>
        <v>72.260000000000005</v>
      </c>
      <c r="Y1615">
        <f>'raw data Crude oil'!Y1616</f>
        <v>71.89</v>
      </c>
      <c r="Z1615">
        <f>'raw data Crude oil'!Z1616</f>
        <v>78.492999999999995</v>
      </c>
      <c r="AA1615">
        <f>'raw data Crude oil'!AA1616</f>
        <v>79.480999999999995</v>
      </c>
      <c r="AB1615">
        <f>'raw data Crude oil'!AB1616</f>
        <v>78.658000000000001</v>
      </c>
      <c r="AC1615">
        <f>'raw data Crude oil'!AC1616</f>
        <v>77.784999999999997</v>
      </c>
      <c r="AD1615">
        <f>'raw data Crude oil'!AD1616</f>
        <v>77.081000000000003</v>
      </c>
      <c r="AE1615">
        <f>'raw data Crude oil'!AE1616</f>
        <v>76.472999999999999</v>
      </c>
      <c r="AF1615">
        <f>'raw data Crude oil'!AF1616</f>
        <v>75.941000000000003</v>
      </c>
      <c r="AG1615">
        <f>'raw data Crude oil'!AG1616</f>
        <v>75.412999999999997</v>
      </c>
      <c r="AH1615">
        <f>'raw data Crude oil'!AH1616</f>
        <v>74.903000000000006</v>
      </c>
      <c r="AI1615">
        <f>'raw data Crude oil'!AI1616</f>
        <v>74.376000000000005</v>
      </c>
      <c r="AJ1615">
        <f>'raw data Crude oil'!AJ1616</f>
        <v>74.015000000000001</v>
      </c>
      <c r="AK1615">
        <f>'raw data Crude oil'!AK1616</f>
        <v>73.665000000000006</v>
      </c>
    </row>
    <row r="1616" spans="1:37" x14ac:dyDescent="0.3">
      <c r="A1616" s="18">
        <f>'raw data Crude oil'!A1617</f>
        <v>45019</v>
      </c>
      <c r="B1616">
        <f>'raw data Crude oil'!B1617</f>
        <v>84.93</v>
      </c>
      <c r="C1616">
        <f>'raw data Crude oil'!C1617</f>
        <v>84.55</v>
      </c>
      <c r="D1616">
        <f>'raw data Crude oil'!D1617</f>
        <v>83.97</v>
      </c>
      <c r="E1616">
        <f>'raw data Crude oil'!E1617</f>
        <v>83.34</v>
      </c>
      <c r="F1616">
        <f>'raw data Crude oil'!F1617</f>
        <v>82.69</v>
      </c>
      <c r="G1616">
        <f>'raw data Crude oil'!G1617</f>
        <v>82.08</v>
      </c>
      <c r="H1616">
        <f>'raw data Crude oil'!H1617</f>
        <v>81.5</v>
      </c>
      <c r="I1616">
        <f>'raw data Crude oil'!I1617</f>
        <v>80.930000000000007</v>
      </c>
      <c r="J1616">
        <f>'raw data Crude oil'!J1617</f>
        <v>80.38</v>
      </c>
      <c r="K1616">
        <f>'raw data Crude oil'!K1617</f>
        <v>79.88</v>
      </c>
      <c r="L1616">
        <f>'raw data Crude oil'!L1617</f>
        <v>79.39</v>
      </c>
      <c r="M1616">
        <f>'raw data Crude oil'!M1617</f>
        <v>78.92</v>
      </c>
      <c r="N1616">
        <f>'raw data Crude oil'!N1617</f>
        <v>80.42</v>
      </c>
      <c r="O1616">
        <f>'raw data Crude oil'!O1617</f>
        <v>80.44</v>
      </c>
      <c r="P1616">
        <f>'raw data Crude oil'!P1617</f>
        <v>80.16</v>
      </c>
      <c r="Q1616">
        <f>'raw data Crude oil'!Q1617</f>
        <v>79.64</v>
      </c>
      <c r="R1616">
        <f>'raw data Crude oil'!R1617</f>
        <v>78.98</v>
      </c>
      <c r="S1616">
        <f>'raw data Crude oil'!S1617</f>
        <v>78.27</v>
      </c>
      <c r="T1616">
        <f>'raw data Crude oil'!T1617</f>
        <v>77.569999999999993</v>
      </c>
      <c r="U1616">
        <f>'raw data Crude oil'!U1617</f>
        <v>76.91</v>
      </c>
      <c r="V1616">
        <f>'raw data Crude oil'!V1617</f>
        <v>76.27</v>
      </c>
      <c r="W1616">
        <f>'raw data Crude oil'!W1617</f>
        <v>75.66</v>
      </c>
      <c r="X1616">
        <f>'raw data Crude oil'!X1617</f>
        <v>75.099999999999994</v>
      </c>
      <c r="Y1616">
        <f>'raw data Crude oil'!Y1617</f>
        <v>74.59</v>
      </c>
      <c r="Z1616">
        <f>'raw data Crude oil'!Z1617</f>
        <v>78.492999999999995</v>
      </c>
      <c r="AA1616">
        <f>'raw data Crude oil'!AA1617</f>
        <v>84.537999999999997</v>
      </c>
      <c r="AB1616">
        <f>'raw data Crude oil'!AB1617</f>
        <v>83.734999999999999</v>
      </c>
      <c r="AC1616">
        <f>'raw data Crude oil'!AC1617</f>
        <v>82.691000000000003</v>
      </c>
      <c r="AD1616">
        <f>'raw data Crude oil'!AD1617</f>
        <v>81.698999999999998</v>
      </c>
      <c r="AE1616">
        <f>'raw data Crude oil'!AE1617</f>
        <v>80.817999999999998</v>
      </c>
      <c r="AF1616">
        <f>'raw data Crude oil'!AF1617</f>
        <v>80.039000000000001</v>
      </c>
      <c r="AG1616">
        <f>'raw data Crude oil'!AG1617</f>
        <v>79.293999999999997</v>
      </c>
      <c r="AH1616">
        <f>'raw data Crude oil'!AH1617</f>
        <v>78.594999999999999</v>
      </c>
      <c r="AI1616">
        <f>'raw data Crude oil'!AI1617</f>
        <v>77.91</v>
      </c>
      <c r="AJ1616">
        <f>'raw data Crude oil'!AJ1617</f>
        <v>77.358000000000004</v>
      </c>
      <c r="AK1616">
        <f>'raw data Crude oil'!AK1617</f>
        <v>76.817999999999998</v>
      </c>
    </row>
    <row r="1617" spans="1:37" x14ac:dyDescent="0.3">
      <c r="A1617" s="18">
        <f>'raw data Crude oil'!A1618</f>
        <v>45020</v>
      </c>
      <c r="B1617">
        <f>'raw data Crude oil'!B1618</f>
        <v>84.94</v>
      </c>
      <c r="C1617">
        <f>'raw data Crude oil'!C1618</f>
        <v>84.55</v>
      </c>
      <c r="D1617">
        <f>'raw data Crude oil'!D1618</f>
        <v>83.97</v>
      </c>
      <c r="E1617">
        <f>'raw data Crude oil'!E1618</f>
        <v>83.34</v>
      </c>
      <c r="F1617">
        <f>'raw data Crude oil'!F1618</f>
        <v>82.69</v>
      </c>
      <c r="G1617">
        <f>'raw data Crude oil'!G1618</f>
        <v>82.07</v>
      </c>
      <c r="H1617">
        <f>'raw data Crude oil'!H1618</f>
        <v>81.47</v>
      </c>
      <c r="I1617">
        <f>'raw data Crude oil'!I1618</f>
        <v>80.88</v>
      </c>
      <c r="J1617">
        <f>'raw data Crude oil'!J1618</f>
        <v>80.319999999999993</v>
      </c>
      <c r="K1617">
        <f>'raw data Crude oil'!K1618</f>
        <v>79.8</v>
      </c>
      <c r="L1617">
        <f>'raw data Crude oil'!L1618</f>
        <v>79.3</v>
      </c>
      <c r="M1617">
        <f>'raw data Crude oil'!M1618</f>
        <v>78.83</v>
      </c>
      <c r="N1617">
        <f>'raw data Crude oil'!N1618</f>
        <v>80.709999999999994</v>
      </c>
      <c r="O1617">
        <f>'raw data Crude oil'!O1618</f>
        <v>80.72</v>
      </c>
      <c r="P1617">
        <f>'raw data Crude oil'!P1618</f>
        <v>80.430000000000007</v>
      </c>
      <c r="Q1617">
        <f>'raw data Crude oil'!Q1618</f>
        <v>79.89</v>
      </c>
      <c r="R1617">
        <f>'raw data Crude oil'!R1618</f>
        <v>79.209999999999994</v>
      </c>
      <c r="S1617">
        <f>'raw data Crude oil'!S1618</f>
        <v>78.47</v>
      </c>
      <c r="T1617">
        <f>'raw data Crude oil'!T1618</f>
        <v>77.739999999999995</v>
      </c>
      <c r="U1617">
        <f>'raw data Crude oil'!U1618</f>
        <v>77.040000000000006</v>
      </c>
      <c r="V1617">
        <f>'raw data Crude oil'!V1618</f>
        <v>76.38</v>
      </c>
      <c r="W1617">
        <f>'raw data Crude oil'!W1618</f>
        <v>75.739999999999995</v>
      </c>
      <c r="X1617">
        <f>'raw data Crude oil'!X1618</f>
        <v>75.180000000000007</v>
      </c>
      <c r="Y1617">
        <f>'raw data Crude oil'!Y1618</f>
        <v>74.64</v>
      </c>
      <c r="Z1617">
        <f>'raw data Crude oil'!Z1618</f>
        <v>84.465000000000003</v>
      </c>
      <c r="AA1617">
        <f>'raw data Crude oil'!AA1618</f>
        <v>83.674999999999997</v>
      </c>
      <c r="AB1617">
        <f>'raw data Crude oil'!AB1618</f>
        <v>82.620999999999995</v>
      </c>
      <c r="AC1617">
        <f>'raw data Crude oil'!AC1618</f>
        <v>81.688999999999993</v>
      </c>
      <c r="AD1617">
        <f>'raw data Crude oil'!AD1618</f>
        <v>80.802999999999997</v>
      </c>
      <c r="AE1617">
        <f>'raw data Crude oil'!AE1618</f>
        <v>80.021000000000001</v>
      </c>
      <c r="AF1617">
        <f>'raw data Crude oil'!AF1618</f>
        <v>79.283000000000001</v>
      </c>
      <c r="AG1617">
        <f>'raw data Crude oil'!AG1618</f>
        <v>78.575000000000003</v>
      </c>
      <c r="AH1617">
        <f>'raw data Crude oil'!AH1618</f>
        <v>77.817999999999998</v>
      </c>
      <c r="AI1617">
        <f>'raw data Crude oil'!AI1618</f>
        <v>77.236999999999995</v>
      </c>
      <c r="AJ1617">
        <f>'raw data Crude oil'!AJ1618</f>
        <v>76.748000000000005</v>
      </c>
      <c r="AK1617">
        <f>'raw data Crude oil'!AK1618</f>
        <v>76.216999999999999</v>
      </c>
    </row>
    <row r="1618" spans="1:37" x14ac:dyDescent="0.3">
      <c r="A1618" s="18">
        <f>'raw data Crude oil'!A1619</f>
        <v>45021</v>
      </c>
      <c r="B1618">
        <f>'raw data Crude oil'!B1619</f>
        <v>84.99</v>
      </c>
      <c r="C1618">
        <f>'raw data Crude oil'!C1619</f>
        <v>84.62</v>
      </c>
      <c r="D1618">
        <f>'raw data Crude oil'!D1619</f>
        <v>84.04</v>
      </c>
      <c r="E1618">
        <f>'raw data Crude oil'!E1619</f>
        <v>83.42</v>
      </c>
      <c r="F1618">
        <f>'raw data Crude oil'!F1619</f>
        <v>82.77</v>
      </c>
      <c r="G1618">
        <f>'raw data Crude oil'!G1619</f>
        <v>82.15</v>
      </c>
      <c r="H1618">
        <f>'raw data Crude oil'!H1619</f>
        <v>81.55</v>
      </c>
      <c r="I1618">
        <f>'raw data Crude oil'!I1619</f>
        <v>80.97</v>
      </c>
      <c r="J1618">
        <f>'raw data Crude oil'!J1619</f>
        <v>80.41</v>
      </c>
      <c r="K1618">
        <f>'raw data Crude oil'!K1619</f>
        <v>79.89</v>
      </c>
      <c r="L1618">
        <f>'raw data Crude oil'!L1619</f>
        <v>79.39</v>
      </c>
      <c r="M1618">
        <f>'raw data Crude oil'!M1619</f>
        <v>78.91</v>
      </c>
      <c r="N1618">
        <f>'raw data Crude oil'!N1619</f>
        <v>80.61</v>
      </c>
      <c r="O1618">
        <f>'raw data Crude oil'!O1619</f>
        <v>80.63</v>
      </c>
      <c r="P1618">
        <f>'raw data Crude oil'!P1619</f>
        <v>80.36</v>
      </c>
      <c r="Q1618">
        <f>'raw data Crude oil'!Q1619</f>
        <v>79.819999999999993</v>
      </c>
      <c r="R1618">
        <f>'raw data Crude oil'!R1619</f>
        <v>79.14</v>
      </c>
      <c r="S1618">
        <f>'raw data Crude oil'!S1619</f>
        <v>78.41</v>
      </c>
      <c r="T1618">
        <f>'raw data Crude oil'!T1619</f>
        <v>77.69</v>
      </c>
      <c r="U1618">
        <f>'raw data Crude oil'!U1619</f>
        <v>77.010000000000005</v>
      </c>
      <c r="V1618">
        <f>'raw data Crude oil'!V1619</f>
        <v>76.349999999999994</v>
      </c>
      <c r="W1618">
        <f>'raw data Crude oil'!W1619</f>
        <v>75.739999999999995</v>
      </c>
      <c r="X1618">
        <f>'raw data Crude oil'!X1619</f>
        <v>75.150000000000006</v>
      </c>
      <c r="Y1618">
        <f>'raw data Crude oil'!Y1619</f>
        <v>74.61</v>
      </c>
      <c r="Z1618">
        <f>'raw data Crude oil'!Z1619</f>
        <v>84.844999999999999</v>
      </c>
      <c r="AA1618">
        <f>'raw data Crude oil'!AA1619</f>
        <v>83.995000000000005</v>
      </c>
      <c r="AB1618">
        <f>'raw data Crude oil'!AB1619</f>
        <v>82.902000000000001</v>
      </c>
      <c r="AC1618">
        <f>'raw data Crude oil'!AC1619</f>
        <v>81.938999999999993</v>
      </c>
      <c r="AD1618">
        <f>'raw data Crude oil'!AD1619</f>
        <v>81.043000000000006</v>
      </c>
      <c r="AE1618">
        <f>'raw data Crude oil'!AE1619</f>
        <v>80.236000000000004</v>
      </c>
      <c r="AF1618">
        <f>'raw data Crude oil'!AF1619</f>
        <v>79.463999999999999</v>
      </c>
      <c r="AG1618">
        <f>'raw data Crude oil'!AG1619</f>
        <v>78.734999999999999</v>
      </c>
      <c r="AH1618">
        <f>'raw data Crude oil'!AH1619</f>
        <v>78.028000000000006</v>
      </c>
      <c r="AI1618">
        <f>'raw data Crude oil'!AI1619</f>
        <v>77.447000000000003</v>
      </c>
      <c r="AJ1618">
        <f>'raw data Crude oil'!AJ1619</f>
        <v>76.897000000000006</v>
      </c>
      <c r="AK1618">
        <f>'raw data Crude oil'!AK1619</f>
        <v>76.388000000000005</v>
      </c>
    </row>
    <row r="1619" spans="1:37" x14ac:dyDescent="0.3">
      <c r="A1619" s="18">
        <f>'raw data Crude oil'!A1620</f>
        <v>45022</v>
      </c>
      <c r="B1619">
        <f>'raw data Crude oil'!B1620</f>
        <v>85.12</v>
      </c>
      <c r="C1619">
        <f>'raw data Crude oil'!C1620</f>
        <v>84.67</v>
      </c>
      <c r="D1619">
        <f>'raw data Crude oil'!D1620</f>
        <v>84.04</v>
      </c>
      <c r="E1619">
        <f>'raw data Crude oil'!E1620</f>
        <v>83.39</v>
      </c>
      <c r="F1619">
        <f>'raw data Crude oil'!F1620</f>
        <v>82.73</v>
      </c>
      <c r="G1619">
        <f>'raw data Crude oil'!G1620</f>
        <v>82.1</v>
      </c>
      <c r="H1619">
        <f>'raw data Crude oil'!H1620</f>
        <v>81.48</v>
      </c>
      <c r="I1619">
        <f>'raw data Crude oil'!I1620</f>
        <v>80.88</v>
      </c>
      <c r="J1619">
        <f>'raw data Crude oil'!J1620</f>
        <v>80.31</v>
      </c>
      <c r="K1619">
        <f>'raw data Crude oil'!K1620</f>
        <v>79.78</v>
      </c>
      <c r="L1619">
        <f>'raw data Crude oil'!L1620</f>
        <v>79.27</v>
      </c>
      <c r="M1619">
        <f>'raw data Crude oil'!M1620</f>
        <v>78.78</v>
      </c>
      <c r="N1619">
        <f>'raw data Crude oil'!N1620</f>
        <v>80.7</v>
      </c>
      <c r="O1619">
        <f>'raw data Crude oil'!O1620</f>
        <v>80.680000000000007</v>
      </c>
      <c r="P1619">
        <f>'raw data Crude oil'!P1620</f>
        <v>80.349999999999994</v>
      </c>
      <c r="Q1619">
        <f>'raw data Crude oil'!Q1620</f>
        <v>79.760000000000005</v>
      </c>
      <c r="R1619">
        <f>'raw data Crude oil'!R1620</f>
        <v>79.05</v>
      </c>
      <c r="S1619">
        <f>'raw data Crude oil'!S1620</f>
        <v>78.31</v>
      </c>
      <c r="T1619">
        <f>'raw data Crude oil'!T1620</f>
        <v>77.58</v>
      </c>
      <c r="U1619">
        <f>'raw data Crude oil'!U1620</f>
        <v>76.900000000000006</v>
      </c>
      <c r="V1619">
        <f>'raw data Crude oil'!V1620</f>
        <v>76.209999999999994</v>
      </c>
      <c r="W1619">
        <f>'raw data Crude oil'!W1620</f>
        <v>75.58</v>
      </c>
      <c r="X1619">
        <f>'raw data Crude oil'!X1620</f>
        <v>74.989999999999995</v>
      </c>
      <c r="Y1619">
        <f>'raw data Crude oil'!Y1620</f>
        <v>74.44</v>
      </c>
      <c r="Z1619">
        <f>'raw data Crude oil'!Z1620</f>
        <v>84.894999999999996</v>
      </c>
      <c r="AA1619">
        <f>'raw data Crude oil'!AA1620</f>
        <v>84.162999999999997</v>
      </c>
      <c r="AB1619">
        <f>'raw data Crude oil'!AB1620</f>
        <v>83.043000000000006</v>
      </c>
      <c r="AC1619">
        <f>'raw data Crude oil'!AC1620</f>
        <v>82.049000000000007</v>
      </c>
      <c r="AD1619">
        <f>'raw data Crude oil'!AD1620</f>
        <v>81.132999999999996</v>
      </c>
      <c r="AE1619">
        <f>'raw data Crude oil'!AE1620</f>
        <v>80.295000000000002</v>
      </c>
      <c r="AF1619">
        <f>'raw data Crude oil'!AF1620</f>
        <v>79.483000000000004</v>
      </c>
      <c r="AG1619">
        <f>'raw data Crude oil'!AG1620</f>
        <v>78.77</v>
      </c>
      <c r="AH1619">
        <f>'raw data Crude oil'!AH1620</f>
        <v>78.093000000000004</v>
      </c>
      <c r="AI1619">
        <f>'raw data Crude oil'!AI1620</f>
        <v>77.397000000000006</v>
      </c>
      <c r="AJ1619">
        <f>'raw data Crude oil'!AJ1620</f>
        <v>76.876999999999995</v>
      </c>
      <c r="AK1619">
        <f>'raw data Crude oil'!AK1620</f>
        <v>76.367999999999995</v>
      </c>
    </row>
    <row r="1620" spans="1:37" x14ac:dyDescent="0.3">
      <c r="A1620" s="18">
        <f>'raw data Crude oil'!A1621</f>
        <v>45026</v>
      </c>
      <c r="B1620">
        <f>'raw data Crude oil'!B1621</f>
        <v>84.18</v>
      </c>
      <c r="C1620">
        <f>'raw data Crude oil'!C1621</f>
        <v>83.79</v>
      </c>
      <c r="D1620">
        <f>'raw data Crude oil'!D1621</f>
        <v>83.21</v>
      </c>
      <c r="E1620">
        <f>'raw data Crude oil'!E1621</f>
        <v>82.61</v>
      </c>
      <c r="F1620">
        <f>'raw data Crude oil'!F1621</f>
        <v>82</v>
      </c>
      <c r="G1620">
        <f>'raw data Crude oil'!G1621</f>
        <v>81.400000000000006</v>
      </c>
      <c r="H1620">
        <f>'raw data Crude oil'!H1621</f>
        <v>80.81</v>
      </c>
      <c r="I1620">
        <f>'raw data Crude oil'!I1621</f>
        <v>80.23</v>
      </c>
      <c r="J1620">
        <f>'raw data Crude oil'!J1621</f>
        <v>79.67</v>
      </c>
      <c r="K1620">
        <f>'raw data Crude oil'!K1621</f>
        <v>79.17</v>
      </c>
      <c r="L1620">
        <f>'raw data Crude oil'!L1621</f>
        <v>78.67</v>
      </c>
      <c r="M1620">
        <f>'raw data Crude oil'!M1621</f>
        <v>78.209999999999994</v>
      </c>
      <c r="N1620">
        <f>'raw data Crude oil'!N1621</f>
        <v>79.739999999999995</v>
      </c>
      <c r="O1620">
        <f>'raw data Crude oil'!O1621</f>
        <v>79.77</v>
      </c>
      <c r="P1620">
        <f>'raw data Crude oil'!P1621</f>
        <v>79.459999999999994</v>
      </c>
      <c r="Q1620">
        <f>'raw data Crude oil'!Q1621</f>
        <v>78.92</v>
      </c>
      <c r="R1620">
        <f>'raw data Crude oil'!R1621</f>
        <v>78.27</v>
      </c>
      <c r="S1620">
        <f>'raw data Crude oil'!S1621</f>
        <v>77.59</v>
      </c>
      <c r="T1620">
        <f>'raw data Crude oil'!T1621</f>
        <v>76.91</v>
      </c>
      <c r="U1620">
        <f>'raw data Crude oil'!U1621</f>
        <v>76.27</v>
      </c>
      <c r="V1620">
        <f>'raw data Crude oil'!V1621</f>
        <v>75.64</v>
      </c>
      <c r="W1620">
        <f>'raw data Crude oil'!W1621</f>
        <v>75.040000000000006</v>
      </c>
      <c r="X1620">
        <f>'raw data Crude oil'!X1621</f>
        <v>74.48</v>
      </c>
      <c r="Y1620">
        <f>'raw data Crude oil'!Y1621</f>
        <v>73.959999999999994</v>
      </c>
      <c r="Z1620">
        <f>'raw data Crude oil'!Z1621</f>
        <v>84.168999999999997</v>
      </c>
      <c r="AA1620">
        <f>'raw data Crude oil'!AA1621</f>
        <v>83.194999999999993</v>
      </c>
      <c r="AB1620">
        <f>'raw data Crude oil'!AB1621</f>
        <v>82.113</v>
      </c>
      <c r="AC1620">
        <f>'raw data Crude oil'!AC1621</f>
        <v>81.195999999999998</v>
      </c>
      <c r="AD1620">
        <f>'raw data Crude oil'!AD1621</f>
        <v>80.325000000000003</v>
      </c>
      <c r="AE1620">
        <f>'raw data Crude oil'!AE1621</f>
        <v>79.561999999999998</v>
      </c>
      <c r="AF1620">
        <f>'raw data Crude oil'!AF1621</f>
        <v>78.813999999999993</v>
      </c>
      <c r="AG1620">
        <f>'raw data Crude oil'!AG1621</f>
        <v>78.084999999999994</v>
      </c>
      <c r="AH1620">
        <f>'raw data Crude oil'!AH1621</f>
        <v>77.41</v>
      </c>
      <c r="AI1620">
        <f>'raw data Crude oil'!AI1621</f>
        <v>76.787000000000006</v>
      </c>
      <c r="AJ1620">
        <f>'raw data Crude oil'!AJ1621</f>
        <v>76.278000000000006</v>
      </c>
      <c r="AK1620">
        <f>'raw data Crude oil'!AK1621</f>
        <v>75.799000000000007</v>
      </c>
    </row>
    <row r="1621" spans="1:37" x14ac:dyDescent="0.3">
      <c r="A1621" s="18">
        <f>'raw data Crude oil'!A1622</f>
        <v>45027</v>
      </c>
      <c r="B1621">
        <f>'raw data Crude oil'!B1622</f>
        <v>85.61</v>
      </c>
      <c r="C1621">
        <f>'raw data Crude oil'!C1622</f>
        <v>85.17</v>
      </c>
      <c r="D1621">
        <f>'raw data Crude oil'!D1622</f>
        <v>84.54</v>
      </c>
      <c r="E1621">
        <f>'raw data Crude oil'!E1622</f>
        <v>83.91</v>
      </c>
      <c r="F1621">
        <f>'raw data Crude oil'!F1622</f>
        <v>83.27</v>
      </c>
      <c r="G1621">
        <f>'raw data Crude oil'!G1622</f>
        <v>82.64</v>
      </c>
      <c r="H1621">
        <f>'raw data Crude oil'!H1622</f>
        <v>82.02</v>
      </c>
      <c r="I1621">
        <f>'raw data Crude oil'!I1622</f>
        <v>81.41</v>
      </c>
      <c r="J1621">
        <f>'raw data Crude oil'!J1622</f>
        <v>80.83</v>
      </c>
      <c r="K1621">
        <f>'raw data Crude oil'!K1622</f>
        <v>80.3</v>
      </c>
      <c r="L1621">
        <f>'raw data Crude oil'!L1622</f>
        <v>79.78</v>
      </c>
      <c r="M1621">
        <f>'raw data Crude oil'!M1622</f>
        <v>79.290000000000006</v>
      </c>
      <c r="N1621">
        <f>'raw data Crude oil'!N1622</f>
        <v>81.53</v>
      </c>
      <c r="O1621">
        <f>'raw data Crude oil'!O1622</f>
        <v>81.489999999999995</v>
      </c>
      <c r="P1621">
        <f>'raw data Crude oil'!P1622</f>
        <v>81.14</v>
      </c>
      <c r="Q1621">
        <f>'raw data Crude oil'!Q1622</f>
        <v>80.569999999999993</v>
      </c>
      <c r="R1621">
        <f>'raw data Crude oil'!R1622</f>
        <v>79.88</v>
      </c>
      <c r="S1621">
        <f>'raw data Crude oil'!S1622</f>
        <v>79.150000000000006</v>
      </c>
      <c r="T1621">
        <f>'raw data Crude oil'!T1622</f>
        <v>78.430000000000007</v>
      </c>
      <c r="U1621">
        <f>'raw data Crude oil'!U1622</f>
        <v>77.73</v>
      </c>
      <c r="V1621">
        <f>'raw data Crude oil'!V1622</f>
        <v>77.05</v>
      </c>
      <c r="W1621">
        <f>'raw data Crude oil'!W1622</f>
        <v>76.41</v>
      </c>
      <c r="X1621">
        <f>'raw data Crude oil'!X1622</f>
        <v>75.819999999999993</v>
      </c>
      <c r="Y1621">
        <f>'raw data Crude oil'!Y1622</f>
        <v>75.260000000000005</v>
      </c>
      <c r="Z1621">
        <f>'raw data Crude oil'!Z1622</f>
        <v>85.173000000000002</v>
      </c>
      <c r="AA1621">
        <f>'raw data Crude oil'!AA1622</f>
        <v>84.703000000000003</v>
      </c>
      <c r="AB1621">
        <f>'raw data Crude oil'!AB1622</f>
        <v>83.551000000000002</v>
      </c>
      <c r="AC1621">
        <f>'raw data Crude oil'!AC1622</f>
        <v>82.57</v>
      </c>
      <c r="AD1621">
        <f>'raw data Crude oil'!AD1622</f>
        <v>81.688000000000002</v>
      </c>
      <c r="AE1621">
        <f>'raw data Crude oil'!AE1622</f>
        <v>80.909000000000006</v>
      </c>
      <c r="AF1621">
        <f>'raw data Crude oil'!AF1622</f>
        <v>80.152000000000001</v>
      </c>
      <c r="AG1621">
        <f>'raw data Crude oil'!AG1622</f>
        <v>79.375</v>
      </c>
      <c r="AH1621">
        <f>'raw data Crude oil'!AH1622</f>
        <v>78.647000000000006</v>
      </c>
      <c r="AI1621">
        <f>'raw data Crude oil'!AI1622</f>
        <v>78.055999999999997</v>
      </c>
      <c r="AJ1621">
        <f>'raw data Crude oil'!AJ1622</f>
        <v>77.497</v>
      </c>
      <c r="AK1621">
        <f>'raw data Crude oil'!AK1622</f>
        <v>76.977999999999994</v>
      </c>
    </row>
    <row r="1622" spans="1:37" x14ac:dyDescent="0.3">
      <c r="A1622" s="18">
        <f>'raw data Crude oil'!A1623</f>
        <v>45028</v>
      </c>
      <c r="B1622">
        <f>'raw data Crude oil'!B1623</f>
        <v>87.33</v>
      </c>
      <c r="C1622">
        <f>'raw data Crude oil'!C1623</f>
        <v>86.75</v>
      </c>
      <c r="D1622">
        <f>'raw data Crude oil'!D1623</f>
        <v>86.04</v>
      </c>
      <c r="E1622">
        <f>'raw data Crude oil'!E1623</f>
        <v>85.34</v>
      </c>
      <c r="F1622">
        <f>'raw data Crude oil'!F1623</f>
        <v>84.65</v>
      </c>
      <c r="G1622">
        <f>'raw data Crude oil'!G1623</f>
        <v>83.99</v>
      </c>
      <c r="H1622">
        <f>'raw data Crude oil'!H1623</f>
        <v>83.34</v>
      </c>
      <c r="I1622">
        <f>'raw data Crude oil'!I1623</f>
        <v>82.72</v>
      </c>
      <c r="J1622">
        <f>'raw data Crude oil'!J1623</f>
        <v>82.13</v>
      </c>
      <c r="K1622">
        <f>'raw data Crude oil'!K1623</f>
        <v>81.58</v>
      </c>
      <c r="L1622">
        <f>'raw data Crude oil'!L1623</f>
        <v>81.040000000000006</v>
      </c>
      <c r="M1622">
        <f>'raw data Crude oil'!M1623</f>
        <v>80.540000000000006</v>
      </c>
      <c r="N1622">
        <f>'raw data Crude oil'!N1623</f>
        <v>83.26</v>
      </c>
      <c r="O1622">
        <f>'raw data Crude oil'!O1623</f>
        <v>83.09</v>
      </c>
      <c r="P1622">
        <f>'raw data Crude oil'!P1623</f>
        <v>82.65</v>
      </c>
      <c r="Q1622">
        <f>'raw data Crude oil'!Q1623</f>
        <v>81.98</v>
      </c>
      <c r="R1622">
        <f>'raw data Crude oil'!R1623</f>
        <v>81.209999999999994</v>
      </c>
      <c r="S1622">
        <f>'raw data Crude oil'!S1623</f>
        <v>80.41</v>
      </c>
      <c r="T1622">
        <f>'raw data Crude oil'!T1623</f>
        <v>79.650000000000006</v>
      </c>
      <c r="U1622">
        <f>'raw data Crude oil'!U1623</f>
        <v>78.95</v>
      </c>
      <c r="V1622">
        <f>'raw data Crude oil'!V1623</f>
        <v>78.260000000000005</v>
      </c>
      <c r="W1622">
        <f>'raw data Crude oil'!W1623</f>
        <v>77.62</v>
      </c>
      <c r="X1622">
        <f>'raw data Crude oil'!X1623</f>
        <v>77.02</v>
      </c>
      <c r="Y1622">
        <f>'raw data Crude oil'!Y1623</f>
        <v>76.47</v>
      </c>
      <c r="Z1622">
        <f>'raw data Crude oil'!Z1623</f>
        <v>86.224999999999994</v>
      </c>
      <c r="AA1622">
        <f>'raw data Crude oil'!AA1623</f>
        <v>86.358999999999995</v>
      </c>
      <c r="AB1622">
        <f>'raw data Crude oil'!AB1623</f>
        <v>85.135999999999996</v>
      </c>
      <c r="AC1622">
        <f>'raw data Crude oil'!AC1623</f>
        <v>84.087000000000003</v>
      </c>
      <c r="AD1622">
        <f>'raw data Crude oil'!AD1623</f>
        <v>83.161000000000001</v>
      </c>
      <c r="AE1622">
        <f>'raw data Crude oil'!AE1623</f>
        <v>82.353999999999999</v>
      </c>
      <c r="AF1622">
        <f>'raw data Crude oil'!AF1623</f>
        <v>81.537000000000006</v>
      </c>
      <c r="AG1622">
        <f>'raw data Crude oil'!AG1623</f>
        <v>80.783000000000001</v>
      </c>
      <c r="AH1622">
        <f>'raw data Crude oil'!AH1623</f>
        <v>80.052000000000007</v>
      </c>
      <c r="AI1622">
        <f>'raw data Crude oil'!AI1623</f>
        <v>79.415000000000006</v>
      </c>
      <c r="AJ1622">
        <f>'raw data Crude oil'!AJ1623</f>
        <v>78.855999999999995</v>
      </c>
      <c r="AK1622">
        <f>'raw data Crude oil'!AK1623</f>
        <v>78.346999999999994</v>
      </c>
    </row>
    <row r="1623" spans="1:37" x14ac:dyDescent="0.3">
      <c r="A1623" s="18">
        <f>'raw data Crude oil'!A1624</f>
        <v>45029</v>
      </c>
      <c r="B1623">
        <f>'raw data Crude oil'!B1624</f>
        <v>86.09</v>
      </c>
      <c r="C1623">
        <f>'raw data Crude oil'!C1624</f>
        <v>85.68</v>
      </c>
      <c r="D1623">
        <f>'raw data Crude oil'!D1624</f>
        <v>85.09</v>
      </c>
      <c r="E1623">
        <f>'raw data Crude oil'!E1624</f>
        <v>84.47</v>
      </c>
      <c r="F1623">
        <f>'raw data Crude oil'!F1624</f>
        <v>83.84</v>
      </c>
      <c r="G1623">
        <f>'raw data Crude oil'!G1624</f>
        <v>83.22</v>
      </c>
      <c r="H1623">
        <f>'raw data Crude oil'!H1624</f>
        <v>82.62</v>
      </c>
      <c r="I1623">
        <f>'raw data Crude oil'!I1624</f>
        <v>82.05</v>
      </c>
      <c r="J1623">
        <f>'raw data Crude oil'!J1624</f>
        <v>81.489999999999995</v>
      </c>
      <c r="K1623">
        <f>'raw data Crude oil'!K1624</f>
        <v>80.989999999999995</v>
      </c>
      <c r="L1623">
        <f>'raw data Crude oil'!L1624</f>
        <v>80.489999999999995</v>
      </c>
      <c r="M1623">
        <f>'raw data Crude oil'!M1624</f>
        <v>80.040000000000006</v>
      </c>
      <c r="N1623">
        <f>'raw data Crude oil'!N1624</f>
        <v>82.16</v>
      </c>
      <c r="O1623">
        <f>'raw data Crude oil'!O1624</f>
        <v>82.04</v>
      </c>
      <c r="P1623">
        <f>'raw data Crude oil'!P1624</f>
        <v>81.680000000000007</v>
      </c>
      <c r="Q1623">
        <f>'raw data Crude oil'!Q1624</f>
        <v>81.099999999999994</v>
      </c>
      <c r="R1623">
        <f>'raw data Crude oil'!R1624</f>
        <v>80.400000000000006</v>
      </c>
      <c r="S1623">
        <f>'raw data Crude oil'!S1624</f>
        <v>79.67</v>
      </c>
      <c r="T1623">
        <f>'raw data Crude oil'!T1624</f>
        <v>78.959999999999994</v>
      </c>
      <c r="U1623">
        <f>'raw data Crude oil'!U1624</f>
        <v>78.31</v>
      </c>
      <c r="V1623">
        <f>'raw data Crude oil'!V1624</f>
        <v>77.680000000000007</v>
      </c>
      <c r="W1623">
        <f>'raw data Crude oil'!W1624</f>
        <v>77.09</v>
      </c>
      <c r="X1623">
        <f>'raw data Crude oil'!X1624</f>
        <v>76.52</v>
      </c>
      <c r="Y1623">
        <f>'raw data Crude oil'!Y1624</f>
        <v>76.010000000000005</v>
      </c>
      <c r="Z1623">
        <f>'raw data Crude oil'!Z1624</f>
        <v>85.608999999999995</v>
      </c>
      <c r="AA1623">
        <f>'raw data Crude oil'!AA1624</f>
        <v>85.275000000000006</v>
      </c>
      <c r="AB1623">
        <f>'raw data Crude oil'!AB1624</f>
        <v>84.153000000000006</v>
      </c>
      <c r="AC1623">
        <f>'raw data Crude oil'!AC1624</f>
        <v>83.174999999999997</v>
      </c>
      <c r="AD1623">
        <f>'raw data Crude oil'!AD1624</f>
        <v>82.302999999999997</v>
      </c>
      <c r="AE1623">
        <f>'raw data Crude oil'!AE1624</f>
        <v>81.522999999999996</v>
      </c>
      <c r="AF1623">
        <f>'raw data Crude oil'!AF1624</f>
        <v>80.816999999999993</v>
      </c>
      <c r="AG1623">
        <f>'raw data Crude oil'!AG1624</f>
        <v>80.117000000000004</v>
      </c>
      <c r="AH1623">
        <f>'raw data Crude oil'!AH1624</f>
        <v>79.403000000000006</v>
      </c>
      <c r="AI1623">
        <f>'raw data Crude oil'!AI1624</f>
        <v>78.876999999999995</v>
      </c>
      <c r="AJ1623">
        <f>'raw data Crude oil'!AJ1624</f>
        <v>78.349000000000004</v>
      </c>
      <c r="AK1623">
        <f>'raw data Crude oil'!AK1624</f>
        <v>77.858000000000004</v>
      </c>
    </row>
    <row r="1624" spans="1:37" x14ac:dyDescent="0.3">
      <c r="A1624" s="18">
        <f>'raw data Crude oil'!A1625</f>
        <v>45030</v>
      </c>
      <c r="B1624">
        <f>'raw data Crude oil'!B1625</f>
        <v>86.31</v>
      </c>
      <c r="C1624">
        <f>'raw data Crude oil'!C1625</f>
        <v>85.87</v>
      </c>
      <c r="D1624">
        <f>'raw data Crude oil'!D1625</f>
        <v>85.28</v>
      </c>
      <c r="E1624">
        <f>'raw data Crude oil'!E1625</f>
        <v>84.68</v>
      </c>
      <c r="F1624">
        <f>'raw data Crude oil'!F1625</f>
        <v>84.06</v>
      </c>
      <c r="G1624">
        <f>'raw data Crude oil'!G1625</f>
        <v>83.46</v>
      </c>
      <c r="H1624">
        <f>'raw data Crude oil'!H1625</f>
        <v>82.86</v>
      </c>
      <c r="I1624">
        <f>'raw data Crude oil'!I1625</f>
        <v>82.29</v>
      </c>
      <c r="J1624">
        <f>'raw data Crude oil'!J1625</f>
        <v>81.73</v>
      </c>
      <c r="K1624">
        <f>'raw data Crude oil'!K1625</f>
        <v>81.23</v>
      </c>
      <c r="L1624">
        <f>'raw data Crude oil'!L1625</f>
        <v>80.73</v>
      </c>
      <c r="M1624">
        <f>'raw data Crude oil'!M1625</f>
        <v>80.27</v>
      </c>
      <c r="N1624">
        <f>'raw data Crude oil'!N1625</f>
        <v>82.52</v>
      </c>
      <c r="O1624">
        <f>'raw data Crude oil'!O1625</f>
        <v>82.43</v>
      </c>
      <c r="P1624">
        <f>'raw data Crude oil'!P1625</f>
        <v>82.06</v>
      </c>
      <c r="Q1624">
        <f>'raw data Crude oil'!Q1625</f>
        <v>81.47</v>
      </c>
      <c r="R1624">
        <f>'raw data Crude oil'!R1625</f>
        <v>80.77</v>
      </c>
      <c r="S1624">
        <f>'raw data Crude oil'!S1625</f>
        <v>80.040000000000006</v>
      </c>
      <c r="T1624">
        <f>'raw data Crude oil'!T1625</f>
        <v>79.33</v>
      </c>
      <c r="U1624">
        <f>'raw data Crude oil'!U1625</f>
        <v>78.66</v>
      </c>
      <c r="V1624">
        <f>'raw data Crude oil'!V1625</f>
        <v>78.010000000000005</v>
      </c>
      <c r="W1624">
        <f>'raw data Crude oil'!W1625</f>
        <v>77.400000000000006</v>
      </c>
      <c r="X1624">
        <f>'raw data Crude oil'!X1625</f>
        <v>76.849999999999994</v>
      </c>
      <c r="Y1624">
        <f>'raw data Crude oil'!Y1625</f>
        <v>76.319999999999993</v>
      </c>
      <c r="Z1624">
        <f>'raw data Crude oil'!Z1625</f>
        <v>85.69</v>
      </c>
      <c r="AA1624">
        <f>'raw data Crude oil'!AA1625</f>
        <v>85.424000000000007</v>
      </c>
      <c r="AB1624">
        <f>'raw data Crude oil'!AB1625</f>
        <v>84.277000000000001</v>
      </c>
      <c r="AC1624">
        <f>'raw data Crude oil'!AC1625</f>
        <v>83.343000000000004</v>
      </c>
      <c r="AD1624">
        <f>'raw data Crude oil'!AD1625</f>
        <v>82.471999999999994</v>
      </c>
      <c r="AE1624">
        <f>'raw data Crude oil'!AE1625</f>
        <v>81.730999999999995</v>
      </c>
      <c r="AF1624">
        <f>'raw data Crude oil'!AF1625</f>
        <v>81.003</v>
      </c>
      <c r="AG1624">
        <f>'raw data Crude oil'!AG1625</f>
        <v>80.314999999999998</v>
      </c>
      <c r="AH1624">
        <f>'raw data Crude oil'!AH1625</f>
        <v>79.58</v>
      </c>
      <c r="AI1624">
        <f>'raw data Crude oil'!AI1625</f>
        <v>79.007000000000005</v>
      </c>
      <c r="AJ1624">
        <f>'raw data Crude oil'!AJ1625</f>
        <v>78.498000000000005</v>
      </c>
      <c r="AK1624">
        <f>'raw data Crude oil'!AK1625</f>
        <v>78.028000000000006</v>
      </c>
    </row>
    <row r="1625" spans="1:37" x14ac:dyDescent="0.3">
      <c r="A1625" s="18">
        <f>'raw data Crude oil'!A1626</f>
        <v>45033</v>
      </c>
      <c r="B1625">
        <f>'raw data Crude oil'!B1626</f>
        <v>84.76</v>
      </c>
      <c r="C1625">
        <f>'raw data Crude oil'!C1626</f>
        <v>84.45</v>
      </c>
      <c r="D1625">
        <f>'raw data Crude oil'!D1626</f>
        <v>83.93</v>
      </c>
      <c r="E1625">
        <f>'raw data Crude oil'!E1626</f>
        <v>83.39</v>
      </c>
      <c r="F1625">
        <f>'raw data Crude oil'!F1626</f>
        <v>82.82</v>
      </c>
      <c r="G1625">
        <f>'raw data Crude oil'!G1626</f>
        <v>82.27</v>
      </c>
      <c r="H1625">
        <f>'raw data Crude oil'!H1626</f>
        <v>81.72</v>
      </c>
      <c r="I1625">
        <f>'raw data Crude oil'!I1626</f>
        <v>81.19</v>
      </c>
      <c r="J1625">
        <f>'raw data Crude oil'!J1626</f>
        <v>80.680000000000007</v>
      </c>
      <c r="K1625">
        <f>'raw data Crude oil'!K1626</f>
        <v>80.209999999999994</v>
      </c>
      <c r="L1625">
        <f>'raw data Crude oil'!L1626</f>
        <v>79.760000000000005</v>
      </c>
      <c r="M1625">
        <f>'raw data Crude oil'!M1626</f>
        <v>79.319999999999993</v>
      </c>
      <c r="N1625">
        <f>'raw data Crude oil'!N1626</f>
        <v>80.83</v>
      </c>
      <c r="O1625">
        <f>'raw data Crude oil'!O1626</f>
        <v>80.83</v>
      </c>
      <c r="P1625">
        <f>'raw data Crude oil'!P1626</f>
        <v>80.56</v>
      </c>
      <c r="Q1625">
        <f>'raw data Crude oil'!Q1626</f>
        <v>80.05</v>
      </c>
      <c r="R1625">
        <f>'raw data Crude oil'!R1626</f>
        <v>79.41</v>
      </c>
      <c r="S1625">
        <f>'raw data Crude oil'!S1626</f>
        <v>78.739999999999995</v>
      </c>
      <c r="T1625">
        <f>'raw data Crude oil'!T1626</f>
        <v>78.09</v>
      </c>
      <c r="U1625">
        <f>'raw data Crude oil'!U1626</f>
        <v>77.489999999999995</v>
      </c>
      <c r="V1625">
        <f>'raw data Crude oil'!V1626</f>
        <v>76.91</v>
      </c>
      <c r="W1625">
        <f>'raw data Crude oil'!W1626</f>
        <v>76.349999999999994</v>
      </c>
      <c r="X1625">
        <f>'raw data Crude oil'!X1626</f>
        <v>75.819999999999993</v>
      </c>
      <c r="Y1625">
        <f>'raw data Crude oil'!Y1626</f>
        <v>75.33</v>
      </c>
      <c r="Z1625">
        <f>'raw data Crude oil'!Z1626</f>
        <v>85.034999999999997</v>
      </c>
      <c r="AA1625">
        <f>'raw data Crude oil'!AA1626</f>
        <v>84.027000000000001</v>
      </c>
      <c r="AB1625">
        <f>'raw data Crude oil'!AB1626</f>
        <v>82.915000000000006</v>
      </c>
      <c r="AC1625">
        <f>'raw data Crude oil'!AC1626</f>
        <v>82.003</v>
      </c>
      <c r="AD1625">
        <f>'raw data Crude oil'!AD1626</f>
        <v>81.195999999999998</v>
      </c>
      <c r="AE1625">
        <f>'raw data Crude oil'!AE1626</f>
        <v>80.491</v>
      </c>
      <c r="AF1625">
        <f>'raw data Crude oil'!AF1626</f>
        <v>79.816000000000003</v>
      </c>
      <c r="AG1625">
        <f>'raw data Crude oil'!AG1626</f>
        <v>79.155000000000001</v>
      </c>
      <c r="AH1625">
        <f>'raw data Crude oil'!AH1626</f>
        <v>78.472999999999999</v>
      </c>
      <c r="AI1625">
        <f>'raw data Crude oil'!AI1626</f>
        <v>77.98</v>
      </c>
      <c r="AJ1625">
        <f>'raw data Crude oil'!AJ1626</f>
        <v>77.498999999999995</v>
      </c>
      <c r="AK1625">
        <f>'raw data Crude oil'!AK1626</f>
        <v>77.03</v>
      </c>
    </row>
    <row r="1626" spans="1:37" x14ac:dyDescent="0.3">
      <c r="A1626" s="18">
        <f>'raw data Crude oil'!A1627</f>
        <v>45034</v>
      </c>
      <c r="B1626">
        <f>'raw data Crude oil'!B1627</f>
        <v>84.77</v>
      </c>
      <c r="C1626">
        <f>'raw data Crude oil'!C1627</f>
        <v>84.45</v>
      </c>
      <c r="D1626">
        <f>'raw data Crude oil'!D1627</f>
        <v>83.96</v>
      </c>
      <c r="E1626">
        <f>'raw data Crude oil'!E1627</f>
        <v>83.43</v>
      </c>
      <c r="F1626">
        <f>'raw data Crude oil'!F1627</f>
        <v>82.87</v>
      </c>
      <c r="G1626">
        <f>'raw data Crude oil'!G1627</f>
        <v>82.33</v>
      </c>
      <c r="H1626">
        <f>'raw data Crude oil'!H1627</f>
        <v>81.790000000000006</v>
      </c>
      <c r="I1626">
        <f>'raw data Crude oil'!I1627</f>
        <v>81.28</v>
      </c>
      <c r="J1626">
        <f>'raw data Crude oil'!J1627</f>
        <v>80.790000000000006</v>
      </c>
      <c r="K1626">
        <f>'raw data Crude oil'!K1627</f>
        <v>80.34</v>
      </c>
      <c r="L1626">
        <f>'raw data Crude oil'!L1627</f>
        <v>79.91</v>
      </c>
      <c r="M1626">
        <f>'raw data Crude oil'!M1627</f>
        <v>79.48</v>
      </c>
      <c r="N1626">
        <f>'raw data Crude oil'!N1627</f>
        <v>80.86</v>
      </c>
      <c r="O1626">
        <f>'raw data Crude oil'!O1627</f>
        <v>80.900000000000006</v>
      </c>
      <c r="P1626">
        <f>'raw data Crude oil'!P1627</f>
        <v>80.61</v>
      </c>
      <c r="Q1626">
        <f>'raw data Crude oil'!Q1627</f>
        <v>80.09</v>
      </c>
      <c r="R1626">
        <f>'raw data Crude oil'!R1627</f>
        <v>79.45</v>
      </c>
      <c r="S1626">
        <f>'raw data Crude oil'!S1627</f>
        <v>78.790000000000006</v>
      </c>
      <c r="T1626">
        <f>'raw data Crude oil'!T1627</f>
        <v>78.150000000000006</v>
      </c>
      <c r="U1626">
        <f>'raw data Crude oil'!U1627</f>
        <v>77.56</v>
      </c>
      <c r="V1626">
        <f>'raw data Crude oil'!V1627</f>
        <v>77</v>
      </c>
      <c r="W1626">
        <f>'raw data Crude oil'!W1627</f>
        <v>76.47</v>
      </c>
      <c r="X1626">
        <f>'raw data Crude oil'!X1627</f>
        <v>75.959999999999994</v>
      </c>
      <c r="Y1626">
        <f>'raw data Crude oil'!Y1627</f>
        <v>75.489999999999995</v>
      </c>
      <c r="Z1626">
        <f>'raw data Crude oil'!Z1627</f>
        <v>84.995000000000005</v>
      </c>
      <c r="AA1626">
        <f>'raw data Crude oil'!AA1627</f>
        <v>83.948999999999998</v>
      </c>
      <c r="AB1626">
        <f>'raw data Crude oil'!AB1627</f>
        <v>82.911000000000001</v>
      </c>
      <c r="AC1626">
        <f>'raw data Crude oil'!AC1627</f>
        <v>82.063000000000002</v>
      </c>
      <c r="AD1626">
        <f>'raw data Crude oil'!AD1627</f>
        <v>81.316999999999993</v>
      </c>
      <c r="AE1626">
        <f>'raw data Crude oil'!AE1627</f>
        <v>80.638999999999996</v>
      </c>
      <c r="AF1626">
        <f>'raw data Crude oil'!AF1627</f>
        <v>79.972999999999999</v>
      </c>
      <c r="AG1626">
        <f>'raw data Crude oil'!AG1627</f>
        <v>79.334999999999994</v>
      </c>
      <c r="AH1626">
        <f>'raw data Crude oil'!AH1627</f>
        <v>78.709000000000003</v>
      </c>
      <c r="AI1626">
        <f>'raw data Crude oil'!AI1627</f>
        <v>78.19</v>
      </c>
      <c r="AJ1626">
        <f>'raw data Crude oil'!AJ1627</f>
        <v>77.7</v>
      </c>
      <c r="AK1626">
        <f>'raw data Crude oil'!AK1627</f>
        <v>77.22</v>
      </c>
    </row>
    <row r="1627" spans="1:37" x14ac:dyDescent="0.3">
      <c r="A1627" s="18">
        <f>'raw data Crude oil'!A1628</f>
        <v>45035</v>
      </c>
      <c r="B1627">
        <f>'raw data Crude oil'!B1628</f>
        <v>83.12</v>
      </c>
      <c r="C1627">
        <f>'raw data Crude oil'!C1628</f>
        <v>82.79</v>
      </c>
      <c r="D1627">
        <f>'raw data Crude oil'!D1628</f>
        <v>82.35</v>
      </c>
      <c r="E1627">
        <f>'raw data Crude oil'!E1628</f>
        <v>81.87</v>
      </c>
      <c r="F1627">
        <f>'raw data Crude oil'!F1628</f>
        <v>81.34</v>
      </c>
      <c r="G1627">
        <f>'raw data Crude oil'!G1628</f>
        <v>80.819999999999993</v>
      </c>
      <c r="H1627">
        <f>'raw data Crude oil'!H1628</f>
        <v>80.31</v>
      </c>
      <c r="I1627">
        <f>'raw data Crude oil'!I1628</f>
        <v>79.819999999999993</v>
      </c>
      <c r="J1627">
        <f>'raw data Crude oil'!J1628</f>
        <v>79.36</v>
      </c>
      <c r="K1627">
        <f>'raw data Crude oil'!K1628</f>
        <v>78.959999999999994</v>
      </c>
      <c r="L1627">
        <f>'raw data Crude oil'!L1628</f>
        <v>78.55</v>
      </c>
      <c r="M1627">
        <f>'raw data Crude oil'!M1628</f>
        <v>78.17</v>
      </c>
      <c r="N1627">
        <f>'raw data Crude oil'!N1628</f>
        <v>79.16</v>
      </c>
      <c r="O1627">
        <f>'raw data Crude oil'!O1628</f>
        <v>79.239999999999995</v>
      </c>
      <c r="P1627">
        <f>'raw data Crude oil'!P1628</f>
        <v>78.959999999999994</v>
      </c>
      <c r="Q1627">
        <f>'raw data Crude oil'!Q1628</f>
        <v>78.45</v>
      </c>
      <c r="R1627">
        <f>'raw data Crude oil'!R1628</f>
        <v>77.83</v>
      </c>
      <c r="S1627">
        <f>'raw data Crude oil'!S1628</f>
        <v>77.19</v>
      </c>
      <c r="T1627">
        <f>'raw data Crude oil'!T1628</f>
        <v>76.58</v>
      </c>
      <c r="U1627">
        <f>'raw data Crude oil'!U1628</f>
        <v>76.02</v>
      </c>
      <c r="V1627">
        <f>'raw data Crude oil'!V1628</f>
        <v>75.489999999999995</v>
      </c>
      <c r="W1627">
        <f>'raw data Crude oil'!W1628</f>
        <v>74.98</v>
      </c>
      <c r="X1627">
        <f>'raw data Crude oil'!X1628</f>
        <v>74.52</v>
      </c>
      <c r="Y1627">
        <f>'raw data Crude oil'!Y1628</f>
        <v>74.08</v>
      </c>
      <c r="Z1627">
        <f>'raw data Crude oil'!Z1628</f>
        <v>84.314999999999998</v>
      </c>
      <c r="AA1627">
        <f>'raw data Crude oil'!AA1628</f>
        <v>82.271000000000001</v>
      </c>
      <c r="AB1627">
        <f>'raw data Crude oil'!AB1628</f>
        <v>81.293000000000006</v>
      </c>
      <c r="AC1627">
        <f>'raw data Crude oil'!AC1628</f>
        <v>80.483999999999995</v>
      </c>
      <c r="AD1627">
        <f>'raw data Crude oil'!AD1628</f>
        <v>79.757000000000005</v>
      </c>
      <c r="AE1627">
        <f>'raw data Crude oil'!AE1628</f>
        <v>79.116</v>
      </c>
      <c r="AF1627">
        <f>'raw data Crude oil'!AF1628</f>
        <v>78.498999999999995</v>
      </c>
      <c r="AG1627">
        <f>'raw data Crude oil'!AG1628</f>
        <v>77.909000000000006</v>
      </c>
      <c r="AH1627">
        <f>'raw data Crude oil'!AH1628</f>
        <v>77.319999999999993</v>
      </c>
      <c r="AI1627">
        <f>'raw data Crude oil'!AI1628</f>
        <v>76.850999999999999</v>
      </c>
      <c r="AJ1627">
        <f>'raw data Crude oil'!AJ1628</f>
        <v>76.421999999999997</v>
      </c>
      <c r="AK1627">
        <f>'raw data Crude oil'!AK1628</f>
        <v>75.992000000000004</v>
      </c>
    </row>
    <row r="1628" spans="1:37" x14ac:dyDescent="0.3">
      <c r="A1628" s="18">
        <f>'raw data Crude oil'!A1629</f>
        <v>45036</v>
      </c>
      <c r="B1628">
        <f>'raw data Crude oil'!B1629</f>
        <v>81.099999999999994</v>
      </c>
      <c r="C1628">
        <f>'raw data Crude oil'!C1629</f>
        <v>80.81</v>
      </c>
      <c r="D1628">
        <f>'raw data Crude oil'!D1629</f>
        <v>80.400000000000006</v>
      </c>
      <c r="E1628">
        <f>'raw data Crude oil'!E1629</f>
        <v>79.959999999999994</v>
      </c>
      <c r="F1628">
        <f>'raw data Crude oil'!F1629</f>
        <v>79.459999999999994</v>
      </c>
      <c r="G1628">
        <f>'raw data Crude oil'!G1629</f>
        <v>78.989999999999995</v>
      </c>
      <c r="H1628">
        <f>'raw data Crude oil'!H1629</f>
        <v>78.52</v>
      </c>
      <c r="I1628">
        <f>'raw data Crude oil'!I1629</f>
        <v>78.08</v>
      </c>
      <c r="J1628">
        <f>'raw data Crude oil'!J1629</f>
        <v>77.66</v>
      </c>
      <c r="K1628">
        <f>'raw data Crude oil'!K1629</f>
        <v>77.31</v>
      </c>
      <c r="L1628">
        <f>'raw data Crude oil'!L1629</f>
        <v>76.95</v>
      </c>
      <c r="M1628">
        <f>'raw data Crude oil'!M1629</f>
        <v>76.61</v>
      </c>
      <c r="N1628">
        <f>'raw data Crude oil'!N1629</f>
        <v>77.290000000000006</v>
      </c>
      <c r="O1628">
        <f>'raw data Crude oil'!O1629</f>
        <v>77.37</v>
      </c>
      <c r="P1628">
        <f>'raw data Crude oil'!P1629</f>
        <v>77.11</v>
      </c>
      <c r="Q1628">
        <f>'raw data Crude oil'!Q1629</f>
        <v>76.64</v>
      </c>
      <c r="R1628">
        <f>'raw data Crude oil'!R1629</f>
        <v>76.06</v>
      </c>
      <c r="S1628">
        <f>'raw data Crude oil'!S1629</f>
        <v>75.459999999999994</v>
      </c>
      <c r="T1628">
        <f>'raw data Crude oil'!T1629</f>
        <v>74.900000000000006</v>
      </c>
      <c r="U1628">
        <f>'raw data Crude oil'!U1629</f>
        <v>74.38</v>
      </c>
      <c r="V1628">
        <f>'raw data Crude oil'!V1629</f>
        <v>73.88</v>
      </c>
      <c r="W1628">
        <f>'raw data Crude oil'!W1629</f>
        <v>73.430000000000007</v>
      </c>
      <c r="X1628">
        <f>'raw data Crude oil'!X1629</f>
        <v>73.010000000000005</v>
      </c>
      <c r="Y1628">
        <f>'raw data Crude oil'!Y1629</f>
        <v>72.599999999999994</v>
      </c>
      <c r="Z1628">
        <f>'raw data Crude oil'!Z1629</f>
        <v>83.51</v>
      </c>
      <c r="AA1628">
        <f>'raw data Crude oil'!AA1629</f>
        <v>79.971999999999994</v>
      </c>
      <c r="AB1628">
        <f>'raw data Crude oil'!AB1629</f>
        <v>79.05</v>
      </c>
      <c r="AC1628">
        <f>'raw data Crude oil'!AC1629</f>
        <v>78.325999999999993</v>
      </c>
      <c r="AD1628">
        <f>'raw data Crude oil'!AD1629</f>
        <v>77.67</v>
      </c>
      <c r="AE1628">
        <f>'raw data Crude oil'!AE1629</f>
        <v>77.067999999999998</v>
      </c>
      <c r="AF1628">
        <f>'raw data Crude oil'!AF1629</f>
        <v>76.5</v>
      </c>
      <c r="AG1628">
        <f>'raw data Crude oil'!AG1629</f>
        <v>75.960999999999999</v>
      </c>
      <c r="AH1628">
        <f>'raw data Crude oil'!AH1629</f>
        <v>75.415000000000006</v>
      </c>
      <c r="AI1628">
        <f>'raw data Crude oil'!AI1629</f>
        <v>75.004000000000005</v>
      </c>
      <c r="AJ1628">
        <f>'raw data Crude oil'!AJ1629</f>
        <v>74.623999999999995</v>
      </c>
      <c r="AK1628">
        <f>'raw data Crude oil'!AK1629</f>
        <v>74.284000000000006</v>
      </c>
    </row>
    <row r="1629" spans="1:37" x14ac:dyDescent="0.3">
      <c r="A1629" s="18">
        <f>'raw data Crude oil'!A1630</f>
        <v>45037</v>
      </c>
      <c r="B1629">
        <f>'raw data Crude oil'!B1630</f>
        <v>81.66</v>
      </c>
      <c r="C1629">
        <f>'raw data Crude oil'!C1630</f>
        <v>81.459999999999994</v>
      </c>
      <c r="D1629">
        <f>'raw data Crude oil'!D1630</f>
        <v>81.099999999999994</v>
      </c>
      <c r="E1629">
        <f>'raw data Crude oil'!E1630</f>
        <v>80.7</v>
      </c>
      <c r="F1629">
        <f>'raw data Crude oil'!F1630</f>
        <v>80.239999999999995</v>
      </c>
      <c r="G1629">
        <f>'raw data Crude oil'!G1630</f>
        <v>79.790000000000006</v>
      </c>
      <c r="H1629">
        <f>'raw data Crude oil'!H1630</f>
        <v>79.34</v>
      </c>
      <c r="I1629">
        <f>'raw data Crude oil'!I1630</f>
        <v>78.91</v>
      </c>
      <c r="J1629">
        <f>'raw data Crude oil'!J1630</f>
        <v>78.510000000000005</v>
      </c>
      <c r="K1629">
        <f>'raw data Crude oil'!K1630</f>
        <v>78.17</v>
      </c>
      <c r="L1629">
        <f>'raw data Crude oil'!L1630</f>
        <v>77.83</v>
      </c>
      <c r="M1629">
        <f>'raw data Crude oil'!M1630</f>
        <v>77.510000000000005</v>
      </c>
      <c r="N1629">
        <f>'raw data Crude oil'!N1630</f>
        <v>77.87</v>
      </c>
      <c r="O1629">
        <f>'raw data Crude oil'!O1630</f>
        <v>77.709999999999994</v>
      </c>
      <c r="P1629">
        <f>'raw data Crude oil'!P1630</f>
        <v>77.319999999999993</v>
      </c>
      <c r="Q1629">
        <f>'raw data Crude oil'!Q1630</f>
        <v>76.8</v>
      </c>
      <c r="R1629">
        <f>'raw data Crude oil'!R1630</f>
        <v>76.239999999999995</v>
      </c>
      <c r="S1629">
        <f>'raw data Crude oil'!S1630</f>
        <v>75.709999999999994</v>
      </c>
      <c r="T1629">
        <f>'raw data Crude oil'!T1630</f>
        <v>75.22</v>
      </c>
      <c r="U1629">
        <f>'raw data Crude oil'!U1630</f>
        <v>74.75</v>
      </c>
      <c r="V1629">
        <f>'raw data Crude oil'!V1630</f>
        <v>74.31</v>
      </c>
      <c r="W1629">
        <f>'raw data Crude oil'!W1630</f>
        <v>73.900000000000006</v>
      </c>
      <c r="X1629">
        <f>'raw data Crude oil'!X1630</f>
        <v>73.52</v>
      </c>
      <c r="Y1629">
        <f>'raw data Crude oil'!Y1630</f>
        <v>73.180000000000007</v>
      </c>
      <c r="Z1629">
        <f>'raw data Crude oil'!Z1630</f>
        <v>83.728999999999999</v>
      </c>
      <c r="AA1629">
        <f>'raw data Crude oil'!AA1630</f>
        <v>80.793999999999997</v>
      </c>
      <c r="AB1629">
        <f>'raw data Crude oil'!AB1630</f>
        <v>79.902000000000001</v>
      </c>
      <c r="AC1629">
        <f>'raw data Crude oil'!AC1630</f>
        <v>79.156000000000006</v>
      </c>
      <c r="AD1629">
        <f>'raw data Crude oil'!AD1630</f>
        <v>78.504999999999995</v>
      </c>
      <c r="AE1629">
        <f>'raw data Crude oil'!AE1630</f>
        <v>77.902000000000001</v>
      </c>
      <c r="AF1629">
        <f>'raw data Crude oil'!AF1630</f>
        <v>77.331000000000003</v>
      </c>
      <c r="AG1629">
        <f>'raw data Crude oil'!AG1630</f>
        <v>76.790000000000006</v>
      </c>
      <c r="AH1629">
        <f>'raw data Crude oil'!AH1630</f>
        <v>76.251000000000005</v>
      </c>
      <c r="AI1629">
        <f>'raw data Crude oil'!AI1630</f>
        <v>75.894999999999996</v>
      </c>
      <c r="AJ1629">
        <f>'raw data Crude oil'!AJ1630</f>
        <v>75.525000000000006</v>
      </c>
      <c r="AK1629">
        <f>'raw data Crude oil'!AK1630</f>
        <v>75.183999999999997</v>
      </c>
    </row>
    <row r="1630" spans="1:37" x14ac:dyDescent="0.3">
      <c r="A1630" s="18">
        <f>'raw data Crude oil'!A1631</f>
        <v>45040</v>
      </c>
      <c r="B1630">
        <f>'raw data Crude oil'!B1631</f>
        <v>82.73</v>
      </c>
      <c r="C1630">
        <f>'raw data Crude oil'!C1631</f>
        <v>82.54</v>
      </c>
      <c r="D1630">
        <f>'raw data Crude oil'!D1631</f>
        <v>82.17</v>
      </c>
      <c r="E1630">
        <f>'raw data Crude oil'!E1631</f>
        <v>81.760000000000005</v>
      </c>
      <c r="F1630">
        <f>'raw data Crude oil'!F1631</f>
        <v>81.28</v>
      </c>
      <c r="G1630">
        <f>'raw data Crude oil'!G1631</f>
        <v>80.819999999999993</v>
      </c>
      <c r="H1630">
        <f>'raw data Crude oil'!H1631</f>
        <v>80.36</v>
      </c>
      <c r="I1630">
        <f>'raw data Crude oil'!I1631</f>
        <v>79.92</v>
      </c>
      <c r="J1630">
        <f>'raw data Crude oil'!J1631</f>
        <v>79.5</v>
      </c>
      <c r="K1630">
        <f>'raw data Crude oil'!K1631</f>
        <v>79.13</v>
      </c>
      <c r="L1630">
        <f>'raw data Crude oil'!L1631</f>
        <v>78.77</v>
      </c>
      <c r="M1630">
        <f>'raw data Crude oil'!M1631</f>
        <v>78.430000000000007</v>
      </c>
      <c r="N1630">
        <f>'raw data Crude oil'!N1631</f>
        <v>78.760000000000005</v>
      </c>
      <c r="O1630">
        <f>'raw data Crude oil'!O1631</f>
        <v>78.599999999999994</v>
      </c>
      <c r="P1630">
        <f>'raw data Crude oil'!P1631</f>
        <v>78.23</v>
      </c>
      <c r="Q1630">
        <f>'raw data Crude oil'!Q1631</f>
        <v>77.72</v>
      </c>
      <c r="R1630">
        <f>'raw data Crude oil'!R1631</f>
        <v>77.180000000000007</v>
      </c>
      <c r="S1630">
        <f>'raw data Crude oil'!S1631</f>
        <v>76.64</v>
      </c>
      <c r="T1630">
        <f>'raw data Crude oil'!T1631</f>
        <v>76.150000000000006</v>
      </c>
      <c r="U1630">
        <f>'raw data Crude oil'!U1631</f>
        <v>75.66</v>
      </c>
      <c r="V1630">
        <f>'raw data Crude oil'!V1631</f>
        <v>75.209999999999994</v>
      </c>
      <c r="W1630">
        <f>'raw data Crude oil'!W1631</f>
        <v>74.78</v>
      </c>
      <c r="X1630">
        <f>'raw data Crude oil'!X1631</f>
        <v>74.38</v>
      </c>
      <c r="Y1630">
        <f>'raw data Crude oil'!Y1631</f>
        <v>74</v>
      </c>
      <c r="Z1630">
        <f>'raw data Crude oil'!Z1631</f>
        <v>83.903000000000006</v>
      </c>
      <c r="AA1630">
        <f>'raw data Crude oil'!AA1631</f>
        <v>81.78</v>
      </c>
      <c r="AB1630">
        <f>'raw data Crude oil'!AB1631</f>
        <v>80.950999999999993</v>
      </c>
      <c r="AC1630">
        <f>'raw data Crude oil'!AC1631</f>
        <v>80.236999999999995</v>
      </c>
      <c r="AD1630">
        <f>'raw data Crude oil'!AD1631</f>
        <v>79.596000000000004</v>
      </c>
      <c r="AE1630">
        <f>'raw data Crude oil'!AE1631</f>
        <v>78.954999999999998</v>
      </c>
      <c r="AF1630">
        <f>'raw data Crude oil'!AF1631</f>
        <v>78.376999999999995</v>
      </c>
      <c r="AG1630">
        <f>'raw data Crude oil'!AG1631</f>
        <v>77.828000000000003</v>
      </c>
      <c r="AH1630">
        <f>'raw data Crude oil'!AH1631</f>
        <v>77.278999999999996</v>
      </c>
      <c r="AI1630">
        <f>'raw data Crude oil'!AI1631</f>
        <v>76.884</v>
      </c>
      <c r="AJ1630">
        <f>'raw data Crude oil'!AJ1631</f>
        <v>76.513999999999996</v>
      </c>
      <c r="AK1630">
        <f>'raw data Crude oil'!AK1631</f>
        <v>76.174000000000007</v>
      </c>
    </row>
    <row r="1631" spans="1:37" x14ac:dyDescent="0.3">
      <c r="A1631" s="18">
        <f>'raw data Crude oil'!A1632</f>
        <v>45041</v>
      </c>
      <c r="B1631">
        <f>'raw data Crude oil'!B1632</f>
        <v>80.77</v>
      </c>
      <c r="C1631">
        <f>'raw data Crude oil'!C1632</f>
        <v>80.599999999999994</v>
      </c>
      <c r="D1631">
        <f>'raw data Crude oil'!D1632</f>
        <v>80.23</v>
      </c>
      <c r="E1631">
        <f>'raw data Crude oil'!E1632</f>
        <v>79.81</v>
      </c>
      <c r="F1631">
        <f>'raw data Crude oil'!F1632</f>
        <v>79.319999999999993</v>
      </c>
      <c r="G1631">
        <f>'raw data Crude oil'!G1632</f>
        <v>78.849999999999994</v>
      </c>
      <c r="H1631">
        <f>'raw data Crude oil'!H1632</f>
        <v>78.38</v>
      </c>
      <c r="I1631">
        <f>'raw data Crude oil'!I1632</f>
        <v>77.94</v>
      </c>
      <c r="J1631">
        <f>'raw data Crude oil'!J1632</f>
        <v>77.53</v>
      </c>
      <c r="K1631">
        <f>'raw data Crude oil'!K1632</f>
        <v>77.17</v>
      </c>
      <c r="L1631">
        <f>'raw data Crude oil'!L1632</f>
        <v>76.83</v>
      </c>
      <c r="M1631">
        <f>'raw data Crude oil'!M1632</f>
        <v>76.510000000000005</v>
      </c>
      <c r="N1631">
        <f>'raw data Crude oil'!N1632</f>
        <v>77.069999999999993</v>
      </c>
      <c r="O1631">
        <f>'raw data Crude oil'!O1632</f>
        <v>76.87</v>
      </c>
      <c r="P1631">
        <f>'raw data Crude oil'!P1632</f>
        <v>76.459999999999994</v>
      </c>
      <c r="Q1631">
        <f>'raw data Crude oil'!Q1632</f>
        <v>75.92</v>
      </c>
      <c r="R1631">
        <f>'raw data Crude oil'!R1632</f>
        <v>75.33</v>
      </c>
      <c r="S1631">
        <f>'raw data Crude oil'!S1632</f>
        <v>74.760000000000005</v>
      </c>
      <c r="T1631">
        <f>'raw data Crude oil'!T1632</f>
        <v>74.23</v>
      </c>
      <c r="U1631">
        <f>'raw data Crude oil'!U1632</f>
        <v>73.73</v>
      </c>
      <c r="V1631">
        <f>'raw data Crude oil'!V1632</f>
        <v>73.27</v>
      </c>
      <c r="W1631">
        <f>'raw data Crude oil'!W1632</f>
        <v>72.849999999999994</v>
      </c>
      <c r="X1631">
        <f>'raw data Crude oil'!X1632</f>
        <v>72.45</v>
      </c>
      <c r="Y1631">
        <f>'raw data Crude oil'!Y1632</f>
        <v>72.09</v>
      </c>
      <c r="Z1631">
        <f>'raw data Crude oil'!Z1632</f>
        <v>83.564999999999998</v>
      </c>
      <c r="AA1631">
        <f>'raw data Crude oil'!AA1632</f>
        <v>79.754000000000005</v>
      </c>
      <c r="AB1631">
        <f>'raw data Crude oil'!AB1632</f>
        <v>78.933999999999997</v>
      </c>
      <c r="AC1631">
        <f>'raw data Crude oil'!AC1632</f>
        <v>78.231999999999999</v>
      </c>
      <c r="AD1631">
        <f>'raw data Crude oil'!AD1632</f>
        <v>77.58</v>
      </c>
      <c r="AE1631">
        <f>'raw data Crude oil'!AE1632</f>
        <v>76.968000000000004</v>
      </c>
      <c r="AF1631">
        <f>'raw data Crude oil'!AF1632</f>
        <v>76.42</v>
      </c>
      <c r="AG1631">
        <f>'raw data Crude oil'!AG1632</f>
        <v>75.870999999999995</v>
      </c>
      <c r="AH1631">
        <f>'raw data Crude oil'!AH1632</f>
        <v>75.353999999999999</v>
      </c>
      <c r="AI1631">
        <f>'raw data Crude oil'!AI1632</f>
        <v>74.974999999999994</v>
      </c>
      <c r="AJ1631">
        <f>'raw data Crude oil'!AJ1632</f>
        <v>74.635000000000005</v>
      </c>
      <c r="AK1631">
        <f>'raw data Crude oil'!AK1632</f>
        <v>74.325999999999993</v>
      </c>
    </row>
    <row r="1632" spans="1:37" x14ac:dyDescent="0.3">
      <c r="A1632" s="18">
        <f>'raw data Crude oil'!A1633</f>
        <v>45042</v>
      </c>
      <c r="B1632">
        <f>'raw data Crude oil'!B1633</f>
        <v>77.69</v>
      </c>
      <c r="C1632">
        <f>'raw data Crude oil'!C1633</f>
        <v>77.72</v>
      </c>
      <c r="D1632">
        <f>'raw data Crude oil'!D1633</f>
        <v>77.489999999999995</v>
      </c>
      <c r="E1632">
        <f>'raw data Crude oil'!E1633</f>
        <v>77.180000000000007</v>
      </c>
      <c r="F1632">
        <f>'raw data Crude oil'!F1633</f>
        <v>76.790000000000006</v>
      </c>
      <c r="G1632">
        <f>'raw data Crude oil'!G1633</f>
        <v>76.42</v>
      </c>
      <c r="H1632">
        <f>'raw data Crude oil'!H1633</f>
        <v>76.03</v>
      </c>
      <c r="I1632">
        <f>'raw data Crude oil'!I1633</f>
        <v>75.67</v>
      </c>
      <c r="J1632">
        <f>'raw data Crude oil'!J1633</f>
        <v>75.349999999999994</v>
      </c>
      <c r="K1632">
        <f>'raw data Crude oil'!K1633</f>
        <v>75.08</v>
      </c>
      <c r="L1632">
        <f>'raw data Crude oil'!L1633</f>
        <v>74.81</v>
      </c>
      <c r="M1632">
        <f>'raw data Crude oil'!M1633</f>
        <v>74.569999999999993</v>
      </c>
      <c r="N1632">
        <f>'raw data Crude oil'!N1633</f>
        <v>74.3</v>
      </c>
      <c r="O1632">
        <f>'raw data Crude oil'!O1633</f>
        <v>74.19</v>
      </c>
      <c r="P1632">
        <f>'raw data Crude oil'!P1633</f>
        <v>73.87</v>
      </c>
      <c r="Q1632">
        <f>'raw data Crude oil'!Q1633</f>
        <v>73.42</v>
      </c>
      <c r="R1632">
        <f>'raw data Crude oil'!R1633</f>
        <v>72.92</v>
      </c>
      <c r="S1632">
        <f>'raw data Crude oil'!S1633</f>
        <v>72.459999999999994</v>
      </c>
      <c r="T1632">
        <f>'raw data Crude oil'!T1633</f>
        <v>72.040000000000006</v>
      </c>
      <c r="U1632">
        <f>'raw data Crude oil'!U1633</f>
        <v>71.62</v>
      </c>
      <c r="V1632">
        <f>'raw data Crude oil'!V1633</f>
        <v>71.25</v>
      </c>
      <c r="W1632">
        <f>'raw data Crude oil'!W1633</f>
        <v>70.900000000000006</v>
      </c>
      <c r="X1632">
        <f>'raw data Crude oil'!X1633</f>
        <v>70.58</v>
      </c>
      <c r="Y1632">
        <f>'raw data Crude oil'!Y1633</f>
        <v>70.3</v>
      </c>
      <c r="Z1632">
        <f>'raw data Crude oil'!Z1633</f>
        <v>83.251000000000005</v>
      </c>
      <c r="AA1632">
        <f>'raw data Crude oil'!AA1633</f>
        <v>76.796000000000006</v>
      </c>
      <c r="AB1632">
        <f>'raw data Crude oil'!AB1633</f>
        <v>76.105999999999995</v>
      </c>
      <c r="AC1632">
        <f>'raw data Crude oil'!AC1633</f>
        <v>75.495999999999995</v>
      </c>
      <c r="AD1632">
        <f>'raw data Crude oil'!AD1633</f>
        <v>74.933999999999997</v>
      </c>
      <c r="AE1632">
        <f>'raw data Crude oil'!AE1633</f>
        <v>74.412999999999997</v>
      </c>
      <c r="AF1632">
        <f>'raw data Crude oil'!AF1633</f>
        <v>73.965999999999994</v>
      </c>
      <c r="AG1632">
        <f>'raw data Crude oil'!AG1633</f>
        <v>73.555000000000007</v>
      </c>
      <c r="AH1632">
        <f>'raw data Crude oil'!AH1633</f>
        <v>73.143000000000001</v>
      </c>
      <c r="AI1632">
        <f>'raw data Crude oil'!AI1633</f>
        <v>72.888000000000005</v>
      </c>
      <c r="AJ1632">
        <f>'raw data Crude oil'!AJ1633</f>
        <v>72.629000000000005</v>
      </c>
      <c r="AK1632">
        <f>'raw data Crude oil'!AK1633</f>
        <v>72.358999999999995</v>
      </c>
    </row>
    <row r="1633" spans="1:37" x14ac:dyDescent="0.3">
      <c r="A1633" s="18">
        <f>'raw data Crude oil'!A1634</f>
        <v>45043</v>
      </c>
      <c r="B1633">
        <f>'raw data Crude oil'!B1634</f>
        <v>78.37</v>
      </c>
      <c r="C1633">
        <f>'raw data Crude oil'!C1634</f>
        <v>78.22</v>
      </c>
      <c r="D1633">
        <f>'raw data Crude oil'!D1634</f>
        <v>77.89</v>
      </c>
      <c r="E1633">
        <f>'raw data Crude oil'!E1634</f>
        <v>77.5</v>
      </c>
      <c r="F1633">
        <f>'raw data Crude oil'!F1634</f>
        <v>77.06</v>
      </c>
      <c r="G1633">
        <f>'raw data Crude oil'!G1634</f>
        <v>76.64</v>
      </c>
      <c r="H1633">
        <f>'raw data Crude oil'!H1634</f>
        <v>76.22</v>
      </c>
      <c r="I1633">
        <f>'raw data Crude oil'!I1634</f>
        <v>75.83</v>
      </c>
      <c r="J1633">
        <f>'raw data Crude oil'!J1634</f>
        <v>75.48</v>
      </c>
      <c r="K1633">
        <f>'raw data Crude oil'!K1634</f>
        <v>75.17</v>
      </c>
      <c r="L1633">
        <f>'raw data Crude oil'!L1634</f>
        <v>74.88</v>
      </c>
      <c r="M1633">
        <f>'raw data Crude oil'!M1634</f>
        <v>74.61</v>
      </c>
      <c r="N1633">
        <f>'raw data Crude oil'!N1634</f>
        <v>74.760000000000005</v>
      </c>
      <c r="O1633">
        <f>'raw data Crude oil'!O1634</f>
        <v>74.58</v>
      </c>
      <c r="P1633">
        <f>'raw data Crude oil'!P1634</f>
        <v>74.23</v>
      </c>
      <c r="Q1633">
        <f>'raw data Crude oil'!Q1634</f>
        <v>73.75</v>
      </c>
      <c r="R1633">
        <f>'raw data Crude oil'!R1634</f>
        <v>73.23</v>
      </c>
      <c r="S1633">
        <f>'raw data Crude oil'!S1634</f>
        <v>72.73</v>
      </c>
      <c r="T1633">
        <f>'raw data Crude oil'!T1634</f>
        <v>72.27</v>
      </c>
      <c r="U1633">
        <f>'raw data Crude oil'!U1634</f>
        <v>71.83</v>
      </c>
      <c r="V1633">
        <f>'raw data Crude oil'!V1634</f>
        <v>71.430000000000007</v>
      </c>
      <c r="W1633">
        <f>'raw data Crude oil'!W1634</f>
        <v>71.06</v>
      </c>
      <c r="X1633">
        <f>'raw data Crude oil'!X1634</f>
        <v>70.709999999999994</v>
      </c>
      <c r="Y1633">
        <f>'raw data Crude oil'!Y1634</f>
        <v>70.42</v>
      </c>
      <c r="Z1633">
        <f>'raw data Crude oil'!Z1634</f>
        <v>83.334000000000003</v>
      </c>
      <c r="AA1633">
        <f>'raw data Crude oil'!AA1634</f>
        <v>77.756</v>
      </c>
      <c r="AB1633">
        <f>'raw data Crude oil'!AB1634</f>
        <v>76.941999999999993</v>
      </c>
      <c r="AC1633">
        <f>'raw data Crude oil'!AC1634</f>
        <v>76.203999999999994</v>
      </c>
      <c r="AD1633">
        <f>'raw data Crude oil'!AD1634</f>
        <v>75.486999999999995</v>
      </c>
      <c r="AE1633">
        <f>'raw data Crude oil'!AE1634</f>
        <v>74.885000000000005</v>
      </c>
      <c r="AF1633">
        <f>'raw data Crude oil'!AF1634</f>
        <v>74.356999999999999</v>
      </c>
      <c r="AG1633">
        <f>'raw data Crude oil'!AG1634</f>
        <v>73.899000000000001</v>
      </c>
      <c r="AH1633">
        <f>'raw data Crude oil'!AH1634</f>
        <v>73.424000000000007</v>
      </c>
      <c r="AI1633">
        <f>'raw data Crude oil'!AI1634</f>
        <v>73.076999999999998</v>
      </c>
      <c r="AJ1633">
        <f>'raw data Crude oil'!AJ1634</f>
        <v>72.757000000000005</v>
      </c>
      <c r="AK1633">
        <f>'raw data Crude oil'!AK1634</f>
        <v>72.466999999999999</v>
      </c>
    </row>
    <row r="1634" spans="1:37" x14ac:dyDescent="0.3">
      <c r="A1634" s="18">
        <f>'raw data Crude oil'!A1635</f>
        <v>45044</v>
      </c>
      <c r="B1634">
        <f>'raw data Crude oil'!B1635</f>
        <v>79.540000000000006</v>
      </c>
      <c r="C1634">
        <f>'raw data Crude oil'!C1635</f>
        <v>80.33</v>
      </c>
      <c r="D1634">
        <f>'raw data Crude oil'!D1635</f>
        <v>79.92</v>
      </c>
      <c r="E1634">
        <f>'raw data Crude oil'!E1635</f>
        <v>79.459999999999994</v>
      </c>
      <c r="F1634">
        <f>'raw data Crude oil'!F1635</f>
        <v>78.98</v>
      </c>
      <c r="G1634">
        <f>'raw data Crude oil'!G1635</f>
        <v>78.53</v>
      </c>
      <c r="H1634">
        <f>'raw data Crude oil'!H1635</f>
        <v>78.08</v>
      </c>
      <c r="I1634">
        <f>'raw data Crude oil'!I1635</f>
        <v>77.66</v>
      </c>
      <c r="J1634">
        <f>'raw data Crude oil'!J1635</f>
        <v>77.28</v>
      </c>
      <c r="K1634">
        <f>'raw data Crude oil'!K1635</f>
        <v>76.95</v>
      </c>
      <c r="L1634">
        <f>'raw data Crude oil'!L1635</f>
        <v>76.63</v>
      </c>
      <c r="M1634">
        <f>'raw data Crude oil'!M1635</f>
        <v>76.33</v>
      </c>
      <c r="N1634">
        <f>'raw data Crude oil'!N1635</f>
        <v>76.78</v>
      </c>
      <c r="O1634">
        <f>'raw data Crude oil'!O1635</f>
        <v>76.61</v>
      </c>
      <c r="P1634">
        <f>'raw data Crude oil'!P1635</f>
        <v>76.239999999999995</v>
      </c>
      <c r="Q1634">
        <f>'raw data Crude oil'!Q1635</f>
        <v>75.72</v>
      </c>
      <c r="R1634">
        <f>'raw data Crude oil'!R1635</f>
        <v>75.150000000000006</v>
      </c>
      <c r="S1634">
        <f>'raw data Crude oil'!S1635</f>
        <v>74.61</v>
      </c>
      <c r="T1634">
        <f>'raw data Crude oil'!T1635</f>
        <v>74.11</v>
      </c>
      <c r="U1634">
        <f>'raw data Crude oil'!U1635</f>
        <v>73.650000000000006</v>
      </c>
      <c r="V1634">
        <f>'raw data Crude oil'!V1635</f>
        <v>73.23</v>
      </c>
      <c r="W1634">
        <f>'raw data Crude oil'!W1635</f>
        <v>72.84</v>
      </c>
      <c r="X1634">
        <f>'raw data Crude oil'!X1635</f>
        <v>72.489999999999995</v>
      </c>
      <c r="Y1634">
        <f>'raw data Crude oil'!Y1635</f>
        <v>72.150000000000006</v>
      </c>
      <c r="Z1634">
        <f>'raw data Crude oil'!Z1635</f>
        <v>83.412000000000006</v>
      </c>
      <c r="AA1634">
        <f>'raw data Crude oil'!AA1635</f>
        <v>80.001999999999995</v>
      </c>
      <c r="AB1634">
        <f>'raw data Crude oil'!AB1635</f>
        <v>79.159000000000006</v>
      </c>
      <c r="AC1634">
        <f>'raw data Crude oil'!AC1635</f>
        <v>78.33</v>
      </c>
      <c r="AD1634">
        <f>'raw data Crude oil'!AD1635</f>
        <v>77.563999999999993</v>
      </c>
      <c r="AE1634">
        <f>'raw data Crude oil'!AE1635</f>
        <v>76.903000000000006</v>
      </c>
      <c r="AF1634">
        <f>'raw data Crude oil'!AF1635</f>
        <v>76.344999999999999</v>
      </c>
      <c r="AG1634">
        <f>'raw data Crude oil'!AG1635</f>
        <v>75.843000000000004</v>
      </c>
      <c r="AH1634">
        <f>'raw data Crude oil'!AH1635</f>
        <v>75.366</v>
      </c>
      <c r="AI1634">
        <f>'raw data Crude oil'!AI1635</f>
        <v>75.004999999999995</v>
      </c>
      <c r="AJ1634">
        <f>'raw data Crude oil'!AJ1635</f>
        <v>74.656000000000006</v>
      </c>
      <c r="AK1634">
        <f>'raw data Crude oil'!AK1635</f>
        <v>74.316000000000003</v>
      </c>
    </row>
    <row r="1635" spans="1:37" x14ac:dyDescent="0.3">
      <c r="A1635" s="18">
        <f>'raw data Crude oil'!A1636</f>
        <v>45047</v>
      </c>
      <c r="B1635">
        <f>'raw data Crude oil'!B1636</f>
        <v>79.31</v>
      </c>
      <c r="C1635">
        <f>'raw data Crude oil'!C1636</f>
        <v>78.94</v>
      </c>
      <c r="D1635">
        <f>'raw data Crude oil'!D1636</f>
        <v>78.489999999999995</v>
      </c>
      <c r="E1635">
        <f>'raw data Crude oil'!E1636</f>
        <v>78.010000000000005</v>
      </c>
      <c r="F1635">
        <f>'raw data Crude oil'!F1636</f>
        <v>77.55</v>
      </c>
      <c r="G1635">
        <f>'raw data Crude oil'!G1636</f>
        <v>77.09</v>
      </c>
      <c r="H1635">
        <f>'raw data Crude oil'!H1636</f>
        <v>76.67</v>
      </c>
      <c r="I1635">
        <f>'raw data Crude oil'!I1636</f>
        <v>76.3</v>
      </c>
      <c r="J1635">
        <f>'raw data Crude oil'!J1636</f>
        <v>75.97</v>
      </c>
      <c r="K1635">
        <f>'raw data Crude oil'!K1636</f>
        <v>75.66</v>
      </c>
      <c r="L1635">
        <f>'raw data Crude oil'!L1636</f>
        <v>75.36</v>
      </c>
      <c r="M1635">
        <f>'raw data Crude oil'!M1636</f>
        <v>75.08</v>
      </c>
      <c r="N1635">
        <f>'raw data Crude oil'!N1636</f>
        <v>75.66</v>
      </c>
      <c r="O1635">
        <f>'raw data Crude oil'!O1636</f>
        <v>75.510000000000005</v>
      </c>
      <c r="P1635">
        <f>'raw data Crude oil'!P1636</f>
        <v>75.150000000000006</v>
      </c>
      <c r="Q1635">
        <f>'raw data Crude oil'!Q1636</f>
        <v>74.64</v>
      </c>
      <c r="R1635">
        <f>'raw data Crude oil'!R1636</f>
        <v>74.08</v>
      </c>
      <c r="S1635">
        <f>'raw data Crude oil'!S1636</f>
        <v>73.55</v>
      </c>
      <c r="T1635">
        <f>'raw data Crude oil'!T1636</f>
        <v>73.069999999999993</v>
      </c>
      <c r="U1635">
        <f>'raw data Crude oil'!U1636</f>
        <v>72.62</v>
      </c>
      <c r="V1635">
        <f>'raw data Crude oil'!V1636</f>
        <v>72.209999999999994</v>
      </c>
      <c r="W1635">
        <f>'raw data Crude oil'!W1636</f>
        <v>71.83</v>
      </c>
      <c r="X1635">
        <f>'raw data Crude oil'!X1636</f>
        <v>71.48</v>
      </c>
      <c r="Y1635">
        <f>'raw data Crude oil'!Y1636</f>
        <v>71.16</v>
      </c>
      <c r="Z1635">
        <f>'raw data Crude oil'!Z1636</f>
        <v>83.412000000000006</v>
      </c>
      <c r="AA1635">
        <f>'raw data Crude oil'!AA1636</f>
        <v>78.965000000000003</v>
      </c>
      <c r="AB1635">
        <f>'raw data Crude oil'!AB1636</f>
        <v>78.114999999999995</v>
      </c>
      <c r="AC1635">
        <f>'raw data Crude oil'!AC1636</f>
        <v>77.295000000000002</v>
      </c>
      <c r="AD1635">
        <f>'raw data Crude oil'!AD1636</f>
        <v>76.534999999999997</v>
      </c>
      <c r="AE1635">
        <f>'raw data Crude oil'!AE1636</f>
        <v>75.893000000000001</v>
      </c>
      <c r="AF1635">
        <f>'raw data Crude oil'!AF1636</f>
        <v>75.325999999999993</v>
      </c>
      <c r="AG1635">
        <f>'raw data Crude oil'!AG1636</f>
        <v>74.846999999999994</v>
      </c>
      <c r="AH1635">
        <f>'raw data Crude oil'!AH1636</f>
        <v>74.367000000000004</v>
      </c>
      <c r="AI1635">
        <f>'raw data Crude oil'!AI1636</f>
        <v>73.986000000000004</v>
      </c>
      <c r="AJ1635">
        <f>'raw data Crude oil'!AJ1636</f>
        <v>73.635999999999996</v>
      </c>
      <c r="AK1635">
        <f>'raw data Crude oil'!AK1636</f>
        <v>73.305999999999997</v>
      </c>
    </row>
    <row r="1636" spans="1:37" x14ac:dyDescent="0.3">
      <c r="A1636" s="18">
        <f>'raw data Crude oil'!A1637</f>
        <v>45048</v>
      </c>
      <c r="B1636">
        <f>'raw data Crude oil'!B1637</f>
        <v>75.319999999999993</v>
      </c>
      <c r="C1636">
        <f>'raw data Crude oil'!C1637</f>
        <v>75.040000000000006</v>
      </c>
      <c r="D1636">
        <f>'raw data Crude oil'!D1637</f>
        <v>74.680000000000007</v>
      </c>
      <c r="E1636">
        <f>'raw data Crude oil'!E1637</f>
        <v>74.290000000000006</v>
      </c>
      <c r="F1636">
        <f>'raw data Crude oil'!F1637</f>
        <v>73.930000000000007</v>
      </c>
      <c r="G1636">
        <f>'raw data Crude oil'!G1637</f>
        <v>73.58</v>
      </c>
      <c r="H1636">
        <f>'raw data Crude oil'!H1637</f>
        <v>73.27</v>
      </c>
      <c r="I1636">
        <f>'raw data Crude oil'!I1637</f>
        <v>72.989999999999995</v>
      </c>
      <c r="J1636">
        <f>'raw data Crude oil'!J1637</f>
        <v>72.75</v>
      </c>
      <c r="K1636">
        <f>'raw data Crude oil'!K1637</f>
        <v>72.52</v>
      </c>
      <c r="L1636">
        <f>'raw data Crude oil'!L1637</f>
        <v>72.31</v>
      </c>
      <c r="M1636">
        <f>'raw data Crude oil'!M1637</f>
        <v>72.12</v>
      </c>
      <c r="N1636">
        <f>'raw data Crude oil'!N1637</f>
        <v>71.66</v>
      </c>
      <c r="O1636">
        <f>'raw data Crude oil'!O1637</f>
        <v>71.55</v>
      </c>
      <c r="P1636">
        <f>'raw data Crude oil'!P1637</f>
        <v>71.27</v>
      </c>
      <c r="Q1636">
        <f>'raw data Crude oil'!Q1637</f>
        <v>70.849999999999994</v>
      </c>
      <c r="R1636">
        <f>'raw data Crude oil'!R1637</f>
        <v>70.39</v>
      </c>
      <c r="S1636">
        <f>'raw data Crude oil'!S1637</f>
        <v>69.959999999999994</v>
      </c>
      <c r="T1636">
        <f>'raw data Crude oil'!T1637</f>
        <v>69.59</v>
      </c>
      <c r="U1636">
        <f>'raw data Crude oil'!U1637</f>
        <v>69.23</v>
      </c>
      <c r="V1636">
        <f>'raw data Crude oil'!V1637</f>
        <v>68.900000000000006</v>
      </c>
      <c r="W1636">
        <f>'raw data Crude oil'!W1637</f>
        <v>68.599999999999994</v>
      </c>
      <c r="X1636">
        <f>'raw data Crude oil'!X1637</f>
        <v>68.33</v>
      </c>
      <c r="Y1636">
        <f>'raw data Crude oil'!Y1637</f>
        <v>68.09</v>
      </c>
      <c r="Z1636">
        <f>'raw data Crude oil'!Z1637</f>
        <v>74.861999999999995</v>
      </c>
      <c r="AA1636">
        <f>'raw data Crude oil'!AA1637</f>
        <v>74.093999999999994</v>
      </c>
      <c r="AB1636">
        <f>'raw data Crude oil'!AB1637</f>
        <v>73.364000000000004</v>
      </c>
      <c r="AC1636">
        <f>'raw data Crude oil'!AC1637</f>
        <v>72.727000000000004</v>
      </c>
      <c r="AD1636">
        <f>'raw data Crude oil'!AD1637</f>
        <v>72.195999999999998</v>
      </c>
      <c r="AE1636">
        <f>'raw data Crude oil'!AE1637</f>
        <v>71.741</v>
      </c>
      <c r="AF1636">
        <f>'raw data Crude oil'!AF1637</f>
        <v>71.356999999999999</v>
      </c>
      <c r="AG1636">
        <f>'raw data Crude oil'!AG1637</f>
        <v>70.975999999999999</v>
      </c>
      <c r="AH1636">
        <f>'raw data Crude oil'!AH1637</f>
        <v>70.680000000000007</v>
      </c>
      <c r="AI1636">
        <f>'raw data Crude oil'!AI1637</f>
        <v>70.42</v>
      </c>
      <c r="AJ1636">
        <f>'raw data Crude oil'!AJ1637</f>
        <v>70.171000000000006</v>
      </c>
      <c r="AK1636">
        <f>'raw data Crude oil'!AK1637</f>
        <v>69.959999999999994</v>
      </c>
    </row>
    <row r="1637" spans="1:37" x14ac:dyDescent="0.3">
      <c r="A1637" s="18">
        <f>'raw data Crude oil'!A1638</f>
        <v>45049</v>
      </c>
      <c r="B1637">
        <f>'raw data Crude oil'!B1638</f>
        <v>72.33</v>
      </c>
      <c r="C1637">
        <f>'raw data Crude oil'!C1638</f>
        <v>72.180000000000007</v>
      </c>
      <c r="D1637">
        <f>'raw data Crude oil'!D1638</f>
        <v>71.930000000000007</v>
      </c>
      <c r="E1637">
        <f>'raw data Crude oil'!E1638</f>
        <v>71.650000000000006</v>
      </c>
      <c r="F1637">
        <f>'raw data Crude oil'!F1638</f>
        <v>71.400000000000006</v>
      </c>
      <c r="G1637">
        <f>'raw data Crude oil'!G1638</f>
        <v>71.150000000000006</v>
      </c>
      <c r="H1637">
        <f>'raw data Crude oil'!H1638</f>
        <v>70.92</v>
      </c>
      <c r="I1637">
        <f>'raw data Crude oil'!I1638</f>
        <v>70.7</v>
      </c>
      <c r="J1637">
        <f>'raw data Crude oil'!J1638</f>
        <v>70.52</v>
      </c>
      <c r="K1637">
        <f>'raw data Crude oil'!K1638</f>
        <v>70.33</v>
      </c>
      <c r="L1637">
        <f>'raw data Crude oil'!L1638</f>
        <v>70.16</v>
      </c>
      <c r="M1637">
        <f>'raw data Crude oil'!M1638</f>
        <v>70.02</v>
      </c>
      <c r="N1637">
        <f>'raw data Crude oil'!N1638</f>
        <v>68.599999999999994</v>
      </c>
      <c r="O1637">
        <f>'raw data Crude oil'!O1638</f>
        <v>68.55</v>
      </c>
      <c r="P1637">
        <f>'raw data Crude oil'!P1638</f>
        <v>68.37</v>
      </c>
      <c r="Q1637">
        <f>'raw data Crude oil'!Q1638</f>
        <v>68.08</v>
      </c>
      <c r="R1637">
        <f>'raw data Crude oil'!R1638</f>
        <v>67.75</v>
      </c>
      <c r="S1637">
        <f>'raw data Crude oil'!S1638</f>
        <v>67.44</v>
      </c>
      <c r="T1637">
        <f>'raw data Crude oil'!T1638</f>
        <v>67.16</v>
      </c>
      <c r="U1637">
        <f>'raw data Crude oil'!U1638</f>
        <v>66.89</v>
      </c>
      <c r="V1637">
        <f>'raw data Crude oil'!V1638</f>
        <v>66.64</v>
      </c>
      <c r="W1637">
        <f>'raw data Crude oil'!W1638</f>
        <v>66.41</v>
      </c>
      <c r="X1637">
        <f>'raw data Crude oil'!X1638</f>
        <v>66.2</v>
      </c>
      <c r="Y1637">
        <f>'raw data Crude oil'!Y1638</f>
        <v>66.010000000000005</v>
      </c>
      <c r="Z1637">
        <f>'raw data Crude oil'!Z1638</f>
        <v>72.099000000000004</v>
      </c>
      <c r="AA1637">
        <f>'raw data Crude oil'!AA1638</f>
        <v>71.108000000000004</v>
      </c>
      <c r="AB1637">
        <f>'raw data Crude oil'!AB1638</f>
        <v>70.488</v>
      </c>
      <c r="AC1637">
        <f>'raw data Crude oil'!AC1638</f>
        <v>70.001000000000005</v>
      </c>
      <c r="AD1637">
        <f>'raw data Crude oil'!AD1638</f>
        <v>69.600999999999999</v>
      </c>
      <c r="AE1637">
        <f>'raw data Crude oil'!AE1638</f>
        <v>69.253</v>
      </c>
      <c r="AF1637">
        <f>'raw data Crude oil'!AF1638</f>
        <v>68.912999999999997</v>
      </c>
      <c r="AG1637">
        <f>'raw data Crude oil'!AG1638</f>
        <v>68.594999999999999</v>
      </c>
      <c r="AH1637">
        <f>'raw data Crude oil'!AH1638</f>
        <v>68.350999999999999</v>
      </c>
      <c r="AI1637">
        <f>'raw data Crude oil'!AI1638</f>
        <v>68.141999999999996</v>
      </c>
      <c r="AJ1637">
        <f>'raw data Crude oil'!AJ1638</f>
        <v>67.953000000000003</v>
      </c>
      <c r="AK1637">
        <f>'raw data Crude oil'!AK1638</f>
        <v>67.802000000000007</v>
      </c>
    </row>
    <row r="1638" spans="1:37" x14ac:dyDescent="0.3">
      <c r="A1638" s="18">
        <f>'raw data Crude oil'!A1639</f>
        <v>45050</v>
      </c>
      <c r="B1638">
        <f>'raw data Crude oil'!B1639</f>
        <v>72.5</v>
      </c>
      <c r="C1638">
        <f>'raw data Crude oil'!C1639</f>
        <v>72.319999999999993</v>
      </c>
      <c r="D1638">
        <f>'raw data Crude oil'!D1639</f>
        <v>72.03</v>
      </c>
      <c r="E1638">
        <f>'raw data Crude oil'!E1639</f>
        <v>71.709999999999994</v>
      </c>
      <c r="F1638">
        <f>'raw data Crude oil'!F1639</f>
        <v>71.41</v>
      </c>
      <c r="G1638">
        <f>'raw data Crude oil'!G1639</f>
        <v>71.12</v>
      </c>
      <c r="H1638">
        <f>'raw data Crude oil'!H1639</f>
        <v>70.84</v>
      </c>
      <c r="I1638">
        <f>'raw data Crude oil'!I1639</f>
        <v>70.569999999999993</v>
      </c>
      <c r="J1638">
        <f>'raw data Crude oil'!J1639</f>
        <v>70.34</v>
      </c>
      <c r="K1638">
        <f>'raw data Crude oil'!K1639</f>
        <v>70.12</v>
      </c>
      <c r="L1638">
        <f>'raw data Crude oil'!L1639</f>
        <v>69.92</v>
      </c>
      <c r="M1638">
        <f>'raw data Crude oil'!M1639</f>
        <v>69.75</v>
      </c>
      <c r="N1638">
        <f>'raw data Crude oil'!N1639</f>
        <v>68.56</v>
      </c>
      <c r="O1638">
        <f>'raw data Crude oil'!O1639</f>
        <v>68.510000000000005</v>
      </c>
      <c r="P1638">
        <f>'raw data Crude oil'!P1639</f>
        <v>68.319999999999993</v>
      </c>
      <c r="Q1638">
        <f>'raw data Crude oil'!Q1639</f>
        <v>68</v>
      </c>
      <c r="R1638">
        <f>'raw data Crude oil'!R1639</f>
        <v>67.62</v>
      </c>
      <c r="S1638">
        <f>'raw data Crude oil'!S1639</f>
        <v>67.260000000000005</v>
      </c>
      <c r="T1638">
        <f>'raw data Crude oil'!T1639</f>
        <v>66.930000000000007</v>
      </c>
      <c r="U1638">
        <f>'raw data Crude oil'!U1639</f>
        <v>66.61</v>
      </c>
      <c r="V1638">
        <f>'raw data Crude oil'!V1639</f>
        <v>66.319999999999993</v>
      </c>
      <c r="W1638">
        <f>'raw data Crude oil'!W1639</f>
        <v>66.05</v>
      </c>
      <c r="X1638">
        <f>'raw data Crude oil'!X1639</f>
        <v>65.81</v>
      </c>
      <c r="Y1638">
        <f>'raw data Crude oil'!Y1639</f>
        <v>65.599999999999994</v>
      </c>
      <c r="Z1638">
        <f>'raw data Crude oil'!Z1639</f>
        <v>72.534999999999997</v>
      </c>
      <c r="AA1638">
        <f>'raw data Crude oil'!AA1639</f>
        <v>71.486999999999995</v>
      </c>
      <c r="AB1638">
        <f>'raw data Crude oil'!AB1639</f>
        <v>70.790000000000006</v>
      </c>
      <c r="AC1638">
        <f>'raw data Crude oil'!AC1639</f>
        <v>70.221999999999994</v>
      </c>
      <c r="AD1638">
        <f>'raw data Crude oil'!AD1639</f>
        <v>69.736000000000004</v>
      </c>
      <c r="AE1638">
        <f>'raw data Crude oil'!AE1639</f>
        <v>69.326999999999998</v>
      </c>
      <c r="AF1638">
        <f>'raw data Crude oil'!AF1639</f>
        <v>68.947000000000003</v>
      </c>
      <c r="AG1638">
        <f>'raw data Crude oil'!AG1639</f>
        <v>68.537000000000006</v>
      </c>
      <c r="AH1638">
        <f>'raw data Crude oil'!AH1639</f>
        <v>68.260000000000005</v>
      </c>
      <c r="AI1638">
        <f>'raw data Crude oil'!AI1639</f>
        <v>67.98</v>
      </c>
      <c r="AJ1638">
        <f>'raw data Crude oil'!AJ1639</f>
        <v>67.751999999999995</v>
      </c>
      <c r="AK1638">
        <f>'raw data Crude oil'!AK1639</f>
        <v>67.581000000000003</v>
      </c>
    </row>
    <row r="1639" spans="1:37" x14ac:dyDescent="0.3">
      <c r="A1639" s="18">
        <f>'raw data Crude oil'!A1640</f>
        <v>45051</v>
      </c>
      <c r="B1639">
        <f>'raw data Crude oil'!B1640</f>
        <v>75.3</v>
      </c>
      <c r="C1639">
        <f>'raw data Crude oil'!C1640</f>
        <v>75.09</v>
      </c>
      <c r="D1639">
        <f>'raw data Crude oil'!D1640</f>
        <v>74.760000000000005</v>
      </c>
      <c r="E1639">
        <f>'raw data Crude oil'!E1640</f>
        <v>74.38</v>
      </c>
      <c r="F1639">
        <f>'raw data Crude oil'!F1640</f>
        <v>74.040000000000006</v>
      </c>
      <c r="G1639">
        <f>'raw data Crude oil'!G1640</f>
        <v>73.69</v>
      </c>
      <c r="H1639">
        <f>'raw data Crude oil'!H1640</f>
        <v>73.349999999999994</v>
      </c>
      <c r="I1639">
        <f>'raw data Crude oil'!I1640</f>
        <v>73.03</v>
      </c>
      <c r="J1639">
        <f>'raw data Crude oil'!J1640</f>
        <v>72.75</v>
      </c>
      <c r="K1639">
        <f>'raw data Crude oil'!K1640</f>
        <v>72.48</v>
      </c>
      <c r="L1639">
        <f>'raw data Crude oil'!L1640</f>
        <v>72.23</v>
      </c>
      <c r="M1639">
        <f>'raw data Crude oil'!M1640</f>
        <v>72.010000000000005</v>
      </c>
      <c r="N1639">
        <f>'raw data Crude oil'!N1640</f>
        <v>71.34</v>
      </c>
      <c r="O1639">
        <f>'raw data Crude oil'!O1640</f>
        <v>71.27</v>
      </c>
      <c r="P1639">
        <f>'raw data Crude oil'!P1640</f>
        <v>71.03</v>
      </c>
      <c r="Q1639">
        <f>'raw data Crude oil'!Q1640</f>
        <v>70.650000000000006</v>
      </c>
      <c r="R1639">
        <f>'raw data Crude oil'!R1640</f>
        <v>70.23</v>
      </c>
      <c r="S1639">
        <f>'raw data Crude oil'!S1640</f>
        <v>69.819999999999993</v>
      </c>
      <c r="T1639">
        <f>'raw data Crude oil'!T1640</f>
        <v>69.430000000000007</v>
      </c>
      <c r="U1639">
        <f>'raw data Crude oil'!U1640</f>
        <v>69.06</v>
      </c>
      <c r="V1639">
        <f>'raw data Crude oil'!V1640</f>
        <v>68.709999999999994</v>
      </c>
      <c r="W1639">
        <f>'raw data Crude oil'!W1640</f>
        <v>68.39</v>
      </c>
      <c r="X1639">
        <f>'raw data Crude oil'!X1640</f>
        <v>68.099999999999994</v>
      </c>
      <c r="Y1639">
        <f>'raw data Crude oil'!Y1640</f>
        <v>67.84</v>
      </c>
      <c r="Z1639">
        <f>'raw data Crude oil'!Z1640</f>
        <v>74.908000000000001</v>
      </c>
      <c r="AA1639">
        <f>'raw data Crude oil'!AA1640</f>
        <v>74.174999999999997</v>
      </c>
      <c r="AB1639">
        <f>'raw data Crude oil'!AB1640</f>
        <v>73.468000000000004</v>
      </c>
      <c r="AC1639">
        <f>'raw data Crude oil'!AC1640</f>
        <v>72.870999999999995</v>
      </c>
      <c r="AD1639">
        <f>'raw data Crude oil'!AD1640</f>
        <v>72.367999999999995</v>
      </c>
      <c r="AE1639">
        <f>'raw data Crude oil'!AE1640</f>
        <v>71.885000000000005</v>
      </c>
      <c r="AF1639">
        <f>'raw data Crude oil'!AF1640</f>
        <v>71.435000000000002</v>
      </c>
      <c r="AG1639">
        <f>'raw data Crude oil'!AG1640</f>
        <v>71.012</v>
      </c>
      <c r="AH1639">
        <f>'raw data Crude oil'!AH1640</f>
        <v>70.683000000000007</v>
      </c>
      <c r="AI1639">
        <f>'raw data Crude oil'!AI1640</f>
        <v>70.378</v>
      </c>
      <c r="AJ1639">
        <f>'raw data Crude oil'!AJ1640</f>
        <v>70.119</v>
      </c>
      <c r="AK1639">
        <f>'raw data Crude oil'!AK1640</f>
        <v>69.879000000000005</v>
      </c>
    </row>
    <row r="1640" spans="1:37" x14ac:dyDescent="0.3">
      <c r="A1640" s="18">
        <f>'raw data Crude oil'!A1641</f>
        <v>45054</v>
      </c>
      <c r="B1640">
        <f>'raw data Crude oil'!B1641</f>
        <v>77.010000000000005</v>
      </c>
      <c r="C1640">
        <f>'raw data Crude oil'!C1641</f>
        <v>76.81</v>
      </c>
      <c r="D1640">
        <f>'raw data Crude oil'!D1641</f>
        <v>76.47</v>
      </c>
      <c r="E1640">
        <f>'raw data Crude oil'!E1641</f>
        <v>76.08</v>
      </c>
      <c r="F1640">
        <f>'raw data Crude oil'!F1641</f>
        <v>75.72</v>
      </c>
      <c r="G1640">
        <f>'raw data Crude oil'!G1641</f>
        <v>75.36</v>
      </c>
      <c r="H1640">
        <f>'raw data Crude oil'!H1641</f>
        <v>75</v>
      </c>
      <c r="I1640">
        <f>'raw data Crude oil'!I1641</f>
        <v>74.66</v>
      </c>
      <c r="J1640">
        <f>'raw data Crude oil'!J1641</f>
        <v>74.37</v>
      </c>
      <c r="K1640">
        <f>'raw data Crude oil'!K1641</f>
        <v>74.069999999999993</v>
      </c>
      <c r="L1640">
        <f>'raw data Crude oil'!L1641</f>
        <v>73.790000000000006</v>
      </c>
      <c r="M1640">
        <f>'raw data Crude oil'!M1641</f>
        <v>73.55</v>
      </c>
      <c r="N1640">
        <f>'raw data Crude oil'!N1641</f>
        <v>73.16</v>
      </c>
      <c r="O1640">
        <f>'raw data Crude oil'!O1641</f>
        <v>73.069999999999993</v>
      </c>
      <c r="P1640">
        <f>'raw data Crude oil'!P1641</f>
        <v>72.81</v>
      </c>
      <c r="Q1640">
        <f>'raw data Crude oil'!Q1641</f>
        <v>72.42</v>
      </c>
      <c r="R1640">
        <f>'raw data Crude oil'!R1641</f>
        <v>71.98</v>
      </c>
      <c r="S1640">
        <f>'raw data Crude oil'!S1641</f>
        <v>71.540000000000006</v>
      </c>
      <c r="T1640">
        <f>'raw data Crude oil'!T1641</f>
        <v>71.11</v>
      </c>
      <c r="U1640">
        <f>'raw data Crude oil'!U1641</f>
        <v>70.69</v>
      </c>
      <c r="V1640">
        <f>'raw data Crude oil'!V1641</f>
        <v>70.3</v>
      </c>
      <c r="W1640">
        <f>'raw data Crude oil'!W1641</f>
        <v>69.95</v>
      </c>
      <c r="X1640">
        <f>'raw data Crude oil'!X1641</f>
        <v>69.650000000000006</v>
      </c>
      <c r="Y1640">
        <f>'raw data Crude oil'!Y1641</f>
        <v>69.37</v>
      </c>
      <c r="Z1640">
        <f>'raw data Crude oil'!Z1641</f>
        <v>76.244</v>
      </c>
      <c r="AA1640">
        <f>'raw data Crude oil'!AA1641</f>
        <v>75.834999999999994</v>
      </c>
      <c r="AB1640">
        <f>'raw data Crude oil'!AB1641</f>
        <v>75.134</v>
      </c>
      <c r="AC1640">
        <f>'raw data Crude oil'!AC1641</f>
        <v>74.516000000000005</v>
      </c>
      <c r="AD1640">
        <f>'raw data Crude oil'!AD1641</f>
        <v>73.956000000000003</v>
      </c>
      <c r="AE1640">
        <f>'raw data Crude oil'!AE1641</f>
        <v>73.456000000000003</v>
      </c>
      <c r="AF1640">
        <f>'raw data Crude oil'!AF1641</f>
        <v>72.975999999999999</v>
      </c>
      <c r="AG1640">
        <f>'raw data Crude oil'!AG1641</f>
        <v>72.536000000000001</v>
      </c>
      <c r="AH1640">
        <f>'raw data Crude oil'!AH1641</f>
        <v>72.225999999999999</v>
      </c>
      <c r="AI1640">
        <f>'raw data Crude oil'!AI1641</f>
        <v>71.906999999999996</v>
      </c>
      <c r="AJ1640">
        <f>'raw data Crude oil'!AJ1641</f>
        <v>71.617999999999995</v>
      </c>
      <c r="AK1640">
        <f>'raw data Crude oil'!AK1641</f>
        <v>71.358000000000004</v>
      </c>
    </row>
    <row r="1641" spans="1:37" x14ac:dyDescent="0.3">
      <c r="A1641" s="18">
        <f>'raw data Crude oil'!A1642</f>
        <v>45055</v>
      </c>
      <c r="B1641">
        <f>'raw data Crude oil'!B1642</f>
        <v>77.44</v>
      </c>
      <c r="C1641">
        <f>'raw data Crude oil'!C1642</f>
        <v>77.27</v>
      </c>
      <c r="D1641">
        <f>'raw data Crude oil'!D1642</f>
        <v>76.959999999999994</v>
      </c>
      <c r="E1641">
        <f>'raw data Crude oil'!E1642</f>
        <v>76.59</v>
      </c>
      <c r="F1641">
        <f>'raw data Crude oil'!F1642</f>
        <v>76.23</v>
      </c>
      <c r="G1641">
        <f>'raw data Crude oil'!G1642</f>
        <v>75.88</v>
      </c>
      <c r="H1641">
        <f>'raw data Crude oil'!H1642</f>
        <v>75.53</v>
      </c>
      <c r="I1641">
        <f>'raw data Crude oil'!I1642</f>
        <v>75.2</v>
      </c>
      <c r="J1641">
        <f>'raw data Crude oil'!J1642</f>
        <v>74.91</v>
      </c>
      <c r="K1641">
        <f>'raw data Crude oil'!K1642</f>
        <v>74.62</v>
      </c>
      <c r="L1641">
        <f>'raw data Crude oil'!L1642</f>
        <v>74.349999999999994</v>
      </c>
      <c r="M1641">
        <f>'raw data Crude oil'!M1642</f>
        <v>74.12</v>
      </c>
      <c r="N1641">
        <f>'raw data Crude oil'!N1642</f>
        <v>73.709999999999994</v>
      </c>
      <c r="O1641">
        <f>'raw data Crude oil'!O1642</f>
        <v>73.62</v>
      </c>
      <c r="P1641">
        <f>'raw data Crude oil'!P1642</f>
        <v>73.39</v>
      </c>
      <c r="Q1641">
        <f>'raw data Crude oil'!Q1642</f>
        <v>73.02</v>
      </c>
      <c r="R1641">
        <f>'raw data Crude oil'!R1642</f>
        <v>72.59</v>
      </c>
      <c r="S1641">
        <f>'raw data Crude oil'!S1642</f>
        <v>72.16</v>
      </c>
      <c r="T1641">
        <f>'raw data Crude oil'!T1642</f>
        <v>71.75</v>
      </c>
      <c r="U1641">
        <f>'raw data Crude oil'!U1642</f>
        <v>71.349999999999994</v>
      </c>
      <c r="V1641">
        <f>'raw data Crude oil'!V1642</f>
        <v>70.97</v>
      </c>
      <c r="W1641">
        <f>'raw data Crude oil'!W1642</f>
        <v>70.61</v>
      </c>
      <c r="X1641">
        <f>'raw data Crude oil'!X1642</f>
        <v>70.290000000000006</v>
      </c>
      <c r="Y1641">
        <f>'raw data Crude oil'!Y1642</f>
        <v>70.010000000000005</v>
      </c>
      <c r="Z1641">
        <f>'raw data Crude oil'!Z1642</f>
        <v>76.453000000000003</v>
      </c>
      <c r="AA1641">
        <f>'raw data Crude oil'!AA1642</f>
        <v>76.274000000000001</v>
      </c>
      <c r="AB1641">
        <f>'raw data Crude oil'!AB1642</f>
        <v>75.614000000000004</v>
      </c>
      <c r="AC1641">
        <f>'raw data Crude oil'!AC1642</f>
        <v>75.046000000000006</v>
      </c>
      <c r="AD1641">
        <f>'raw data Crude oil'!AD1642</f>
        <v>74.5</v>
      </c>
      <c r="AE1641">
        <f>'raw data Crude oil'!AE1642</f>
        <v>74.004000000000005</v>
      </c>
      <c r="AF1641">
        <f>'raw data Crude oil'!AF1642</f>
        <v>73.534999999999997</v>
      </c>
      <c r="AG1641">
        <f>'raw data Crude oil'!AG1642</f>
        <v>73.094999999999999</v>
      </c>
      <c r="AH1641">
        <f>'raw data Crude oil'!AH1642</f>
        <v>72.766999999999996</v>
      </c>
      <c r="AI1641">
        <f>'raw data Crude oil'!AI1642</f>
        <v>72.427000000000007</v>
      </c>
      <c r="AJ1641">
        <f>'raw data Crude oil'!AJ1642</f>
        <v>72.138999999999996</v>
      </c>
      <c r="AK1641">
        <f>'raw data Crude oil'!AK1642</f>
        <v>71.858000000000004</v>
      </c>
    </row>
    <row r="1642" spans="1:37" x14ac:dyDescent="0.3">
      <c r="A1642" s="18">
        <f>'raw data Crude oil'!A1643</f>
        <v>45056</v>
      </c>
      <c r="B1642">
        <f>'raw data Crude oil'!B1643</f>
        <v>76.41</v>
      </c>
      <c r="C1642">
        <f>'raw data Crude oil'!C1643</f>
        <v>76.27</v>
      </c>
      <c r="D1642">
        <f>'raw data Crude oil'!D1643</f>
        <v>75.989999999999995</v>
      </c>
      <c r="E1642">
        <f>'raw data Crude oil'!E1643</f>
        <v>75.650000000000006</v>
      </c>
      <c r="F1642">
        <f>'raw data Crude oil'!F1643</f>
        <v>75.33</v>
      </c>
      <c r="G1642">
        <f>'raw data Crude oil'!G1643</f>
        <v>75</v>
      </c>
      <c r="H1642">
        <f>'raw data Crude oil'!H1643</f>
        <v>74.69</v>
      </c>
      <c r="I1642">
        <f>'raw data Crude oil'!I1643</f>
        <v>74.39</v>
      </c>
      <c r="J1642">
        <f>'raw data Crude oil'!J1643</f>
        <v>74.13</v>
      </c>
      <c r="K1642">
        <f>'raw data Crude oil'!K1643</f>
        <v>73.87</v>
      </c>
      <c r="L1642">
        <f>'raw data Crude oil'!L1643</f>
        <v>73.63</v>
      </c>
      <c r="M1642">
        <f>'raw data Crude oil'!M1643</f>
        <v>73.42</v>
      </c>
      <c r="N1642">
        <f>'raw data Crude oil'!N1643</f>
        <v>72.56</v>
      </c>
      <c r="O1642">
        <f>'raw data Crude oil'!O1643</f>
        <v>72.52</v>
      </c>
      <c r="P1642">
        <f>'raw data Crude oil'!P1643</f>
        <v>72.349999999999994</v>
      </c>
      <c r="Q1642">
        <f>'raw data Crude oil'!Q1643</f>
        <v>72.02</v>
      </c>
      <c r="R1642">
        <f>'raw data Crude oil'!R1643</f>
        <v>71.62</v>
      </c>
      <c r="S1642">
        <f>'raw data Crude oil'!S1643</f>
        <v>71.209999999999994</v>
      </c>
      <c r="T1642">
        <f>'raw data Crude oil'!T1643</f>
        <v>70.83</v>
      </c>
      <c r="U1642">
        <f>'raw data Crude oil'!U1643</f>
        <v>70.47</v>
      </c>
      <c r="V1642">
        <f>'raw data Crude oil'!V1643</f>
        <v>70.12</v>
      </c>
      <c r="W1642">
        <f>'raw data Crude oil'!W1643</f>
        <v>69.819999999999993</v>
      </c>
      <c r="X1642">
        <f>'raw data Crude oil'!X1643</f>
        <v>69.52</v>
      </c>
      <c r="Y1642">
        <f>'raw data Crude oil'!Y1643</f>
        <v>69.27</v>
      </c>
      <c r="Z1642">
        <f>'raw data Crude oil'!Z1643</f>
        <v>75.688999999999993</v>
      </c>
      <c r="AA1642">
        <f>'raw data Crude oil'!AA1643</f>
        <v>75.236999999999995</v>
      </c>
      <c r="AB1642">
        <f>'raw data Crude oil'!AB1643</f>
        <v>74.674000000000007</v>
      </c>
      <c r="AC1642">
        <f>'raw data Crude oil'!AC1643</f>
        <v>74.146000000000001</v>
      </c>
      <c r="AD1642">
        <f>'raw data Crude oil'!AD1643</f>
        <v>73.634</v>
      </c>
      <c r="AE1642">
        <f>'raw data Crude oil'!AE1643</f>
        <v>73.162999999999997</v>
      </c>
      <c r="AF1642">
        <f>'raw data Crude oil'!AF1643</f>
        <v>72.751000000000005</v>
      </c>
      <c r="AG1642">
        <f>'raw data Crude oil'!AG1643</f>
        <v>72.349000000000004</v>
      </c>
      <c r="AH1642">
        <f>'raw data Crude oil'!AH1643</f>
        <v>72.007999999999996</v>
      </c>
      <c r="AI1642">
        <f>'raw data Crude oil'!AI1643</f>
        <v>71.728999999999999</v>
      </c>
      <c r="AJ1642">
        <f>'raw data Crude oil'!AJ1643</f>
        <v>71.47</v>
      </c>
      <c r="AK1642">
        <f>'raw data Crude oil'!AK1643</f>
        <v>71.23</v>
      </c>
    </row>
    <row r="1643" spans="1:37" x14ac:dyDescent="0.3">
      <c r="A1643" s="18">
        <f>'raw data Crude oil'!A1644</f>
        <v>45057</v>
      </c>
      <c r="B1643">
        <f>'raw data Crude oil'!B1644</f>
        <v>74.98</v>
      </c>
      <c r="C1643">
        <f>'raw data Crude oil'!C1644</f>
        <v>74.760000000000005</v>
      </c>
      <c r="D1643">
        <f>'raw data Crude oil'!D1644</f>
        <v>74.44</v>
      </c>
      <c r="E1643">
        <f>'raw data Crude oil'!E1644</f>
        <v>74.08</v>
      </c>
      <c r="F1643">
        <f>'raw data Crude oil'!F1644</f>
        <v>73.75</v>
      </c>
      <c r="G1643">
        <f>'raw data Crude oil'!G1644</f>
        <v>73.41</v>
      </c>
      <c r="H1643">
        <f>'raw data Crude oil'!H1644</f>
        <v>73.099999999999994</v>
      </c>
      <c r="I1643">
        <f>'raw data Crude oil'!I1644</f>
        <v>72.819999999999993</v>
      </c>
      <c r="J1643">
        <f>'raw data Crude oil'!J1644</f>
        <v>72.58</v>
      </c>
      <c r="K1643">
        <f>'raw data Crude oil'!K1644</f>
        <v>72.34</v>
      </c>
      <c r="L1643">
        <f>'raw data Crude oil'!L1644</f>
        <v>72.12</v>
      </c>
      <c r="M1643">
        <f>'raw data Crude oil'!M1644</f>
        <v>71.94</v>
      </c>
      <c r="N1643">
        <f>'raw data Crude oil'!N1644</f>
        <v>70.87</v>
      </c>
      <c r="O1643">
        <f>'raw data Crude oil'!O1644</f>
        <v>70.88</v>
      </c>
      <c r="P1643">
        <f>'raw data Crude oil'!P1644</f>
        <v>70.709999999999994</v>
      </c>
      <c r="Q1643">
        <f>'raw data Crude oil'!Q1644</f>
        <v>70.39</v>
      </c>
      <c r="R1643">
        <f>'raw data Crude oil'!R1644</f>
        <v>69.989999999999995</v>
      </c>
      <c r="S1643">
        <f>'raw data Crude oil'!S1644</f>
        <v>69.599999999999994</v>
      </c>
      <c r="T1643">
        <f>'raw data Crude oil'!T1644</f>
        <v>69.25</v>
      </c>
      <c r="U1643">
        <f>'raw data Crude oil'!U1644</f>
        <v>68.91</v>
      </c>
      <c r="V1643">
        <f>'raw data Crude oil'!V1644</f>
        <v>68.59</v>
      </c>
      <c r="W1643">
        <f>'raw data Crude oil'!W1644</f>
        <v>68.290000000000006</v>
      </c>
      <c r="X1643">
        <f>'raw data Crude oil'!X1644</f>
        <v>68.010000000000005</v>
      </c>
      <c r="Y1643">
        <f>'raw data Crude oil'!Y1644</f>
        <v>67.77</v>
      </c>
      <c r="Z1643">
        <f>'raw data Crude oil'!Z1644</f>
        <v>74.643000000000001</v>
      </c>
      <c r="AA1643">
        <f>'raw data Crude oil'!AA1644</f>
        <v>73.674999999999997</v>
      </c>
      <c r="AB1643">
        <f>'raw data Crude oil'!AB1644</f>
        <v>73.102999999999994</v>
      </c>
      <c r="AC1643">
        <f>'raw data Crude oil'!AC1644</f>
        <v>72.566000000000003</v>
      </c>
      <c r="AD1643">
        <f>'raw data Crude oil'!AD1644</f>
        <v>72.055000000000007</v>
      </c>
      <c r="AE1643">
        <f>'raw data Crude oil'!AE1644</f>
        <v>71.587000000000003</v>
      </c>
      <c r="AF1643">
        <f>'raw data Crude oil'!AF1644</f>
        <v>71.158000000000001</v>
      </c>
      <c r="AG1643">
        <f>'raw data Crude oil'!AG1644</f>
        <v>70.775999999999996</v>
      </c>
      <c r="AH1643">
        <f>'raw data Crude oil'!AH1644</f>
        <v>70.509</v>
      </c>
      <c r="AI1643">
        <f>'raw data Crude oil'!AI1644</f>
        <v>70.239999999999995</v>
      </c>
      <c r="AJ1643">
        <f>'raw data Crude oil'!AJ1644</f>
        <v>70.010999999999996</v>
      </c>
      <c r="AK1643">
        <f>'raw data Crude oil'!AK1644</f>
        <v>69.8</v>
      </c>
    </row>
    <row r="1644" spans="1:37" x14ac:dyDescent="0.3">
      <c r="A1644" s="18">
        <f>'raw data Crude oil'!A1645</f>
        <v>45058</v>
      </c>
      <c r="B1644">
        <f>'raw data Crude oil'!B1645</f>
        <v>74.17</v>
      </c>
      <c r="C1644">
        <f>'raw data Crude oil'!C1645</f>
        <v>73.900000000000006</v>
      </c>
      <c r="D1644">
        <f>'raw data Crude oil'!D1645</f>
        <v>73.55</v>
      </c>
      <c r="E1644">
        <f>'raw data Crude oil'!E1645</f>
        <v>73.180000000000007</v>
      </c>
      <c r="F1644">
        <f>'raw data Crude oil'!F1645</f>
        <v>72.849999999999994</v>
      </c>
      <c r="G1644">
        <f>'raw data Crude oil'!G1645</f>
        <v>72.510000000000005</v>
      </c>
      <c r="H1644">
        <f>'raw data Crude oil'!H1645</f>
        <v>72.209999999999994</v>
      </c>
      <c r="I1644">
        <f>'raw data Crude oil'!I1645</f>
        <v>71.930000000000007</v>
      </c>
      <c r="J1644">
        <f>'raw data Crude oil'!J1645</f>
        <v>71.7</v>
      </c>
      <c r="K1644">
        <f>'raw data Crude oil'!K1645</f>
        <v>71.48</v>
      </c>
      <c r="L1644">
        <f>'raw data Crude oil'!L1645</f>
        <v>71.28</v>
      </c>
      <c r="M1644">
        <f>'raw data Crude oil'!M1645</f>
        <v>71.11</v>
      </c>
      <c r="N1644">
        <f>'raw data Crude oil'!N1645</f>
        <v>70.040000000000006</v>
      </c>
      <c r="O1644">
        <f>'raw data Crude oil'!O1645</f>
        <v>70.02</v>
      </c>
      <c r="P1644">
        <f>'raw data Crude oil'!P1645</f>
        <v>69.83</v>
      </c>
      <c r="Q1644">
        <f>'raw data Crude oil'!Q1645</f>
        <v>69.5</v>
      </c>
      <c r="R1644">
        <f>'raw data Crude oil'!R1645</f>
        <v>69.11</v>
      </c>
      <c r="S1644">
        <f>'raw data Crude oil'!S1645</f>
        <v>68.73</v>
      </c>
      <c r="T1644">
        <f>'raw data Crude oil'!T1645</f>
        <v>68.38</v>
      </c>
      <c r="U1644">
        <f>'raw data Crude oil'!U1645</f>
        <v>68.05</v>
      </c>
      <c r="V1644">
        <f>'raw data Crude oil'!V1645</f>
        <v>67.73</v>
      </c>
      <c r="W1644">
        <f>'raw data Crude oil'!W1645</f>
        <v>67.45</v>
      </c>
      <c r="X1644">
        <f>'raw data Crude oil'!X1645</f>
        <v>67.19</v>
      </c>
      <c r="Y1644">
        <f>'raw data Crude oil'!Y1645</f>
        <v>66.959999999999994</v>
      </c>
      <c r="Z1644">
        <f>'raw data Crude oil'!Z1645</f>
        <v>74</v>
      </c>
      <c r="AA1644">
        <f>'raw data Crude oil'!AA1645</f>
        <v>72.694999999999993</v>
      </c>
      <c r="AB1644">
        <f>'raw data Crude oil'!AB1645</f>
        <v>72.174999999999997</v>
      </c>
      <c r="AC1644">
        <f>'raw data Crude oil'!AC1645</f>
        <v>71.653000000000006</v>
      </c>
      <c r="AD1644">
        <f>'raw data Crude oil'!AD1645</f>
        <v>71.143000000000001</v>
      </c>
      <c r="AE1644">
        <f>'raw data Crude oil'!AE1645</f>
        <v>70.692999999999998</v>
      </c>
      <c r="AF1644">
        <f>'raw data Crude oil'!AF1645</f>
        <v>70.257999999999996</v>
      </c>
      <c r="AG1644">
        <f>'raw data Crude oil'!AG1645</f>
        <v>69.867999999999995</v>
      </c>
      <c r="AH1644">
        <f>'raw data Crude oil'!AH1645</f>
        <v>69.53</v>
      </c>
      <c r="AI1644">
        <f>'raw data Crude oil'!AI1645</f>
        <v>69.3</v>
      </c>
      <c r="AJ1644">
        <f>'raw data Crude oil'!AJ1645</f>
        <v>69.081999999999994</v>
      </c>
      <c r="AK1644">
        <f>'raw data Crude oil'!AK1645</f>
        <v>68.911000000000001</v>
      </c>
    </row>
    <row r="1645" spans="1:37" x14ac:dyDescent="0.3">
      <c r="A1645" s="18">
        <f>'raw data Crude oil'!A1646</f>
        <v>45061</v>
      </c>
      <c r="B1645">
        <f>'raw data Crude oil'!B1646</f>
        <v>75.23</v>
      </c>
      <c r="C1645">
        <f>'raw data Crude oil'!C1646</f>
        <v>75.02</v>
      </c>
      <c r="D1645">
        <f>'raw data Crude oil'!D1646</f>
        <v>74.69</v>
      </c>
      <c r="E1645">
        <f>'raw data Crude oil'!E1646</f>
        <v>74.319999999999993</v>
      </c>
      <c r="F1645">
        <f>'raw data Crude oil'!F1646</f>
        <v>73.98</v>
      </c>
      <c r="G1645">
        <f>'raw data Crude oil'!G1646</f>
        <v>73.64</v>
      </c>
      <c r="H1645">
        <f>'raw data Crude oil'!H1646</f>
        <v>73.319999999999993</v>
      </c>
      <c r="I1645">
        <f>'raw data Crude oil'!I1646</f>
        <v>73.03</v>
      </c>
      <c r="J1645">
        <f>'raw data Crude oil'!J1646</f>
        <v>72.78</v>
      </c>
      <c r="K1645">
        <f>'raw data Crude oil'!K1646</f>
        <v>72.53</v>
      </c>
      <c r="L1645">
        <f>'raw data Crude oil'!L1646</f>
        <v>72.319999999999993</v>
      </c>
      <c r="M1645">
        <f>'raw data Crude oil'!M1646</f>
        <v>72.14</v>
      </c>
      <c r="N1645">
        <f>'raw data Crude oil'!N1646</f>
        <v>71.11</v>
      </c>
      <c r="O1645">
        <f>'raw data Crude oil'!O1646</f>
        <v>71.09</v>
      </c>
      <c r="P1645">
        <f>'raw data Crude oil'!P1646</f>
        <v>70.91</v>
      </c>
      <c r="Q1645">
        <f>'raw data Crude oil'!Q1646</f>
        <v>70.58</v>
      </c>
      <c r="R1645">
        <f>'raw data Crude oil'!R1646</f>
        <v>70.19</v>
      </c>
      <c r="S1645">
        <f>'raw data Crude oil'!S1646</f>
        <v>69.81</v>
      </c>
      <c r="T1645">
        <f>'raw data Crude oil'!T1646</f>
        <v>69.459999999999994</v>
      </c>
      <c r="U1645">
        <f>'raw data Crude oil'!U1646</f>
        <v>69.12</v>
      </c>
      <c r="V1645">
        <f>'raw data Crude oil'!V1646</f>
        <v>68.790000000000006</v>
      </c>
      <c r="W1645">
        <f>'raw data Crude oil'!W1646</f>
        <v>68.48</v>
      </c>
      <c r="X1645">
        <f>'raw data Crude oil'!X1646</f>
        <v>68.209999999999994</v>
      </c>
      <c r="Y1645">
        <f>'raw data Crude oil'!Y1646</f>
        <v>67.959999999999994</v>
      </c>
      <c r="Z1645">
        <f>'raw data Crude oil'!Z1646</f>
        <v>74.515000000000001</v>
      </c>
      <c r="AA1645">
        <f>'raw data Crude oil'!AA1646</f>
        <v>73.634</v>
      </c>
      <c r="AB1645">
        <f>'raw data Crude oil'!AB1646</f>
        <v>73.194000000000003</v>
      </c>
      <c r="AC1645">
        <f>'raw data Crude oil'!AC1646</f>
        <v>72.716999999999999</v>
      </c>
      <c r="AD1645">
        <f>'raw data Crude oil'!AD1646</f>
        <v>72.236000000000004</v>
      </c>
      <c r="AE1645">
        <f>'raw data Crude oil'!AE1646</f>
        <v>71.775000000000006</v>
      </c>
      <c r="AF1645">
        <f>'raw data Crude oil'!AF1646</f>
        <v>71.316999999999993</v>
      </c>
      <c r="AG1645">
        <f>'raw data Crude oil'!AG1646</f>
        <v>70.885999999999996</v>
      </c>
      <c r="AH1645">
        <f>'raw data Crude oil'!AH1646</f>
        <v>70.578999999999994</v>
      </c>
      <c r="AI1645">
        <f>'raw data Crude oil'!AI1646</f>
        <v>70.319999999999993</v>
      </c>
      <c r="AJ1645">
        <f>'raw data Crude oil'!AJ1646</f>
        <v>70.131</v>
      </c>
      <c r="AK1645">
        <f>'raw data Crude oil'!AK1646</f>
        <v>69.95</v>
      </c>
    </row>
    <row r="1646" spans="1:37" x14ac:dyDescent="0.3">
      <c r="A1646" s="18">
        <f>'raw data Crude oil'!A1647</f>
        <v>45062</v>
      </c>
      <c r="B1646">
        <f>'raw data Crude oil'!B1647</f>
        <v>74.91</v>
      </c>
      <c r="C1646">
        <f>'raw data Crude oil'!C1647</f>
        <v>74.72</v>
      </c>
      <c r="D1646">
        <f>'raw data Crude oil'!D1647</f>
        <v>74.400000000000006</v>
      </c>
      <c r="E1646">
        <f>'raw data Crude oil'!E1647</f>
        <v>74.03</v>
      </c>
      <c r="F1646">
        <f>'raw data Crude oil'!F1647</f>
        <v>73.69</v>
      </c>
      <c r="G1646">
        <f>'raw data Crude oil'!G1647</f>
        <v>73.349999999999994</v>
      </c>
      <c r="H1646">
        <f>'raw data Crude oil'!H1647</f>
        <v>73.03</v>
      </c>
      <c r="I1646">
        <f>'raw data Crude oil'!I1647</f>
        <v>72.739999999999995</v>
      </c>
      <c r="J1646">
        <f>'raw data Crude oil'!J1647</f>
        <v>72.510000000000005</v>
      </c>
      <c r="K1646">
        <f>'raw data Crude oil'!K1647</f>
        <v>72.27</v>
      </c>
      <c r="L1646">
        <f>'raw data Crude oil'!L1647</f>
        <v>72.06</v>
      </c>
      <c r="M1646">
        <f>'raw data Crude oil'!M1647</f>
        <v>71.89</v>
      </c>
      <c r="N1646">
        <f>'raw data Crude oil'!N1647</f>
        <v>70.86</v>
      </c>
      <c r="O1646">
        <f>'raw data Crude oil'!O1647</f>
        <v>70.84</v>
      </c>
      <c r="P1646">
        <f>'raw data Crude oil'!P1647</f>
        <v>70.66</v>
      </c>
      <c r="Q1646">
        <f>'raw data Crude oil'!Q1647</f>
        <v>70.33</v>
      </c>
      <c r="R1646">
        <f>'raw data Crude oil'!R1647</f>
        <v>69.94</v>
      </c>
      <c r="S1646">
        <f>'raw data Crude oil'!S1647</f>
        <v>69.56</v>
      </c>
      <c r="T1646">
        <f>'raw data Crude oil'!T1647</f>
        <v>69.22</v>
      </c>
      <c r="U1646">
        <f>'raw data Crude oil'!U1647</f>
        <v>68.87</v>
      </c>
      <c r="V1646">
        <f>'raw data Crude oil'!V1647</f>
        <v>68.56</v>
      </c>
      <c r="W1646">
        <f>'raw data Crude oil'!W1647</f>
        <v>68.27</v>
      </c>
      <c r="X1646">
        <f>'raw data Crude oil'!X1647</f>
        <v>68</v>
      </c>
      <c r="Y1646">
        <f>'raw data Crude oil'!Y1647</f>
        <v>67.760000000000005</v>
      </c>
      <c r="Z1646">
        <f>'raw data Crude oil'!Z1647</f>
        <v>74.387</v>
      </c>
      <c r="AA1646">
        <f>'raw data Crude oil'!AA1647</f>
        <v>73.394999999999996</v>
      </c>
      <c r="AB1646">
        <f>'raw data Crude oil'!AB1647</f>
        <v>72.962999999999994</v>
      </c>
      <c r="AC1646">
        <f>'raw data Crude oil'!AC1647</f>
        <v>72.462999999999994</v>
      </c>
      <c r="AD1646">
        <f>'raw data Crude oil'!AD1647</f>
        <v>71.981999999999999</v>
      </c>
      <c r="AE1646">
        <f>'raw data Crude oil'!AE1647</f>
        <v>71.510000000000005</v>
      </c>
      <c r="AF1646">
        <f>'raw data Crude oil'!AF1647</f>
        <v>71.06</v>
      </c>
      <c r="AG1646">
        <f>'raw data Crude oil'!AG1647</f>
        <v>70.64</v>
      </c>
      <c r="AH1646">
        <f>'raw data Crude oil'!AH1647</f>
        <v>70.308999999999997</v>
      </c>
      <c r="AI1646">
        <f>'raw data Crude oil'!AI1647</f>
        <v>70.02</v>
      </c>
      <c r="AJ1646">
        <f>'raw data Crude oil'!AJ1647</f>
        <v>69.781999999999996</v>
      </c>
      <c r="AK1646">
        <f>'raw data Crude oil'!AK1647</f>
        <v>69.600999999999999</v>
      </c>
    </row>
    <row r="1647" spans="1:37" x14ac:dyDescent="0.3">
      <c r="A1647" s="18">
        <f>'raw data Crude oil'!A1648</f>
        <v>45063</v>
      </c>
      <c r="B1647">
        <f>'raw data Crude oil'!B1648</f>
        <v>76.959999999999994</v>
      </c>
      <c r="C1647">
        <f>'raw data Crude oil'!C1648</f>
        <v>76.81</v>
      </c>
      <c r="D1647">
        <f>'raw data Crude oil'!D1648</f>
        <v>76.510000000000005</v>
      </c>
      <c r="E1647">
        <f>'raw data Crude oil'!E1648</f>
        <v>76.150000000000006</v>
      </c>
      <c r="F1647">
        <f>'raw data Crude oil'!F1648</f>
        <v>75.81</v>
      </c>
      <c r="G1647">
        <f>'raw data Crude oil'!G1648</f>
        <v>75.459999999999994</v>
      </c>
      <c r="H1647">
        <f>'raw data Crude oil'!H1648</f>
        <v>75.11</v>
      </c>
      <c r="I1647">
        <f>'raw data Crude oil'!I1648</f>
        <v>74.8</v>
      </c>
      <c r="J1647">
        <f>'raw data Crude oil'!J1648</f>
        <v>74.53</v>
      </c>
      <c r="K1647">
        <f>'raw data Crude oil'!K1648</f>
        <v>74.260000000000005</v>
      </c>
      <c r="L1647">
        <f>'raw data Crude oil'!L1648</f>
        <v>74.02</v>
      </c>
      <c r="M1647">
        <f>'raw data Crude oil'!M1648</f>
        <v>73.819999999999993</v>
      </c>
      <c r="N1647">
        <f>'raw data Crude oil'!N1648</f>
        <v>72.83</v>
      </c>
      <c r="O1647">
        <f>'raw data Crude oil'!O1648</f>
        <v>72.89</v>
      </c>
      <c r="P1647">
        <f>'raw data Crude oil'!P1648</f>
        <v>72.77</v>
      </c>
      <c r="Q1647">
        <f>'raw data Crude oil'!Q1648</f>
        <v>72.48</v>
      </c>
      <c r="R1647">
        <f>'raw data Crude oil'!R1648</f>
        <v>72.099999999999994</v>
      </c>
      <c r="S1647">
        <f>'raw data Crude oil'!S1648</f>
        <v>71.709999999999994</v>
      </c>
      <c r="T1647">
        <f>'raw data Crude oil'!T1648</f>
        <v>71.33</v>
      </c>
      <c r="U1647">
        <f>'raw data Crude oil'!U1648</f>
        <v>70.959999999999994</v>
      </c>
      <c r="V1647">
        <f>'raw data Crude oil'!V1648</f>
        <v>70.61</v>
      </c>
      <c r="W1647">
        <f>'raw data Crude oil'!W1648</f>
        <v>70.290000000000006</v>
      </c>
      <c r="X1647">
        <f>'raw data Crude oil'!X1648</f>
        <v>69.989999999999995</v>
      </c>
      <c r="Y1647">
        <f>'raw data Crude oil'!Y1648</f>
        <v>69.72</v>
      </c>
      <c r="Z1647">
        <f>'raw data Crude oil'!Z1648</f>
        <v>75.126000000000005</v>
      </c>
      <c r="AA1647">
        <f>'raw data Crude oil'!AA1648</f>
        <v>75.093999999999994</v>
      </c>
      <c r="AB1647">
        <f>'raw data Crude oil'!AB1648</f>
        <v>74.814999999999998</v>
      </c>
      <c r="AC1647">
        <f>'raw data Crude oil'!AC1648</f>
        <v>74.447999999999993</v>
      </c>
      <c r="AD1647">
        <f>'raw data Crude oil'!AD1648</f>
        <v>74.028000000000006</v>
      </c>
      <c r="AE1647">
        <f>'raw data Crude oil'!AE1648</f>
        <v>73.578999999999994</v>
      </c>
      <c r="AF1647">
        <f>'raw data Crude oil'!AF1648</f>
        <v>73.131</v>
      </c>
      <c r="AG1647">
        <f>'raw data Crude oil'!AG1648</f>
        <v>72.707999999999998</v>
      </c>
      <c r="AH1647">
        <f>'raw data Crude oil'!AH1648</f>
        <v>72.397999999999996</v>
      </c>
      <c r="AI1647">
        <f>'raw data Crude oil'!AI1648</f>
        <v>72.099000000000004</v>
      </c>
      <c r="AJ1647">
        <f>'raw data Crude oil'!AJ1648</f>
        <v>71.84</v>
      </c>
      <c r="AK1647">
        <f>'raw data Crude oil'!AK1648</f>
        <v>71.619</v>
      </c>
    </row>
    <row r="1648" spans="1:37" x14ac:dyDescent="0.3">
      <c r="A1648" s="18">
        <f>'raw data Crude oil'!A1649</f>
        <v>45064</v>
      </c>
      <c r="B1648">
        <f>'raw data Crude oil'!B1649</f>
        <v>75.86</v>
      </c>
      <c r="C1648">
        <f>'raw data Crude oil'!C1649</f>
        <v>75.8</v>
      </c>
      <c r="D1648">
        <f>'raw data Crude oil'!D1649</f>
        <v>75.58</v>
      </c>
      <c r="E1648">
        <f>'raw data Crude oil'!E1649</f>
        <v>75.28</v>
      </c>
      <c r="F1648">
        <f>'raw data Crude oil'!F1649</f>
        <v>74.97</v>
      </c>
      <c r="G1648">
        <f>'raw data Crude oil'!G1649</f>
        <v>74.66</v>
      </c>
      <c r="H1648">
        <f>'raw data Crude oil'!H1649</f>
        <v>74.349999999999994</v>
      </c>
      <c r="I1648">
        <f>'raw data Crude oil'!I1649</f>
        <v>74.06</v>
      </c>
      <c r="J1648">
        <f>'raw data Crude oil'!J1649</f>
        <v>73.819999999999993</v>
      </c>
      <c r="K1648">
        <f>'raw data Crude oil'!K1649</f>
        <v>73.569999999999993</v>
      </c>
      <c r="L1648">
        <f>'raw data Crude oil'!L1649</f>
        <v>73.36</v>
      </c>
      <c r="M1648">
        <f>'raw data Crude oil'!M1649</f>
        <v>73.180000000000007</v>
      </c>
      <c r="N1648">
        <f>'raw data Crude oil'!N1649</f>
        <v>71.86</v>
      </c>
      <c r="O1648">
        <f>'raw data Crude oil'!O1649</f>
        <v>71.94</v>
      </c>
      <c r="P1648">
        <f>'raw data Crude oil'!P1649</f>
        <v>71.86</v>
      </c>
      <c r="Q1648">
        <f>'raw data Crude oil'!Q1649</f>
        <v>71.61</v>
      </c>
      <c r="R1648">
        <f>'raw data Crude oil'!R1649</f>
        <v>71.28</v>
      </c>
      <c r="S1648">
        <f>'raw data Crude oil'!S1649</f>
        <v>70.94</v>
      </c>
      <c r="T1648">
        <f>'raw data Crude oil'!T1649</f>
        <v>70.59</v>
      </c>
      <c r="U1648">
        <f>'raw data Crude oil'!U1649</f>
        <v>70.260000000000005</v>
      </c>
      <c r="V1648">
        <f>'raw data Crude oil'!V1649</f>
        <v>69.94</v>
      </c>
      <c r="W1648">
        <f>'raw data Crude oil'!W1649</f>
        <v>69.650000000000006</v>
      </c>
      <c r="X1648">
        <f>'raw data Crude oil'!X1649</f>
        <v>69.37</v>
      </c>
      <c r="Y1648">
        <f>'raw data Crude oil'!Y1649</f>
        <v>69.12</v>
      </c>
      <c r="Z1648">
        <f>'raw data Crude oil'!Z1649</f>
        <v>74.67</v>
      </c>
      <c r="AA1648">
        <f>'raw data Crude oil'!AA1649</f>
        <v>74.16</v>
      </c>
      <c r="AB1648">
        <f>'raw data Crude oil'!AB1649</f>
        <v>73.915999999999997</v>
      </c>
      <c r="AC1648">
        <f>'raw data Crude oil'!AC1649</f>
        <v>73.581999999999994</v>
      </c>
      <c r="AD1648">
        <f>'raw data Crude oil'!AD1649</f>
        <v>73.156000000000006</v>
      </c>
      <c r="AE1648">
        <f>'raw data Crude oil'!AE1649</f>
        <v>72.72</v>
      </c>
      <c r="AF1648">
        <f>'raw data Crude oil'!AF1649</f>
        <v>72.27</v>
      </c>
      <c r="AG1648">
        <f>'raw data Crude oil'!AG1649</f>
        <v>71.878</v>
      </c>
      <c r="AH1648">
        <f>'raw data Crude oil'!AH1649</f>
        <v>71.629000000000005</v>
      </c>
      <c r="AI1648">
        <f>'raw data Crude oil'!AI1649</f>
        <v>71.349999999999994</v>
      </c>
      <c r="AJ1648">
        <f>'raw data Crude oil'!AJ1649</f>
        <v>71.131</v>
      </c>
      <c r="AK1648">
        <f>'raw data Crude oil'!AK1649</f>
        <v>70.941000000000003</v>
      </c>
    </row>
    <row r="1649" spans="1:37" x14ac:dyDescent="0.3">
      <c r="A1649" s="18">
        <f>'raw data Crude oil'!A1650</f>
        <v>45065</v>
      </c>
      <c r="B1649">
        <f>'raw data Crude oil'!B1650</f>
        <v>75.58</v>
      </c>
      <c r="C1649">
        <f>'raw data Crude oil'!C1650</f>
        <v>75.47</v>
      </c>
      <c r="D1649">
        <f>'raw data Crude oil'!D1650</f>
        <v>75.19</v>
      </c>
      <c r="E1649">
        <f>'raw data Crude oil'!E1650</f>
        <v>74.849999999999994</v>
      </c>
      <c r="F1649">
        <f>'raw data Crude oil'!F1650</f>
        <v>74.510000000000005</v>
      </c>
      <c r="G1649">
        <f>'raw data Crude oil'!G1650</f>
        <v>74.17</v>
      </c>
      <c r="H1649">
        <f>'raw data Crude oil'!H1650</f>
        <v>73.83</v>
      </c>
      <c r="I1649">
        <f>'raw data Crude oil'!I1650</f>
        <v>73.510000000000005</v>
      </c>
      <c r="J1649">
        <f>'raw data Crude oil'!J1650</f>
        <v>73.239999999999995</v>
      </c>
      <c r="K1649">
        <f>'raw data Crude oil'!K1650</f>
        <v>72.97</v>
      </c>
      <c r="L1649">
        <f>'raw data Crude oil'!L1650</f>
        <v>72.73</v>
      </c>
      <c r="M1649">
        <f>'raw data Crude oil'!M1650</f>
        <v>72.510000000000005</v>
      </c>
      <c r="N1649">
        <f>'raw data Crude oil'!N1650</f>
        <v>71.55</v>
      </c>
      <c r="O1649">
        <f>'raw data Crude oil'!O1650</f>
        <v>71.69</v>
      </c>
      <c r="P1649">
        <f>'raw data Crude oil'!P1650</f>
        <v>71.59</v>
      </c>
      <c r="Q1649">
        <f>'raw data Crude oil'!Q1650</f>
        <v>71.31</v>
      </c>
      <c r="R1649">
        <f>'raw data Crude oil'!R1650</f>
        <v>70.94</v>
      </c>
      <c r="S1649">
        <f>'raw data Crude oil'!S1650</f>
        <v>70.55</v>
      </c>
      <c r="T1649">
        <f>'raw data Crude oil'!T1650</f>
        <v>70.17</v>
      </c>
      <c r="U1649">
        <f>'raw data Crude oil'!U1650</f>
        <v>69.8</v>
      </c>
      <c r="V1649">
        <f>'raw data Crude oil'!V1650</f>
        <v>69.45</v>
      </c>
      <c r="W1649">
        <f>'raw data Crude oil'!W1650</f>
        <v>69.12</v>
      </c>
      <c r="X1649">
        <f>'raw data Crude oil'!X1650</f>
        <v>68.790000000000006</v>
      </c>
      <c r="Y1649">
        <f>'raw data Crude oil'!Y1650</f>
        <v>68.5</v>
      </c>
      <c r="Z1649">
        <f>'raw data Crude oil'!Z1650</f>
        <v>74.668000000000006</v>
      </c>
      <c r="AA1649">
        <f>'raw data Crude oil'!AA1650</f>
        <v>74.091999999999999</v>
      </c>
      <c r="AB1649">
        <f>'raw data Crude oil'!AB1650</f>
        <v>73.733999999999995</v>
      </c>
      <c r="AC1649">
        <f>'raw data Crude oil'!AC1650</f>
        <v>73.323999999999998</v>
      </c>
      <c r="AD1649">
        <f>'raw data Crude oil'!AD1650</f>
        <v>72.864000000000004</v>
      </c>
      <c r="AE1649">
        <f>'raw data Crude oil'!AE1650</f>
        <v>72.403999999999996</v>
      </c>
      <c r="AF1649">
        <f>'raw data Crude oil'!AF1650</f>
        <v>71.933999999999997</v>
      </c>
      <c r="AG1649">
        <f>'raw data Crude oil'!AG1650</f>
        <v>71.488</v>
      </c>
      <c r="AH1649">
        <f>'raw data Crude oil'!AH1650</f>
        <v>71.108000000000004</v>
      </c>
      <c r="AI1649">
        <f>'raw data Crude oil'!AI1650</f>
        <v>70.819000000000003</v>
      </c>
      <c r="AJ1649">
        <f>'raw data Crude oil'!AJ1650</f>
        <v>70.569000000000003</v>
      </c>
      <c r="AK1649">
        <f>'raw data Crude oil'!AK1650</f>
        <v>70.33</v>
      </c>
    </row>
    <row r="1650" spans="1:37" x14ac:dyDescent="0.3">
      <c r="A1650" s="18">
        <f>'raw data Crude oil'!A1651</f>
        <v>45068</v>
      </c>
      <c r="B1650">
        <f>'raw data Crude oil'!B1651</f>
        <v>75.989999999999995</v>
      </c>
      <c r="C1650">
        <f>'raw data Crude oil'!C1651</f>
        <v>75.87</v>
      </c>
      <c r="D1650">
        <f>'raw data Crude oil'!D1651</f>
        <v>75.569999999999993</v>
      </c>
      <c r="E1650">
        <f>'raw data Crude oil'!E1651</f>
        <v>75.2</v>
      </c>
      <c r="F1650">
        <f>'raw data Crude oil'!F1651</f>
        <v>74.84</v>
      </c>
      <c r="G1650">
        <f>'raw data Crude oil'!G1651</f>
        <v>74.47</v>
      </c>
      <c r="H1650">
        <f>'raw data Crude oil'!H1651</f>
        <v>74.11</v>
      </c>
      <c r="I1650">
        <f>'raw data Crude oil'!I1651</f>
        <v>73.78</v>
      </c>
      <c r="J1650">
        <f>'raw data Crude oil'!J1651</f>
        <v>73.5</v>
      </c>
      <c r="K1650">
        <f>'raw data Crude oil'!K1651</f>
        <v>73.209999999999994</v>
      </c>
      <c r="L1650">
        <f>'raw data Crude oil'!L1651</f>
        <v>72.95</v>
      </c>
      <c r="M1650">
        <f>'raw data Crude oil'!M1651</f>
        <v>72.73</v>
      </c>
      <c r="N1650">
        <f>'raw data Crude oil'!N1651</f>
        <v>71.989999999999995</v>
      </c>
      <c r="O1650">
        <f>'raw data Crude oil'!O1651</f>
        <v>72.05</v>
      </c>
      <c r="P1650">
        <f>'raw data Crude oil'!P1651</f>
        <v>71.97</v>
      </c>
      <c r="Q1650">
        <f>'raw data Crude oil'!Q1651</f>
        <v>71.680000000000007</v>
      </c>
      <c r="R1650">
        <f>'raw data Crude oil'!R1651</f>
        <v>71.28</v>
      </c>
      <c r="S1650">
        <f>'raw data Crude oil'!S1651</f>
        <v>70.87</v>
      </c>
      <c r="T1650">
        <f>'raw data Crude oil'!T1651</f>
        <v>70.459999999999994</v>
      </c>
      <c r="U1650">
        <f>'raw data Crude oil'!U1651</f>
        <v>70.069999999999993</v>
      </c>
      <c r="V1650">
        <f>'raw data Crude oil'!V1651</f>
        <v>69.7</v>
      </c>
      <c r="W1650">
        <f>'raw data Crude oil'!W1651</f>
        <v>69.36</v>
      </c>
      <c r="X1650">
        <f>'raw data Crude oil'!X1651</f>
        <v>69.040000000000006</v>
      </c>
      <c r="Y1650">
        <f>'raw data Crude oil'!Y1651</f>
        <v>68.75</v>
      </c>
      <c r="Z1650">
        <f>'raw data Crude oil'!Z1651</f>
        <v>74.733000000000004</v>
      </c>
      <c r="AA1650">
        <f>'raw data Crude oil'!AA1651</f>
        <v>74.275999999999996</v>
      </c>
      <c r="AB1650">
        <f>'raw data Crude oil'!AB1651</f>
        <v>73.941999999999993</v>
      </c>
      <c r="AC1650">
        <f>'raw data Crude oil'!AC1651</f>
        <v>73.543999999999997</v>
      </c>
      <c r="AD1650">
        <f>'raw data Crude oil'!AD1651</f>
        <v>73.102000000000004</v>
      </c>
      <c r="AE1650">
        <f>'raw data Crude oil'!AE1651</f>
        <v>72.643000000000001</v>
      </c>
      <c r="AF1650">
        <f>'raw data Crude oil'!AF1651</f>
        <v>72.180000000000007</v>
      </c>
      <c r="AG1650">
        <f>'raw data Crude oil'!AG1651</f>
        <v>71.742000000000004</v>
      </c>
      <c r="AH1650">
        <f>'raw data Crude oil'!AH1651</f>
        <v>71.397000000000006</v>
      </c>
      <c r="AI1650">
        <f>'raw data Crude oil'!AI1651</f>
        <v>71.067999999999998</v>
      </c>
      <c r="AJ1650">
        <f>'raw data Crude oil'!AJ1651</f>
        <v>70.778999999999996</v>
      </c>
      <c r="AK1650">
        <f>'raw data Crude oil'!AK1651</f>
        <v>70.519000000000005</v>
      </c>
    </row>
    <row r="1651" spans="1:37" x14ac:dyDescent="0.3">
      <c r="A1651" s="18">
        <f>'raw data Crude oil'!A1652</f>
        <v>45069</v>
      </c>
      <c r="B1651">
        <f>'raw data Crude oil'!B1652</f>
        <v>76.84</v>
      </c>
      <c r="C1651">
        <f>'raw data Crude oil'!C1652</f>
        <v>76.739999999999995</v>
      </c>
      <c r="D1651">
        <f>'raw data Crude oil'!D1652</f>
        <v>76.459999999999994</v>
      </c>
      <c r="E1651">
        <f>'raw data Crude oil'!E1652</f>
        <v>76.08</v>
      </c>
      <c r="F1651">
        <f>'raw data Crude oil'!F1652</f>
        <v>75.7</v>
      </c>
      <c r="G1651">
        <f>'raw data Crude oil'!G1652</f>
        <v>75.33</v>
      </c>
      <c r="H1651">
        <f>'raw data Crude oil'!H1652</f>
        <v>74.959999999999994</v>
      </c>
      <c r="I1651">
        <f>'raw data Crude oil'!I1652</f>
        <v>74.62</v>
      </c>
      <c r="J1651">
        <f>'raw data Crude oil'!J1652</f>
        <v>74.33</v>
      </c>
      <c r="K1651">
        <f>'raw data Crude oil'!K1652</f>
        <v>74.03</v>
      </c>
      <c r="L1651">
        <f>'raw data Crude oil'!L1652</f>
        <v>73.760000000000005</v>
      </c>
      <c r="M1651">
        <f>'raw data Crude oil'!M1652</f>
        <v>73.53</v>
      </c>
      <c r="N1651">
        <f>'raw data Crude oil'!N1652</f>
        <v>72.91</v>
      </c>
      <c r="O1651">
        <f>'raw data Crude oil'!O1652</f>
        <v>72.849999999999994</v>
      </c>
      <c r="P1651">
        <f>'raw data Crude oil'!P1652</f>
        <v>72.58</v>
      </c>
      <c r="Q1651">
        <f>'raw data Crude oil'!Q1652</f>
        <v>72.19</v>
      </c>
      <c r="R1651">
        <f>'raw data Crude oil'!R1652</f>
        <v>71.760000000000005</v>
      </c>
      <c r="S1651">
        <f>'raw data Crude oil'!S1652</f>
        <v>71.34</v>
      </c>
      <c r="T1651">
        <f>'raw data Crude oil'!T1652</f>
        <v>70.930000000000007</v>
      </c>
      <c r="U1651">
        <f>'raw data Crude oil'!U1652</f>
        <v>70.52</v>
      </c>
      <c r="V1651">
        <f>'raw data Crude oil'!V1652</f>
        <v>70.17</v>
      </c>
      <c r="W1651">
        <f>'raw data Crude oil'!W1652</f>
        <v>69.83</v>
      </c>
      <c r="X1651">
        <f>'raw data Crude oil'!X1652</f>
        <v>69.52</v>
      </c>
      <c r="Y1651">
        <f>'raw data Crude oil'!Y1652</f>
        <v>69.25</v>
      </c>
      <c r="Z1651">
        <f>'raw data Crude oil'!Z1652</f>
        <v>75.012</v>
      </c>
      <c r="AA1651">
        <f>'raw data Crude oil'!AA1652</f>
        <v>75.158000000000001</v>
      </c>
      <c r="AB1651">
        <f>'raw data Crude oil'!AB1652</f>
        <v>74.867999999999995</v>
      </c>
      <c r="AC1651">
        <f>'raw data Crude oil'!AC1652</f>
        <v>74.447999999999993</v>
      </c>
      <c r="AD1651">
        <f>'raw data Crude oil'!AD1652</f>
        <v>73.994</v>
      </c>
      <c r="AE1651">
        <f>'raw data Crude oil'!AE1652</f>
        <v>73.524000000000001</v>
      </c>
      <c r="AF1651">
        <f>'raw data Crude oil'!AF1652</f>
        <v>73.064999999999998</v>
      </c>
      <c r="AG1651">
        <f>'raw data Crude oil'!AG1652</f>
        <v>72.620999999999995</v>
      </c>
      <c r="AH1651">
        <f>'raw data Crude oil'!AH1652</f>
        <v>72.266000000000005</v>
      </c>
      <c r="AI1651">
        <f>'raw data Crude oil'!AI1652</f>
        <v>71.917000000000002</v>
      </c>
      <c r="AJ1651">
        <f>'raw data Crude oil'!AJ1652</f>
        <v>71.629000000000005</v>
      </c>
      <c r="AK1651">
        <f>'raw data Crude oil'!AK1652</f>
        <v>71.397999999999996</v>
      </c>
    </row>
    <row r="1652" spans="1:37" x14ac:dyDescent="0.3">
      <c r="A1652" s="18">
        <f>'raw data Crude oil'!A1653</f>
        <v>45070</v>
      </c>
      <c r="B1652">
        <f>'raw data Crude oil'!B1653</f>
        <v>78.36</v>
      </c>
      <c r="C1652">
        <f>'raw data Crude oil'!C1653</f>
        <v>78.23</v>
      </c>
      <c r="D1652">
        <f>'raw data Crude oil'!D1653</f>
        <v>77.930000000000007</v>
      </c>
      <c r="E1652">
        <f>'raw data Crude oil'!E1653</f>
        <v>77.52</v>
      </c>
      <c r="F1652">
        <f>'raw data Crude oil'!F1653</f>
        <v>77.12</v>
      </c>
      <c r="G1652">
        <f>'raw data Crude oil'!G1653</f>
        <v>76.73</v>
      </c>
      <c r="H1652">
        <f>'raw data Crude oil'!H1653</f>
        <v>76.34</v>
      </c>
      <c r="I1652">
        <f>'raw data Crude oil'!I1653</f>
        <v>75.97</v>
      </c>
      <c r="J1652">
        <f>'raw data Crude oil'!J1653</f>
        <v>75.650000000000006</v>
      </c>
      <c r="K1652">
        <f>'raw data Crude oil'!K1653</f>
        <v>75.33</v>
      </c>
      <c r="L1652">
        <f>'raw data Crude oil'!L1653</f>
        <v>75.040000000000006</v>
      </c>
      <c r="M1652">
        <f>'raw data Crude oil'!M1653</f>
        <v>74.78</v>
      </c>
      <c r="N1652">
        <f>'raw data Crude oil'!N1653</f>
        <v>74.34</v>
      </c>
      <c r="O1652">
        <f>'raw data Crude oil'!O1653</f>
        <v>74.290000000000006</v>
      </c>
      <c r="P1652">
        <f>'raw data Crude oil'!P1653</f>
        <v>74.010000000000005</v>
      </c>
      <c r="Q1652">
        <f>'raw data Crude oil'!Q1653</f>
        <v>73.61</v>
      </c>
      <c r="R1652">
        <f>'raw data Crude oil'!R1653</f>
        <v>73.16</v>
      </c>
      <c r="S1652">
        <f>'raw data Crude oil'!S1653</f>
        <v>72.709999999999994</v>
      </c>
      <c r="T1652">
        <f>'raw data Crude oil'!T1653</f>
        <v>72.260000000000005</v>
      </c>
      <c r="U1652">
        <f>'raw data Crude oil'!U1653</f>
        <v>71.84</v>
      </c>
      <c r="V1652">
        <f>'raw data Crude oil'!V1653</f>
        <v>71.47</v>
      </c>
      <c r="W1652">
        <f>'raw data Crude oil'!W1653</f>
        <v>71.099999999999994</v>
      </c>
      <c r="X1652">
        <f>'raw data Crude oil'!X1653</f>
        <v>70.77</v>
      </c>
      <c r="Y1652">
        <f>'raw data Crude oil'!Y1653</f>
        <v>70.47</v>
      </c>
      <c r="Z1652">
        <f>'raw data Crude oil'!Z1653</f>
        <v>75.41</v>
      </c>
      <c r="AA1652">
        <f>'raw data Crude oil'!AA1653</f>
        <v>76.721000000000004</v>
      </c>
      <c r="AB1652">
        <f>'raw data Crude oil'!AB1653</f>
        <v>76.361000000000004</v>
      </c>
      <c r="AC1652">
        <f>'raw data Crude oil'!AC1653</f>
        <v>75.941999999999993</v>
      </c>
      <c r="AD1652">
        <f>'raw data Crude oil'!AD1653</f>
        <v>75.45</v>
      </c>
      <c r="AE1652">
        <f>'raw data Crude oil'!AE1653</f>
        <v>74.959999999999994</v>
      </c>
      <c r="AF1652">
        <f>'raw data Crude oil'!AF1653</f>
        <v>74.453000000000003</v>
      </c>
      <c r="AG1652">
        <f>'raw data Crude oil'!AG1653</f>
        <v>73.947999999999993</v>
      </c>
      <c r="AH1652">
        <f>'raw data Crude oil'!AH1653</f>
        <v>73.605000000000004</v>
      </c>
      <c r="AI1652">
        <f>'raw data Crude oil'!AI1653</f>
        <v>73.266000000000005</v>
      </c>
      <c r="AJ1652">
        <f>'raw data Crude oil'!AJ1653</f>
        <v>72.956999999999994</v>
      </c>
      <c r="AK1652">
        <f>'raw data Crude oil'!AK1653</f>
        <v>72.647000000000006</v>
      </c>
    </row>
    <row r="1653" spans="1:37" x14ac:dyDescent="0.3">
      <c r="A1653" s="18">
        <f>'raw data Crude oil'!A1654</f>
        <v>45071</v>
      </c>
      <c r="B1653">
        <f>'raw data Crude oil'!B1654</f>
        <v>76.260000000000005</v>
      </c>
      <c r="C1653">
        <f>'raw data Crude oil'!C1654</f>
        <v>76.180000000000007</v>
      </c>
      <c r="D1653">
        <f>'raw data Crude oil'!D1654</f>
        <v>75.91</v>
      </c>
      <c r="E1653">
        <f>'raw data Crude oil'!E1654</f>
        <v>75.510000000000005</v>
      </c>
      <c r="F1653">
        <f>'raw data Crude oil'!F1654</f>
        <v>75.13</v>
      </c>
      <c r="G1653">
        <f>'raw data Crude oil'!G1654</f>
        <v>74.739999999999995</v>
      </c>
      <c r="H1653">
        <f>'raw data Crude oil'!H1654</f>
        <v>74.36</v>
      </c>
      <c r="I1653">
        <f>'raw data Crude oil'!I1654</f>
        <v>74.02</v>
      </c>
      <c r="J1653">
        <f>'raw data Crude oil'!J1654</f>
        <v>73.72</v>
      </c>
      <c r="K1653">
        <f>'raw data Crude oil'!K1654</f>
        <v>73.42</v>
      </c>
      <c r="L1653">
        <f>'raw data Crude oil'!L1654</f>
        <v>73.150000000000006</v>
      </c>
      <c r="M1653">
        <f>'raw data Crude oil'!M1654</f>
        <v>72.91</v>
      </c>
      <c r="N1653">
        <f>'raw data Crude oil'!N1654</f>
        <v>71.83</v>
      </c>
      <c r="O1653">
        <f>'raw data Crude oil'!O1654</f>
        <v>71.930000000000007</v>
      </c>
      <c r="P1653">
        <f>'raw data Crude oil'!P1654</f>
        <v>71.75</v>
      </c>
      <c r="Q1653">
        <f>'raw data Crude oil'!Q1654</f>
        <v>71.41</v>
      </c>
      <c r="R1653">
        <f>'raw data Crude oil'!R1654</f>
        <v>71.03</v>
      </c>
      <c r="S1653">
        <f>'raw data Crude oil'!S1654</f>
        <v>70.63</v>
      </c>
      <c r="T1653">
        <f>'raw data Crude oil'!T1654</f>
        <v>70.239999999999995</v>
      </c>
      <c r="U1653">
        <f>'raw data Crude oil'!U1654</f>
        <v>69.849999999999994</v>
      </c>
      <c r="V1653">
        <f>'raw data Crude oil'!V1654</f>
        <v>69.510000000000005</v>
      </c>
      <c r="W1653">
        <f>'raw data Crude oil'!W1654</f>
        <v>69.16</v>
      </c>
      <c r="X1653">
        <f>'raw data Crude oil'!X1654</f>
        <v>68.849999999999994</v>
      </c>
      <c r="Y1653">
        <f>'raw data Crude oil'!Y1654</f>
        <v>68.58</v>
      </c>
      <c r="Z1653">
        <f>'raw data Crude oil'!Z1654</f>
        <v>75.031999999999996</v>
      </c>
      <c r="AA1653">
        <f>'raw data Crude oil'!AA1654</f>
        <v>74.673000000000002</v>
      </c>
      <c r="AB1653">
        <f>'raw data Crude oil'!AB1654</f>
        <v>74.323999999999998</v>
      </c>
      <c r="AC1653">
        <f>'raw data Crude oil'!AC1654</f>
        <v>73.884</v>
      </c>
      <c r="AD1653">
        <f>'raw data Crude oil'!AD1654</f>
        <v>73.426000000000002</v>
      </c>
      <c r="AE1653">
        <f>'raw data Crude oil'!AE1654</f>
        <v>72.947999999999993</v>
      </c>
      <c r="AF1653">
        <f>'raw data Crude oil'!AF1654</f>
        <v>72.45</v>
      </c>
      <c r="AG1653">
        <f>'raw data Crude oil'!AG1654</f>
        <v>71.984999999999999</v>
      </c>
      <c r="AH1653">
        <f>'raw data Crude oil'!AH1654</f>
        <v>71.641000000000005</v>
      </c>
      <c r="AI1653">
        <f>'raw data Crude oil'!AI1654</f>
        <v>71.356999999999999</v>
      </c>
      <c r="AJ1653">
        <f>'raw data Crude oil'!AJ1654</f>
        <v>71.078000000000003</v>
      </c>
      <c r="AK1653">
        <f>'raw data Crude oil'!AK1654</f>
        <v>70.778000000000006</v>
      </c>
    </row>
    <row r="1654" spans="1:37" x14ac:dyDescent="0.3">
      <c r="A1654" s="18">
        <f>'raw data Crude oil'!A1655</f>
        <v>45072</v>
      </c>
      <c r="B1654">
        <f>'raw data Crude oil'!B1655</f>
        <v>76.95</v>
      </c>
      <c r="C1654">
        <f>'raw data Crude oil'!C1655</f>
        <v>76.98</v>
      </c>
      <c r="D1654">
        <f>'raw data Crude oil'!D1655</f>
        <v>76.760000000000005</v>
      </c>
      <c r="E1654">
        <f>'raw data Crude oil'!E1655</f>
        <v>76.39</v>
      </c>
      <c r="F1654">
        <f>'raw data Crude oil'!F1655</f>
        <v>76.02</v>
      </c>
      <c r="G1654">
        <f>'raw data Crude oil'!G1655</f>
        <v>75.64</v>
      </c>
      <c r="H1654">
        <f>'raw data Crude oil'!H1655</f>
        <v>75.27</v>
      </c>
      <c r="I1654">
        <f>'raw data Crude oil'!I1655</f>
        <v>74.92</v>
      </c>
      <c r="J1654">
        <f>'raw data Crude oil'!J1655</f>
        <v>74.62</v>
      </c>
      <c r="K1654">
        <f>'raw data Crude oil'!K1655</f>
        <v>74.319999999999993</v>
      </c>
      <c r="L1654">
        <f>'raw data Crude oil'!L1655</f>
        <v>74.040000000000006</v>
      </c>
      <c r="M1654">
        <f>'raw data Crude oil'!M1655</f>
        <v>73.8</v>
      </c>
      <c r="N1654">
        <f>'raw data Crude oil'!N1655</f>
        <v>72.67</v>
      </c>
      <c r="O1654">
        <f>'raw data Crude oil'!O1655</f>
        <v>72.760000000000005</v>
      </c>
      <c r="P1654">
        <f>'raw data Crude oil'!P1655</f>
        <v>72.569999999999993</v>
      </c>
      <c r="Q1654">
        <f>'raw data Crude oil'!Q1655</f>
        <v>72.239999999999995</v>
      </c>
      <c r="R1654">
        <f>'raw data Crude oil'!R1655</f>
        <v>71.84</v>
      </c>
      <c r="S1654">
        <f>'raw data Crude oil'!S1655</f>
        <v>71.44</v>
      </c>
      <c r="T1654">
        <f>'raw data Crude oil'!T1655</f>
        <v>71.040000000000006</v>
      </c>
      <c r="U1654">
        <f>'raw data Crude oil'!U1655</f>
        <v>70.650000000000006</v>
      </c>
      <c r="V1654">
        <f>'raw data Crude oil'!V1655</f>
        <v>70.3</v>
      </c>
      <c r="W1654">
        <f>'raw data Crude oil'!W1655</f>
        <v>69.959999999999994</v>
      </c>
      <c r="X1654">
        <f>'raw data Crude oil'!X1655</f>
        <v>69.66</v>
      </c>
      <c r="Y1654">
        <f>'raw data Crude oil'!Y1655</f>
        <v>69.36</v>
      </c>
      <c r="Z1654">
        <f>'raw data Crude oil'!Z1655</f>
        <v>75.147999999999996</v>
      </c>
      <c r="AA1654">
        <f>'raw data Crude oil'!AA1655</f>
        <v>75.5</v>
      </c>
      <c r="AB1654">
        <f>'raw data Crude oil'!AB1655</f>
        <v>75.2</v>
      </c>
      <c r="AC1654">
        <f>'raw data Crude oil'!AC1655</f>
        <v>74.754000000000005</v>
      </c>
      <c r="AD1654">
        <f>'raw data Crude oil'!AD1655</f>
        <v>74.311999999999998</v>
      </c>
      <c r="AE1654">
        <f>'raw data Crude oil'!AE1655</f>
        <v>73.843000000000004</v>
      </c>
      <c r="AF1654">
        <f>'raw data Crude oil'!AF1655</f>
        <v>73.369</v>
      </c>
      <c r="AG1654">
        <f>'raw data Crude oil'!AG1655</f>
        <v>72.915000000000006</v>
      </c>
      <c r="AH1654">
        <f>'raw data Crude oil'!AH1655</f>
        <v>72.566000000000003</v>
      </c>
      <c r="AI1654">
        <f>'raw data Crude oil'!AI1655</f>
        <v>72.236999999999995</v>
      </c>
      <c r="AJ1654">
        <f>'raw data Crude oil'!AJ1655</f>
        <v>71.938000000000002</v>
      </c>
      <c r="AK1654">
        <f>'raw data Crude oil'!AK1655</f>
        <v>71.677999999999997</v>
      </c>
    </row>
    <row r="1655" spans="1:37" x14ac:dyDescent="0.3">
      <c r="A1655" s="18">
        <f>'raw data Crude oil'!A1656</f>
        <v>45075</v>
      </c>
      <c r="B1655">
        <f>'raw data Crude oil'!B1656</f>
        <v>77.069999999999993</v>
      </c>
      <c r="C1655">
        <f>'raw data Crude oil'!C1656</f>
        <v>77.099999999999994</v>
      </c>
      <c r="D1655">
        <f>'raw data Crude oil'!D1656</f>
        <v>76.88</v>
      </c>
      <c r="E1655">
        <f>'raw data Crude oil'!E1656</f>
        <v>76.5</v>
      </c>
      <c r="F1655">
        <f>'raw data Crude oil'!F1656</f>
        <v>76.14</v>
      </c>
      <c r="G1655">
        <f>'raw data Crude oil'!G1656</f>
        <v>75.78</v>
      </c>
      <c r="H1655">
        <f>'raw data Crude oil'!H1656</f>
        <v>75.430000000000007</v>
      </c>
      <c r="I1655">
        <f>'raw data Crude oil'!I1656</f>
        <v>75.099999999999994</v>
      </c>
      <c r="J1655">
        <f>'raw data Crude oil'!J1656</f>
        <v>74.81</v>
      </c>
      <c r="K1655">
        <f>'raw data Crude oil'!K1656</f>
        <v>74.52</v>
      </c>
      <c r="L1655">
        <f>'raw data Crude oil'!L1656</f>
        <v>74.260000000000005</v>
      </c>
      <c r="M1655">
        <f>'raw data Crude oil'!M1656</f>
        <v>74.03</v>
      </c>
      <c r="N1655">
        <f>'raw data Crude oil'!N1656</f>
        <v>72.67</v>
      </c>
      <c r="O1655">
        <f>'raw data Crude oil'!O1656</f>
        <v>72.760000000000005</v>
      </c>
      <c r="P1655">
        <f>'raw data Crude oil'!P1656</f>
        <v>72.569999999999993</v>
      </c>
      <c r="Q1655">
        <f>'raw data Crude oil'!Q1656</f>
        <v>72.239999999999995</v>
      </c>
      <c r="R1655">
        <f>'raw data Crude oil'!R1656</f>
        <v>71.84</v>
      </c>
      <c r="S1655">
        <f>'raw data Crude oil'!S1656</f>
        <v>71.44</v>
      </c>
      <c r="T1655">
        <f>'raw data Crude oil'!T1656</f>
        <v>71.040000000000006</v>
      </c>
      <c r="U1655">
        <f>'raw data Crude oil'!U1656</f>
        <v>70.650000000000006</v>
      </c>
      <c r="V1655">
        <f>'raw data Crude oil'!V1656</f>
        <v>70.3</v>
      </c>
      <c r="W1655">
        <f>'raw data Crude oil'!W1656</f>
        <v>69.959999999999994</v>
      </c>
      <c r="X1655">
        <f>'raw data Crude oil'!X1656</f>
        <v>69.66</v>
      </c>
      <c r="Y1655">
        <f>'raw data Crude oil'!Y1656</f>
        <v>69.36</v>
      </c>
      <c r="Z1655">
        <f>'raw data Crude oil'!Z1656</f>
        <v>75.164000000000001</v>
      </c>
      <c r="AA1655">
        <f>'raw data Crude oil'!AA1656</f>
        <v>75.599000000000004</v>
      </c>
      <c r="AB1655">
        <f>'raw data Crude oil'!AB1656</f>
        <v>75.302000000000007</v>
      </c>
      <c r="AC1655">
        <f>'raw data Crude oil'!AC1656</f>
        <v>74.899000000000001</v>
      </c>
      <c r="AD1655">
        <f>'raw data Crude oil'!AD1656</f>
        <v>74.462999999999994</v>
      </c>
      <c r="AE1655">
        <f>'raw data Crude oil'!AE1656</f>
        <v>74.004000000000005</v>
      </c>
      <c r="AF1655">
        <f>'raw data Crude oil'!AF1656</f>
        <v>73.543000000000006</v>
      </c>
      <c r="AG1655">
        <f>'raw data Crude oil'!AG1656</f>
        <v>73.078999999999994</v>
      </c>
      <c r="AH1655">
        <f>'raw data Crude oil'!AH1656</f>
        <v>72.727000000000004</v>
      </c>
      <c r="AI1655">
        <f>'raw data Crude oil'!AI1656</f>
        <v>72.438000000000002</v>
      </c>
      <c r="AJ1655">
        <f>'raw data Crude oil'!AJ1656</f>
        <v>72.159000000000006</v>
      </c>
      <c r="AK1655">
        <f>'raw data Crude oil'!AK1656</f>
        <v>71.897999999999996</v>
      </c>
    </row>
    <row r="1656" spans="1:37" x14ac:dyDescent="0.3">
      <c r="A1656" s="18">
        <f>'raw data Crude oil'!A1657</f>
        <v>45076</v>
      </c>
      <c r="B1656">
        <f>'raw data Crude oil'!B1657</f>
        <v>73.540000000000006</v>
      </c>
      <c r="C1656">
        <f>'raw data Crude oil'!C1657</f>
        <v>73.709999999999994</v>
      </c>
      <c r="D1656">
        <f>'raw data Crude oil'!D1657</f>
        <v>73.540000000000006</v>
      </c>
      <c r="E1656">
        <f>'raw data Crude oil'!E1657</f>
        <v>73.23</v>
      </c>
      <c r="F1656">
        <f>'raw data Crude oil'!F1657</f>
        <v>72.930000000000007</v>
      </c>
      <c r="G1656">
        <f>'raw data Crude oil'!G1657</f>
        <v>72.64</v>
      </c>
      <c r="H1656">
        <f>'raw data Crude oil'!H1657</f>
        <v>72.34</v>
      </c>
      <c r="I1656">
        <f>'raw data Crude oil'!I1657</f>
        <v>72.05</v>
      </c>
      <c r="J1656">
        <f>'raw data Crude oil'!J1657</f>
        <v>71.8</v>
      </c>
      <c r="K1656">
        <f>'raw data Crude oil'!K1657</f>
        <v>71.56</v>
      </c>
      <c r="L1656">
        <f>'raw data Crude oil'!L1657</f>
        <v>71.34</v>
      </c>
      <c r="M1656">
        <f>'raw data Crude oil'!M1657</f>
        <v>71.16</v>
      </c>
      <c r="N1656">
        <f>'raw data Crude oil'!N1657</f>
        <v>69.459999999999994</v>
      </c>
      <c r="O1656">
        <f>'raw data Crude oil'!O1657</f>
        <v>69.599999999999994</v>
      </c>
      <c r="P1656">
        <f>'raw data Crude oil'!P1657</f>
        <v>69.48</v>
      </c>
      <c r="Q1656">
        <f>'raw data Crude oil'!Q1657</f>
        <v>69.23</v>
      </c>
      <c r="R1656">
        <f>'raw data Crude oil'!R1657</f>
        <v>68.94</v>
      </c>
      <c r="S1656">
        <f>'raw data Crude oil'!S1657</f>
        <v>68.63</v>
      </c>
      <c r="T1656">
        <f>'raw data Crude oil'!T1657</f>
        <v>68.31</v>
      </c>
      <c r="U1656">
        <f>'raw data Crude oil'!U1657</f>
        <v>68</v>
      </c>
      <c r="V1656">
        <f>'raw data Crude oil'!V1657</f>
        <v>67.709999999999994</v>
      </c>
      <c r="W1656">
        <f>'raw data Crude oil'!W1657</f>
        <v>67.430000000000007</v>
      </c>
      <c r="X1656">
        <f>'raw data Crude oil'!X1657</f>
        <v>67.180000000000007</v>
      </c>
      <c r="Y1656">
        <f>'raw data Crude oil'!Y1657</f>
        <v>66.94</v>
      </c>
      <c r="Z1656">
        <f>'raw data Crude oil'!Z1657</f>
        <v>74.944000000000003</v>
      </c>
      <c r="AA1656">
        <f>'raw data Crude oil'!AA1657</f>
        <v>72.066999999999993</v>
      </c>
      <c r="AB1656">
        <f>'raw data Crude oil'!AB1657</f>
        <v>71.846999999999994</v>
      </c>
      <c r="AC1656">
        <f>'raw data Crude oil'!AC1657</f>
        <v>71.527000000000001</v>
      </c>
      <c r="AD1656">
        <f>'raw data Crude oil'!AD1657</f>
        <v>71.174999999999997</v>
      </c>
      <c r="AE1656">
        <f>'raw data Crude oil'!AE1657</f>
        <v>70.805000000000007</v>
      </c>
      <c r="AF1656">
        <f>'raw data Crude oil'!AF1657</f>
        <v>70.405000000000001</v>
      </c>
      <c r="AG1656">
        <f>'raw data Crude oil'!AG1657</f>
        <v>70.004999999999995</v>
      </c>
      <c r="AH1656">
        <f>'raw data Crude oil'!AH1657</f>
        <v>69.683999999999997</v>
      </c>
      <c r="AI1656">
        <f>'raw data Crude oil'!AI1657</f>
        <v>69.45</v>
      </c>
      <c r="AJ1656">
        <f>'raw data Crude oil'!AJ1657</f>
        <v>69.230999999999995</v>
      </c>
      <c r="AK1656">
        <f>'raw data Crude oil'!AK1657</f>
        <v>68.989999999999995</v>
      </c>
    </row>
    <row r="1657" spans="1:37" x14ac:dyDescent="0.3">
      <c r="A1657" s="18">
        <f>'raw data Crude oil'!A1658</f>
        <v>45077</v>
      </c>
      <c r="B1657">
        <f>'raw data Crude oil'!B1658</f>
        <v>72.66</v>
      </c>
      <c r="C1657">
        <f>'raw data Crude oil'!C1658</f>
        <v>72.599999999999994</v>
      </c>
      <c r="D1657">
        <f>'raw data Crude oil'!D1658</f>
        <v>72.489999999999995</v>
      </c>
      <c r="E1657">
        <f>'raw data Crude oil'!E1658</f>
        <v>72.2</v>
      </c>
      <c r="F1657">
        <f>'raw data Crude oil'!F1658</f>
        <v>71.92</v>
      </c>
      <c r="G1657">
        <f>'raw data Crude oil'!G1658</f>
        <v>71.63</v>
      </c>
      <c r="H1657">
        <f>'raw data Crude oil'!H1658</f>
        <v>71.349999999999994</v>
      </c>
      <c r="I1657">
        <f>'raw data Crude oil'!I1658</f>
        <v>71.069999999999993</v>
      </c>
      <c r="J1657">
        <f>'raw data Crude oil'!J1658</f>
        <v>70.819999999999993</v>
      </c>
      <c r="K1657">
        <f>'raw data Crude oil'!K1658</f>
        <v>70.58</v>
      </c>
      <c r="L1657">
        <f>'raw data Crude oil'!L1658</f>
        <v>70.37</v>
      </c>
      <c r="M1657">
        <f>'raw data Crude oil'!M1658</f>
        <v>70.2</v>
      </c>
      <c r="N1657">
        <f>'raw data Crude oil'!N1658</f>
        <v>68.09</v>
      </c>
      <c r="O1657">
        <f>'raw data Crude oil'!O1658</f>
        <v>68.239999999999995</v>
      </c>
      <c r="P1657">
        <f>'raw data Crude oil'!P1658</f>
        <v>68.14</v>
      </c>
      <c r="Q1657">
        <f>'raw data Crude oil'!Q1658</f>
        <v>67.92</v>
      </c>
      <c r="R1657">
        <f>'raw data Crude oil'!R1658</f>
        <v>67.64</v>
      </c>
      <c r="S1657">
        <f>'raw data Crude oil'!S1658</f>
        <v>67.34</v>
      </c>
      <c r="T1657">
        <f>'raw data Crude oil'!T1658</f>
        <v>67.040000000000006</v>
      </c>
      <c r="U1657">
        <f>'raw data Crude oil'!U1658</f>
        <v>66.75</v>
      </c>
      <c r="V1657">
        <f>'raw data Crude oil'!V1658</f>
        <v>66.48</v>
      </c>
      <c r="W1657">
        <f>'raw data Crude oil'!W1658</f>
        <v>66.23</v>
      </c>
      <c r="X1657">
        <f>'raw data Crude oil'!X1658</f>
        <v>66</v>
      </c>
      <c r="Y1657">
        <f>'raw data Crude oil'!Y1658</f>
        <v>65.760000000000005</v>
      </c>
      <c r="Z1657">
        <f>'raw data Crude oil'!Z1658</f>
        <v>74.924999999999997</v>
      </c>
      <c r="AA1657">
        <f>'raw data Crude oil'!AA1658</f>
        <v>70.984999999999999</v>
      </c>
      <c r="AB1657">
        <f>'raw data Crude oil'!AB1658</f>
        <v>70.816000000000003</v>
      </c>
      <c r="AC1657">
        <f>'raw data Crude oil'!AC1658</f>
        <v>70.513000000000005</v>
      </c>
      <c r="AD1657">
        <f>'raw data Crude oil'!AD1658</f>
        <v>70.186000000000007</v>
      </c>
      <c r="AE1657">
        <f>'raw data Crude oil'!AE1658</f>
        <v>69.846999999999994</v>
      </c>
      <c r="AF1657">
        <f>'raw data Crude oil'!AF1658</f>
        <v>69.466999999999999</v>
      </c>
      <c r="AG1657">
        <f>'raw data Crude oil'!AG1658</f>
        <v>69.08</v>
      </c>
      <c r="AH1657">
        <f>'raw data Crude oil'!AH1658</f>
        <v>68.728999999999999</v>
      </c>
      <c r="AI1657">
        <f>'raw data Crude oil'!AI1658</f>
        <v>68.45</v>
      </c>
      <c r="AJ1657">
        <f>'raw data Crude oil'!AJ1658</f>
        <v>68.221999999999994</v>
      </c>
      <c r="AK1657">
        <f>'raw data Crude oil'!AK1658</f>
        <v>68.051000000000002</v>
      </c>
    </row>
    <row r="1658" spans="1:37" x14ac:dyDescent="0.3">
      <c r="A1658" s="18">
        <f>'raw data Crude oil'!A1659</f>
        <v>45078</v>
      </c>
      <c r="B1658">
        <f>'raw data Crude oil'!B1659</f>
        <v>74.28</v>
      </c>
      <c r="C1658">
        <f>'raw data Crude oil'!C1659</f>
        <v>74.209999999999994</v>
      </c>
      <c r="D1658">
        <f>'raw data Crude oil'!D1659</f>
        <v>73.92</v>
      </c>
      <c r="E1658">
        <f>'raw data Crude oil'!E1659</f>
        <v>73.61</v>
      </c>
      <c r="F1658">
        <f>'raw data Crude oil'!F1659</f>
        <v>73.3</v>
      </c>
      <c r="G1658">
        <f>'raw data Crude oil'!G1659</f>
        <v>72.98</v>
      </c>
      <c r="H1658">
        <f>'raw data Crude oil'!H1659</f>
        <v>72.680000000000007</v>
      </c>
      <c r="I1658">
        <f>'raw data Crude oil'!I1659</f>
        <v>72.41</v>
      </c>
      <c r="J1658">
        <f>'raw data Crude oil'!J1659</f>
        <v>72.150000000000006</v>
      </c>
      <c r="K1658">
        <f>'raw data Crude oil'!K1659</f>
        <v>71.91</v>
      </c>
      <c r="L1658">
        <f>'raw data Crude oil'!L1659</f>
        <v>71.709999999999994</v>
      </c>
      <c r="M1658">
        <f>'raw data Crude oil'!M1659</f>
        <v>71.48</v>
      </c>
      <c r="N1658">
        <f>'raw data Crude oil'!N1659</f>
        <v>70.099999999999994</v>
      </c>
      <c r="O1658">
        <f>'raw data Crude oil'!O1659</f>
        <v>70.2</v>
      </c>
      <c r="P1658">
        <f>'raw data Crude oil'!P1659</f>
        <v>70.03</v>
      </c>
      <c r="Q1658">
        <f>'raw data Crude oil'!Q1659</f>
        <v>69.760000000000005</v>
      </c>
      <c r="R1658">
        <f>'raw data Crude oil'!R1659</f>
        <v>69.45</v>
      </c>
      <c r="S1658">
        <f>'raw data Crude oil'!S1659</f>
        <v>69.13</v>
      </c>
      <c r="T1658">
        <f>'raw data Crude oil'!T1659</f>
        <v>68.8</v>
      </c>
      <c r="U1658">
        <f>'raw data Crude oil'!U1659</f>
        <v>68.47</v>
      </c>
      <c r="V1658">
        <f>'raw data Crude oil'!V1659</f>
        <v>68.180000000000007</v>
      </c>
      <c r="W1658">
        <f>'raw data Crude oil'!W1659</f>
        <v>67.89</v>
      </c>
      <c r="X1658">
        <f>'raw data Crude oil'!X1659</f>
        <v>67.63</v>
      </c>
      <c r="Y1658">
        <f>'raw data Crude oil'!Y1659</f>
        <v>67.38</v>
      </c>
      <c r="Z1658">
        <f>'raw data Crude oil'!Z1659</f>
        <v>74.924999999999997</v>
      </c>
      <c r="AA1658">
        <f>'raw data Crude oil'!AA1659</f>
        <v>72.734999999999999</v>
      </c>
      <c r="AB1658">
        <f>'raw data Crude oil'!AB1659</f>
        <v>72.600999999999999</v>
      </c>
      <c r="AC1658">
        <f>'raw data Crude oil'!AC1659</f>
        <v>72.281999999999996</v>
      </c>
      <c r="AD1658">
        <f>'raw data Crude oil'!AD1659</f>
        <v>71.915000000000006</v>
      </c>
      <c r="AE1658">
        <f>'raw data Crude oil'!AE1659</f>
        <v>71.564999999999998</v>
      </c>
      <c r="AF1658">
        <f>'raw data Crude oil'!AF1659</f>
        <v>71.146000000000001</v>
      </c>
      <c r="AG1658">
        <f>'raw data Crude oil'!AG1659</f>
        <v>70.733000000000004</v>
      </c>
      <c r="AH1658">
        <f>'raw data Crude oil'!AH1659</f>
        <v>70.397999999999996</v>
      </c>
      <c r="AI1658">
        <f>'raw data Crude oil'!AI1659</f>
        <v>70.099000000000004</v>
      </c>
      <c r="AJ1658">
        <f>'raw data Crude oil'!AJ1659</f>
        <v>69.83</v>
      </c>
      <c r="AK1658">
        <f>'raw data Crude oil'!AK1659</f>
        <v>69.59</v>
      </c>
    </row>
    <row r="1659" spans="1:37" x14ac:dyDescent="0.3">
      <c r="A1659" s="18">
        <f>'raw data Crude oil'!A1660</f>
        <v>45079</v>
      </c>
      <c r="B1659">
        <f>'raw data Crude oil'!B1660</f>
        <v>76.13</v>
      </c>
      <c r="C1659">
        <f>'raw data Crude oil'!C1660</f>
        <v>75.97</v>
      </c>
      <c r="D1659">
        <f>'raw data Crude oil'!D1660</f>
        <v>75.63</v>
      </c>
      <c r="E1659">
        <f>'raw data Crude oil'!E1660</f>
        <v>75.290000000000006</v>
      </c>
      <c r="F1659">
        <f>'raw data Crude oil'!F1660</f>
        <v>74.95</v>
      </c>
      <c r="G1659">
        <f>'raw data Crude oil'!G1660</f>
        <v>74.61</v>
      </c>
      <c r="H1659">
        <f>'raw data Crude oil'!H1660</f>
        <v>74.28</v>
      </c>
      <c r="I1659">
        <f>'raw data Crude oil'!I1660</f>
        <v>73.97</v>
      </c>
      <c r="J1659">
        <f>'raw data Crude oil'!J1660</f>
        <v>73.67</v>
      </c>
      <c r="K1659">
        <f>'raw data Crude oil'!K1660</f>
        <v>73.39</v>
      </c>
      <c r="L1659">
        <f>'raw data Crude oil'!L1660</f>
        <v>73.150000000000006</v>
      </c>
      <c r="M1659">
        <f>'raw data Crude oil'!M1660</f>
        <v>72.89</v>
      </c>
      <c r="N1659">
        <f>'raw data Crude oil'!N1660</f>
        <v>71.739999999999995</v>
      </c>
      <c r="O1659">
        <f>'raw data Crude oil'!O1660</f>
        <v>71.84</v>
      </c>
      <c r="P1659">
        <f>'raw data Crude oil'!P1660</f>
        <v>71.64</v>
      </c>
      <c r="Q1659">
        <f>'raw data Crude oil'!Q1660</f>
        <v>71.319999999999993</v>
      </c>
      <c r="R1659">
        <f>'raw data Crude oil'!R1660</f>
        <v>70.97</v>
      </c>
      <c r="S1659">
        <f>'raw data Crude oil'!S1660</f>
        <v>70.61</v>
      </c>
      <c r="T1659">
        <f>'raw data Crude oil'!T1660</f>
        <v>70.25</v>
      </c>
      <c r="U1659">
        <f>'raw data Crude oil'!U1660</f>
        <v>69.900000000000006</v>
      </c>
      <c r="V1659">
        <f>'raw data Crude oil'!V1660</f>
        <v>69.569999999999993</v>
      </c>
      <c r="W1659">
        <f>'raw data Crude oil'!W1660</f>
        <v>69.25</v>
      </c>
      <c r="X1659">
        <f>'raw data Crude oil'!X1660</f>
        <v>68.959999999999994</v>
      </c>
      <c r="Y1659">
        <f>'raw data Crude oil'!Y1660</f>
        <v>68.680000000000007</v>
      </c>
      <c r="Z1659">
        <f>'raw data Crude oil'!Z1660</f>
        <v>74.378</v>
      </c>
      <c r="AA1659">
        <f>'raw data Crude oil'!AA1660</f>
        <v>74.33</v>
      </c>
      <c r="AB1659">
        <f>'raw data Crude oil'!AB1660</f>
        <v>73.980999999999995</v>
      </c>
      <c r="AC1659">
        <f>'raw data Crude oil'!AC1660</f>
        <v>73.584999999999994</v>
      </c>
      <c r="AD1659">
        <f>'raw data Crude oil'!AD1660</f>
        <v>73.186000000000007</v>
      </c>
      <c r="AE1659">
        <f>'raw data Crude oil'!AE1660</f>
        <v>72.745999999999995</v>
      </c>
      <c r="AF1659">
        <f>'raw data Crude oil'!AF1660</f>
        <v>72.3</v>
      </c>
      <c r="AG1659">
        <f>'raw data Crude oil'!AG1660</f>
        <v>71.936000000000007</v>
      </c>
      <c r="AH1659">
        <f>'raw data Crude oil'!AH1660</f>
        <v>71.557000000000002</v>
      </c>
      <c r="AI1659">
        <f>'raw data Crude oil'!AI1660</f>
        <v>71.218000000000004</v>
      </c>
      <c r="AJ1659">
        <f>'raw data Crude oil'!AJ1660</f>
        <v>70.977999999999994</v>
      </c>
      <c r="AK1659">
        <f>'raw data Crude oil'!AK1660</f>
        <v>70.75</v>
      </c>
    </row>
    <row r="1660" spans="1:37" x14ac:dyDescent="0.3">
      <c r="A1660" s="18">
        <f>'raw data Crude oil'!A1661</f>
        <v>45082</v>
      </c>
      <c r="B1660">
        <f>'raw data Crude oil'!B1661</f>
        <v>76.709999999999994</v>
      </c>
      <c r="C1660">
        <f>'raw data Crude oil'!C1661</f>
        <v>76.47</v>
      </c>
      <c r="D1660">
        <f>'raw data Crude oil'!D1661</f>
        <v>76.069999999999993</v>
      </c>
      <c r="E1660">
        <f>'raw data Crude oil'!E1661</f>
        <v>75.67</v>
      </c>
      <c r="F1660">
        <f>'raw data Crude oil'!F1661</f>
        <v>75.260000000000005</v>
      </c>
      <c r="G1660">
        <f>'raw data Crude oil'!G1661</f>
        <v>74.87</v>
      </c>
      <c r="H1660">
        <f>'raw data Crude oil'!H1661</f>
        <v>74.510000000000005</v>
      </c>
      <c r="I1660">
        <f>'raw data Crude oil'!I1661</f>
        <v>74.17</v>
      </c>
      <c r="J1660">
        <f>'raw data Crude oil'!J1661</f>
        <v>73.84</v>
      </c>
      <c r="K1660">
        <f>'raw data Crude oil'!K1661</f>
        <v>73.53</v>
      </c>
      <c r="L1660">
        <f>'raw data Crude oil'!L1661</f>
        <v>73.25</v>
      </c>
      <c r="M1660">
        <f>'raw data Crude oil'!M1661</f>
        <v>72.959999999999994</v>
      </c>
      <c r="N1660">
        <f>'raw data Crude oil'!N1661</f>
        <v>72.150000000000006</v>
      </c>
      <c r="O1660">
        <f>'raw data Crude oil'!O1661</f>
        <v>72.260000000000005</v>
      </c>
      <c r="P1660">
        <f>'raw data Crude oil'!P1661</f>
        <v>72.03</v>
      </c>
      <c r="Q1660">
        <f>'raw data Crude oil'!Q1661</f>
        <v>71.67</v>
      </c>
      <c r="R1660">
        <f>'raw data Crude oil'!R1661</f>
        <v>71.28</v>
      </c>
      <c r="S1660">
        <f>'raw data Crude oil'!S1661</f>
        <v>70.89</v>
      </c>
      <c r="T1660">
        <f>'raw data Crude oil'!T1661</f>
        <v>70.489999999999995</v>
      </c>
      <c r="U1660">
        <f>'raw data Crude oil'!U1661</f>
        <v>70.099999999999994</v>
      </c>
      <c r="V1660">
        <f>'raw data Crude oil'!V1661</f>
        <v>69.739999999999995</v>
      </c>
      <c r="W1660">
        <f>'raw data Crude oil'!W1661</f>
        <v>69.400000000000006</v>
      </c>
      <c r="X1660">
        <f>'raw data Crude oil'!X1661</f>
        <v>69.08</v>
      </c>
      <c r="Y1660">
        <f>'raw data Crude oil'!Y1661</f>
        <v>68.78</v>
      </c>
      <c r="Z1660">
        <f>'raw data Crude oil'!Z1661</f>
        <v>75.777000000000001</v>
      </c>
      <c r="AA1660">
        <f>'raw data Crude oil'!AA1661</f>
        <v>75.418000000000006</v>
      </c>
      <c r="AB1660">
        <f>'raw data Crude oil'!AB1661</f>
        <v>74.856999999999999</v>
      </c>
      <c r="AC1660">
        <f>'raw data Crude oil'!AC1661</f>
        <v>74.305000000000007</v>
      </c>
      <c r="AD1660">
        <f>'raw data Crude oil'!AD1661</f>
        <v>73.757000000000005</v>
      </c>
      <c r="AE1660">
        <f>'raw data Crude oil'!AE1661</f>
        <v>73.198999999999998</v>
      </c>
      <c r="AF1660">
        <f>'raw data Crude oil'!AF1661</f>
        <v>72.700999999999993</v>
      </c>
      <c r="AG1660">
        <f>'raw data Crude oil'!AG1661</f>
        <v>72.3</v>
      </c>
      <c r="AH1660">
        <f>'raw data Crude oil'!AH1661</f>
        <v>71.935000000000002</v>
      </c>
      <c r="AI1660">
        <f>'raw data Crude oil'!AI1661</f>
        <v>71.575999999999993</v>
      </c>
      <c r="AJ1660">
        <f>'raw data Crude oil'!AJ1661</f>
        <v>71.266999999999996</v>
      </c>
      <c r="AK1660">
        <f>'raw data Crude oil'!AK1661</f>
        <v>70.998000000000005</v>
      </c>
    </row>
    <row r="1661" spans="1:37" x14ac:dyDescent="0.3">
      <c r="A1661" s="18">
        <f>'raw data Crude oil'!A1662</f>
        <v>45083</v>
      </c>
      <c r="B1661">
        <f>'raw data Crude oil'!B1662</f>
        <v>76.290000000000006</v>
      </c>
      <c r="C1661">
        <f>'raw data Crude oil'!C1662</f>
        <v>76.09</v>
      </c>
      <c r="D1661">
        <f>'raw data Crude oil'!D1662</f>
        <v>75.709999999999994</v>
      </c>
      <c r="E1661">
        <f>'raw data Crude oil'!E1662</f>
        <v>75.290000000000006</v>
      </c>
      <c r="F1661">
        <f>'raw data Crude oil'!F1662</f>
        <v>74.87</v>
      </c>
      <c r="G1661">
        <f>'raw data Crude oil'!G1662</f>
        <v>74.47</v>
      </c>
      <c r="H1661">
        <f>'raw data Crude oil'!H1662</f>
        <v>74.099999999999994</v>
      </c>
      <c r="I1661">
        <f>'raw data Crude oil'!I1662</f>
        <v>73.77</v>
      </c>
      <c r="J1661">
        <f>'raw data Crude oil'!J1662</f>
        <v>73.45</v>
      </c>
      <c r="K1661">
        <f>'raw data Crude oil'!K1662</f>
        <v>73.150000000000006</v>
      </c>
      <c r="L1661">
        <f>'raw data Crude oil'!L1662</f>
        <v>72.88</v>
      </c>
      <c r="M1661">
        <f>'raw data Crude oil'!M1662</f>
        <v>72.599999999999994</v>
      </c>
      <c r="N1661">
        <f>'raw data Crude oil'!N1662</f>
        <v>71.739999999999995</v>
      </c>
      <c r="O1661">
        <f>'raw data Crude oil'!O1662</f>
        <v>71.849999999999994</v>
      </c>
      <c r="P1661">
        <f>'raw data Crude oil'!P1662</f>
        <v>71.63</v>
      </c>
      <c r="Q1661">
        <f>'raw data Crude oil'!Q1662</f>
        <v>71.27</v>
      </c>
      <c r="R1661">
        <f>'raw data Crude oil'!R1662</f>
        <v>70.88</v>
      </c>
      <c r="S1661">
        <f>'raw data Crude oil'!S1662</f>
        <v>70.5</v>
      </c>
      <c r="T1661">
        <f>'raw data Crude oil'!T1662</f>
        <v>70.13</v>
      </c>
      <c r="U1661">
        <f>'raw data Crude oil'!U1662</f>
        <v>69.75</v>
      </c>
      <c r="V1661">
        <f>'raw data Crude oil'!V1662</f>
        <v>69.400000000000006</v>
      </c>
      <c r="W1661">
        <f>'raw data Crude oil'!W1662</f>
        <v>69.06</v>
      </c>
      <c r="X1661">
        <f>'raw data Crude oil'!X1662</f>
        <v>68.75</v>
      </c>
      <c r="Y1661">
        <f>'raw data Crude oil'!Y1662</f>
        <v>68.44</v>
      </c>
      <c r="Z1661">
        <f>'raw data Crude oil'!Z1662</f>
        <v>75.251000000000005</v>
      </c>
      <c r="AA1661">
        <f>'raw data Crude oil'!AA1662</f>
        <v>75.096999999999994</v>
      </c>
      <c r="AB1661">
        <f>'raw data Crude oil'!AB1662</f>
        <v>74.566999999999993</v>
      </c>
      <c r="AC1661">
        <f>'raw data Crude oil'!AC1662</f>
        <v>73.989999999999995</v>
      </c>
      <c r="AD1661">
        <f>'raw data Crude oil'!AD1662</f>
        <v>73.441999999999993</v>
      </c>
      <c r="AE1661">
        <f>'raw data Crude oil'!AE1662</f>
        <v>72.897999999999996</v>
      </c>
      <c r="AF1661">
        <f>'raw data Crude oil'!AF1662</f>
        <v>72.391999999999996</v>
      </c>
      <c r="AG1661">
        <f>'raw data Crude oil'!AG1662</f>
        <v>71.995000000000005</v>
      </c>
      <c r="AH1661">
        <f>'raw data Crude oil'!AH1662</f>
        <v>71.626000000000005</v>
      </c>
      <c r="AI1661">
        <f>'raw data Crude oil'!AI1662</f>
        <v>71.296999999999997</v>
      </c>
      <c r="AJ1661">
        <f>'raw data Crude oil'!AJ1662</f>
        <v>71.007000000000005</v>
      </c>
      <c r="AK1661">
        <f>'raw data Crude oil'!AK1662</f>
        <v>70.727999999999994</v>
      </c>
    </row>
    <row r="1662" spans="1:37" x14ac:dyDescent="0.3">
      <c r="A1662" s="18">
        <f>'raw data Crude oil'!A1663</f>
        <v>45084</v>
      </c>
      <c r="B1662">
        <f>'raw data Crude oil'!B1663</f>
        <v>76.95</v>
      </c>
      <c r="C1662">
        <f>'raw data Crude oil'!C1663</f>
        <v>76.84</v>
      </c>
      <c r="D1662">
        <f>'raw data Crude oil'!D1663</f>
        <v>76.489999999999995</v>
      </c>
      <c r="E1662">
        <f>'raw data Crude oil'!E1663</f>
        <v>76.09</v>
      </c>
      <c r="F1662">
        <f>'raw data Crude oil'!F1663</f>
        <v>75.67</v>
      </c>
      <c r="G1662">
        <f>'raw data Crude oil'!G1663</f>
        <v>75.260000000000005</v>
      </c>
      <c r="H1662">
        <f>'raw data Crude oil'!H1663</f>
        <v>74.89</v>
      </c>
      <c r="I1662">
        <f>'raw data Crude oil'!I1663</f>
        <v>74.55</v>
      </c>
      <c r="J1662">
        <f>'raw data Crude oil'!J1663</f>
        <v>74.22</v>
      </c>
      <c r="K1662">
        <f>'raw data Crude oil'!K1663</f>
        <v>73.900000000000006</v>
      </c>
      <c r="L1662">
        <f>'raw data Crude oil'!L1663</f>
        <v>73.599999999999994</v>
      </c>
      <c r="M1662">
        <f>'raw data Crude oil'!M1663</f>
        <v>73.3</v>
      </c>
      <c r="N1662">
        <f>'raw data Crude oil'!N1663</f>
        <v>72.53</v>
      </c>
      <c r="O1662">
        <f>'raw data Crude oil'!O1663</f>
        <v>72.64</v>
      </c>
      <c r="P1662">
        <f>'raw data Crude oil'!P1663</f>
        <v>72.44</v>
      </c>
      <c r="Q1662">
        <f>'raw data Crude oil'!Q1663</f>
        <v>72.09</v>
      </c>
      <c r="R1662">
        <f>'raw data Crude oil'!R1663</f>
        <v>71.709999999999994</v>
      </c>
      <c r="S1662">
        <f>'raw data Crude oil'!S1663</f>
        <v>71.319999999999993</v>
      </c>
      <c r="T1662">
        <f>'raw data Crude oil'!T1663</f>
        <v>70.930000000000007</v>
      </c>
      <c r="U1662">
        <f>'raw data Crude oil'!U1663</f>
        <v>70.55</v>
      </c>
      <c r="V1662">
        <f>'raw data Crude oil'!V1663</f>
        <v>70.180000000000007</v>
      </c>
      <c r="W1662">
        <f>'raw data Crude oil'!W1663</f>
        <v>69.83</v>
      </c>
      <c r="X1662">
        <f>'raw data Crude oil'!X1663</f>
        <v>69.5</v>
      </c>
      <c r="Y1662">
        <f>'raw data Crude oil'!Y1663</f>
        <v>69.180000000000007</v>
      </c>
      <c r="Z1662">
        <f>'raw data Crude oil'!Z1663</f>
        <v>75.998999999999995</v>
      </c>
      <c r="AA1662">
        <f>'raw data Crude oil'!AA1663</f>
        <v>76.018000000000001</v>
      </c>
      <c r="AB1662">
        <f>'raw data Crude oil'!AB1663</f>
        <v>75.477999999999994</v>
      </c>
      <c r="AC1662">
        <f>'raw data Crude oil'!AC1663</f>
        <v>74.905000000000001</v>
      </c>
      <c r="AD1662">
        <f>'raw data Crude oil'!AD1663</f>
        <v>74.370999999999995</v>
      </c>
      <c r="AE1662">
        <f>'raw data Crude oil'!AE1663</f>
        <v>73.832999999999998</v>
      </c>
      <c r="AF1662">
        <f>'raw data Crude oil'!AF1663</f>
        <v>73.325999999999993</v>
      </c>
      <c r="AG1662">
        <f>'raw data Crude oil'!AG1663</f>
        <v>72.915000000000006</v>
      </c>
      <c r="AH1662">
        <f>'raw data Crude oil'!AH1663</f>
        <v>72.545000000000002</v>
      </c>
      <c r="AI1662">
        <f>'raw data Crude oil'!AI1663</f>
        <v>72.194999999999993</v>
      </c>
      <c r="AJ1662">
        <f>'raw data Crude oil'!AJ1663</f>
        <v>71.866</v>
      </c>
      <c r="AK1662">
        <f>'raw data Crude oil'!AK1663</f>
        <v>71.548000000000002</v>
      </c>
    </row>
    <row r="1663" spans="1:37" x14ac:dyDescent="0.3">
      <c r="A1663" s="18">
        <f>'raw data Crude oil'!A1664</f>
        <v>45085</v>
      </c>
      <c r="B1663">
        <f>'raw data Crude oil'!B1664</f>
        <v>75.959999999999994</v>
      </c>
      <c r="C1663">
        <f>'raw data Crude oil'!C1664</f>
        <v>75.84</v>
      </c>
      <c r="D1663">
        <f>'raw data Crude oil'!D1664</f>
        <v>75.5</v>
      </c>
      <c r="E1663">
        <f>'raw data Crude oil'!E1664</f>
        <v>75.12</v>
      </c>
      <c r="F1663">
        <f>'raw data Crude oil'!F1664</f>
        <v>74.709999999999994</v>
      </c>
      <c r="G1663">
        <f>'raw data Crude oil'!G1664</f>
        <v>74.319999999999993</v>
      </c>
      <c r="H1663">
        <f>'raw data Crude oil'!H1664</f>
        <v>73.95</v>
      </c>
      <c r="I1663">
        <f>'raw data Crude oil'!I1664</f>
        <v>73.61</v>
      </c>
      <c r="J1663">
        <f>'raw data Crude oil'!J1664</f>
        <v>73.290000000000006</v>
      </c>
      <c r="K1663">
        <f>'raw data Crude oil'!K1664</f>
        <v>72.98</v>
      </c>
      <c r="L1663">
        <f>'raw data Crude oil'!L1664</f>
        <v>72.7</v>
      </c>
      <c r="M1663">
        <f>'raw data Crude oil'!M1664</f>
        <v>72.41</v>
      </c>
      <c r="N1663">
        <f>'raw data Crude oil'!N1664</f>
        <v>71.290000000000006</v>
      </c>
      <c r="O1663">
        <f>'raw data Crude oil'!O1664</f>
        <v>71.44</v>
      </c>
      <c r="P1663">
        <f>'raw data Crude oil'!P1664</f>
        <v>71.31</v>
      </c>
      <c r="Q1663">
        <f>'raw data Crude oil'!Q1664</f>
        <v>71</v>
      </c>
      <c r="R1663">
        <f>'raw data Crude oil'!R1664</f>
        <v>70.64</v>
      </c>
      <c r="S1663">
        <f>'raw data Crude oil'!S1664</f>
        <v>70.25</v>
      </c>
      <c r="T1663">
        <f>'raw data Crude oil'!T1664</f>
        <v>69.88</v>
      </c>
      <c r="U1663">
        <f>'raw data Crude oil'!U1664</f>
        <v>69.52</v>
      </c>
      <c r="V1663">
        <f>'raw data Crude oil'!V1664</f>
        <v>69.17</v>
      </c>
      <c r="W1663">
        <f>'raw data Crude oil'!W1664</f>
        <v>68.83</v>
      </c>
      <c r="X1663">
        <f>'raw data Crude oil'!X1664</f>
        <v>68.5</v>
      </c>
      <c r="Y1663">
        <f>'raw data Crude oil'!Y1664</f>
        <v>68.180000000000007</v>
      </c>
      <c r="Z1663">
        <f>'raw data Crude oil'!Z1664</f>
        <v>75.094999999999999</v>
      </c>
      <c r="AA1663">
        <f>'raw data Crude oil'!AA1664</f>
        <v>74.909000000000006</v>
      </c>
      <c r="AB1663">
        <f>'raw data Crude oil'!AB1664</f>
        <v>74.378</v>
      </c>
      <c r="AC1663">
        <f>'raw data Crude oil'!AC1664</f>
        <v>73.867999999999995</v>
      </c>
      <c r="AD1663">
        <f>'raw data Crude oil'!AD1664</f>
        <v>73.36</v>
      </c>
      <c r="AE1663">
        <f>'raw data Crude oil'!AE1664</f>
        <v>72.88</v>
      </c>
      <c r="AF1663">
        <f>'raw data Crude oil'!AF1664</f>
        <v>72.382999999999996</v>
      </c>
      <c r="AG1663">
        <f>'raw data Crude oil'!AG1664</f>
        <v>71.954999999999998</v>
      </c>
      <c r="AH1663">
        <f>'raw data Crude oil'!AH1664</f>
        <v>71.605000000000004</v>
      </c>
      <c r="AI1663">
        <f>'raw data Crude oil'!AI1664</f>
        <v>71.266000000000005</v>
      </c>
      <c r="AJ1663">
        <f>'raw data Crude oil'!AJ1664</f>
        <v>70.947000000000003</v>
      </c>
      <c r="AK1663">
        <f>'raw data Crude oil'!AK1664</f>
        <v>70.658000000000001</v>
      </c>
    </row>
    <row r="1664" spans="1:37" x14ac:dyDescent="0.3">
      <c r="A1664" s="18">
        <f>'raw data Crude oil'!A1665</f>
        <v>45086</v>
      </c>
      <c r="B1664">
        <f>'raw data Crude oil'!B1665</f>
        <v>74.790000000000006</v>
      </c>
      <c r="C1664">
        <f>'raw data Crude oil'!C1665</f>
        <v>74.739999999999995</v>
      </c>
      <c r="D1664">
        <f>'raw data Crude oil'!D1665</f>
        <v>74.489999999999995</v>
      </c>
      <c r="E1664">
        <f>'raw data Crude oil'!E1665</f>
        <v>74.2</v>
      </c>
      <c r="F1664">
        <f>'raw data Crude oil'!F1665</f>
        <v>73.87</v>
      </c>
      <c r="G1664">
        <f>'raw data Crude oil'!G1665</f>
        <v>73.540000000000006</v>
      </c>
      <c r="H1664">
        <f>'raw data Crude oil'!H1665</f>
        <v>73.209999999999994</v>
      </c>
      <c r="I1664">
        <f>'raw data Crude oil'!I1665</f>
        <v>72.900000000000006</v>
      </c>
      <c r="J1664">
        <f>'raw data Crude oil'!J1665</f>
        <v>72.61</v>
      </c>
      <c r="K1664">
        <f>'raw data Crude oil'!K1665</f>
        <v>72.33</v>
      </c>
      <c r="L1664">
        <f>'raw data Crude oil'!L1665</f>
        <v>72.069999999999993</v>
      </c>
      <c r="M1664">
        <f>'raw data Crude oil'!M1665</f>
        <v>71.81</v>
      </c>
      <c r="N1664">
        <f>'raw data Crude oil'!N1665</f>
        <v>70.17</v>
      </c>
      <c r="O1664">
        <f>'raw data Crude oil'!O1665</f>
        <v>70.33</v>
      </c>
      <c r="P1664">
        <f>'raw data Crude oil'!P1665</f>
        <v>70.27</v>
      </c>
      <c r="Q1664">
        <f>'raw data Crude oil'!Q1665</f>
        <v>70.02</v>
      </c>
      <c r="R1664">
        <f>'raw data Crude oil'!R1665</f>
        <v>69.709999999999994</v>
      </c>
      <c r="S1664">
        <f>'raw data Crude oil'!S1665</f>
        <v>69.38</v>
      </c>
      <c r="T1664">
        <f>'raw data Crude oil'!T1665</f>
        <v>69.05</v>
      </c>
      <c r="U1664">
        <f>'raw data Crude oil'!U1665</f>
        <v>68.72</v>
      </c>
      <c r="V1664">
        <f>'raw data Crude oil'!V1665</f>
        <v>68.400000000000006</v>
      </c>
      <c r="W1664">
        <f>'raw data Crude oil'!W1665</f>
        <v>68.09</v>
      </c>
      <c r="X1664">
        <f>'raw data Crude oil'!X1665</f>
        <v>67.8</v>
      </c>
      <c r="Y1664">
        <f>'raw data Crude oil'!Y1665</f>
        <v>67.510000000000005</v>
      </c>
      <c r="Z1664">
        <f>'raw data Crude oil'!Z1665</f>
        <v>74.369</v>
      </c>
      <c r="AA1664">
        <f>'raw data Crude oil'!AA1665</f>
        <v>73.873000000000005</v>
      </c>
      <c r="AB1664">
        <f>'raw data Crude oil'!AB1665</f>
        <v>73.408000000000001</v>
      </c>
      <c r="AC1664">
        <f>'raw data Crude oil'!AC1665</f>
        <v>72.975999999999999</v>
      </c>
      <c r="AD1664">
        <f>'raw data Crude oil'!AD1665</f>
        <v>72.525999999999996</v>
      </c>
      <c r="AE1664">
        <f>'raw data Crude oil'!AE1665</f>
        <v>72.096000000000004</v>
      </c>
      <c r="AF1664">
        <f>'raw data Crude oil'!AF1665</f>
        <v>71.656000000000006</v>
      </c>
      <c r="AG1664">
        <f>'raw data Crude oil'!AG1665</f>
        <v>71.257000000000005</v>
      </c>
      <c r="AH1664">
        <f>'raw data Crude oil'!AH1665</f>
        <v>70.906999999999996</v>
      </c>
      <c r="AI1664">
        <f>'raw data Crude oil'!AI1665</f>
        <v>70.596999999999994</v>
      </c>
      <c r="AJ1664">
        <f>'raw data Crude oil'!AJ1665</f>
        <v>70.317999999999998</v>
      </c>
      <c r="AK1664">
        <f>'raw data Crude oil'!AK1665</f>
        <v>70.058999999999997</v>
      </c>
    </row>
    <row r="1665" spans="1:37" x14ac:dyDescent="0.3">
      <c r="A1665" s="18">
        <f>'raw data Crude oil'!A1666</f>
        <v>45089</v>
      </c>
      <c r="B1665">
        <f>'raw data Crude oil'!B1666</f>
        <v>71.84</v>
      </c>
      <c r="C1665">
        <f>'raw data Crude oil'!C1666</f>
        <v>71.819999999999993</v>
      </c>
      <c r="D1665">
        <f>'raw data Crude oil'!D1666</f>
        <v>71.63</v>
      </c>
      <c r="E1665">
        <f>'raw data Crude oil'!E1666</f>
        <v>71.41</v>
      </c>
      <c r="F1665">
        <f>'raw data Crude oil'!F1666</f>
        <v>71.17</v>
      </c>
      <c r="G1665">
        <f>'raw data Crude oil'!G1666</f>
        <v>70.92</v>
      </c>
      <c r="H1665">
        <f>'raw data Crude oil'!H1666</f>
        <v>70.67</v>
      </c>
      <c r="I1665">
        <f>'raw data Crude oil'!I1666</f>
        <v>70.42</v>
      </c>
      <c r="J1665">
        <f>'raw data Crude oil'!J1666</f>
        <v>70.180000000000007</v>
      </c>
      <c r="K1665">
        <f>'raw data Crude oil'!K1666</f>
        <v>69.959999999999994</v>
      </c>
      <c r="L1665">
        <f>'raw data Crude oil'!L1666</f>
        <v>69.760000000000005</v>
      </c>
      <c r="M1665">
        <f>'raw data Crude oil'!M1666</f>
        <v>69.55</v>
      </c>
      <c r="N1665">
        <f>'raw data Crude oil'!N1666</f>
        <v>67.12</v>
      </c>
      <c r="O1665">
        <f>'raw data Crude oil'!O1666</f>
        <v>67.290000000000006</v>
      </c>
      <c r="P1665">
        <f>'raw data Crude oil'!P1666</f>
        <v>67.3</v>
      </c>
      <c r="Q1665">
        <f>'raw data Crude oil'!Q1666</f>
        <v>67.16</v>
      </c>
      <c r="R1665">
        <f>'raw data Crude oil'!R1666</f>
        <v>66.95</v>
      </c>
      <c r="S1665">
        <f>'raw data Crude oil'!S1666</f>
        <v>66.72</v>
      </c>
      <c r="T1665">
        <f>'raw data Crude oil'!T1666</f>
        <v>66.47</v>
      </c>
      <c r="U1665">
        <f>'raw data Crude oil'!U1666</f>
        <v>66.22</v>
      </c>
      <c r="V1665">
        <f>'raw data Crude oil'!V1666</f>
        <v>65.97</v>
      </c>
      <c r="W1665">
        <f>'raw data Crude oil'!W1666</f>
        <v>65.73</v>
      </c>
      <c r="X1665">
        <f>'raw data Crude oil'!X1666</f>
        <v>65.510000000000005</v>
      </c>
      <c r="Y1665">
        <f>'raw data Crude oil'!Y1666</f>
        <v>65.290000000000006</v>
      </c>
      <c r="Z1665">
        <f>'raw data Crude oil'!Z1666</f>
        <v>72.358000000000004</v>
      </c>
      <c r="AA1665">
        <f>'raw data Crude oil'!AA1666</f>
        <v>71.006</v>
      </c>
      <c r="AB1665">
        <f>'raw data Crude oil'!AB1666</f>
        <v>70.59</v>
      </c>
      <c r="AC1665">
        <f>'raw data Crude oil'!AC1666</f>
        <v>70.204999999999998</v>
      </c>
      <c r="AD1665">
        <f>'raw data Crude oil'!AD1666</f>
        <v>69.834000000000003</v>
      </c>
      <c r="AE1665">
        <f>'raw data Crude oil'!AE1666</f>
        <v>69.463999999999999</v>
      </c>
      <c r="AF1665">
        <f>'raw data Crude oil'!AF1666</f>
        <v>69.08</v>
      </c>
      <c r="AG1665">
        <f>'raw data Crude oil'!AG1666</f>
        <v>68.748999999999995</v>
      </c>
      <c r="AH1665">
        <f>'raw data Crude oil'!AH1666</f>
        <v>68.44</v>
      </c>
      <c r="AI1665">
        <f>'raw data Crude oil'!AI1666</f>
        <v>68.2</v>
      </c>
      <c r="AJ1665">
        <f>'raw data Crude oil'!AJ1666</f>
        <v>67.97</v>
      </c>
      <c r="AK1665">
        <f>'raw data Crude oil'!AK1666</f>
        <v>67.742000000000004</v>
      </c>
    </row>
    <row r="1666" spans="1:37" x14ac:dyDescent="0.3">
      <c r="A1666" s="18">
        <f>'raw data Crude oil'!A1667</f>
        <v>45090</v>
      </c>
      <c r="B1666">
        <f>'raw data Crude oil'!B1667</f>
        <v>74.290000000000006</v>
      </c>
      <c r="C1666">
        <f>'raw data Crude oil'!C1667</f>
        <v>74.209999999999994</v>
      </c>
      <c r="D1666">
        <f>'raw data Crude oil'!D1667</f>
        <v>74.010000000000005</v>
      </c>
      <c r="E1666">
        <f>'raw data Crude oil'!E1667</f>
        <v>73.77</v>
      </c>
      <c r="F1666">
        <f>'raw data Crude oil'!F1667</f>
        <v>73.5</v>
      </c>
      <c r="G1666">
        <f>'raw data Crude oil'!G1667</f>
        <v>73.209999999999994</v>
      </c>
      <c r="H1666">
        <f>'raw data Crude oil'!H1667</f>
        <v>72.930000000000007</v>
      </c>
      <c r="I1666">
        <f>'raw data Crude oil'!I1667</f>
        <v>72.650000000000006</v>
      </c>
      <c r="J1666">
        <f>'raw data Crude oil'!J1667</f>
        <v>72.38</v>
      </c>
      <c r="K1666">
        <f>'raw data Crude oil'!K1667</f>
        <v>72.13</v>
      </c>
      <c r="L1666">
        <f>'raw data Crude oil'!L1667</f>
        <v>71.900000000000006</v>
      </c>
      <c r="M1666">
        <f>'raw data Crude oil'!M1667</f>
        <v>71.66</v>
      </c>
      <c r="N1666">
        <f>'raw data Crude oil'!N1667</f>
        <v>69.42</v>
      </c>
      <c r="O1666">
        <f>'raw data Crude oil'!O1667</f>
        <v>69.58</v>
      </c>
      <c r="P1666">
        <f>'raw data Crude oil'!P1667</f>
        <v>69.59</v>
      </c>
      <c r="Q1666">
        <f>'raw data Crude oil'!Q1667</f>
        <v>69.45</v>
      </c>
      <c r="R1666">
        <f>'raw data Crude oil'!R1667</f>
        <v>69.239999999999995</v>
      </c>
      <c r="S1666">
        <f>'raw data Crude oil'!S1667</f>
        <v>68.98</v>
      </c>
      <c r="T1666">
        <f>'raw data Crude oil'!T1667</f>
        <v>68.7</v>
      </c>
      <c r="U1666">
        <f>'raw data Crude oil'!U1667</f>
        <v>68.42</v>
      </c>
      <c r="V1666">
        <f>'raw data Crude oil'!V1667</f>
        <v>68.14</v>
      </c>
      <c r="W1666">
        <f>'raw data Crude oil'!W1667</f>
        <v>67.87</v>
      </c>
      <c r="X1666">
        <f>'raw data Crude oil'!X1667</f>
        <v>67.62</v>
      </c>
      <c r="Y1666">
        <f>'raw data Crude oil'!Y1667</f>
        <v>67.37</v>
      </c>
      <c r="Z1666">
        <f>'raw data Crude oil'!Z1667</f>
        <v>73.933000000000007</v>
      </c>
      <c r="AA1666">
        <f>'raw data Crude oil'!AA1667</f>
        <v>73.478999999999999</v>
      </c>
      <c r="AB1666">
        <f>'raw data Crude oil'!AB1667</f>
        <v>73.058999999999997</v>
      </c>
      <c r="AC1666">
        <f>'raw data Crude oil'!AC1667</f>
        <v>72.658000000000001</v>
      </c>
      <c r="AD1666">
        <f>'raw data Crude oil'!AD1667</f>
        <v>72.262</v>
      </c>
      <c r="AE1666">
        <f>'raw data Crude oil'!AE1667</f>
        <v>71.852000000000004</v>
      </c>
      <c r="AF1666">
        <f>'raw data Crude oil'!AF1667</f>
        <v>71.441999999999993</v>
      </c>
      <c r="AG1666">
        <f>'raw data Crude oil'!AG1667</f>
        <v>71.087999999999994</v>
      </c>
      <c r="AH1666">
        <f>'raw data Crude oil'!AH1667</f>
        <v>70.757999999999996</v>
      </c>
      <c r="AI1666">
        <f>'raw data Crude oil'!AI1667</f>
        <v>70.448999999999998</v>
      </c>
      <c r="AJ1666">
        <f>'raw data Crude oil'!AJ1667</f>
        <v>70.168999999999997</v>
      </c>
      <c r="AK1666">
        <f>'raw data Crude oil'!AK1667</f>
        <v>69.900999999999996</v>
      </c>
    </row>
    <row r="1667" spans="1:37" x14ac:dyDescent="0.3">
      <c r="A1667" s="18">
        <f>'raw data Crude oil'!A1668</f>
        <v>45091</v>
      </c>
      <c r="B1667">
        <f>'raw data Crude oil'!B1668</f>
        <v>73.2</v>
      </c>
      <c r="C1667">
        <f>'raw data Crude oil'!C1668</f>
        <v>73.17</v>
      </c>
      <c r="D1667">
        <f>'raw data Crude oil'!D1668</f>
        <v>72.959999999999994</v>
      </c>
      <c r="E1667">
        <f>'raw data Crude oil'!E1668</f>
        <v>72.72</v>
      </c>
      <c r="F1667">
        <f>'raw data Crude oil'!F1668</f>
        <v>72.459999999999994</v>
      </c>
      <c r="G1667">
        <f>'raw data Crude oil'!G1668</f>
        <v>72.19</v>
      </c>
      <c r="H1667">
        <f>'raw data Crude oil'!H1668</f>
        <v>71.92</v>
      </c>
      <c r="I1667">
        <f>'raw data Crude oil'!I1668</f>
        <v>71.650000000000006</v>
      </c>
      <c r="J1667">
        <f>'raw data Crude oil'!J1668</f>
        <v>71.39</v>
      </c>
      <c r="K1667">
        <f>'raw data Crude oil'!K1668</f>
        <v>71.150000000000006</v>
      </c>
      <c r="L1667">
        <f>'raw data Crude oil'!L1668</f>
        <v>70.930000000000007</v>
      </c>
      <c r="M1667">
        <f>'raw data Crude oil'!M1668</f>
        <v>70.709999999999994</v>
      </c>
      <c r="N1667">
        <f>'raw data Crude oil'!N1668</f>
        <v>68.27</v>
      </c>
      <c r="O1667">
        <f>'raw data Crude oil'!O1668</f>
        <v>68.459999999999994</v>
      </c>
      <c r="P1667">
        <f>'raw data Crude oil'!P1668</f>
        <v>68.489999999999995</v>
      </c>
      <c r="Q1667">
        <f>'raw data Crude oil'!Q1668</f>
        <v>68.38</v>
      </c>
      <c r="R1667">
        <f>'raw data Crude oil'!R1668</f>
        <v>68.19</v>
      </c>
      <c r="S1667">
        <f>'raw data Crude oil'!S1668</f>
        <v>67.97</v>
      </c>
      <c r="T1667">
        <f>'raw data Crude oil'!T1668</f>
        <v>67.709999999999994</v>
      </c>
      <c r="U1667">
        <f>'raw data Crude oil'!U1668</f>
        <v>67.45</v>
      </c>
      <c r="V1667">
        <f>'raw data Crude oil'!V1668</f>
        <v>67.2</v>
      </c>
      <c r="W1667">
        <f>'raw data Crude oil'!W1668</f>
        <v>66.95</v>
      </c>
      <c r="X1667">
        <f>'raw data Crude oil'!X1668</f>
        <v>66.709999999999994</v>
      </c>
      <c r="Y1667">
        <f>'raw data Crude oil'!Y1668</f>
        <v>66.48</v>
      </c>
      <c r="Z1667">
        <f>'raw data Crude oil'!Z1668</f>
        <v>73.457999999999998</v>
      </c>
      <c r="AA1667">
        <f>'raw data Crude oil'!AA1668</f>
        <v>72.59</v>
      </c>
      <c r="AB1667">
        <f>'raw data Crude oil'!AB1668</f>
        <v>72.144999999999996</v>
      </c>
      <c r="AC1667">
        <f>'raw data Crude oil'!AC1668</f>
        <v>71.722999999999999</v>
      </c>
      <c r="AD1667">
        <f>'raw data Crude oil'!AD1668</f>
        <v>71.298000000000002</v>
      </c>
      <c r="AE1667">
        <f>'raw data Crude oil'!AE1668</f>
        <v>70.888999999999996</v>
      </c>
      <c r="AF1667">
        <f>'raw data Crude oil'!AF1668</f>
        <v>70.462999999999994</v>
      </c>
      <c r="AG1667">
        <f>'raw data Crude oil'!AG1668</f>
        <v>70.087999999999994</v>
      </c>
      <c r="AH1667">
        <f>'raw data Crude oil'!AH1668</f>
        <v>69.748999999999995</v>
      </c>
      <c r="AI1667">
        <f>'raw data Crude oil'!AI1668</f>
        <v>69.478999999999999</v>
      </c>
      <c r="AJ1667">
        <f>'raw data Crude oil'!AJ1668</f>
        <v>69.260000000000005</v>
      </c>
      <c r="AK1667">
        <f>'raw data Crude oil'!AK1668</f>
        <v>69.051000000000002</v>
      </c>
    </row>
    <row r="1668" spans="1:37" x14ac:dyDescent="0.3">
      <c r="A1668" s="18">
        <f>'raw data Crude oil'!A1669</f>
        <v>45092</v>
      </c>
      <c r="B1668">
        <f>'raw data Crude oil'!B1669</f>
        <v>75.67</v>
      </c>
      <c r="C1668">
        <f>'raw data Crude oil'!C1669</f>
        <v>75.66</v>
      </c>
      <c r="D1668">
        <f>'raw data Crude oil'!D1669</f>
        <v>75.459999999999994</v>
      </c>
      <c r="E1668">
        <f>'raw data Crude oil'!E1669</f>
        <v>75.19</v>
      </c>
      <c r="F1668">
        <f>'raw data Crude oil'!F1669</f>
        <v>74.91</v>
      </c>
      <c r="G1668">
        <f>'raw data Crude oil'!G1669</f>
        <v>74.61</v>
      </c>
      <c r="H1668">
        <f>'raw data Crude oil'!H1669</f>
        <v>74.31</v>
      </c>
      <c r="I1668">
        <f>'raw data Crude oil'!I1669</f>
        <v>74.010000000000005</v>
      </c>
      <c r="J1668">
        <f>'raw data Crude oil'!J1669</f>
        <v>73.72</v>
      </c>
      <c r="K1668">
        <f>'raw data Crude oil'!K1669</f>
        <v>73.45</v>
      </c>
      <c r="L1668">
        <f>'raw data Crude oil'!L1669</f>
        <v>73.2</v>
      </c>
      <c r="M1668">
        <f>'raw data Crude oil'!M1669</f>
        <v>72.95</v>
      </c>
      <c r="N1668">
        <f>'raw data Crude oil'!N1669</f>
        <v>70.62</v>
      </c>
      <c r="O1668">
        <f>'raw data Crude oil'!O1669</f>
        <v>70.81</v>
      </c>
      <c r="P1668">
        <f>'raw data Crude oil'!P1669</f>
        <v>70.849999999999994</v>
      </c>
      <c r="Q1668">
        <f>'raw data Crude oil'!Q1669</f>
        <v>70.72</v>
      </c>
      <c r="R1668">
        <f>'raw data Crude oil'!R1669</f>
        <v>70.52</v>
      </c>
      <c r="S1668">
        <f>'raw data Crude oil'!S1669</f>
        <v>70.27</v>
      </c>
      <c r="T1668">
        <f>'raw data Crude oil'!T1669</f>
        <v>69.989999999999995</v>
      </c>
      <c r="U1668">
        <f>'raw data Crude oil'!U1669</f>
        <v>69.7</v>
      </c>
      <c r="V1668">
        <f>'raw data Crude oil'!V1669</f>
        <v>69.41</v>
      </c>
      <c r="W1668">
        <f>'raw data Crude oil'!W1669</f>
        <v>69.13</v>
      </c>
      <c r="X1668">
        <f>'raw data Crude oil'!X1669</f>
        <v>68.849999999999994</v>
      </c>
      <c r="Y1668">
        <f>'raw data Crude oil'!Y1669</f>
        <v>68.58</v>
      </c>
      <c r="Z1668">
        <f>'raw data Crude oil'!Z1669</f>
        <v>74.722999999999999</v>
      </c>
      <c r="AA1668">
        <f>'raw data Crude oil'!AA1669</f>
        <v>75.040000000000006</v>
      </c>
      <c r="AB1668">
        <f>'raw data Crude oil'!AB1669</f>
        <v>74.619</v>
      </c>
      <c r="AC1668">
        <f>'raw data Crude oil'!AC1669</f>
        <v>74.182000000000002</v>
      </c>
      <c r="AD1668">
        <f>'raw data Crude oil'!AD1669</f>
        <v>73.745999999999995</v>
      </c>
      <c r="AE1668">
        <f>'raw data Crude oil'!AE1669</f>
        <v>73.311000000000007</v>
      </c>
      <c r="AF1668">
        <f>'raw data Crude oil'!AF1669</f>
        <v>72.864999999999995</v>
      </c>
      <c r="AG1668">
        <f>'raw data Crude oil'!AG1669</f>
        <v>72.466999999999999</v>
      </c>
      <c r="AH1668">
        <f>'raw data Crude oil'!AH1669</f>
        <v>72.117000000000004</v>
      </c>
      <c r="AI1668">
        <f>'raw data Crude oil'!AI1669</f>
        <v>71.787999999999997</v>
      </c>
      <c r="AJ1668">
        <f>'raw data Crude oil'!AJ1669</f>
        <v>71.509</v>
      </c>
      <c r="AK1668">
        <f>'raw data Crude oil'!AK1669</f>
        <v>71.239999999999995</v>
      </c>
    </row>
    <row r="1669" spans="1:37" x14ac:dyDescent="0.3">
      <c r="A1669" s="18">
        <f>'raw data Crude oil'!A1670</f>
        <v>45093</v>
      </c>
      <c r="B1669">
        <f>'raw data Crude oil'!B1670</f>
        <v>76.61</v>
      </c>
      <c r="C1669">
        <f>'raw data Crude oil'!C1670</f>
        <v>76.58</v>
      </c>
      <c r="D1669">
        <f>'raw data Crude oil'!D1670</f>
        <v>76.36</v>
      </c>
      <c r="E1669">
        <f>'raw data Crude oil'!E1670</f>
        <v>76.08</v>
      </c>
      <c r="F1669">
        <f>'raw data Crude oil'!F1670</f>
        <v>75.78</v>
      </c>
      <c r="G1669">
        <f>'raw data Crude oil'!G1670</f>
        <v>75.47</v>
      </c>
      <c r="H1669">
        <f>'raw data Crude oil'!H1670</f>
        <v>75.17</v>
      </c>
      <c r="I1669">
        <f>'raw data Crude oil'!I1670</f>
        <v>74.87</v>
      </c>
      <c r="J1669">
        <f>'raw data Crude oil'!J1670</f>
        <v>74.569999999999993</v>
      </c>
      <c r="K1669">
        <f>'raw data Crude oil'!K1670</f>
        <v>74.290000000000006</v>
      </c>
      <c r="L1669">
        <f>'raw data Crude oil'!L1670</f>
        <v>74.03</v>
      </c>
      <c r="M1669">
        <f>'raw data Crude oil'!M1670</f>
        <v>73.77</v>
      </c>
      <c r="N1669">
        <f>'raw data Crude oil'!N1670</f>
        <v>71.78</v>
      </c>
      <c r="O1669">
        <f>'raw data Crude oil'!O1670</f>
        <v>71.930000000000007</v>
      </c>
      <c r="P1669">
        <f>'raw data Crude oil'!P1670</f>
        <v>71.92</v>
      </c>
      <c r="Q1669">
        <f>'raw data Crude oil'!Q1670</f>
        <v>71.75</v>
      </c>
      <c r="R1669">
        <f>'raw data Crude oil'!R1670</f>
        <v>71.510000000000005</v>
      </c>
      <c r="S1669">
        <f>'raw data Crude oil'!S1670</f>
        <v>71.23</v>
      </c>
      <c r="T1669">
        <f>'raw data Crude oil'!T1670</f>
        <v>70.930000000000007</v>
      </c>
      <c r="U1669">
        <f>'raw data Crude oil'!U1670</f>
        <v>70.62</v>
      </c>
      <c r="V1669">
        <f>'raw data Crude oil'!V1670</f>
        <v>70.319999999999993</v>
      </c>
      <c r="W1669">
        <f>'raw data Crude oil'!W1670</f>
        <v>70.02</v>
      </c>
      <c r="X1669">
        <f>'raw data Crude oil'!X1670</f>
        <v>69.739999999999995</v>
      </c>
      <c r="Y1669">
        <f>'raw data Crude oil'!Y1670</f>
        <v>69.459999999999994</v>
      </c>
      <c r="Z1669">
        <f>'raw data Crude oil'!Z1670</f>
        <v>75.218999999999994</v>
      </c>
      <c r="AA1669">
        <f>'raw data Crude oil'!AA1670</f>
        <v>76.076999999999998</v>
      </c>
      <c r="AB1669">
        <f>'raw data Crude oil'!AB1670</f>
        <v>75.653999999999996</v>
      </c>
      <c r="AC1669">
        <f>'raw data Crude oil'!AC1670</f>
        <v>75.195999999999998</v>
      </c>
      <c r="AD1669">
        <f>'raw data Crude oil'!AD1670</f>
        <v>74.745999999999995</v>
      </c>
      <c r="AE1669">
        <f>'raw data Crude oil'!AE1670</f>
        <v>74.305999999999997</v>
      </c>
      <c r="AF1669">
        <f>'raw data Crude oil'!AF1670</f>
        <v>73.849999999999994</v>
      </c>
      <c r="AG1669">
        <f>'raw data Crude oil'!AG1670</f>
        <v>73.456000000000003</v>
      </c>
      <c r="AH1669">
        <f>'raw data Crude oil'!AH1670</f>
        <v>73.126999999999995</v>
      </c>
      <c r="AI1669">
        <f>'raw data Crude oil'!AI1670</f>
        <v>72.766999999999996</v>
      </c>
      <c r="AJ1669">
        <f>'raw data Crude oil'!AJ1670</f>
        <v>72.438000000000002</v>
      </c>
      <c r="AK1669">
        <f>'raw data Crude oil'!AK1670</f>
        <v>72.16</v>
      </c>
    </row>
    <row r="1670" spans="1:37" x14ac:dyDescent="0.3">
      <c r="A1670" s="18">
        <f>'raw data Crude oil'!A1671</f>
        <v>45096</v>
      </c>
      <c r="B1670">
        <f>'raw data Crude oil'!B1671</f>
        <v>76.09</v>
      </c>
      <c r="C1670">
        <f>'raw data Crude oil'!C1671</f>
        <v>76.06</v>
      </c>
      <c r="D1670">
        <f>'raw data Crude oil'!D1671</f>
        <v>75.819999999999993</v>
      </c>
      <c r="E1670">
        <f>'raw data Crude oil'!E1671</f>
        <v>75.52</v>
      </c>
      <c r="F1670">
        <f>'raw data Crude oil'!F1671</f>
        <v>75.2</v>
      </c>
      <c r="G1670">
        <f>'raw data Crude oil'!G1671</f>
        <v>74.89</v>
      </c>
      <c r="H1670">
        <f>'raw data Crude oil'!H1671</f>
        <v>74.58</v>
      </c>
      <c r="I1670">
        <f>'raw data Crude oil'!I1671</f>
        <v>74.28</v>
      </c>
      <c r="J1670">
        <f>'raw data Crude oil'!J1671</f>
        <v>73.989999999999995</v>
      </c>
      <c r="K1670">
        <f>'raw data Crude oil'!K1671</f>
        <v>73.709999999999994</v>
      </c>
      <c r="L1670">
        <f>'raw data Crude oil'!L1671</f>
        <v>73.45</v>
      </c>
      <c r="M1670">
        <f>'raw data Crude oil'!M1671</f>
        <v>73.2</v>
      </c>
      <c r="N1670">
        <f>'raw data Crude oil'!N1671</f>
        <v>71.78</v>
      </c>
      <c r="O1670">
        <f>'raw data Crude oil'!O1671</f>
        <v>71.930000000000007</v>
      </c>
      <c r="P1670">
        <f>'raw data Crude oil'!P1671</f>
        <v>71.92</v>
      </c>
      <c r="Q1670">
        <f>'raw data Crude oil'!Q1671</f>
        <v>71.75</v>
      </c>
      <c r="R1670">
        <f>'raw data Crude oil'!R1671</f>
        <v>71.510000000000005</v>
      </c>
      <c r="S1670">
        <f>'raw data Crude oil'!S1671</f>
        <v>71.23</v>
      </c>
      <c r="T1670">
        <f>'raw data Crude oil'!T1671</f>
        <v>70.930000000000007</v>
      </c>
      <c r="U1670">
        <f>'raw data Crude oil'!U1671</f>
        <v>70.62</v>
      </c>
      <c r="V1670">
        <f>'raw data Crude oil'!V1671</f>
        <v>70.319999999999993</v>
      </c>
      <c r="W1670">
        <f>'raw data Crude oil'!W1671</f>
        <v>70.02</v>
      </c>
      <c r="X1670">
        <f>'raw data Crude oil'!X1671</f>
        <v>69.739999999999995</v>
      </c>
      <c r="Y1670">
        <f>'raw data Crude oil'!Y1671</f>
        <v>69.459999999999994</v>
      </c>
      <c r="Z1670">
        <f>'raw data Crude oil'!Z1671</f>
        <v>75.018000000000001</v>
      </c>
      <c r="AA1670">
        <f>'raw data Crude oil'!AA1671</f>
        <v>75.588999999999999</v>
      </c>
      <c r="AB1670">
        <f>'raw data Crude oil'!AB1671</f>
        <v>75.117000000000004</v>
      </c>
      <c r="AC1670">
        <f>'raw data Crude oil'!AC1671</f>
        <v>74.644000000000005</v>
      </c>
      <c r="AD1670">
        <f>'raw data Crude oil'!AD1671</f>
        <v>74.194000000000003</v>
      </c>
      <c r="AE1670">
        <f>'raw data Crude oil'!AE1671</f>
        <v>73.744</v>
      </c>
      <c r="AF1670">
        <f>'raw data Crude oil'!AF1671</f>
        <v>73.284000000000006</v>
      </c>
      <c r="AG1670">
        <f>'raw data Crude oil'!AG1671</f>
        <v>72.887</v>
      </c>
      <c r="AH1670">
        <f>'raw data Crude oil'!AH1671</f>
        <v>72.566999999999993</v>
      </c>
      <c r="AI1670">
        <f>'raw data Crude oil'!AI1671</f>
        <v>72.236999999999995</v>
      </c>
      <c r="AJ1670">
        <f>'raw data Crude oil'!AJ1671</f>
        <v>71.968999999999994</v>
      </c>
      <c r="AK1670">
        <f>'raw data Crude oil'!AK1671</f>
        <v>71.7</v>
      </c>
    </row>
    <row r="1671" spans="1:37" x14ac:dyDescent="0.3">
      <c r="A1671" s="18">
        <f>'raw data Crude oil'!A1672</f>
        <v>45097</v>
      </c>
      <c r="B1671">
        <f>'raw data Crude oil'!B1672</f>
        <v>75.900000000000006</v>
      </c>
      <c r="C1671">
        <f>'raw data Crude oil'!C1672</f>
        <v>75.89</v>
      </c>
      <c r="D1671">
        <f>'raw data Crude oil'!D1672</f>
        <v>75.63</v>
      </c>
      <c r="E1671">
        <f>'raw data Crude oil'!E1672</f>
        <v>75.319999999999993</v>
      </c>
      <c r="F1671">
        <f>'raw data Crude oil'!F1672</f>
        <v>74.989999999999995</v>
      </c>
      <c r="G1671">
        <f>'raw data Crude oil'!G1672</f>
        <v>74.67</v>
      </c>
      <c r="H1671">
        <f>'raw data Crude oil'!H1672</f>
        <v>74.36</v>
      </c>
      <c r="I1671">
        <f>'raw data Crude oil'!I1672</f>
        <v>74.06</v>
      </c>
      <c r="J1671">
        <f>'raw data Crude oil'!J1672</f>
        <v>73.78</v>
      </c>
      <c r="K1671">
        <f>'raw data Crude oil'!K1672</f>
        <v>73.53</v>
      </c>
      <c r="L1671">
        <f>'raw data Crude oil'!L1672</f>
        <v>73.290000000000006</v>
      </c>
      <c r="M1671">
        <f>'raw data Crude oil'!M1672</f>
        <v>73.05</v>
      </c>
      <c r="N1671">
        <f>'raw data Crude oil'!N1672</f>
        <v>70.5</v>
      </c>
      <c r="O1671">
        <f>'raw data Crude oil'!O1672</f>
        <v>71.19</v>
      </c>
      <c r="P1671">
        <f>'raw data Crude oil'!P1672</f>
        <v>71.180000000000007</v>
      </c>
      <c r="Q1671">
        <f>'raw data Crude oil'!Q1672</f>
        <v>71</v>
      </c>
      <c r="R1671">
        <f>'raw data Crude oil'!R1672</f>
        <v>70.75</v>
      </c>
      <c r="S1671">
        <f>'raw data Crude oil'!S1672</f>
        <v>70.489999999999995</v>
      </c>
      <c r="T1671">
        <f>'raw data Crude oil'!T1672</f>
        <v>70.19</v>
      </c>
      <c r="U1671">
        <f>'raw data Crude oil'!U1672</f>
        <v>69.89</v>
      </c>
      <c r="V1671">
        <f>'raw data Crude oil'!V1672</f>
        <v>69.59</v>
      </c>
      <c r="W1671">
        <f>'raw data Crude oil'!W1672</f>
        <v>69.319999999999993</v>
      </c>
      <c r="X1671">
        <f>'raw data Crude oil'!X1672</f>
        <v>69.05</v>
      </c>
      <c r="Y1671">
        <f>'raw data Crude oil'!Y1672</f>
        <v>68.78</v>
      </c>
      <c r="Z1671">
        <f>'raw data Crude oil'!Z1672</f>
        <v>75.188000000000002</v>
      </c>
      <c r="AA1671">
        <f>'raw data Crude oil'!AA1672</f>
        <v>75.486000000000004</v>
      </c>
      <c r="AB1671">
        <f>'raw data Crude oil'!AB1672</f>
        <v>74.945999999999998</v>
      </c>
      <c r="AC1671">
        <f>'raw data Crude oil'!AC1672</f>
        <v>74.442999999999998</v>
      </c>
      <c r="AD1671">
        <f>'raw data Crude oil'!AD1672</f>
        <v>73.954999999999998</v>
      </c>
      <c r="AE1671">
        <f>'raw data Crude oil'!AE1672</f>
        <v>73.475999999999999</v>
      </c>
      <c r="AF1671">
        <f>'raw data Crude oil'!AF1672</f>
        <v>72.995000000000005</v>
      </c>
      <c r="AG1671">
        <f>'raw data Crude oil'!AG1672</f>
        <v>72.611999999999995</v>
      </c>
      <c r="AH1671">
        <f>'raw data Crude oil'!AH1672</f>
        <v>72.298000000000002</v>
      </c>
      <c r="AI1671">
        <f>'raw data Crude oil'!AI1672</f>
        <v>71.988</v>
      </c>
      <c r="AJ1671">
        <f>'raw data Crude oil'!AJ1672</f>
        <v>71.728999999999999</v>
      </c>
      <c r="AK1671">
        <f>'raw data Crude oil'!AK1672</f>
        <v>71.489999999999995</v>
      </c>
    </row>
    <row r="1672" spans="1:37" x14ac:dyDescent="0.3">
      <c r="A1672" s="18">
        <f>'raw data Crude oil'!A1673</f>
        <v>45098</v>
      </c>
      <c r="B1672">
        <f>'raw data Crude oil'!B1673</f>
        <v>77.12</v>
      </c>
      <c r="C1672">
        <f>'raw data Crude oil'!C1673</f>
        <v>77.14</v>
      </c>
      <c r="D1672">
        <f>'raw data Crude oil'!D1673</f>
        <v>76.89</v>
      </c>
      <c r="E1672">
        <f>'raw data Crude oil'!E1673</f>
        <v>76.569999999999993</v>
      </c>
      <c r="F1672">
        <f>'raw data Crude oil'!F1673</f>
        <v>76.23</v>
      </c>
      <c r="G1672">
        <f>'raw data Crude oil'!G1673</f>
        <v>75.900000000000006</v>
      </c>
      <c r="H1672">
        <f>'raw data Crude oil'!H1673</f>
        <v>75.569999999999993</v>
      </c>
      <c r="I1672">
        <f>'raw data Crude oil'!I1673</f>
        <v>75.25</v>
      </c>
      <c r="J1672">
        <f>'raw data Crude oil'!J1673</f>
        <v>74.95</v>
      </c>
      <c r="K1672">
        <f>'raw data Crude oil'!K1673</f>
        <v>74.67</v>
      </c>
      <c r="L1672">
        <f>'raw data Crude oil'!L1673</f>
        <v>74.42</v>
      </c>
      <c r="M1672">
        <f>'raw data Crude oil'!M1673</f>
        <v>74.16</v>
      </c>
      <c r="N1672">
        <f>'raw data Crude oil'!N1673</f>
        <v>72.53</v>
      </c>
      <c r="O1672">
        <f>'raw data Crude oil'!O1673</f>
        <v>72.52</v>
      </c>
      <c r="P1672">
        <f>'raw data Crude oil'!P1673</f>
        <v>72.34</v>
      </c>
      <c r="Q1672">
        <f>'raw data Crude oil'!Q1673</f>
        <v>72.09</v>
      </c>
      <c r="R1672">
        <f>'raw data Crude oil'!R1673</f>
        <v>71.8</v>
      </c>
      <c r="S1672">
        <f>'raw data Crude oil'!S1673</f>
        <v>71.47</v>
      </c>
      <c r="T1672">
        <f>'raw data Crude oil'!T1673</f>
        <v>71.150000000000006</v>
      </c>
      <c r="U1672">
        <f>'raw data Crude oil'!U1673</f>
        <v>70.83</v>
      </c>
      <c r="V1672">
        <f>'raw data Crude oil'!V1673</f>
        <v>70.53</v>
      </c>
      <c r="W1672">
        <f>'raw data Crude oil'!W1673</f>
        <v>70.23</v>
      </c>
      <c r="X1672">
        <f>'raw data Crude oil'!X1673</f>
        <v>69.94</v>
      </c>
      <c r="Y1672">
        <f>'raw data Crude oil'!Y1673</f>
        <v>69.64</v>
      </c>
      <c r="Z1672">
        <f>'raw data Crude oil'!Z1673</f>
        <v>75.725999999999999</v>
      </c>
      <c r="AA1672">
        <f>'raw data Crude oil'!AA1673</f>
        <v>76.793000000000006</v>
      </c>
      <c r="AB1672">
        <f>'raw data Crude oil'!AB1673</f>
        <v>76.210999999999999</v>
      </c>
      <c r="AC1672">
        <f>'raw data Crude oil'!AC1673</f>
        <v>75.679000000000002</v>
      </c>
      <c r="AD1672">
        <f>'raw data Crude oil'!AD1673</f>
        <v>75.17</v>
      </c>
      <c r="AE1672">
        <f>'raw data Crude oil'!AE1673</f>
        <v>74.67</v>
      </c>
      <c r="AF1672">
        <f>'raw data Crude oil'!AF1673</f>
        <v>74.197999999999993</v>
      </c>
      <c r="AG1672">
        <f>'raw data Crude oil'!AG1673</f>
        <v>73.805999999999997</v>
      </c>
      <c r="AH1672">
        <f>'raw data Crude oil'!AH1673</f>
        <v>73.456999999999994</v>
      </c>
      <c r="AI1672">
        <f>'raw data Crude oil'!AI1673</f>
        <v>73.138000000000005</v>
      </c>
      <c r="AJ1672">
        <f>'raw data Crude oil'!AJ1673</f>
        <v>72.858000000000004</v>
      </c>
      <c r="AK1672">
        <f>'raw data Crude oil'!AK1673</f>
        <v>72.599000000000004</v>
      </c>
    </row>
    <row r="1673" spans="1:37" x14ac:dyDescent="0.3">
      <c r="A1673" s="18">
        <f>'raw data Crude oil'!A1674</f>
        <v>45099</v>
      </c>
      <c r="B1673">
        <f>'raw data Crude oil'!B1674</f>
        <v>74.14</v>
      </c>
      <c r="C1673">
        <f>'raw data Crude oil'!C1674</f>
        <v>74.349999999999994</v>
      </c>
      <c r="D1673">
        <f>'raw data Crude oil'!D1674</f>
        <v>74.239999999999995</v>
      </c>
      <c r="E1673">
        <f>'raw data Crude oil'!E1674</f>
        <v>74.040000000000006</v>
      </c>
      <c r="F1673">
        <f>'raw data Crude oil'!F1674</f>
        <v>73.790000000000006</v>
      </c>
      <c r="G1673">
        <f>'raw data Crude oil'!G1674</f>
        <v>73.53</v>
      </c>
      <c r="H1673">
        <f>'raw data Crude oil'!H1674</f>
        <v>73.25</v>
      </c>
      <c r="I1673">
        <f>'raw data Crude oil'!I1674</f>
        <v>72.989999999999995</v>
      </c>
      <c r="J1673">
        <f>'raw data Crude oil'!J1674</f>
        <v>72.73</v>
      </c>
      <c r="K1673">
        <f>'raw data Crude oil'!K1674</f>
        <v>72.489999999999995</v>
      </c>
      <c r="L1673">
        <f>'raw data Crude oil'!L1674</f>
        <v>72.28</v>
      </c>
      <c r="M1673">
        <f>'raw data Crude oil'!M1674</f>
        <v>72.069999999999993</v>
      </c>
      <c r="N1673">
        <f>'raw data Crude oil'!N1674</f>
        <v>69.510000000000005</v>
      </c>
      <c r="O1673">
        <f>'raw data Crude oil'!O1674</f>
        <v>69.63</v>
      </c>
      <c r="P1673">
        <f>'raw data Crude oil'!P1674</f>
        <v>69.59</v>
      </c>
      <c r="Q1673">
        <f>'raw data Crude oil'!Q1674</f>
        <v>69.47</v>
      </c>
      <c r="R1673">
        <f>'raw data Crude oil'!R1674</f>
        <v>69.290000000000006</v>
      </c>
      <c r="S1673">
        <f>'raw data Crude oil'!S1674</f>
        <v>69.08</v>
      </c>
      <c r="T1673">
        <f>'raw data Crude oil'!T1674</f>
        <v>68.84</v>
      </c>
      <c r="U1673">
        <f>'raw data Crude oil'!U1674</f>
        <v>68.599999999999994</v>
      </c>
      <c r="V1673">
        <f>'raw data Crude oil'!V1674</f>
        <v>68.34</v>
      </c>
      <c r="W1673">
        <f>'raw data Crude oil'!W1674</f>
        <v>68.099999999999994</v>
      </c>
      <c r="X1673">
        <f>'raw data Crude oil'!X1674</f>
        <v>67.849999999999994</v>
      </c>
      <c r="Y1673">
        <f>'raw data Crude oil'!Y1674</f>
        <v>67.58</v>
      </c>
      <c r="Z1673">
        <f>'raw data Crude oil'!Z1674</f>
        <v>74.950999999999993</v>
      </c>
      <c r="AA1673">
        <f>'raw data Crude oil'!AA1674</f>
        <v>73.951999999999998</v>
      </c>
      <c r="AB1673">
        <f>'raw data Crude oil'!AB1674</f>
        <v>73.501999999999995</v>
      </c>
      <c r="AC1673">
        <f>'raw data Crude oil'!AC1674</f>
        <v>73.081999999999994</v>
      </c>
      <c r="AD1673">
        <f>'raw data Crude oil'!AD1674</f>
        <v>72.653000000000006</v>
      </c>
      <c r="AE1673">
        <f>'raw data Crude oil'!AE1674</f>
        <v>72.242000000000004</v>
      </c>
      <c r="AF1673">
        <f>'raw data Crude oil'!AF1674</f>
        <v>71.828999999999994</v>
      </c>
      <c r="AG1673">
        <f>'raw data Crude oil'!AG1674</f>
        <v>71.477999999999994</v>
      </c>
      <c r="AH1673">
        <f>'raw data Crude oil'!AH1674</f>
        <v>71.179000000000002</v>
      </c>
      <c r="AI1673">
        <f>'raw data Crude oil'!AI1674</f>
        <v>70.92</v>
      </c>
      <c r="AJ1673">
        <f>'raw data Crude oil'!AJ1674</f>
        <v>70.67</v>
      </c>
      <c r="AK1673">
        <f>'raw data Crude oil'!AK1674</f>
        <v>70.441000000000003</v>
      </c>
    </row>
    <row r="1674" spans="1:37" x14ac:dyDescent="0.3">
      <c r="A1674" s="18">
        <f>'raw data Crude oil'!A1675</f>
        <v>45100</v>
      </c>
      <c r="B1674">
        <f>'raw data Crude oil'!B1675</f>
        <v>73.849999999999994</v>
      </c>
      <c r="C1674">
        <f>'raw data Crude oil'!C1675</f>
        <v>74.010000000000005</v>
      </c>
      <c r="D1674">
        <f>'raw data Crude oil'!D1675</f>
        <v>73.94</v>
      </c>
      <c r="E1674">
        <f>'raw data Crude oil'!E1675</f>
        <v>73.78</v>
      </c>
      <c r="F1674">
        <f>'raw data Crude oil'!F1675</f>
        <v>73.56</v>
      </c>
      <c r="G1674">
        <f>'raw data Crude oil'!G1675</f>
        <v>73.319999999999993</v>
      </c>
      <c r="H1674">
        <f>'raw data Crude oil'!H1675</f>
        <v>73.05</v>
      </c>
      <c r="I1674">
        <f>'raw data Crude oil'!I1675</f>
        <v>72.790000000000006</v>
      </c>
      <c r="J1674">
        <f>'raw data Crude oil'!J1675</f>
        <v>72.53</v>
      </c>
      <c r="K1674">
        <f>'raw data Crude oil'!K1675</f>
        <v>72.3</v>
      </c>
      <c r="L1674">
        <f>'raw data Crude oil'!L1675</f>
        <v>72.069999999999993</v>
      </c>
      <c r="M1674">
        <f>'raw data Crude oil'!M1675</f>
        <v>71.849999999999994</v>
      </c>
      <c r="N1674">
        <f>'raw data Crude oil'!N1675</f>
        <v>69.16</v>
      </c>
      <c r="O1674">
        <f>'raw data Crude oil'!O1675</f>
        <v>69.319999999999993</v>
      </c>
      <c r="P1674">
        <f>'raw data Crude oil'!P1675</f>
        <v>69.319999999999993</v>
      </c>
      <c r="Q1674">
        <f>'raw data Crude oil'!Q1675</f>
        <v>69.239999999999995</v>
      </c>
      <c r="R1674">
        <f>'raw data Crude oil'!R1675</f>
        <v>69.099999999999994</v>
      </c>
      <c r="S1674">
        <f>'raw data Crude oil'!S1675</f>
        <v>68.91</v>
      </c>
      <c r="T1674">
        <f>'raw data Crude oil'!T1675</f>
        <v>68.69</v>
      </c>
      <c r="U1674">
        <f>'raw data Crude oil'!U1675</f>
        <v>68.45</v>
      </c>
      <c r="V1674">
        <f>'raw data Crude oil'!V1675</f>
        <v>68.180000000000007</v>
      </c>
      <c r="W1674">
        <f>'raw data Crude oil'!W1675</f>
        <v>67.92</v>
      </c>
      <c r="X1674">
        <f>'raw data Crude oil'!X1675</f>
        <v>67.67</v>
      </c>
      <c r="Y1674">
        <f>'raw data Crude oil'!Y1675</f>
        <v>67.400000000000006</v>
      </c>
      <c r="Z1674">
        <f>'raw data Crude oil'!Z1675</f>
        <v>74.876999999999995</v>
      </c>
      <c r="AA1674">
        <f>'raw data Crude oil'!AA1675</f>
        <v>73.766999999999996</v>
      </c>
      <c r="AB1674">
        <f>'raw data Crude oil'!AB1675</f>
        <v>73.3</v>
      </c>
      <c r="AC1674">
        <f>'raw data Crude oil'!AC1675</f>
        <v>72.88</v>
      </c>
      <c r="AD1674">
        <f>'raw data Crude oil'!AD1675</f>
        <v>72.459999999999994</v>
      </c>
      <c r="AE1674">
        <f>'raw data Crude oil'!AE1675</f>
        <v>72.058999999999997</v>
      </c>
      <c r="AF1674">
        <f>'raw data Crude oil'!AF1675</f>
        <v>71.655000000000001</v>
      </c>
      <c r="AG1674">
        <f>'raw data Crude oil'!AG1675</f>
        <v>71.298000000000002</v>
      </c>
      <c r="AH1674">
        <f>'raw data Crude oil'!AH1675</f>
        <v>70.998999999999995</v>
      </c>
      <c r="AI1674">
        <f>'raw data Crude oil'!AI1675</f>
        <v>70.759</v>
      </c>
      <c r="AJ1674">
        <f>'raw data Crude oil'!AJ1675</f>
        <v>70.489999999999995</v>
      </c>
      <c r="AK1674">
        <f>'raw data Crude oil'!AK1675</f>
        <v>70.230999999999995</v>
      </c>
    </row>
    <row r="1675" spans="1:37" x14ac:dyDescent="0.3">
      <c r="A1675" s="18">
        <f>'raw data Crude oil'!A1676</f>
        <v>45103</v>
      </c>
      <c r="B1675">
        <f>'raw data Crude oil'!B1676</f>
        <v>74.180000000000007</v>
      </c>
      <c r="C1675">
        <f>'raw data Crude oil'!C1676</f>
        <v>74.349999999999994</v>
      </c>
      <c r="D1675">
        <f>'raw data Crude oil'!D1676</f>
        <v>74.290000000000006</v>
      </c>
      <c r="E1675">
        <f>'raw data Crude oil'!E1676</f>
        <v>74.13</v>
      </c>
      <c r="F1675">
        <f>'raw data Crude oil'!F1676</f>
        <v>73.91</v>
      </c>
      <c r="G1675">
        <f>'raw data Crude oil'!G1676</f>
        <v>73.67</v>
      </c>
      <c r="H1675">
        <f>'raw data Crude oil'!H1676</f>
        <v>73.42</v>
      </c>
      <c r="I1675">
        <f>'raw data Crude oil'!I1676</f>
        <v>73.16</v>
      </c>
      <c r="J1675">
        <f>'raw data Crude oil'!J1676</f>
        <v>72.91</v>
      </c>
      <c r="K1675">
        <f>'raw data Crude oil'!K1676</f>
        <v>72.67</v>
      </c>
      <c r="L1675">
        <f>'raw data Crude oil'!L1676</f>
        <v>72.45</v>
      </c>
      <c r="M1675">
        <f>'raw data Crude oil'!M1676</f>
        <v>72.22</v>
      </c>
      <c r="N1675">
        <f>'raw data Crude oil'!N1676</f>
        <v>69.37</v>
      </c>
      <c r="O1675">
        <f>'raw data Crude oil'!O1676</f>
        <v>69.540000000000006</v>
      </c>
      <c r="P1675">
        <f>'raw data Crude oil'!P1676</f>
        <v>69.55</v>
      </c>
      <c r="Q1675">
        <f>'raw data Crude oil'!Q1676</f>
        <v>69.48</v>
      </c>
      <c r="R1675">
        <f>'raw data Crude oil'!R1676</f>
        <v>69.36</v>
      </c>
      <c r="S1675">
        <f>'raw data Crude oil'!S1676</f>
        <v>69.180000000000007</v>
      </c>
      <c r="T1675">
        <f>'raw data Crude oil'!T1676</f>
        <v>68.98</v>
      </c>
      <c r="U1675">
        <f>'raw data Crude oil'!U1676</f>
        <v>68.75</v>
      </c>
      <c r="V1675">
        <f>'raw data Crude oil'!V1676</f>
        <v>68.5</v>
      </c>
      <c r="W1675">
        <f>'raw data Crude oil'!W1676</f>
        <v>68.239999999999995</v>
      </c>
      <c r="X1675">
        <f>'raw data Crude oil'!X1676</f>
        <v>67.989999999999995</v>
      </c>
      <c r="Y1675">
        <f>'raw data Crude oil'!Y1676</f>
        <v>67.72</v>
      </c>
      <c r="Z1675">
        <f>'raw data Crude oil'!Z1676</f>
        <v>74.935000000000002</v>
      </c>
      <c r="AA1675">
        <f>'raw data Crude oil'!AA1676</f>
        <v>74.201999999999998</v>
      </c>
      <c r="AB1675">
        <f>'raw data Crude oil'!AB1676</f>
        <v>73.703000000000003</v>
      </c>
      <c r="AC1675">
        <f>'raw data Crude oil'!AC1676</f>
        <v>73.302999999999997</v>
      </c>
      <c r="AD1675">
        <f>'raw data Crude oil'!AD1676</f>
        <v>72.932000000000002</v>
      </c>
      <c r="AE1675">
        <f>'raw data Crude oil'!AE1676</f>
        <v>72.542000000000002</v>
      </c>
      <c r="AF1675">
        <f>'raw data Crude oil'!AF1676</f>
        <v>72.161000000000001</v>
      </c>
      <c r="AG1675">
        <f>'raw data Crude oil'!AG1676</f>
        <v>71.81</v>
      </c>
      <c r="AH1675">
        <f>'raw data Crude oil'!AH1676</f>
        <v>71.498999999999995</v>
      </c>
      <c r="AI1675">
        <f>'raw data Crude oil'!AI1676</f>
        <v>71.209000000000003</v>
      </c>
      <c r="AJ1675">
        <f>'raw data Crude oil'!AJ1676</f>
        <v>70.94</v>
      </c>
      <c r="AK1675">
        <f>'raw data Crude oil'!AK1676</f>
        <v>70.680999999999997</v>
      </c>
    </row>
    <row r="1676" spans="1:37" x14ac:dyDescent="0.3">
      <c r="A1676" s="18">
        <f>'raw data Crude oil'!A1677</f>
        <v>45104</v>
      </c>
      <c r="B1676">
        <f>'raw data Crude oil'!B1677</f>
        <v>72.260000000000005</v>
      </c>
      <c r="C1676">
        <f>'raw data Crude oil'!C1677</f>
        <v>72.510000000000005</v>
      </c>
      <c r="D1676">
        <f>'raw data Crude oil'!D1677</f>
        <v>72.61</v>
      </c>
      <c r="E1676">
        <f>'raw data Crude oil'!E1677</f>
        <v>72.569999999999993</v>
      </c>
      <c r="F1676">
        <f>'raw data Crude oil'!F1677</f>
        <v>72.47</v>
      </c>
      <c r="G1676">
        <f>'raw data Crude oil'!G1677</f>
        <v>72.33</v>
      </c>
      <c r="H1676">
        <f>'raw data Crude oil'!H1677</f>
        <v>72.180000000000007</v>
      </c>
      <c r="I1676">
        <f>'raw data Crude oil'!I1677</f>
        <v>72.03</v>
      </c>
      <c r="J1676">
        <f>'raw data Crude oil'!J1677</f>
        <v>71.86</v>
      </c>
      <c r="K1676">
        <f>'raw data Crude oil'!K1677</f>
        <v>71.7</v>
      </c>
      <c r="L1676">
        <f>'raw data Crude oil'!L1677</f>
        <v>71.55</v>
      </c>
      <c r="M1676">
        <f>'raw data Crude oil'!M1677</f>
        <v>71.38</v>
      </c>
      <c r="N1676">
        <f>'raw data Crude oil'!N1677</f>
        <v>67.7</v>
      </c>
      <c r="O1676">
        <f>'raw data Crude oil'!O1677</f>
        <v>67.900000000000006</v>
      </c>
      <c r="P1676">
        <f>'raw data Crude oil'!P1677</f>
        <v>67.989999999999995</v>
      </c>
      <c r="Q1676">
        <f>'raw data Crude oil'!Q1677</f>
        <v>68.010000000000005</v>
      </c>
      <c r="R1676">
        <f>'raw data Crude oil'!R1677</f>
        <v>67.97</v>
      </c>
      <c r="S1676">
        <f>'raw data Crude oil'!S1677</f>
        <v>67.89</v>
      </c>
      <c r="T1676">
        <f>'raw data Crude oil'!T1677</f>
        <v>67.78</v>
      </c>
      <c r="U1676">
        <f>'raw data Crude oil'!U1677</f>
        <v>67.650000000000006</v>
      </c>
      <c r="V1676">
        <f>'raw data Crude oil'!V1677</f>
        <v>67.5</v>
      </c>
      <c r="W1676">
        <f>'raw data Crude oil'!W1677</f>
        <v>67.319999999999993</v>
      </c>
      <c r="X1676">
        <f>'raw data Crude oil'!X1677</f>
        <v>67.13</v>
      </c>
      <c r="Y1676">
        <f>'raw data Crude oil'!Y1677</f>
        <v>66.92</v>
      </c>
      <c r="Z1676">
        <f>'raw data Crude oil'!Z1677</f>
        <v>74.793999999999997</v>
      </c>
      <c r="AA1676">
        <f>'raw data Crude oil'!AA1677</f>
        <v>72.59</v>
      </c>
      <c r="AB1676">
        <f>'raw data Crude oil'!AB1677</f>
        <v>72.2</v>
      </c>
      <c r="AC1676">
        <f>'raw data Crude oil'!AC1677</f>
        <v>71.894999999999996</v>
      </c>
      <c r="AD1676">
        <f>'raw data Crude oil'!AD1677</f>
        <v>71.608000000000004</v>
      </c>
      <c r="AE1676">
        <f>'raw data Crude oil'!AE1677</f>
        <v>71.326999999999998</v>
      </c>
      <c r="AF1676">
        <f>'raw data Crude oil'!AF1677</f>
        <v>71.039000000000001</v>
      </c>
      <c r="AG1676">
        <f>'raw data Crude oil'!AG1677</f>
        <v>70.805999999999997</v>
      </c>
      <c r="AH1676">
        <f>'raw data Crude oil'!AH1677</f>
        <v>70.576999999999998</v>
      </c>
      <c r="AI1676">
        <f>'raw data Crude oil'!AI1677</f>
        <v>70.423000000000002</v>
      </c>
      <c r="AJ1676">
        <f>'raw data Crude oil'!AJ1677</f>
        <v>70.242000000000004</v>
      </c>
      <c r="AK1676">
        <f>'raw data Crude oil'!AK1677</f>
        <v>70.043000000000006</v>
      </c>
    </row>
    <row r="1677" spans="1:37" x14ac:dyDescent="0.3">
      <c r="A1677" s="18">
        <f>'raw data Crude oil'!A1678</f>
        <v>45105</v>
      </c>
      <c r="B1677">
        <f>'raw data Crude oil'!B1678</f>
        <v>74.03</v>
      </c>
      <c r="C1677">
        <f>'raw data Crude oil'!C1678</f>
        <v>74.239999999999995</v>
      </c>
      <c r="D1677">
        <f>'raw data Crude oil'!D1678</f>
        <v>74.3</v>
      </c>
      <c r="E1677">
        <f>'raw data Crude oil'!E1678</f>
        <v>74.239999999999995</v>
      </c>
      <c r="F1677">
        <f>'raw data Crude oil'!F1678</f>
        <v>74.11</v>
      </c>
      <c r="G1677">
        <f>'raw data Crude oil'!G1678</f>
        <v>73.930000000000007</v>
      </c>
      <c r="H1677">
        <f>'raw data Crude oil'!H1678</f>
        <v>73.75</v>
      </c>
      <c r="I1677">
        <f>'raw data Crude oil'!I1678</f>
        <v>73.55</v>
      </c>
      <c r="J1677">
        <f>'raw data Crude oil'!J1678</f>
        <v>73.349999999999994</v>
      </c>
      <c r="K1677">
        <f>'raw data Crude oil'!K1678</f>
        <v>73.14</v>
      </c>
      <c r="L1677">
        <f>'raw data Crude oil'!L1678</f>
        <v>72.930000000000007</v>
      </c>
      <c r="M1677">
        <f>'raw data Crude oil'!M1678</f>
        <v>72.73</v>
      </c>
      <c r="N1677">
        <f>'raw data Crude oil'!N1678</f>
        <v>69.56</v>
      </c>
      <c r="O1677">
        <f>'raw data Crude oil'!O1678</f>
        <v>69.73</v>
      </c>
      <c r="P1677">
        <f>'raw data Crude oil'!P1678</f>
        <v>69.77</v>
      </c>
      <c r="Q1677">
        <f>'raw data Crude oil'!Q1678</f>
        <v>69.73</v>
      </c>
      <c r="R1677">
        <f>'raw data Crude oil'!R1678</f>
        <v>69.64</v>
      </c>
      <c r="S1677">
        <f>'raw data Crude oil'!S1678</f>
        <v>69.5</v>
      </c>
      <c r="T1677">
        <f>'raw data Crude oil'!T1678</f>
        <v>69.34</v>
      </c>
      <c r="U1677">
        <f>'raw data Crude oil'!U1678</f>
        <v>69.16</v>
      </c>
      <c r="V1677">
        <f>'raw data Crude oil'!V1678</f>
        <v>68.95</v>
      </c>
      <c r="W1677">
        <f>'raw data Crude oil'!W1678</f>
        <v>68.73</v>
      </c>
      <c r="X1677">
        <f>'raw data Crude oil'!X1678</f>
        <v>68.5</v>
      </c>
      <c r="Y1677">
        <f>'raw data Crude oil'!Y1678</f>
        <v>68.23</v>
      </c>
      <c r="Z1677">
        <f>'raw data Crude oil'!Z1678</f>
        <v>74.924000000000007</v>
      </c>
      <c r="AA1677">
        <f>'raw data Crude oil'!AA1678</f>
        <v>74.396000000000001</v>
      </c>
      <c r="AB1677">
        <f>'raw data Crude oil'!AB1678</f>
        <v>74</v>
      </c>
      <c r="AC1677">
        <f>'raw data Crude oil'!AC1678</f>
        <v>73.668999999999997</v>
      </c>
      <c r="AD1677">
        <f>'raw data Crude oil'!AD1678</f>
        <v>73.356999999999999</v>
      </c>
      <c r="AE1677">
        <f>'raw data Crude oil'!AE1678</f>
        <v>73.042000000000002</v>
      </c>
      <c r="AF1677">
        <f>'raw data Crude oil'!AF1678</f>
        <v>72.72</v>
      </c>
      <c r="AG1677">
        <f>'raw data Crude oil'!AG1678</f>
        <v>72.421000000000006</v>
      </c>
      <c r="AH1677">
        <f>'raw data Crude oil'!AH1678</f>
        <v>72.14</v>
      </c>
      <c r="AI1677">
        <f>'raw data Crude oil'!AI1678</f>
        <v>71.87</v>
      </c>
      <c r="AJ1677">
        <f>'raw data Crude oil'!AJ1678</f>
        <v>71.631</v>
      </c>
      <c r="AK1677">
        <f>'raw data Crude oil'!AK1678</f>
        <v>71.411000000000001</v>
      </c>
    </row>
    <row r="1678" spans="1:37" x14ac:dyDescent="0.3">
      <c r="A1678" s="18">
        <f>'raw data Crude oil'!A1679</f>
        <v>45106</v>
      </c>
      <c r="B1678">
        <f>'raw data Crude oil'!B1679</f>
        <v>74.34</v>
      </c>
      <c r="C1678">
        <f>'raw data Crude oil'!C1679</f>
        <v>74.510000000000005</v>
      </c>
      <c r="D1678">
        <f>'raw data Crude oil'!D1679</f>
        <v>74.48</v>
      </c>
      <c r="E1678">
        <f>'raw data Crude oil'!E1679</f>
        <v>74.36</v>
      </c>
      <c r="F1678">
        <f>'raw data Crude oil'!F1679</f>
        <v>74.2</v>
      </c>
      <c r="G1678">
        <f>'raw data Crude oil'!G1679</f>
        <v>74.010000000000005</v>
      </c>
      <c r="H1678">
        <f>'raw data Crude oil'!H1679</f>
        <v>73.8</v>
      </c>
      <c r="I1678">
        <f>'raw data Crude oil'!I1679</f>
        <v>73.59</v>
      </c>
      <c r="J1678">
        <f>'raw data Crude oil'!J1679</f>
        <v>73.38</v>
      </c>
      <c r="K1678">
        <f>'raw data Crude oil'!K1679</f>
        <v>73.17</v>
      </c>
      <c r="L1678">
        <f>'raw data Crude oil'!L1679</f>
        <v>72.959999999999994</v>
      </c>
      <c r="M1678">
        <f>'raw data Crude oil'!M1679</f>
        <v>72.739999999999995</v>
      </c>
      <c r="N1678">
        <f>'raw data Crude oil'!N1679</f>
        <v>69.86</v>
      </c>
      <c r="O1678">
        <f>'raw data Crude oil'!O1679</f>
        <v>70.02</v>
      </c>
      <c r="P1678">
        <f>'raw data Crude oil'!P1679</f>
        <v>70.040000000000006</v>
      </c>
      <c r="Q1678">
        <f>'raw data Crude oil'!Q1679</f>
        <v>69.97</v>
      </c>
      <c r="R1678">
        <f>'raw data Crude oil'!R1679</f>
        <v>69.84</v>
      </c>
      <c r="S1678">
        <f>'raw data Crude oil'!S1679</f>
        <v>69.680000000000007</v>
      </c>
      <c r="T1678">
        <f>'raw data Crude oil'!T1679</f>
        <v>69.489999999999995</v>
      </c>
      <c r="U1678">
        <f>'raw data Crude oil'!U1679</f>
        <v>69.290000000000006</v>
      </c>
      <c r="V1678">
        <f>'raw data Crude oil'!V1679</f>
        <v>69.08</v>
      </c>
      <c r="W1678">
        <f>'raw data Crude oil'!W1679</f>
        <v>68.849999999999994</v>
      </c>
      <c r="X1678">
        <f>'raw data Crude oil'!X1679</f>
        <v>68.599999999999994</v>
      </c>
      <c r="Y1678">
        <f>'raw data Crude oil'!Y1679</f>
        <v>68.319999999999993</v>
      </c>
      <c r="Z1678">
        <f>'raw data Crude oil'!Z1679</f>
        <v>74.933000000000007</v>
      </c>
      <c r="AA1678">
        <f>'raw data Crude oil'!AA1679</f>
        <v>74.590999999999994</v>
      </c>
      <c r="AB1678">
        <f>'raw data Crude oil'!AB1679</f>
        <v>74.186999999999998</v>
      </c>
      <c r="AC1678">
        <f>'raw data Crude oil'!AC1679</f>
        <v>73.783000000000001</v>
      </c>
      <c r="AD1678">
        <f>'raw data Crude oil'!AD1679</f>
        <v>73.432000000000002</v>
      </c>
      <c r="AE1678">
        <f>'raw data Crude oil'!AE1679</f>
        <v>73.090999999999994</v>
      </c>
      <c r="AF1678">
        <f>'raw data Crude oil'!AF1679</f>
        <v>72.75</v>
      </c>
      <c r="AG1678">
        <f>'raw data Crude oil'!AG1679</f>
        <v>72.444999999999993</v>
      </c>
      <c r="AH1678">
        <f>'raw data Crude oil'!AH1679</f>
        <v>72.19</v>
      </c>
      <c r="AI1678">
        <f>'raw data Crude oil'!AI1679</f>
        <v>71.94</v>
      </c>
      <c r="AJ1678">
        <f>'raw data Crude oil'!AJ1679</f>
        <v>71.709999999999994</v>
      </c>
      <c r="AK1678">
        <f>'raw data Crude oil'!AK1679</f>
        <v>71.47</v>
      </c>
    </row>
    <row r="1679" spans="1:37" x14ac:dyDescent="0.3">
      <c r="A1679" s="18">
        <f>'raw data Crude oil'!A1680</f>
        <v>45107</v>
      </c>
      <c r="B1679">
        <f>'raw data Crude oil'!B1680</f>
        <v>74.900000000000006</v>
      </c>
      <c r="C1679">
        <f>'raw data Crude oil'!C1680</f>
        <v>75.41</v>
      </c>
      <c r="D1679">
        <f>'raw data Crude oil'!D1680</f>
        <v>75.3</v>
      </c>
      <c r="E1679">
        <f>'raw data Crude oil'!E1680</f>
        <v>75.12</v>
      </c>
      <c r="F1679">
        <f>'raw data Crude oil'!F1680</f>
        <v>74.91</v>
      </c>
      <c r="G1679">
        <f>'raw data Crude oil'!G1680</f>
        <v>74.66</v>
      </c>
      <c r="H1679">
        <f>'raw data Crude oil'!H1680</f>
        <v>74.42</v>
      </c>
      <c r="I1679">
        <f>'raw data Crude oil'!I1680</f>
        <v>74.180000000000007</v>
      </c>
      <c r="J1679">
        <f>'raw data Crude oil'!J1680</f>
        <v>73.959999999999994</v>
      </c>
      <c r="K1679">
        <f>'raw data Crude oil'!K1680</f>
        <v>73.73</v>
      </c>
      <c r="L1679">
        <f>'raw data Crude oil'!L1680</f>
        <v>73.510000000000005</v>
      </c>
      <c r="M1679">
        <f>'raw data Crude oil'!M1680</f>
        <v>73.290000000000006</v>
      </c>
      <c r="N1679">
        <f>'raw data Crude oil'!N1680</f>
        <v>70.64</v>
      </c>
      <c r="O1679">
        <f>'raw data Crude oil'!O1680</f>
        <v>70.78</v>
      </c>
      <c r="P1679">
        <f>'raw data Crude oil'!P1680</f>
        <v>70.72</v>
      </c>
      <c r="Q1679">
        <f>'raw data Crude oil'!Q1680</f>
        <v>70.58</v>
      </c>
      <c r="R1679">
        <f>'raw data Crude oil'!R1680</f>
        <v>70.400000000000006</v>
      </c>
      <c r="S1679">
        <f>'raw data Crude oil'!S1680</f>
        <v>70.2</v>
      </c>
      <c r="T1679">
        <f>'raw data Crude oil'!T1680</f>
        <v>69.98</v>
      </c>
      <c r="U1679">
        <f>'raw data Crude oil'!U1680</f>
        <v>69.760000000000005</v>
      </c>
      <c r="V1679">
        <f>'raw data Crude oil'!V1680</f>
        <v>69.52</v>
      </c>
      <c r="W1679">
        <f>'raw data Crude oil'!W1680</f>
        <v>69.28</v>
      </c>
      <c r="X1679">
        <f>'raw data Crude oil'!X1680</f>
        <v>69.02</v>
      </c>
      <c r="Y1679">
        <f>'raw data Crude oil'!Y1680</f>
        <v>68.73</v>
      </c>
      <c r="Z1679">
        <f>'raw data Crude oil'!Z1680</f>
        <v>74.992000000000004</v>
      </c>
      <c r="AA1679">
        <f>'raw data Crude oil'!AA1680</f>
        <v>75.555000000000007</v>
      </c>
      <c r="AB1679">
        <f>'raw data Crude oil'!AB1680</f>
        <v>75.004000000000005</v>
      </c>
      <c r="AC1679">
        <f>'raw data Crude oil'!AC1680</f>
        <v>74.47</v>
      </c>
      <c r="AD1679">
        <f>'raw data Crude oil'!AD1680</f>
        <v>74.034000000000006</v>
      </c>
      <c r="AE1679">
        <f>'raw data Crude oil'!AE1680</f>
        <v>73.623999999999995</v>
      </c>
      <c r="AF1679">
        <f>'raw data Crude oil'!AF1680</f>
        <v>73.251000000000005</v>
      </c>
      <c r="AG1679">
        <f>'raw data Crude oil'!AG1680</f>
        <v>72.905000000000001</v>
      </c>
      <c r="AH1679">
        <f>'raw data Crude oil'!AH1680</f>
        <v>72.638999999999996</v>
      </c>
      <c r="AI1679">
        <f>'raw data Crude oil'!AI1680</f>
        <v>72.379000000000005</v>
      </c>
      <c r="AJ1679">
        <f>'raw data Crude oil'!AJ1680</f>
        <v>72.14</v>
      </c>
      <c r="AK1679">
        <f>'raw data Crude oil'!AK1680</f>
        <v>71.891000000000005</v>
      </c>
    </row>
    <row r="1680" spans="1:37" x14ac:dyDescent="0.3">
      <c r="A1680" s="18">
        <f>'raw data Crude oil'!A1681</f>
        <v>45110</v>
      </c>
      <c r="B1680">
        <f>'raw data Crude oil'!B1681</f>
        <v>74.650000000000006</v>
      </c>
      <c r="C1680">
        <f>'raw data Crude oil'!C1681</f>
        <v>74.47</v>
      </c>
      <c r="D1680">
        <f>'raw data Crude oil'!D1681</f>
        <v>74.209999999999994</v>
      </c>
      <c r="E1680">
        <f>'raw data Crude oil'!E1681</f>
        <v>73.94</v>
      </c>
      <c r="F1680">
        <f>'raw data Crude oil'!F1681</f>
        <v>73.650000000000006</v>
      </c>
      <c r="G1680">
        <f>'raw data Crude oil'!G1681</f>
        <v>73.37</v>
      </c>
      <c r="H1680">
        <f>'raw data Crude oil'!H1681</f>
        <v>73.12</v>
      </c>
      <c r="I1680">
        <f>'raw data Crude oil'!I1681</f>
        <v>72.89</v>
      </c>
      <c r="J1680">
        <f>'raw data Crude oil'!J1681</f>
        <v>72.66</v>
      </c>
      <c r="K1680">
        <f>'raw data Crude oil'!K1681</f>
        <v>72.44</v>
      </c>
      <c r="L1680">
        <f>'raw data Crude oil'!L1681</f>
        <v>72.209999999999994</v>
      </c>
      <c r="M1680">
        <f>'raw data Crude oil'!M1681</f>
        <v>71.989999999999995</v>
      </c>
      <c r="N1680">
        <f>'raw data Crude oil'!N1681</f>
        <v>69.790000000000006</v>
      </c>
      <c r="O1680">
        <f>'raw data Crude oil'!O1681</f>
        <v>69.91</v>
      </c>
      <c r="P1680">
        <f>'raw data Crude oil'!P1681</f>
        <v>69.8</v>
      </c>
      <c r="Q1680">
        <f>'raw data Crude oil'!Q1681</f>
        <v>69.62</v>
      </c>
      <c r="R1680">
        <f>'raw data Crude oil'!R1681</f>
        <v>69.41</v>
      </c>
      <c r="S1680">
        <f>'raw data Crude oil'!S1681</f>
        <v>69.180000000000007</v>
      </c>
      <c r="T1680">
        <f>'raw data Crude oil'!T1681</f>
        <v>68.94</v>
      </c>
      <c r="U1680">
        <f>'raw data Crude oil'!U1681</f>
        <v>68.69</v>
      </c>
      <c r="V1680">
        <f>'raw data Crude oil'!V1681</f>
        <v>68.44</v>
      </c>
      <c r="W1680">
        <f>'raw data Crude oil'!W1681</f>
        <v>68.19</v>
      </c>
      <c r="X1680">
        <f>'raw data Crude oil'!X1681</f>
        <v>67.91</v>
      </c>
      <c r="Y1680">
        <f>'raw data Crude oil'!Y1681</f>
        <v>67.62</v>
      </c>
      <c r="Z1680">
        <f>'raw data Crude oil'!Z1681</f>
        <v>74.992000000000004</v>
      </c>
      <c r="AA1680">
        <f>'raw data Crude oil'!AA1681</f>
        <v>74.701999999999998</v>
      </c>
      <c r="AB1680">
        <f>'raw data Crude oil'!AB1681</f>
        <v>74.227000000000004</v>
      </c>
      <c r="AC1680">
        <f>'raw data Crude oil'!AC1681</f>
        <v>73.658000000000001</v>
      </c>
      <c r="AD1680">
        <f>'raw data Crude oil'!AD1681</f>
        <v>73.171999999999997</v>
      </c>
      <c r="AE1680">
        <f>'raw data Crude oil'!AE1681</f>
        <v>72.718999999999994</v>
      </c>
      <c r="AF1680">
        <f>'raw data Crude oil'!AF1681</f>
        <v>72.305000000000007</v>
      </c>
      <c r="AG1680">
        <f>'raw data Crude oil'!AG1681</f>
        <v>71.95</v>
      </c>
      <c r="AH1680">
        <f>'raw data Crude oil'!AH1681</f>
        <v>71.668999999999997</v>
      </c>
      <c r="AI1680">
        <f>'raw data Crude oil'!AI1681</f>
        <v>71.388999999999996</v>
      </c>
      <c r="AJ1680">
        <f>'raw data Crude oil'!AJ1681</f>
        <v>71.13</v>
      </c>
      <c r="AK1680">
        <f>'raw data Crude oil'!AK1681</f>
        <v>70.86</v>
      </c>
    </row>
    <row r="1681" spans="1:37" x14ac:dyDescent="0.3">
      <c r="A1681" s="18">
        <f>'raw data Crude oil'!A1682</f>
        <v>45111</v>
      </c>
      <c r="B1681">
        <f>'raw data Crude oil'!B1682</f>
        <v>76.25</v>
      </c>
      <c r="C1681">
        <f>'raw data Crude oil'!C1682</f>
        <v>76.05</v>
      </c>
      <c r="D1681">
        <f>'raw data Crude oil'!D1682</f>
        <v>75.77</v>
      </c>
      <c r="E1681">
        <f>'raw data Crude oil'!E1682</f>
        <v>75.48</v>
      </c>
      <c r="F1681">
        <f>'raw data Crude oil'!F1682</f>
        <v>75.17</v>
      </c>
      <c r="G1681">
        <f>'raw data Crude oil'!G1682</f>
        <v>74.88</v>
      </c>
      <c r="H1681">
        <f>'raw data Crude oil'!H1682</f>
        <v>74.61</v>
      </c>
      <c r="I1681">
        <f>'raw data Crude oil'!I1682</f>
        <v>74.36</v>
      </c>
      <c r="J1681">
        <f>'raw data Crude oil'!J1682</f>
        <v>74.13</v>
      </c>
      <c r="K1681">
        <f>'raw data Crude oil'!K1682</f>
        <v>73.900000000000006</v>
      </c>
      <c r="L1681">
        <f>'raw data Crude oil'!L1682</f>
        <v>73.66</v>
      </c>
      <c r="M1681">
        <f>'raw data Crude oil'!M1682</f>
        <v>73.430000000000007</v>
      </c>
      <c r="N1681">
        <f>'raw data Crude oil'!N1682</f>
        <v>69.790000000000006</v>
      </c>
      <c r="O1681">
        <f>'raw data Crude oil'!O1682</f>
        <v>69.91</v>
      </c>
      <c r="P1681">
        <f>'raw data Crude oil'!P1682</f>
        <v>69.8</v>
      </c>
      <c r="Q1681">
        <f>'raw data Crude oil'!Q1682</f>
        <v>69.62</v>
      </c>
      <c r="R1681">
        <f>'raw data Crude oil'!R1682</f>
        <v>69.41</v>
      </c>
      <c r="S1681">
        <f>'raw data Crude oil'!S1682</f>
        <v>69.180000000000007</v>
      </c>
      <c r="T1681">
        <f>'raw data Crude oil'!T1682</f>
        <v>68.94</v>
      </c>
      <c r="U1681">
        <f>'raw data Crude oil'!U1682</f>
        <v>68.69</v>
      </c>
      <c r="V1681">
        <f>'raw data Crude oil'!V1682</f>
        <v>68.44</v>
      </c>
      <c r="W1681">
        <f>'raw data Crude oil'!W1682</f>
        <v>68.19</v>
      </c>
      <c r="X1681">
        <f>'raw data Crude oil'!X1682</f>
        <v>67.91</v>
      </c>
      <c r="Y1681">
        <f>'raw data Crude oil'!Y1682</f>
        <v>67.62</v>
      </c>
      <c r="Z1681">
        <f>'raw data Crude oil'!Z1682</f>
        <v>76.114000000000004</v>
      </c>
      <c r="AA1681">
        <f>'raw data Crude oil'!AA1682</f>
        <v>75.760000000000005</v>
      </c>
      <c r="AB1681">
        <f>'raw data Crude oil'!AB1682</f>
        <v>75.180999999999997</v>
      </c>
      <c r="AC1681">
        <f>'raw data Crude oil'!AC1682</f>
        <v>74.706000000000003</v>
      </c>
      <c r="AD1681">
        <f>'raw data Crude oil'!AD1682</f>
        <v>74.244</v>
      </c>
      <c r="AE1681">
        <f>'raw data Crude oil'!AE1682</f>
        <v>73.813000000000002</v>
      </c>
      <c r="AF1681">
        <f>'raw data Crude oil'!AF1682</f>
        <v>73.438999999999993</v>
      </c>
      <c r="AG1681">
        <f>'raw data Crude oil'!AG1682</f>
        <v>73.138999999999996</v>
      </c>
      <c r="AH1681">
        <f>'raw data Crude oil'!AH1682</f>
        <v>72.858999999999995</v>
      </c>
      <c r="AI1681">
        <f>'raw data Crude oil'!AI1682</f>
        <v>72.588999999999999</v>
      </c>
      <c r="AJ1681">
        <f>'raw data Crude oil'!AJ1682</f>
        <v>72.31</v>
      </c>
      <c r="AK1681">
        <f>'raw data Crude oil'!AK1682</f>
        <v>72.028999999999996</v>
      </c>
    </row>
    <row r="1682" spans="1:37" x14ac:dyDescent="0.3">
      <c r="A1682" s="18">
        <f>'raw data Crude oil'!A1683</f>
        <v>45112</v>
      </c>
      <c r="B1682">
        <f>'raw data Crude oil'!B1683</f>
        <v>76.650000000000006</v>
      </c>
      <c r="C1682">
        <f>'raw data Crude oil'!C1683</f>
        <v>76.41</v>
      </c>
      <c r="D1682">
        <f>'raw data Crude oil'!D1683</f>
        <v>76.09</v>
      </c>
      <c r="E1682">
        <f>'raw data Crude oil'!E1683</f>
        <v>75.78</v>
      </c>
      <c r="F1682">
        <f>'raw data Crude oil'!F1683</f>
        <v>75.459999999999994</v>
      </c>
      <c r="G1682">
        <f>'raw data Crude oil'!G1683</f>
        <v>75.16</v>
      </c>
      <c r="H1682">
        <f>'raw data Crude oil'!H1683</f>
        <v>74.88</v>
      </c>
      <c r="I1682">
        <f>'raw data Crude oil'!I1683</f>
        <v>74.63</v>
      </c>
      <c r="J1682">
        <f>'raw data Crude oil'!J1683</f>
        <v>74.39</v>
      </c>
      <c r="K1682">
        <f>'raw data Crude oil'!K1683</f>
        <v>74.150000000000006</v>
      </c>
      <c r="L1682">
        <f>'raw data Crude oil'!L1683</f>
        <v>73.91</v>
      </c>
      <c r="M1682">
        <f>'raw data Crude oil'!M1683</f>
        <v>73.680000000000007</v>
      </c>
      <c r="N1682">
        <f>'raw data Crude oil'!N1683</f>
        <v>71.790000000000006</v>
      </c>
      <c r="O1682">
        <f>'raw data Crude oil'!O1683</f>
        <v>71.88</v>
      </c>
      <c r="P1682">
        <f>'raw data Crude oil'!P1683</f>
        <v>71.72</v>
      </c>
      <c r="Q1682">
        <f>'raw data Crude oil'!Q1683</f>
        <v>71.5</v>
      </c>
      <c r="R1682">
        <f>'raw data Crude oil'!R1683</f>
        <v>71.25</v>
      </c>
      <c r="S1682">
        <f>'raw data Crude oil'!S1683</f>
        <v>70.98</v>
      </c>
      <c r="T1682">
        <f>'raw data Crude oil'!T1683</f>
        <v>70.7</v>
      </c>
      <c r="U1682">
        <f>'raw data Crude oil'!U1683</f>
        <v>70.44</v>
      </c>
      <c r="V1682">
        <f>'raw data Crude oil'!V1683</f>
        <v>70.17</v>
      </c>
      <c r="W1682">
        <f>'raw data Crude oil'!W1683</f>
        <v>69.900000000000006</v>
      </c>
      <c r="X1682">
        <f>'raw data Crude oil'!X1683</f>
        <v>69.63</v>
      </c>
      <c r="Y1682">
        <f>'raw data Crude oil'!Y1683</f>
        <v>69.33</v>
      </c>
      <c r="Z1682">
        <f>'raw data Crude oil'!Z1683</f>
        <v>76.540000000000006</v>
      </c>
      <c r="AA1682">
        <f>'raw data Crude oil'!AA1683</f>
        <v>76.301000000000002</v>
      </c>
      <c r="AB1682">
        <f>'raw data Crude oil'!AB1683</f>
        <v>75.67</v>
      </c>
      <c r="AC1682">
        <f>'raw data Crude oil'!AC1683</f>
        <v>75.14</v>
      </c>
      <c r="AD1682">
        <f>'raw data Crude oil'!AD1683</f>
        <v>74.661000000000001</v>
      </c>
      <c r="AE1682">
        <f>'raw data Crude oil'!AE1683</f>
        <v>74.201999999999998</v>
      </c>
      <c r="AF1682">
        <f>'raw data Crude oil'!AF1683</f>
        <v>73.799000000000007</v>
      </c>
      <c r="AG1682">
        <f>'raw data Crude oil'!AG1683</f>
        <v>73.498999999999995</v>
      </c>
      <c r="AH1682">
        <f>'raw data Crude oil'!AH1683</f>
        <v>73.212999999999994</v>
      </c>
      <c r="AI1682">
        <f>'raw data Crude oil'!AI1683</f>
        <v>72.918999999999997</v>
      </c>
      <c r="AJ1682">
        <f>'raw data Crude oil'!AJ1683</f>
        <v>72.650000000000006</v>
      </c>
      <c r="AK1682">
        <f>'raw data Crude oil'!AK1683</f>
        <v>72.388000000000005</v>
      </c>
    </row>
    <row r="1683" spans="1:37" x14ac:dyDescent="0.3">
      <c r="A1683" s="18">
        <f>'raw data Crude oil'!A1684</f>
        <v>45113</v>
      </c>
      <c r="B1683">
        <f>'raw data Crude oil'!B1684</f>
        <v>76.52</v>
      </c>
      <c r="C1683">
        <f>'raw data Crude oil'!C1684</f>
        <v>76.22</v>
      </c>
      <c r="D1683">
        <f>'raw data Crude oil'!D1684</f>
        <v>75.84</v>
      </c>
      <c r="E1683">
        <f>'raw data Crude oil'!E1684</f>
        <v>75.47</v>
      </c>
      <c r="F1683">
        <f>'raw data Crude oil'!F1684</f>
        <v>75.11</v>
      </c>
      <c r="G1683">
        <f>'raw data Crude oil'!G1684</f>
        <v>74.760000000000005</v>
      </c>
      <c r="H1683">
        <f>'raw data Crude oil'!H1684</f>
        <v>74.459999999999994</v>
      </c>
      <c r="I1683">
        <f>'raw data Crude oil'!I1684</f>
        <v>74.19</v>
      </c>
      <c r="J1683">
        <f>'raw data Crude oil'!J1684</f>
        <v>73.930000000000007</v>
      </c>
      <c r="K1683">
        <f>'raw data Crude oil'!K1684</f>
        <v>73.69</v>
      </c>
      <c r="L1683">
        <f>'raw data Crude oil'!L1684</f>
        <v>73.44</v>
      </c>
      <c r="M1683">
        <f>'raw data Crude oil'!M1684</f>
        <v>73.2</v>
      </c>
      <c r="N1683">
        <f>'raw data Crude oil'!N1684</f>
        <v>71.8</v>
      </c>
      <c r="O1683">
        <f>'raw data Crude oil'!O1684</f>
        <v>71.790000000000006</v>
      </c>
      <c r="P1683">
        <f>'raw data Crude oil'!P1684</f>
        <v>71.56</v>
      </c>
      <c r="Q1683">
        <f>'raw data Crude oil'!Q1684</f>
        <v>71.28</v>
      </c>
      <c r="R1683">
        <f>'raw data Crude oil'!R1684</f>
        <v>70.989999999999995</v>
      </c>
      <c r="S1683">
        <f>'raw data Crude oil'!S1684</f>
        <v>70.69</v>
      </c>
      <c r="T1683">
        <f>'raw data Crude oil'!T1684</f>
        <v>70.38</v>
      </c>
      <c r="U1683">
        <f>'raw data Crude oil'!U1684</f>
        <v>70.099999999999994</v>
      </c>
      <c r="V1683">
        <f>'raw data Crude oil'!V1684</f>
        <v>69.819999999999993</v>
      </c>
      <c r="W1683">
        <f>'raw data Crude oil'!W1684</f>
        <v>69.55</v>
      </c>
      <c r="X1683">
        <f>'raw data Crude oil'!X1684</f>
        <v>69.260000000000005</v>
      </c>
      <c r="Y1683">
        <f>'raw data Crude oil'!Y1684</f>
        <v>68.959999999999994</v>
      </c>
      <c r="Z1683">
        <f>'raw data Crude oil'!Z1684</f>
        <v>76.718000000000004</v>
      </c>
      <c r="AA1683">
        <f>'raw data Crude oil'!AA1684</f>
        <v>76.427999999999997</v>
      </c>
      <c r="AB1683">
        <f>'raw data Crude oil'!AB1684</f>
        <v>75.706999999999994</v>
      </c>
      <c r="AC1683">
        <f>'raw data Crude oil'!AC1684</f>
        <v>75.078999999999994</v>
      </c>
      <c r="AD1683">
        <f>'raw data Crude oil'!AD1684</f>
        <v>74.489000000000004</v>
      </c>
      <c r="AE1683">
        <f>'raw data Crude oil'!AE1684</f>
        <v>73.94</v>
      </c>
      <c r="AF1683">
        <f>'raw data Crude oil'!AF1684</f>
        <v>73.498000000000005</v>
      </c>
      <c r="AG1683">
        <f>'raw data Crude oil'!AG1684</f>
        <v>73.147999999999996</v>
      </c>
      <c r="AH1683">
        <f>'raw data Crude oil'!AH1684</f>
        <v>72.817999999999998</v>
      </c>
      <c r="AI1683">
        <f>'raw data Crude oil'!AI1684</f>
        <v>72.539000000000001</v>
      </c>
      <c r="AJ1683">
        <f>'raw data Crude oil'!AJ1684</f>
        <v>72.260000000000005</v>
      </c>
      <c r="AK1683">
        <f>'raw data Crude oil'!AK1684</f>
        <v>72.007999999999996</v>
      </c>
    </row>
    <row r="1684" spans="1:37" x14ac:dyDescent="0.3">
      <c r="A1684" s="18">
        <f>'raw data Crude oil'!A1685</f>
        <v>45114</v>
      </c>
      <c r="B1684">
        <f>'raw data Crude oil'!B1685</f>
        <v>78.47</v>
      </c>
      <c r="C1684">
        <f>'raw data Crude oil'!C1685</f>
        <v>78.08</v>
      </c>
      <c r="D1684">
        <f>'raw data Crude oil'!D1685</f>
        <v>77.62</v>
      </c>
      <c r="E1684">
        <f>'raw data Crude oil'!E1685</f>
        <v>77.17</v>
      </c>
      <c r="F1684">
        <f>'raw data Crude oil'!F1685</f>
        <v>76.73</v>
      </c>
      <c r="G1684">
        <f>'raw data Crude oil'!G1685</f>
        <v>76.319999999999993</v>
      </c>
      <c r="H1684">
        <f>'raw data Crude oil'!H1685</f>
        <v>75.959999999999994</v>
      </c>
      <c r="I1684">
        <f>'raw data Crude oil'!I1685</f>
        <v>75.64</v>
      </c>
      <c r="J1684">
        <f>'raw data Crude oil'!J1685</f>
        <v>75.34</v>
      </c>
      <c r="K1684">
        <f>'raw data Crude oil'!K1685</f>
        <v>75.05</v>
      </c>
      <c r="L1684">
        <f>'raw data Crude oil'!L1685</f>
        <v>74.760000000000005</v>
      </c>
      <c r="M1684">
        <f>'raw data Crude oil'!M1685</f>
        <v>74.47</v>
      </c>
      <c r="N1684">
        <f>'raw data Crude oil'!N1685</f>
        <v>73.86</v>
      </c>
      <c r="O1684">
        <f>'raw data Crude oil'!O1685</f>
        <v>73.77</v>
      </c>
      <c r="P1684">
        <f>'raw data Crude oil'!P1685</f>
        <v>73.44</v>
      </c>
      <c r="Q1684">
        <f>'raw data Crude oil'!Q1685</f>
        <v>73.05</v>
      </c>
      <c r="R1684">
        <f>'raw data Crude oil'!R1685</f>
        <v>72.66</v>
      </c>
      <c r="S1684">
        <f>'raw data Crude oil'!S1685</f>
        <v>72.260000000000005</v>
      </c>
      <c r="T1684">
        <f>'raw data Crude oil'!T1685</f>
        <v>71.87</v>
      </c>
      <c r="U1684">
        <f>'raw data Crude oil'!U1685</f>
        <v>71.5</v>
      </c>
      <c r="V1684">
        <f>'raw data Crude oil'!V1685</f>
        <v>71.150000000000006</v>
      </c>
      <c r="W1684">
        <f>'raw data Crude oil'!W1685</f>
        <v>70.8</v>
      </c>
      <c r="X1684">
        <f>'raw data Crude oil'!X1685</f>
        <v>70.459999999999994</v>
      </c>
      <c r="Y1684">
        <f>'raw data Crude oil'!Y1685</f>
        <v>70.099999999999994</v>
      </c>
      <c r="Z1684">
        <f>'raw data Crude oil'!Z1685</f>
        <v>78.293000000000006</v>
      </c>
      <c r="AA1684">
        <f>'raw data Crude oil'!AA1685</f>
        <v>78.248999999999995</v>
      </c>
      <c r="AB1684">
        <f>'raw data Crude oil'!AB1685</f>
        <v>77.489999999999995</v>
      </c>
      <c r="AC1684">
        <f>'raw data Crude oil'!AC1685</f>
        <v>76.819999999999993</v>
      </c>
      <c r="AD1684">
        <f>'raw data Crude oil'!AD1685</f>
        <v>76.16</v>
      </c>
      <c r="AE1684">
        <f>'raw data Crude oil'!AE1685</f>
        <v>75.566000000000003</v>
      </c>
      <c r="AF1684">
        <f>'raw data Crude oil'!AF1685</f>
        <v>75.069999999999993</v>
      </c>
      <c r="AG1684">
        <f>'raw data Crude oil'!AG1685</f>
        <v>74.661000000000001</v>
      </c>
      <c r="AH1684">
        <f>'raw data Crude oil'!AH1685</f>
        <v>74.266000000000005</v>
      </c>
      <c r="AI1684">
        <f>'raw data Crude oil'!AI1685</f>
        <v>73.947000000000003</v>
      </c>
      <c r="AJ1684">
        <f>'raw data Crude oil'!AJ1685</f>
        <v>73.626999999999995</v>
      </c>
      <c r="AK1684">
        <f>'raw data Crude oil'!AK1685</f>
        <v>73.325999999999993</v>
      </c>
    </row>
    <row r="1685" spans="1:37" x14ac:dyDescent="0.3">
      <c r="A1685" s="18">
        <f>'raw data Crude oil'!A1686</f>
        <v>45117</v>
      </c>
      <c r="B1685">
        <f>'raw data Crude oil'!B1686</f>
        <v>77.69</v>
      </c>
      <c r="C1685">
        <f>'raw data Crude oil'!C1686</f>
        <v>77.400000000000006</v>
      </c>
      <c r="D1685">
        <f>'raw data Crude oil'!D1686</f>
        <v>77.010000000000005</v>
      </c>
      <c r="E1685">
        <f>'raw data Crude oil'!E1686</f>
        <v>76.61</v>
      </c>
      <c r="F1685">
        <f>'raw data Crude oil'!F1686</f>
        <v>76.22</v>
      </c>
      <c r="G1685">
        <f>'raw data Crude oil'!G1686</f>
        <v>75.86</v>
      </c>
      <c r="H1685">
        <f>'raw data Crude oil'!H1686</f>
        <v>75.540000000000006</v>
      </c>
      <c r="I1685">
        <f>'raw data Crude oil'!I1686</f>
        <v>75.260000000000005</v>
      </c>
      <c r="J1685">
        <f>'raw data Crude oil'!J1686</f>
        <v>75</v>
      </c>
      <c r="K1685">
        <f>'raw data Crude oil'!K1686</f>
        <v>74.75</v>
      </c>
      <c r="L1685">
        <f>'raw data Crude oil'!L1686</f>
        <v>74.5</v>
      </c>
      <c r="M1685">
        <f>'raw data Crude oil'!M1686</f>
        <v>74.239999999999995</v>
      </c>
      <c r="N1685">
        <f>'raw data Crude oil'!N1686</f>
        <v>72.989999999999995</v>
      </c>
      <c r="O1685">
        <f>'raw data Crude oil'!O1686</f>
        <v>72.95</v>
      </c>
      <c r="P1685">
        <f>'raw data Crude oil'!P1686</f>
        <v>72.7</v>
      </c>
      <c r="Q1685">
        <f>'raw data Crude oil'!Q1686</f>
        <v>72.39</v>
      </c>
      <c r="R1685">
        <f>'raw data Crude oil'!R1686</f>
        <v>72.069999999999993</v>
      </c>
      <c r="S1685">
        <f>'raw data Crude oil'!S1686</f>
        <v>71.760000000000005</v>
      </c>
      <c r="T1685">
        <f>'raw data Crude oil'!T1686</f>
        <v>71.45</v>
      </c>
      <c r="U1685">
        <f>'raw data Crude oil'!U1686</f>
        <v>71.150000000000006</v>
      </c>
      <c r="V1685">
        <f>'raw data Crude oil'!V1686</f>
        <v>70.849999999999994</v>
      </c>
      <c r="W1685">
        <f>'raw data Crude oil'!W1686</f>
        <v>70.56</v>
      </c>
      <c r="X1685">
        <f>'raw data Crude oil'!X1686</f>
        <v>70.27</v>
      </c>
      <c r="Y1685">
        <f>'raw data Crude oil'!Y1686</f>
        <v>69.95</v>
      </c>
      <c r="Z1685">
        <f>'raw data Crude oil'!Z1686</f>
        <v>77.716999999999999</v>
      </c>
      <c r="AA1685">
        <f>'raw data Crude oil'!AA1686</f>
        <v>77.488</v>
      </c>
      <c r="AB1685">
        <f>'raw data Crude oil'!AB1686</f>
        <v>76.790999999999997</v>
      </c>
      <c r="AC1685">
        <f>'raw data Crude oil'!AC1686</f>
        <v>76.201999999999998</v>
      </c>
      <c r="AD1685">
        <f>'raw data Crude oil'!AD1686</f>
        <v>75.619</v>
      </c>
      <c r="AE1685">
        <f>'raw data Crude oil'!AE1686</f>
        <v>75.067999999999998</v>
      </c>
      <c r="AF1685">
        <f>'raw data Crude oil'!AF1686</f>
        <v>74.606999999999999</v>
      </c>
      <c r="AG1685">
        <f>'raw data Crude oil'!AG1686</f>
        <v>74.253</v>
      </c>
      <c r="AH1685">
        <f>'raw data Crude oil'!AH1686</f>
        <v>73.908000000000001</v>
      </c>
      <c r="AI1685">
        <f>'raw data Crude oil'!AI1686</f>
        <v>73.629000000000005</v>
      </c>
      <c r="AJ1685">
        <f>'raw data Crude oil'!AJ1686</f>
        <v>73.338999999999999</v>
      </c>
      <c r="AK1685">
        <f>'raw data Crude oil'!AK1686</f>
        <v>73.067999999999998</v>
      </c>
    </row>
    <row r="1686" spans="1:37" x14ac:dyDescent="0.3">
      <c r="A1686" s="18">
        <f>'raw data Crude oil'!A1687</f>
        <v>45118</v>
      </c>
      <c r="B1686">
        <f>'raw data Crude oil'!B1687</f>
        <v>79.400000000000006</v>
      </c>
      <c r="C1686">
        <f>'raw data Crude oil'!C1687</f>
        <v>79.069999999999993</v>
      </c>
      <c r="D1686">
        <f>'raw data Crude oil'!D1687</f>
        <v>78.650000000000006</v>
      </c>
      <c r="E1686">
        <f>'raw data Crude oil'!E1687</f>
        <v>78.23</v>
      </c>
      <c r="F1686">
        <f>'raw data Crude oil'!F1687</f>
        <v>77.819999999999993</v>
      </c>
      <c r="G1686">
        <f>'raw data Crude oil'!G1687</f>
        <v>77.42</v>
      </c>
      <c r="H1686">
        <f>'raw data Crude oil'!H1687</f>
        <v>77.06</v>
      </c>
      <c r="I1686">
        <f>'raw data Crude oil'!I1687</f>
        <v>76.739999999999995</v>
      </c>
      <c r="J1686">
        <f>'raw data Crude oil'!J1687</f>
        <v>76.430000000000007</v>
      </c>
      <c r="K1686">
        <f>'raw data Crude oil'!K1687</f>
        <v>76.13</v>
      </c>
      <c r="L1686">
        <f>'raw data Crude oil'!L1687</f>
        <v>75.84</v>
      </c>
      <c r="M1686">
        <f>'raw data Crude oil'!M1687</f>
        <v>75.56</v>
      </c>
      <c r="N1686">
        <f>'raw data Crude oil'!N1687</f>
        <v>74.83</v>
      </c>
      <c r="O1686">
        <f>'raw data Crude oil'!O1687</f>
        <v>74.709999999999994</v>
      </c>
      <c r="P1686">
        <f>'raw data Crude oil'!P1687</f>
        <v>74.44</v>
      </c>
      <c r="Q1686">
        <f>'raw data Crude oil'!Q1687</f>
        <v>74.11</v>
      </c>
      <c r="R1686">
        <f>'raw data Crude oil'!R1687</f>
        <v>73.760000000000005</v>
      </c>
      <c r="S1686">
        <f>'raw data Crude oil'!S1687</f>
        <v>73.41</v>
      </c>
      <c r="T1686">
        <f>'raw data Crude oil'!T1687</f>
        <v>73.05</v>
      </c>
      <c r="U1686">
        <f>'raw data Crude oil'!U1687</f>
        <v>72.7</v>
      </c>
      <c r="V1686">
        <f>'raw data Crude oil'!V1687</f>
        <v>72.36</v>
      </c>
      <c r="W1686">
        <f>'raw data Crude oil'!W1687</f>
        <v>72.02</v>
      </c>
      <c r="X1686">
        <f>'raw data Crude oil'!X1687</f>
        <v>71.7</v>
      </c>
      <c r="Y1686">
        <f>'raw data Crude oil'!Y1687</f>
        <v>71.34</v>
      </c>
      <c r="Z1686">
        <f>'raw data Crude oil'!Z1687</f>
        <v>78.736999999999995</v>
      </c>
      <c r="AA1686">
        <f>'raw data Crude oil'!AA1687</f>
        <v>79.073999999999998</v>
      </c>
      <c r="AB1686">
        <f>'raw data Crude oil'!AB1687</f>
        <v>78.384</v>
      </c>
      <c r="AC1686">
        <f>'raw data Crude oil'!AC1687</f>
        <v>77.775999999999996</v>
      </c>
      <c r="AD1686">
        <f>'raw data Crude oil'!AD1687</f>
        <v>77.186999999999998</v>
      </c>
      <c r="AE1686">
        <f>'raw data Crude oil'!AE1687</f>
        <v>76.608999999999995</v>
      </c>
      <c r="AF1686">
        <f>'raw data Crude oil'!AF1687</f>
        <v>76.114999999999995</v>
      </c>
      <c r="AG1686">
        <f>'raw data Crude oil'!AG1687</f>
        <v>75.724999999999994</v>
      </c>
      <c r="AH1686">
        <f>'raw data Crude oil'!AH1687</f>
        <v>75.355000000000004</v>
      </c>
      <c r="AI1686">
        <f>'raw data Crude oil'!AI1687</f>
        <v>75.027000000000001</v>
      </c>
      <c r="AJ1686">
        <f>'raw data Crude oil'!AJ1687</f>
        <v>74.688000000000002</v>
      </c>
      <c r="AK1686">
        <f>'raw data Crude oil'!AK1687</f>
        <v>74.335999999999999</v>
      </c>
    </row>
    <row r="1687" spans="1:37" x14ac:dyDescent="0.3">
      <c r="A1687" s="18">
        <f>'raw data Crude oil'!A1688</f>
        <v>45119</v>
      </c>
      <c r="B1687">
        <f>'raw data Crude oil'!B1688</f>
        <v>80.11</v>
      </c>
      <c r="C1687">
        <f>'raw data Crude oil'!C1688</f>
        <v>79.790000000000006</v>
      </c>
      <c r="D1687">
        <f>'raw data Crude oil'!D1688</f>
        <v>79.39</v>
      </c>
      <c r="E1687">
        <f>'raw data Crude oil'!E1688</f>
        <v>78.98</v>
      </c>
      <c r="F1687">
        <f>'raw data Crude oil'!F1688</f>
        <v>78.569999999999993</v>
      </c>
      <c r="G1687">
        <f>'raw data Crude oil'!G1688</f>
        <v>78.16</v>
      </c>
      <c r="H1687">
        <f>'raw data Crude oil'!H1688</f>
        <v>77.78</v>
      </c>
      <c r="I1687">
        <f>'raw data Crude oil'!I1688</f>
        <v>77.44</v>
      </c>
      <c r="J1687">
        <f>'raw data Crude oil'!J1688</f>
        <v>77.12</v>
      </c>
      <c r="K1687">
        <f>'raw data Crude oil'!K1688</f>
        <v>76.8</v>
      </c>
      <c r="L1687">
        <f>'raw data Crude oil'!L1688</f>
        <v>76.48</v>
      </c>
      <c r="M1687">
        <f>'raw data Crude oil'!M1688</f>
        <v>76.17</v>
      </c>
      <c r="N1687">
        <f>'raw data Crude oil'!N1688</f>
        <v>75.75</v>
      </c>
      <c r="O1687">
        <f>'raw data Crude oil'!O1688</f>
        <v>75.540000000000006</v>
      </c>
      <c r="P1687">
        <f>'raw data Crude oil'!P1688</f>
        <v>75.25</v>
      </c>
      <c r="Q1687">
        <f>'raw data Crude oil'!Q1688</f>
        <v>74.91</v>
      </c>
      <c r="R1687">
        <f>'raw data Crude oil'!R1688</f>
        <v>74.540000000000006</v>
      </c>
      <c r="S1687">
        <f>'raw data Crude oil'!S1688</f>
        <v>74.16</v>
      </c>
      <c r="T1687">
        <f>'raw data Crude oil'!T1688</f>
        <v>73.78</v>
      </c>
      <c r="U1687">
        <f>'raw data Crude oil'!U1688</f>
        <v>73.400000000000006</v>
      </c>
      <c r="V1687">
        <f>'raw data Crude oil'!V1688</f>
        <v>73.03</v>
      </c>
      <c r="W1687">
        <f>'raw data Crude oil'!W1688</f>
        <v>72.67</v>
      </c>
      <c r="X1687">
        <f>'raw data Crude oil'!X1688</f>
        <v>72.3</v>
      </c>
      <c r="Y1687">
        <f>'raw data Crude oil'!Y1688</f>
        <v>71.92</v>
      </c>
      <c r="Z1687">
        <f>'raw data Crude oil'!Z1688</f>
        <v>79.105000000000004</v>
      </c>
      <c r="AA1687">
        <f>'raw data Crude oil'!AA1688</f>
        <v>79.58</v>
      </c>
      <c r="AB1687">
        <f>'raw data Crude oil'!AB1688</f>
        <v>78.86</v>
      </c>
      <c r="AC1687">
        <f>'raw data Crude oil'!AC1688</f>
        <v>78.245999999999995</v>
      </c>
      <c r="AD1687">
        <f>'raw data Crude oil'!AD1688</f>
        <v>77.659000000000006</v>
      </c>
      <c r="AE1687">
        <f>'raw data Crude oil'!AE1688</f>
        <v>77.096999999999994</v>
      </c>
      <c r="AF1687">
        <f>'raw data Crude oil'!AF1688</f>
        <v>76.62</v>
      </c>
      <c r="AG1687">
        <f>'raw data Crude oil'!AG1688</f>
        <v>76.23</v>
      </c>
      <c r="AH1687">
        <f>'raw data Crude oil'!AH1688</f>
        <v>75.888999999999996</v>
      </c>
      <c r="AI1687">
        <f>'raw data Crude oil'!AI1688</f>
        <v>75.525000000000006</v>
      </c>
      <c r="AJ1687">
        <f>'raw data Crude oil'!AJ1688</f>
        <v>75.167000000000002</v>
      </c>
      <c r="AK1687">
        <f>'raw data Crude oil'!AK1688</f>
        <v>74.825000000000003</v>
      </c>
    </row>
    <row r="1688" spans="1:37" x14ac:dyDescent="0.3">
      <c r="A1688" s="18">
        <f>'raw data Crude oil'!A1689</f>
        <v>45120</v>
      </c>
      <c r="B1688">
        <f>'raw data Crude oil'!B1689</f>
        <v>81.36</v>
      </c>
      <c r="C1688">
        <f>'raw data Crude oil'!C1689</f>
        <v>80.989999999999995</v>
      </c>
      <c r="D1688">
        <f>'raw data Crude oil'!D1689</f>
        <v>80.55</v>
      </c>
      <c r="E1688">
        <f>'raw data Crude oil'!E1689</f>
        <v>80.099999999999994</v>
      </c>
      <c r="F1688">
        <f>'raw data Crude oil'!F1689</f>
        <v>79.650000000000006</v>
      </c>
      <c r="G1688">
        <f>'raw data Crude oil'!G1689</f>
        <v>79.209999999999994</v>
      </c>
      <c r="H1688">
        <f>'raw data Crude oil'!H1689</f>
        <v>78.790000000000006</v>
      </c>
      <c r="I1688">
        <f>'raw data Crude oil'!I1689</f>
        <v>78.42</v>
      </c>
      <c r="J1688">
        <f>'raw data Crude oil'!J1689</f>
        <v>78.069999999999993</v>
      </c>
      <c r="K1688">
        <f>'raw data Crude oil'!K1689</f>
        <v>77.72</v>
      </c>
      <c r="L1688">
        <f>'raw data Crude oil'!L1689</f>
        <v>77.39</v>
      </c>
      <c r="M1688">
        <f>'raw data Crude oil'!M1689</f>
        <v>77.06</v>
      </c>
      <c r="N1688">
        <f>'raw data Crude oil'!N1689</f>
        <v>76.89</v>
      </c>
      <c r="O1688">
        <f>'raw data Crude oil'!O1689</f>
        <v>76.760000000000005</v>
      </c>
      <c r="P1688">
        <f>'raw data Crude oil'!P1689</f>
        <v>76.47</v>
      </c>
      <c r="Q1688">
        <f>'raw data Crude oil'!Q1689</f>
        <v>76.13</v>
      </c>
      <c r="R1688">
        <f>'raw data Crude oil'!R1689</f>
        <v>75.739999999999995</v>
      </c>
      <c r="S1688">
        <f>'raw data Crude oil'!S1689</f>
        <v>75.34</v>
      </c>
      <c r="T1688">
        <f>'raw data Crude oil'!T1689</f>
        <v>74.930000000000007</v>
      </c>
      <c r="U1688">
        <f>'raw data Crude oil'!U1689</f>
        <v>74.510000000000005</v>
      </c>
      <c r="V1688">
        <f>'raw data Crude oil'!V1689</f>
        <v>74.09</v>
      </c>
      <c r="W1688">
        <f>'raw data Crude oil'!W1689</f>
        <v>73.709999999999994</v>
      </c>
      <c r="X1688">
        <f>'raw data Crude oil'!X1689</f>
        <v>73.319999999999993</v>
      </c>
      <c r="Y1688">
        <f>'raw data Crude oil'!Y1689</f>
        <v>72.92</v>
      </c>
      <c r="Z1688">
        <f>'raw data Crude oil'!Z1689</f>
        <v>80.015000000000001</v>
      </c>
      <c r="AA1688">
        <f>'raw data Crude oil'!AA1689</f>
        <v>80.932000000000002</v>
      </c>
      <c r="AB1688">
        <f>'raw data Crude oil'!AB1689</f>
        <v>80.153000000000006</v>
      </c>
      <c r="AC1688">
        <f>'raw data Crude oil'!AC1689</f>
        <v>79.483999999999995</v>
      </c>
      <c r="AD1688">
        <f>'raw data Crude oil'!AD1689</f>
        <v>78.855999999999995</v>
      </c>
      <c r="AE1688">
        <f>'raw data Crude oil'!AE1689</f>
        <v>78.254000000000005</v>
      </c>
      <c r="AF1688">
        <f>'raw data Crude oil'!AF1689</f>
        <v>77.739999999999995</v>
      </c>
      <c r="AG1688">
        <f>'raw data Crude oil'!AG1689</f>
        <v>77.293000000000006</v>
      </c>
      <c r="AH1688">
        <f>'raw data Crude oil'!AH1689</f>
        <v>76.882999999999996</v>
      </c>
      <c r="AI1688">
        <f>'raw data Crude oil'!AI1689</f>
        <v>76.444999999999993</v>
      </c>
      <c r="AJ1688">
        <f>'raw data Crude oil'!AJ1689</f>
        <v>76.085999999999999</v>
      </c>
      <c r="AK1688">
        <f>'raw data Crude oil'!AK1689</f>
        <v>75.733999999999995</v>
      </c>
    </row>
    <row r="1689" spans="1:37" x14ac:dyDescent="0.3">
      <c r="A1689" s="18">
        <f>'raw data Crude oil'!A1690</f>
        <v>45121</v>
      </c>
      <c r="B1689">
        <f>'raw data Crude oil'!B1690</f>
        <v>79.87</v>
      </c>
      <c r="C1689">
        <f>'raw data Crude oil'!C1690</f>
        <v>79.599999999999994</v>
      </c>
      <c r="D1689">
        <f>'raw data Crude oil'!D1690</f>
        <v>79.209999999999994</v>
      </c>
      <c r="E1689">
        <f>'raw data Crude oil'!E1690</f>
        <v>78.81</v>
      </c>
      <c r="F1689">
        <f>'raw data Crude oil'!F1690</f>
        <v>78.400000000000006</v>
      </c>
      <c r="G1689">
        <f>'raw data Crude oil'!G1690</f>
        <v>78</v>
      </c>
      <c r="H1689">
        <f>'raw data Crude oil'!H1690</f>
        <v>77.61</v>
      </c>
      <c r="I1689">
        <f>'raw data Crude oil'!I1690</f>
        <v>77.25</v>
      </c>
      <c r="J1689">
        <f>'raw data Crude oil'!J1690</f>
        <v>76.92</v>
      </c>
      <c r="K1689">
        <f>'raw data Crude oil'!K1690</f>
        <v>76.599999999999994</v>
      </c>
      <c r="L1689">
        <f>'raw data Crude oil'!L1690</f>
        <v>76.28</v>
      </c>
      <c r="M1689">
        <f>'raw data Crude oil'!M1690</f>
        <v>75.97</v>
      </c>
      <c r="N1689">
        <f>'raw data Crude oil'!N1690</f>
        <v>75.42</v>
      </c>
      <c r="O1689">
        <f>'raw data Crude oil'!O1690</f>
        <v>75.319999999999993</v>
      </c>
      <c r="P1689">
        <f>'raw data Crude oil'!P1690</f>
        <v>75.05</v>
      </c>
      <c r="Q1689">
        <f>'raw data Crude oil'!Q1690</f>
        <v>74.75</v>
      </c>
      <c r="R1689">
        <f>'raw data Crude oil'!R1690</f>
        <v>74.42</v>
      </c>
      <c r="S1689">
        <f>'raw data Crude oil'!S1690</f>
        <v>74.06</v>
      </c>
      <c r="T1689">
        <f>'raw data Crude oil'!T1690</f>
        <v>73.680000000000007</v>
      </c>
      <c r="U1689">
        <f>'raw data Crude oil'!U1690</f>
        <v>73.3</v>
      </c>
      <c r="V1689">
        <f>'raw data Crude oil'!V1690</f>
        <v>72.91</v>
      </c>
      <c r="W1689">
        <f>'raw data Crude oil'!W1690</f>
        <v>72.540000000000006</v>
      </c>
      <c r="X1689">
        <f>'raw data Crude oil'!X1690</f>
        <v>72.16</v>
      </c>
      <c r="Y1689">
        <f>'raw data Crude oil'!Y1690</f>
        <v>71.77</v>
      </c>
      <c r="Z1689">
        <f>'raw data Crude oil'!Z1690</f>
        <v>79.367999999999995</v>
      </c>
      <c r="AA1689">
        <f>'raw data Crude oil'!AA1690</f>
        <v>79.671999999999997</v>
      </c>
      <c r="AB1689">
        <f>'raw data Crude oil'!AB1690</f>
        <v>78.888000000000005</v>
      </c>
      <c r="AC1689">
        <f>'raw data Crude oil'!AC1690</f>
        <v>78.210999999999999</v>
      </c>
      <c r="AD1689">
        <f>'raw data Crude oil'!AD1690</f>
        <v>77.599999999999994</v>
      </c>
      <c r="AE1689">
        <f>'raw data Crude oil'!AE1690</f>
        <v>77.028999999999996</v>
      </c>
      <c r="AF1689">
        <f>'raw data Crude oil'!AF1690</f>
        <v>76.534000000000006</v>
      </c>
      <c r="AG1689">
        <f>'raw data Crude oil'!AG1690</f>
        <v>76.114000000000004</v>
      </c>
      <c r="AH1689">
        <f>'raw data Crude oil'!AH1690</f>
        <v>75.733999999999995</v>
      </c>
      <c r="AI1689">
        <f>'raw data Crude oil'!AI1690</f>
        <v>75.375</v>
      </c>
      <c r="AJ1689">
        <f>'raw data Crude oil'!AJ1690</f>
        <v>75.007000000000005</v>
      </c>
      <c r="AK1689">
        <f>'raw data Crude oil'!AK1690</f>
        <v>74.655000000000001</v>
      </c>
    </row>
    <row r="1690" spans="1:37" x14ac:dyDescent="0.3">
      <c r="A1690" s="18">
        <f>'raw data Crude oil'!A1691</f>
        <v>45124</v>
      </c>
      <c r="B1690">
        <f>'raw data Crude oil'!B1691</f>
        <v>78.5</v>
      </c>
      <c r="C1690">
        <f>'raw data Crude oil'!C1691</f>
        <v>78.38</v>
      </c>
      <c r="D1690">
        <f>'raw data Crude oil'!D1691</f>
        <v>78.099999999999994</v>
      </c>
      <c r="E1690">
        <f>'raw data Crude oil'!E1691</f>
        <v>77.790000000000006</v>
      </c>
      <c r="F1690">
        <f>'raw data Crude oil'!F1691</f>
        <v>77.44</v>
      </c>
      <c r="G1690">
        <f>'raw data Crude oil'!G1691</f>
        <v>77.09</v>
      </c>
      <c r="H1690">
        <f>'raw data Crude oil'!H1691</f>
        <v>76.760000000000005</v>
      </c>
      <c r="I1690">
        <f>'raw data Crude oil'!I1691</f>
        <v>76.45</v>
      </c>
      <c r="J1690">
        <f>'raw data Crude oil'!J1691</f>
        <v>76.16</v>
      </c>
      <c r="K1690">
        <f>'raw data Crude oil'!K1691</f>
        <v>75.88</v>
      </c>
      <c r="L1690">
        <f>'raw data Crude oil'!L1691</f>
        <v>75.599999999999994</v>
      </c>
      <c r="M1690">
        <f>'raw data Crude oil'!M1691</f>
        <v>75.319999999999993</v>
      </c>
      <c r="N1690">
        <f>'raw data Crude oil'!N1691</f>
        <v>74.150000000000006</v>
      </c>
      <c r="O1690">
        <f>'raw data Crude oil'!O1691</f>
        <v>74.08</v>
      </c>
      <c r="P1690">
        <f>'raw data Crude oil'!P1691</f>
        <v>73.89</v>
      </c>
      <c r="Q1690">
        <f>'raw data Crude oil'!Q1691</f>
        <v>73.66</v>
      </c>
      <c r="R1690">
        <f>'raw data Crude oil'!R1691</f>
        <v>73.41</v>
      </c>
      <c r="S1690">
        <f>'raw data Crude oil'!S1691</f>
        <v>73.11</v>
      </c>
      <c r="T1690">
        <f>'raw data Crude oil'!T1691</f>
        <v>72.790000000000006</v>
      </c>
      <c r="U1690">
        <f>'raw data Crude oil'!U1691</f>
        <v>72.45</v>
      </c>
      <c r="V1690">
        <f>'raw data Crude oil'!V1691</f>
        <v>72.11</v>
      </c>
      <c r="W1690">
        <f>'raw data Crude oil'!W1691</f>
        <v>71.77</v>
      </c>
      <c r="X1690">
        <f>'raw data Crude oil'!X1691</f>
        <v>71.44</v>
      </c>
      <c r="Y1690">
        <f>'raw data Crude oil'!Y1691</f>
        <v>71.09</v>
      </c>
      <c r="Z1690">
        <f>'raw data Crude oil'!Z1691</f>
        <v>78.756</v>
      </c>
      <c r="AA1690">
        <f>'raw data Crude oil'!AA1691</f>
        <v>78.563000000000002</v>
      </c>
      <c r="AB1690">
        <f>'raw data Crude oil'!AB1691</f>
        <v>77.834000000000003</v>
      </c>
      <c r="AC1690">
        <f>'raw data Crude oil'!AC1691</f>
        <v>77.222999999999999</v>
      </c>
      <c r="AD1690">
        <f>'raw data Crude oil'!AD1691</f>
        <v>76.671999999999997</v>
      </c>
      <c r="AE1690">
        <f>'raw data Crude oil'!AE1691</f>
        <v>76.150999999999996</v>
      </c>
      <c r="AF1690">
        <f>'raw data Crude oil'!AF1691</f>
        <v>75.7</v>
      </c>
      <c r="AG1690">
        <f>'raw data Crude oil'!AG1691</f>
        <v>75.338999999999999</v>
      </c>
      <c r="AH1690">
        <f>'raw data Crude oil'!AH1691</f>
        <v>74.988</v>
      </c>
      <c r="AI1690">
        <f>'raw data Crude oil'!AI1691</f>
        <v>74.656999999999996</v>
      </c>
      <c r="AJ1690">
        <f>'raw data Crude oil'!AJ1691</f>
        <v>74.337999999999994</v>
      </c>
      <c r="AK1690">
        <f>'raw data Crude oil'!AK1691</f>
        <v>74.016999999999996</v>
      </c>
    </row>
    <row r="1691" spans="1:37" x14ac:dyDescent="0.3">
      <c r="A1691" s="18">
        <f>'raw data Crude oil'!A1692</f>
        <v>45125</v>
      </c>
      <c r="B1691">
        <f>'raw data Crude oil'!B1692</f>
        <v>79.63</v>
      </c>
      <c r="C1691">
        <f>'raw data Crude oil'!C1692</f>
        <v>79.5</v>
      </c>
      <c r="D1691">
        <f>'raw data Crude oil'!D1692</f>
        <v>79.23</v>
      </c>
      <c r="E1691">
        <f>'raw data Crude oil'!E1692</f>
        <v>78.92</v>
      </c>
      <c r="F1691">
        <f>'raw data Crude oil'!F1692</f>
        <v>78.569999999999993</v>
      </c>
      <c r="G1691">
        <f>'raw data Crude oil'!G1692</f>
        <v>78.209999999999994</v>
      </c>
      <c r="H1691">
        <f>'raw data Crude oil'!H1692</f>
        <v>77.849999999999994</v>
      </c>
      <c r="I1691">
        <f>'raw data Crude oil'!I1692</f>
        <v>77.52</v>
      </c>
      <c r="J1691">
        <f>'raw data Crude oil'!J1692</f>
        <v>77.209999999999994</v>
      </c>
      <c r="K1691">
        <f>'raw data Crude oil'!K1692</f>
        <v>76.91</v>
      </c>
      <c r="L1691">
        <f>'raw data Crude oil'!L1692</f>
        <v>76.61</v>
      </c>
      <c r="M1691">
        <f>'raw data Crude oil'!M1692</f>
        <v>76.31</v>
      </c>
      <c r="N1691">
        <f>'raw data Crude oil'!N1692</f>
        <v>75.75</v>
      </c>
      <c r="O1691">
        <f>'raw data Crude oil'!O1692</f>
        <v>75.66</v>
      </c>
      <c r="P1691">
        <f>'raw data Crude oil'!P1692</f>
        <v>75.42</v>
      </c>
      <c r="Q1691">
        <f>'raw data Crude oil'!Q1692</f>
        <v>75.14</v>
      </c>
      <c r="R1691">
        <f>'raw data Crude oil'!R1692</f>
        <v>74.83</v>
      </c>
      <c r="S1691">
        <f>'raw data Crude oil'!S1692</f>
        <v>74.489999999999995</v>
      </c>
      <c r="T1691">
        <f>'raw data Crude oil'!T1692</f>
        <v>74.13</v>
      </c>
      <c r="U1691">
        <f>'raw data Crude oil'!U1692</f>
        <v>73.77</v>
      </c>
      <c r="V1691">
        <f>'raw data Crude oil'!V1692</f>
        <v>73.400000000000006</v>
      </c>
      <c r="W1691">
        <f>'raw data Crude oil'!W1692</f>
        <v>73.040000000000006</v>
      </c>
      <c r="X1691">
        <f>'raw data Crude oil'!X1692</f>
        <v>72.69</v>
      </c>
      <c r="Y1691">
        <f>'raw data Crude oil'!Y1692</f>
        <v>72.319999999999993</v>
      </c>
      <c r="Z1691">
        <f>'raw data Crude oil'!Z1692</f>
        <v>79.311999999999998</v>
      </c>
      <c r="AA1691">
        <f>'raw data Crude oil'!AA1692</f>
        <v>79.863</v>
      </c>
      <c r="AB1691">
        <f>'raw data Crude oil'!AB1692</f>
        <v>79.13</v>
      </c>
      <c r="AC1691">
        <f>'raw data Crude oil'!AC1692</f>
        <v>78.513999999999996</v>
      </c>
      <c r="AD1691">
        <f>'raw data Crude oil'!AD1692</f>
        <v>77.933999999999997</v>
      </c>
      <c r="AE1691">
        <f>'raw data Crude oil'!AE1692</f>
        <v>77.364000000000004</v>
      </c>
      <c r="AF1691">
        <f>'raw data Crude oil'!AF1692</f>
        <v>76.894999999999996</v>
      </c>
      <c r="AG1691">
        <f>'raw data Crude oil'!AG1692</f>
        <v>76.484999999999999</v>
      </c>
      <c r="AH1691">
        <f>'raw data Crude oil'!AH1692</f>
        <v>76.105000000000004</v>
      </c>
      <c r="AI1691">
        <f>'raw data Crude oil'!AI1692</f>
        <v>75.745999999999995</v>
      </c>
      <c r="AJ1691">
        <f>'raw data Crude oil'!AJ1692</f>
        <v>75.417000000000002</v>
      </c>
      <c r="AK1691">
        <f>'raw data Crude oil'!AK1692</f>
        <v>75.085999999999999</v>
      </c>
    </row>
    <row r="1692" spans="1:37" x14ac:dyDescent="0.3">
      <c r="A1692" s="18">
        <f>'raw data Crude oil'!A1693</f>
        <v>45126</v>
      </c>
      <c r="B1692">
        <f>'raw data Crude oil'!B1693</f>
        <v>79.459999999999994</v>
      </c>
      <c r="C1692">
        <f>'raw data Crude oil'!C1693</f>
        <v>79.349999999999994</v>
      </c>
      <c r="D1692">
        <f>'raw data Crude oil'!D1693</f>
        <v>79.11</v>
      </c>
      <c r="E1692">
        <f>'raw data Crude oil'!E1693</f>
        <v>78.83</v>
      </c>
      <c r="F1692">
        <f>'raw data Crude oil'!F1693</f>
        <v>78.52</v>
      </c>
      <c r="G1692">
        <f>'raw data Crude oil'!G1693</f>
        <v>78.19</v>
      </c>
      <c r="H1692">
        <f>'raw data Crude oil'!H1693</f>
        <v>77.87</v>
      </c>
      <c r="I1692">
        <f>'raw data Crude oil'!I1693</f>
        <v>77.569999999999993</v>
      </c>
      <c r="J1692">
        <f>'raw data Crude oil'!J1693</f>
        <v>77.3</v>
      </c>
      <c r="K1692">
        <f>'raw data Crude oil'!K1693</f>
        <v>77.03</v>
      </c>
      <c r="L1692">
        <f>'raw data Crude oil'!L1693</f>
        <v>76.75</v>
      </c>
      <c r="M1692">
        <f>'raw data Crude oil'!M1693</f>
        <v>76.47</v>
      </c>
      <c r="N1692">
        <f>'raw data Crude oil'!N1693</f>
        <v>75.349999999999994</v>
      </c>
      <c r="O1692">
        <f>'raw data Crude oil'!O1693</f>
        <v>75.290000000000006</v>
      </c>
      <c r="P1692">
        <f>'raw data Crude oil'!P1693</f>
        <v>75.11</v>
      </c>
      <c r="Q1692">
        <f>'raw data Crude oil'!Q1693</f>
        <v>74.86</v>
      </c>
      <c r="R1692">
        <f>'raw data Crude oil'!R1693</f>
        <v>74.569999999999993</v>
      </c>
      <c r="S1692">
        <f>'raw data Crude oil'!S1693</f>
        <v>74.27</v>
      </c>
      <c r="T1692">
        <f>'raw data Crude oil'!T1693</f>
        <v>73.959999999999994</v>
      </c>
      <c r="U1692">
        <f>'raw data Crude oil'!U1693</f>
        <v>73.64</v>
      </c>
      <c r="V1692">
        <f>'raw data Crude oil'!V1693</f>
        <v>73.319999999999993</v>
      </c>
      <c r="W1692">
        <f>'raw data Crude oil'!W1693</f>
        <v>73</v>
      </c>
      <c r="X1692">
        <f>'raw data Crude oil'!X1693</f>
        <v>72.67</v>
      </c>
      <c r="Y1692">
        <f>'raw data Crude oil'!Y1693</f>
        <v>72.319999999999993</v>
      </c>
      <c r="Z1692">
        <f>'raw data Crude oil'!Z1693</f>
        <v>79.316000000000003</v>
      </c>
      <c r="AA1692">
        <f>'raw data Crude oil'!AA1693</f>
        <v>79.795000000000002</v>
      </c>
      <c r="AB1692">
        <f>'raw data Crude oil'!AB1693</f>
        <v>79.09</v>
      </c>
      <c r="AC1692">
        <f>'raw data Crude oil'!AC1693</f>
        <v>78.489999999999995</v>
      </c>
      <c r="AD1692">
        <f>'raw data Crude oil'!AD1693</f>
        <v>77.95</v>
      </c>
      <c r="AE1692">
        <f>'raw data Crude oil'!AE1693</f>
        <v>77.429000000000002</v>
      </c>
      <c r="AF1692">
        <f>'raw data Crude oil'!AF1693</f>
        <v>76.986000000000004</v>
      </c>
      <c r="AG1692">
        <f>'raw data Crude oil'!AG1693</f>
        <v>76.617000000000004</v>
      </c>
      <c r="AH1692">
        <f>'raw data Crude oil'!AH1693</f>
        <v>76.277000000000001</v>
      </c>
      <c r="AI1692">
        <f>'raw data Crude oil'!AI1693</f>
        <v>75.977000000000004</v>
      </c>
      <c r="AJ1692">
        <f>'raw data Crude oil'!AJ1693</f>
        <v>75.677999999999997</v>
      </c>
      <c r="AK1692">
        <f>'raw data Crude oil'!AK1693</f>
        <v>75.367000000000004</v>
      </c>
    </row>
    <row r="1693" spans="1:37" x14ac:dyDescent="0.3">
      <c r="A1693" s="18">
        <f>'raw data Crude oil'!A1694</f>
        <v>45127</v>
      </c>
      <c r="B1693">
        <f>'raw data Crude oil'!B1694</f>
        <v>79.64</v>
      </c>
      <c r="C1693">
        <f>'raw data Crude oil'!C1694</f>
        <v>79.52</v>
      </c>
      <c r="D1693">
        <f>'raw data Crude oil'!D1694</f>
        <v>79.27</v>
      </c>
      <c r="E1693">
        <f>'raw data Crude oil'!E1694</f>
        <v>78.989999999999995</v>
      </c>
      <c r="F1693">
        <f>'raw data Crude oil'!F1694</f>
        <v>78.680000000000007</v>
      </c>
      <c r="G1693">
        <f>'raw data Crude oil'!G1694</f>
        <v>78.349999999999994</v>
      </c>
      <c r="H1693">
        <f>'raw data Crude oil'!H1694</f>
        <v>78.03</v>
      </c>
      <c r="I1693">
        <f>'raw data Crude oil'!I1694</f>
        <v>77.739999999999995</v>
      </c>
      <c r="J1693">
        <f>'raw data Crude oil'!J1694</f>
        <v>77.459999999999994</v>
      </c>
      <c r="K1693">
        <f>'raw data Crude oil'!K1694</f>
        <v>77.19</v>
      </c>
      <c r="L1693">
        <f>'raw data Crude oil'!L1694</f>
        <v>76.900000000000006</v>
      </c>
      <c r="M1693">
        <f>'raw data Crude oil'!M1694</f>
        <v>76.62</v>
      </c>
      <c r="N1693">
        <f>'raw data Crude oil'!N1694</f>
        <v>75.63</v>
      </c>
      <c r="O1693">
        <f>'raw data Crude oil'!O1694</f>
        <v>75.650000000000006</v>
      </c>
      <c r="P1693">
        <f>'raw data Crude oil'!P1694</f>
        <v>75.430000000000007</v>
      </c>
      <c r="Q1693">
        <f>'raw data Crude oil'!Q1694</f>
        <v>75.16</v>
      </c>
      <c r="R1693">
        <f>'raw data Crude oil'!R1694</f>
        <v>74.84</v>
      </c>
      <c r="S1693">
        <f>'raw data Crude oil'!S1694</f>
        <v>74.52</v>
      </c>
      <c r="T1693">
        <f>'raw data Crude oil'!T1694</f>
        <v>74.180000000000007</v>
      </c>
      <c r="U1693">
        <f>'raw data Crude oil'!U1694</f>
        <v>73.86</v>
      </c>
      <c r="V1693">
        <f>'raw data Crude oil'!V1694</f>
        <v>73.53</v>
      </c>
      <c r="W1693">
        <f>'raw data Crude oil'!W1694</f>
        <v>73.209999999999994</v>
      </c>
      <c r="X1693">
        <f>'raw data Crude oil'!X1694</f>
        <v>72.88</v>
      </c>
      <c r="Y1693">
        <f>'raw data Crude oil'!Y1694</f>
        <v>72.52</v>
      </c>
      <c r="Z1693">
        <f>'raw data Crude oil'!Z1694</f>
        <v>79.424999999999997</v>
      </c>
      <c r="AA1693">
        <f>'raw data Crude oil'!AA1694</f>
        <v>80.054000000000002</v>
      </c>
      <c r="AB1693">
        <f>'raw data Crude oil'!AB1694</f>
        <v>79.344999999999999</v>
      </c>
      <c r="AC1693">
        <f>'raw data Crude oil'!AC1694</f>
        <v>78.772999999999996</v>
      </c>
      <c r="AD1693">
        <f>'raw data Crude oil'!AD1694</f>
        <v>78.231999999999999</v>
      </c>
      <c r="AE1693">
        <f>'raw data Crude oil'!AE1694</f>
        <v>77.715000000000003</v>
      </c>
      <c r="AF1693">
        <f>'raw data Crude oil'!AF1694</f>
        <v>77.266999999999996</v>
      </c>
      <c r="AG1693">
        <f>'raw data Crude oil'!AG1694</f>
        <v>76.897000000000006</v>
      </c>
      <c r="AH1693">
        <f>'raw data Crude oil'!AH1694</f>
        <v>76.548000000000002</v>
      </c>
      <c r="AI1693">
        <f>'raw data Crude oil'!AI1694</f>
        <v>76.197000000000003</v>
      </c>
      <c r="AJ1693">
        <f>'raw data Crude oil'!AJ1694</f>
        <v>75.847999999999999</v>
      </c>
      <c r="AK1693">
        <f>'raw data Crude oil'!AK1694</f>
        <v>75.497</v>
      </c>
    </row>
    <row r="1694" spans="1:37" x14ac:dyDescent="0.3">
      <c r="A1694" s="18">
        <f>'raw data Crude oil'!A1695</f>
        <v>45128</v>
      </c>
      <c r="B1694">
        <f>'raw data Crude oil'!B1695</f>
        <v>81.069999999999993</v>
      </c>
      <c r="C1694">
        <f>'raw data Crude oil'!C1695</f>
        <v>80.88</v>
      </c>
      <c r="D1694">
        <f>'raw data Crude oil'!D1695</f>
        <v>80.540000000000006</v>
      </c>
      <c r="E1694">
        <f>'raw data Crude oil'!E1695</f>
        <v>80.17</v>
      </c>
      <c r="F1694">
        <f>'raw data Crude oil'!F1695</f>
        <v>79.790000000000006</v>
      </c>
      <c r="G1694">
        <f>'raw data Crude oil'!G1695</f>
        <v>79.42</v>
      </c>
      <c r="H1694">
        <f>'raw data Crude oil'!H1695</f>
        <v>79.05</v>
      </c>
      <c r="I1694">
        <f>'raw data Crude oil'!I1695</f>
        <v>78.709999999999994</v>
      </c>
      <c r="J1694">
        <f>'raw data Crude oil'!J1695</f>
        <v>78.39</v>
      </c>
      <c r="K1694">
        <f>'raw data Crude oil'!K1695</f>
        <v>78.09</v>
      </c>
      <c r="L1694">
        <f>'raw data Crude oil'!L1695</f>
        <v>77.78</v>
      </c>
      <c r="M1694">
        <f>'raw data Crude oil'!M1695</f>
        <v>77.459999999999994</v>
      </c>
      <c r="N1694">
        <f>'raw data Crude oil'!N1695</f>
        <v>77.069999999999993</v>
      </c>
      <c r="O1694">
        <f>'raw data Crude oil'!O1695</f>
        <v>76.78</v>
      </c>
      <c r="P1694">
        <f>'raw data Crude oil'!P1695</f>
        <v>76.45</v>
      </c>
      <c r="Q1694">
        <f>'raw data Crude oil'!Q1695</f>
        <v>76.069999999999993</v>
      </c>
      <c r="R1694">
        <f>'raw data Crude oil'!R1695</f>
        <v>75.67</v>
      </c>
      <c r="S1694">
        <f>'raw data Crude oil'!S1695</f>
        <v>75.28</v>
      </c>
      <c r="T1694">
        <f>'raw data Crude oil'!T1695</f>
        <v>74.900000000000006</v>
      </c>
      <c r="U1694">
        <f>'raw data Crude oil'!U1695</f>
        <v>74.53</v>
      </c>
      <c r="V1694">
        <f>'raw data Crude oil'!V1695</f>
        <v>74.17</v>
      </c>
      <c r="W1694">
        <f>'raw data Crude oil'!W1695</f>
        <v>73.8</v>
      </c>
      <c r="X1694">
        <f>'raw data Crude oil'!X1695</f>
        <v>73.41</v>
      </c>
      <c r="Y1694">
        <f>'raw data Crude oil'!Y1695</f>
        <v>73.040000000000006</v>
      </c>
      <c r="Z1694">
        <f>'raw data Crude oil'!Z1695</f>
        <v>79.891999999999996</v>
      </c>
      <c r="AA1694">
        <f>'raw data Crude oil'!AA1695</f>
        <v>81.534999999999997</v>
      </c>
      <c r="AB1694">
        <f>'raw data Crude oil'!AB1695</f>
        <v>80.763999999999996</v>
      </c>
      <c r="AC1694">
        <f>'raw data Crude oil'!AC1695</f>
        <v>80.094999999999999</v>
      </c>
      <c r="AD1694">
        <f>'raw data Crude oil'!AD1695</f>
        <v>79.474999999999994</v>
      </c>
      <c r="AE1694">
        <f>'raw data Crude oil'!AE1695</f>
        <v>78.888000000000005</v>
      </c>
      <c r="AF1694">
        <f>'raw data Crude oil'!AF1695</f>
        <v>78.385000000000005</v>
      </c>
      <c r="AG1694">
        <f>'raw data Crude oil'!AG1695</f>
        <v>77.965000000000003</v>
      </c>
      <c r="AH1694">
        <f>'raw data Crude oil'!AH1695</f>
        <v>77.555000000000007</v>
      </c>
      <c r="AI1694">
        <f>'raw data Crude oil'!AI1695</f>
        <v>77.195999999999998</v>
      </c>
      <c r="AJ1694">
        <f>'raw data Crude oil'!AJ1695</f>
        <v>76.866</v>
      </c>
      <c r="AK1694">
        <f>'raw data Crude oil'!AK1695</f>
        <v>76.534999999999997</v>
      </c>
    </row>
    <row r="1695" spans="1:37" x14ac:dyDescent="0.3">
      <c r="A1695" s="18">
        <f>'raw data Crude oil'!A1696</f>
        <v>45131</v>
      </c>
      <c r="B1695">
        <f>'raw data Crude oil'!B1696</f>
        <v>82.74</v>
      </c>
      <c r="C1695">
        <f>'raw data Crude oil'!C1696</f>
        <v>82.48</v>
      </c>
      <c r="D1695">
        <f>'raw data Crude oil'!D1696</f>
        <v>82.07</v>
      </c>
      <c r="E1695">
        <f>'raw data Crude oil'!E1696</f>
        <v>81.64</v>
      </c>
      <c r="F1695">
        <f>'raw data Crude oil'!F1696</f>
        <v>81.209999999999994</v>
      </c>
      <c r="G1695">
        <f>'raw data Crude oil'!G1696</f>
        <v>80.78</v>
      </c>
      <c r="H1695">
        <f>'raw data Crude oil'!H1696</f>
        <v>80.38</v>
      </c>
      <c r="I1695">
        <f>'raw data Crude oil'!I1696</f>
        <v>80.010000000000005</v>
      </c>
      <c r="J1695">
        <f>'raw data Crude oil'!J1696</f>
        <v>79.66</v>
      </c>
      <c r="K1695">
        <f>'raw data Crude oil'!K1696</f>
        <v>79.319999999999993</v>
      </c>
      <c r="L1695">
        <f>'raw data Crude oil'!L1696</f>
        <v>78.98</v>
      </c>
      <c r="M1695">
        <f>'raw data Crude oil'!M1696</f>
        <v>78.64</v>
      </c>
      <c r="N1695">
        <f>'raw data Crude oil'!N1696</f>
        <v>78.739999999999995</v>
      </c>
      <c r="O1695">
        <f>'raw data Crude oil'!O1696</f>
        <v>78.400000000000006</v>
      </c>
      <c r="P1695">
        <f>'raw data Crude oil'!P1696</f>
        <v>78.02</v>
      </c>
      <c r="Q1695">
        <f>'raw data Crude oil'!Q1696</f>
        <v>77.58</v>
      </c>
      <c r="R1695">
        <f>'raw data Crude oil'!R1696</f>
        <v>77.13</v>
      </c>
      <c r="S1695">
        <f>'raw data Crude oil'!S1696</f>
        <v>76.69</v>
      </c>
      <c r="T1695">
        <f>'raw data Crude oil'!T1696</f>
        <v>76.27</v>
      </c>
      <c r="U1695">
        <f>'raw data Crude oil'!U1696</f>
        <v>75.87</v>
      </c>
      <c r="V1695">
        <f>'raw data Crude oil'!V1696</f>
        <v>75.47</v>
      </c>
      <c r="W1695">
        <f>'raw data Crude oil'!W1696</f>
        <v>75.06</v>
      </c>
      <c r="X1695">
        <f>'raw data Crude oil'!X1696</f>
        <v>74.66</v>
      </c>
      <c r="Y1695">
        <f>'raw data Crude oil'!Y1696</f>
        <v>74.260000000000005</v>
      </c>
      <c r="Z1695">
        <f>'raw data Crude oil'!Z1696</f>
        <v>80.287999999999997</v>
      </c>
      <c r="AA1695">
        <f>'raw data Crude oil'!AA1696</f>
        <v>83.161000000000001</v>
      </c>
      <c r="AB1695">
        <f>'raw data Crude oil'!AB1696</f>
        <v>82.350999999999999</v>
      </c>
      <c r="AC1695">
        <f>'raw data Crude oil'!AC1696</f>
        <v>81.631</v>
      </c>
      <c r="AD1695">
        <f>'raw data Crude oil'!AD1696</f>
        <v>80.959999999999994</v>
      </c>
      <c r="AE1695">
        <f>'raw data Crude oil'!AE1696</f>
        <v>80.33</v>
      </c>
      <c r="AF1695">
        <f>'raw data Crude oil'!AF1696</f>
        <v>79.793000000000006</v>
      </c>
      <c r="AG1695">
        <f>'raw data Crude oil'!AG1696</f>
        <v>79.332999999999998</v>
      </c>
      <c r="AH1695">
        <f>'raw data Crude oil'!AH1696</f>
        <v>78.903000000000006</v>
      </c>
      <c r="AI1695">
        <f>'raw data Crude oil'!AI1696</f>
        <v>78.495000000000005</v>
      </c>
      <c r="AJ1695">
        <f>'raw data Crude oil'!AJ1696</f>
        <v>78.114999999999995</v>
      </c>
      <c r="AK1695">
        <f>'raw data Crude oil'!AK1696</f>
        <v>77.733999999999995</v>
      </c>
    </row>
    <row r="1696" spans="1:37" x14ac:dyDescent="0.3">
      <c r="A1696" s="18">
        <f>'raw data Crude oil'!A1697</f>
        <v>45132</v>
      </c>
      <c r="B1696">
        <f>'raw data Crude oil'!B1697</f>
        <v>83.64</v>
      </c>
      <c r="C1696">
        <f>'raw data Crude oil'!C1697</f>
        <v>83.25</v>
      </c>
      <c r="D1696">
        <f>'raw data Crude oil'!D1697</f>
        <v>82.77</v>
      </c>
      <c r="E1696">
        <f>'raw data Crude oil'!E1697</f>
        <v>82.3</v>
      </c>
      <c r="F1696">
        <f>'raw data Crude oil'!F1697</f>
        <v>81.83</v>
      </c>
      <c r="G1696">
        <f>'raw data Crude oil'!G1697</f>
        <v>81.36</v>
      </c>
      <c r="H1696">
        <f>'raw data Crude oil'!H1697</f>
        <v>80.92</v>
      </c>
      <c r="I1696">
        <f>'raw data Crude oil'!I1697</f>
        <v>80.53</v>
      </c>
      <c r="J1696">
        <f>'raw data Crude oil'!J1697</f>
        <v>80.16</v>
      </c>
      <c r="K1696">
        <f>'raw data Crude oil'!K1697</f>
        <v>79.8</v>
      </c>
      <c r="L1696">
        <f>'raw data Crude oil'!L1697</f>
        <v>79.44</v>
      </c>
      <c r="M1696">
        <f>'raw data Crude oil'!M1697</f>
        <v>79.09</v>
      </c>
      <c r="N1696">
        <f>'raw data Crude oil'!N1697</f>
        <v>79.63</v>
      </c>
      <c r="O1696">
        <f>'raw data Crude oil'!O1697</f>
        <v>79.2</v>
      </c>
      <c r="P1696">
        <f>'raw data Crude oil'!P1697</f>
        <v>78.75</v>
      </c>
      <c r="Q1696">
        <f>'raw data Crude oil'!Q1697</f>
        <v>78.260000000000005</v>
      </c>
      <c r="R1696">
        <f>'raw data Crude oil'!R1697</f>
        <v>77.77</v>
      </c>
      <c r="S1696">
        <f>'raw data Crude oil'!S1697</f>
        <v>77.290000000000006</v>
      </c>
      <c r="T1696">
        <f>'raw data Crude oil'!T1697</f>
        <v>76.849999999999994</v>
      </c>
      <c r="U1696">
        <f>'raw data Crude oil'!U1697</f>
        <v>76.41</v>
      </c>
      <c r="V1696">
        <f>'raw data Crude oil'!V1697</f>
        <v>75.989999999999995</v>
      </c>
      <c r="W1696">
        <f>'raw data Crude oil'!W1697</f>
        <v>75.569999999999993</v>
      </c>
      <c r="X1696">
        <f>'raw data Crude oil'!X1697</f>
        <v>75.14</v>
      </c>
      <c r="Y1696">
        <f>'raw data Crude oil'!Y1697</f>
        <v>74.72</v>
      </c>
      <c r="Z1696">
        <f>'raw data Crude oil'!Z1697</f>
        <v>80.445999999999998</v>
      </c>
      <c r="AA1696">
        <f>'raw data Crude oil'!AA1697</f>
        <v>83.91</v>
      </c>
      <c r="AB1696">
        <f>'raw data Crude oil'!AB1697</f>
        <v>83.039000000000001</v>
      </c>
      <c r="AC1696">
        <f>'raw data Crude oil'!AC1697</f>
        <v>82.25</v>
      </c>
      <c r="AD1696">
        <f>'raw data Crude oil'!AD1697</f>
        <v>81.534000000000006</v>
      </c>
      <c r="AE1696">
        <f>'raw data Crude oil'!AE1697</f>
        <v>80.861000000000004</v>
      </c>
      <c r="AF1696">
        <f>'raw data Crude oil'!AF1697</f>
        <v>80.292000000000002</v>
      </c>
      <c r="AG1696">
        <f>'raw data Crude oil'!AG1697</f>
        <v>79.816999999999993</v>
      </c>
      <c r="AH1696">
        <f>'raw data Crude oil'!AH1697</f>
        <v>79.341999999999999</v>
      </c>
      <c r="AI1696">
        <f>'raw data Crude oil'!AI1697</f>
        <v>78.924000000000007</v>
      </c>
      <c r="AJ1696">
        <f>'raw data Crude oil'!AJ1697</f>
        <v>78.504999999999995</v>
      </c>
      <c r="AK1696">
        <f>'raw data Crude oil'!AK1697</f>
        <v>78.093000000000004</v>
      </c>
    </row>
    <row r="1697" spans="1:37" x14ac:dyDescent="0.3">
      <c r="A1697" s="18">
        <f>'raw data Crude oil'!A1698</f>
        <v>45133</v>
      </c>
      <c r="B1697">
        <f>'raw data Crude oil'!B1698</f>
        <v>82.92</v>
      </c>
      <c r="C1697">
        <f>'raw data Crude oil'!C1698</f>
        <v>82.56</v>
      </c>
      <c r="D1697">
        <f>'raw data Crude oil'!D1698</f>
        <v>82.14</v>
      </c>
      <c r="E1697">
        <f>'raw data Crude oil'!E1698</f>
        <v>81.72</v>
      </c>
      <c r="F1697">
        <f>'raw data Crude oil'!F1698</f>
        <v>81.290000000000006</v>
      </c>
      <c r="G1697">
        <f>'raw data Crude oil'!G1698</f>
        <v>80.86</v>
      </c>
      <c r="H1697">
        <f>'raw data Crude oil'!H1698</f>
        <v>80.459999999999994</v>
      </c>
      <c r="I1697">
        <f>'raw data Crude oil'!I1698</f>
        <v>80.09</v>
      </c>
      <c r="J1697">
        <f>'raw data Crude oil'!J1698</f>
        <v>79.739999999999995</v>
      </c>
      <c r="K1697">
        <f>'raw data Crude oil'!K1698</f>
        <v>79.400000000000006</v>
      </c>
      <c r="L1697">
        <f>'raw data Crude oil'!L1698</f>
        <v>79.06</v>
      </c>
      <c r="M1697">
        <f>'raw data Crude oil'!M1698</f>
        <v>78.73</v>
      </c>
      <c r="N1697">
        <f>'raw data Crude oil'!N1698</f>
        <v>78.78</v>
      </c>
      <c r="O1697">
        <f>'raw data Crude oil'!O1698</f>
        <v>78.400000000000006</v>
      </c>
      <c r="P1697">
        <f>'raw data Crude oil'!P1698</f>
        <v>78.010000000000005</v>
      </c>
      <c r="Q1697">
        <f>'raw data Crude oil'!Q1698</f>
        <v>77.59</v>
      </c>
      <c r="R1697">
        <f>'raw data Crude oil'!R1698</f>
        <v>77.150000000000006</v>
      </c>
      <c r="S1697">
        <f>'raw data Crude oil'!S1698</f>
        <v>76.72</v>
      </c>
      <c r="T1697">
        <f>'raw data Crude oil'!T1698</f>
        <v>76.319999999999993</v>
      </c>
      <c r="U1697">
        <f>'raw data Crude oil'!U1698</f>
        <v>75.92</v>
      </c>
      <c r="V1697">
        <f>'raw data Crude oil'!V1698</f>
        <v>75.53</v>
      </c>
      <c r="W1697">
        <f>'raw data Crude oil'!W1698</f>
        <v>75.14</v>
      </c>
      <c r="X1697">
        <f>'raw data Crude oil'!X1698</f>
        <v>74.73</v>
      </c>
      <c r="Y1697">
        <f>'raw data Crude oil'!Y1698</f>
        <v>74.33</v>
      </c>
      <c r="Z1697">
        <f>'raw data Crude oil'!Z1698</f>
        <v>80.295000000000002</v>
      </c>
      <c r="AA1697">
        <f>'raw data Crude oil'!AA1698</f>
        <v>82.988</v>
      </c>
      <c r="AB1697">
        <f>'raw data Crude oil'!AB1698</f>
        <v>82.156999999999996</v>
      </c>
      <c r="AC1697">
        <f>'raw data Crude oil'!AC1698</f>
        <v>81.456000000000003</v>
      </c>
      <c r="AD1697">
        <f>'raw data Crude oil'!AD1698</f>
        <v>80.816000000000003</v>
      </c>
      <c r="AE1697">
        <f>'raw data Crude oil'!AE1698</f>
        <v>80.210999999999999</v>
      </c>
      <c r="AF1697">
        <f>'raw data Crude oil'!AF1698</f>
        <v>79.688999999999993</v>
      </c>
      <c r="AG1697">
        <f>'raw data Crude oil'!AG1698</f>
        <v>79.233000000000004</v>
      </c>
      <c r="AH1697">
        <f>'raw data Crude oil'!AH1698</f>
        <v>78.822999999999993</v>
      </c>
      <c r="AI1697">
        <f>'raw data Crude oil'!AI1698</f>
        <v>78.444999999999993</v>
      </c>
      <c r="AJ1697">
        <f>'raw data Crude oil'!AJ1698</f>
        <v>78.036000000000001</v>
      </c>
      <c r="AK1697">
        <f>'raw data Crude oil'!AK1698</f>
        <v>77.664000000000001</v>
      </c>
    </row>
    <row r="1698" spans="1:37" x14ac:dyDescent="0.3">
      <c r="A1698" s="18">
        <f>'raw data Crude oil'!A1699</f>
        <v>45134</v>
      </c>
      <c r="B1698">
        <f>'raw data Crude oil'!B1699</f>
        <v>84.24</v>
      </c>
      <c r="C1698">
        <f>'raw data Crude oil'!C1699</f>
        <v>83.79</v>
      </c>
      <c r="D1698">
        <f>'raw data Crude oil'!D1699</f>
        <v>83.31</v>
      </c>
      <c r="E1698">
        <f>'raw data Crude oil'!E1699</f>
        <v>82.84</v>
      </c>
      <c r="F1698">
        <f>'raw data Crude oil'!F1699</f>
        <v>82.37</v>
      </c>
      <c r="G1698">
        <f>'raw data Crude oil'!G1699</f>
        <v>81.91</v>
      </c>
      <c r="H1698">
        <f>'raw data Crude oil'!H1699</f>
        <v>81.47</v>
      </c>
      <c r="I1698">
        <f>'raw data Crude oil'!I1699</f>
        <v>81.069999999999993</v>
      </c>
      <c r="J1698">
        <f>'raw data Crude oil'!J1699</f>
        <v>80.7</v>
      </c>
      <c r="K1698">
        <f>'raw data Crude oil'!K1699</f>
        <v>80.33</v>
      </c>
      <c r="L1698">
        <f>'raw data Crude oil'!L1699</f>
        <v>79.97</v>
      </c>
      <c r="M1698">
        <f>'raw data Crude oil'!M1699</f>
        <v>79.599999999999994</v>
      </c>
      <c r="N1698">
        <f>'raw data Crude oil'!N1699</f>
        <v>80.09</v>
      </c>
      <c r="O1698">
        <f>'raw data Crude oil'!O1699</f>
        <v>79.63</v>
      </c>
      <c r="P1698">
        <f>'raw data Crude oil'!P1699</f>
        <v>79.180000000000007</v>
      </c>
      <c r="Q1698">
        <f>'raw data Crude oil'!Q1699</f>
        <v>78.7</v>
      </c>
      <c r="R1698">
        <f>'raw data Crude oil'!R1699</f>
        <v>78.23</v>
      </c>
      <c r="S1698">
        <f>'raw data Crude oil'!S1699</f>
        <v>77.77</v>
      </c>
      <c r="T1698">
        <f>'raw data Crude oil'!T1699</f>
        <v>77.33</v>
      </c>
      <c r="U1698">
        <f>'raw data Crude oil'!U1699</f>
        <v>76.89</v>
      </c>
      <c r="V1698">
        <f>'raw data Crude oil'!V1699</f>
        <v>76.459999999999994</v>
      </c>
      <c r="W1698">
        <f>'raw data Crude oil'!W1699</f>
        <v>76.040000000000006</v>
      </c>
      <c r="X1698">
        <f>'raw data Crude oil'!X1699</f>
        <v>75.599999999999994</v>
      </c>
      <c r="Y1698">
        <f>'raw data Crude oil'!Y1699</f>
        <v>75.17</v>
      </c>
      <c r="Z1698">
        <f>'raw data Crude oil'!Z1699</f>
        <v>80.435000000000002</v>
      </c>
      <c r="AA1698">
        <f>'raw data Crude oil'!AA1699</f>
        <v>84.29</v>
      </c>
      <c r="AB1698">
        <f>'raw data Crude oil'!AB1699</f>
        <v>83.433000000000007</v>
      </c>
      <c r="AC1698">
        <f>'raw data Crude oil'!AC1699</f>
        <v>82.67</v>
      </c>
      <c r="AD1698">
        <f>'raw data Crude oil'!AD1699</f>
        <v>81.974000000000004</v>
      </c>
      <c r="AE1698">
        <f>'raw data Crude oil'!AE1699</f>
        <v>81.346000000000004</v>
      </c>
      <c r="AF1698">
        <f>'raw data Crude oil'!AF1699</f>
        <v>80.792000000000002</v>
      </c>
      <c r="AG1698">
        <f>'raw data Crude oil'!AG1699</f>
        <v>80.322000000000003</v>
      </c>
      <c r="AH1698">
        <f>'raw data Crude oil'!AH1699</f>
        <v>79.912000000000006</v>
      </c>
      <c r="AI1698">
        <f>'raw data Crude oil'!AI1699</f>
        <v>79.504000000000005</v>
      </c>
      <c r="AJ1698">
        <f>'raw data Crude oil'!AJ1699</f>
        <v>79.093999999999994</v>
      </c>
      <c r="AK1698">
        <f>'raw data Crude oil'!AK1699</f>
        <v>78.673000000000002</v>
      </c>
    </row>
    <row r="1699" spans="1:37" x14ac:dyDescent="0.3">
      <c r="A1699" s="18">
        <f>'raw data Crude oil'!A1700</f>
        <v>45135</v>
      </c>
      <c r="B1699">
        <f>'raw data Crude oil'!B1700</f>
        <v>84.99</v>
      </c>
      <c r="C1699">
        <f>'raw data Crude oil'!C1700</f>
        <v>84.41</v>
      </c>
      <c r="D1699">
        <f>'raw data Crude oil'!D1700</f>
        <v>83.92</v>
      </c>
      <c r="E1699">
        <f>'raw data Crude oil'!E1700</f>
        <v>83.44</v>
      </c>
      <c r="F1699">
        <f>'raw data Crude oil'!F1700</f>
        <v>82.96</v>
      </c>
      <c r="G1699">
        <f>'raw data Crude oil'!G1700</f>
        <v>82.49</v>
      </c>
      <c r="H1699">
        <f>'raw data Crude oil'!H1700</f>
        <v>82.06</v>
      </c>
      <c r="I1699">
        <f>'raw data Crude oil'!I1700</f>
        <v>81.650000000000006</v>
      </c>
      <c r="J1699">
        <f>'raw data Crude oil'!J1700</f>
        <v>81.27</v>
      </c>
      <c r="K1699">
        <f>'raw data Crude oil'!K1700</f>
        <v>80.900000000000006</v>
      </c>
      <c r="L1699">
        <f>'raw data Crude oil'!L1700</f>
        <v>80.53</v>
      </c>
      <c r="M1699">
        <f>'raw data Crude oil'!M1700</f>
        <v>80.16</v>
      </c>
      <c r="N1699">
        <f>'raw data Crude oil'!N1700</f>
        <v>80.58</v>
      </c>
      <c r="O1699">
        <f>'raw data Crude oil'!O1700</f>
        <v>80.180000000000007</v>
      </c>
      <c r="P1699">
        <f>'raw data Crude oil'!P1700</f>
        <v>79.760000000000005</v>
      </c>
      <c r="Q1699">
        <f>'raw data Crude oil'!Q1700</f>
        <v>79.319999999999993</v>
      </c>
      <c r="R1699">
        <f>'raw data Crude oil'!R1700</f>
        <v>78.849999999999994</v>
      </c>
      <c r="S1699">
        <f>'raw data Crude oil'!S1700</f>
        <v>78.400000000000006</v>
      </c>
      <c r="T1699">
        <f>'raw data Crude oil'!T1700</f>
        <v>77.930000000000007</v>
      </c>
      <c r="U1699">
        <f>'raw data Crude oil'!U1700</f>
        <v>77.48</v>
      </c>
      <c r="V1699">
        <f>'raw data Crude oil'!V1700</f>
        <v>77.03</v>
      </c>
      <c r="W1699">
        <f>'raw data Crude oil'!W1700</f>
        <v>76.59</v>
      </c>
      <c r="X1699">
        <f>'raw data Crude oil'!X1700</f>
        <v>76.16</v>
      </c>
      <c r="Y1699">
        <f>'raw data Crude oil'!Y1700</f>
        <v>75.72</v>
      </c>
      <c r="Z1699">
        <f>'raw data Crude oil'!Z1700</f>
        <v>80.441000000000003</v>
      </c>
      <c r="AA1699">
        <f>'raw data Crude oil'!AA1700</f>
        <v>84.786000000000001</v>
      </c>
      <c r="AB1699">
        <f>'raw data Crude oil'!AB1700</f>
        <v>83.926000000000002</v>
      </c>
      <c r="AC1699">
        <f>'raw data Crude oil'!AC1700</f>
        <v>83.146000000000001</v>
      </c>
      <c r="AD1699">
        <f>'raw data Crude oil'!AD1700</f>
        <v>82.433999999999997</v>
      </c>
      <c r="AE1699">
        <f>'raw data Crude oil'!AE1700</f>
        <v>81.8</v>
      </c>
      <c r="AF1699">
        <f>'raw data Crude oil'!AF1700</f>
        <v>81.260000000000005</v>
      </c>
      <c r="AG1699">
        <f>'raw data Crude oil'!AG1700</f>
        <v>80.781999999999996</v>
      </c>
      <c r="AH1699">
        <f>'raw data Crude oil'!AH1700</f>
        <v>80.361999999999995</v>
      </c>
      <c r="AI1699">
        <f>'raw data Crude oil'!AI1700</f>
        <v>79.933000000000007</v>
      </c>
      <c r="AJ1699">
        <f>'raw data Crude oil'!AJ1700</f>
        <v>79.524000000000001</v>
      </c>
      <c r="AK1699">
        <f>'raw data Crude oil'!AK1700</f>
        <v>79.123000000000005</v>
      </c>
    </row>
    <row r="1700" spans="1:37" x14ac:dyDescent="0.3">
      <c r="A1700" s="18">
        <f>'raw data Crude oil'!A1701</f>
        <v>45138</v>
      </c>
      <c r="B1700">
        <f>'raw data Crude oil'!B1701</f>
        <v>85.56</v>
      </c>
      <c r="C1700">
        <f>'raw data Crude oil'!C1701</f>
        <v>85.43</v>
      </c>
      <c r="D1700">
        <f>'raw data Crude oil'!D1701</f>
        <v>84.95</v>
      </c>
      <c r="E1700">
        <f>'raw data Crude oil'!E1701</f>
        <v>84.46</v>
      </c>
      <c r="F1700">
        <f>'raw data Crude oil'!F1701</f>
        <v>83.97</v>
      </c>
      <c r="G1700">
        <f>'raw data Crude oil'!G1701</f>
        <v>83.48</v>
      </c>
      <c r="H1700">
        <f>'raw data Crude oil'!H1701</f>
        <v>83.02</v>
      </c>
      <c r="I1700">
        <f>'raw data Crude oil'!I1701</f>
        <v>82.59</v>
      </c>
      <c r="J1700">
        <f>'raw data Crude oil'!J1701</f>
        <v>82.18</v>
      </c>
      <c r="K1700">
        <f>'raw data Crude oil'!K1701</f>
        <v>81.760000000000005</v>
      </c>
      <c r="L1700">
        <f>'raw data Crude oil'!L1701</f>
        <v>81.36</v>
      </c>
      <c r="M1700">
        <f>'raw data Crude oil'!M1701</f>
        <v>80.97</v>
      </c>
      <c r="N1700">
        <f>'raw data Crude oil'!N1701</f>
        <v>81.8</v>
      </c>
      <c r="O1700">
        <f>'raw data Crude oil'!O1701</f>
        <v>81.319999999999993</v>
      </c>
      <c r="P1700">
        <f>'raw data Crude oil'!P1701</f>
        <v>80.84</v>
      </c>
      <c r="Q1700">
        <f>'raw data Crude oil'!Q1701</f>
        <v>80.349999999999994</v>
      </c>
      <c r="R1700">
        <f>'raw data Crude oil'!R1701</f>
        <v>79.849999999999994</v>
      </c>
      <c r="S1700">
        <f>'raw data Crude oil'!S1701</f>
        <v>79.349999999999994</v>
      </c>
      <c r="T1700">
        <f>'raw data Crude oil'!T1701</f>
        <v>78.86</v>
      </c>
      <c r="U1700">
        <f>'raw data Crude oil'!U1701</f>
        <v>78.37</v>
      </c>
      <c r="V1700">
        <f>'raw data Crude oil'!V1701</f>
        <v>77.900000000000006</v>
      </c>
      <c r="W1700">
        <f>'raw data Crude oil'!W1701</f>
        <v>77.430000000000007</v>
      </c>
      <c r="X1700">
        <f>'raw data Crude oil'!X1701</f>
        <v>76.94</v>
      </c>
      <c r="Y1700">
        <f>'raw data Crude oil'!Y1701</f>
        <v>76.48</v>
      </c>
      <c r="Z1700">
        <f>'raw data Crude oil'!Z1701</f>
        <v>80.444999999999993</v>
      </c>
      <c r="AA1700">
        <f>'raw data Crude oil'!AA1701</f>
        <v>85.71</v>
      </c>
      <c r="AB1700">
        <f>'raw data Crude oil'!AB1701</f>
        <v>84.852000000000004</v>
      </c>
      <c r="AC1700">
        <f>'raw data Crude oil'!AC1701</f>
        <v>84.072999999999993</v>
      </c>
      <c r="AD1700">
        <f>'raw data Crude oil'!AD1701</f>
        <v>83.352999999999994</v>
      </c>
      <c r="AE1700">
        <f>'raw data Crude oil'!AE1701</f>
        <v>82.694000000000003</v>
      </c>
      <c r="AF1700">
        <f>'raw data Crude oil'!AF1701</f>
        <v>82.12</v>
      </c>
      <c r="AG1700">
        <f>'raw data Crude oil'!AG1701</f>
        <v>81.64</v>
      </c>
      <c r="AH1700">
        <f>'raw data Crude oil'!AH1701</f>
        <v>81.198999999999998</v>
      </c>
      <c r="AI1700">
        <f>'raw data Crude oil'!AI1701</f>
        <v>80.742000000000004</v>
      </c>
      <c r="AJ1700">
        <f>'raw data Crude oil'!AJ1701</f>
        <v>80.313000000000002</v>
      </c>
      <c r="AK1700">
        <f>'raw data Crude oil'!AK1701</f>
        <v>79.881</v>
      </c>
    </row>
    <row r="1701" spans="1:37" x14ac:dyDescent="0.3">
      <c r="A1701" s="18">
        <f>'raw data Crude oil'!A1702</f>
        <v>45139</v>
      </c>
      <c r="B1701">
        <f>'raw data Crude oil'!B1702</f>
        <v>84.91</v>
      </c>
      <c r="C1701">
        <f>'raw data Crude oil'!C1702</f>
        <v>84.47</v>
      </c>
      <c r="D1701">
        <f>'raw data Crude oil'!D1702</f>
        <v>84.02</v>
      </c>
      <c r="E1701">
        <f>'raw data Crude oil'!E1702</f>
        <v>83.56</v>
      </c>
      <c r="F1701">
        <f>'raw data Crude oil'!F1702</f>
        <v>83.09</v>
      </c>
      <c r="G1701">
        <f>'raw data Crude oil'!G1702</f>
        <v>82.65</v>
      </c>
      <c r="H1701">
        <f>'raw data Crude oil'!H1702</f>
        <v>82.23</v>
      </c>
      <c r="I1701">
        <f>'raw data Crude oil'!I1702</f>
        <v>81.83</v>
      </c>
      <c r="J1701">
        <f>'raw data Crude oil'!J1702</f>
        <v>81.42</v>
      </c>
      <c r="K1701">
        <f>'raw data Crude oil'!K1702</f>
        <v>81.02</v>
      </c>
      <c r="L1701">
        <f>'raw data Crude oil'!L1702</f>
        <v>80.63</v>
      </c>
      <c r="M1701">
        <f>'raw data Crude oil'!M1702</f>
        <v>80.25</v>
      </c>
      <c r="N1701">
        <f>'raw data Crude oil'!N1702</f>
        <v>81.37</v>
      </c>
      <c r="O1701">
        <f>'raw data Crude oil'!O1702</f>
        <v>80.92</v>
      </c>
      <c r="P1701">
        <f>'raw data Crude oil'!P1702</f>
        <v>80.459999999999994</v>
      </c>
      <c r="Q1701">
        <f>'raw data Crude oil'!Q1702</f>
        <v>79.98</v>
      </c>
      <c r="R1701">
        <f>'raw data Crude oil'!R1702</f>
        <v>79.489999999999995</v>
      </c>
      <c r="S1701">
        <f>'raw data Crude oil'!S1702</f>
        <v>78.989999999999995</v>
      </c>
      <c r="T1701">
        <f>'raw data Crude oil'!T1702</f>
        <v>78.510000000000005</v>
      </c>
      <c r="U1701">
        <f>'raw data Crude oil'!U1702</f>
        <v>78.040000000000006</v>
      </c>
      <c r="V1701">
        <f>'raw data Crude oil'!V1702</f>
        <v>77.58</v>
      </c>
      <c r="W1701">
        <f>'raw data Crude oil'!W1702</f>
        <v>77.11</v>
      </c>
      <c r="X1701">
        <f>'raw data Crude oil'!X1702</f>
        <v>76.63</v>
      </c>
      <c r="Y1701">
        <f>'raw data Crude oil'!Y1702</f>
        <v>76.17</v>
      </c>
      <c r="Z1701">
        <f>'raw data Crude oil'!Z1702</f>
        <v>80.444999999999993</v>
      </c>
      <c r="AA1701">
        <f>'raw data Crude oil'!AA1702</f>
        <v>85.614999999999995</v>
      </c>
      <c r="AB1701">
        <f>'raw data Crude oil'!AB1702</f>
        <v>84.653999999999996</v>
      </c>
      <c r="AC1701">
        <f>'raw data Crude oil'!AC1702</f>
        <v>83.834000000000003</v>
      </c>
      <c r="AD1701">
        <f>'raw data Crude oil'!AD1702</f>
        <v>83.108999999999995</v>
      </c>
      <c r="AE1701">
        <f>'raw data Crude oil'!AE1702</f>
        <v>82.445999999999998</v>
      </c>
      <c r="AF1701">
        <f>'raw data Crude oil'!AF1702</f>
        <v>81.875</v>
      </c>
      <c r="AG1701">
        <f>'raw data Crude oil'!AG1702</f>
        <v>81.361000000000004</v>
      </c>
      <c r="AH1701">
        <f>'raw data Crude oil'!AH1702</f>
        <v>80.92</v>
      </c>
      <c r="AI1701">
        <f>'raw data Crude oil'!AI1702</f>
        <v>80.492000000000004</v>
      </c>
      <c r="AJ1701">
        <f>'raw data Crude oil'!AJ1702</f>
        <v>80.052999999999997</v>
      </c>
      <c r="AK1701">
        <f>'raw data Crude oil'!AK1702</f>
        <v>79.620999999999995</v>
      </c>
    </row>
    <row r="1702" spans="1:37" x14ac:dyDescent="0.3">
      <c r="A1702" s="18">
        <f>'raw data Crude oil'!A1703</f>
        <v>45140</v>
      </c>
      <c r="B1702">
        <f>'raw data Crude oil'!B1703</f>
        <v>83.2</v>
      </c>
      <c r="C1702">
        <f>'raw data Crude oil'!C1703</f>
        <v>82.81</v>
      </c>
      <c r="D1702">
        <f>'raw data Crude oil'!D1703</f>
        <v>82.41</v>
      </c>
      <c r="E1702">
        <f>'raw data Crude oil'!E1703</f>
        <v>81.99</v>
      </c>
      <c r="F1702">
        <f>'raw data Crude oil'!F1703</f>
        <v>81.569999999999993</v>
      </c>
      <c r="G1702">
        <f>'raw data Crude oil'!G1703</f>
        <v>81.16</v>
      </c>
      <c r="H1702">
        <f>'raw data Crude oil'!H1703</f>
        <v>80.77</v>
      </c>
      <c r="I1702">
        <f>'raw data Crude oil'!I1703</f>
        <v>80.39</v>
      </c>
      <c r="J1702">
        <f>'raw data Crude oil'!J1703</f>
        <v>80.010000000000005</v>
      </c>
      <c r="K1702">
        <f>'raw data Crude oil'!K1703</f>
        <v>79.64</v>
      </c>
      <c r="L1702">
        <f>'raw data Crude oil'!L1703</f>
        <v>79.260000000000005</v>
      </c>
      <c r="M1702">
        <f>'raw data Crude oil'!M1703</f>
        <v>78.89</v>
      </c>
      <c r="N1702">
        <f>'raw data Crude oil'!N1703</f>
        <v>79.489999999999995</v>
      </c>
      <c r="O1702">
        <f>'raw data Crude oil'!O1703</f>
        <v>79.13</v>
      </c>
      <c r="P1702">
        <f>'raw data Crude oil'!P1703</f>
        <v>78.73</v>
      </c>
      <c r="Q1702">
        <f>'raw data Crude oil'!Q1703</f>
        <v>78.319999999999993</v>
      </c>
      <c r="R1702">
        <f>'raw data Crude oil'!R1703</f>
        <v>77.89</v>
      </c>
      <c r="S1702">
        <f>'raw data Crude oil'!S1703</f>
        <v>77.459999999999994</v>
      </c>
      <c r="T1702">
        <f>'raw data Crude oil'!T1703</f>
        <v>77.02</v>
      </c>
      <c r="U1702">
        <f>'raw data Crude oil'!U1703</f>
        <v>76.59</v>
      </c>
      <c r="V1702">
        <f>'raw data Crude oil'!V1703</f>
        <v>76.17</v>
      </c>
      <c r="W1702">
        <f>'raw data Crude oil'!W1703</f>
        <v>75.739999999999995</v>
      </c>
      <c r="X1702">
        <f>'raw data Crude oil'!X1703</f>
        <v>75.290000000000006</v>
      </c>
      <c r="Y1702">
        <f>'raw data Crude oil'!Y1703</f>
        <v>74.849999999999994</v>
      </c>
      <c r="Z1702">
        <f>'raw data Crude oil'!Z1703</f>
        <v>84.378</v>
      </c>
      <c r="AA1702">
        <f>'raw data Crude oil'!AA1703</f>
        <v>83.218000000000004</v>
      </c>
      <c r="AB1702">
        <f>'raw data Crude oil'!AB1703</f>
        <v>82.378</v>
      </c>
      <c r="AC1702">
        <f>'raw data Crude oil'!AC1703</f>
        <v>81.661000000000001</v>
      </c>
      <c r="AD1702">
        <f>'raw data Crude oil'!AD1703</f>
        <v>81.028999999999996</v>
      </c>
      <c r="AE1702">
        <f>'raw data Crude oil'!AE1703</f>
        <v>80.486999999999995</v>
      </c>
      <c r="AF1702">
        <f>'raw data Crude oil'!AF1703</f>
        <v>80.012</v>
      </c>
      <c r="AG1702">
        <f>'raw data Crude oil'!AG1703</f>
        <v>79.570999999999998</v>
      </c>
      <c r="AH1702">
        <f>'raw data Crude oil'!AH1703</f>
        <v>79.162999999999997</v>
      </c>
      <c r="AI1702">
        <f>'raw data Crude oil'!AI1703</f>
        <v>78.712999999999994</v>
      </c>
      <c r="AJ1702">
        <f>'raw data Crude oil'!AJ1703</f>
        <v>78.281999999999996</v>
      </c>
      <c r="AK1702">
        <f>'raw data Crude oil'!AK1703</f>
        <v>77.864999999999995</v>
      </c>
    </row>
    <row r="1703" spans="1:37" x14ac:dyDescent="0.3">
      <c r="A1703" s="18">
        <f>'raw data Crude oil'!A1704</f>
        <v>45141</v>
      </c>
      <c r="B1703">
        <f>'raw data Crude oil'!B1704</f>
        <v>85.14</v>
      </c>
      <c r="C1703">
        <f>'raw data Crude oil'!C1704</f>
        <v>84.69</v>
      </c>
      <c r="D1703">
        <f>'raw data Crude oil'!D1704</f>
        <v>84.25</v>
      </c>
      <c r="E1703">
        <f>'raw data Crude oil'!E1704</f>
        <v>83.8</v>
      </c>
      <c r="F1703">
        <f>'raw data Crude oil'!F1704</f>
        <v>83.36</v>
      </c>
      <c r="G1703">
        <f>'raw data Crude oil'!G1704</f>
        <v>82.91</v>
      </c>
      <c r="H1703">
        <f>'raw data Crude oil'!H1704</f>
        <v>82.49</v>
      </c>
      <c r="I1703">
        <f>'raw data Crude oil'!I1704</f>
        <v>82.09</v>
      </c>
      <c r="J1703">
        <f>'raw data Crude oil'!J1704</f>
        <v>81.680000000000007</v>
      </c>
      <c r="K1703">
        <f>'raw data Crude oil'!K1704</f>
        <v>81.28</v>
      </c>
      <c r="L1703">
        <f>'raw data Crude oil'!L1704</f>
        <v>80.87</v>
      </c>
      <c r="M1703">
        <f>'raw data Crude oil'!M1704</f>
        <v>80.48</v>
      </c>
      <c r="N1703">
        <f>'raw data Crude oil'!N1704</f>
        <v>81.55</v>
      </c>
      <c r="O1703">
        <f>'raw data Crude oil'!O1704</f>
        <v>81.08</v>
      </c>
      <c r="P1703">
        <f>'raw data Crude oil'!P1704</f>
        <v>80.61</v>
      </c>
      <c r="Q1703">
        <f>'raw data Crude oil'!Q1704</f>
        <v>80.12</v>
      </c>
      <c r="R1703">
        <f>'raw data Crude oil'!R1704</f>
        <v>79.63</v>
      </c>
      <c r="S1703">
        <f>'raw data Crude oil'!S1704</f>
        <v>79.150000000000006</v>
      </c>
      <c r="T1703">
        <f>'raw data Crude oil'!T1704</f>
        <v>78.69</v>
      </c>
      <c r="U1703">
        <f>'raw data Crude oil'!U1704</f>
        <v>78.22</v>
      </c>
      <c r="V1703">
        <f>'raw data Crude oil'!V1704</f>
        <v>77.78</v>
      </c>
      <c r="W1703">
        <f>'raw data Crude oil'!W1704</f>
        <v>77.319999999999993</v>
      </c>
      <c r="X1703">
        <f>'raw data Crude oil'!X1704</f>
        <v>76.84</v>
      </c>
      <c r="Y1703">
        <f>'raw data Crude oil'!Y1704</f>
        <v>76.38</v>
      </c>
      <c r="Z1703">
        <f>'raw data Crude oil'!Z1704</f>
        <v>86.117999999999995</v>
      </c>
      <c r="AA1703">
        <f>'raw data Crude oil'!AA1704</f>
        <v>85.185000000000002</v>
      </c>
      <c r="AB1703">
        <f>'raw data Crude oil'!AB1704</f>
        <v>84.304000000000002</v>
      </c>
      <c r="AC1703">
        <f>'raw data Crude oil'!AC1704</f>
        <v>83.555999999999997</v>
      </c>
      <c r="AD1703">
        <f>'raw data Crude oil'!AD1704</f>
        <v>82.905000000000001</v>
      </c>
      <c r="AE1703">
        <f>'raw data Crude oil'!AE1704</f>
        <v>82.331000000000003</v>
      </c>
      <c r="AF1703">
        <f>'raw data Crude oil'!AF1704</f>
        <v>81.811000000000007</v>
      </c>
      <c r="AG1703">
        <f>'raw data Crude oil'!AG1704</f>
        <v>81.33</v>
      </c>
      <c r="AH1703">
        <f>'raw data Crude oil'!AH1704</f>
        <v>80.882000000000005</v>
      </c>
      <c r="AI1703">
        <f>'raw data Crude oil'!AI1704</f>
        <v>80.441999999999993</v>
      </c>
      <c r="AJ1703">
        <f>'raw data Crude oil'!AJ1704</f>
        <v>79.980999999999995</v>
      </c>
      <c r="AK1703">
        <f>'raw data Crude oil'!AK1704</f>
        <v>79.563000000000002</v>
      </c>
    </row>
    <row r="1704" spans="1:37" x14ac:dyDescent="0.3">
      <c r="A1704" s="18">
        <f>'raw data Crude oil'!A1705</f>
        <v>45142</v>
      </c>
      <c r="B1704">
        <f>'raw data Crude oil'!B1705</f>
        <v>86.24</v>
      </c>
      <c r="C1704">
        <f>'raw data Crude oil'!C1705</f>
        <v>85.78</v>
      </c>
      <c r="D1704">
        <f>'raw data Crude oil'!D1705</f>
        <v>85.32</v>
      </c>
      <c r="E1704">
        <f>'raw data Crude oil'!E1705</f>
        <v>84.85</v>
      </c>
      <c r="F1704">
        <f>'raw data Crude oil'!F1705</f>
        <v>84.39</v>
      </c>
      <c r="G1704">
        <f>'raw data Crude oil'!G1705</f>
        <v>83.93</v>
      </c>
      <c r="H1704">
        <f>'raw data Crude oil'!H1705</f>
        <v>83.49</v>
      </c>
      <c r="I1704">
        <f>'raw data Crude oil'!I1705</f>
        <v>83.07</v>
      </c>
      <c r="J1704">
        <f>'raw data Crude oil'!J1705</f>
        <v>82.64</v>
      </c>
      <c r="K1704">
        <f>'raw data Crude oil'!K1705</f>
        <v>82.22</v>
      </c>
      <c r="L1704">
        <f>'raw data Crude oil'!L1705</f>
        <v>81.8</v>
      </c>
      <c r="M1704">
        <f>'raw data Crude oil'!M1705</f>
        <v>81.39</v>
      </c>
      <c r="N1704">
        <f>'raw data Crude oil'!N1705</f>
        <v>82.82</v>
      </c>
      <c r="O1704">
        <f>'raw data Crude oil'!O1705</f>
        <v>82.27</v>
      </c>
      <c r="P1704">
        <f>'raw data Crude oil'!P1705</f>
        <v>81.75</v>
      </c>
      <c r="Q1704">
        <f>'raw data Crude oil'!Q1705</f>
        <v>81.209999999999994</v>
      </c>
      <c r="R1704">
        <f>'raw data Crude oil'!R1705</f>
        <v>80.680000000000007</v>
      </c>
      <c r="S1704">
        <f>'raw data Crude oil'!S1705</f>
        <v>80.150000000000006</v>
      </c>
      <c r="T1704">
        <f>'raw data Crude oil'!T1705</f>
        <v>79.66</v>
      </c>
      <c r="U1704">
        <f>'raw data Crude oil'!U1705</f>
        <v>79.180000000000007</v>
      </c>
      <c r="V1704">
        <f>'raw data Crude oil'!V1705</f>
        <v>78.72</v>
      </c>
      <c r="W1704">
        <f>'raw data Crude oil'!W1705</f>
        <v>78.25</v>
      </c>
      <c r="X1704">
        <f>'raw data Crude oil'!X1705</f>
        <v>77.75</v>
      </c>
      <c r="Y1704">
        <f>'raw data Crude oil'!Y1705</f>
        <v>77.27</v>
      </c>
      <c r="Z1704">
        <f>'raw data Crude oil'!Z1705</f>
        <v>87.308999999999997</v>
      </c>
      <c r="AA1704">
        <f>'raw data Crude oil'!AA1705</f>
        <v>86.563000000000002</v>
      </c>
      <c r="AB1704">
        <f>'raw data Crude oil'!AB1705</f>
        <v>85.603999999999999</v>
      </c>
      <c r="AC1704">
        <f>'raw data Crude oil'!AC1705</f>
        <v>84.793999999999997</v>
      </c>
      <c r="AD1704">
        <f>'raw data Crude oil'!AD1705</f>
        <v>84.103999999999999</v>
      </c>
      <c r="AE1704">
        <f>'raw data Crude oil'!AE1705</f>
        <v>83.515000000000001</v>
      </c>
      <c r="AF1704">
        <f>'raw data Crude oil'!AF1705</f>
        <v>82.99</v>
      </c>
      <c r="AG1704">
        <f>'raw data Crude oil'!AG1705</f>
        <v>82.489000000000004</v>
      </c>
      <c r="AH1704">
        <f>'raw data Crude oil'!AH1705</f>
        <v>81.936000000000007</v>
      </c>
      <c r="AI1704">
        <f>'raw data Crude oil'!AI1705</f>
        <v>81.481999999999999</v>
      </c>
      <c r="AJ1704">
        <f>'raw data Crude oil'!AJ1705</f>
        <v>81.064999999999998</v>
      </c>
      <c r="AK1704">
        <f>'raw data Crude oil'!AK1705</f>
        <v>80.522999999999996</v>
      </c>
    </row>
    <row r="1705" spans="1:37" x14ac:dyDescent="0.3">
      <c r="A1705" s="18">
        <f>'raw data Crude oil'!A1706</f>
        <v>45145</v>
      </c>
      <c r="B1705">
        <f>'raw data Crude oil'!B1706</f>
        <v>85.34</v>
      </c>
      <c r="C1705">
        <f>'raw data Crude oil'!C1706</f>
        <v>84.94</v>
      </c>
      <c r="D1705">
        <f>'raw data Crude oil'!D1706</f>
        <v>84.54</v>
      </c>
      <c r="E1705">
        <f>'raw data Crude oil'!E1706</f>
        <v>84.14</v>
      </c>
      <c r="F1705">
        <f>'raw data Crude oil'!F1706</f>
        <v>83.74</v>
      </c>
      <c r="G1705">
        <f>'raw data Crude oil'!G1706</f>
        <v>83.33</v>
      </c>
      <c r="H1705">
        <f>'raw data Crude oil'!H1706</f>
        <v>82.93</v>
      </c>
      <c r="I1705">
        <f>'raw data Crude oil'!I1706</f>
        <v>82.54</v>
      </c>
      <c r="J1705">
        <f>'raw data Crude oil'!J1706</f>
        <v>82.14</v>
      </c>
      <c r="K1705">
        <f>'raw data Crude oil'!K1706</f>
        <v>81.75</v>
      </c>
      <c r="L1705">
        <f>'raw data Crude oil'!L1706</f>
        <v>81.36</v>
      </c>
      <c r="M1705">
        <f>'raw data Crude oil'!M1706</f>
        <v>80.98</v>
      </c>
      <c r="N1705">
        <f>'raw data Crude oil'!N1706</f>
        <v>81.94</v>
      </c>
      <c r="O1705">
        <f>'raw data Crude oil'!O1706</f>
        <v>81.489999999999995</v>
      </c>
      <c r="P1705">
        <f>'raw data Crude oil'!P1706</f>
        <v>81.02</v>
      </c>
      <c r="Q1705">
        <f>'raw data Crude oil'!Q1706</f>
        <v>80.53</v>
      </c>
      <c r="R1705">
        <f>'raw data Crude oil'!R1706</f>
        <v>80.05</v>
      </c>
      <c r="S1705">
        <f>'raw data Crude oil'!S1706</f>
        <v>79.58</v>
      </c>
      <c r="T1705">
        <f>'raw data Crude oil'!T1706</f>
        <v>79.13</v>
      </c>
      <c r="U1705">
        <f>'raw data Crude oil'!U1706</f>
        <v>78.69</v>
      </c>
      <c r="V1705">
        <f>'raw data Crude oil'!V1706</f>
        <v>78.260000000000005</v>
      </c>
      <c r="W1705">
        <f>'raw data Crude oil'!W1706</f>
        <v>77.819999999999993</v>
      </c>
      <c r="X1705">
        <f>'raw data Crude oil'!X1706</f>
        <v>77.37</v>
      </c>
      <c r="Y1705">
        <f>'raw data Crude oil'!Y1706</f>
        <v>76.92</v>
      </c>
      <c r="Z1705">
        <f>'raw data Crude oil'!Z1706</f>
        <v>86.817999999999998</v>
      </c>
      <c r="AA1705">
        <f>'raw data Crude oil'!AA1706</f>
        <v>85.801000000000002</v>
      </c>
      <c r="AB1705">
        <f>'raw data Crude oil'!AB1706</f>
        <v>84.856999999999999</v>
      </c>
      <c r="AC1705">
        <f>'raw data Crude oil'!AC1706</f>
        <v>84.09</v>
      </c>
      <c r="AD1705">
        <f>'raw data Crude oil'!AD1706</f>
        <v>83.427999999999997</v>
      </c>
      <c r="AE1705">
        <f>'raw data Crude oil'!AE1706</f>
        <v>82.88</v>
      </c>
      <c r="AF1705">
        <f>'raw data Crude oil'!AF1706</f>
        <v>82.38</v>
      </c>
      <c r="AG1705">
        <f>'raw data Crude oil'!AG1706</f>
        <v>81.921000000000006</v>
      </c>
      <c r="AH1705">
        <f>'raw data Crude oil'!AH1706</f>
        <v>81.481999999999999</v>
      </c>
      <c r="AI1705">
        <f>'raw data Crude oil'!AI1706</f>
        <v>81.063000000000002</v>
      </c>
      <c r="AJ1705">
        <f>'raw data Crude oil'!AJ1706</f>
        <v>80.631</v>
      </c>
      <c r="AK1705">
        <f>'raw data Crude oil'!AK1706</f>
        <v>80.203999999999994</v>
      </c>
    </row>
    <row r="1706" spans="1:37" x14ac:dyDescent="0.3">
      <c r="A1706" s="18">
        <f>'raw data Crude oil'!A1707</f>
        <v>45146</v>
      </c>
      <c r="B1706">
        <f>'raw data Crude oil'!B1707</f>
        <v>86.17</v>
      </c>
      <c r="C1706">
        <f>'raw data Crude oil'!C1707</f>
        <v>85.67</v>
      </c>
      <c r="D1706">
        <f>'raw data Crude oil'!D1707</f>
        <v>85.24</v>
      </c>
      <c r="E1706">
        <f>'raw data Crude oil'!E1707</f>
        <v>84.81</v>
      </c>
      <c r="F1706">
        <f>'raw data Crude oil'!F1707</f>
        <v>84.4</v>
      </c>
      <c r="G1706">
        <f>'raw data Crude oil'!G1707</f>
        <v>83.98</v>
      </c>
      <c r="H1706">
        <f>'raw data Crude oil'!H1707</f>
        <v>83.57</v>
      </c>
      <c r="I1706">
        <f>'raw data Crude oil'!I1707</f>
        <v>83.18</v>
      </c>
      <c r="J1706">
        <f>'raw data Crude oil'!J1707</f>
        <v>82.77</v>
      </c>
      <c r="K1706">
        <f>'raw data Crude oil'!K1707</f>
        <v>82.37</v>
      </c>
      <c r="L1706">
        <f>'raw data Crude oil'!L1707</f>
        <v>81.97</v>
      </c>
      <c r="M1706">
        <f>'raw data Crude oil'!M1707</f>
        <v>81.58</v>
      </c>
      <c r="N1706">
        <f>'raw data Crude oil'!N1707</f>
        <v>82.92</v>
      </c>
      <c r="O1706">
        <f>'raw data Crude oil'!O1707</f>
        <v>82.36</v>
      </c>
      <c r="P1706">
        <f>'raw data Crude oil'!P1707</f>
        <v>81.849999999999994</v>
      </c>
      <c r="Q1706">
        <f>'raw data Crude oil'!Q1707</f>
        <v>81.349999999999994</v>
      </c>
      <c r="R1706">
        <f>'raw data Crude oil'!R1707</f>
        <v>80.84</v>
      </c>
      <c r="S1706">
        <f>'raw data Crude oil'!S1707</f>
        <v>80.33</v>
      </c>
      <c r="T1706">
        <f>'raw data Crude oil'!T1707</f>
        <v>79.87</v>
      </c>
      <c r="U1706">
        <f>'raw data Crude oil'!U1707</f>
        <v>79.41</v>
      </c>
      <c r="V1706">
        <f>'raw data Crude oil'!V1707</f>
        <v>78.97</v>
      </c>
      <c r="W1706">
        <f>'raw data Crude oil'!W1707</f>
        <v>78.52</v>
      </c>
      <c r="X1706">
        <f>'raw data Crude oil'!X1707</f>
        <v>78.040000000000006</v>
      </c>
      <c r="Y1706">
        <f>'raw data Crude oil'!Y1707</f>
        <v>77.58</v>
      </c>
      <c r="Z1706">
        <f>'raw data Crude oil'!Z1707</f>
        <v>87.287000000000006</v>
      </c>
      <c r="AA1706">
        <f>'raw data Crude oil'!AA1707</f>
        <v>86.54</v>
      </c>
      <c r="AB1706">
        <f>'raw data Crude oil'!AB1707</f>
        <v>85.599000000000004</v>
      </c>
      <c r="AC1706">
        <f>'raw data Crude oil'!AC1707</f>
        <v>84.825999999999993</v>
      </c>
      <c r="AD1706">
        <f>'raw data Crude oil'!AD1707</f>
        <v>84.173000000000002</v>
      </c>
      <c r="AE1706">
        <f>'raw data Crude oil'!AE1707</f>
        <v>83.626000000000005</v>
      </c>
      <c r="AF1706">
        <f>'raw data Crude oil'!AF1707</f>
        <v>83.120999999999995</v>
      </c>
      <c r="AG1706">
        <f>'raw data Crude oil'!AG1707</f>
        <v>82.66</v>
      </c>
      <c r="AH1706">
        <f>'raw data Crude oil'!AH1707</f>
        <v>82.182000000000002</v>
      </c>
      <c r="AI1706">
        <f>'raw data Crude oil'!AI1707</f>
        <v>81.722999999999999</v>
      </c>
      <c r="AJ1706">
        <f>'raw data Crude oil'!AJ1707</f>
        <v>81.290999999999997</v>
      </c>
      <c r="AK1706">
        <f>'raw data Crude oil'!AK1707</f>
        <v>80.864000000000004</v>
      </c>
    </row>
    <row r="1707" spans="1:37" x14ac:dyDescent="0.3">
      <c r="A1707" s="18">
        <f>'raw data Crude oil'!A1708</f>
        <v>45147</v>
      </c>
      <c r="B1707">
        <f>'raw data Crude oil'!B1708</f>
        <v>87.55</v>
      </c>
      <c r="C1707">
        <f>'raw data Crude oil'!C1708</f>
        <v>86.92</v>
      </c>
      <c r="D1707">
        <f>'raw data Crude oil'!D1708</f>
        <v>86.41</v>
      </c>
      <c r="E1707">
        <f>'raw data Crude oil'!E1708</f>
        <v>85.92</v>
      </c>
      <c r="F1707">
        <f>'raw data Crude oil'!F1708</f>
        <v>85.45</v>
      </c>
      <c r="G1707">
        <f>'raw data Crude oil'!G1708</f>
        <v>84.97</v>
      </c>
      <c r="H1707">
        <f>'raw data Crude oil'!H1708</f>
        <v>84.51</v>
      </c>
      <c r="I1707">
        <f>'raw data Crude oil'!I1708</f>
        <v>84.07</v>
      </c>
      <c r="J1707">
        <f>'raw data Crude oil'!J1708</f>
        <v>83.62</v>
      </c>
      <c r="K1707">
        <f>'raw data Crude oil'!K1708</f>
        <v>83.19</v>
      </c>
      <c r="L1707">
        <f>'raw data Crude oil'!L1708</f>
        <v>82.75</v>
      </c>
      <c r="M1707">
        <f>'raw data Crude oil'!M1708</f>
        <v>82.33</v>
      </c>
      <c r="N1707">
        <f>'raw data Crude oil'!N1708</f>
        <v>84.4</v>
      </c>
      <c r="O1707">
        <f>'raw data Crude oil'!O1708</f>
        <v>83.69</v>
      </c>
      <c r="P1707">
        <f>'raw data Crude oil'!P1708</f>
        <v>83.07</v>
      </c>
      <c r="Q1707">
        <f>'raw data Crude oil'!Q1708</f>
        <v>82.49</v>
      </c>
      <c r="R1707">
        <f>'raw data Crude oil'!R1708</f>
        <v>81.91</v>
      </c>
      <c r="S1707">
        <f>'raw data Crude oil'!S1708</f>
        <v>81.36</v>
      </c>
      <c r="T1707">
        <f>'raw data Crude oil'!T1708</f>
        <v>80.83</v>
      </c>
      <c r="U1707">
        <f>'raw data Crude oil'!U1708</f>
        <v>80.319999999999993</v>
      </c>
      <c r="V1707">
        <f>'raw data Crude oil'!V1708</f>
        <v>79.83</v>
      </c>
      <c r="W1707">
        <f>'raw data Crude oil'!W1708</f>
        <v>79.34</v>
      </c>
      <c r="X1707">
        <f>'raw data Crude oil'!X1708</f>
        <v>78.83</v>
      </c>
      <c r="Y1707">
        <f>'raw data Crude oil'!Y1708</f>
        <v>78.34</v>
      </c>
      <c r="Z1707">
        <f>'raw data Crude oil'!Z1708</f>
        <v>88.164000000000001</v>
      </c>
      <c r="AA1707">
        <f>'raw data Crude oil'!AA1708</f>
        <v>87.695999999999998</v>
      </c>
      <c r="AB1707">
        <f>'raw data Crude oil'!AB1708</f>
        <v>86.695999999999998</v>
      </c>
      <c r="AC1707">
        <f>'raw data Crude oil'!AC1708</f>
        <v>85.876999999999995</v>
      </c>
      <c r="AD1707">
        <f>'raw data Crude oil'!AD1708</f>
        <v>85.173000000000002</v>
      </c>
      <c r="AE1707">
        <f>'raw data Crude oil'!AE1708</f>
        <v>84.578999999999994</v>
      </c>
      <c r="AF1707">
        <f>'raw data Crude oil'!AF1708</f>
        <v>84.028999999999996</v>
      </c>
      <c r="AG1707">
        <f>'raw data Crude oil'!AG1708</f>
        <v>83.518000000000001</v>
      </c>
      <c r="AH1707">
        <f>'raw data Crude oil'!AH1708</f>
        <v>83</v>
      </c>
      <c r="AI1707">
        <f>'raw data Crude oil'!AI1708</f>
        <v>82.521000000000001</v>
      </c>
      <c r="AJ1707">
        <f>'raw data Crude oil'!AJ1708</f>
        <v>82.028999999999996</v>
      </c>
      <c r="AK1707">
        <f>'raw data Crude oil'!AK1708</f>
        <v>81.572999999999993</v>
      </c>
    </row>
    <row r="1708" spans="1:37" x14ac:dyDescent="0.3">
      <c r="A1708" s="18">
        <f>'raw data Crude oil'!A1709</f>
        <v>45148</v>
      </c>
      <c r="B1708">
        <f>'raw data Crude oil'!B1709</f>
        <v>86.4</v>
      </c>
      <c r="C1708">
        <f>'raw data Crude oil'!C1709</f>
        <v>85.84</v>
      </c>
      <c r="D1708">
        <f>'raw data Crude oil'!D1709</f>
        <v>85.38</v>
      </c>
      <c r="E1708">
        <f>'raw data Crude oil'!E1709</f>
        <v>84.94</v>
      </c>
      <c r="F1708">
        <f>'raw data Crude oil'!F1709</f>
        <v>84.51</v>
      </c>
      <c r="G1708">
        <f>'raw data Crude oil'!G1709</f>
        <v>84.06</v>
      </c>
      <c r="H1708">
        <f>'raw data Crude oil'!H1709</f>
        <v>83.62</v>
      </c>
      <c r="I1708">
        <f>'raw data Crude oil'!I1709</f>
        <v>83.21</v>
      </c>
      <c r="J1708">
        <f>'raw data Crude oil'!J1709</f>
        <v>82.79</v>
      </c>
      <c r="K1708">
        <f>'raw data Crude oil'!K1709</f>
        <v>82.38</v>
      </c>
      <c r="L1708">
        <f>'raw data Crude oil'!L1709</f>
        <v>81.96</v>
      </c>
      <c r="M1708">
        <f>'raw data Crude oil'!M1709</f>
        <v>81.56</v>
      </c>
      <c r="N1708">
        <f>'raw data Crude oil'!N1709</f>
        <v>82.82</v>
      </c>
      <c r="O1708">
        <f>'raw data Crude oil'!O1709</f>
        <v>82.29</v>
      </c>
      <c r="P1708">
        <f>'raw data Crude oil'!P1709</f>
        <v>81.8</v>
      </c>
      <c r="Q1708">
        <f>'raw data Crude oil'!Q1709</f>
        <v>81.33</v>
      </c>
      <c r="R1708">
        <f>'raw data Crude oil'!R1709</f>
        <v>80.849999999999994</v>
      </c>
      <c r="S1708">
        <f>'raw data Crude oil'!S1709</f>
        <v>80.37</v>
      </c>
      <c r="T1708">
        <f>'raw data Crude oil'!T1709</f>
        <v>79.89</v>
      </c>
      <c r="U1708">
        <f>'raw data Crude oil'!U1709</f>
        <v>79.42</v>
      </c>
      <c r="V1708">
        <f>'raw data Crude oil'!V1709</f>
        <v>78.959999999999994</v>
      </c>
      <c r="W1708">
        <f>'raw data Crude oil'!W1709</f>
        <v>78.48</v>
      </c>
      <c r="X1708">
        <f>'raw data Crude oil'!X1709</f>
        <v>78</v>
      </c>
      <c r="Y1708">
        <f>'raw data Crude oil'!Y1709</f>
        <v>77.52</v>
      </c>
      <c r="Z1708">
        <f>'raw data Crude oil'!Z1709</f>
        <v>87.39</v>
      </c>
      <c r="AA1708">
        <f>'raw data Crude oil'!AA1709</f>
        <v>86.548000000000002</v>
      </c>
      <c r="AB1708">
        <f>'raw data Crude oil'!AB1709</f>
        <v>85.61</v>
      </c>
      <c r="AC1708">
        <f>'raw data Crude oil'!AC1709</f>
        <v>84.85</v>
      </c>
      <c r="AD1708">
        <f>'raw data Crude oil'!AD1709</f>
        <v>84.16</v>
      </c>
      <c r="AE1708">
        <f>'raw data Crude oil'!AE1709</f>
        <v>83.59</v>
      </c>
      <c r="AF1708">
        <f>'raw data Crude oil'!AF1709</f>
        <v>83.06</v>
      </c>
      <c r="AG1708">
        <f>'raw data Crude oil'!AG1709</f>
        <v>82.578999999999994</v>
      </c>
      <c r="AH1708">
        <f>'raw data Crude oil'!AH1709</f>
        <v>82.100999999999999</v>
      </c>
      <c r="AI1708">
        <f>'raw data Crude oil'!AI1709</f>
        <v>81.652000000000001</v>
      </c>
      <c r="AJ1708">
        <f>'raw data Crude oil'!AJ1709</f>
        <v>81.19</v>
      </c>
      <c r="AK1708">
        <f>'raw data Crude oil'!AK1709</f>
        <v>80.753</v>
      </c>
    </row>
    <row r="1709" spans="1:37" x14ac:dyDescent="0.3">
      <c r="A1709" s="18">
        <f>'raw data Crude oil'!A1710</f>
        <v>45149</v>
      </c>
      <c r="B1709">
        <f>'raw data Crude oil'!B1710</f>
        <v>86.81</v>
      </c>
      <c r="C1709">
        <f>'raw data Crude oil'!C1710</f>
        <v>86.14</v>
      </c>
      <c r="D1709">
        <f>'raw data Crude oil'!D1710</f>
        <v>85.59</v>
      </c>
      <c r="E1709">
        <f>'raw data Crude oil'!E1710</f>
        <v>85.1</v>
      </c>
      <c r="F1709">
        <f>'raw data Crude oil'!F1710</f>
        <v>84.63</v>
      </c>
      <c r="G1709">
        <f>'raw data Crude oil'!G1710</f>
        <v>84.16</v>
      </c>
      <c r="H1709">
        <f>'raw data Crude oil'!H1710</f>
        <v>83.71</v>
      </c>
      <c r="I1709">
        <f>'raw data Crude oil'!I1710</f>
        <v>83.29</v>
      </c>
      <c r="J1709">
        <f>'raw data Crude oil'!J1710</f>
        <v>82.86</v>
      </c>
      <c r="K1709">
        <f>'raw data Crude oil'!K1710</f>
        <v>82.43</v>
      </c>
      <c r="L1709">
        <f>'raw data Crude oil'!L1710</f>
        <v>82.02</v>
      </c>
      <c r="M1709">
        <f>'raw data Crude oil'!M1710</f>
        <v>81.61</v>
      </c>
      <c r="N1709">
        <f>'raw data Crude oil'!N1710</f>
        <v>83.19</v>
      </c>
      <c r="O1709">
        <f>'raw data Crude oil'!O1710</f>
        <v>82.57</v>
      </c>
      <c r="P1709">
        <f>'raw data Crude oil'!P1710</f>
        <v>82.02</v>
      </c>
      <c r="Q1709">
        <f>'raw data Crude oil'!Q1710</f>
        <v>81.510000000000005</v>
      </c>
      <c r="R1709">
        <f>'raw data Crude oil'!R1710</f>
        <v>81</v>
      </c>
      <c r="S1709">
        <f>'raw data Crude oil'!S1710</f>
        <v>80.489999999999995</v>
      </c>
      <c r="T1709">
        <f>'raw data Crude oil'!T1710</f>
        <v>79.98</v>
      </c>
      <c r="U1709">
        <f>'raw data Crude oil'!U1710</f>
        <v>79.489999999999995</v>
      </c>
      <c r="V1709">
        <f>'raw data Crude oil'!V1710</f>
        <v>79.010000000000005</v>
      </c>
      <c r="W1709">
        <f>'raw data Crude oil'!W1710</f>
        <v>78.52</v>
      </c>
      <c r="X1709">
        <f>'raw data Crude oil'!X1710</f>
        <v>78.010000000000005</v>
      </c>
      <c r="Y1709">
        <f>'raw data Crude oil'!Y1710</f>
        <v>77.53</v>
      </c>
      <c r="Z1709">
        <f>'raw data Crude oil'!Z1710</f>
        <v>87.536000000000001</v>
      </c>
      <c r="AA1709">
        <f>'raw data Crude oil'!AA1710</f>
        <v>86.763999999999996</v>
      </c>
      <c r="AB1709">
        <f>'raw data Crude oil'!AB1710</f>
        <v>85.808000000000007</v>
      </c>
      <c r="AC1709">
        <f>'raw data Crude oil'!AC1710</f>
        <v>85.013999999999996</v>
      </c>
      <c r="AD1709">
        <f>'raw data Crude oil'!AD1710</f>
        <v>84.308000000000007</v>
      </c>
      <c r="AE1709">
        <f>'raw data Crude oil'!AE1710</f>
        <v>83.72</v>
      </c>
      <c r="AF1709">
        <f>'raw data Crude oil'!AF1710</f>
        <v>83.18</v>
      </c>
      <c r="AG1709">
        <f>'raw data Crude oil'!AG1710</f>
        <v>82.688999999999993</v>
      </c>
      <c r="AH1709">
        <f>'raw data Crude oil'!AH1710</f>
        <v>82.19</v>
      </c>
      <c r="AI1709">
        <f>'raw data Crude oil'!AI1710</f>
        <v>81.721999999999994</v>
      </c>
      <c r="AJ1709">
        <f>'raw data Crude oil'!AJ1710</f>
        <v>81.27</v>
      </c>
      <c r="AK1709">
        <f>'raw data Crude oil'!AK1710</f>
        <v>80.813000000000002</v>
      </c>
    </row>
    <row r="1710" spans="1:37" x14ac:dyDescent="0.3">
      <c r="A1710" s="18">
        <f>'raw data Crude oil'!A1711</f>
        <v>45152</v>
      </c>
      <c r="B1710">
        <f>'raw data Crude oil'!B1711</f>
        <v>86.21</v>
      </c>
      <c r="C1710">
        <f>'raw data Crude oil'!C1711</f>
        <v>85.51</v>
      </c>
      <c r="D1710">
        <f>'raw data Crude oil'!D1711</f>
        <v>84.94</v>
      </c>
      <c r="E1710">
        <f>'raw data Crude oil'!E1711</f>
        <v>84.45</v>
      </c>
      <c r="F1710">
        <f>'raw data Crude oil'!F1711</f>
        <v>83.99</v>
      </c>
      <c r="G1710">
        <f>'raw data Crude oil'!G1711</f>
        <v>83.54</v>
      </c>
      <c r="H1710">
        <f>'raw data Crude oil'!H1711</f>
        <v>83.12</v>
      </c>
      <c r="I1710">
        <f>'raw data Crude oil'!I1711</f>
        <v>82.72</v>
      </c>
      <c r="J1710">
        <f>'raw data Crude oil'!J1711</f>
        <v>82.32</v>
      </c>
      <c r="K1710">
        <f>'raw data Crude oil'!K1711</f>
        <v>81.92</v>
      </c>
      <c r="L1710">
        <f>'raw data Crude oil'!L1711</f>
        <v>81.52</v>
      </c>
      <c r="M1710">
        <f>'raw data Crude oil'!M1711</f>
        <v>81.13</v>
      </c>
      <c r="N1710">
        <f>'raw data Crude oil'!N1711</f>
        <v>82.51</v>
      </c>
      <c r="O1710">
        <f>'raw data Crude oil'!O1711</f>
        <v>81.92</v>
      </c>
      <c r="P1710">
        <f>'raw data Crude oil'!P1711</f>
        <v>81.37</v>
      </c>
      <c r="Q1710">
        <f>'raw data Crude oil'!Q1711</f>
        <v>80.86</v>
      </c>
      <c r="R1710">
        <f>'raw data Crude oil'!R1711</f>
        <v>80.36</v>
      </c>
      <c r="S1710">
        <f>'raw data Crude oil'!S1711</f>
        <v>79.87</v>
      </c>
      <c r="T1710">
        <f>'raw data Crude oil'!T1711</f>
        <v>79.39</v>
      </c>
      <c r="U1710">
        <f>'raw data Crude oil'!U1711</f>
        <v>78.930000000000007</v>
      </c>
      <c r="V1710">
        <f>'raw data Crude oil'!V1711</f>
        <v>78.47</v>
      </c>
      <c r="W1710">
        <f>'raw data Crude oil'!W1711</f>
        <v>78.010000000000005</v>
      </c>
      <c r="X1710">
        <f>'raw data Crude oil'!X1711</f>
        <v>77.53</v>
      </c>
      <c r="Y1710">
        <f>'raw data Crude oil'!Y1711</f>
        <v>77.069999999999993</v>
      </c>
      <c r="Z1710">
        <f>'raw data Crude oil'!Z1711</f>
        <v>87.167000000000002</v>
      </c>
      <c r="AA1710">
        <f>'raw data Crude oil'!AA1711</f>
        <v>86.173000000000002</v>
      </c>
      <c r="AB1710">
        <f>'raw data Crude oil'!AB1711</f>
        <v>85.197999999999993</v>
      </c>
      <c r="AC1710">
        <f>'raw data Crude oil'!AC1711</f>
        <v>84.399000000000001</v>
      </c>
      <c r="AD1710">
        <f>'raw data Crude oil'!AD1711</f>
        <v>83.704999999999998</v>
      </c>
      <c r="AE1710">
        <f>'raw data Crude oil'!AE1711</f>
        <v>83.131</v>
      </c>
      <c r="AF1710">
        <f>'raw data Crude oil'!AF1711</f>
        <v>82.611000000000004</v>
      </c>
      <c r="AG1710">
        <f>'raw data Crude oil'!AG1711</f>
        <v>82.14</v>
      </c>
      <c r="AH1710">
        <f>'raw data Crude oil'!AH1711</f>
        <v>81.701999999999998</v>
      </c>
      <c r="AI1710">
        <f>'raw data Crude oil'!AI1711</f>
        <v>81.272999999999996</v>
      </c>
      <c r="AJ1710">
        <f>'raw data Crude oil'!AJ1711</f>
        <v>80.831000000000003</v>
      </c>
      <c r="AK1710">
        <f>'raw data Crude oil'!AK1711</f>
        <v>80.384</v>
      </c>
    </row>
    <row r="1711" spans="1:37" x14ac:dyDescent="0.3">
      <c r="A1711" s="18">
        <f>'raw data Crude oil'!A1712</f>
        <v>45153</v>
      </c>
      <c r="B1711">
        <f>'raw data Crude oil'!B1712</f>
        <v>84.89</v>
      </c>
      <c r="C1711">
        <f>'raw data Crude oil'!C1712</f>
        <v>84.28</v>
      </c>
      <c r="D1711">
        <f>'raw data Crude oil'!D1712</f>
        <v>83.77</v>
      </c>
      <c r="E1711">
        <f>'raw data Crude oil'!E1712</f>
        <v>83.33</v>
      </c>
      <c r="F1711">
        <f>'raw data Crude oil'!F1712</f>
        <v>82.92</v>
      </c>
      <c r="G1711">
        <f>'raw data Crude oil'!G1712</f>
        <v>82.51</v>
      </c>
      <c r="H1711">
        <f>'raw data Crude oil'!H1712</f>
        <v>82.11</v>
      </c>
      <c r="I1711">
        <f>'raw data Crude oil'!I1712</f>
        <v>81.73</v>
      </c>
      <c r="J1711">
        <f>'raw data Crude oil'!J1712</f>
        <v>81.349999999999994</v>
      </c>
      <c r="K1711">
        <f>'raw data Crude oil'!K1712</f>
        <v>80.97</v>
      </c>
      <c r="L1711">
        <f>'raw data Crude oil'!L1712</f>
        <v>80.599999999999994</v>
      </c>
      <c r="M1711">
        <f>'raw data Crude oil'!M1712</f>
        <v>80.23</v>
      </c>
      <c r="N1711">
        <f>'raw data Crude oil'!N1712</f>
        <v>80.989999999999995</v>
      </c>
      <c r="O1711">
        <f>'raw data Crude oil'!O1712</f>
        <v>80.5</v>
      </c>
      <c r="P1711">
        <f>'raw data Crude oil'!P1712</f>
        <v>80.05</v>
      </c>
      <c r="Q1711">
        <f>'raw data Crude oil'!Q1712</f>
        <v>79.61</v>
      </c>
      <c r="R1711">
        <f>'raw data Crude oil'!R1712</f>
        <v>79.17</v>
      </c>
      <c r="S1711">
        <f>'raw data Crude oil'!S1712</f>
        <v>78.72</v>
      </c>
      <c r="T1711">
        <f>'raw data Crude oil'!T1712</f>
        <v>78.290000000000006</v>
      </c>
      <c r="U1711">
        <f>'raw data Crude oil'!U1712</f>
        <v>77.849999999999994</v>
      </c>
      <c r="V1711">
        <f>'raw data Crude oil'!V1712</f>
        <v>77.430000000000007</v>
      </c>
      <c r="W1711">
        <f>'raw data Crude oil'!W1712</f>
        <v>77.010000000000005</v>
      </c>
      <c r="X1711">
        <f>'raw data Crude oil'!X1712</f>
        <v>76.569999999999993</v>
      </c>
      <c r="Y1711">
        <f>'raw data Crude oil'!Y1712</f>
        <v>76.13</v>
      </c>
      <c r="Z1711">
        <f>'raw data Crude oil'!Z1712</f>
        <v>86.415999999999997</v>
      </c>
      <c r="AA1711">
        <f>'raw data Crude oil'!AA1712</f>
        <v>84.850999999999999</v>
      </c>
      <c r="AB1711">
        <f>'raw data Crude oil'!AB1712</f>
        <v>83.935000000000002</v>
      </c>
      <c r="AC1711">
        <f>'raw data Crude oil'!AC1712</f>
        <v>83.195999999999998</v>
      </c>
      <c r="AD1711">
        <f>'raw data Crude oil'!AD1712</f>
        <v>82.554000000000002</v>
      </c>
      <c r="AE1711">
        <f>'raw data Crude oil'!AE1712</f>
        <v>82.024000000000001</v>
      </c>
      <c r="AF1711">
        <f>'raw data Crude oil'!AF1712</f>
        <v>81.534000000000006</v>
      </c>
      <c r="AG1711">
        <f>'raw data Crude oil'!AG1712</f>
        <v>81.090999999999994</v>
      </c>
      <c r="AH1711">
        <f>'raw data Crude oil'!AH1712</f>
        <v>80.662999999999997</v>
      </c>
      <c r="AI1711">
        <f>'raw data Crude oil'!AI1712</f>
        <v>80.244</v>
      </c>
      <c r="AJ1711">
        <f>'raw data Crude oil'!AJ1712</f>
        <v>79.841999999999999</v>
      </c>
      <c r="AK1711">
        <f>'raw data Crude oil'!AK1712</f>
        <v>79.435000000000002</v>
      </c>
    </row>
    <row r="1712" spans="1:37" x14ac:dyDescent="0.3">
      <c r="A1712" s="18">
        <f>'raw data Crude oil'!A1713</f>
        <v>45154</v>
      </c>
      <c r="B1712">
        <f>'raw data Crude oil'!B1713</f>
        <v>83.45</v>
      </c>
      <c r="C1712">
        <f>'raw data Crude oil'!C1713</f>
        <v>83.02</v>
      </c>
      <c r="D1712">
        <f>'raw data Crude oil'!D1713</f>
        <v>82.6</v>
      </c>
      <c r="E1712">
        <f>'raw data Crude oil'!E1713</f>
        <v>82.22</v>
      </c>
      <c r="F1712">
        <f>'raw data Crude oil'!F1713</f>
        <v>81.87</v>
      </c>
      <c r="G1712">
        <f>'raw data Crude oil'!G1713</f>
        <v>81.52</v>
      </c>
      <c r="H1712">
        <f>'raw data Crude oil'!H1713</f>
        <v>81.180000000000007</v>
      </c>
      <c r="I1712">
        <f>'raw data Crude oil'!I1713</f>
        <v>80.849999999999994</v>
      </c>
      <c r="J1712">
        <f>'raw data Crude oil'!J1713</f>
        <v>80.52</v>
      </c>
      <c r="K1712">
        <f>'raw data Crude oil'!K1713</f>
        <v>80.19</v>
      </c>
      <c r="L1712">
        <f>'raw data Crude oil'!L1713</f>
        <v>79.86</v>
      </c>
      <c r="M1712">
        <f>'raw data Crude oil'!M1713</f>
        <v>79.540000000000006</v>
      </c>
      <c r="N1712">
        <f>'raw data Crude oil'!N1713</f>
        <v>79.38</v>
      </c>
      <c r="O1712">
        <f>'raw data Crude oil'!O1713</f>
        <v>79.02</v>
      </c>
      <c r="P1712">
        <f>'raw data Crude oil'!P1713</f>
        <v>78.73</v>
      </c>
      <c r="Q1712">
        <f>'raw data Crude oil'!Q1713</f>
        <v>78.42</v>
      </c>
      <c r="R1712">
        <f>'raw data Crude oil'!R1713</f>
        <v>78.09</v>
      </c>
      <c r="S1712">
        <f>'raw data Crude oil'!S1713</f>
        <v>77.739999999999995</v>
      </c>
      <c r="T1712">
        <f>'raw data Crude oil'!T1713</f>
        <v>77.38</v>
      </c>
      <c r="U1712">
        <f>'raw data Crude oil'!U1713</f>
        <v>77.02</v>
      </c>
      <c r="V1712">
        <f>'raw data Crude oil'!V1713</f>
        <v>76.67</v>
      </c>
      <c r="W1712">
        <f>'raw data Crude oil'!W1713</f>
        <v>76.3</v>
      </c>
      <c r="X1712">
        <f>'raw data Crude oil'!X1713</f>
        <v>75.92</v>
      </c>
      <c r="Y1712">
        <f>'raw data Crude oil'!Y1713</f>
        <v>75.55</v>
      </c>
      <c r="Z1712">
        <f>'raw data Crude oil'!Z1713</f>
        <v>85.677999999999997</v>
      </c>
      <c r="AA1712">
        <f>'raw data Crude oil'!AA1713</f>
        <v>83.424999999999997</v>
      </c>
      <c r="AB1712">
        <f>'raw data Crude oil'!AB1713</f>
        <v>82.602000000000004</v>
      </c>
      <c r="AC1712">
        <f>'raw data Crude oil'!AC1713</f>
        <v>81.953000000000003</v>
      </c>
      <c r="AD1712">
        <f>'raw data Crude oil'!AD1713</f>
        <v>81.381</v>
      </c>
      <c r="AE1712">
        <f>'raw data Crude oil'!AE1713</f>
        <v>80.900999999999996</v>
      </c>
      <c r="AF1712">
        <f>'raw data Crude oil'!AF1713</f>
        <v>80.463999999999999</v>
      </c>
      <c r="AG1712">
        <f>'raw data Crude oil'!AG1713</f>
        <v>80.073999999999998</v>
      </c>
      <c r="AH1712">
        <f>'raw data Crude oil'!AH1713</f>
        <v>79.694999999999993</v>
      </c>
      <c r="AI1712">
        <f>'raw data Crude oil'!AI1713</f>
        <v>79.325999999999993</v>
      </c>
      <c r="AJ1712">
        <f>'raw data Crude oil'!AJ1713</f>
        <v>78.974000000000004</v>
      </c>
      <c r="AK1712">
        <f>'raw data Crude oil'!AK1713</f>
        <v>78.626999999999995</v>
      </c>
    </row>
    <row r="1713" spans="1:37" x14ac:dyDescent="0.3">
      <c r="A1713" s="18">
        <f>'raw data Crude oil'!A1714</f>
        <v>45155</v>
      </c>
      <c r="B1713">
        <f>'raw data Crude oil'!B1714</f>
        <v>84.12</v>
      </c>
      <c r="C1713">
        <f>'raw data Crude oil'!C1714</f>
        <v>83.67</v>
      </c>
      <c r="D1713">
        <f>'raw data Crude oil'!D1714</f>
        <v>83.24</v>
      </c>
      <c r="E1713">
        <f>'raw data Crude oil'!E1714</f>
        <v>82.84</v>
      </c>
      <c r="F1713">
        <f>'raw data Crude oil'!F1714</f>
        <v>82.47</v>
      </c>
      <c r="G1713">
        <f>'raw data Crude oil'!G1714</f>
        <v>82.09</v>
      </c>
      <c r="H1713">
        <f>'raw data Crude oil'!H1714</f>
        <v>81.72</v>
      </c>
      <c r="I1713">
        <f>'raw data Crude oil'!I1714</f>
        <v>81.37</v>
      </c>
      <c r="J1713">
        <f>'raw data Crude oil'!J1714</f>
        <v>81.02</v>
      </c>
      <c r="K1713">
        <f>'raw data Crude oil'!K1714</f>
        <v>80.680000000000007</v>
      </c>
      <c r="L1713">
        <f>'raw data Crude oil'!L1714</f>
        <v>80.33</v>
      </c>
      <c r="M1713">
        <f>'raw data Crude oil'!M1714</f>
        <v>79.989999999999995</v>
      </c>
      <c r="N1713">
        <f>'raw data Crude oil'!N1714</f>
        <v>80.39</v>
      </c>
      <c r="O1713">
        <f>'raw data Crude oil'!O1714</f>
        <v>79.900000000000006</v>
      </c>
      <c r="P1713">
        <f>'raw data Crude oil'!P1714</f>
        <v>79.510000000000005</v>
      </c>
      <c r="Q1713">
        <f>'raw data Crude oil'!Q1714</f>
        <v>79.11</v>
      </c>
      <c r="R1713">
        <f>'raw data Crude oil'!R1714</f>
        <v>78.72</v>
      </c>
      <c r="S1713">
        <f>'raw data Crude oil'!S1714</f>
        <v>78.319999999999993</v>
      </c>
      <c r="T1713">
        <f>'raw data Crude oil'!T1714</f>
        <v>77.94</v>
      </c>
      <c r="U1713">
        <f>'raw data Crude oil'!U1714</f>
        <v>77.540000000000006</v>
      </c>
      <c r="V1713">
        <f>'raw data Crude oil'!V1714</f>
        <v>77.17</v>
      </c>
      <c r="W1713">
        <f>'raw data Crude oil'!W1714</f>
        <v>76.790000000000006</v>
      </c>
      <c r="X1713">
        <f>'raw data Crude oil'!X1714</f>
        <v>76.400000000000006</v>
      </c>
      <c r="Y1713">
        <f>'raw data Crude oil'!Y1714</f>
        <v>76</v>
      </c>
      <c r="Z1713">
        <f>'raw data Crude oil'!Z1714</f>
        <v>86.120999999999995</v>
      </c>
      <c r="AA1713">
        <f>'raw data Crude oil'!AA1714</f>
        <v>84.260999999999996</v>
      </c>
      <c r="AB1713">
        <f>'raw data Crude oil'!AB1714</f>
        <v>83.411000000000001</v>
      </c>
      <c r="AC1713">
        <f>'raw data Crude oil'!AC1714</f>
        <v>82.721999999999994</v>
      </c>
      <c r="AD1713">
        <f>'raw data Crude oil'!AD1714</f>
        <v>82.122</v>
      </c>
      <c r="AE1713">
        <f>'raw data Crude oil'!AE1714</f>
        <v>81.613</v>
      </c>
      <c r="AF1713">
        <f>'raw data Crude oil'!AF1714</f>
        <v>81.153000000000006</v>
      </c>
      <c r="AG1713">
        <f>'raw data Crude oil'!AG1714</f>
        <v>80.742999999999995</v>
      </c>
      <c r="AH1713">
        <f>'raw data Crude oil'!AH1714</f>
        <v>80.295000000000002</v>
      </c>
      <c r="AI1713">
        <f>'raw data Crude oil'!AI1714</f>
        <v>79.905000000000001</v>
      </c>
      <c r="AJ1713">
        <f>'raw data Crude oil'!AJ1714</f>
        <v>79.533000000000001</v>
      </c>
      <c r="AK1713">
        <f>'raw data Crude oil'!AK1714</f>
        <v>79.165999999999997</v>
      </c>
    </row>
    <row r="1714" spans="1:37" x14ac:dyDescent="0.3">
      <c r="A1714" s="18">
        <f>'raw data Crude oil'!A1715</f>
        <v>45156</v>
      </c>
      <c r="B1714">
        <f>'raw data Crude oil'!B1715</f>
        <v>84.8</v>
      </c>
      <c r="C1714">
        <f>'raw data Crude oil'!C1715</f>
        <v>84.36</v>
      </c>
      <c r="D1714">
        <f>'raw data Crude oil'!D1715</f>
        <v>83.94</v>
      </c>
      <c r="E1714">
        <f>'raw data Crude oil'!E1715</f>
        <v>83.54</v>
      </c>
      <c r="F1714">
        <f>'raw data Crude oil'!F1715</f>
        <v>83.16</v>
      </c>
      <c r="G1714">
        <f>'raw data Crude oil'!G1715</f>
        <v>82.78</v>
      </c>
      <c r="H1714">
        <f>'raw data Crude oil'!H1715</f>
        <v>82.41</v>
      </c>
      <c r="I1714">
        <f>'raw data Crude oil'!I1715</f>
        <v>82.05</v>
      </c>
      <c r="J1714">
        <f>'raw data Crude oil'!J1715</f>
        <v>81.7</v>
      </c>
      <c r="K1714">
        <f>'raw data Crude oil'!K1715</f>
        <v>81.34</v>
      </c>
      <c r="L1714">
        <f>'raw data Crude oil'!L1715</f>
        <v>80.989999999999995</v>
      </c>
      <c r="M1714">
        <f>'raw data Crude oil'!M1715</f>
        <v>80.64</v>
      </c>
      <c r="N1714">
        <f>'raw data Crude oil'!N1715</f>
        <v>81.25</v>
      </c>
      <c r="O1714">
        <f>'raw data Crude oil'!O1715</f>
        <v>80.66</v>
      </c>
      <c r="P1714">
        <f>'raw data Crude oil'!P1715</f>
        <v>80.2</v>
      </c>
      <c r="Q1714">
        <f>'raw data Crude oil'!Q1715</f>
        <v>79.75</v>
      </c>
      <c r="R1714">
        <f>'raw data Crude oil'!R1715</f>
        <v>79.33</v>
      </c>
      <c r="S1714">
        <f>'raw data Crude oil'!S1715</f>
        <v>78.92</v>
      </c>
      <c r="T1714">
        <f>'raw data Crude oil'!T1715</f>
        <v>78.52</v>
      </c>
      <c r="U1714">
        <f>'raw data Crude oil'!U1715</f>
        <v>78.13</v>
      </c>
      <c r="V1714">
        <f>'raw data Crude oil'!V1715</f>
        <v>77.75</v>
      </c>
      <c r="W1714">
        <f>'raw data Crude oil'!W1715</f>
        <v>77.37</v>
      </c>
      <c r="X1714">
        <f>'raw data Crude oil'!X1715</f>
        <v>76.98</v>
      </c>
      <c r="Y1714">
        <f>'raw data Crude oil'!Y1715</f>
        <v>76.569999999999993</v>
      </c>
      <c r="Z1714">
        <f>'raw data Crude oil'!Z1715</f>
        <v>86.415000000000006</v>
      </c>
      <c r="AA1714">
        <f>'raw data Crude oil'!AA1715</f>
        <v>85.05</v>
      </c>
      <c r="AB1714">
        <f>'raw data Crude oil'!AB1715</f>
        <v>84.213999999999999</v>
      </c>
      <c r="AC1714">
        <f>'raw data Crude oil'!AC1715</f>
        <v>83.510999999999996</v>
      </c>
      <c r="AD1714">
        <f>'raw data Crude oil'!AD1715</f>
        <v>82.902000000000001</v>
      </c>
      <c r="AE1714">
        <f>'raw data Crude oil'!AE1715</f>
        <v>82.378</v>
      </c>
      <c r="AF1714">
        <f>'raw data Crude oil'!AF1715</f>
        <v>81.912999999999997</v>
      </c>
      <c r="AG1714">
        <f>'raw data Crude oil'!AG1715</f>
        <v>81.483000000000004</v>
      </c>
      <c r="AH1714">
        <f>'raw data Crude oil'!AH1715</f>
        <v>81.063999999999993</v>
      </c>
      <c r="AI1714">
        <f>'raw data Crude oil'!AI1715</f>
        <v>80.655000000000001</v>
      </c>
      <c r="AJ1714">
        <f>'raw data Crude oil'!AJ1715</f>
        <v>80.253</v>
      </c>
      <c r="AK1714">
        <f>'raw data Crude oil'!AK1715</f>
        <v>79.876000000000005</v>
      </c>
    </row>
    <row r="1715" spans="1:37" x14ac:dyDescent="0.3">
      <c r="A1715" s="18">
        <f>'raw data Crude oil'!A1716</f>
        <v>45159</v>
      </c>
      <c r="B1715">
        <f>'raw data Crude oil'!B1716</f>
        <v>84.46</v>
      </c>
      <c r="C1715">
        <f>'raw data Crude oil'!C1716</f>
        <v>84.09</v>
      </c>
      <c r="D1715">
        <f>'raw data Crude oil'!D1716</f>
        <v>83.7</v>
      </c>
      <c r="E1715">
        <f>'raw data Crude oil'!E1716</f>
        <v>83.33</v>
      </c>
      <c r="F1715">
        <f>'raw data Crude oil'!F1716</f>
        <v>82.97</v>
      </c>
      <c r="G1715">
        <f>'raw data Crude oil'!G1716</f>
        <v>82.62</v>
      </c>
      <c r="H1715">
        <f>'raw data Crude oil'!H1716</f>
        <v>82.28</v>
      </c>
      <c r="I1715">
        <f>'raw data Crude oil'!I1716</f>
        <v>81.95</v>
      </c>
      <c r="J1715">
        <f>'raw data Crude oil'!J1716</f>
        <v>81.599999999999994</v>
      </c>
      <c r="K1715">
        <f>'raw data Crude oil'!K1716</f>
        <v>81.27</v>
      </c>
      <c r="L1715">
        <f>'raw data Crude oil'!L1716</f>
        <v>80.930000000000007</v>
      </c>
      <c r="M1715">
        <f>'raw data Crude oil'!M1716</f>
        <v>80.599999999999994</v>
      </c>
      <c r="N1715">
        <f>'raw data Crude oil'!N1716</f>
        <v>80.72</v>
      </c>
      <c r="O1715">
        <f>'raw data Crude oil'!O1716</f>
        <v>80.12</v>
      </c>
      <c r="P1715">
        <f>'raw data Crude oil'!P1716</f>
        <v>79.760000000000005</v>
      </c>
      <c r="Q1715">
        <f>'raw data Crude oil'!Q1716</f>
        <v>79.38</v>
      </c>
      <c r="R1715">
        <f>'raw data Crude oil'!R1716</f>
        <v>79.010000000000005</v>
      </c>
      <c r="S1715">
        <f>'raw data Crude oil'!S1716</f>
        <v>78.64</v>
      </c>
      <c r="T1715">
        <f>'raw data Crude oil'!T1716</f>
        <v>78.28</v>
      </c>
      <c r="U1715">
        <f>'raw data Crude oil'!U1716</f>
        <v>77.92</v>
      </c>
      <c r="V1715">
        <f>'raw data Crude oil'!V1716</f>
        <v>77.56</v>
      </c>
      <c r="W1715">
        <f>'raw data Crude oil'!W1716</f>
        <v>77.2</v>
      </c>
      <c r="X1715">
        <f>'raw data Crude oil'!X1716</f>
        <v>76.819999999999993</v>
      </c>
      <c r="Y1715">
        <f>'raw data Crude oil'!Y1716</f>
        <v>76.45</v>
      </c>
      <c r="Z1715">
        <f>'raw data Crude oil'!Z1716</f>
        <v>86.399000000000001</v>
      </c>
      <c r="AA1715">
        <f>'raw data Crude oil'!AA1716</f>
        <v>84.891000000000005</v>
      </c>
      <c r="AB1715">
        <f>'raw data Crude oil'!AB1716</f>
        <v>84.05</v>
      </c>
      <c r="AC1715">
        <f>'raw data Crude oil'!AC1716</f>
        <v>83.358999999999995</v>
      </c>
      <c r="AD1715">
        <f>'raw data Crude oil'!AD1716</f>
        <v>82.757999999999996</v>
      </c>
      <c r="AE1715">
        <f>'raw data Crude oil'!AE1716</f>
        <v>82.257999999999996</v>
      </c>
      <c r="AF1715">
        <f>'raw data Crude oil'!AF1716</f>
        <v>81.807000000000002</v>
      </c>
      <c r="AG1715">
        <f>'raw data Crude oil'!AG1716</f>
        <v>81.387</v>
      </c>
      <c r="AH1715">
        <f>'raw data Crude oil'!AH1716</f>
        <v>80.984999999999999</v>
      </c>
      <c r="AI1715">
        <f>'raw data Crude oil'!AI1716</f>
        <v>80.584999999999994</v>
      </c>
      <c r="AJ1715">
        <f>'raw data Crude oil'!AJ1716</f>
        <v>80.203999999999994</v>
      </c>
      <c r="AK1715">
        <f>'raw data Crude oil'!AK1716</f>
        <v>79.816000000000003</v>
      </c>
    </row>
    <row r="1716" spans="1:37" x14ac:dyDescent="0.3">
      <c r="A1716" s="18">
        <f>'raw data Crude oil'!A1717</f>
        <v>45160</v>
      </c>
      <c r="B1716">
        <f>'raw data Crude oil'!B1717</f>
        <v>84.03</v>
      </c>
      <c r="C1716">
        <f>'raw data Crude oil'!C1717</f>
        <v>83.69</v>
      </c>
      <c r="D1716">
        <f>'raw data Crude oil'!D1717</f>
        <v>83.35</v>
      </c>
      <c r="E1716">
        <f>'raw data Crude oil'!E1717</f>
        <v>83.01</v>
      </c>
      <c r="F1716">
        <f>'raw data Crude oil'!F1717</f>
        <v>82.67</v>
      </c>
      <c r="G1716">
        <f>'raw data Crude oil'!G1717</f>
        <v>82.33</v>
      </c>
      <c r="H1716">
        <f>'raw data Crude oil'!H1717</f>
        <v>82.01</v>
      </c>
      <c r="I1716">
        <f>'raw data Crude oil'!I1717</f>
        <v>81.69</v>
      </c>
      <c r="J1716">
        <f>'raw data Crude oil'!J1717</f>
        <v>81.36</v>
      </c>
      <c r="K1716">
        <f>'raw data Crude oil'!K1717</f>
        <v>81.040000000000006</v>
      </c>
      <c r="L1716">
        <f>'raw data Crude oil'!L1717</f>
        <v>80.709999999999994</v>
      </c>
      <c r="M1716">
        <f>'raw data Crude oil'!M1717</f>
        <v>80.38</v>
      </c>
      <c r="N1716">
        <f>'raw data Crude oil'!N1717</f>
        <v>80.349999999999994</v>
      </c>
      <c r="O1716">
        <f>'raw data Crude oil'!O1717</f>
        <v>79.64</v>
      </c>
      <c r="P1716">
        <f>'raw data Crude oil'!P1717</f>
        <v>79.349999999999994</v>
      </c>
      <c r="Q1716">
        <f>'raw data Crude oil'!Q1717</f>
        <v>79.03</v>
      </c>
      <c r="R1716">
        <f>'raw data Crude oil'!R1717</f>
        <v>78.7</v>
      </c>
      <c r="S1716">
        <f>'raw data Crude oil'!S1717</f>
        <v>78.349999999999994</v>
      </c>
      <c r="T1716">
        <f>'raw data Crude oil'!T1717</f>
        <v>77.989999999999995</v>
      </c>
      <c r="U1716">
        <f>'raw data Crude oil'!U1717</f>
        <v>77.63</v>
      </c>
      <c r="V1716">
        <f>'raw data Crude oil'!V1717</f>
        <v>77.28</v>
      </c>
      <c r="W1716">
        <f>'raw data Crude oil'!W1717</f>
        <v>76.94</v>
      </c>
      <c r="X1716">
        <f>'raw data Crude oil'!X1717</f>
        <v>76.569999999999993</v>
      </c>
      <c r="Y1716">
        <f>'raw data Crude oil'!Y1717</f>
        <v>76.209999999999994</v>
      </c>
      <c r="Z1716">
        <f>'raw data Crude oil'!Z1717</f>
        <v>86.290999999999997</v>
      </c>
      <c r="AA1716">
        <f>'raw data Crude oil'!AA1717</f>
        <v>84.581000000000003</v>
      </c>
      <c r="AB1716">
        <f>'raw data Crude oil'!AB1717</f>
        <v>83.756</v>
      </c>
      <c r="AC1716">
        <f>'raw data Crude oil'!AC1717</f>
        <v>83.094999999999999</v>
      </c>
      <c r="AD1716">
        <f>'raw data Crude oil'!AD1717</f>
        <v>82.506</v>
      </c>
      <c r="AE1716">
        <f>'raw data Crude oil'!AE1717</f>
        <v>82.004999999999995</v>
      </c>
      <c r="AF1716">
        <f>'raw data Crude oil'!AF1717</f>
        <v>81.564999999999998</v>
      </c>
      <c r="AG1716">
        <f>'raw data Crude oil'!AG1717</f>
        <v>81.153999999999996</v>
      </c>
      <c r="AH1716">
        <f>'raw data Crude oil'!AH1717</f>
        <v>80.745000000000005</v>
      </c>
      <c r="AI1716">
        <f>'raw data Crude oil'!AI1717</f>
        <v>80.366</v>
      </c>
      <c r="AJ1716">
        <f>'raw data Crude oil'!AJ1717</f>
        <v>79.983999999999995</v>
      </c>
      <c r="AK1716">
        <f>'raw data Crude oil'!AK1717</f>
        <v>79.617000000000004</v>
      </c>
    </row>
    <row r="1717" spans="1:37" x14ac:dyDescent="0.3">
      <c r="A1717" s="18">
        <f>'raw data Crude oil'!A1718</f>
        <v>45161</v>
      </c>
      <c r="B1717">
        <f>'raw data Crude oil'!B1718</f>
        <v>83.21</v>
      </c>
      <c r="C1717">
        <f>'raw data Crude oil'!C1718</f>
        <v>82.84</v>
      </c>
      <c r="D1717">
        <f>'raw data Crude oil'!D1718</f>
        <v>82.55</v>
      </c>
      <c r="E1717">
        <f>'raw data Crude oil'!E1718</f>
        <v>82.23</v>
      </c>
      <c r="F1717">
        <f>'raw data Crude oil'!F1718</f>
        <v>81.900000000000006</v>
      </c>
      <c r="G1717">
        <f>'raw data Crude oil'!G1718</f>
        <v>81.569999999999993</v>
      </c>
      <c r="H1717">
        <f>'raw data Crude oil'!H1718</f>
        <v>81.260000000000005</v>
      </c>
      <c r="I1717">
        <f>'raw data Crude oil'!I1718</f>
        <v>80.959999999999994</v>
      </c>
      <c r="J1717">
        <f>'raw data Crude oil'!J1718</f>
        <v>80.650000000000006</v>
      </c>
      <c r="K1717">
        <f>'raw data Crude oil'!K1718</f>
        <v>80.34</v>
      </c>
      <c r="L1717">
        <f>'raw data Crude oil'!L1718</f>
        <v>80.02</v>
      </c>
      <c r="M1717">
        <f>'raw data Crude oil'!M1718</f>
        <v>79.72</v>
      </c>
      <c r="N1717">
        <f>'raw data Crude oil'!N1718</f>
        <v>78.89</v>
      </c>
      <c r="O1717">
        <f>'raw data Crude oil'!O1718</f>
        <v>78.59</v>
      </c>
      <c r="P1717">
        <f>'raw data Crude oil'!P1718</f>
        <v>78.28</v>
      </c>
      <c r="Q1717">
        <f>'raw data Crude oil'!Q1718</f>
        <v>77.959999999999994</v>
      </c>
      <c r="R1717">
        <f>'raw data Crude oil'!R1718</f>
        <v>77.62</v>
      </c>
      <c r="S1717">
        <f>'raw data Crude oil'!S1718</f>
        <v>77.290000000000006</v>
      </c>
      <c r="T1717">
        <f>'raw data Crude oil'!T1718</f>
        <v>76.95</v>
      </c>
      <c r="U1717">
        <f>'raw data Crude oil'!U1718</f>
        <v>76.63</v>
      </c>
      <c r="V1717">
        <f>'raw data Crude oil'!V1718</f>
        <v>76.3</v>
      </c>
      <c r="W1717">
        <f>'raw data Crude oil'!W1718</f>
        <v>75.95</v>
      </c>
      <c r="X1717">
        <f>'raw data Crude oil'!X1718</f>
        <v>75.599999999999994</v>
      </c>
      <c r="Y1717">
        <f>'raw data Crude oil'!Y1718</f>
        <v>75.27</v>
      </c>
      <c r="Z1717">
        <f>'raw data Crude oil'!Z1718</f>
        <v>86.106999999999999</v>
      </c>
      <c r="AA1717">
        <f>'raw data Crude oil'!AA1718</f>
        <v>83.956000000000003</v>
      </c>
      <c r="AB1717">
        <f>'raw data Crude oil'!AB1718</f>
        <v>83.185000000000002</v>
      </c>
      <c r="AC1717">
        <f>'raw data Crude oil'!AC1718</f>
        <v>82.534000000000006</v>
      </c>
      <c r="AD1717">
        <f>'raw data Crude oil'!AD1718</f>
        <v>81.956999999999994</v>
      </c>
      <c r="AE1717">
        <f>'raw data Crude oil'!AE1718</f>
        <v>81.445999999999998</v>
      </c>
      <c r="AF1717">
        <f>'raw data Crude oil'!AF1718</f>
        <v>81.006</v>
      </c>
      <c r="AG1717">
        <f>'raw data Crude oil'!AG1718</f>
        <v>80.605000000000004</v>
      </c>
      <c r="AH1717">
        <f>'raw data Crude oil'!AH1718</f>
        <v>80.195999999999998</v>
      </c>
      <c r="AI1717">
        <f>'raw data Crude oil'!AI1718</f>
        <v>79.816000000000003</v>
      </c>
      <c r="AJ1717">
        <f>'raw data Crude oil'!AJ1718</f>
        <v>79.435000000000002</v>
      </c>
      <c r="AK1717">
        <f>'raw data Crude oil'!AK1718</f>
        <v>79.066999999999993</v>
      </c>
    </row>
    <row r="1718" spans="1:37" x14ac:dyDescent="0.3">
      <c r="A1718" s="18">
        <f>'raw data Crude oil'!A1719</f>
        <v>45162</v>
      </c>
      <c r="B1718">
        <f>'raw data Crude oil'!B1719</f>
        <v>83.36</v>
      </c>
      <c r="C1718">
        <f>'raw data Crude oil'!C1719</f>
        <v>82.92</v>
      </c>
      <c r="D1718">
        <f>'raw data Crude oil'!D1719</f>
        <v>82.57</v>
      </c>
      <c r="E1718">
        <f>'raw data Crude oil'!E1719</f>
        <v>82.21</v>
      </c>
      <c r="F1718">
        <f>'raw data Crude oil'!F1719</f>
        <v>81.84</v>
      </c>
      <c r="G1718">
        <f>'raw data Crude oil'!G1719</f>
        <v>81.48</v>
      </c>
      <c r="H1718">
        <f>'raw data Crude oil'!H1719</f>
        <v>81.14</v>
      </c>
      <c r="I1718">
        <f>'raw data Crude oil'!I1719</f>
        <v>80.81</v>
      </c>
      <c r="J1718">
        <f>'raw data Crude oil'!J1719</f>
        <v>80.48</v>
      </c>
      <c r="K1718">
        <f>'raw data Crude oil'!K1719</f>
        <v>80.150000000000006</v>
      </c>
      <c r="L1718">
        <f>'raw data Crude oil'!L1719</f>
        <v>79.819999999999993</v>
      </c>
      <c r="M1718">
        <f>'raw data Crude oil'!M1719</f>
        <v>79.489999999999995</v>
      </c>
      <c r="N1718">
        <f>'raw data Crude oil'!N1719</f>
        <v>79.05</v>
      </c>
      <c r="O1718">
        <f>'raw data Crude oil'!O1719</f>
        <v>78.66</v>
      </c>
      <c r="P1718">
        <f>'raw data Crude oil'!P1719</f>
        <v>78.260000000000005</v>
      </c>
      <c r="Q1718">
        <f>'raw data Crude oil'!Q1719</f>
        <v>77.87</v>
      </c>
      <c r="R1718">
        <f>'raw data Crude oil'!R1719</f>
        <v>77.48</v>
      </c>
      <c r="S1718">
        <f>'raw data Crude oil'!S1719</f>
        <v>77.11</v>
      </c>
      <c r="T1718">
        <f>'raw data Crude oil'!T1719</f>
        <v>76.760000000000005</v>
      </c>
      <c r="U1718">
        <f>'raw data Crude oil'!U1719</f>
        <v>76.42</v>
      </c>
      <c r="V1718">
        <f>'raw data Crude oil'!V1719</f>
        <v>76.069999999999993</v>
      </c>
      <c r="W1718">
        <f>'raw data Crude oil'!W1719</f>
        <v>75.7</v>
      </c>
      <c r="X1718">
        <f>'raw data Crude oil'!X1719</f>
        <v>75.33</v>
      </c>
      <c r="Y1718">
        <f>'raw data Crude oil'!Y1719</f>
        <v>74.98</v>
      </c>
      <c r="Z1718">
        <f>'raw data Crude oil'!Z1719</f>
        <v>86.197999999999993</v>
      </c>
      <c r="AA1718">
        <f>'raw data Crude oil'!AA1719</f>
        <v>84.343000000000004</v>
      </c>
      <c r="AB1718">
        <f>'raw data Crude oil'!AB1719</f>
        <v>83.516000000000005</v>
      </c>
      <c r="AC1718">
        <f>'raw data Crude oil'!AC1719</f>
        <v>82.802999999999997</v>
      </c>
      <c r="AD1718">
        <f>'raw data Crude oil'!AD1719</f>
        <v>82.174000000000007</v>
      </c>
      <c r="AE1718">
        <f>'raw data Crude oil'!AE1719</f>
        <v>81.605000000000004</v>
      </c>
      <c r="AF1718">
        <f>'raw data Crude oil'!AF1719</f>
        <v>81.108999999999995</v>
      </c>
      <c r="AG1718">
        <f>'raw data Crude oil'!AG1719</f>
        <v>80.644000000000005</v>
      </c>
      <c r="AH1718">
        <f>'raw data Crude oil'!AH1719</f>
        <v>80.254999999999995</v>
      </c>
      <c r="AI1718">
        <f>'raw data Crude oil'!AI1719</f>
        <v>79.846000000000004</v>
      </c>
      <c r="AJ1718">
        <f>'raw data Crude oil'!AJ1719</f>
        <v>79.463999999999999</v>
      </c>
      <c r="AK1718">
        <f>'raw data Crude oil'!AK1719</f>
        <v>79.057000000000002</v>
      </c>
    </row>
    <row r="1719" spans="1:37" x14ac:dyDescent="0.3">
      <c r="A1719" s="18">
        <f>'raw data Crude oil'!A1720</f>
        <v>45163</v>
      </c>
      <c r="B1719">
        <f>'raw data Crude oil'!B1720</f>
        <v>84.48</v>
      </c>
      <c r="C1719">
        <f>'raw data Crude oil'!C1720</f>
        <v>83.95</v>
      </c>
      <c r="D1719">
        <f>'raw data Crude oil'!D1720</f>
        <v>83.56</v>
      </c>
      <c r="E1719">
        <f>'raw data Crude oil'!E1720</f>
        <v>83.16</v>
      </c>
      <c r="F1719">
        <f>'raw data Crude oil'!F1720</f>
        <v>82.75</v>
      </c>
      <c r="G1719">
        <f>'raw data Crude oil'!G1720</f>
        <v>82.35</v>
      </c>
      <c r="H1719">
        <f>'raw data Crude oil'!H1720</f>
        <v>81.98</v>
      </c>
      <c r="I1719">
        <f>'raw data Crude oil'!I1720</f>
        <v>81.63</v>
      </c>
      <c r="J1719">
        <f>'raw data Crude oil'!J1720</f>
        <v>81.27</v>
      </c>
      <c r="K1719">
        <f>'raw data Crude oil'!K1720</f>
        <v>80.930000000000007</v>
      </c>
      <c r="L1719">
        <f>'raw data Crude oil'!L1720</f>
        <v>80.569999999999993</v>
      </c>
      <c r="M1719">
        <f>'raw data Crude oil'!M1720</f>
        <v>80.22</v>
      </c>
      <c r="N1719">
        <f>'raw data Crude oil'!N1720</f>
        <v>79.83</v>
      </c>
      <c r="O1719">
        <f>'raw data Crude oil'!O1720</f>
        <v>79.489999999999995</v>
      </c>
      <c r="P1719">
        <f>'raw data Crude oil'!P1720</f>
        <v>79.09</v>
      </c>
      <c r="Q1719">
        <f>'raw data Crude oil'!Q1720</f>
        <v>78.69</v>
      </c>
      <c r="R1719">
        <f>'raw data Crude oil'!R1720</f>
        <v>78.290000000000006</v>
      </c>
      <c r="S1719">
        <f>'raw data Crude oil'!S1720</f>
        <v>77.900000000000006</v>
      </c>
      <c r="T1719">
        <f>'raw data Crude oil'!T1720</f>
        <v>77.52</v>
      </c>
      <c r="U1719">
        <f>'raw data Crude oil'!U1720</f>
        <v>77.16</v>
      </c>
      <c r="V1719">
        <f>'raw data Crude oil'!V1720</f>
        <v>76.8</v>
      </c>
      <c r="W1719">
        <f>'raw data Crude oil'!W1720</f>
        <v>76.42</v>
      </c>
      <c r="X1719">
        <f>'raw data Crude oil'!X1720</f>
        <v>76.040000000000006</v>
      </c>
      <c r="Y1719">
        <f>'raw data Crude oil'!Y1720</f>
        <v>75.67</v>
      </c>
      <c r="Z1719">
        <f>'raw data Crude oil'!Z1720</f>
        <v>86.373000000000005</v>
      </c>
      <c r="AA1719">
        <f>'raw data Crude oil'!AA1720</f>
        <v>85.111000000000004</v>
      </c>
      <c r="AB1719">
        <f>'raw data Crude oil'!AB1720</f>
        <v>84.248000000000005</v>
      </c>
      <c r="AC1719">
        <f>'raw data Crude oil'!AC1720</f>
        <v>83.501000000000005</v>
      </c>
      <c r="AD1719">
        <f>'raw data Crude oil'!AD1720</f>
        <v>82.86</v>
      </c>
      <c r="AE1719">
        <f>'raw data Crude oil'!AE1720</f>
        <v>82.272999999999996</v>
      </c>
      <c r="AF1719">
        <f>'raw data Crude oil'!AF1720</f>
        <v>81.753</v>
      </c>
      <c r="AG1719">
        <f>'raw data Crude oil'!AG1720</f>
        <v>81.281999999999996</v>
      </c>
      <c r="AH1719">
        <f>'raw data Crude oil'!AH1720</f>
        <v>80.825000000000003</v>
      </c>
      <c r="AI1719">
        <f>'raw data Crude oil'!AI1720</f>
        <v>80.403999999999996</v>
      </c>
      <c r="AJ1719">
        <f>'raw data Crude oil'!AJ1720</f>
        <v>79.972999999999999</v>
      </c>
      <c r="AK1719">
        <f>'raw data Crude oil'!AK1720</f>
        <v>79.575999999999993</v>
      </c>
    </row>
    <row r="1720" spans="1:37" x14ac:dyDescent="0.3">
      <c r="A1720" s="18">
        <f>'raw data Crude oil'!A1721</f>
        <v>45166</v>
      </c>
      <c r="B1720">
        <f>'raw data Crude oil'!B1721</f>
        <v>84.42</v>
      </c>
      <c r="C1720">
        <f>'raw data Crude oil'!C1721</f>
        <v>83.87</v>
      </c>
      <c r="D1720">
        <f>'raw data Crude oil'!D1721</f>
        <v>83.48</v>
      </c>
      <c r="E1720">
        <f>'raw data Crude oil'!E1721</f>
        <v>83.07</v>
      </c>
      <c r="F1720">
        <f>'raw data Crude oil'!F1721</f>
        <v>82.66</v>
      </c>
      <c r="G1720">
        <f>'raw data Crude oil'!G1721</f>
        <v>82.26</v>
      </c>
      <c r="H1720">
        <f>'raw data Crude oil'!H1721</f>
        <v>81.88</v>
      </c>
      <c r="I1720">
        <f>'raw data Crude oil'!I1721</f>
        <v>81.510000000000005</v>
      </c>
      <c r="J1720">
        <f>'raw data Crude oil'!J1721</f>
        <v>81.150000000000006</v>
      </c>
      <c r="K1720">
        <f>'raw data Crude oil'!K1721</f>
        <v>80.790000000000006</v>
      </c>
      <c r="L1720">
        <f>'raw data Crude oil'!L1721</f>
        <v>80.42</v>
      </c>
      <c r="M1720">
        <f>'raw data Crude oil'!M1721</f>
        <v>80.06</v>
      </c>
      <c r="N1720">
        <f>'raw data Crude oil'!N1721</f>
        <v>80.099999999999994</v>
      </c>
      <c r="O1720">
        <f>'raw data Crude oil'!O1721</f>
        <v>79.67</v>
      </c>
      <c r="P1720">
        <f>'raw data Crude oil'!P1721</f>
        <v>79.209999999999994</v>
      </c>
      <c r="Q1720">
        <f>'raw data Crude oil'!Q1721</f>
        <v>78.760000000000005</v>
      </c>
      <c r="R1720">
        <f>'raw data Crude oil'!R1721</f>
        <v>78.319999999999993</v>
      </c>
      <c r="S1720">
        <f>'raw data Crude oil'!S1721</f>
        <v>77.91</v>
      </c>
      <c r="T1720">
        <f>'raw data Crude oil'!T1721</f>
        <v>77.510000000000005</v>
      </c>
      <c r="U1720">
        <f>'raw data Crude oil'!U1721</f>
        <v>77.13</v>
      </c>
      <c r="V1720">
        <f>'raw data Crude oil'!V1721</f>
        <v>76.739999999999995</v>
      </c>
      <c r="W1720">
        <f>'raw data Crude oil'!W1721</f>
        <v>76.33</v>
      </c>
      <c r="X1720">
        <f>'raw data Crude oil'!X1721</f>
        <v>75.94</v>
      </c>
      <c r="Y1720">
        <f>'raw data Crude oil'!Y1721</f>
        <v>75.55</v>
      </c>
      <c r="Z1720">
        <f>'raw data Crude oil'!Z1721</f>
        <v>86.355999999999995</v>
      </c>
      <c r="AA1720">
        <f>'raw data Crude oil'!AA1721</f>
        <v>84.947000000000003</v>
      </c>
      <c r="AB1720">
        <f>'raw data Crude oil'!AB1721</f>
        <v>84.126000000000005</v>
      </c>
      <c r="AC1720">
        <f>'raw data Crude oil'!AC1721</f>
        <v>83.385999999999996</v>
      </c>
      <c r="AD1720">
        <f>'raw data Crude oil'!AD1721</f>
        <v>82.754999999999995</v>
      </c>
      <c r="AE1720">
        <f>'raw data Crude oil'!AE1721</f>
        <v>82.186000000000007</v>
      </c>
      <c r="AF1720">
        <f>'raw data Crude oil'!AF1721</f>
        <v>81.691999999999993</v>
      </c>
      <c r="AG1720">
        <f>'raw data Crude oil'!AG1721</f>
        <v>81.221999999999994</v>
      </c>
      <c r="AH1720">
        <f>'raw data Crude oil'!AH1721</f>
        <v>80.754000000000005</v>
      </c>
      <c r="AI1720">
        <f>'raw data Crude oil'!AI1721</f>
        <v>80.313999999999993</v>
      </c>
      <c r="AJ1720">
        <f>'raw data Crude oil'!AJ1721</f>
        <v>79.891999999999996</v>
      </c>
      <c r="AK1720">
        <f>'raw data Crude oil'!AK1721</f>
        <v>79.474999999999994</v>
      </c>
    </row>
    <row r="1721" spans="1:37" x14ac:dyDescent="0.3">
      <c r="A1721" s="18">
        <f>'raw data Crude oil'!A1722</f>
        <v>45167</v>
      </c>
      <c r="B1721">
        <f>'raw data Crude oil'!B1722</f>
        <v>85.49</v>
      </c>
      <c r="C1721">
        <f>'raw data Crude oil'!C1722</f>
        <v>84.91</v>
      </c>
      <c r="D1721">
        <f>'raw data Crude oil'!D1722</f>
        <v>84.44</v>
      </c>
      <c r="E1721">
        <f>'raw data Crude oil'!E1722</f>
        <v>83.97</v>
      </c>
      <c r="F1721">
        <f>'raw data Crude oil'!F1722</f>
        <v>83.51</v>
      </c>
      <c r="G1721">
        <f>'raw data Crude oil'!G1722</f>
        <v>83.07</v>
      </c>
      <c r="H1721">
        <f>'raw data Crude oil'!H1722</f>
        <v>82.66</v>
      </c>
      <c r="I1721">
        <f>'raw data Crude oil'!I1722</f>
        <v>82.27</v>
      </c>
      <c r="J1721">
        <f>'raw data Crude oil'!J1722</f>
        <v>81.89</v>
      </c>
      <c r="K1721">
        <f>'raw data Crude oil'!K1722</f>
        <v>81.510000000000005</v>
      </c>
      <c r="L1721">
        <f>'raw data Crude oil'!L1722</f>
        <v>81.13</v>
      </c>
      <c r="M1721">
        <f>'raw data Crude oil'!M1722</f>
        <v>80.760000000000005</v>
      </c>
      <c r="N1721">
        <f>'raw data Crude oil'!N1722</f>
        <v>81.16</v>
      </c>
      <c r="O1721">
        <f>'raw data Crude oil'!O1722</f>
        <v>80.680000000000007</v>
      </c>
      <c r="P1721">
        <f>'raw data Crude oil'!P1722</f>
        <v>80.17</v>
      </c>
      <c r="Q1721">
        <f>'raw data Crude oil'!Q1722</f>
        <v>79.67</v>
      </c>
      <c r="R1721">
        <f>'raw data Crude oil'!R1722</f>
        <v>79.19</v>
      </c>
      <c r="S1721">
        <f>'raw data Crude oil'!S1722</f>
        <v>78.739999999999995</v>
      </c>
      <c r="T1721">
        <f>'raw data Crude oil'!T1722</f>
        <v>78.31</v>
      </c>
      <c r="U1721">
        <f>'raw data Crude oil'!U1722</f>
        <v>77.89</v>
      </c>
      <c r="V1721">
        <f>'raw data Crude oil'!V1722</f>
        <v>77.489999999999995</v>
      </c>
      <c r="W1721">
        <f>'raw data Crude oil'!W1722</f>
        <v>77.069999999999993</v>
      </c>
      <c r="X1721">
        <f>'raw data Crude oil'!X1722</f>
        <v>76.650000000000006</v>
      </c>
      <c r="Y1721">
        <f>'raw data Crude oil'!Y1722</f>
        <v>76.25</v>
      </c>
      <c r="Z1721">
        <f>'raw data Crude oil'!Z1722</f>
        <v>86.433999999999997</v>
      </c>
      <c r="AA1721">
        <f>'raw data Crude oil'!AA1722</f>
        <v>85.757999999999996</v>
      </c>
      <c r="AB1721">
        <f>'raw data Crude oil'!AB1722</f>
        <v>84.95</v>
      </c>
      <c r="AC1721">
        <f>'raw data Crude oil'!AC1722</f>
        <v>84.200999999999993</v>
      </c>
      <c r="AD1721">
        <f>'raw data Crude oil'!AD1722</f>
        <v>83.54</v>
      </c>
      <c r="AE1721">
        <f>'raw data Crude oil'!AE1722</f>
        <v>82.950999999999993</v>
      </c>
      <c r="AF1721">
        <f>'raw data Crude oil'!AF1722</f>
        <v>82.430999999999997</v>
      </c>
      <c r="AG1721">
        <f>'raw data Crude oil'!AG1722</f>
        <v>81.930999999999997</v>
      </c>
      <c r="AH1721">
        <f>'raw data Crude oil'!AH1722</f>
        <v>81.442999999999998</v>
      </c>
      <c r="AI1721">
        <f>'raw data Crude oil'!AI1722</f>
        <v>80.992999999999995</v>
      </c>
      <c r="AJ1721">
        <f>'raw data Crude oil'!AJ1722</f>
        <v>80.542000000000002</v>
      </c>
      <c r="AK1721">
        <f>'raw data Crude oil'!AK1722</f>
        <v>80.105000000000004</v>
      </c>
    </row>
    <row r="1722" spans="1:37" x14ac:dyDescent="0.3">
      <c r="A1722" s="18">
        <f>'raw data Crude oil'!A1723</f>
        <v>45168</v>
      </c>
      <c r="B1722">
        <f>'raw data Crude oil'!B1723</f>
        <v>85.86</v>
      </c>
      <c r="C1722">
        <f>'raw data Crude oil'!C1723</f>
        <v>85.24</v>
      </c>
      <c r="D1722">
        <f>'raw data Crude oil'!D1723</f>
        <v>84.75</v>
      </c>
      <c r="E1722">
        <f>'raw data Crude oil'!E1723</f>
        <v>84.26</v>
      </c>
      <c r="F1722">
        <f>'raw data Crude oil'!F1723</f>
        <v>83.77</v>
      </c>
      <c r="G1722">
        <f>'raw data Crude oil'!G1723</f>
        <v>83.3</v>
      </c>
      <c r="H1722">
        <f>'raw data Crude oil'!H1723</f>
        <v>82.86</v>
      </c>
      <c r="I1722">
        <f>'raw data Crude oil'!I1723</f>
        <v>82.45</v>
      </c>
      <c r="J1722">
        <f>'raw data Crude oil'!J1723</f>
        <v>82.05</v>
      </c>
      <c r="K1722">
        <f>'raw data Crude oil'!K1723</f>
        <v>81.66</v>
      </c>
      <c r="L1722">
        <f>'raw data Crude oil'!L1723</f>
        <v>81.27</v>
      </c>
      <c r="M1722">
        <f>'raw data Crude oil'!M1723</f>
        <v>80.88</v>
      </c>
      <c r="N1722">
        <f>'raw data Crude oil'!N1723</f>
        <v>81.63</v>
      </c>
      <c r="O1722">
        <f>'raw data Crude oil'!O1723</f>
        <v>81.12</v>
      </c>
      <c r="P1722">
        <f>'raw data Crude oil'!P1723</f>
        <v>80.569999999999993</v>
      </c>
      <c r="Q1722">
        <f>'raw data Crude oil'!Q1723</f>
        <v>80.02</v>
      </c>
      <c r="R1722">
        <f>'raw data Crude oil'!R1723</f>
        <v>79.489999999999995</v>
      </c>
      <c r="S1722">
        <f>'raw data Crude oil'!S1723</f>
        <v>79</v>
      </c>
      <c r="T1722">
        <f>'raw data Crude oil'!T1723</f>
        <v>78.540000000000006</v>
      </c>
      <c r="U1722">
        <f>'raw data Crude oil'!U1723</f>
        <v>78.09</v>
      </c>
      <c r="V1722">
        <f>'raw data Crude oil'!V1723</f>
        <v>77.680000000000007</v>
      </c>
      <c r="W1722">
        <f>'raw data Crude oil'!W1723</f>
        <v>77.23</v>
      </c>
      <c r="X1722">
        <f>'raw data Crude oil'!X1723</f>
        <v>76.8</v>
      </c>
      <c r="Y1722">
        <f>'raw data Crude oil'!Y1723</f>
        <v>76.38</v>
      </c>
      <c r="Z1722">
        <f>'raw data Crude oil'!Z1723</f>
        <v>86.453999999999994</v>
      </c>
      <c r="AA1722">
        <f>'raw data Crude oil'!AA1723</f>
        <v>86.231999999999999</v>
      </c>
      <c r="AB1722">
        <f>'raw data Crude oil'!AB1723</f>
        <v>85.373000000000005</v>
      </c>
      <c r="AC1722">
        <f>'raw data Crude oil'!AC1723</f>
        <v>84.587999999999994</v>
      </c>
      <c r="AD1722">
        <f>'raw data Crude oil'!AD1723</f>
        <v>83.873000000000005</v>
      </c>
      <c r="AE1722">
        <f>'raw data Crude oil'!AE1723</f>
        <v>83.245000000000005</v>
      </c>
      <c r="AF1722">
        <f>'raw data Crude oil'!AF1723</f>
        <v>82.694999999999993</v>
      </c>
      <c r="AG1722">
        <f>'raw data Crude oil'!AG1723</f>
        <v>82.17</v>
      </c>
      <c r="AH1722">
        <f>'raw data Crude oil'!AH1723</f>
        <v>81.671999999999997</v>
      </c>
      <c r="AI1722">
        <f>'raw data Crude oil'!AI1723</f>
        <v>81.203000000000003</v>
      </c>
      <c r="AJ1722">
        <f>'raw data Crude oil'!AJ1723</f>
        <v>80.751000000000005</v>
      </c>
      <c r="AK1722">
        <f>'raw data Crude oil'!AK1723</f>
        <v>80.313999999999993</v>
      </c>
    </row>
    <row r="1723" spans="1:37" x14ac:dyDescent="0.3">
      <c r="A1723" s="18">
        <f>'raw data Crude oil'!A1724</f>
        <v>45169</v>
      </c>
      <c r="B1723">
        <f>'raw data Crude oil'!B1724</f>
        <v>86.86</v>
      </c>
      <c r="C1723">
        <f>'raw data Crude oil'!C1724</f>
        <v>86.83</v>
      </c>
      <c r="D1723">
        <f>'raw data Crude oil'!D1724</f>
        <v>86.23</v>
      </c>
      <c r="E1723">
        <f>'raw data Crude oil'!E1724</f>
        <v>85.64</v>
      </c>
      <c r="F1723">
        <f>'raw data Crude oil'!F1724</f>
        <v>85.07</v>
      </c>
      <c r="G1723">
        <f>'raw data Crude oil'!G1724</f>
        <v>84.52</v>
      </c>
      <c r="H1723">
        <f>'raw data Crude oil'!H1724</f>
        <v>84.03</v>
      </c>
      <c r="I1723">
        <f>'raw data Crude oil'!I1724</f>
        <v>83.56</v>
      </c>
      <c r="J1723">
        <f>'raw data Crude oil'!J1724</f>
        <v>83.12</v>
      </c>
      <c r="K1723">
        <f>'raw data Crude oil'!K1724</f>
        <v>82.68</v>
      </c>
      <c r="L1723">
        <f>'raw data Crude oil'!L1724</f>
        <v>82.24</v>
      </c>
      <c r="M1723">
        <f>'raw data Crude oil'!M1724</f>
        <v>81.819999999999993</v>
      </c>
      <c r="N1723">
        <f>'raw data Crude oil'!N1724</f>
        <v>83.63</v>
      </c>
      <c r="O1723">
        <f>'raw data Crude oil'!O1724</f>
        <v>82.96</v>
      </c>
      <c r="P1723">
        <f>'raw data Crude oil'!P1724</f>
        <v>82.26</v>
      </c>
      <c r="Q1723">
        <f>'raw data Crude oil'!Q1724</f>
        <v>81.58</v>
      </c>
      <c r="R1723">
        <f>'raw data Crude oil'!R1724</f>
        <v>80.930000000000007</v>
      </c>
      <c r="S1723">
        <f>'raw data Crude oil'!S1724</f>
        <v>80.349999999999994</v>
      </c>
      <c r="T1723">
        <f>'raw data Crude oil'!T1724</f>
        <v>79.81</v>
      </c>
      <c r="U1723">
        <f>'raw data Crude oil'!U1724</f>
        <v>79.319999999999993</v>
      </c>
      <c r="V1723">
        <f>'raw data Crude oil'!V1724</f>
        <v>78.84</v>
      </c>
      <c r="W1723">
        <f>'raw data Crude oil'!W1724</f>
        <v>78.349999999999994</v>
      </c>
      <c r="X1723">
        <f>'raw data Crude oil'!X1724</f>
        <v>77.87</v>
      </c>
      <c r="Y1723">
        <f>'raw data Crude oil'!Y1724</f>
        <v>77.400000000000006</v>
      </c>
      <c r="Z1723">
        <f>'raw data Crude oil'!Z1724</f>
        <v>86.465000000000003</v>
      </c>
      <c r="AA1723">
        <f>'raw data Crude oil'!AA1724</f>
        <v>87.972999999999999</v>
      </c>
      <c r="AB1723">
        <f>'raw data Crude oil'!AB1724</f>
        <v>87.072999999999993</v>
      </c>
      <c r="AC1723">
        <f>'raw data Crude oil'!AC1724</f>
        <v>86.213999999999999</v>
      </c>
      <c r="AD1723">
        <f>'raw data Crude oil'!AD1724</f>
        <v>85.415000000000006</v>
      </c>
      <c r="AE1723">
        <f>'raw data Crude oil'!AE1724</f>
        <v>84.671000000000006</v>
      </c>
      <c r="AF1723">
        <f>'raw data Crude oil'!AF1724</f>
        <v>84.025000000000006</v>
      </c>
      <c r="AG1723">
        <f>'raw data Crude oil'!AG1724</f>
        <v>83.447999999999993</v>
      </c>
      <c r="AH1723">
        <f>'raw data Crude oil'!AH1724</f>
        <v>82.89</v>
      </c>
      <c r="AI1723">
        <f>'raw data Crude oil'!AI1724</f>
        <v>82.331000000000003</v>
      </c>
      <c r="AJ1723">
        <f>'raw data Crude oil'!AJ1724</f>
        <v>81.759</v>
      </c>
      <c r="AK1723">
        <f>'raw data Crude oil'!AK1724</f>
        <v>81.272000000000006</v>
      </c>
    </row>
    <row r="1724" spans="1:37" x14ac:dyDescent="0.3">
      <c r="A1724" s="18">
        <f>'raw data Crude oil'!A1725</f>
        <v>45170</v>
      </c>
      <c r="B1724">
        <f>'raw data Crude oil'!B1725</f>
        <v>88.55</v>
      </c>
      <c r="C1724">
        <f>'raw data Crude oil'!C1725</f>
        <v>87.8</v>
      </c>
      <c r="D1724">
        <f>'raw data Crude oil'!D1725</f>
        <v>87.1</v>
      </c>
      <c r="E1724">
        <f>'raw data Crude oil'!E1725</f>
        <v>86.43</v>
      </c>
      <c r="F1724">
        <f>'raw data Crude oil'!F1725</f>
        <v>85.82</v>
      </c>
      <c r="G1724">
        <f>'raw data Crude oil'!G1725</f>
        <v>85.28</v>
      </c>
      <c r="H1724">
        <f>'raw data Crude oil'!H1725</f>
        <v>84.78</v>
      </c>
      <c r="I1724">
        <f>'raw data Crude oil'!I1725</f>
        <v>84.31</v>
      </c>
      <c r="J1724">
        <f>'raw data Crude oil'!J1725</f>
        <v>83.84</v>
      </c>
      <c r="K1724">
        <f>'raw data Crude oil'!K1725</f>
        <v>83.38</v>
      </c>
      <c r="L1724">
        <f>'raw data Crude oil'!L1725</f>
        <v>82.93</v>
      </c>
      <c r="M1724">
        <f>'raw data Crude oil'!M1725</f>
        <v>82.5</v>
      </c>
      <c r="N1724">
        <f>'raw data Crude oil'!N1725</f>
        <v>85.55</v>
      </c>
      <c r="O1724">
        <f>'raw data Crude oil'!O1725</f>
        <v>84.75</v>
      </c>
      <c r="P1724">
        <f>'raw data Crude oil'!P1725</f>
        <v>83.9</v>
      </c>
      <c r="Q1724">
        <f>'raw data Crude oil'!Q1725</f>
        <v>83.11</v>
      </c>
      <c r="R1724">
        <f>'raw data Crude oil'!R1725</f>
        <v>82.38</v>
      </c>
      <c r="S1724">
        <f>'raw data Crude oil'!S1725</f>
        <v>81.72</v>
      </c>
      <c r="T1724">
        <f>'raw data Crude oil'!T1725</f>
        <v>81.12</v>
      </c>
      <c r="U1724">
        <f>'raw data Crude oil'!U1725</f>
        <v>80.569999999999993</v>
      </c>
      <c r="V1724">
        <f>'raw data Crude oil'!V1725</f>
        <v>80.05</v>
      </c>
      <c r="W1724">
        <f>'raw data Crude oil'!W1725</f>
        <v>79.510000000000005</v>
      </c>
      <c r="X1724">
        <f>'raw data Crude oil'!X1725</f>
        <v>79</v>
      </c>
      <c r="Y1724">
        <f>'raw data Crude oil'!Y1725</f>
        <v>78.5</v>
      </c>
      <c r="Z1724">
        <f>'raw data Crude oil'!Z1725</f>
        <v>86.465000000000003</v>
      </c>
      <c r="AA1724">
        <f>'raw data Crude oil'!AA1725</f>
        <v>89.644000000000005</v>
      </c>
      <c r="AB1724">
        <f>'raw data Crude oil'!AB1725</f>
        <v>88.703999999999994</v>
      </c>
      <c r="AC1724">
        <f>'raw data Crude oil'!AC1725</f>
        <v>87.786000000000001</v>
      </c>
      <c r="AD1724">
        <f>'raw data Crude oil'!AD1725</f>
        <v>86.885999999999996</v>
      </c>
      <c r="AE1724">
        <f>'raw data Crude oil'!AE1725</f>
        <v>86.114999999999995</v>
      </c>
      <c r="AF1724">
        <f>'raw data Crude oil'!AF1725</f>
        <v>85.400999999999996</v>
      </c>
      <c r="AG1724">
        <f>'raw data Crude oil'!AG1725</f>
        <v>84.781999999999996</v>
      </c>
      <c r="AH1724">
        <f>'raw data Crude oil'!AH1725</f>
        <v>84.209000000000003</v>
      </c>
      <c r="AI1724">
        <f>'raw data Crude oil'!AI1725</f>
        <v>83.67</v>
      </c>
      <c r="AJ1724">
        <f>'raw data Crude oil'!AJ1725</f>
        <v>83.147999999999996</v>
      </c>
      <c r="AK1724">
        <f>'raw data Crude oil'!AK1725</f>
        <v>82.620999999999995</v>
      </c>
    </row>
    <row r="1725" spans="1:37" x14ac:dyDescent="0.3">
      <c r="A1725" s="18">
        <f>'raw data Crude oil'!A1726</f>
        <v>45173</v>
      </c>
      <c r="B1725">
        <f>'raw data Crude oil'!B1726</f>
        <v>89</v>
      </c>
      <c r="C1725">
        <f>'raw data Crude oil'!C1726</f>
        <v>88.25</v>
      </c>
      <c r="D1725">
        <f>'raw data Crude oil'!D1726</f>
        <v>87.55</v>
      </c>
      <c r="E1725">
        <f>'raw data Crude oil'!E1726</f>
        <v>86.89</v>
      </c>
      <c r="F1725">
        <f>'raw data Crude oil'!F1726</f>
        <v>86.3</v>
      </c>
      <c r="G1725">
        <f>'raw data Crude oil'!G1726</f>
        <v>85.76</v>
      </c>
      <c r="H1725">
        <f>'raw data Crude oil'!H1726</f>
        <v>85.27</v>
      </c>
      <c r="I1725">
        <f>'raw data Crude oil'!I1726</f>
        <v>84.81</v>
      </c>
      <c r="J1725">
        <f>'raw data Crude oil'!J1726</f>
        <v>84.35</v>
      </c>
      <c r="K1725">
        <f>'raw data Crude oil'!K1726</f>
        <v>83.89</v>
      </c>
      <c r="L1725">
        <f>'raw data Crude oil'!L1726</f>
        <v>83.44</v>
      </c>
      <c r="M1725">
        <f>'raw data Crude oil'!M1726</f>
        <v>83.01</v>
      </c>
      <c r="N1725">
        <f>'raw data Crude oil'!N1726</f>
        <v>85.55</v>
      </c>
      <c r="O1725">
        <f>'raw data Crude oil'!O1726</f>
        <v>84.75</v>
      </c>
      <c r="P1725">
        <f>'raw data Crude oil'!P1726</f>
        <v>83.9</v>
      </c>
      <c r="Q1725">
        <f>'raw data Crude oil'!Q1726</f>
        <v>83.11</v>
      </c>
      <c r="R1725">
        <f>'raw data Crude oil'!R1726</f>
        <v>82.38</v>
      </c>
      <c r="S1725">
        <f>'raw data Crude oil'!S1726</f>
        <v>81.72</v>
      </c>
      <c r="T1725">
        <f>'raw data Crude oil'!T1726</f>
        <v>81.12</v>
      </c>
      <c r="U1725">
        <f>'raw data Crude oil'!U1726</f>
        <v>80.569999999999993</v>
      </c>
      <c r="V1725">
        <f>'raw data Crude oil'!V1726</f>
        <v>80.05</v>
      </c>
      <c r="W1725">
        <f>'raw data Crude oil'!W1726</f>
        <v>79.510000000000005</v>
      </c>
      <c r="X1725">
        <f>'raw data Crude oil'!X1726</f>
        <v>79</v>
      </c>
      <c r="Y1725">
        <f>'raw data Crude oil'!Y1726</f>
        <v>78.5</v>
      </c>
      <c r="Z1725">
        <f>'raw data Crude oil'!Z1726</f>
        <v>89.983000000000004</v>
      </c>
      <c r="AA1725">
        <f>'raw data Crude oil'!AA1726</f>
        <v>89.097999999999999</v>
      </c>
      <c r="AB1725">
        <f>'raw data Crude oil'!AB1726</f>
        <v>88.198999999999998</v>
      </c>
      <c r="AC1725">
        <f>'raw data Crude oil'!AC1726</f>
        <v>87.350999999999999</v>
      </c>
      <c r="AD1725">
        <f>'raw data Crude oil'!AD1726</f>
        <v>86.605000000000004</v>
      </c>
      <c r="AE1725">
        <f>'raw data Crude oil'!AE1726</f>
        <v>85.917000000000002</v>
      </c>
      <c r="AF1725">
        <f>'raw data Crude oil'!AF1726</f>
        <v>85.307000000000002</v>
      </c>
      <c r="AG1725">
        <f>'raw data Crude oil'!AG1726</f>
        <v>84.728999999999999</v>
      </c>
      <c r="AH1725">
        <f>'raw data Crude oil'!AH1726</f>
        <v>84.18</v>
      </c>
      <c r="AI1725">
        <f>'raw data Crude oil'!AI1726</f>
        <v>83.658000000000001</v>
      </c>
      <c r="AJ1725">
        <f>'raw data Crude oil'!AJ1726</f>
        <v>83.161000000000001</v>
      </c>
      <c r="AK1725">
        <f>'raw data Crude oil'!AK1726</f>
        <v>82.66</v>
      </c>
    </row>
    <row r="1726" spans="1:37" x14ac:dyDescent="0.3">
      <c r="A1726" s="18">
        <f>'raw data Crude oil'!A1727</f>
        <v>45174</v>
      </c>
      <c r="B1726">
        <f>'raw data Crude oil'!B1727</f>
        <v>90.04</v>
      </c>
      <c r="C1726">
        <f>'raw data Crude oil'!C1727</f>
        <v>89.35</v>
      </c>
      <c r="D1726">
        <f>'raw data Crude oil'!D1727</f>
        <v>88.59</v>
      </c>
      <c r="E1726">
        <f>'raw data Crude oil'!E1727</f>
        <v>87.84</v>
      </c>
      <c r="F1726">
        <f>'raw data Crude oil'!F1727</f>
        <v>87.14</v>
      </c>
      <c r="G1726">
        <f>'raw data Crude oil'!G1727</f>
        <v>86.51</v>
      </c>
      <c r="H1726">
        <f>'raw data Crude oil'!H1727</f>
        <v>85.94</v>
      </c>
      <c r="I1726">
        <f>'raw data Crude oil'!I1727</f>
        <v>85.41</v>
      </c>
      <c r="J1726">
        <f>'raw data Crude oil'!J1727</f>
        <v>84.88</v>
      </c>
      <c r="K1726">
        <f>'raw data Crude oil'!K1727</f>
        <v>84.37</v>
      </c>
      <c r="L1726">
        <f>'raw data Crude oil'!L1727</f>
        <v>83.88</v>
      </c>
      <c r="M1726">
        <f>'raw data Crude oil'!M1727</f>
        <v>83.41</v>
      </c>
      <c r="N1726">
        <f>'raw data Crude oil'!N1727</f>
        <v>86.69</v>
      </c>
      <c r="O1726">
        <f>'raw data Crude oil'!O1727</f>
        <v>86.01</v>
      </c>
      <c r="P1726">
        <f>'raw data Crude oil'!P1727</f>
        <v>85.21</v>
      </c>
      <c r="Q1726">
        <f>'raw data Crude oil'!Q1727</f>
        <v>84.38</v>
      </c>
      <c r="R1726">
        <f>'raw data Crude oil'!R1727</f>
        <v>83.59</v>
      </c>
      <c r="S1726">
        <f>'raw data Crude oil'!S1727</f>
        <v>82.87</v>
      </c>
      <c r="T1726">
        <f>'raw data Crude oil'!T1727</f>
        <v>82.22</v>
      </c>
      <c r="U1726">
        <f>'raw data Crude oil'!U1727</f>
        <v>81.61</v>
      </c>
      <c r="V1726">
        <f>'raw data Crude oil'!V1727</f>
        <v>81.03</v>
      </c>
      <c r="W1726">
        <f>'raw data Crude oil'!W1727</f>
        <v>80.45</v>
      </c>
      <c r="X1726">
        <f>'raw data Crude oil'!X1727</f>
        <v>79.89</v>
      </c>
      <c r="Y1726">
        <f>'raw data Crude oil'!Y1727</f>
        <v>79.38</v>
      </c>
      <c r="Z1726">
        <f>'raw data Crude oil'!Z1727</f>
        <v>91.215999999999994</v>
      </c>
      <c r="AA1726">
        <f>'raw data Crude oil'!AA1727</f>
        <v>90.263000000000005</v>
      </c>
      <c r="AB1726">
        <f>'raw data Crude oil'!AB1727</f>
        <v>89.233999999999995</v>
      </c>
      <c r="AC1726">
        <f>'raw data Crude oil'!AC1727</f>
        <v>88.253</v>
      </c>
      <c r="AD1726">
        <f>'raw data Crude oil'!AD1727</f>
        <v>87.403999999999996</v>
      </c>
      <c r="AE1726">
        <f>'raw data Crude oil'!AE1727</f>
        <v>86.653000000000006</v>
      </c>
      <c r="AF1726">
        <f>'raw data Crude oil'!AF1727</f>
        <v>85.968999999999994</v>
      </c>
      <c r="AG1726">
        <f>'raw data Crude oil'!AG1727</f>
        <v>85.335999999999999</v>
      </c>
      <c r="AH1726">
        <f>'raw data Crude oil'!AH1727</f>
        <v>84.658000000000001</v>
      </c>
      <c r="AI1726">
        <f>'raw data Crude oil'!AI1727</f>
        <v>84.085999999999999</v>
      </c>
      <c r="AJ1726">
        <f>'raw data Crude oil'!AJ1727</f>
        <v>83.56</v>
      </c>
      <c r="AK1726">
        <f>'raw data Crude oil'!AK1727</f>
        <v>83.049000000000007</v>
      </c>
    </row>
    <row r="1727" spans="1:37" x14ac:dyDescent="0.3">
      <c r="A1727" s="18">
        <f>'raw data Crude oil'!A1728</f>
        <v>45175</v>
      </c>
      <c r="B1727">
        <f>'raw data Crude oil'!B1728</f>
        <v>90.6</v>
      </c>
      <c r="C1727">
        <f>'raw data Crude oil'!C1728</f>
        <v>89.86</v>
      </c>
      <c r="D1727">
        <f>'raw data Crude oil'!D1728</f>
        <v>89.05</v>
      </c>
      <c r="E1727">
        <f>'raw data Crude oil'!E1728</f>
        <v>88.25</v>
      </c>
      <c r="F1727">
        <f>'raw data Crude oil'!F1728</f>
        <v>87.51</v>
      </c>
      <c r="G1727">
        <f>'raw data Crude oil'!G1728</f>
        <v>86.83</v>
      </c>
      <c r="H1727">
        <f>'raw data Crude oil'!H1728</f>
        <v>86.2</v>
      </c>
      <c r="I1727">
        <f>'raw data Crude oil'!I1728</f>
        <v>85.62</v>
      </c>
      <c r="J1727">
        <f>'raw data Crude oil'!J1728</f>
        <v>85.06</v>
      </c>
      <c r="K1727">
        <f>'raw data Crude oil'!K1728</f>
        <v>84.53</v>
      </c>
      <c r="L1727">
        <f>'raw data Crude oil'!L1728</f>
        <v>84.01</v>
      </c>
      <c r="M1727">
        <f>'raw data Crude oil'!M1728</f>
        <v>83.52</v>
      </c>
      <c r="N1727">
        <f>'raw data Crude oil'!N1728</f>
        <v>87.54</v>
      </c>
      <c r="O1727">
        <f>'raw data Crude oil'!O1728</f>
        <v>86.79</v>
      </c>
      <c r="P1727">
        <f>'raw data Crude oil'!P1728</f>
        <v>85.93</v>
      </c>
      <c r="Q1727">
        <f>'raw data Crude oil'!Q1728</f>
        <v>85.06</v>
      </c>
      <c r="R1727">
        <f>'raw data Crude oil'!R1728</f>
        <v>84.22</v>
      </c>
      <c r="S1727">
        <f>'raw data Crude oil'!S1728</f>
        <v>83.44</v>
      </c>
      <c r="T1727">
        <f>'raw data Crude oil'!T1728</f>
        <v>82.72</v>
      </c>
      <c r="U1727">
        <f>'raw data Crude oil'!U1728</f>
        <v>82.04</v>
      </c>
      <c r="V1727">
        <f>'raw data Crude oil'!V1728</f>
        <v>81.400000000000006</v>
      </c>
      <c r="W1727">
        <f>'raw data Crude oil'!W1728</f>
        <v>80.760000000000005</v>
      </c>
      <c r="X1727">
        <f>'raw data Crude oil'!X1728</f>
        <v>80.16</v>
      </c>
      <c r="Y1727">
        <f>'raw data Crude oil'!Y1728</f>
        <v>79.59</v>
      </c>
      <c r="Z1727">
        <f>'raw data Crude oil'!Z1728</f>
        <v>91.465999999999994</v>
      </c>
      <c r="AA1727">
        <f>'raw data Crude oil'!AA1728</f>
        <v>90.72</v>
      </c>
      <c r="AB1727">
        <f>'raw data Crude oil'!AB1728</f>
        <v>89.724000000000004</v>
      </c>
      <c r="AC1727">
        <f>'raw data Crude oil'!AC1728</f>
        <v>88.704999999999998</v>
      </c>
      <c r="AD1727">
        <f>'raw data Crude oil'!AD1728</f>
        <v>87.834000000000003</v>
      </c>
      <c r="AE1727">
        <f>'raw data Crude oil'!AE1728</f>
        <v>87.009</v>
      </c>
      <c r="AF1727">
        <f>'raw data Crude oil'!AF1728</f>
        <v>86.251000000000005</v>
      </c>
      <c r="AG1727">
        <f>'raw data Crude oil'!AG1728</f>
        <v>85.555000000000007</v>
      </c>
      <c r="AH1727">
        <f>'raw data Crude oil'!AH1728</f>
        <v>84.936999999999998</v>
      </c>
      <c r="AI1727">
        <f>'raw data Crude oil'!AI1728</f>
        <v>84.343999999999994</v>
      </c>
      <c r="AJ1727">
        <f>'raw data Crude oil'!AJ1728</f>
        <v>83.748999999999995</v>
      </c>
      <c r="AK1727">
        <f>'raw data Crude oil'!AK1728</f>
        <v>83.198999999999998</v>
      </c>
    </row>
    <row r="1728" spans="1:37" x14ac:dyDescent="0.3">
      <c r="A1728" s="18">
        <f>'raw data Crude oil'!A1729</f>
        <v>45176</v>
      </c>
      <c r="B1728">
        <f>'raw data Crude oil'!B1729</f>
        <v>89.92</v>
      </c>
      <c r="C1728">
        <f>'raw data Crude oil'!C1729</f>
        <v>89.25</v>
      </c>
      <c r="D1728">
        <f>'raw data Crude oil'!D1729</f>
        <v>88.49</v>
      </c>
      <c r="E1728">
        <f>'raw data Crude oil'!E1729</f>
        <v>87.74</v>
      </c>
      <c r="F1728">
        <f>'raw data Crude oil'!F1729</f>
        <v>87.04</v>
      </c>
      <c r="G1728">
        <f>'raw data Crude oil'!G1729</f>
        <v>86.4</v>
      </c>
      <c r="H1728">
        <f>'raw data Crude oil'!H1729</f>
        <v>85.8</v>
      </c>
      <c r="I1728">
        <f>'raw data Crude oil'!I1729</f>
        <v>85.25</v>
      </c>
      <c r="J1728">
        <f>'raw data Crude oil'!J1729</f>
        <v>84.72</v>
      </c>
      <c r="K1728">
        <f>'raw data Crude oil'!K1729</f>
        <v>84.22</v>
      </c>
      <c r="L1728">
        <f>'raw data Crude oil'!L1729</f>
        <v>83.74</v>
      </c>
      <c r="M1728">
        <f>'raw data Crude oil'!M1729</f>
        <v>83.29</v>
      </c>
      <c r="N1728">
        <f>'raw data Crude oil'!N1729</f>
        <v>86.87</v>
      </c>
      <c r="O1728">
        <f>'raw data Crude oil'!O1729</f>
        <v>86.15</v>
      </c>
      <c r="P1728">
        <f>'raw data Crude oil'!P1729</f>
        <v>85.32</v>
      </c>
      <c r="Q1728">
        <f>'raw data Crude oil'!Q1729</f>
        <v>84.49</v>
      </c>
      <c r="R1728">
        <f>'raw data Crude oil'!R1729</f>
        <v>83.69</v>
      </c>
      <c r="S1728">
        <f>'raw data Crude oil'!S1729</f>
        <v>82.96</v>
      </c>
      <c r="T1728">
        <f>'raw data Crude oil'!T1729</f>
        <v>82.28</v>
      </c>
      <c r="U1728">
        <f>'raw data Crude oil'!U1729</f>
        <v>81.650000000000006</v>
      </c>
      <c r="V1728">
        <f>'raw data Crude oil'!V1729</f>
        <v>81.03</v>
      </c>
      <c r="W1728">
        <f>'raw data Crude oil'!W1729</f>
        <v>80.430000000000007</v>
      </c>
      <c r="X1728">
        <f>'raw data Crude oil'!X1729</f>
        <v>79.87</v>
      </c>
      <c r="Y1728">
        <f>'raw data Crude oil'!Y1729</f>
        <v>79.349999999999994</v>
      </c>
      <c r="Z1728">
        <f>'raw data Crude oil'!Z1729</f>
        <v>90.802000000000007</v>
      </c>
      <c r="AA1728">
        <f>'raw data Crude oil'!AA1729</f>
        <v>90.01</v>
      </c>
      <c r="AB1728">
        <f>'raw data Crude oil'!AB1729</f>
        <v>89.042000000000002</v>
      </c>
      <c r="AC1728">
        <f>'raw data Crude oil'!AC1729</f>
        <v>88.091999999999999</v>
      </c>
      <c r="AD1728">
        <f>'raw data Crude oil'!AD1729</f>
        <v>87.253</v>
      </c>
      <c r="AE1728">
        <f>'raw data Crude oil'!AE1729</f>
        <v>86.501000000000005</v>
      </c>
      <c r="AF1728">
        <f>'raw data Crude oil'!AF1729</f>
        <v>85.802999999999997</v>
      </c>
      <c r="AG1728">
        <f>'raw data Crude oil'!AG1729</f>
        <v>85.146000000000001</v>
      </c>
      <c r="AH1728">
        <f>'raw data Crude oil'!AH1729</f>
        <v>84.537999999999997</v>
      </c>
      <c r="AI1728">
        <f>'raw data Crude oil'!AI1729</f>
        <v>83.965999999999994</v>
      </c>
      <c r="AJ1728">
        <f>'raw data Crude oil'!AJ1729</f>
        <v>83.41</v>
      </c>
      <c r="AK1728">
        <f>'raw data Crude oil'!AK1729</f>
        <v>82.89</v>
      </c>
    </row>
    <row r="1729" spans="1:37" x14ac:dyDescent="0.3">
      <c r="A1729" s="18">
        <f>'raw data Crude oil'!A1730</f>
        <v>45177</v>
      </c>
      <c r="B1729">
        <f>'raw data Crude oil'!B1730</f>
        <v>90.65</v>
      </c>
      <c r="C1729">
        <f>'raw data Crude oil'!C1730</f>
        <v>90.03</v>
      </c>
      <c r="D1729">
        <f>'raw data Crude oil'!D1730</f>
        <v>89.29</v>
      </c>
      <c r="E1729">
        <f>'raw data Crude oil'!E1730</f>
        <v>88.53</v>
      </c>
      <c r="F1729">
        <f>'raw data Crude oil'!F1730</f>
        <v>87.8</v>
      </c>
      <c r="G1729">
        <f>'raw data Crude oil'!G1730</f>
        <v>87.11</v>
      </c>
      <c r="H1729">
        <f>'raw data Crude oil'!H1730</f>
        <v>86.48</v>
      </c>
      <c r="I1729">
        <f>'raw data Crude oil'!I1730</f>
        <v>85.89</v>
      </c>
      <c r="J1729">
        <f>'raw data Crude oil'!J1730</f>
        <v>85.32</v>
      </c>
      <c r="K1729">
        <f>'raw data Crude oil'!K1730</f>
        <v>84.78</v>
      </c>
      <c r="L1729">
        <f>'raw data Crude oil'!L1730</f>
        <v>84.26</v>
      </c>
      <c r="M1729">
        <f>'raw data Crude oil'!M1730</f>
        <v>83.77</v>
      </c>
      <c r="N1729">
        <f>'raw data Crude oil'!N1730</f>
        <v>87.51</v>
      </c>
      <c r="O1729">
        <f>'raw data Crude oil'!O1730</f>
        <v>86.81</v>
      </c>
      <c r="P1729">
        <f>'raw data Crude oil'!P1730</f>
        <v>86</v>
      </c>
      <c r="Q1729">
        <f>'raw data Crude oil'!Q1730</f>
        <v>85.15</v>
      </c>
      <c r="R1729">
        <f>'raw data Crude oil'!R1730</f>
        <v>84.31</v>
      </c>
      <c r="S1729">
        <f>'raw data Crude oil'!S1730</f>
        <v>83.53</v>
      </c>
      <c r="T1729">
        <f>'raw data Crude oil'!T1730</f>
        <v>82.81</v>
      </c>
      <c r="U1729">
        <f>'raw data Crude oil'!U1730</f>
        <v>82.14</v>
      </c>
      <c r="V1729">
        <f>'raw data Crude oil'!V1730</f>
        <v>81.48</v>
      </c>
      <c r="W1729">
        <f>'raw data Crude oil'!W1730</f>
        <v>80.84</v>
      </c>
      <c r="X1729">
        <f>'raw data Crude oil'!X1730</f>
        <v>80.25</v>
      </c>
      <c r="Y1729">
        <f>'raw data Crude oil'!Y1730</f>
        <v>79.69</v>
      </c>
      <c r="Z1729">
        <f>'raw data Crude oil'!Z1730</f>
        <v>91.418000000000006</v>
      </c>
      <c r="AA1729">
        <f>'raw data Crude oil'!AA1730</f>
        <v>90.766000000000005</v>
      </c>
      <c r="AB1729">
        <f>'raw data Crude oil'!AB1730</f>
        <v>89.814999999999998</v>
      </c>
      <c r="AC1729">
        <f>'raw data Crude oil'!AC1730</f>
        <v>88.861999999999995</v>
      </c>
      <c r="AD1729">
        <f>'raw data Crude oil'!AD1730</f>
        <v>88.004000000000005</v>
      </c>
      <c r="AE1729">
        <f>'raw data Crude oil'!AE1730</f>
        <v>87.224999999999994</v>
      </c>
      <c r="AF1729">
        <f>'raw data Crude oil'!AF1730</f>
        <v>86.506</v>
      </c>
      <c r="AG1729">
        <f>'raw data Crude oil'!AG1730</f>
        <v>85.793999999999997</v>
      </c>
      <c r="AH1729">
        <f>'raw data Crude oil'!AH1730</f>
        <v>85.126999999999995</v>
      </c>
      <c r="AI1729">
        <f>'raw data Crude oil'!AI1730</f>
        <v>84.494</v>
      </c>
      <c r="AJ1729">
        <f>'raw data Crude oil'!AJ1730</f>
        <v>83.929000000000002</v>
      </c>
      <c r="AK1729">
        <f>'raw data Crude oil'!AK1730</f>
        <v>83.378</v>
      </c>
    </row>
    <row r="1730" spans="1:37" x14ac:dyDescent="0.3">
      <c r="A1730" s="18">
        <f>'raw data Crude oil'!A1731</f>
        <v>45180</v>
      </c>
      <c r="B1730">
        <f>'raw data Crude oil'!B1731</f>
        <v>90.64</v>
      </c>
      <c r="C1730">
        <f>'raw data Crude oil'!C1731</f>
        <v>90.04</v>
      </c>
      <c r="D1730">
        <f>'raw data Crude oil'!D1731</f>
        <v>89.32</v>
      </c>
      <c r="E1730">
        <f>'raw data Crude oil'!E1731</f>
        <v>88.58</v>
      </c>
      <c r="F1730">
        <f>'raw data Crude oil'!F1731</f>
        <v>87.85</v>
      </c>
      <c r="G1730">
        <f>'raw data Crude oil'!G1731</f>
        <v>87.17</v>
      </c>
      <c r="H1730">
        <f>'raw data Crude oil'!H1731</f>
        <v>86.53</v>
      </c>
      <c r="I1730">
        <f>'raw data Crude oil'!I1731</f>
        <v>85.94</v>
      </c>
      <c r="J1730">
        <f>'raw data Crude oil'!J1731</f>
        <v>85.37</v>
      </c>
      <c r="K1730">
        <f>'raw data Crude oil'!K1731</f>
        <v>84.82</v>
      </c>
      <c r="L1730">
        <f>'raw data Crude oil'!L1731</f>
        <v>84.3</v>
      </c>
      <c r="M1730">
        <f>'raw data Crude oil'!M1731</f>
        <v>83.81</v>
      </c>
      <c r="N1730">
        <f>'raw data Crude oil'!N1731</f>
        <v>87.29</v>
      </c>
      <c r="O1730">
        <f>'raw data Crude oil'!O1731</f>
        <v>86.66</v>
      </c>
      <c r="P1730">
        <f>'raw data Crude oil'!P1731</f>
        <v>85.94</v>
      </c>
      <c r="Q1730">
        <f>'raw data Crude oil'!Q1731</f>
        <v>85.15</v>
      </c>
      <c r="R1730">
        <f>'raw data Crude oil'!R1731</f>
        <v>84.35</v>
      </c>
      <c r="S1730">
        <f>'raw data Crude oil'!S1731</f>
        <v>83.6</v>
      </c>
      <c r="T1730">
        <f>'raw data Crude oil'!T1731</f>
        <v>82.9</v>
      </c>
      <c r="U1730">
        <f>'raw data Crude oil'!U1731</f>
        <v>82.24</v>
      </c>
      <c r="V1730">
        <f>'raw data Crude oil'!V1731</f>
        <v>81.569999999999993</v>
      </c>
      <c r="W1730">
        <f>'raw data Crude oil'!W1731</f>
        <v>80.94</v>
      </c>
      <c r="X1730">
        <f>'raw data Crude oil'!X1731</f>
        <v>80.349999999999994</v>
      </c>
      <c r="Y1730">
        <f>'raw data Crude oil'!Y1731</f>
        <v>79.8</v>
      </c>
      <c r="Z1730">
        <f>'raw data Crude oil'!Z1731</f>
        <v>91.349000000000004</v>
      </c>
      <c r="AA1730">
        <f>'raw data Crude oil'!AA1731</f>
        <v>90.71</v>
      </c>
      <c r="AB1730">
        <f>'raw data Crude oil'!AB1731</f>
        <v>89.76</v>
      </c>
      <c r="AC1730">
        <f>'raw data Crude oil'!AC1731</f>
        <v>88.822000000000003</v>
      </c>
      <c r="AD1730">
        <f>'raw data Crude oil'!AD1731</f>
        <v>87.963999999999999</v>
      </c>
      <c r="AE1730">
        <f>'raw data Crude oil'!AE1731</f>
        <v>87.2</v>
      </c>
      <c r="AF1730">
        <f>'raw data Crude oil'!AF1731</f>
        <v>86.471000000000004</v>
      </c>
      <c r="AG1730">
        <f>'raw data Crude oil'!AG1731</f>
        <v>85.804000000000002</v>
      </c>
      <c r="AH1730">
        <f>'raw data Crude oil'!AH1731</f>
        <v>85.156000000000006</v>
      </c>
      <c r="AI1730">
        <f>'raw data Crude oil'!AI1731</f>
        <v>84.534000000000006</v>
      </c>
      <c r="AJ1730">
        <f>'raw data Crude oil'!AJ1731</f>
        <v>83.948999999999998</v>
      </c>
      <c r="AK1730">
        <f>'raw data Crude oil'!AK1731</f>
        <v>83.388999999999996</v>
      </c>
    </row>
    <row r="1731" spans="1:37" x14ac:dyDescent="0.3">
      <c r="A1731" s="18">
        <f>'raw data Crude oil'!A1732</f>
        <v>45181</v>
      </c>
      <c r="B1731">
        <f>'raw data Crude oil'!B1732</f>
        <v>92.06</v>
      </c>
      <c r="C1731">
        <f>'raw data Crude oil'!C1732</f>
        <v>91.33</v>
      </c>
      <c r="D1731">
        <f>'raw data Crude oil'!D1732</f>
        <v>90.51</v>
      </c>
      <c r="E1731">
        <f>'raw data Crude oil'!E1732</f>
        <v>89.68</v>
      </c>
      <c r="F1731">
        <f>'raw data Crude oil'!F1732</f>
        <v>88.88</v>
      </c>
      <c r="G1731">
        <f>'raw data Crude oil'!G1732</f>
        <v>88.12</v>
      </c>
      <c r="H1731">
        <f>'raw data Crude oil'!H1732</f>
        <v>87.42</v>
      </c>
      <c r="I1731">
        <f>'raw data Crude oil'!I1732</f>
        <v>86.77</v>
      </c>
      <c r="J1731">
        <f>'raw data Crude oil'!J1732</f>
        <v>86.14</v>
      </c>
      <c r="K1731">
        <f>'raw data Crude oil'!K1732</f>
        <v>85.54</v>
      </c>
      <c r="L1731">
        <f>'raw data Crude oil'!L1732</f>
        <v>84.98</v>
      </c>
      <c r="M1731">
        <f>'raw data Crude oil'!M1732</f>
        <v>84.44</v>
      </c>
      <c r="N1731">
        <f>'raw data Crude oil'!N1732</f>
        <v>88.84</v>
      </c>
      <c r="O1731">
        <f>'raw data Crude oil'!O1732</f>
        <v>88.16</v>
      </c>
      <c r="P1731">
        <f>'raw data Crude oil'!P1732</f>
        <v>87.36</v>
      </c>
      <c r="Q1731">
        <f>'raw data Crude oil'!Q1732</f>
        <v>86.5</v>
      </c>
      <c r="R1731">
        <f>'raw data Crude oil'!R1732</f>
        <v>85.63</v>
      </c>
      <c r="S1731">
        <f>'raw data Crude oil'!S1732</f>
        <v>84.8</v>
      </c>
      <c r="T1731">
        <f>'raw data Crude oil'!T1732</f>
        <v>84.01</v>
      </c>
      <c r="U1731">
        <f>'raw data Crude oil'!U1732</f>
        <v>83.26</v>
      </c>
      <c r="V1731">
        <f>'raw data Crude oil'!V1732</f>
        <v>82.52</v>
      </c>
      <c r="W1731">
        <f>'raw data Crude oil'!W1732</f>
        <v>81.81</v>
      </c>
      <c r="X1731">
        <f>'raw data Crude oil'!X1732</f>
        <v>81.150000000000006</v>
      </c>
      <c r="Y1731">
        <f>'raw data Crude oil'!Y1732</f>
        <v>80.55</v>
      </c>
      <c r="Z1731">
        <f>'raw data Crude oil'!Z1732</f>
        <v>92.269000000000005</v>
      </c>
      <c r="AA1731">
        <f>'raw data Crude oil'!AA1732</f>
        <v>92.043000000000006</v>
      </c>
      <c r="AB1731">
        <f>'raw data Crude oil'!AB1732</f>
        <v>91.022000000000006</v>
      </c>
      <c r="AC1731">
        <f>'raw data Crude oil'!AC1732</f>
        <v>90.010999999999996</v>
      </c>
      <c r="AD1731">
        <f>'raw data Crude oil'!AD1732</f>
        <v>89.078000000000003</v>
      </c>
      <c r="AE1731">
        <f>'raw data Crude oil'!AE1732</f>
        <v>88.23</v>
      </c>
      <c r="AF1731">
        <f>'raw data Crude oil'!AF1732</f>
        <v>87.427999999999997</v>
      </c>
      <c r="AG1731">
        <f>'raw data Crude oil'!AG1732</f>
        <v>86.710999999999999</v>
      </c>
      <c r="AH1731">
        <f>'raw data Crude oil'!AH1732</f>
        <v>86.034000000000006</v>
      </c>
      <c r="AI1731">
        <f>'raw data Crude oil'!AI1732</f>
        <v>85.361999999999995</v>
      </c>
      <c r="AJ1731">
        <f>'raw data Crude oil'!AJ1732</f>
        <v>84.727000000000004</v>
      </c>
      <c r="AK1731">
        <f>'raw data Crude oil'!AK1732</f>
        <v>84.106999999999999</v>
      </c>
    </row>
    <row r="1732" spans="1:37" x14ac:dyDescent="0.3">
      <c r="A1732" s="18">
        <f>'raw data Crude oil'!A1733</f>
        <v>45182</v>
      </c>
      <c r="B1732">
        <f>'raw data Crude oil'!B1733</f>
        <v>91.88</v>
      </c>
      <c r="C1732">
        <f>'raw data Crude oil'!C1733</f>
        <v>91.2</v>
      </c>
      <c r="D1732">
        <f>'raw data Crude oil'!D1733</f>
        <v>90.39</v>
      </c>
      <c r="E1732">
        <f>'raw data Crude oil'!E1733</f>
        <v>89.57</v>
      </c>
      <c r="F1732">
        <f>'raw data Crude oil'!F1733</f>
        <v>88.77</v>
      </c>
      <c r="G1732">
        <f>'raw data Crude oil'!G1733</f>
        <v>88.02</v>
      </c>
      <c r="H1732">
        <f>'raw data Crude oil'!H1733</f>
        <v>87.33</v>
      </c>
      <c r="I1732">
        <f>'raw data Crude oil'!I1733</f>
        <v>86.68</v>
      </c>
      <c r="J1732">
        <f>'raw data Crude oil'!J1733</f>
        <v>86.05</v>
      </c>
      <c r="K1732">
        <f>'raw data Crude oil'!K1733</f>
        <v>85.45</v>
      </c>
      <c r="L1732">
        <f>'raw data Crude oil'!L1733</f>
        <v>84.87</v>
      </c>
      <c r="M1732">
        <f>'raw data Crude oil'!M1733</f>
        <v>84.33</v>
      </c>
      <c r="N1732">
        <f>'raw data Crude oil'!N1733</f>
        <v>88.52</v>
      </c>
      <c r="O1732">
        <f>'raw data Crude oil'!O1733</f>
        <v>87.88</v>
      </c>
      <c r="P1732">
        <f>'raw data Crude oil'!P1733</f>
        <v>87.11</v>
      </c>
      <c r="Q1732">
        <f>'raw data Crude oil'!Q1733</f>
        <v>86.27</v>
      </c>
      <c r="R1732">
        <f>'raw data Crude oil'!R1733</f>
        <v>85.4</v>
      </c>
      <c r="S1732">
        <f>'raw data Crude oil'!S1733</f>
        <v>84.58</v>
      </c>
      <c r="T1732">
        <f>'raw data Crude oil'!T1733</f>
        <v>83.79</v>
      </c>
      <c r="U1732">
        <f>'raw data Crude oil'!U1733</f>
        <v>83.04</v>
      </c>
      <c r="V1732">
        <f>'raw data Crude oil'!V1733</f>
        <v>82.32</v>
      </c>
      <c r="W1732">
        <f>'raw data Crude oil'!W1733</f>
        <v>81.61</v>
      </c>
      <c r="X1732">
        <f>'raw data Crude oil'!X1733</f>
        <v>80.95</v>
      </c>
      <c r="Y1732">
        <f>'raw data Crude oil'!Y1733</f>
        <v>80.34</v>
      </c>
      <c r="Z1732">
        <f>'raw data Crude oil'!Z1733</f>
        <v>92.37</v>
      </c>
      <c r="AA1732">
        <f>'raw data Crude oil'!AA1733</f>
        <v>92.07</v>
      </c>
      <c r="AB1732">
        <f>'raw data Crude oil'!AB1733</f>
        <v>91.03</v>
      </c>
      <c r="AC1732">
        <f>'raw data Crude oil'!AC1733</f>
        <v>89.986999999999995</v>
      </c>
      <c r="AD1732">
        <f>'raw data Crude oil'!AD1733</f>
        <v>89.039000000000001</v>
      </c>
      <c r="AE1732">
        <f>'raw data Crude oil'!AE1733</f>
        <v>88.188000000000002</v>
      </c>
      <c r="AF1732">
        <f>'raw data Crude oil'!AF1733</f>
        <v>87.393000000000001</v>
      </c>
      <c r="AG1732">
        <f>'raw data Crude oil'!AG1733</f>
        <v>86.671000000000006</v>
      </c>
      <c r="AH1732">
        <f>'raw data Crude oil'!AH1733</f>
        <v>85.974000000000004</v>
      </c>
      <c r="AI1732">
        <f>'raw data Crude oil'!AI1733</f>
        <v>85.290999999999997</v>
      </c>
      <c r="AJ1732">
        <f>'raw data Crude oil'!AJ1733</f>
        <v>84.637</v>
      </c>
      <c r="AK1732">
        <f>'raw data Crude oil'!AK1733</f>
        <v>84.006</v>
      </c>
    </row>
    <row r="1733" spans="1:37" x14ac:dyDescent="0.3">
      <c r="A1733" s="18">
        <f>'raw data Crude oil'!A1734</f>
        <v>45183</v>
      </c>
      <c r="B1733">
        <f>'raw data Crude oil'!B1734</f>
        <v>93.7</v>
      </c>
      <c r="C1733">
        <f>'raw data Crude oil'!C1734</f>
        <v>92.94</v>
      </c>
      <c r="D1733">
        <f>'raw data Crude oil'!D1734</f>
        <v>92.07</v>
      </c>
      <c r="E1733">
        <f>'raw data Crude oil'!E1734</f>
        <v>91.17</v>
      </c>
      <c r="F1733">
        <f>'raw data Crude oil'!F1734</f>
        <v>90.28</v>
      </c>
      <c r="G1733">
        <f>'raw data Crude oil'!G1734</f>
        <v>89.44</v>
      </c>
      <c r="H1733">
        <f>'raw data Crude oil'!H1734</f>
        <v>88.68</v>
      </c>
      <c r="I1733">
        <f>'raw data Crude oil'!I1734</f>
        <v>87.96</v>
      </c>
      <c r="J1733">
        <f>'raw data Crude oil'!J1734</f>
        <v>87.27</v>
      </c>
      <c r="K1733">
        <f>'raw data Crude oil'!K1734</f>
        <v>86.61</v>
      </c>
      <c r="L1733">
        <f>'raw data Crude oil'!L1734</f>
        <v>85.98</v>
      </c>
      <c r="M1733">
        <f>'raw data Crude oil'!M1734</f>
        <v>85.39</v>
      </c>
      <c r="N1733">
        <f>'raw data Crude oil'!N1734</f>
        <v>90.16</v>
      </c>
      <c r="O1733">
        <f>'raw data Crude oil'!O1734</f>
        <v>89.61</v>
      </c>
      <c r="P1733">
        <f>'raw data Crude oil'!P1734</f>
        <v>88.81</v>
      </c>
      <c r="Q1733">
        <f>'raw data Crude oil'!Q1734</f>
        <v>87.9</v>
      </c>
      <c r="R1733">
        <f>'raw data Crude oil'!R1734</f>
        <v>86.95</v>
      </c>
      <c r="S1733">
        <f>'raw data Crude oil'!S1734</f>
        <v>86.04</v>
      </c>
      <c r="T1733">
        <f>'raw data Crude oil'!T1734</f>
        <v>85.17</v>
      </c>
      <c r="U1733">
        <f>'raw data Crude oil'!U1734</f>
        <v>84.36</v>
      </c>
      <c r="V1733">
        <f>'raw data Crude oil'!V1734</f>
        <v>83.57</v>
      </c>
      <c r="W1733">
        <f>'raw data Crude oil'!W1734</f>
        <v>82.8</v>
      </c>
      <c r="X1733">
        <f>'raw data Crude oil'!X1734</f>
        <v>82.09</v>
      </c>
      <c r="Y1733">
        <f>'raw data Crude oil'!Y1734</f>
        <v>81.42</v>
      </c>
      <c r="Z1733">
        <f>'raw data Crude oil'!Z1734</f>
        <v>93.379000000000005</v>
      </c>
      <c r="AA1733">
        <f>'raw data Crude oil'!AA1734</f>
        <v>93.81</v>
      </c>
      <c r="AB1733">
        <f>'raw data Crude oil'!AB1734</f>
        <v>92.709000000000003</v>
      </c>
      <c r="AC1733">
        <f>'raw data Crude oil'!AC1734</f>
        <v>91.620999999999995</v>
      </c>
      <c r="AD1733">
        <f>'raw data Crude oil'!AD1734</f>
        <v>90.611999999999995</v>
      </c>
      <c r="AE1733">
        <f>'raw data Crude oil'!AE1734</f>
        <v>89.674000000000007</v>
      </c>
      <c r="AF1733">
        <f>'raw data Crude oil'!AF1734</f>
        <v>88.799000000000007</v>
      </c>
      <c r="AG1733">
        <f>'raw data Crude oil'!AG1734</f>
        <v>87.968999999999994</v>
      </c>
      <c r="AH1733">
        <f>'raw data Crude oil'!AH1734</f>
        <v>87.180999999999997</v>
      </c>
      <c r="AI1733">
        <f>'raw data Crude oil'!AI1734</f>
        <v>86.438999999999993</v>
      </c>
      <c r="AJ1733">
        <f>'raw data Crude oil'!AJ1734</f>
        <v>85.754000000000005</v>
      </c>
      <c r="AK1733">
        <f>'raw data Crude oil'!AK1734</f>
        <v>85.093999999999994</v>
      </c>
    </row>
    <row r="1734" spans="1:37" x14ac:dyDescent="0.3">
      <c r="A1734" s="18">
        <f>'raw data Crude oil'!A1735</f>
        <v>45184</v>
      </c>
      <c r="B1734">
        <f>'raw data Crude oil'!B1735</f>
        <v>93.93</v>
      </c>
      <c r="C1734">
        <f>'raw data Crude oil'!C1735</f>
        <v>93.04</v>
      </c>
      <c r="D1734">
        <f>'raw data Crude oil'!D1735</f>
        <v>92.05</v>
      </c>
      <c r="E1734">
        <f>'raw data Crude oil'!E1735</f>
        <v>91.06</v>
      </c>
      <c r="F1734">
        <f>'raw data Crude oil'!F1735</f>
        <v>90.09</v>
      </c>
      <c r="G1734">
        <f>'raw data Crude oil'!G1735</f>
        <v>89.21</v>
      </c>
      <c r="H1734">
        <f>'raw data Crude oil'!H1735</f>
        <v>88.41</v>
      </c>
      <c r="I1734">
        <f>'raw data Crude oil'!I1735</f>
        <v>87.68</v>
      </c>
      <c r="J1734">
        <f>'raw data Crude oil'!J1735</f>
        <v>86.98</v>
      </c>
      <c r="K1734">
        <f>'raw data Crude oil'!K1735</f>
        <v>86.32</v>
      </c>
      <c r="L1734">
        <f>'raw data Crude oil'!L1735</f>
        <v>85.69</v>
      </c>
      <c r="M1734">
        <f>'raw data Crude oil'!M1735</f>
        <v>85.11</v>
      </c>
      <c r="N1734">
        <f>'raw data Crude oil'!N1735</f>
        <v>90.77</v>
      </c>
      <c r="O1734">
        <f>'raw data Crude oil'!O1735</f>
        <v>90.02</v>
      </c>
      <c r="P1734">
        <f>'raw data Crude oil'!P1735</f>
        <v>88.97</v>
      </c>
      <c r="Q1734">
        <f>'raw data Crude oil'!Q1735</f>
        <v>87.92</v>
      </c>
      <c r="R1734">
        <f>'raw data Crude oil'!R1735</f>
        <v>86.85</v>
      </c>
      <c r="S1734">
        <f>'raw data Crude oil'!S1735</f>
        <v>85.85</v>
      </c>
      <c r="T1734">
        <f>'raw data Crude oil'!T1735</f>
        <v>84.93</v>
      </c>
      <c r="U1734">
        <f>'raw data Crude oil'!U1735</f>
        <v>84.09</v>
      </c>
      <c r="V1734">
        <f>'raw data Crude oil'!V1735</f>
        <v>83.3</v>
      </c>
      <c r="W1734">
        <f>'raw data Crude oil'!W1735</f>
        <v>82.53</v>
      </c>
      <c r="X1734">
        <f>'raw data Crude oil'!X1735</f>
        <v>81.819999999999993</v>
      </c>
      <c r="Y1734">
        <f>'raw data Crude oil'!Y1735</f>
        <v>81.150000000000006</v>
      </c>
      <c r="Z1734">
        <f>'raw data Crude oil'!Z1735</f>
        <v>93.507000000000005</v>
      </c>
      <c r="AA1734">
        <f>'raw data Crude oil'!AA1735</f>
        <v>94.003</v>
      </c>
      <c r="AB1734">
        <f>'raw data Crude oil'!AB1735</f>
        <v>92.814999999999998</v>
      </c>
      <c r="AC1734">
        <f>'raw data Crude oil'!AC1735</f>
        <v>91.644999999999996</v>
      </c>
      <c r="AD1734">
        <f>'raw data Crude oil'!AD1735</f>
        <v>90.57</v>
      </c>
      <c r="AE1734">
        <f>'raw data Crude oil'!AE1735</f>
        <v>89.591999999999999</v>
      </c>
      <c r="AF1734">
        <f>'raw data Crude oil'!AF1735</f>
        <v>88.703999999999994</v>
      </c>
      <c r="AG1734">
        <f>'raw data Crude oil'!AG1735</f>
        <v>87.867999999999995</v>
      </c>
      <c r="AH1734">
        <f>'raw data Crude oil'!AH1735</f>
        <v>87.051000000000002</v>
      </c>
      <c r="AI1734">
        <f>'raw data Crude oil'!AI1735</f>
        <v>86.299000000000007</v>
      </c>
      <c r="AJ1734">
        <f>'raw data Crude oil'!AJ1735</f>
        <v>85.584999999999994</v>
      </c>
      <c r="AK1734">
        <f>'raw data Crude oil'!AK1735</f>
        <v>84.924999999999997</v>
      </c>
    </row>
    <row r="1735" spans="1:37" x14ac:dyDescent="0.3">
      <c r="A1735" s="18">
        <f>'raw data Crude oil'!A1736</f>
        <v>45187</v>
      </c>
      <c r="B1735">
        <f>'raw data Crude oil'!B1736</f>
        <v>94.43</v>
      </c>
      <c r="C1735">
        <f>'raw data Crude oil'!C1736</f>
        <v>93.29</v>
      </c>
      <c r="D1735">
        <f>'raw data Crude oil'!D1736</f>
        <v>92.1</v>
      </c>
      <c r="E1735">
        <f>'raw data Crude oil'!E1736</f>
        <v>91</v>
      </c>
      <c r="F1735">
        <f>'raw data Crude oil'!F1736</f>
        <v>89.97</v>
      </c>
      <c r="G1735">
        <f>'raw data Crude oil'!G1736</f>
        <v>89.07</v>
      </c>
      <c r="H1735">
        <f>'raw data Crude oil'!H1736</f>
        <v>88.28</v>
      </c>
      <c r="I1735">
        <f>'raw data Crude oil'!I1736</f>
        <v>87.56</v>
      </c>
      <c r="J1735">
        <f>'raw data Crude oil'!J1736</f>
        <v>86.88</v>
      </c>
      <c r="K1735">
        <f>'raw data Crude oil'!K1736</f>
        <v>86.25</v>
      </c>
      <c r="L1735">
        <f>'raw data Crude oil'!L1736</f>
        <v>85.64</v>
      </c>
      <c r="M1735">
        <f>'raw data Crude oil'!M1736</f>
        <v>85.08</v>
      </c>
      <c r="N1735">
        <f>'raw data Crude oil'!N1736</f>
        <v>91.48</v>
      </c>
      <c r="O1735">
        <f>'raw data Crude oil'!O1736</f>
        <v>90.58</v>
      </c>
      <c r="P1735">
        <f>'raw data Crude oil'!P1736</f>
        <v>89.26</v>
      </c>
      <c r="Q1735">
        <f>'raw data Crude oil'!Q1736</f>
        <v>88.01</v>
      </c>
      <c r="R1735">
        <f>'raw data Crude oil'!R1736</f>
        <v>86.79</v>
      </c>
      <c r="S1735">
        <f>'raw data Crude oil'!S1736</f>
        <v>85.7</v>
      </c>
      <c r="T1735">
        <f>'raw data Crude oil'!T1736</f>
        <v>84.74</v>
      </c>
      <c r="U1735">
        <f>'raw data Crude oil'!U1736</f>
        <v>83.89</v>
      </c>
      <c r="V1735">
        <f>'raw data Crude oil'!V1736</f>
        <v>83.14</v>
      </c>
      <c r="W1735">
        <f>'raw data Crude oil'!W1736</f>
        <v>82.39</v>
      </c>
      <c r="X1735">
        <f>'raw data Crude oil'!X1736</f>
        <v>81.7</v>
      </c>
      <c r="Y1735">
        <f>'raw data Crude oil'!Y1736</f>
        <v>81.069999999999993</v>
      </c>
      <c r="Z1735">
        <f>'raw data Crude oil'!Z1736</f>
        <v>93.472999999999999</v>
      </c>
      <c r="AA1735">
        <f>'raw data Crude oil'!AA1736</f>
        <v>93.813999999999993</v>
      </c>
      <c r="AB1735">
        <f>'raw data Crude oil'!AB1736</f>
        <v>92.564999999999998</v>
      </c>
      <c r="AC1735">
        <f>'raw data Crude oil'!AC1736</f>
        <v>91.346000000000004</v>
      </c>
      <c r="AD1735">
        <f>'raw data Crude oil'!AD1736</f>
        <v>90.254000000000005</v>
      </c>
      <c r="AE1735">
        <f>'raw data Crude oil'!AE1736</f>
        <v>89.262</v>
      </c>
      <c r="AF1735">
        <f>'raw data Crude oil'!AF1736</f>
        <v>88.364000000000004</v>
      </c>
      <c r="AG1735">
        <f>'raw data Crude oil'!AG1736</f>
        <v>87.539000000000001</v>
      </c>
      <c r="AH1735">
        <f>'raw data Crude oil'!AH1736</f>
        <v>86.733000000000004</v>
      </c>
      <c r="AI1735">
        <f>'raw data Crude oil'!AI1736</f>
        <v>85.97</v>
      </c>
      <c r="AJ1735">
        <f>'raw data Crude oil'!AJ1736</f>
        <v>85.325999999999993</v>
      </c>
      <c r="AK1735">
        <f>'raw data Crude oil'!AK1736</f>
        <v>84.706000000000003</v>
      </c>
    </row>
    <row r="1736" spans="1:37" x14ac:dyDescent="0.3">
      <c r="A1736" s="18">
        <f>'raw data Crude oil'!A1737</f>
        <v>45188</v>
      </c>
      <c r="B1736">
        <f>'raw data Crude oil'!B1737</f>
        <v>94.34</v>
      </c>
      <c r="C1736">
        <f>'raw data Crude oil'!C1737</f>
        <v>93.14</v>
      </c>
      <c r="D1736">
        <f>'raw data Crude oil'!D1737</f>
        <v>91.88</v>
      </c>
      <c r="E1736">
        <f>'raw data Crude oil'!E1737</f>
        <v>90.73</v>
      </c>
      <c r="F1736">
        <f>'raw data Crude oil'!F1737</f>
        <v>89.72</v>
      </c>
      <c r="G1736">
        <f>'raw data Crude oil'!G1737</f>
        <v>88.86</v>
      </c>
      <c r="H1736">
        <f>'raw data Crude oil'!H1737</f>
        <v>88.06</v>
      </c>
      <c r="I1736">
        <f>'raw data Crude oil'!I1737</f>
        <v>87.33</v>
      </c>
      <c r="J1736">
        <f>'raw data Crude oil'!J1737</f>
        <v>86.66</v>
      </c>
      <c r="K1736">
        <f>'raw data Crude oil'!K1737</f>
        <v>86.04</v>
      </c>
      <c r="L1736">
        <f>'raw data Crude oil'!L1737</f>
        <v>85.45</v>
      </c>
      <c r="M1736">
        <f>'raw data Crude oil'!M1737</f>
        <v>84.89</v>
      </c>
      <c r="N1736">
        <f>'raw data Crude oil'!N1737</f>
        <v>91.2</v>
      </c>
      <c r="O1736">
        <f>'raw data Crude oil'!O1737</f>
        <v>90.48</v>
      </c>
      <c r="P1736">
        <f>'raw data Crude oil'!P1737</f>
        <v>89.17</v>
      </c>
      <c r="Q1736">
        <f>'raw data Crude oil'!Q1737</f>
        <v>87.89</v>
      </c>
      <c r="R1736">
        <f>'raw data Crude oil'!R1737</f>
        <v>86.65</v>
      </c>
      <c r="S1736">
        <f>'raw data Crude oil'!S1737</f>
        <v>85.53</v>
      </c>
      <c r="T1736">
        <f>'raw data Crude oil'!T1737</f>
        <v>84.55</v>
      </c>
      <c r="U1736">
        <f>'raw data Crude oil'!U1737</f>
        <v>83.7</v>
      </c>
      <c r="V1736">
        <f>'raw data Crude oil'!V1737</f>
        <v>82.94</v>
      </c>
      <c r="W1736">
        <f>'raw data Crude oil'!W1737</f>
        <v>82.22</v>
      </c>
      <c r="X1736">
        <f>'raw data Crude oil'!X1737</f>
        <v>81.55</v>
      </c>
      <c r="Y1736">
        <f>'raw data Crude oil'!Y1737</f>
        <v>80.92</v>
      </c>
      <c r="Z1736">
        <f>'raw data Crude oil'!Z1737</f>
        <v>93.475999999999999</v>
      </c>
      <c r="AA1736">
        <f>'raw data Crude oil'!AA1737</f>
        <v>93.558999999999997</v>
      </c>
      <c r="AB1736">
        <f>'raw data Crude oil'!AB1737</f>
        <v>92.114999999999995</v>
      </c>
      <c r="AC1736">
        <f>'raw data Crude oil'!AC1737</f>
        <v>90.835999999999999</v>
      </c>
      <c r="AD1736">
        <f>'raw data Crude oil'!AD1737</f>
        <v>89.730999999999995</v>
      </c>
      <c r="AE1736">
        <f>'raw data Crude oil'!AE1737</f>
        <v>88.781999999999996</v>
      </c>
      <c r="AF1736">
        <f>'raw data Crude oil'!AF1737</f>
        <v>87.914000000000001</v>
      </c>
      <c r="AG1736">
        <f>'raw data Crude oil'!AG1737</f>
        <v>87.13</v>
      </c>
      <c r="AH1736">
        <f>'raw data Crude oil'!AH1737</f>
        <v>86.373000000000005</v>
      </c>
      <c r="AI1736">
        <f>'raw data Crude oil'!AI1737</f>
        <v>85.671000000000006</v>
      </c>
      <c r="AJ1736">
        <f>'raw data Crude oil'!AJ1737</f>
        <v>85.036000000000001</v>
      </c>
      <c r="AK1736">
        <f>'raw data Crude oil'!AK1737</f>
        <v>84.436999999999998</v>
      </c>
    </row>
    <row r="1737" spans="1:37" x14ac:dyDescent="0.3">
      <c r="A1737" s="18">
        <f>'raw data Crude oil'!A1738</f>
        <v>45189</v>
      </c>
      <c r="B1737">
        <f>'raw data Crude oil'!B1738</f>
        <v>93.53</v>
      </c>
      <c r="C1737">
        <f>'raw data Crude oil'!C1738</f>
        <v>92.35</v>
      </c>
      <c r="D1737">
        <f>'raw data Crude oil'!D1738</f>
        <v>91.11</v>
      </c>
      <c r="E1737">
        <f>'raw data Crude oil'!E1738</f>
        <v>89.99</v>
      </c>
      <c r="F1737">
        <f>'raw data Crude oil'!F1738</f>
        <v>89.01</v>
      </c>
      <c r="G1737">
        <f>'raw data Crude oil'!G1738</f>
        <v>88.17</v>
      </c>
      <c r="H1737">
        <f>'raw data Crude oil'!H1738</f>
        <v>87.42</v>
      </c>
      <c r="I1737">
        <f>'raw data Crude oil'!I1738</f>
        <v>86.74</v>
      </c>
      <c r="J1737">
        <f>'raw data Crude oil'!J1738</f>
        <v>86.1</v>
      </c>
      <c r="K1737">
        <f>'raw data Crude oil'!K1738</f>
        <v>85.52</v>
      </c>
      <c r="L1737">
        <f>'raw data Crude oil'!L1738</f>
        <v>84.97</v>
      </c>
      <c r="M1737">
        <f>'raw data Crude oil'!M1738</f>
        <v>84.46</v>
      </c>
      <c r="N1737">
        <f>'raw data Crude oil'!N1738</f>
        <v>90.28</v>
      </c>
      <c r="O1737">
        <f>'raw data Crude oil'!O1738</f>
        <v>89.66</v>
      </c>
      <c r="P1737">
        <f>'raw data Crude oil'!P1738</f>
        <v>88.34</v>
      </c>
      <c r="Q1737">
        <f>'raw data Crude oil'!Q1738</f>
        <v>87.06</v>
      </c>
      <c r="R1737">
        <f>'raw data Crude oil'!R1738</f>
        <v>85.83</v>
      </c>
      <c r="S1737">
        <f>'raw data Crude oil'!S1738</f>
        <v>84.74</v>
      </c>
      <c r="T1737">
        <f>'raw data Crude oil'!T1738</f>
        <v>83.8</v>
      </c>
      <c r="U1737">
        <f>'raw data Crude oil'!U1738</f>
        <v>83</v>
      </c>
      <c r="V1737">
        <f>'raw data Crude oil'!V1738</f>
        <v>82.29</v>
      </c>
      <c r="W1737">
        <f>'raw data Crude oil'!W1738</f>
        <v>81.61</v>
      </c>
      <c r="X1737">
        <f>'raw data Crude oil'!X1738</f>
        <v>80.98</v>
      </c>
      <c r="Y1737">
        <f>'raw data Crude oil'!Y1738</f>
        <v>80.400000000000006</v>
      </c>
      <c r="Z1737">
        <f>'raw data Crude oil'!Z1738</f>
        <v>93.134</v>
      </c>
      <c r="AA1737">
        <f>'raw data Crude oil'!AA1738</f>
        <v>92.884</v>
      </c>
      <c r="AB1737">
        <f>'raw data Crude oil'!AB1738</f>
        <v>91.543000000000006</v>
      </c>
      <c r="AC1737">
        <f>'raw data Crude oil'!AC1738</f>
        <v>90.266000000000005</v>
      </c>
      <c r="AD1737">
        <f>'raw data Crude oil'!AD1738</f>
        <v>89.165999999999997</v>
      </c>
      <c r="AE1737">
        <f>'raw data Crude oil'!AE1738</f>
        <v>88.213999999999999</v>
      </c>
      <c r="AF1737">
        <f>'raw data Crude oil'!AF1738</f>
        <v>87.355999999999995</v>
      </c>
      <c r="AG1737">
        <f>'raw data Crude oil'!AG1738</f>
        <v>86.581000000000003</v>
      </c>
      <c r="AH1737">
        <f>'raw data Crude oil'!AH1738</f>
        <v>85.855000000000004</v>
      </c>
      <c r="AI1737">
        <f>'raw data Crude oil'!AI1738</f>
        <v>85.173000000000002</v>
      </c>
      <c r="AJ1737">
        <f>'raw data Crude oil'!AJ1738</f>
        <v>84.558000000000007</v>
      </c>
      <c r="AK1737">
        <f>'raw data Crude oil'!AK1738</f>
        <v>83.977999999999994</v>
      </c>
    </row>
    <row r="1738" spans="1:37" x14ac:dyDescent="0.3">
      <c r="A1738" s="18">
        <f>'raw data Crude oil'!A1739</f>
        <v>45190</v>
      </c>
      <c r="B1738">
        <f>'raw data Crude oil'!B1739</f>
        <v>93.3</v>
      </c>
      <c r="C1738">
        <f>'raw data Crude oil'!C1739</f>
        <v>92.26</v>
      </c>
      <c r="D1738">
        <f>'raw data Crude oil'!D1739</f>
        <v>91.09</v>
      </c>
      <c r="E1738">
        <f>'raw data Crude oil'!E1739</f>
        <v>90</v>
      </c>
      <c r="F1738">
        <f>'raw data Crude oil'!F1739</f>
        <v>89.02</v>
      </c>
      <c r="G1738">
        <f>'raw data Crude oil'!G1739</f>
        <v>88.2</v>
      </c>
      <c r="H1738">
        <f>'raw data Crude oil'!H1739</f>
        <v>87.45</v>
      </c>
      <c r="I1738">
        <f>'raw data Crude oil'!I1739</f>
        <v>86.77</v>
      </c>
      <c r="J1738">
        <f>'raw data Crude oil'!J1739</f>
        <v>86.14</v>
      </c>
      <c r="K1738">
        <f>'raw data Crude oil'!K1739</f>
        <v>85.58</v>
      </c>
      <c r="L1738">
        <f>'raw data Crude oil'!L1739</f>
        <v>85.05</v>
      </c>
      <c r="M1738">
        <f>'raw data Crude oil'!M1739</f>
        <v>84.56</v>
      </c>
      <c r="N1738">
        <f>'raw data Crude oil'!N1739</f>
        <v>89.63</v>
      </c>
      <c r="O1738">
        <f>'raw data Crude oil'!O1739</f>
        <v>88.32</v>
      </c>
      <c r="P1738">
        <f>'raw data Crude oil'!P1739</f>
        <v>87.06</v>
      </c>
      <c r="Q1738">
        <f>'raw data Crude oil'!Q1739</f>
        <v>85.83</v>
      </c>
      <c r="R1738">
        <f>'raw data Crude oil'!R1739</f>
        <v>84.74</v>
      </c>
      <c r="S1738">
        <f>'raw data Crude oil'!S1739</f>
        <v>83.81</v>
      </c>
      <c r="T1738">
        <f>'raw data Crude oil'!T1739</f>
        <v>83</v>
      </c>
      <c r="U1738">
        <f>'raw data Crude oil'!U1739</f>
        <v>82.28</v>
      </c>
      <c r="V1738">
        <f>'raw data Crude oil'!V1739</f>
        <v>81.61</v>
      </c>
      <c r="W1738">
        <f>'raw data Crude oil'!W1739</f>
        <v>81</v>
      </c>
      <c r="X1738">
        <f>'raw data Crude oil'!X1739</f>
        <v>80.430000000000007</v>
      </c>
      <c r="Y1738">
        <f>'raw data Crude oil'!Y1739</f>
        <v>79.900000000000006</v>
      </c>
      <c r="Z1738">
        <f>'raw data Crude oil'!Z1739</f>
        <v>93.082999999999998</v>
      </c>
      <c r="AA1738">
        <f>'raw data Crude oil'!AA1739</f>
        <v>92.872</v>
      </c>
      <c r="AB1738">
        <f>'raw data Crude oil'!AB1739</f>
        <v>91.525999999999996</v>
      </c>
      <c r="AC1738">
        <f>'raw data Crude oil'!AC1739</f>
        <v>90.256</v>
      </c>
      <c r="AD1738">
        <f>'raw data Crude oil'!AD1739</f>
        <v>89.158000000000001</v>
      </c>
      <c r="AE1738">
        <f>'raw data Crude oil'!AE1739</f>
        <v>88.209000000000003</v>
      </c>
      <c r="AF1738">
        <f>'raw data Crude oil'!AF1739</f>
        <v>87.376000000000005</v>
      </c>
      <c r="AG1738">
        <f>'raw data Crude oil'!AG1739</f>
        <v>86.600999999999999</v>
      </c>
      <c r="AH1738">
        <f>'raw data Crude oil'!AH1739</f>
        <v>85.876000000000005</v>
      </c>
      <c r="AI1738">
        <f>'raw data Crude oil'!AI1739</f>
        <v>85.213999999999999</v>
      </c>
      <c r="AJ1738">
        <f>'raw data Crude oil'!AJ1739</f>
        <v>84.629000000000005</v>
      </c>
      <c r="AK1738">
        <f>'raw data Crude oil'!AK1739</f>
        <v>84.07</v>
      </c>
    </row>
    <row r="1739" spans="1:37" x14ac:dyDescent="0.3">
      <c r="A1739" s="18">
        <f>'raw data Crude oil'!A1740</f>
        <v>45191</v>
      </c>
      <c r="B1739">
        <f>'raw data Crude oil'!B1740</f>
        <v>93.27</v>
      </c>
      <c r="C1739">
        <f>'raw data Crude oil'!C1740</f>
        <v>91.96</v>
      </c>
      <c r="D1739">
        <f>'raw data Crude oil'!D1740</f>
        <v>90.58</v>
      </c>
      <c r="E1739">
        <f>'raw data Crude oil'!E1740</f>
        <v>89.34</v>
      </c>
      <c r="F1739">
        <f>'raw data Crude oil'!F1740</f>
        <v>88.26</v>
      </c>
      <c r="G1739">
        <f>'raw data Crude oil'!G1740</f>
        <v>87.36</v>
      </c>
      <c r="H1739">
        <f>'raw data Crude oil'!H1740</f>
        <v>86.58</v>
      </c>
      <c r="I1739">
        <f>'raw data Crude oil'!I1740</f>
        <v>85.88</v>
      </c>
      <c r="J1739">
        <f>'raw data Crude oil'!J1740</f>
        <v>85.23</v>
      </c>
      <c r="K1739">
        <f>'raw data Crude oil'!K1740</f>
        <v>84.64</v>
      </c>
      <c r="L1739">
        <f>'raw data Crude oil'!L1740</f>
        <v>84.09</v>
      </c>
      <c r="M1739">
        <f>'raw data Crude oil'!M1740</f>
        <v>83.58</v>
      </c>
      <c r="N1739">
        <f>'raw data Crude oil'!N1740</f>
        <v>90.03</v>
      </c>
      <c r="O1739">
        <f>'raw data Crude oil'!O1740</f>
        <v>88.35</v>
      </c>
      <c r="P1739">
        <f>'raw data Crude oil'!P1740</f>
        <v>86.76</v>
      </c>
      <c r="Q1739">
        <f>'raw data Crude oil'!Q1740</f>
        <v>85.33</v>
      </c>
      <c r="R1739">
        <f>'raw data Crude oil'!R1740</f>
        <v>84.13</v>
      </c>
      <c r="S1739">
        <f>'raw data Crude oil'!S1740</f>
        <v>83.13</v>
      </c>
      <c r="T1739">
        <f>'raw data Crude oil'!T1740</f>
        <v>82.28</v>
      </c>
      <c r="U1739">
        <f>'raw data Crude oil'!U1740</f>
        <v>81.53</v>
      </c>
      <c r="V1739">
        <f>'raw data Crude oil'!V1740</f>
        <v>80.819999999999993</v>
      </c>
      <c r="W1739">
        <f>'raw data Crude oil'!W1740</f>
        <v>80.17</v>
      </c>
      <c r="X1739">
        <f>'raw data Crude oil'!X1740</f>
        <v>79.569999999999993</v>
      </c>
      <c r="Y1739">
        <f>'raw data Crude oil'!Y1740</f>
        <v>79.02</v>
      </c>
      <c r="Z1739">
        <f>'raw data Crude oil'!Z1740</f>
        <v>93.036000000000001</v>
      </c>
      <c r="AA1739">
        <f>'raw data Crude oil'!AA1740</f>
        <v>92.557000000000002</v>
      </c>
      <c r="AB1739">
        <f>'raw data Crude oil'!AB1740</f>
        <v>91.072999999999993</v>
      </c>
      <c r="AC1739">
        <f>'raw data Crude oil'!AC1740</f>
        <v>89.68</v>
      </c>
      <c r="AD1739">
        <f>'raw data Crude oil'!AD1740</f>
        <v>88.468000000000004</v>
      </c>
      <c r="AE1739">
        <f>'raw data Crude oil'!AE1740</f>
        <v>87.415999999999997</v>
      </c>
      <c r="AF1739">
        <f>'raw data Crude oil'!AF1740</f>
        <v>86.53</v>
      </c>
      <c r="AG1739">
        <f>'raw data Crude oil'!AG1740</f>
        <v>85.73</v>
      </c>
      <c r="AH1739">
        <f>'raw data Crude oil'!AH1740</f>
        <v>84.983999999999995</v>
      </c>
      <c r="AI1739">
        <f>'raw data Crude oil'!AI1740</f>
        <v>84.302999999999997</v>
      </c>
      <c r="AJ1739">
        <f>'raw data Crude oil'!AJ1740</f>
        <v>83.677999999999997</v>
      </c>
      <c r="AK1739">
        <f>'raw data Crude oil'!AK1740</f>
        <v>83.078999999999994</v>
      </c>
    </row>
    <row r="1740" spans="1:37" x14ac:dyDescent="0.3">
      <c r="A1740" s="18">
        <f>'raw data Crude oil'!A1741</f>
        <v>45194</v>
      </c>
      <c r="B1740">
        <f>'raw data Crude oil'!B1741</f>
        <v>93.29</v>
      </c>
      <c r="C1740">
        <f>'raw data Crude oil'!C1741</f>
        <v>91.88</v>
      </c>
      <c r="D1740">
        <f>'raw data Crude oil'!D1741</f>
        <v>90.47</v>
      </c>
      <c r="E1740">
        <f>'raw data Crude oil'!E1741</f>
        <v>89.2</v>
      </c>
      <c r="F1740">
        <f>'raw data Crude oil'!F1741</f>
        <v>88.1</v>
      </c>
      <c r="G1740">
        <f>'raw data Crude oil'!G1741</f>
        <v>87.2</v>
      </c>
      <c r="H1740">
        <f>'raw data Crude oil'!H1741</f>
        <v>86.45</v>
      </c>
      <c r="I1740">
        <f>'raw data Crude oil'!I1741</f>
        <v>85.8</v>
      </c>
      <c r="J1740">
        <f>'raw data Crude oil'!J1741</f>
        <v>85.19</v>
      </c>
      <c r="K1740">
        <f>'raw data Crude oil'!K1741</f>
        <v>84.63</v>
      </c>
      <c r="L1740">
        <f>'raw data Crude oil'!L1741</f>
        <v>84.1</v>
      </c>
      <c r="M1740">
        <f>'raw data Crude oil'!M1741</f>
        <v>83.61</v>
      </c>
      <c r="N1740">
        <f>'raw data Crude oil'!N1741</f>
        <v>89.68</v>
      </c>
      <c r="O1740">
        <f>'raw data Crude oil'!O1741</f>
        <v>88.17</v>
      </c>
      <c r="P1740">
        <f>'raw data Crude oil'!P1741</f>
        <v>86.7</v>
      </c>
      <c r="Q1740">
        <f>'raw data Crude oil'!Q1741</f>
        <v>85.29</v>
      </c>
      <c r="R1740">
        <f>'raw data Crude oil'!R1741</f>
        <v>84.08</v>
      </c>
      <c r="S1740">
        <f>'raw data Crude oil'!S1741</f>
        <v>83.08</v>
      </c>
      <c r="T1740">
        <f>'raw data Crude oil'!T1741</f>
        <v>82.24</v>
      </c>
      <c r="U1740">
        <f>'raw data Crude oil'!U1741</f>
        <v>81.48</v>
      </c>
      <c r="V1740">
        <f>'raw data Crude oil'!V1741</f>
        <v>80.790000000000006</v>
      </c>
      <c r="W1740">
        <f>'raw data Crude oil'!W1741</f>
        <v>80.16</v>
      </c>
      <c r="X1740">
        <f>'raw data Crude oil'!X1741</f>
        <v>79.58</v>
      </c>
      <c r="Y1740">
        <f>'raw data Crude oil'!Y1741</f>
        <v>79.05</v>
      </c>
      <c r="Z1740">
        <f>'raw data Crude oil'!Z1741</f>
        <v>93.02</v>
      </c>
      <c r="AA1740">
        <f>'raw data Crude oil'!AA1741</f>
        <v>92.445999999999998</v>
      </c>
      <c r="AB1740">
        <f>'raw data Crude oil'!AB1741</f>
        <v>90.915999999999997</v>
      </c>
      <c r="AC1740">
        <f>'raw data Crude oil'!AC1741</f>
        <v>89.494</v>
      </c>
      <c r="AD1740">
        <f>'raw data Crude oil'!AD1741</f>
        <v>88.274000000000001</v>
      </c>
      <c r="AE1740">
        <f>'raw data Crude oil'!AE1741</f>
        <v>87.224000000000004</v>
      </c>
      <c r="AF1740">
        <f>'raw data Crude oil'!AF1741</f>
        <v>86.367999999999995</v>
      </c>
      <c r="AG1740">
        <f>'raw data Crude oil'!AG1741</f>
        <v>85.622</v>
      </c>
      <c r="AH1740">
        <f>'raw data Crude oil'!AH1741</f>
        <v>84.926000000000002</v>
      </c>
      <c r="AI1740">
        <f>'raw data Crude oil'!AI1741</f>
        <v>84.274000000000001</v>
      </c>
      <c r="AJ1740">
        <f>'raw data Crude oil'!AJ1741</f>
        <v>83.668999999999997</v>
      </c>
      <c r="AK1740">
        <f>'raw data Crude oil'!AK1741</f>
        <v>83.11</v>
      </c>
    </row>
    <row r="1741" spans="1:37" x14ac:dyDescent="0.3">
      <c r="A1741" s="18">
        <f>'raw data Crude oil'!A1742</f>
        <v>45195</v>
      </c>
      <c r="B1741">
        <f>'raw data Crude oil'!B1742</f>
        <v>93.96</v>
      </c>
      <c r="C1741">
        <f>'raw data Crude oil'!C1742</f>
        <v>92.43</v>
      </c>
      <c r="D1741">
        <f>'raw data Crude oil'!D1742</f>
        <v>90.9</v>
      </c>
      <c r="E1741">
        <f>'raw data Crude oil'!E1742</f>
        <v>89.56</v>
      </c>
      <c r="F1741">
        <f>'raw data Crude oil'!F1742</f>
        <v>88.41</v>
      </c>
      <c r="G1741">
        <f>'raw data Crude oil'!G1742</f>
        <v>87.49</v>
      </c>
      <c r="H1741">
        <f>'raw data Crude oil'!H1742</f>
        <v>86.74</v>
      </c>
      <c r="I1741">
        <f>'raw data Crude oil'!I1742</f>
        <v>86.09</v>
      </c>
      <c r="J1741">
        <f>'raw data Crude oil'!J1742</f>
        <v>85.49</v>
      </c>
      <c r="K1741">
        <f>'raw data Crude oil'!K1742</f>
        <v>84.93</v>
      </c>
      <c r="L1741">
        <f>'raw data Crude oil'!L1742</f>
        <v>84.42</v>
      </c>
      <c r="M1741">
        <f>'raw data Crude oil'!M1742</f>
        <v>83.93</v>
      </c>
      <c r="N1741">
        <f>'raw data Crude oil'!N1742</f>
        <v>90.39</v>
      </c>
      <c r="O1741">
        <f>'raw data Crude oil'!O1742</f>
        <v>88.78</v>
      </c>
      <c r="P1741">
        <f>'raw data Crude oil'!P1742</f>
        <v>87.22</v>
      </c>
      <c r="Q1741">
        <f>'raw data Crude oil'!Q1742</f>
        <v>85.71</v>
      </c>
      <c r="R1741">
        <f>'raw data Crude oil'!R1742</f>
        <v>84.44</v>
      </c>
      <c r="S1741">
        <f>'raw data Crude oil'!S1742</f>
        <v>83.4</v>
      </c>
      <c r="T1741">
        <f>'raw data Crude oil'!T1742</f>
        <v>82.54</v>
      </c>
      <c r="U1741">
        <f>'raw data Crude oil'!U1742</f>
        <v>81.78</v>
      </c>
      <c r="V1741">
        <f>'raw data Crude oil'!V1742</f>
        <v>81.09</v>
      </c>
      <c r="W1741">
        <f>'raw data Crude oil'!W1742</f>
        <v>80.45</v>
      </c>
      <c r="X1741">
        <f>'raw data Crude oil'!X1742</f>
        <v>79.87</v>
      </c>
      <c r="Y1741">
        <f>'raw data Crude oil'!Y1742</f>
        <v>79.34</v>
      </c>
      <c r="Z1741">
        <f>'raw data Crude oil'!Z1742</f>
        <v>93.057000000000002</v>
      </c>
      <c r="AA1741">
        <f>'raw data Crude oil'!AA1742</f>
        <v>93.024000000000001</v>
      </c>
      <c r="AB1741">
        <f>'raw data Crude oil'!AB1742</f>
        <v>91.378</v>
      </c>
      <c r="AC1741">
        <f>'raw data Crude oil'!AC1742</f>
        <v>89.879000000000005</v>
      </c>
      <c r="AD1741">
        <f>'raw data Crude oil'!AD1742</f>
        <v>88.62</v>
      </c>
      <c r="AE1741">
        <f>'raw data Crude oil'!AE1742</f>
        <v>87.55</v>
      </c>
      <c r="AF1741">
        <f>'raw data Crude oil'!AF1742</f>
        <v>86.683999999999997</v>
      </c>
      <c r="AG1741">
        <f>'raw data Crude oil'!AG1742</f>
        <v>85.933000000000007</v>
      </c>
      <c r="AH1741">
        <f>'raw data Crude oil'!AH1742</f>
        <v>85.236000000000004</v>
      </c>
      <c r="AI1741">
        <f>'raw data Crude oil'!AI1742</f>
        <v>84.605000000000004</v>
      </c>
      <c r="AJ1741">
        <f>'raw data Crude oil'!AJ1742</f>
        <v>84.009</v>
      </c>
      <c r="AK1741">
        <f>'raw data Crude oil'!AK1742</f>
        <v>83.43</v>
      </c>
    </row>
    <row r="1742" spans="1:37" x14ac:dyDescent="0.3">
      <c r="A1742" s="18">
        <f>'raw data Crude oil'!A1743</f>
        <v>45196</v>
      </c>
      <c r="B1742">
        <f>'raw data Crude oil'!B1743</f>
        <v>96.55</v>
      </c>
      <c r="C1742">
        <f>'raw data Crude oil'!C1743</f>
        <v>94.36</v>
      </c>
      <c r="D1742">
        <f>'raw data Crude oil'!D1743</f>
        <v>92.41</v>
      </c>
      <c r="E1742">
        <f>'raw data Crude oil'!E1743</f>
        <v>90.84</v>
      </c>
      <c r="F1742">
        <f>'raw data Crude oil'!F1743</f>
        <v>89.59</v>
      </c>
      <c r="G1742">
        <f>'raw data Crude oil'!G1743</f>
        <v>88.54</v>
      </c>
      <c r="H1742">
        <f>'raw data Crude oil'!H1743</f>
        <v>87.68</v>
      </c>
      <c r="I1742">
        <f>'raw data Crude oil'!I1743</f>
        <v>86.95</v>
      </c>
      <c r="J1742">
        <f>'raw data Crude oil'!J1743</f>
        <v>86.29</v>
      </c>
      <c r="K1742">
        <f>'raw data Crude oil'!K1743</f>
        <v>85.68</v>
      </c>
      <c r="L1742">
        <f>'raw data Crude oil'!L1743</f>
        <v>85.11</v>
      </c>
      <c r="M1742">
        <f>'raw data Crude oil'!M1743</f>
        <v>84.58</v>
      </c>
      <c r="N1742">
        <f>'raw data Crude oil'!N1743</f>
        <v>93.68</v>
      </c>
      <c r="O1742">
        <f>'raw data Crude oil'!O1743</f>
        <v>91.3</v>
      </c>
      <c r="P1742">
        <f>'raw data Crude oil'!P1743</f>
        <v>89.3</v>
      </c>
      <c r="Q1742">
        <f>'raw data Crude oil'!Q1743</f>
        <v>87.42</v>
      </c>
      <c r="R1742">
        <f>'raw data Crude oil'!R1743</f>
        <v>85.86</v>
      </c>
      <c r="S1742">
        <f>'raw data Crude oil'!S1743</f>
        <v>84.6</v>
      </c>
      <c r="T1742">
        <f>'raw data Crude oil'!T1743</f>
        <v>83.59</v>
      </c>
      <c r="U1742">
        <f>'raw data Crude oil'!U1743</f>
        <v>82.74</v>
      </c>
      <c r="V1742">
        <f>'raw data Crude oil'!V1743</f>
        <v>81.98</v>
      </c>
      <c r="W1742">
        <f>'raw data Crude oil'!W1743</f>
        <v>81.290000000000006</v>
      </c>
      <c r="X1742">
        <f>'raw data Crude oil'!X1743</f>
        <v>80.650000000000006</v>
      </c>
      <c r="Y1742">
        <f>'raw data Crude oil'!Y1743</f>
        <v>80.08</v>
      </c>
      <c r="Z1742">
        <f>'raw data Crude oil'!Z1743</f>
        <v>93.296000000000006</v>
      </c>
      <c r="AA1742">
        <f>'raw data Crude oil'!AA1743</f>
        <v>94.906000000000006</v>
      </c>
      <c r="AB1742">
        <f>'raw data Crude oil'!AB1743</f>
        <v>92.864000000000004</v>
      </c>
      <c r="AC1742">
        <f>'raw data Crude oil'!AC1743</f>
        <v>91.125</v>
      </c>
      <c r="AD1742">
        <f>'raw data Crude oil'!AD1743</f>
        <v>89.757000000000005</v>
      </c>
      <c r="AE1742">
        <f>'raw data Crude oil'!AE1743</f>
        <v>88.543999999999997</v>
      </c>
      <c r="AF1742">
        <f>'raw data Crude oil'!AF1743</f>
        <v>87.554000000000002</v>
      </c>
      <c r="AG1742">
        <f>'raw data Crude oil'!AG1743</f>
        <v>86.73</v>
      </c>
      <c r="AH1742">
        <f>'raw data Crude oil'!AH1743</f>
        <v>85.962999999999994</v>
      </c>
      <c r="AI1742">
        <f>'raw data Crude oil'!AI1743</f>
        <v>85.292000000000002</v>
      </c>
      <c r="AJ1742">
        <f>'raw data Crude oil'!AJ1743</f>
        <v>84.647000000000006</v>
      </c>
      <c r="AK1742">
        <f>'raw data Crude oil'!AK1743</f>
        <v>84.018000000000001</v>
      </c>
    </row>
    <row r="1743" spans="1:37" x14ac:dyDescent="0.3">
      <c r="A1743" s="18">
        <f>'raw data Crude oil'!A1744</f>
        <v>45197</v>
      </c>
      <c r="B1743">
        <f>'raw data Crude oil'!B1744</f>
        <v>95.38</v>
      </c>
      <c r="C1743">
        <f>'raw data Crude oil'!C1744</f>
        <v>93.1</v>
      </c>
      <c r="D1743">
        <f>'raw data Crude oil'!D1744</f>
        <v>91.18</v>
      </c>
      <c r="E1743">
        <f>'raw data Crude oil'!E1744</f>
        <v>89.64</v>
      </c>
      <c r="F1743">
        <f>'raw data Crude oil'!F1744</f>
        <v>88.45</v>
      </c>
      <c r="G1743">
        <f>'raw data Crude oil'!G1744</f>
        <v>87.48</v>
      </c>
      <c r="H1743">
        <f>'raw data Crude oil'!H1744</f>
        <v>86.67</v>
      </c>
      <c r="I1743">
        <f>'raw data Crude oil'!I1744</f>
        <v>85.97</v>
      </c>
      <c r="J1743">
        <f>'raw data Crude oil'!J1744</f>
        <v>85.36</v>
      </c>
      <c r="K1743">
        <f>'raw data Crude oil'!K1744</f>
        <v>84.79</v>
      </c>
      <c r="L1743">
        <f>'raw data Crude oil'!L1744</f>
        <v>84.26</v>
      </c>
      <c r="M1743">
        <f>'raw data Crude oil'!M1744</f>
        <v>83.77</v>
      </c>
      <c r="N1743">
        <f>'raw data Crude oil'!N1744</f>
        <v>91.71</v>
      </c>
      <c r="O1743">
        <f>'raw data Crude oil'!O1744</f>
        <v>89.59</v>
      </c>
      <c r="P1743">
        <f>'raw data Crude oil'!P1744</f>
        <v>87.75</v>
      </c>
      <c r="Q1743">
        <f>'raw data Crude oil'!Q1744</f>
        <v>85.98</v>
      </c>
      <c r="R1743">
        <f>'raw data Crude oil'!R1744</f>
        <v>84.55</v>
      </c>
      <c r="S1743">
        <f>'raw data Crude oil'!S1744</f>
        <v>83.42</v>
      </c>
      <c r="T1743">
        <f>'raw data Crude oil'!T1744</f>
        <v>82.49</v>
      </c>
      <c r="U1743">
        <f>'raw data Crude oil'!U1744</f>
        <v>81.7</v>
      </c>
      <c r="V1743">
        <f>'raw data Crude oil'!V1744</f>
        <v>80.989999999999995</v>
      </c>
      <c r="W1743">
        <f>'raw data Crude oil'!W1744</f>
        <v>80.34</v>
      </c>
      <c r="X1743">
        <f>'raw data Crude oil'!X1744</f>
        <v>79.75</v>
      </c>
      <c r="Y1743">
        <f>'raw data Crude oil'!Y1744</f>
        <v>79.22</v>
      </c>
      <c r="Z1743">
        <f>'raw data Crude oil'!Z1744</f>
        <v>93.24</v>
      </c>
      <c r="AA1743">
        <f>'raw data Crude oil'!AA1744</f>
        <v>93.313000000000002</v>
      </c>
      <c r="AB1743">
        <f>'raw data Crude oil'!AB1744</f>
        <v>91.35</v>
      </c>
      <c r="AC1743">
        <f>'raw data Crude oil'!AC1744</f>
        <v>89.781000000000006</v>
      </c>
      <c r="AD1743">
        <f>'raw data Crude oil'!AD1744</f>
        <v>88.510999999999996</v>
      </c>
      <c r="AE1743">
        <f>'raw data Crude oil'!AE1744</f>
        <v>87.421000000000006</v>
      </c>
      <c r="AF1743">
        <f>'raw data Crude oil'!AF1744</f>
        <v>86.534999999999997</v>
      </c>
      <c r="AG1743">
        <f>'raw data Crude oil'!AG1744</f>
        <v>85.712000000000003</v>
      </c>
      <c r="AH1743">
        <f>'raw data Crude oil'!AH1744</f>
        <v>85.015000000000001</v>
      </c>
      <c r="AI1743">
        <f>'raw data Crude oil'!AI1744</f>
        <v>84.364000000000004</v>
      </c>
      <c r="AJ1743">
        <f>'raw data Crude oil'!AJ1744</f>
        <v>83.759</v>
      </c>
      <c r="AK1743">
        <f>'raw data Crude oil'!AK1744</f>
        <v>83.17</v>
      </c>
    </row>
    <row r="1744" spans="1:37" x14ac:dyDescent="0.3">
      <c r="A1744" s="18">
        <f>'raw data Crude oil'!A1745</f>
        <v>45198</v>
      </c>
      <c r="B1744">
        <f>'raw data Crude oil'!B1745</f>
        <v>95.31</v>
      </c>
      <c r="C1744">
        <f>'raw data Crude oil'!C1745</f>
        <v>92.2</v>
      </c>
      <c r="D1744">
        <f>'raw data Crude oil'!D1745</f>
        <v>90.36</v>
      </c>
      <c r="E1744">
        <f>'raw data Crude oil'!E1745</f>
        <v>88.82</v>
      </c>
      <c r="F1744">
        <f>'raw data Crude oil'!F1745</f>
        <v>87.67</v>
      </c>
      <c r="G1744">
        <f>'raw data Crude oil'!G1745</f>
        <v>86.75</v>
      </c>
      <c r="H1744">
        <f>'raw data Crude oil'!H1745</f>
        <v>85.98</v>
      </c>
      <c r="I1744">
        <f>'raw data Crude oil'!I1745</f>
        <v>85.33</v>
      </c>
      <c r="J1744">
        <f>'raw data Crude oil'!J1745</f>
        <v>84.77</v>
      </c>
      <c r="K1744">
        <f>'raw data Crude oil'!K1745</f>
        <v>84.23</v>
      </c>
      <c r="L1744">
        <f>'raw data Crude oil'!L1745</f>
        <v>83.73</v>
      </c>
      <c r="M1744">
        <f>'raw data Crude oil'!M1745</f>
        <v>83.27</v>
      </c>
      <c r="N1744">
        <f>'raw data Crude oil'!N1745</f>
        <v>90.79</v>
      </c>
      <c r="O1744">
        <f>'raw data Crude oil'!O1745</f>
        <v>88.8</v>
      </c>
      <c r="P1744">
        <f>'raw data Crude oil'!P1745</f>
        <v>86.98</v>
      </c>
      <c r="Q1744">
        <f>'raw data Crude oil'!Q1745</f>
        <v>85.27</v>
      </c>
      <c r="R1744">
        <f>'raw data Crude oil'!R1745</f>
        <v>83.88</v>
      </c>
      <c r="S1744">
        <f>'raw data Crude oil'!S1745</f>
        <v>82.78</v>
      </c>
      <c r="T1744">
        <f>'raw data Crude oil'!T1745</f>
        <v>81.88</v>
      </c>
      <c r="U1744">
        <f>'raw data Crude oil'!U1745</f>
        <v>81.12</v>
      </c>
      <c r="V1744">
        <f>'raw data Crude oil'!V1745</f>
        <v>80.44</v>
      </c>
      <c r="W1744">
        <f>'raw data Crude oil'!W1745</f>
        <v>79.83</v>
      </c>
      <c r="X1744">
        <f>'raw data Crude oil'!X1745</f>
        <v>79.260000000000005</v>
      </c>
      <c r="Y1744">
        <f>'raw data Crude oil'!Y1745</f>
        <v>78.73</v>
      </c>
      <c r="Z1744">
        <f>'raw data Crude oil'!Z1745</f>
        <v>93.31</v>
      </c>
      <c r="AA1744">
        <f>'raw data Crude oil'!AA1745</f>
        <v>92.531000000000006</v>
      </c>
      <c r="AB1744">
        <f>'raw data Crude oil'!AB1745</f>
        <v>90.573999999999998</v>
      </c>
      <c r="AC1744">
        <f>'raw data Crude oil'!AC1745</f>
        <v>89.004000000000005</v>
      </c>
      <c r="AD1744">
        <f>'raw data Crude oil'!AD1745</f>
        <v>87.757999999999996</v>
      </c>
      <c r="AE1744">
        <f>'raw data Crude oil'!AE1745</f>
        <v>86.692999999999998</v>
      </c>
      <c r="AF1744">
        <f>'raw data Crude oil'!AF1745</f>
        <v>85.817999999999998</v>
      </c>
      <c r="AG1744">
        <f>'raw data Crude oil'!AG1745</f>
        <v>85.105000000000004</v>
      </c>
      <c r="AH1744">
        <f>'raw data Crude oil'!AH1745</f>
        <v>84.456999999999994</v>
      </c>
      <c r="AI1744">
        <f>'raw data Crude oil'!AI1745</f>
        <v>83.844999999999999</v>
      </c>
      <c r="AJ1744">
        <f>'raw data Crude oil'!AJ1745</f>
        <v>83.27</v>
      </c>
      <c r="AK1744">
        <f>'raw data Crude oil'!AK1745</f>
        <v>82.73</v>
      </c>
    </row>
    <row r="1745" spans="1:37" x14ac:dyDescent="0.3">
      <c r="A1745" s="18">
        <f>'raw data Crude oil'!A1746</f>
        <v>45201</v>
      </c>
      <c r="B1745">
        <f>'raw data Crude oil'!B1746</f>
        <v>90.71</v>
      </c>
      <c r="C1745">
        <f>'raw data Crude oil'!C1746</f>
        <v>89.06</v>
      </c>
      <c r="D1745">
        <f>'raw data Crude oil'!D1746</f>
        <v>87.74</v>
      </c>
      <c r="E1745">
        <f>'raw data Crude oil'!E1746</f>
        <v>86.79</v>
      </c>
      <c r="F1745">
        <f>'raw data Crude oil'!F1746</f>
        <v>86.05</v>
      </c>
      <c r="G1745">
        <f>'raw data Crude oil'!G1746</f>
        <v>85.43</v>
      </c>
      <c r="H1745">
        <f>'raw data Crude oil'!H1746</f>
        <v>84.9</v>
      </c>
      <c r="I1745">
        <f>'raw data Crude oil'!I1746</f>
        <v>84.4</v>
      </c>
      <c r="J1745">
        <f>'raw data Crude oil'!J1746</f>
        <v>83.91</v>
      </c>
      <c r="K1745">
        <f>'raw data Crude oil'!K1746</f>
        <v>83.44</v>
      </c>
      <c r="L1745">
        <f>'raw data Crude oil'!L1746</f>
        <v>83</v>
      </c>
      <c r="M1745">
        <f>'raw data Crude oil'!M1746</f>
        <v>82.57</v>
      </c>
      <c r="N1745">
        <f>'raw data Crude oil'!N1746</f>
        <v>88.82</v>
      </c>
      <c r="O1745">
        <f>'raw data Crude oil'!O1746</f>
        <v>87.17</v>
      </c>
      <c r="P1745">
        <f>'raw data Crude oil'!P1746</f>
        <v>85.62</v>
      </c>
      <c r="Q1745">
        <f>'raw data Crude oil'!Q1746</f>
        <v>84.2</v>
      </c>
      <c r="R1745">
        <f>'raw data Crude oil'!R1746</f>
        <v>83.07</v>
      </c>
      <c r="S1745">
        <f>'raw data Crude oil'!S1746</f>
        <v>82.15</v>
      </c>
      <c r="T1745">
        <f>'raw data Crude oil'!T1746</f>
        <v>81.39</v>
      </c>
      <c r="U1745">
        <f>'raw data Crude oil'!U1746</f>
        <v>80.709999999999994</v>
      </c>
      <c r="V1745">
        <f>'raw data Crude oil'!V1746</f>
        <v>80.09</v>
      </c>
      <c r="W1745">
        <f>'raw data Crude oil'!W1746</f>
        <v>79.489999999999995</v>
      </c>
      <c r="X1745">
        <f>'raw data Crude oil'!X1746</f>
        <v>78.94</v>
      </c>
      <c r="Y1745">
        <f>'raw data Crude oil'!Y1746</f>
        <v>78.430000000000007</v>
      </c>
      <c r="Z1745">
        <f>'raw data Crude oil'!Z1746</f>
        <v>93.31</v>
      </c>
      <c r="AA1745">
        <f>'raw data Crude oil'!AA1746</f>
        <v>91.096000000000004</v>
      </c>
      <c r="AB1745">
        <f>'raw data Crude oil'!AB1746</f>
        <v>89.17</v>
      </c>
      <c r="AC1745">
        <f>'raw data Crude oil'!AC1746</f>
        <v>87.754999999999995</v>
      </c>
      <c r="AD1745">
        <f>'raw data Crude oil'!AD1746</f>
        <v>86.706000000000003</v>
      </c>
      <c r="AE1745">
        <f>'raw data Crude oil'!AE1746</f>
        <v>85.85</v>
      </c>
      <c r="AF1745">
        <f>'raw data Crude oil'!AF1746</f>
        <v>85.153999999999996</v>
      </c>
      <c r="AG1745">
        <f>'raw data Crude oil'!AG1746</f>
        <v>84.546999999999997</v>
      </c>
      <c r="AH1745">
        <f>'raw data Crude oil'!AH1746</f>
        <v>83.989000000000004</v>
      </c>
      <c r="AI1745">
        <f>'raw data Crude oil'!AI1746</f>
        <v>83.436999999999998</v>
      </c>
      <c r="AJ1745">
        <f>'raw data Crude oil'!AJ1746</f>
        <v>82.980999999999995</v>
      </c>
      <c r="AK1745">
        <f>'raw data Crude oil'!AK1746</f>
        <v>82.46</v>
      </c>
    </row>
    <row r="1746" spans="1:37" x14ac:dyDescent="0.3">
      <c r="A1746" s="18">
        <f>'raw data Crude oil'!A1747</f>
        <v>45202</v>
      </c>
      <c r="B1746">
        <f>'raw data Crude oil'!B1747</f>
        <v>90.92</v>
      </c>
      <c r="C1746">
        <f>'raw data Crude oil'!C1747</f>
        <v>89.19</v>
      </c>
      <c r="D1746">
        <f>'raw data Crude oil'!D1747</f>
        <v>87.83</v>
      </c>
      <c r="E1746">
        <f>'raw data Crude oil'!E1747</f>
        <v>86.85</v>
      </c>
      <c r="F1746">
        <f>'raw data Crude oil'!F1747</f>
        <v>86.08</v>
      </c>
      <c r="G1746">
        <f>'raw data Crude oil'!G1747</f>
        <v>85.45</v>
      </c>
      <c r="H1746">
        <f>'raw data Crude oil'!H1747</f>
        <v>84.91</v>
      </c>
      <c r="I1746">
        <f>'raw data Crude oil'!I1747</f>
        <v>84.41</v>
      </c>
      <c r="J1746">
        <f>'raw data Crude oil'!J1747</f>
        <v>83.93</v>
      </c>
      <c r="K1746">
        <f>'raw data Crude oil'!K1747</f>
        <v>83.45</v>
      </c>
      <c r="L1746">
        <f>'raw data Crude oil'!L1747</f>
        <v>83.01</v>
      </c>
      <c r="M1746">
        <f>'raw data Crude oil'!M1747</f>
        <v>82.59</v>
      </c>
      <c r="N1746">
        <f>'raw data Crude oil'!N1747</f>
        <v>89.23</v>
      </c>
      <c r="O1746">
        <f>'raw data Crude oil'!O1747</f>
        <v>87.44</v>
      </c>
      <c r="P1746">
        <f>'raw data Crude oil'!P1747</f>
        <v>85.77</v>
      </c>
      <c r="Q1746">
        <f>'raw data Crude oil'!Q1747</f>
        <v>84.27</v>
      </c>
      <c r="R1746">
        <f>'raw data Crude oil'!R1747</f>
        <v>83.09</v>
      </c>
      <c r="S1746">
        <f>'raw data Crude oil'!S1747</f>
        <v>82.16</v>
      </c>
      <c r="T1746">
        <f>'raw data Crude oil'!T1747</f>
        <v>81.39</v>
      </c>
      <c r="U1746">
        <f>'raw data Crude oil'!U1747</f>
        <v>80.73</v>
      </c>
      <c r="V1746">
        <f>'raw data Crude oil'!V1747</f>
        <v>80.12</v>
      </c>
      <c r="W1746">
        <f>'raw data Crude oil'!W1747</f>
        <v>79.55</v>
      </c>
      <c r="X1746">
        <f>'raw data Crude oil'!X1747</f>
        <v>79.010000000000005</v>
      </c>
      <c r="Y1746">
        <f>'raw data Crude oil'!Y1747</f>
        <v>78.510000000000005</v>
      </c>
      <c r="Z1746">
        <f>'raw data Crude oil'!Z1747</f>
        <v>91.352999999999994</v>
      </c>
      <c r="AA1746">
        <f>'raw data Crude oil'!AA1747</f>
        <v>89.367999999999995</v>
      </c>
      <c r="AB1746">
        <f>'raw data Crude oil'!AB1747</f>
        <v>87.882000000000005</v>
      </c>
      <c r="AC1746">
        <f>'raw data Crude oil'!AC1747</f>
        <v>86.805000000000007</v>
      </c>
      <c r="AD1746">
        <f>'raw data Crude oil'!AD1747</f>
        <v>85.900999999999996</v>
      </c>
      <c r="AE1746">
        <f>'raw data Crude oil'!AE1747</f>
        <v>85.158000000000001</v>
      </c>
      <c r="AF1746">
        <f>'raw data Crude oil'!AF1747</f>
        <v>84.537000000000006</v>
      </c>
      <c r="AG1746">
        <f>'raw data Crude oil'!AG1747</f>
        <v>83.978999999999999</v>
      </c>
      <c r="AH1746">
        <f>'raw data Crude oil'!AH1747</f>
        <v>83.415999999999997</v>
      </c>
      <c r="AI1746">
        <f>'raw data Crude oil'!AI1747</f>
        <v>82.930999999999997</v>
      </c>
      <c r="AJ1746">
        <f>'raw data Crude oil'!AJ1747</f>
        <v>82.421000000000006</v>
      </c>
      <c r="AK1746">
        <f>'raw data Crude oil'!AK1747</f>
        <v>81.92</v>
      </c>
    </row>
    <row r="1747" spans="1:37" x14ac:dyDescent="0.3">
      <c r="A1747" s="18">
        <f>'raw data Crude oil'!A1748</f>
        <v>45203</v>
      </c>
      <c r="B1747">
        <f>'raw data Crude oil'!B1748</f>
        <v>85.81</v>
      </c>
      <c r="C1747">
        <f>'raw data Crude oil'!C1748</f>
        <v>84.19</v>
      </c>
      <c r="D1747">
        <f>'raw data Crude oil'!D1748</f>
        <v>82.97</v>
      </c>
      <c r="E1747">
        <f>'raw data Crude oil'!E1748</f>
        <v>82.09</v>
      </c>
      <c r="F1747">
        <f>'raw data Crude oil'!F1748</f>
        <v>81.44</v>
      </c>
      <c r="G1747">
        <f>'raw data Crude oil'!G1748</f>
        <v>80.91</v>
      </c>
      <c r="H1747">
        <f>'raw data Crude oil'!H1748</f>
        <v>80.47</v>
      </c>
      <c r="I1747">
        <f>'raw data Crude oil'!I1748</f>
        <v>80.08</v>
      </c>
      <c r="J1747">
        <f>'raw data Crude oil'!J1748</f>
        <v>79.69</v>
      </c>
      <c r="K1747">
        <f>'raw data Crude oil'!K1748</f>
        <v>79.3</v>
      </c>
      <c r="L1747">
        <f>'raw data Crude oil'!L1748</f>
        <v>78.930000000000007</v>
      </c>
      <c r="M1747">
        <f>'raw data Crude oil'!M1748</f>
        <v>78.569999999999993</v>
      </c>
      <c r="N1747">
        <f>'raw data Crude oil'!N1748</f>
        <v>84.22</v>
      </c>
      <c r="O1747">
        <f>'raw data Crude oil'!O1748</f>
        <v>82.55</v>
      </c>
      <c r="P1747">
        <f>'raw data Crude oil'!P1748</f>
        <v>80.98</v>
      </c>
      <c r="Q1747">
        <f>'raw data Crude oil'!Q1748</f>
        <v>79.62</v>
      </c>
      <c r="R1747">
        <f>'raw data Crude oil'!R1748</f>
        <v>78.58</v>
      </c>
      <c r="S1747">
        <f>'raw data Crude oil'!S1748</f>
        <v>77.78</v>
      </c>
      <c r="T1747">
        <f>'raw data Crude oil'!T1748</f>
        <v>77.13</v>
      </c>
      <c r="U1747">
        <f>'raw data Crude oil'!U1748</f>
        <v>76.56</v>
      </c>
      <c r="V1747">
        <f>'raw data Crude oil'!V1748</f>
        <v>76.040000000000006</v>
      </c>
      <c r="W1747">
        <f>'raw data Crude oil'!W1748</f>
        <v>75.55</v>
      </c>
      <c r="X1747">
        <f>'raw data Crude oil'!X1748</f>
        <v>75.09</v>
      </c>
      <c r="Y1747">
        <f>'raw data Crude oil'!Y1748</f>
        <v>74.66</v>
      </c>
      <c r="Z1747">
        <f>'raw data Crude oil'!Z1748</f>
        <v>86.900999999999996</v>
      </c>
      <c r="AA1747">
        <f>'raw data Crude oil'!AA1748</f>
        <v>84.305000000000007</v>
      </c>
      <c r="AB1747">
        <f>'raw data Crude oil'!AB1748</f>
        <v>82.962000000000003</v>
      </c>
      <c r="AC1747">
        <f>'raw data Crude oil'!AC1748</f>
        <v>81.974999999999994</v>
      </c>
      <c r="AD1747">
        <f>'raw data Crude oil'!AD1748</f>
        <v>81.185000000000002</v>
      </c>
      <c r="AE1747">
        <f>'raw data Crude oil'!AE1748</f>
        <v>80.567999999999998</v>
      </c>
      <c r="AF1747">
        <f>'raw data Crude oil'!AF1748</f>
        <v>80.052000000000007</v>
      </c>
      <c r="AG1747">
        <f>'raw data Crude oil'!AG1748</f>
        <v>79.600999999999999</v>
      </c>
      <c r="AH1747">
        <f>'raw data Crude oil'!AH1748</f>
        <v>79.129000000000005</v>
      </c>
      <c r="AI1747">
        <f>'raw data Crude oil'!AI1748</f>
        <v>78.683999999999997</v>
      </c>
      <c r="AJ1747">
        <f>'raw data Crude oil'!AJ1748</f>
        <v>78.244</v>
      </c>
      <c r="AK1747">
        <f>'raw data Crude oil'!AK1748</f>
        <v>77.802999999999997</v>
      </c>
    </row>
    <row r="1748" spans="1:37" x14ac:dyDescent="0.3">
      <c r="A1748" s="18">
        <f>'raw data Crude oil'!A1749</f>
        <v>45204</v>
      </c>
      <c r="B1748">
        <f>'raw data Crude oil'!B1749</f>
        <v>84.07</v>
      </c>
      <c r="C1748">
        <f>'raw data Crude oil'!C1749</f>
        <v>82.64</v>
      </c>
      <c r="D1748">
        <f>'raw data Crude oil'!D1749</f>
        <v>81.69</v>
      </c>
      <c r="E1748">
        <f>'raw data Crude oil'!E1749</f>
        <v>80.959999999999994</v>
      </c>
      <c r="F1748">
        <f>'raw data Crude oil'!F1749</f>
        <v>80.39</v>
      </c>
      <c r="G1748">
        <f>'raw data Crude oil'!G1749</f>
        <v>79.900000000000006</v>
      </c>
      <c r="H1748">
        <f>'raw data Crude oil'!H1749</f>
        <v>79.45</v>
      </c>
      <c r="I1748">
        <f>'raw data Crude oil'!I1749</f>
        <v>79.03</v>
      </c>
      <c r="J1748">
        <f>'raw data Crude oil'!J1749</f>
        <v>78.62</v>
      </c>
      <c r="K1748">
        <f>'raw data Crude oil'!K1749</f>
        <v>78.22</v>
      </c>
      <c r="L1748">
        <f>'raw data Crude oil'!L1749</f>
        <v>77.84</v>
      </c>
      <c r="M1748">
        <f>'raw data Crude oil'!M1749</f>
        <v>77.47</v>
      </c>
      <c r="N1748">
        <f>'raw data Crude oil'!N1749</f>
        <v>82.31</v>
      </c>
      <c r="O1748">
        <f>'raw data Crude oil'!O1749</f>
        <v>80.81</v>
      </c>
      <c r="P1748">
        <f>'raw data Crude oil'!P1749</f>
        <v>79.41</v>
      </c>
      <c r="Q1748">
        <f>'raw data Crude oil'!Q1749</f>
        <v>78.239999999999995</v>
      </c>
      <c r="R1748">
        <f>'raw data Crude oil'!R1749</f>
        <v>77.33</v>
      </c>
      <c r="S1748">
        <f>'raw data Crude oil'!S1749</f>
        <v>76.599999999999994</v>
      </c>
      <c r="T1748">
        <f>'raw data Crude oil'!T1749</f>
        <v>75.989999999999995</v>
      </c>
      <c r="U1748">
        <f>'raw data Crude oil'!U1749</f>
        <v>75.430000000000007</v>
      </c>
      <c r="V1748">
        <f>'raw data Crude oil'!V1749</f>
        <v>74.92</v>
      </c>
      <c r="W1748">
        <f>'raw data Crude oil'!W1749</f>
        <v>74.45</v>
      </c>
      <c r="X1748">
        <f>'raw data Crude oil'!X1749</f>
        <v>73.989999999999995</v>
      </c>
      <c r="Y1748">
        <f>'raw data Crude oil'!Y1749</f>
        <v>73.569999999999993</v>
      </c>
      <c r="Z1748">
        <f>'raw data Crude oil'!Z1749</f>
        <v>85.572000000000003</v>
      </c>
      <c r="AA1748">
        <f>'raw data Crude oil'!AA1749</f>
        <v>82.772000000000006</v>
      </c>
      <c r="AB1748">
        <f>'raw data Crude oil'!AB1749</f>
        <v>81.656999999999996</v>
      </c>
      <c r="AC1748">
        <f>'raw data Crude oil'!AC1749</f>
        <v>80.796000000000006</v>
      </c>
      <c r="AD1748">
        <f>'raw data Crude oil'!AD1749</f>
        <v>80.096999999999994</v>
      </c>
      <c r="AE1748">
        <f>'raw data Crude oil'!AE1749</f>
        <v>79.548000000000002</v>
      </c>
      <c r="AF1748">
        <f>'raw data Crude oil'!AF1749</f>
        <v>79.039000000000001</v>
      </c>
      <c r="AG1748">
        <f>'raw data Crude oil'!AG1749</f>
        <v>78.552000000000007</v>
      </c>
      <c r="AH1748">
        <f>'raw data Crude oil'!AH1749</f>
        <v>78.043000000000006</v>
      </c>
      <c r="AI1748">
        <f>'raw data Crude oil'!AI1749</f>
        <v>77.613</v>
      </c>
      <c r="AJ1748">
        <f>'raw data Crude oil'!AJ1749</f>
        <v>77.162999999999997</v>
      </c>
      <c r="AK1748">
        <f>'raw data Crude oil'!AK1749</f>
        <v>76.712999999999994</v>
      </c>
    </row>
    <row r="1749" spans="1:37" x14ac:dyDescent="0.3">
      <c r="A1749" s="18">
        <f>'raw data Crude oil'!A1750</f>
        <v>45205</v>
      </c>
      <c r="B1749">
        <f>'raw data Crude oil'!B1750</f>
        <v>84.58</v>
      </c>
      <c r="C1749">
        <f>'raw data Crude oil'!C1750</f>
        <v>83.13</v>
      </c>
      <c r="D1749">
        <f>'raw data Crude oil'!D1750</f>
        <v>82.16</v>
      </c>
      <c r="E1749">
        <f>'raw data Crude oil'!E1750</f>
        <v>81.400000000000006</v>
      </c>
      <c r="F1749">
        <f>'raw data Crude oil'!F1750</f>
        <v>80.8</v>
      </c>
      <c r="G1749">
        <f>'raw data Crude oil'!G1750</f>
        <v>80.28</v>
      </c>
      <c r="H1749">
        <f>'raw data Crude oil'!H1750</f>
        <v>79.790000000000006</v>
      </c>
      <c r="I1749">
        <f>'raw data Crude oil'!I1750</f>
        <v>79.34</v>
      </c>
      <c r="J1749">
        <f>'raw data Crude oil'!J1750</f>
        <v>78.900000000000006</v>
      </c>
      <c r="K1749">
        <f>'raw data Crude oil'!K1750</f>
        <v>78.489999999999995</v>
      </c>
      <c r="L1749">
        <f>'raw data Crude oil'!L1750</f>
        <v>78.08</v>
      </c>
      <c r="M1749">
        <f>'raw data Crude oil'!M1750</f>
        <v>77.709999999999994</v>
      </c>
      <c r="N1749">
        <f>'raw data Crude oil'!N1750</f>
        <v>82.79</v>
      </c>
      <c r="O1749">
        <f>'raw data Crude oil'!O1750</f>
        <v>81.28</v>
      </c>
      <c r="P1749">
        <f>'raw data Crude oil'!P1750</f>
        <v>79.83</v>
      </c>
      <c r="Q1749">
        <f>'raw data Crude oil'!Q1750</f>
        <v>78.64</v>
      </c>
      <c r="R1749">
        <f>'raw data Crude oil'!R1750</f>
        <v>77.709999999999994</v>
      </c>
      <c r="S1749">
        <f>'raw data Crude oil'!S1750</f>
        <v>76.94</v>
      </c>
      <c r="T1749">
        <f>'raw data Crude oil'!T1750</f>
        <v>76.31</v>
      </c>
      <c r="U1749">
        <f>'raw data Crude oil'!U1750</f>
        <v>75.75</v>
      </c>
      <c r="V1749">
        <f>'raw data Crude oil'!V1750</f>
        <v>75.22</v>
      </c>
      <c r="W1749">
        <f>'raw data Crude oil'!W1750</f>
        <v>74.73</v>
      </c>
      <c r="X1749">
        <f>'raw data Crude oil'!X1750</f>
        <v>74.25</v>
      </c>
      <c r="Y1749">
        <f>'raw data Crude oil'!Y1750</f>
        <v>73.81</v>
      </c>
      <c r="Z1749">
        <f>'raw data Crude oil'!Z1750</f>
        <v>85.891000000000005</v>
      </c>
      <c r="AA1749">
        <f>'raw data Crude oil'!AA1750</f>
        <v>83.236000000000004</v>
      </c>
      <c r="AB1749">
        <f>'raw data Crude oil'!AB1750</f>
        <v>82.111999999999995</v>
      </c>
      <c r="AC1749">
        <f>'raw data Crude oil'!AC1750</f>
        <v>81.233000000000004</v>
      </c>
      <c r="AD1749">
        <f>'raw data Crude oil'!AD1750</f>
        <v>80.484999999999999</v>
      </c>
      <c r="AE1749">
        <f>'raw data Crude oil'!AE1750</f>
        <v>79.885999999999996</v>
      </c>
      <c r="AF1749">
        <f>'raw data Crude oil'!AF1750</f>
        <v>79.322999999999993</v>
      </c>
      <c r="AG1749">
        <f>'raw data Crude oil'!AG1750</f>
        <v>78.819999999999993</v>
      </c>
      <c r="AH1749">
        <f>'raw data Crude oil'!AH1750</f>
        <v>78.31</v>
      </c>
      <c r="AI1749">
        <f>'raw data Crude oil'!AI1750</f>
        <v>77.841999999999999</v>
      </c>
      <c r="AJ1749">
        <f>'raw data Crude oil'!AJ1750</f>
        <v>77.373000000000005</v>
      </c>
      <c r="AK1749">
        <f>'raw data Crude oil'!AK1750</f>
        <v>76.912999999999997</v>
      </c>
    </row>
    <row r="1750" spans="1:37" x14ac:dyDescent="0.3">
      <c r="A1750" s="18">
        <f>'raw data Crude oil'!A1751</f>
        <v>45208</v>
      </c>
      <c r="B1750">
        <f>'raw data Crude oil'!B1751</f>
        <v>88.15</v>
      </c>
      <c r="C1750">
        <f>'raw data Crude oil'!C1751</f>
        <v>86.5</v>
      </c>
      <c r="D1750">
        <f>'raw data Crude oil'!D1751</f>
        <v>85.33</v>
      </c>
      <c r="E1750">
        <f>'raw data Crude oil'!E1751</f>
        <v>84.38</v>
      </c>
      <c r="F1750">
        <f>'raw data Crude oil'!F1751</f>
        <v>83.64</v>
      </c>
      <c r="G1750">
        <f>'raw data Crude oil'!G1751</f>
        <v>83.02</v>
      </c>
      <c r="H1750">
        <f>'raw data Crude oil'!H1751</f>
        <v>82.43</v>
      </c>
      <c r="I1750">
        <f>'raw data Crude oil'!I1751</f>
        <v>81.89</v>
      </c>
      <c r="J1750">
        <f>'raw data Crude oil'!J1751</f>
        <v>81.38</v>
      </c>
      <c r="K1750">
        <f>'raw data Crude oil'!K1751</f>
        <v>80.89</v>
      </c>
      <c r="L1750">
        <f>'raw data Crude oil'!L1751</f>
        <v>80.430000000000007</v>
      </c>
      <c r="M1750">
        <f>'raw data Crude oil'!M1751</f>
        <v>79.989999999999995</v>
      </c>
      <c r="N1750">
        <f>'raw data Crude oil'!N1751</f>
        <v>86.38</v>
      </c>
      <c r="O1750">
        <f>'raw data Crude oil'!O1751</f>
        <v>84.6</v>
      </c>
      <c r="P1750">
        <f>'raw data Crude oil'!P1751</f>
        <v>83</v>
      </c>
      <c r="Q1750">
        <f>'raw data Crude oil'!Q1751</f>
        <v>81.62</v>
      </c>
      <c r="R1750">
        <f>'raw data Crude oil'!R1751</f>
        <v>80.510000000000005</v>
      </c>
      <c r="S1750">
        <f>'raw data Crude oil'!S1751</f>
        <v>79.599999999999994</v>
      </c>
      <c r="T1750">
        <f>'raw data Crude oil'!T1751</f>
        <v>78.87</v>
      </c>
      <c r="U1750">
        <f>'raw data Crude oil'!U1751</f>
        <v>78.239999999999995</v>
      </c>
      <c r="V1750">
        <f>'raw data Crude oil'!V1751</f>
        <v>77.64</v>
      </c>
      <c r="W1750">
        <f>'raw data Crude oil'!W1751</f>
        <v>77.069999999999993</v>
      </c>
      <c r="X1750">
        <f>'raw data Crude oil'!X1751</f>
        <v>76.540000000000006</v>
      </c>
      <c r="Y1750">
        <f>'raw data Crude oil'!Y1751</f>
        <v>76.040000000000006</v>
      </c>
      <c r="Z1750">
        <f>'raw data Crude oil'!Z1751</f>
        <v>88.519000000000005</v>
      </c>
      <c r="AA1750">
        <f>'raw data Crude oil'!AA1751</f>
        <v>86.796999999999997</v>
      </c>
      <c r="AB1750">
        <f>'raw data Crude oil'!AB1751</f>
        <v>85.43</v>
      </c>
      <c r="AC1750">
        <f>'raw data Crude oil'!AC1751</f>
        <v>84.355999999999995</v>
      </c>
      <c r="AD1750">
        <f>'raw data Crude oil'!AD1751</f>
        <v>83.471999999999994</v>
      </c>
      <c r="AE1750">
        <f>'raw data Crude oil'!AE1751</f>
        <v>82.760999999999996</v>
      </c>
      <c r="AF1750">
        <f>'raw data Crude oil'!AF1751</f>
        <v>82.085999999999999</v>
      </c>
      <c r="AG1750">
        <f>'raw data Crude oil'!AG1751</f>
        <v>81.477999999999994</v>
      </c>
      <c r="AH1750">
        <f>'raw data Crude oil'!AH1751</f>
        <v>80.876000000000005</v>
      </c>
      <c r="AI1750">
        <f>'raw data Crude oil'!AI1751</f>
        <v>80.34</v>
      </c>
      <c r="AJ1750">
        <f>'raw data Crude oil'!AJ1751</f>
        <v>79.819999999999993</v>
      </c>
      <c r="AK1750">
        <f>'raw data Crude oil'!AK1751</f>
        <v>79.319999999999993</v>
      </c>
    </row>
    <row r="1751" spans="1:37" x14ac:dyDescent="0.3">
      <c r="A1751" s="18">
        <f>'raw data Crude oil'!A1752</f>
        <v>45209</v>
      </c>
      <c r="B1751">
        <f>'raw data Crude oil'!B1752</f>
        <v>87.65</v>
      </c>
      <c r="C1751">
        <f>'raw data Crude oil'!C1752</f>
        <v>86.23</v>
      </c>
      <c r="D1751">
        <f>'raw data Crude oil'!D1752</f>
        <v>85.15</v>
      </c>
      <c r="E1751">
        <f>'raw data Crude oil'!E1752</f>
        <v>84.28</v>
      </c>
      <c r="F1751">
        <f>'raw data Crude oil'!F1752</f>
        <v>83.61</v>
      </c>
      <c r="G1751">
        <f>'raw data Crude oil'!G1752</f>
        <v>83.09</v>
      </c>
      <c r="H1751">
        <f>'raw data Crude oil'!H1752</f>
        <v>82.59</v>
      </c>
      <c r="I1751">
        <f>'raw data Crude oil'!I1752</f>
        <v>82.13</v>
      </c>
      <c r="J1751">
        <f>'raw data Crude oil'!J1752</f>
        <v>81.680000000000007</v>
      </c>
      <c r="K1751">
        <f>'raw data Crude oil'!K1752</f>
        <v>81.25</v>
      </c>
      <c r="L1751">
        <f>'raw data Crude oil'!L1752</f>
        <v>80.84</v>
      </c>
      <c r="M1751">
        <f>'raw data Crude oil'!M1752</f>
        <v>80.44</v>
      </c>
      <c r="N1751">
        <f>'raw data Crude oil'!N1752</f>
        <v>85.97</v>
      </c>
      <c r="O1751">
        <f>'raw data Crude oil'!O1752</f>
        <v>84.13</v>
      </c>
      <c r="P1751">
        <f>'raw data Crude oil'!P1752</f>
        <v>82.57</v>
      </c>
      <c r="Q1751">
        <f>'raw data Crude oil'!Q1752</f>
        <v>81.290000000000006</v>
      </c>
      <c r="R1751">
        <f>'raw data Crude oil'!R1752</f>
        <v>80.31</v>
      </c>
      <c r="S1751">
        <f>'raw data Crude oil'!S1752</f>
        <v>79.53</v>
      </c>
      <c r="T1751">
        <f>'raw data Crude oil'!T1752</f>
        <v>78.91</v>
      </c>
      <c r="U1751">
        <f>'raw data Crude oil'!U1752</f>
        <v>78.36</v>
      </c>
      <c r="V1751">
        <f>'raw data Crude oil'!V1752</f>
        <v>77.84</v>
      </c>
      <c r="W1751">
        <f>'raw data Crude oil'!W1752</f>
        <v>77.34</v>
      </c>
      <c r="X1751">
        <f>'raw data Crude oil'!X1752</f>
        <v>76.88</v>
      </c>
      <c r="Y1751">
        <f>'raw data Crude oil'!Y1752</f>
        <v>76.430000000000007</v>
      </c>
      <c r="Z1751">
        <f>'raw data Crude oil'!Z1752</f>
        <v>88.355999999999995</v>
      </c>
      <c r="AA1751">
        <f>'raw data Crude oil'!AA1752</f>
        <v>86.600999999999999</v>
      </c>
      <c r="AB1751">
        <f>'raw data Crude oil'!AB1752</f>
        <v>85.317999999999998</v>
      </c>
      <c r="AC1751">
        <f>'raw data Crude oil'!AC1752</f>
        <v>84.337999999999994</v>
      </c>
      <c r="AD1751">
        <f>'raw data Crude oil'!AD1752</f>
        <v>83.515000000000001</v>
      </c>
      <c r="AE1751">
        <f>'raw data Crude oil'!AE1752</f>
        <v>82.869</v>
      </c>
      <c r="AF1751">
        <f>'raw data Crude oil'!AF1752</f>
        <v>82.278999999999996</v>
      </c>
      <c r="AG1751">
        <f>'raw data Crude oil'!AG1752</f>
        <v>81.718999999999994</v>
      </c>
      <c r="AH1751">
        <f>'raw data Crude oil'!AH1752</f>
        <v>81.158000000000001</v>
      </c>
      <c r="AI1751">
        <f>'raw data Crude oil'!AI1752</f>
        <v>80.721999999999994</v>
      </c>
      <c r="AJ1751">
        <f>'raw data Crude oil'!AJ1752</f>
        <v>80.242000000000004</v>
      </c>
      <c r="AK1751">
        <f>'raw data Crude oil'!AK1752</f>
        <v>79.792000000000002</v>
      </c>
    </row>
    <row r="1752" spans="1:37" x14ac:dyDescent="0.3">
      <c r="A1752" s="18">
        <f>'raw data Crude oil'!A1753</f>
        <v>45210</v>
      </c>
      <c r="B1752">
        <f>'raw data Crude oil'!B1753</f>
        <v>85.82</v>
      </c>
      <c r="C1752">
        <f>'raw data Crude oil'!C1753</f>
        <v>84.69</v>
      </c>
      <c r="D1752">
        <f>'raw data Crude oil'!D1753</f>
        <v>83.87</v>
      </c>
      <c r="E1752">
        <f>'raw data Crude oil'!E1753</f>
        <v>83.2</v>
      </c>
      <c r="F1752">
        <f>'raw data Crude oil'!F1753</f>
        <v>82.68</v>
      </c>
      <c r="G1752">
        <f>'raw data Crude oil'!G1753</f>
        <v>82.27</v>
      </c>
      <c r="H1752">
        <f>'raw data Crude oil'!H1753</f>
        <v>81.87</v>
      </c>
      <c r="I1752">
        <f>'raw data Crude oil'!I1753</f>
        <v>81.489999999999995</v>
      </c>
      <c r="J1752">
        <f>'raw data Crude oil'!J1753</f>
        <v>81.12</v>
      </c>
      <c r="K1752">
        <f>'raw data Crude oil'!K1753</f>
        <v>80.77</v>
      </c>
      <c r="L1752">
        <f>'raw data Crude oil'!L1753</f>
        <v>80.42</v>
      </c>
      <c r="M1752">
        <f>'raw data Crude oil'!M1753</f>
        <v>80.09</v>
      </c>
      <c r="N1752">
        <f>'raw data Crude oil'!N1753</f>
        <v>83.49</v>
      </c>
      <c r="O1752">
        <f>'raw data Crude oil'!O1753</f>
        <v>82.07</v>
      </c>
      <c r="P1752">
        <f>'raw data Crude oil'!P1753</f>
        <v>80.92</v>
      </c>
      <c r="Q1752">
        <f>'raw data Crude oil'!Q1753</f>
        <v>79.959999999999994</v>
      </c>
      <c r="R1752">
        <f>'raw data Crude oil'!R1753</f>
        <v>79.209999999999994</v>
      </c>
      <c r="S1752">
        <f>'raw data Crude oil'!S1753</f>
        <v>78.599999999999994</v>
      </c>
      <c r="T1752">
        <f>'raw data Crude oil'!T1753</f>
        <v>78.09</v>
      </c>
      <c r="U1752">
        <f>'raw data Crude oil'!U1753</f>
        <v>77.62</v>
      </c>
      <c r="V1752">
        <f>'raw data Crude oil'!V1753</f>
        <v>77.180000000000007</v>
      </c>
      <c r="W1752">
        <f>'raw data Crude oil'!W1753</f>
        <v>76.760000000000005</v>
      </c>
      <c r="X1752">
        <f>'raw data Crude oil'!X1753</f>
        <v>76.349999999999994</v>
      </c>
      <c r="Y1752">
        <f>'raw data Crude oil'!Y1753</f>
        <v>75.97</v>
      </c>
      <c r="Z1752">
        <f>'raw data Crude oil'!Z1753</f>
        <v>87.24</v>
      </c>
      <c r="AA1752">
        <f>'raw data Crude oil'!AA1753</f>
        <v>84.992999999999995</v>
      </c>
      <c r="AB1752">
        <f>'raw data Crude oil'!AB1753</f>
        <v>83.983000000000004</v>
      </c>
      <c r="AC1752">
        <f>'raw data Crude oil'!AC1753</f>
        <v>83.183000000000007</v>
      </c>
      <c r="AD1752">
        <f>'raw data Crude oil'!AD1753</f>
        <v>82.522000000000006</v>
      </c>
      <c r="AE1752">
        <f>'raw data Crude oil'!AE1753</f>
        <v>82.012</v>
      </c>
      <c r="AF1752">
        <f>'raw data Crude oil'!AF1753</f>
        <v>81.525000000000006</v>
      </c>
      <c r="AG1752">
        <f>'raw data Crude oil'!AG1753</f>
        <v>81.066000000000003</v>
      </c>
      <c r="AH1752">
        <f>'raw data Crude oil'!AH1753</f>
        <v>80.597999999999999</v>
      </c>
      <c r="AI1752">
        <f>'raw data Crude oil'!AI1753</f>
        <v>80.174999999999997</v>
      </c>
      <c r="AJ1752">
        <f>'raw data Crude oil'!AJ1753</f>
        <v>79.765000000000001</v>
      </c>
      <c r="AK1752">
        <f>'raw data Crude oil'!AK1753</f>
        <v>79.364000000000004</v>
      </c>
    </row>
    <row r="1753" spans="1:37" x14ac:dyDescent="0.3">
      <c r="A1753" s="18">
        <f>'raw data Crude oil'!A1754</f>
        <v>45211</v>
      </c>
      <c r="B1753">
        <f>'raw data Crude oil'!B1754</f>
        <v>86</v>
      </c>
      <c r="C1753">
        <f>'raw data Crude oil'!C1754</f>
        <v>84.81</v>
      </c>
      <c r="D1753">
        <f>'raw data Crude oil'!D1754</f>
        <v>83.95</v>
      </c>
      <c r="E1753">
        <f>'raw data Crude oil'!E1754</f>
        <v>83.26</v>
      </c>
      <c r="F1753">
        <f>'raw data Crude oil'!F1754</f>
        <v>82.74</v>
      </c>
      <c r="G1753">
        <f>'raw data Crude oil'!G1754</f>
        <v>82.32</v>
      </c>
      <c r="H1753">
        <f>'raw data Crude oil'!H1754</f>
        <v>81.900000000000006</v>
      </c>
      <c r="I1753">
        <f>'raw data Crude oil'!I1754</f>
        <v>81.510000000000005</v>
      </c>
      <c r="J1753">
        <f>'raw data Crude oil'!J1754</f>
        <v>81.13</v>
      </c>
      <c r="K1753">
        <f>'raw data Crude oil'!K1754</f>
        <v>80.760000000000005</v>
      </c>
      <c r="L1753">
        <f>'raw data Crude oil'!L1754</f>
        <v>80.400000000000006</v>
      </c>
      <c r="M1753">
        <f>'raw data Crude oil'!M1754</f>
        <v>80.069999999999993</v>
      </c>
      <c r="N1753">
        <f>'raw data Crude oil'!N1754</f>
        <v>82.91</v>
      </c>
      <c r="O1753">
        <f>'raw data Crude oil'!O1754</f>
        <v>81.8</v>
      </c>
      <c r="P1753">
        <f>'raw data Crude oil'!P1754</f>
        <v>80.73</v>
      </c>
      <c r="Q1753">
        <f>'raw data Crude oil'!Q1754</f>
        <v>79.790000000000006</v>
      </c>
      <c r="R1753">
        <f>'raw data Crude oil'!R1754</f>
        <v>79.040000000000006</v>
      </c>
      <c r="S1753">
        <f>'raw data Crude oil'!S1754</f>
        <v>78.44</v>
      </c>
      <c r="T1753">
        <f>'raw data Crude oil'!T1754</f>
        <v>77.95</v>
      </c>
      <c r="U1753">
        <f>'raw data Crude oil'!U1754</f>
        <v>77.510000000000005</v>
      </c>
      <c r="V1753">
        <f>'raw data Crude oil'!V1754</f>
        <v>77.09</v>
      </c>
      <c r="W1753">
        <f>'raw data Crude oil'!W1754</f>
        <v>76.680000000000007</v>
      </c>
      <c r="X1753">
        <f>'raw data Crude oil'!X1754</f>
        <v>76.28</v>
      </c>
      <c r="Y1753">
        <f>'raw data Crude oil'!Y1754</f>
        <v>75.89</v>
      </c>
      <c r="Z1753">
        <f>'raw data Crude oil'!Z1754</f>
        <v>87.441999999999993</v>
      </c>
      <c r="AA1753">
        <f>'raw data Crude oil'!AA1754</f>
        <v>85.165999999999997</v>
      </c>
      <c r="AB1753">
        <f>'raw data Crude oil'!AB1754</f>
        <v>84.144000000000005</v>
      </c>
      <c r="AC1753">
        <f>'raw data Crude oil'!AC1754</f>
        <v>83.322000000000003</v>
      </c>
      <c r="AD1753">
        <f>'raw data Crude oil'!AD1754</f>
        <v>82.631</v>
      </c>
      <c r="AE1753">
        <f>'raw data Crude oil'!AE1754</f>
        <v>82.093999999999994</v>
      </c>
      <c r="AF1753">
        <f>'raw data Crude oil'!AF1754</f>
        <v>81.576999999999998</v>
      </c>
      <c r="AG1753">
        <f>'raw data Crude oil'!AG1754</f>
        <v>81.102999999999994</v>
      </c>
      <c r="AH1753">
        <f>'raw data Crude oil'!AH1754</f>
        <v>80.641999999999996</v>
      </c>
      <c r="AI1753">
        <f>'raw data Crude oil'!AI1754</f>
        <v>80.194000000000003</v>
      </c>
      <c r="AJ1753">
        <f>'raw data Crude oil'!AJ1754</f>
        <v>79.784999999999997</v>
      </c>
      <c r="AK1753">
        <f>'raw data Crude oil'!AK1754</f>
        <v>79.403999999999996</v>
      </c>
    </row>
    <row r="1754" spans="1:37" x14ac:dyDescent="0.3">
      <c r="A1754" s="18">
        <f>'raw data Crude oil'!A1755</f>
        <v>45212</v>
      </c>
      <c r="B1754">
        <f>'raw data Crude oil'!B1755</f>
        <v>90.89</v>
      </c>
      <c r="C1754">
        <f>'raw data Crude oil'!C1755</f>
        <v>89.34</v>
      </c>
      <c r="D1754">
        <f>'raw data Crude oil'!D1755</f>
        <v>88.24</v>
      </c>
      <c r="E1754">
        <f>'raw data Crude oil'!E1755</f>
        <v>87.32</v>
      </c>
      <c r="F1754">
        <f>'raw data Crude oil'!F1755</f>
        <v>86.6</v>
      </c>
      <c r="G1754">
        <f>'raw data Crude oil'!G1755</f>
        <v>86</v>
      </c>
      <c r="H1754">
        <f>'raw data Crude oil'!H1755</f>
        <v>85.43</v>
      </c>
      <c r="I1754">
        <f>'raw data Crude oil'!I1755</f>
        <v>84.91</v>
      </c>
      <c r="J1754">
        <f>'raw data Crude oil'!J1755</f>
        <v>84.42</v>
      </c>
      <c r="K1754">
        <f>'raw data Crude oil'!K1755</f>
        <v>83.97</v>
      </c>
      <c r="L1754">
        <f>'raw data Crude oil'!L1755</f>
        <v>83.52</v>
      </c>
      <c r="M1754">
        <f>'raw data Crude oil'!M1755</f>
        <v>83.1</v>
      </c>
      <c r="N1754">
        <f>'raw data Crude oil'!N1755</f>
        <v>87.69</v>
      </c>
      <c r="O1754">
        <f>'raw data Crude oil'!O1755</f>
        <v>86.35</v>
      </c>
      <c r="P1754">
        <f>'raw data Crude oil'!P1755</f>
        <v>85.08</v>
      </c>
      <c r="Q1754">
        <f>'raw data Crude oil'!Q1755</f>
        <v>83.89</v>
      </c>
      <c r="R1754">
        <f>'raw data Crude oil'!R1755</f>
        <v>82.92</v>
      </c>
      <c r="S1754">
        <f>'raw data Crude oil'!S1755</f>
        <v>82.14</v>
      </c>
      <c r="T1754">
        <f>'raw data Crude oil'!T1755</f>
        <v>81.47</v>
      </c>
      <c r="U1754">
        <f>'raw data Crude oil'!U1755</f>
        <v>80.87</v>
      </c>
      <c r="V1754">
        <f>'raw data Crude oil'!V1755</f>
        <v>80.33</v>
      </c>
      <c r="W1754">
        <f>'raw data Crude oil'!W1755</f>
        <v>79.81</v>
      </c>
      <c r="X1754">
        <f>'raw data Crude oil'!X1755</f>
        <v>79.290000000000006</v>
      </c>
      <c r="Y1754">
        <f>'raw data Crude oil'!Y1755</f>
        <v>78.819999999999993</v>
      </c>
      <c r="Z1754">
        <f>'raw data Crude oil'!Z1755</f>
        <v>90.13</v>
      </c>
      <c r="AA1754">
        <f>'raw data Crude oil'!AA1755</f>
        <v>89.807000000000002</v>
      </c>
      <c r="AB1754">
        <f>'raw data Crude oil'!AB1755</f>
        <v>88.525000000000006</v>
      </c>
      <c r="AC1754">
        <f>'raw data Crude oil'!AC1755</f>
        <v>87.474000000000004</v>
      </c>
      <c r="AD1754">
        <f>'raw data Crude oil'!AD1755</f>
        <v>86.551000000000002</v>
      </c>
      <c r="AE1754">
        <f>'raw data Crude oil'!AE1755</f>
        <v>85.811999999999998</v>
      </c>
      <c r="AF1754">
        <f>'raw data Crude oil'!AF1755</f>
        <v>85.156000000000006</v>
      </c>
      <c r="AG1754">
        <f>'raw data Crude oil'!AG1755</f>
        <v>84.539000000000001</v>
      </c>
      <c r="AH1754">
        <f>'raw data Crude oil'!AH1755</f>
        <v>83.947999999999993</v>
      </c>
      <c r="AI1754">
        <f>'raw data Crude oil'!AI1755</f>
        <v>83.42</v>
      </c>
      <c r="AJ1754">
        <f>'raw data Crude oil'!AJ1755</f>
        <v>82.900999999999996</v>
      </c>
      <c r="AK1754">
        <f>'raw data Crude oil'!AK1755</f>
        <v>82.42</v>
      </c>
    </row>
    <row r="1755" spans="1:37" x14ac:dyDescent="0.3">
      <c r="A1755" s="18">
        <f>'raw data Crude oil'!A1756</f>
        <v>45215</v>
      </c>
      <c r="B1755">
        <f>'raw data Crude oil'!B1756</f>
        <v>89.65</v>
      </c>
      <c r="C1755">
        <f>'raw data Crude oil'!C1756</f>
        <v>88.27</v>
      </c>
      <c r="D1755">
        <f>'raw data Crude oil'!D1756</f>
        <v>87.24</v>
      </c>
      <c r="E1755">
        <f>'raw data Crude oil'!E1756</f>
        <v>86.4</v>
      </c>
      <c r="F1755">
        <f>'raw data Crude oil'!F1756</f>
        <v>85.75</v>
      </c>
      <c r="G1755">
        <f>'raw data Crude oil'!G1756</f>
        <v>85.2</v>
      </c>
      <c r="H1755">
        <f>'raw data Crude oil'!H1756</f>
        <v>84.68</v>
      </c>
      <c r="I1755">
        <f>'raw data Crude oil'!I1756</f>
        <v>84.19</v>
      </c>
      <c r="J1755">
        <f>'raw data Crude oil'!J1756</f>
        <v>83.73</v>
      </c>
      <c r="K1755">
        <f>'raw data Crude oil'!K1756</f>
        <v>83.31</v>
      </c>
      <c r="L1755">
        <f>'raw data Crude oil'!L1756</f>
        <v>82.88</v>
      </c>
      <c r="M1755">
        <f>'raw data Crude oil'!M1756</f>
        <v>82.5</v>
      </c>
      <c r="N1755">
        <f>'raw data Crude oil'!N1756</f>
        <v>86.66</v>
      </c>
      <c r="O1755">
        <f>'raw data Crude oil'!O1756</f>
        <v>85.26</v>
      </c>
      <c r="P1755">
        <f>'raw data Crude oil'!P1756</f>
        <v>84.02</v>
      </c>
      <c r="Q1755">
        <f>'raw data Crude oil'!Q1756</f>
        <v>82.92</v>
      </c>
      <c r="R1755">
        <f>'raw data Crude oil'!R1756</f>
        <v>82.04</v>
      </c>
      <c r="S1755">
        <f>'raw data Crude oil'!S1756</f>
        <v>81.319999999999993</v>
      </c>
      <c r="T1755">
        <f>'raw data Crude oil'!T1756</f>
        <v>80.709999999999994</v>
      </c>
      <c r="U1755">
        <f>'raw data Crude oil'!U1756</f>
        <v>80.150000000000006</v>
      </c>
      <c r="V1755">
        <f>'raw data Crude oil'!V1756</f>
        <v>79.63</v>
      </c>
      <c r="W1755">
        <f>'raw data Crude oil'!W1756</f>
        <v>79.14</v>
      </c>
      <c r="X1755">
        <f>'raw data Crude oil'!X1756</f>
        <v>78.680000000000007</v>
      </c>
      <c r="Y1755">
        <f>'raw data Crude oil'!Y1756</f>
        <v>78.239999999999995</v>
      </c>
      <c r="Z1755">
        <f>'raw data Crude oil'!Z1756</f>
        <v>89.692999999999998</v>
      </c>
      <c r="AA1755">
        <f>'raw data Crude oil'!AA1756</f>
        <v>88.957999999999998</v>
      </c>
      <c r="AB1755">
        <f>'raw data Crude oil'!AB1756</f>
        <v>87.700999999999993</v>
      </c>
      <c r="AC1755">
        <f>'raw data Crude oil'!AC1756</f>
        <v>86.665999999999997</v>
      </c>
      <c r="AD1755">
        <f>'raw data Crude oil'!AD1756</f>
        <v>85.8</v>
      </c>
      <c r="AE1755">
        <f>'raw data Crude oil'!AE1756</f>
        <v>85.119</v>
      </c>
      <c r="AF1755">
        <f>'raw data Crude oil'!AF1756</f>
        <v>84.477999999999994</v>
      </c>
      <c r="AG1755">
        <f>'raw data Crude oil'!AG1756</f>
        <v>83.88</v>
      </c>
      <c r="AH1755">
        <f>'raw data Crude oil'!AH1756</f>
        <v>83.319000000000003</v>
      </c>
      <c r="AI1755">
        <f>'raw data Crude oil'!AI1756</f>
        <v>82.811000000000007</v>
      </c>
      <c r="AJ1755">
        <f>'raw data Crude oil'!AJ1756</f>
        <v>82.322999999999993</v>
      </c>
      <c r="AK1755">
        <f>'raw data Crude oil'!AK1756</f>
        <v>81.873000000000005</v>
      </c>
    </row>
    <row r="1756" spans="1:37" x14ac:dyDescent="0.3">
      <c r="A1756" s="18">
        <f>'raw data Crude oil'!A1757</f>
        <v>45216</v>
      </c>
      <c r="B1756">
        <f>'raw data Crude oil'!B1757</f>
        <v>89.9</v>
      </c>
      <c r="C1756">
        <f>'raw data Crude oil'!C1757</f>
        <v>88.56</v>
      </c>
      <c r="D1756">
        <f>'raw data Crude oil'!D1757</f>
        <v>87.55</v>
      </c>
      <c r="E1756">
        <f>'raw data Crude oil'!E1757</f>
        <v>86.73</v>
      </c>
      <c r="F1756">
        <f>'raw data Crude oil'!F1757</f>
        <v>86.08</v>
      </c>
      <c r="G1756">
        <f>'raw data Crude oil'!G1757</f>
        <v>85.53</v>
      </c>
      <c r="H1756">
        <f>'raw data Crude oil'!H1757</f>
        <v>85.01</v>
      </c>
      <c r="I1756">
        <f>'raw data Crude oil'!I1757</f>
        <v>84.53</v>
      </c>
      <c r="J1756">
        <f>'raw data Crude oil'!J1757</f>
        <v>84.06</v>
      </c>
      <c r="K1756">
        <f>'raw data Crude oil'!K1757</f>
        <v>83.62</v>
      </c>
      <c r="L1756">
        <f>'raw data Crude oil'!L1757</f>
        <v>83.19</v>
      </c>
      <c r="M1756">
        <f>'raw data Crude oil'!M1757</f>
        <v>82.79</v>
      </c>
      <c r="N1756">
        <f>'raw data Crude oil'!N1757</f>
        <v>86.66</v>
      </c>
      <c r="O1756">
        <f>'raw data Crude oil'!O1757</f>
        <v>85.44</v>
      </c>
      <c r="P1756">
        <f>'raw data Crude oil'!P1757</f>
        <v>84.3</v>
      </c>
      <c r="Q1756">
        <f>'raw data Crude oil'!Q1757</f>
        <v>83.26</v>
      </c>
      <c r="R1756">
        <f>'raw data Crude oil'!R1757</f>
        <v>82.42</v>
      </c>
      <c r="S1756">
        <f>'raw data Crude oil'!S1757</f>
        <v>81.709999999999994</v>
      </c>
      <c r="T1756">
        <f>'raw data Crude oil'!T1757</f>
        <v>81.08</v>
      </c>
      <c r="U1756">
        <f>'raw data Crude oil'!U1757</f>
        <v>80.510000000000005</v>
      </c>
      <c r="V1756">
        <f>'raw data Crude oil'!V1757</f>
        <v>79.97</v>
      </c>
      <c r="W1756">
        <f>'raw data Crude oil'!W1757</f>
        <v>79.47</v>
      </c>
      <c r="X1756">
        <f>'raw data Crude oil'!X1757</f>
        <v>79</v>
      </c>
      <c r="Y1756">
        <f>'raw data Crude oil'!Y1757</f>
        <v>78.55</v>
      </c>
      <c r="Z1756">
        <f>'raw data Crude oil'!Z1757</f>
        <v>89.853999999999999</v>
      </c>
      <c r="AA1756">
        <f>'raw data Crude oil'!AA1757</f>
        <v>89.289000000000001</v>
      </c>
      <c r="AB1756">
        <f>'raw data Crude oil'!AB1757</f>
        <v>88.072999999999993</v>
      </c>
      <c r="AC1756">
        <f>'raw data Crude oil'!AC1757</f>
        <v>87.082999999999998</v>
      </c>
      <c r="AD1756">
        <f>'raw data Crude oil'!AD1757</f>
        <v>86.228999999999999</v>
      </c>
      <c r="AE1756">
        <f>'raw data Crude oil'!AE1757</f>
        <v>85.546999999999997</v>
      </c>
      <c r="AF1756">
        <f>'raw data Crude oil'!AF1757</f>
        <v>84.927999999999997</v>
      </c>
      <c r="AG1756">
        <f>'raw data Crude oil'!AG1757</f>
        <v>84.34</v>
      </c>
      <c r="AH1756">
        <f>'raw data Crude oil'!AH1757</f>
        <v>83.757999999999996</v>
      </c>
      <c r="AI1756">
        <f>'raw data Crude oil'!AI1757</f>
        <v>83.241</v>
      </c>
      <c r="AJ1756">
        <f>'raw data Crude oil'!AJ1757</f>
        <v>82.731999999999999</v>
      </c>
      <c r="AK1756">
        <f>'raw data Crude oil'!AK1757</f>
        <v>82.262</v>
      </c>
    </row>
    <row r="1757" spans="1:37" x14ac:dyDescent="0.3">
      <c r="A1757" s="18">
        <f>'raw data Crude oil'!A1758</f>
        <v>45217</v>
      </c>
      <c r="B1757">
        <f>'raw data Crude oil'!B1758</f>
        <v>91.5</v>
      </c>
      <c r="C1757">
        <f>'raw data Crude oil'!C1758</f>
        <v>90.22</v>
      </c>
      <c r="D1757">
        <f>'raw data Crude oil'!D1758</f>
        <v>89.17</v>
      </c>
      <c r="E1757">
        <f>'raw data Crude oil'!E1758</f>
        <v>88.3</v>
      </c>
      <c r="F1757">
        <f>'raw data Crude oil'!F1758</f>
        <v>87.57</v>
      </c>
      <c r="G1757">
        <f>'raw data Crude oil'!G1758</f>
        <v>86.93</v>
      </c>
      <c r="H1757">
        <f>'raw data Crude oil'!H1758</f>
        <v>86.33</v>
      </c>
      <c r="I1757">
        <f>'raw data Crude oil'!I1758</f>
        <v>85.77</v>
      </c>
      <c r="J1757">
        <f>'raw data Crude oil'!J1758</f>
        <v>85.24</v>
      </c>
      <c r="K1757">
        <f>'raw data Crude oil'!K1758</f>
        <v>84.74</v>
      </c>
      <c r="L1757">
        <f>'raw data Crude oil'!L1758</f>
        <v>84.26</v>
      </c>
      <c r="M1757">
        <f>'raw data Crude oil'!M1758</f>
        <v>83.8</v>
      </c>
      <c r="N1757">
        <f>'raw data Crude oil'!N1758</f>
        <v>88.32</v>
      </c>
      <c r="O1757">
        <f>'raw data Crude oil'!O1758</f>
        <v>87.27</v>
      </c>
      <c r="P1757">
        <f>'raw data Crude oil'!P1758</f>
        <v>86.09</v>
      </c>
      <c r="Q1757">
        <f>'raw data Crude oil'!Q1758</f>
        <v>84.97</v>
      </c>
      <c r="R1757">
        <f>'raw data Crude oil'!R1758</f>
        <v>84.03</v>
      </c>
      <c r="S1757">
        <f>'raw data Crude oil'!S1758</f>
        <v>83.23</v>
      </c>
      <c r="T1757">
        <f>'raw data Crude oil'!T1758</f>
        <v>82.53</v>
      </c>
      <c r="U1757">
        <f>'raw data Crude oil'!U1758</f>
        <v>81.89</v>
      </c>
      <c r="V1757">
        <f>'raw data Crude oil'!V1758</f>
        <v>81.290000000000006</v>
      </c>
      <c r="W1757">
        <f>'raw data Crude oil'!W1758</f>
        <v>80.709999999999994</v>
      </c>
      <c r="X1757">
        <f>'raw data Crude oil'!X1758</f>
        <v>80.17</v>
      </c>
      <c r="Y1757">
        <f>'raw data Crude oil'!Y1758</f>
        <v>79.67</v>
      </c>
      <c r="Z1757">
        <f>'raw data Crude oil'!Z1758</f>
        <v>90.613</v>
      </c>
      <c r="AA1757">
        <f>'raw data Crude oil'!AA1758</f>
        <v>90.966999999999999</v>
      </c>
      <c r="AB1757">
        <f>'raw data Crude oil'!AB1758</f>
        <v>89.727999999999994</v>
      </c>
      <c r="AC1757">
        <f>'raw data Crude oil'!AC1758</f>
        <v>88.716999999999999</v>
      </c>
      <c r="AD1757">
        <f>'raw data Crude oil'!AD1758</f>
        <v>87.79</v>
      </c>
      <c r="AE1757">
        <f>'raw data Crude oil'!AE1758</f>
        <v>87.02</v>
      </c>
      <c r="AF1757">
        <f>'raw data Crude oil'!AF1758</f>
        <v>86.295000000000002</v>
      </c>
      <c r="AG1757">
        <f>'raw data Crude oil'!AG1758</f>
        <v>85.637</v>
      </c>
      <c r="AH1757">
        <f>'raw data Crude oil'!AH1758</f>
        <v>84.995000000000005</v>
      </c>
      <c r="AI1757">
        <f>'raw data Crude oil'!AI1758</f>
        <v>84.429000000000002</v>
      </c>
      <c r="AJ1757">
        <f>'raw data Crude oil'!AJ1758</f>
        <v>83.869</v>
      </c>
      <c r="AK1757">
        <f>'raw data Crude oil'!AK1758</f>
        <v>83.33</v>
      </c>
    </row>
    <row r="1758" spans="1:37" x14ac:dyDescent="0.3">
      <c r="A1758" s="18">
        <f>'raw data Crude oil'!A1759</f>
        <v>45218</v>
      </c>
      <c r="B1758">
        <f>'raw data Crude oil'!B1759</f>
        <v>92.38</v>
      </c>
      <c r="C1758">
        <f>'raw data Crude oil'!C1759</f>
        <v>91.01</v>
      </c>
      <c r="D1758">
        <f>'raw data Crude oil'!D1759</f>
        <v>89.85</v>
      </c>
      <c r="E1758">
        <f>'raw data Crude oil'!E1759</f>
        <v>88.89</v>
      </c>
      <c r="F1758">
        <f>'raw data Crude oil'!F1759</f>
        <v>88.09</v>
      </c>
      <c r="G1758">
        <f>'raw data Crude oil'!G1759</f>
        <v>87.38</v>
      </c>
      <c r="H1758">
        <f>'raw data Crude oil'!H1759</f>
        <v>86.72</v>
      </c>
      <c r="I1758">
        <f>'raw data Crude oil'!I1759</f>
        <v>86.1</v>
      </c>
      <c r="J1758">
        <f>'raw data Crude oil'!J1759</f>
        <v>85.52</v>
      </c>
      <c r="K1758">
        <f>'raw data Crude oil'!K1759</f>
        <v>84.97</v>
      </c>
      <c r="L1758">
        <f>'raw data Crude oil'!L1759</f>
        <v>84.44</v>
      </c>
      <c r="M1758">
        <f>'raw data Crude oil'!M1759</f>
        <v>83.94</v>
      </c>
      <c r="N1758">
        <f>'raw data Crude oil'!N1759</f>
        <v>89.37</v>
      </c>
      <c r="O1758">
        <f>'raw data Crude oil'!O1759</f>
        <v>88.37</v>
      </c>
      <c r="P1758">
        <f>'raw data Crude oil'!P1759</f>
        <v>87.06</v>
      </c>
      <c r="Q1758">
        <f>'raw data Crude oil'!Q1759</f>
        <v>85.79</v>
      </c>
      <c r="R1758">
        <f>'raw data Crude oil'!R1759</f>
        <v>84.69</v>
      </c>
      <c r="S1758">
        <f>'raw data Crude oil'!S1759</f>
        <v>83.77</v>
      </c>
      <c r="T1758">
        <f>'raw data Crude oil'!T1759</f>
        <v>82.98</v>
      </c>
      <c r="U1758">
        <f>'raw data Crude oil'!U1759</f>
        <v>82.27</v>
      </c>
      <c r="V1758">
        <f>'raw data Crude oil'!V1759</f>
        <v>81.599999999999994</v>
      </c>
      <c r="W1758">
        <f>'raw data Crude oil'!W1759</f>
        <v>80.97</v>
      </c>
      <c r="X1758">
        <f>'raw data Crude oil'!X1759</f>
        <v>80.38</v>
      </c>
      <c r="Y1758">
        <f>'raw data Crude oil'!Y1759</f>
        <v>79.83</v>
      </c>
      <c r="Z1758">
        <f>'raw data Crude oil'!Z1759</f>
        <v>90.736999999999995</v>
      </c>
      <c r="AA1758">
        <f>'raw data Crude oil'!AA1759</f>
        <v>91.626999999999995</v>
      </c>
      <c r="AB1758">
        <f>'raw data Crude oil'!AB1759</f>
        <v>90.337000000000003</v>
      </c>
      <c r="AC1758">
        <f>'raw data Crude oil'!AC1759</f>
        <v>89.277000000000001</v>
      </c>
      <c r="AD1758">
        <f>'raw data Crude oil'!AD1759</f>
        <v>88.326999999999998</v>
      </c>
      <c r="AE1758">
        <f>'raw data Crude oil'!AE1759</f>
        <v>87.507000000000005</v>
      </c>
      <c r="AF1758">
        <f>'raw data Crude oil'!AF1759</f>
        <v>86.731999999999999</v>
      </c>
      <c r="AG1758">
        <f>'raw data Crude oil'!AG1759</f>
        <v>86.015000000000001</v>
      </c>
      <c r="AH1758">
        <f>'raw data Crude oil'!AH1759</f>
        <v>85.322999999999993</v>
      </c>
      <c r="AI1758">
        <f>'raw data Crude oil'!AI1759</f>
        <v>84.697000000000003</v>
      </c>
      <c r="AJ1758">
        <f>'raw data Crude oil'!AJ1759</f>
        <v>84.091999999999999</v>
      </c>
      <c r="AK1758">
        <f>'raw data Crude oil'!AK1759</f>
        <v>83.503</v>
      </c>
    </row>
    <row r="1759" spans="1:37" x14ac:dyDescent="0.3">
      <c r="A1759" s="18">
        <f>'raw data Crude oil'!A1760</f>
        <v>45219</v>
      </c>
      <c r="B1759">
        <f>'raw data Crude oil'!B1760</f>
        <v>92.16</v>
      </c>
      <c r="C1759">
        <f>'raw data Crude oil'!C1760</f>
        <v>90.89</v>
      </c>
      <c r="D1759">
        <f>'raw data Crude oil'!D1760</f>
        <v>89.77</v>
      </c>
      <c r="E1759">
        <f>'raw data Crude oil'!E1760</f>
        <v>88.8</v>
      </c>
      <c r="F1759">
        <f>'raw data Crude oil'!F1760</f>
        <v>87.97</v>
      </c>
      <c r="G1759">
        <f>'raw data Crude oil'!G1760</f>
        <v>87.23</v>
      </c>
      <c r="H1759">
        <f>'raw data Crude oil'!H1760</f>
        <v>86.54</v>
      </c>
      <c r="I1759">
        <f>'raw data Crude oil'!I1760</f>
        <v>85.89</v>
      </c>
      <c r="J1759">
        <f>'raw data Crude oil'!J1760</f>
        <v>85.28</v>
      </c>
      <c r="K1759">
        <f>'raw data Crude oil'!K1760</f>
        <v>84.71</v>
      </c>
      <c r="L1759">
        <f>'raw data Crude oil'!L1760</f>
        <v>84.16</v>
      </c>
      <c r="M1759">
        <f>'raw data Crude oil'!M1760</f>
        <v>83.65</v>
      </c>
      <c r="N1759">
        <f>'raw data Crude oil'!N1760</f>
        <v>88.75</v>
      </c>
      <c r="O1759">
        <f>'raw data Crude oil'!O1760</f>
        <v>88.08</v>
      </c>
      <c r="P1759">
        <f>'raw data Crude oil'!P1760</f>
        <v>86.82</v>
      </c>
      <c r="Q1759">
        <f>'raw data Crude oil'!Q1760</f>
        <v>85.57</v>
      </c>
      <c r="R1759">
        <f>'raw data Crude oil'!R1760</f>
        <v>84.47</v>
      </c>
      <c r="S1759">
        <f>'raw data Crude oil'!S1760</f>
        <v>83.54</v>
      </c>
      <c r="T1759">
        <f>'raw data Crude oil'!T1760</f>
        <v>82.73</v>
      </c>
      <c r="U1759">
        <f>'raw data Crude oil'!U1760</f>
        <v>81.99</v>
      </c>
      <c r="V1759">
        <f>'raw data Crude oil'!V1760</f>
        <v>81.3</v>
      </c>
      <c r="W1759">
        <f>'raw data Crude oil'!W1760</f>
        <v>80.66</v>
      </c>
      <c r="X1759">
        <f>'raw data Crude oil'!X1760</f>
        <v>80.05</v>
      </c>
      <c r="Y1759">
        <f>'raw data Crude oil'!Y1760</f>
        <v>79.47</v>
      </c>
      <c r="Z1759">
        <f>'raw data Crude oil'!Z1760</f>
        <v>90.7</v>
      </c>
      <c r="AA1759">
        <f>'raw data Crude oil'!AA1760</f>
        <v>91.459000000000003</v>
      </c>
      <c r="AB1759">
        <f>'raw data Crude oil'!AB1760</f>
        <v>90.215000000000003</v>
      </c>
      <c r="AC1759">
        <f>'raw data Crude oil'!AC1760</f>
        <v>89.13</v>
      </c>
      <c r="AD1759">
        <f>'raw data Crude oil'!AD1760</f>
        <v>88.155000000000001</v>
      </c>
      <c r="AE1759">
        <f>'raw data Crude oil'!AE1760</f>
        <v>87.335999999999999</v>
      </c>
      <c r="AF1759">
        <f>'raw data Crude oil'!AF1760</f>
        <v>86.55</v>
      </c>
      <c r="AG1759">
        <f>'raw data Crude oil'!AG1760</f>
        <v>85.822999999999993</v>
      </c>
      <c r="AH1759">
        <f>'raw data Crude oil'!AH1760</f>
        <v>85.111999999999995</v>
      </c>
      <c r="AI1759">
        <f>'raw data Crude oil'!AI1760</f>
        <v>84.465999999999994</v>
      </c>
      <c r="AJ1759">
        <f>'raw data Crude oil'!AJ1760</f>
        <v>83.846999999999994</v>
      </c>
      <c r="AK1759">
        <f>'raw data Crude oil'!AK1760</f>
        <v>83.266999999999996</v>
      </c>
    </row>
    <row r="1760" spans="1:37" x14ac:dyDescent="0.3">
      <c r="A1760" s="18">
        <f>'raw data Crude oil'!A1761</f>
        <v>45222</v>
      </c>
      <c r="B1760">
        <f>'raw data Crude oil'!B1761</f>
        <v>89.83</v>
      </c>
      <c r="C1760">
        <f>'raw data Crude oil'!C1761</f>
        <v>88.69</v>
      </c>
      <c r="D1760">
        <f>'raw data Crude oil'!D1761</f>
        <v>87.75</v>
      </c>
      <c r="E1760">
        <f>'raw data Crude oil'!E1761</f>
        <v>86.96</v>
      </c>
      <c r="F1760">
        <f>'raw data Crude oil'!F1761</f>
        <v>86.26</v>
      </c>
      <c r="G1760">
        <f>'raw data Crude oil'!G1761</f>
        <v>85.63</v>
      </c>
      <c r="H1760">
        <f>'raw data Crude oil'!H1761</f>
        <v>85.03</v>
      </c>
      <c r="I1760">
        <f>'raw data Crude oil'!I1761</f>
        <v>84.47</v>
      </c>
      <c r="J1760">
        <f>'raw data Crude oil'!J1761</f>
        <v>83.94</v>
      </c>
      <c r="K1760">
        <f>'raw data Crude oil'!K1761</f>
        <v>83.44</v>
      </c>
      <c r="L1760">
        <f>'raw data Crude oil'!L1761</f>
        <v>82.96</v>
      </c>
      <c r="M1760">
        <f>'raw data Crude oil'!M1761</f>
        <v>82.52</v>
      </c>
      <c r="N1760">
        <f>'raw data Crude oil'!N1761</f>
        <v>85.49</v>
      </c>
      <c r="O1760">
        <f>'raw data Crude oil'!O1761</f>
        <v>84.42</v>
      </c>
      <c r="P1760">
        <f>'raw data Crude oil'!P1761</f>
        <v>83.4</v>
      </c>
      <c r="Q1760">
        <f>'raw data Crude oil'!Q1761</f>
        <v>82.51</v>
      </c>
      <c r="R1760">
        <f>'raw data Crude oil'!R1761</f>
        <v>81.760000000000005</v>
      </c>
      <c r="S1760">
        <f>'raw data Crude oil'!S1761</f>
        <v>81.099999999999994</v>
      </c>
      <c r="T1760">
        <f>'raw data Crude oil'!T1761</f>
        <v>80.48</v>
      </c>
      <c r="U1760">
        <f>'raw data Crude oil'!U1761</f>
        <v>79.91</v>
      </c>
      <c r="V1760">
        <f>'raw data Crude oil'!V1761</f>
        <v>79.36</v>
      </c>
      <c r="W1760">
        <f>'raw data Crude oil'!W1761</f>
        <v>78.81</v>
      </c>
      <c r="X1760">
        <f>'raw data Crude oil'!X1761</f>
        <v>78.31</v>
      </c>
      <c r="Y1760">
        <f>'raw data Crude oil'!Y1761</f>
        <v>77.849999999999994</v>
      </c>
      <c r="Z1760">
        <f>'raw data Crude oil'!Z1761</f>
        <v>89.927000000000007</v>
      </c>
      <c r="AA1760">
        <f>'raw data Crude oil'!AA1761</f>
        <v>89.316999999999993</v>
      </c>
      <c r="AB1760">
        <f>'raw data Crude oil'!AB1761</f>
        <v>88.22</v>
      </c>
      <c r="AC1760">
        <f>'raw data Crude oil'!AC1761</f>
        <v>87.230999999999995</v>
      </c>
      <c r="AD1760">
        <f>'raw data Crude oil'!AD1761</f>
        <v>86.322000000000003</v>
      </c>
      <c r="AE1760">
        <f>'raw data Crude oil'!AE1761</f>
        <v>85.602000000000004</v>
      </c>
      <c r="AF1760">
        <f>'raw data Crude oil'!AF1761</f>
        <v>84.915000000000006</v>
      </c>
      <c r="AG1760">
        <f>'raw data Crude oil'!AG1761</f>
        <v>84.266999999999996</v>
      </c>
      <c r="AH1760">
        <f>'raw data Crude oil'!AH1761</f>
        <v>83.644999999999996</v>
      </c>
      <c r="AI1760">
        <f>'raw data Crude oil'!AI1761</f>
        <v>83.063999999999993</v>
      </c>
      <c r="AJ1760">
        <f>'raw data Crude oil'!AJ1761</f>
        <v>82.53</v>
      </c>
      <c r="AK1760">
        <f>'raw data Crude oil'!AK1761</f>
        <v>82.015000000000001</v>
      </c>
    </row>
    <row r="1761" spans="1:37" x14ac:dyDescent="0.3">
      <c r="A1761" s="18">
        <f>'raw data Crude oil'!A1762</f>
        <v>45223</v>
      </c>
      <c r="B1761">
        <f>'raw data Crude oil'!B1762</f>
        <v>88.07</v>
      </c>
      <c r="C1761">
        <f>'raw data Crude oil'!C1762</f>
        <v>87.16</v>
      </c>
      <c r="D1761">
        <f>'raw data Crude oil'!D1762</f>
        <v>86.37</v>
      </c>
      <c r="E1761">
        <f>'raw data Crude oil'!E1762</f>
        <v>85.7</v>
      </c>
      <c r="F1761">
        <f>'raw data Crude oil'!F1762</f>
        <v>85.11</v>
      </c>
      <c r="G1761">
        <f>'raw data Crude oil'!G1762</f>
        <v>84.59</v>
      </c>
      <c r="H1761">
        <f>'raw data Crude oil'!H1762</f>
        <v>84.09</v>
      </c>
      <c r="I1761">
        <f>'raw data Crude oil'!I1762</f>
        <v>83.62</v>
      </c>
      <c r="J1761">
        <f>'raw data Crude oil'!J1762</f>
        <v>83.16</v>
      </c>
      <c r="K1761">
        <f>'raw data Crude oil'!K1762</f>
        <v>82.72</v>
      </c>
      <c r="L1761">
        <f>'raw data Crude oil'!L1762</f>
        <v>82.28</v>
      </c>
      <c r="M1761">
        <f>'raw data Crude oil'!M1762</f>
        <v>81.87</v>
      </c>
      <c r="N1761">
        <f>'raw data Crude oil'!N1762</f>
        <v>83.74</v>
      </c>
      <c r="O1761">
        <f>'raw data Crude oil'!O1762</f>
        <v>82.97</v>
      </c>
      <c r="P1761">
        <f>'raw data Crude oil'!P1762</f>
        <v>82.14</v>
      </c>
      <c r="Q1761">
        <f>'raw data Crude oil'!Q1762</f>
        <v>81.39</v>
      </c>
      <c r="R1761">
        <f>'raw data Crude oil'!R1762</f>
        <v>80.73</v>
      </c>
      <c r="S1761">
        <f>'raw data Crude oil'!S1762</f>
        <v>80.13</v>
      </c>
      <c r="T1761">
        <f>'raw data Crude oil'!T1762</f>
        <v>79.569999999999993</v>
      </c>
      <c r="U1761">
        <f>'raw data Crude oil'!U1762</f>
        <v>79.05</v>
      </c>
      <c r="V1761">
        <f>'raw data Crude oil'!V1762</f>
        <v>78.55</v>
      </c>
      <c r="W1761">
        <f>'raw data Crude oil'!W1762</f>
        <v>78.069999999999993</v>
      </c>
      <c r="X1761">
        <f>'raw data Crude oil'!X1762</f>
        <v>77.61</v>
      </c>
      <c r="Y1761">
        <f>'raw data Crude oil'!Y1762</f>
        <v>77.2</v>
      </c>
      <c r="Z1761">
        <f>'raw data Crude oil'!Z1762</f>
        <v>89.652000000000001</v>
      </c>
      <c r="AA1761">
        <f>'raw data Crude oil'!AA1762</f>
        <v>87.888999999999996</v>
      </c>
      <c r="AB1761">
        <f>'raw data Crude oil'!AB1762</f>
        <v>86.878</v>
      </c>
      <c r="AC1761">
        <f>'raw data Crude oil'!AC1762</f>
        <v>85.966999999999999</v>
      </c>
      <c r="AD1761">
        <f>'raw data Crude oil'!AD1762</f>
        <v>85.135999999999996</v>
      </c>
      <c r="AE1761">
        <f>'raw data Crude oil'!AE1762</f>
        <v>84.504999999999995</v>
      </c>
      <c r="AF1761">
        <f>'raw data Crude oil'!AF1762</f>
        <v>83.918999999999997</v>
      </c>
      <c r="AG1761">
        <f>'raw data Crude oil'!AG1762</f>
        <v>83.347999999999999</v>
      </c>
      <c r="AH1761">
        <f>'raw data Crude oil'!AH1762</f>
        <v>82.805999999999997</v>
      </c>
      <c r="AI1761">
        <f>'raw data Crude oil'!AI1762</f>
        <v>82.308999999999997</v>
      </c>
      <c r="AJ1761">
        <f>'raw data Crude oil'!AJ1762</f>
        <v>81.748999999999995</v>
      </c>
      <c r="AK1761">
        <f>'raw data Crude oil'!AK1762</f>
        <v>81.269000000000005</v>
      </c>
    </row>
    <row r="1762" spans="1:37" x14ac:dyDescent="0.3">
      <c r="A1762" s="18">
        <f>'raw data Crude oil'!A1763</f>
        <v>45224</v>
      </c>
      <c r="B1762">
        <f>'raw data Crude oil'!B1763</f>
        <v>90.13</v>
      </c>
      <c r="C1762">
        <f>'raw data Crude oil'!C1763</f>
        <v>89.12</v>
      </c>
      <c r="D1762">
        <f>'raw data Crude oil'!D1763</f>
        <v>88.27</v>
      </c>
      <c r="E1762">
        <f>'raw data Crude oil'!E1763</f>
        <v>87.53</v>
      </c>
      <c r="F1762">
        <f>'raw data Crude oil'!F1763</f>
        <v>86.88</v>
      </c>
      <c r="G1762">
        <f>'raw data Crude oil'!G1763</f>
        <v>86.31</v>
      </c>
      <c r="H1762">
        <f>'raw data Crude oil'!H1763</f>
        <v>85.77</v>
      </c>
      <c r="I1762">
        <f>'raw data Crude oil'!I1763</f>
        <v>85.26</v>
      </c>
      <c r="J1762">
        <f>'raw data Crude oil'!J1763</f>
        <v>84.76</v>
      </c>
      <c r="K1762">
        <f>'raw data Crude oil'!K1763</f>
        <v>84.27</v>
      </c>
      <c r="L1762">
        <f>'raw data Crude oil'!L1763</f>
        <v>83.79</v>
      </c>
      <c r="M1762">
        <f>'raw data Crude oil'!M1763</f>
        <v>83.34</v>
      </c>
      <c r="N1762">
        <f>'raw data Crude oil'!N1763</f>
        <v>85.39</v>
      </c>
      <c r="O1762">
        <f>'raw data Crude oil'!O1763</f>
        <v>84.69</v>
      </c>
      <c r="P1762">
        <f>'raw data Crude oil'!P1763</f>
        <v>83.86</v>
      </c>
      <c r="Q1762">
        <f>'raw data Crude oil'!Q1763</f>
        <v>83.08</v>
      </c>
      <c r="R1762">
        <f>'raw data Crude oil'!R1763</f>
        <v>82.41</v>
      </c>
      <c r="S1762">
        <f>'raw data Crude oil'!S1763</f>
        <v>81.8</v>
      </c>
      <c r="T1762">
        <f>'raw data Crude oil'!T1763</f>
        <v>81.22</v>
      </c>
      <c r="U1762">
        <f>'raw data Crude oil'!U1763</f>
        <v>80.650000000000006</v>
      </c>
      <c r="V1762">
        <f>'raw data Crude oil'!V1763</f>
        <v>80.11</v>
      </c>
      <c r="W1762">
        <f>'raw data Crude oil'!W1763</f>
        <v>79.59</v>
      </c>
      <c r="X1762">
        <f>'raw data Crude oil'!X1763</f>
        <v>79.09</v>
      </c>
      <c r="Y1762">
        <f>'raw data Crude oil'!Y1763</f>
        <v>78.63</v>
      </c>
      <c r="Z1762">
        <f>'raw data Crude oil'!Z1763</f>
        <v>89.988</v>
      </c>
      <c r="AA1762">
        <f>'raw data Crude oil'!AA1763</f>
        <v>89.751000000000005</v>
      </c>
      <c r="AB1762">
        <f>'raw data Crude oil'!AB1763</f>
        <v>88.796000000000006</v>
      </c>
      <c r="AC1762">
        <f>'raw data Crude oil'!AC1763</f>
        <v>87.894999999999996</v>
      </c>
      <c r="AD1762">
        <f>'raw data Crude oil'!AD1763</f>
        <v>87.036000000000001</v>
      </c>
      <c r="AE1762">
        <f>'raw data Crude oil'!AE1763</f>
        <v>86.358000000000004</v>
      </c>
      <c r="AF1762">
        <f>'raw data Crude oil'!AF1763</f>
        <v>85.718999999999994</v>
      </c>
      <c r="AG1762">
        <f>'raw data Crude oil'!AG1763</f>
        <v>85.106999999999999</v>
      </c>
      <c r="AH1762">
        <f>'raw data Crude oil'!AH1763</f>
        <v>84.506</v>
      </c>
      <c r="AI1762">
        <f>'raw data Crude oil'!AI1763</f>
        <v>83.959000000000003</v>
      </c>
      <c r="AJ1762">
        <f>'raw data Crude oil'!AJ1763</f>
        <v>83.44</v>
      </c>
      <c r="AK1762">
        <f>'raw data Crude oil'!AK1763</f>
        <v>82.91</v>
      </c>
    </row>
    <row r="1763" spans="1:37" x14ac:dyDescent="0.3">
      <c r="A1763" s="18">
        <f>'raw data Crude oil'!A1764</f>
        <v>45225</v>
      </c>
      <c r="B1763">
        <f>'raw data Crude oil'!B1764</f>
        <v>87.93</v>
      </c>
      <c r="C1763">
        <f>'raw data Crude oil'!C1764</f>
        <v>87.05</v>
      </c>
      <c r="D1763">
        <f>'raw data Crude oil'!D1764</f>
        <v>86.33</v>
      </c>
      <c r="E1763">
        <f>'raw data Crude oil'!E1764</f>
        <v>85.7</v>
      </c>
      <c r="F1763">
        <f>'raw data Crude oil'!F1764</f>
        <v>85.14</v>
      </c>
      <c r="G1763">
        <f>'raw data Crude oil'!G1764</f>
        <v>84.64</v>
      </c>
      <c r="H1763">
        <f>'raw data Crude oil'!H1764</f>
        <v>84.18</v>
      </c>
      <c r="I1763">
        <f>'raw data Crude oil'!I1764</f>
        <v>83.74</v>
      </c>
      <c r="J1763">
        <f>'raw data Crude oil'!J1764</f>
        <v>83.31</v>
      </c>
      <c r="K1763">
        <f>'raw data Crude oil'!K1764</f>
        <v>82.89</v>
      </c>
      <c r="L1763">
        <f>'raw data Crude oil'!L1764</f>
        <v>82.47</v>
      </c>
      <c r="M1763">
        <f>'raw data Crude oil'!M1764</f>
        <v>82.07</v>
      </c>
      <c r="N1763">
        <f>'raw data Crude oil'!N1764</f>
        <v>83.21</v>
      </c>
      <c r="O1763">
        <f>'raw data Crude oil'!O1764</f>
        <v>82.54</v>
      </c>
      <c r="P1763">
        <f>'raw data Crude oil'!P1764</f>
        <v>81.84</v>
      </c>
      <c r="Q1763">
        <f>'raw data Crude oil'!Q1764</f>
        <v>81.19</v>
      </c>
      <c r="R1763">
        <f>'raw data Crude oil'!R1764</f>
        <v>80.63</v>
      </c>
      <c r="S1763">
        <f>'raw data Crude oil'!S1764</f>
        <v>80.11</v>
      </c>
      <c r="T1763">
        <f>'raw data Crude oil'!T1764</f>
        <v>79.61</v>
      </c>
      <c r="U1763">
        <f>'raw data Crude oil'!U1764</f>
        <v>79.12</v>
      </c>
      <c r="V1763">
        <f>'raw data Crude oil'!V1764</f>
        <v>78.650000000000006</v>
      </c>
      <c r="W1763">
        <f>'raw data Crude oil'!W1764</f>
        <v>78.2</v>
      </c>
      <c r="X1763">
        <f>'raw data Crude oil'!X1764</f>
        <v>77.760000000000005</v>
      </c>
      <c r="Y1763">
        <f>'raw data Crude oil'!Y1764</f>
        <v>77.34</v>
      </c>
      <c r="Z1763">
        <f>'raw data Crude oil'!Z1764</f>
        <v>89.682000000000002</v>
      </c>
      <c r="AA1763">
        <f>'raw data Crude oil'!AA1764</f>
        <v>87.498000000000005</v>
      </c>
      <c r="AB1763">
        <f>'raw data Crude oil'!AB1764</f>
        <v>86.667000000000002</v>
      </c>
      <c r="AC1763">
        <f>'raw data Crude oil'!AC1764</f>
        <v>85.875</v>
      </c>
      <c r="AD1763">
        <f>'raw data Crude oil'!AD1764</f>
        <v>85.146000000000001</v>
      </c>
      <c r="AE1763">
        <f>'raw data Crude oil'!AE1764</f>
        <v>84.56</v>
      </c>
      <c r="AF1763">
        <f>'raw data Crude oil'!AF1764</f>
        <v>84.01</v>
      </c>
      <c r="AG1763">
        <f>'raw data Crude oil'!AG1764</f>
        <v>83.468999999999994</v>
      </c>
      <c r="AH1763">
        <f>'raw data Crude oil'!AH1764</f>
        <v>82.938999999999993</v>
      </c>
      <c r="AI1763">
        <f>'raw data Crude oil'!AI1764</f>
        <v>82.421999999999997</v>
      </c>
      <c r="AJ1763">
        <f>'raw data Crude oil'!AJ1764</f>
        <v>81.951999999999998</v>
      </c>
      <c r="AK1763">
        <f>'raw data Crude oil'!AK1764</f>
        <v>81.510999999999996</v>
      </c>
    </row>
    <row r="1764" spans="1:37" x14ac:dyDescent="0.3">
      <c r="A1764" s="18">
        <f>'raw data Crude oil'!A1765</f>
        <v>45226</v>
      </c>
      <c r="B1764">
        <f>'raw data Crude oil'!B1765</f>
        <v>90.48</v>
      </c>
      <c r="C1764">
        <f>'raw data Crude oil'!C1765</f>
        <v>89.2</v>
      </c>
      <c r="D1764">
        <f>'raw data Crude oil'!D1765</f>
        <v>88.33</v>
      </c>
      <c r="E1764">
        <f>'raw data Crude oil'!E1765</f>
        <v>87.57</v>
      </c>
      <c r="F1764">
        <f>'raw data Crude oil'!F1765</f>
        <v>86.91</v>
      </c>
      <c r="G1764">
        <f>'raw data Crude oil'!G1765</f>
        <v>86.32</v>
      </c>
      <c r="H1764">
        <f>'raw data Crude oil'!H1765</f>
        <v>85.77</v>
      </c>
      <c r="I1764">
        <f>'raw data Crude oil'!I1765</f>
        <v>85.26</v>
      </c>
      <c r="J1764">
        <f>'raw data Crude oil'!J1765</f>
        <v>84.76</v>
      </c>
      <c r="K1764">
        <f>'raw data Crude oil'!K1765</f>
        <v>84.28</v>
      </c>
      <c r="L1764">
        <f>'raw data Crude oil'!L1765</f>
        <v>83.82</v>
      </c>
      <c r="M1764">
        <f>'raw data Crude oil'!M1765</f>
        <v>83.37</v>
      </c>
      <c r="N1764">
        <f>'raw data Crude oil'!N1765</f>
        <v>85.54</v>
      </c>
      <c r="O1764">
        <f>'raw data Crude oil'!O1765</f>
        <v>84.7</v>
      </c>
      <c r="P1764">
        <f>'raw data Crude oil'!P1765</f>
        <v>83.84</v>
      </c>
      <c r="Q1764">
        <f>'raw data Crude oil'!Q1765</f>
        <v>83.05</v>
      </c>
      <c r="R1764">
        <f>'raw data Crude oil'!R1765</f>
        <v>82.36</v>
      </c>
      <c r="S1764">
        <f>'raw data Crude oil'!S1765</f>
        <v>81.739999999999995</v>
      </c>
      <c r="T1764">
        <f>'raw data Crude oil'!T1765</f>
        <v>81.150000000000006</v>
      </c>
      <c r="U1764">
        <f>'raw data Crude oil'!U1765</f>
        <v>80.599999999999994</v>
      </c>
      <c r="V1764">
        <f>'raw data Crude oil'!V1765</f>
        <v>80.069999999999993</v>
      </c>
      <c r="W1764">
        <f>'raw data Crude oil'!W1765</f>
        <v>79.569999999999993</v>
      </c>
      <c r="X1764">
        <f>'raw data Crude oil'!X1765</f>
        <v>79.09</v>
      </c>
      <c r="Y1764">
        <f>'raw data Crude oil'!Y1765</f>
        <v>78.64</v>
      </c>
      <c r="Z1764">
        <f>'raw data Crude oil'!Z1765</f>
        <v>89.89</v>
      </c>
      <c r="AA1764">
        <f>'raw data Crude oil'!AA1765</f>
        <v>89.48</v>
      </c>
      <c r="AB1764">
        <f>'raw data Crude oil'!AB1765</f>
        <v>88.484999999999999</v>
      </c>
      <c r="AC1764">
        <f>'raw data Crude oil'!AC1765</f>
        <v>87.647999999999996</v>
      </c>
      <c r="AD1764">
        <f>'raw data Crude oil'!AD1765</f>
        <v>86.855999999999995</v>
      </c>
      <c r="AE1764">
        <f>'raw data Crude oil'!AE1765</f>
        <v>86.186000000000007</v>
      </c>
      <c r="AF1764">
        <f>'raw data Crude oil'!AF1765</f>
        <v>85.546999999999997</v>
      </c>
      <c r="AG1764">
        <f>'raw data Crude oil'!AG1765</f>
        <v>84.938000000000002</v>
      </c>
      <c r="AH1764">
        <f>'raw data Crude oil'!AH1765</f>
        <v>84.340999999999994</v>
      </c>
      <c r="AI1764">
        <f>'raw data Crude oil'!AI1765</f>
        <v>83.78</v>
      </c>
      <c r="AJ1764">
        <f>'raw data Crude oil'!AJ1765</f>
        <v>83.23</v>
      </c>
      <c r="AK1764">
        <f>'raw data Crude oil'!AK1765</f>
        <v>82.7</v>
      </c>
    </row>
    <row r="1765" spans="1:37" x14ac:dyDescent="0.3">
      <c r="A1765" s="18">
        <f>'raw data Crude oil'!A1766</f>
        <v>45229</v>
      </c>
      <c r="B1765">
        <f>'raw data Crude oil'!B1766</f>
        <v>87.45</v>
      </c>
      <c r="C1765">
        <f>'raw data Crude oil'!C1766</f>
        <v>86.35</v>
      </c>
      <c r="D1765">
        <f>'raw data Crude oil'!D1766</f>
        <v>85.62</v>
      </c>
      <c r="E1765">
        <f>'raw data Crude oil'!E1766</f>
        <v>84.95</v>
      </c>
      <c r="F1765">
        <f>'raw data Crude oil'!F1766</f>
        <v>84.38</v>
      </c>
      <c r="G1765">
        <f>'raw data Crude oil'!G1766</f>
        <v>83.87</v>
      </c>
      <c r="H1765">
        <f>'raw data Crude oil'!H1766</f>
        <v>83.38</v>
      </c>
      <c r="I1765">
        <f>'raw data Crude oil'!I1766</f>
        <v>82.93</v>
      </c>
      <c r="J1765">
        <f>'raw data Crude oil'!J1766</f>
        <v>82.51</v>
      </c>
      <c r="K1765">
        <f>'raw data Crude oil'!K1766</f>
        <v>82.1</v>
      </c>
      <c r="L1765">
        <f>'raw data Crude oil'!L1766</f>
        <v>81.7</v>
      </c>
      <c r="M1765">
        <f>'raw data Crude oil'!M1766</f>
        <v>81.34</v>
      </c>
      <c r="N1765">
        <f>'raw data Crude oil'!N1766</f>
        <v>82.31</v>
      </c>
      <c r="O1765">
        <f>'raw data Crude oil'!O1766</f>
        <v>81.680000000000007</v>
      </c>
      <c r="P1765">
        <f>'raw data Crude oil'!P1766</f>
        <v>80.989999999999995</v>
      </c>
      <c r="Q1765">
        <f>'raw data Crude oil'!Q1766</f>
        <v>80.34</v>
      </c>
      <c r="R1765">
        <f>'raw data Crude oil'!R1766</f>
        <v>79.78</v>
      </c>
      <c r="S1765">
        <f>'raw data Crude oil'!S1766</f>
        <v>79.260000000000005</v>
      </c>
      <c r="T1765">
        <f>'raw data Crude oil'!T1766</f>
        <v>78.75</v>
      </c>
      <c r="U1765">
        <f>'raw data Crude oil'!U1766</f>
        <v>78.3</v>
      </c>
      <c r="V1765">
        <f>'raw data Crude oil'!V1766</f>
        <v>77.86</v>
      </c>
      <c r="W1765">
        <f>'raw data Crude oil'!W1766</f>
        <v>77.42</v>
      </c>
      <c r="X1765">
        <f>'raw data Crude oil'!X1766</f>
        <v>77.010000000000005</v>
      </c>
      <c r="Y1765">
        <f>'raw data Crude oil'!Y1766</f>
        <v>76.61</v>
      </c>
      <c r="Z1765">
        <f>'raw data Crude oil'!Z1766</f>
        <v>89.734999999999999</v>
      </c>
      <c r="AA1765">
        <f>'raw data Crude oil'!AA1766</f>
        <v>86.596999999999994</v>
      </c>
      <c r="AB1765">
        <f>'raw data Crude oil'!AB1766</f>
        <v>85.742999999999995</v>
      </c>
      <c r="AC1765">
        <f>'raw data Crude oil'!AC1766</f>
        <v>84.953999999999994</v>
      </c>
      <c r="AD1765">
        <f>'raw data Crude oil'!AD1766</f>
        <v>84.256</v>
      </c>
      <c r="AE1765">
        <f>'raw data Crude oil'!AE1766</f>
        <v>83.656000000000006</v>
      </c>
      <c r="AF1765">
        <f>'raw data Crude oil'!AF1766</f>
        <v>83.09</v>
      </c>
      <c r="AG1765">
        <f>'raw data Crude oil'!AG1766</f>
        <v>82.542000000000002</v>
      </c>
      <c r="AH1765">
        <f>'raw data Crude oil'!AH1766</f>
        <v>82.02</v>
      </c>
      <c r="AI1765">
        <f>'raw data Crude oil'!AI1766</f>
        <v>81.543000000000006</v>
      </c>
      <c r="AJ1765">
        <f>'raw data Crude oil'!AJ1766</f>
        <v>81.084000000000003</v>
      </c>
      <c r="AK1765">
        <f>'raw data Crude oil'!AK1766</f>
        <v>80.641999999999996</v>
      </c>
    </row>
    <row r="1766" spans="1:37" x14ac:dyDescent="0.3">
      <c r="A1766" s="18">
        <f>'raw data Crude oil'!A1767</f>
        <v>45230</v>
      </c>
      <c r="B1766">
        <f>'raw data Crude oil'!B1767</f>
        <v>87.41</v>
      </c>
      <c r="C1766">
        <f>'raw data Crude oil'!C1767</f>
        <v>85.02</v>
      </c>
      <c r="D1766">
        <f>'raw data Crude oil'!D1767</f>
        <v>84.45</v>
      </c>
      <c r="E1766">
        <f>'raw data Crude oil'!E1767</f>
        <v>83.89</v>
      </c>
      <c r="F1766">
        <f>'raw data Crude oil'!F1767</f>
        <v>83.41</v>
      </c>
      <c r="G1766">
        <f>'raw data Crude oil'!G1767</f>
        <v>82.97</v>
      </c>
      <c r="H1766">
        <f>'raw data Crude oil'!H1767</f>
        <v>82.55</v>
      </c>
      <c r="I1766">
        <f>'raw data Crude oil'!I1767</f>
        <v>82.13</v>
      </c>
      <c r="J1766">
        <f>'raw data Crude oil'!J1767</f>
        <v>81.739999999999995</v>
      </c>
      <c r="K1766">
        <f>'raw data Crude oil'!K1767</f>
        <v>81.36</v>
      </c>
      <c r="L1766">
        <f>'raw data Crude oil'!L1767</f>
        <v>81</v>
      </c>
      <c r="M1766">
        <f>'raw data Crude oil'!M1767</f>
        <v>80.650000000000006</v>
      </c>
      <c r="N1766">
        <f>'raw data Crude oil'!N1767</f>
        <v>81.02</v>
      </c>
      <c r="O1766">
        <f>'raw data Crude oil'!O1767</f>
        <v>80.5</v>
      </c>
      <c r="P1766">
        <f>'raw data Crude oil'!P1767</f>
        <v>79.959999999999994</v>
      </c>
      <c r="Q1766">
        <f>'raw data Crude oil'!Q1767</f>
        <v>79.42</v>
      </c>
      <c r="R1766">
        <f>'raw data Crude oil'!R1767</f>
        <v>78.930000000000007</v>
      </c>
      <c r="S1766">
        <f>'raw data Crude oil'!S1767</f>
        <v>78.47</v>
      </c>
      <c r="T1766">
        <f>'raw data Crude oil'!T1767</f>
        <v>78.040000000000006</v>
      </c>
      <c r="U1766">
        <f>'raw data Crude oil'!U1767</f>
        <v>77.62</v>
      </c>
      <c r="V1766">
        <f>'raw data Crude oil'!V1767</f>
        <v>77.209999999999994</v>
      </c>
      <c r="W1766">
        <f>'raw data Crude oil'!W1767</f>
        <v>76.81</v>
      </c>
      <c r="X1766">
        <f>'raw data Crude oil'!X1767</f>
        <v>76.42</v>
      </c>
      <c r="Y1766">
        <f>'raw data Crude oil'!Y1767</f>
        <v>76.05</v>
      </c>
      <c r="Z1766">
        <f>'raw data Crude oil'!Z1767</f>
        <v>89.76</v>
      </c>
      <c r="AA1766">
        <f>'raw data Crude oil'!AA1767</f>
        <v>85.424000000000007</v>
      </c>
      <c r="AB1766">
        <f>'raw data Crude oil'!AB1767</f>
        <v>84.659000000000006</v>
      </c>
      <c r="AC1766">
        <f>'raw data Crude oil'!AC1767</f>
        <v>83.947999999999993</v>
      </c>
      <c r="AD1766">
        <f>'raw data Crude oil'!AD1767</f>
        <v>83.338999999999999</v>
      </c>
      <c r="AE1766">
        <f>'raw data Crude oil'!AE1767</f>
        <v>82.79</v>
      </c>
      <c r="AF1766">
        <f>'raw data Crude oil'!AF1767</f>
        <v>82.281999999999996</v>
      </c>
      <c r="AG1766">
        <f>'raw data Crude oil'!AG1767</f>
        <v>81.763000000000005</v>
      </c>
      <c r="AH1766">
        <f>'raw data Crude oil'!AH1767</f>
        <v>81.271000000000001</v>
      </c>
      <c r="AI1766">
        <f>'raw data Crude oil'!AI1767</f>
        <v>80.828999999999994</v>
      </c>
      <c r="AJ1766">
        <f>'raw data Crude oil'!AJ1767</f>
        <v>80.394000000000005</v>
      </c>
      <c r="AK1766">
        <f>'raw data Crude oil'!AK1767</f>
        <v>79.974000000000004</v>
      </c>
    </row>
    <row r="1767" spans="1:37" x14ac:dyDescent="0.3">
      <c r="A1767" s="18">
        <f>'raw data Crude oil'!A1768</f>
        <v>45231</v>
      </c>
      <c r="B1767">
        <f>'raw data Crude oil'!B1768</f>
        <v>84.63</v>
      </c>
      <c r="C1767">
        <f>'raw data Crude oil'!C1768</f>
        <v>84.05</v>
      </c>
      <c r="D1767">
        <f>'raw data Crude oil'!D1768</f>
        <v>83.52</v>
      </c>
      <c r="E1767">
        <f>'raw data Crude oil'!E1768</f>
        <v>83.05</v>
      </c>
      <c r="F1767">
        <f>'raw data Crude oil'!F1768</f>
        <v>82.63</v>
      </c>
      <c r="G1767">
        <f>'raw data Crude oil'!G1768</f>
        <v>82.22</v>
      </c>
      <c r="H1767">
        <f>'raw data Crude oil'!H1768</f>
        <v>81.819999999999993</v>
      </c>
      <c r="I1767">
        <f>'raw data Crude oil'!I1768</f>
        <v>81.430000000000007</v>
      </c>
      <c r="J1767">
        <f>'raw data Crude oil'!J1768</f>
        <v>81.040000000000006</v>
      </c>
      <c r="K1767">
        <f>'raw data Crude oil'!K1768</f>
        <v>80.67</v>
      </c>
      <c r="L1767">
        <f>'raw data Crude oil'!L1768</f>
        <v>80.319999999999993</v>
      </c>
      <c r="M1767">
        <f>'raw data Crude oil'!M1768</f>
        <v>79.98</v>
      </c>
      <c r="N1767">
        <f>'raw data Crude oil'!N1768</f>
        <v>80.44</v>
      </c>
      <c r="O1767">
        <f>'raw data Crude oil'!O1768</f>
        <v>80.099999999999994</v>
      </c>
      <c r="P1767">
        <f>'raw data Crude oil'!P1768</f>
        <v>79.63</v>
      </c>
      <c r="Q1767">
        <f>'raw data Crude oil'!Q1768</f>
        <v>79.13</v>
      </c>
      <c r="R1767">
        <f>'raw data Crude oil'!R1768</f>
        <v>78.67</v>
      </c>
      <c r="S1767">
        <f>'raw data Crude oil'!S1768</f>
        <v>78.23</v>
      </c>
      <c r="T1767">
        <f>'raw data Crude oil'!T1768</f>
        <v>77.81</v>
      </c>
      <c r="U1767">
        <f>'raw data Crude oil'!U1768</f>
        <v>77.37</v>
      </c>
      <c r="V1767">
        <f>'raw data Crude oil'!V1768</f>
        <v>76.95</v>
      </c>
      <c r="W1767">
        <f>'raw data Crude oil'!W1768</f>
        <v>76.569999999999993</v>
      </c>
      <c r="X1767">
        <f>'raw data Crude oil'!X1768</f>
        <v>76.16</v>
      </c>
      <c r="Y1767">
        <f>'raw data Crude oil'!Y1768</f>
        <v>75.78</v>
      </c>
      <c r="Z1767">
        <f>'raw data Crude oil'!Z1768</f>
        <v>89.76</v>
      </c>
      <c r="AA1767">
        <f>'raw data Crude oil'!AA1768</f>
        <v>85.361999999999995</v>
      </c>
      <c r="AB1767">
        <f>'raw data Crude oil'!AB1768</f>
        <v>84.466999999999999</v>
      </c>
      <c r="AC1767">
        <f>'raw data Crude oil'!AC1768</f>
        <v>83.728999999999999</v>
      </c>
      <c r="AD1767">
        <f>'raw data Crude oil'!AD1768</f>
        <v>83.1</v>
      </c>
      <c r="AE1767">
        <f>'raw data Crude oil'!AE1768</f>
        <v>82.549000000000007</v>
      </c>
      <c r="AF1767">
        <f>'raw data Crude oil'!AF1768</f>
        <v>82.031999999999996</v>
      </c>
      <c r="AG1767">
        <f>'raw data Crude oil'!AG1768</f>
        <v>81.528000000000006</v>
      </c>
      <c r="AH1767">
        <f>'raw data Crude oil'!AH1768</f>
        <v>81.046000000000006</v>
      </c>
      <c r="AI1767">
        <f>'raw data Crude oil'!AI1768</f>
        <v>80.563999999999993</v>
      </c>
      <c r="AJ1767">
        <f>'raw data Crude oil'!AJ1768</f>
        <v>80.123999999999995</v>
      </c>
      <c r="AK1767">
        <f>'raw data Crude oil'!AK1768</f>
        <v>79.703999999999994</v>
      </c>
    </row>
    <row r="1768" spans="1:37" x14ac:dyDescent="0.3">
      <c r="A1768" s="18">
        <f>'raw data Crude oil'!A1769</f>
        <v>45232</v>
      </c>
      <c r="B1768">
        <f>'raw data Crude oil'!B1769</f>
        <v>86.85</v>
      </c>
      <c r="C1768">
        <f>'raw data Crude oil'!C1769</f>
        <v>86.25</v>
      </c>
      <c r="D1768">
        <f>'raw data Crude oil'!D1769</f>
        <v>85.69</v>
      </c>
      <c r="E1768">
        <f>'raw data Crude oil'!E1769</f>
        <v>85.18</v>
      </c>
      <c r="F1768">
        <f>'raw data Crude oil'!F1769</f>
        <v>84.72</v>
      </c>
      <c r="G1768">
        <f>'raw data Crude oil'!G1769</f>
        <v>84.26</v>
      </c>
      <c r="H1768">
        <f>'raw data Crude oil'!H1769</f>
        <v>83.81</v>
      </c>
      <c r="I1768">
        <f>'raw data Crude oil'!I1769</f>
        <v>83.36</v>
      </c>
      <c r="J1768">
        <f>'raw data Crude oil'!J1769</f>
        <v>82.93</v>
      </c>
      <c r="K1768">
        <f>'raw data Crude oil'!K1769</f>
        <v>82.51</v>
      </c>
      <c r="L1768">
        <f>'raw data Crude oil'!L1769</f>
        <v>82.11</v>
      </c>
      <c r="M1768">
        <f>'raw data Crude oil'!M1769</f>
        <v>81.709999999999994</v>
      </c>
      <c r="N1768">
        <f>'raw data Crude oil'!N1769</f>
        <v>82.46</v>
      </c>
      <c r="O1768">
        <f>'raw data Crude oil'!O1769</f>
        <v>82.16</v>
      </c>
      <c r="P1768">
        <f>'raw data Crude oil'!P1769</f>
        <v>81.7</v>
      </c>
      <c r="Q1768">
        <f>'raw data Crude oil'!Q1769</f>
        <v>81.2</v>
      </c>
      <c r="R1768">
        <f>'raw data Crude oil'!R1769</f>
        <v>80.72</v>
      </c>
      <c r="S1768">
        <f>'raw data Crude oil'!S1769</f>
        <v>80.239999999999995</v>
      </c>
      <c r="T1768">
        <f>'raw data Crude oil'!T1769</f>
        <v>79.77</v>
      </c>
      <c r="U1768">
        <f>'raw data Crude oil'!U1769</f>
        <v>79.3</v>
      </c>
      <c r="V1768">
        <f>'raw data Crude oil'!V1769</f>
        <v>78.83</v>
      </c>
      <c r="W1768">
        <f>'raw data Crude oil'!W1769</f>
        <v>78.37</v>
      </c>
      <c r="X1768">
        <f>'raw data Crude oil'!X1769</f>
        <v>77.900000000000006</v>
      </c>
      <c r="Y1768">
        <f>'raw data Crude oil'!Y1769</f>
        <v>77.47</v>
      </c>
      <c r="Z1768">
        <f>'raw data Crude oil'!Z1769</f>
        <v>87.653000000000006</v>
      </c>
      <c r="AA1768">
        <f>'raw data Crude oil'!AA1769</f>
        <v>86.713999999999999</v>
      </c>
      <c r="AB1768">
        <f>'raw data Crude oil'!AB1769</f>
        <v>85.947000000000003</v>
      </c>
      <c r="AC1768">
        <f>'raw data Crude oil'!AC1769</f>
        <v>85.257999999999996</v>
      </c>
      <c r="AD1768">
        <f>'raw data Crude oil'!AD1769</f>
        <v>84.662000000000006</v>
      </c>
      <c r="AE1768">
        <f>'raw data Crude oil'!AE1769</f>
        <v>84.08</v>
      </c>
      <c r="AF1768">
        <f>'raw data Crude oil'!AF1769</f>
        <v>83.53</v>
      </c>
      <c r="AG1768">
        <f>'raw data Crude oil'!AG1769</f>
        <v>82.978999999999999</v>
      </c>
      <c r="AH1768">
        <f>'raw data Crude oil'!AH1769</f>
        <v>82.462000000000003</v>
      </c>
      <c r="AI1768">
        <f>'raw data Crude oil'!AI1769</f>
        <v>81.971999999999994</v>
      </c>
      <c r="AJ1768">
        <f>'raw data Crude oil'!AJ1769</f>
        <v>81.471000000000004</v>
      </c>
      <c r="AK1768">
        <f>'raw data Crude oil'!AK1769</f>
        <v>81.043000000000006</v>
      </c>
    </row>
    <row r="1769" spans="1:37" x14ac:dyDescent="0.3">
      <c r="A1769" s="18">
        <f>'raw data Crude oil'!A1770</f>
        <v>45233</v>
      </c>
      <c r="B1769">
        <f>'raw data Crude oil'!B1770</f>
        <v>84.89</v>
      </c>
      <c r="C1769">
        <f>'raw data Crude oil'!C1770</f>
        <v>84.4</v>
      </c>
      <c r="D1769">
        <f>'raw data Crude oil'!D1770</f>
        <v>83.93</v>
      </c>
      <c r="E1769">
        <f>'raw data Crude oil'!E1770</f>
        <v>83.49</v>
      </c>
      <c r="F1769">
        <f>'raw data Crude oil'!F1770</f>
        <v>83.09</v>
      </c>
      <c r="G1769">
        <f>'raw data Crude oil'!G1770</f>
        <v>82.69</v>
      </c>
      <c r="H1769">
        <f>'raw data Crude oil'!H1770</f>
        <v>82.29</v>
      </c>
      <c r="I1769">
        <f>'raw data Crude oil'!I1770</f>
        <v>81.89</v>
      </c>
      <c r="J1769">
        <f>'raw data Crude oil'!J1770</f>
        <v>81.5</v>
      </c>
      <c r="K1769">
        <f>'raw data Crude oil'!K1770</f>
        <v>81.12</v>
      </c>
      <c r="L1769">
        <f>'raw data Crude oil'!L1770</f>
        <v>80.739999999999995</v>
      </c>
      <c r="M1769">
        <f>'raw data Crude oil'!M1770</f>
        <v>80.37</v>
      </c>
      <c r="N1769">
        <f>'raw data Crude oil'!N1770</f>
        <v>80.510000000000005</v>
      </c>
      <c r="O1769">
        <f>'raw data Crude oil'!O1770</f>
        <v>80.23</v>
      </c>
      <c r="P1769">
        <f>'raw data Crude oil'!P1770</f>
        <v>79.86</v>
      </c>
      <c r="Q1769">
        <f>'raw data Crude oil'!Q1770</f>
        <v>79.459999999999994</v>
      </c>
      <c r="R1769">
        <f>'raw data Crude oil'!R1770</f>
        <v>79.069999999999993</v>
      </c>
      <c r="S1769">
        <f>'raw data Crude oil'!S1770</f>
        <v>78.67</v>
      </c>
      <c r="T1769">
        <f>'raw data Crude oil'!T1770</f>
        <v>78.260000000000005</v>
      </c>
      <c r="U1769">
        <f>'raw data Crude oil'!U1770</f>
        <v>77.83</v>
      </c>
      <c r="V1769">
        <f>'raw data Crude oil'!V1770</f>
        <v>77.400000000000006</v>
      </c>
      <c r="W1769">
        <f>'raw data Crude oil'!W1770</f>
        <v>76.97</v>
      </c>
      <c r="X1769">
        <f>'raw data Crude oil'!X1770</f>
        <v>76.540000000000006</v>
      </c>
      <c r="Y1769">
        <f>'raw data Crude oil'!Y1770</f>
        <v>76.14</v>
      </c>
      <c r="Z1769">
        <f>'raw data Crude oil'!Z1770</f>
        <v>86.061999999999998</v>
      </c>
      <c r="AA1769">
        <f>'raw data Crude oil'!AA1770</f>
        <v>84.881</v>
      </c>
      <c r="AB1769">
        <f>'raw data Crude oil'!AB1770</f>
        <v>84.188999999999993</v>
      </c>
      <c r="AC1769">
        <f>'raw data Crude oil'!AC1770</f>
        <v>83.581000000000003</v>
      </c>
      <c r="AD1769">
        <f>'raw data Crude oil'!AD1770</f>
        <v>83.05</v>
      </c>
      <c r="AE1769">
        <f>'raw data Crude oil'!AE1770</f>
        <v>82.522000000000006</v>
      </c>
      <c r="AF1769">
        <f>'raw data Crude oil'!AF1770</f>
        <v>82.013000000000005</v>
      </c>
      <c r="AG1769">
        <f>'raw data Crude oil'!AG1770</f>
        <v>81.501000000000005</v>
      </c>
      <c r="AH1769">
        <f>'raw data Crude oil'!AH1770</f>
        <v>81.033000000000001</v>
      </c>
      <c r="AI1769">
        <f>'raw data Crude oil'!AI1770</f>
        <v>80.572999999999993</v>
      </c>
      <c r="AJ1769">
        <f>'raw data Crude oil'!AJ1770</f>
        <v>80.132000000000005</v>
      </c>
      <c r="AK1769">
        <f>'raw data Crude oil'!AK1770</f>
        <v>79.713999999999999</v>
      </c>
    </row>
    <row r="1770" spans="1:37" x14ac:dyDescent="0.3">
      <c r="A1770" s="18">
        <f>'raw data Crude oil'!A1771</f>
        <v>45236</v>
      </c>
      <c r="B1770">
        <f>'raw data Crude oil'!B1771</f>
        <v>85.18</v>
      </c>
      <c r="C1770">
        <f>'raw data Crude oil'!C1771</f>
        <v>84.79</v>
      </c>
      <c r="D1770">
        <f>'raw data Crude oil'!D1771</f>
        <v>84.41</v>
      </c>
      <c r="E1770">
        <f>'raw data Crude oil'!E1771</f>
        <v>84.04</v>
      </c>
      <c r="F1770">
        <f>'raw data Crude oil'!F1771</f>
        <v>83.7</v>
      </c>
      <c r="G1770">
        <f>'raw data Crude oil'!G1771</f>
        <v>83.33</v>
      </c>
      <c r="H1770">
        <f>'raw data Crude oil'!H1771</f>
        <v>82.96</v>
      </c>
      <c r="I1770">
        <f>'raw data Crude oil'!I1771</f>
        <v>82.57</v>
      </c>
      <c r="J1770">
        <f>'raw data Crude oil'!J1771</f>
        <v>82.19</v>
      </c>
      <c r="K1770">
        <f>'raw data Crude oil'!K1771</f>
        <v>81.819999999999993</v>
      </c>
      <c r="L1770">
        <f>'raw data Crude oil'!L1771</f>
        <v>81.45</v>
      </c>
      <c r="M1770">
        <f>'raw data Crude oil'!M1771</f>
        <v>81.08</v>
      </c>
      <c r="N1770">
        <f>'raw data Crude oil'!N1771</f>
        <v>80.819999999999993</v>
      </c>
      <c r="O1770">
        <f>'raw data Crude oil'!O1771</f>
        <v>80.599999999999994</v>
      </c>
      <c r="P1770">
        <f>'raw data Crude oil'!P1771</f>
        <v>80.319999999999993</v>
      </c>
      <c r="Q1770">
        <f>'raw data Crude oil'!Q1771</f>
        <v>79.989999999999995</v>
      </c>
      <c r="R1770">
        <f>'raw data Crude oil'!R1771</f>
        <v>79.66</v>
      </c>
      <c r="S1770">
        <f>'raw data Crude oil'!S1771</f>
        <v>79.3</v>
      </c>
      <c r="T1770">
        <f>'raw data Crude oil'!T1771</f>
        <v>78.930000000000007</v>
      </c>
      <c r="U1770">
        <f>'raw data Crude oil'!U1771</f>
        <v>78.55</v>
      </c>
      <c r="V1770">
        <f>'raw data Crude oil'!V1771</f>
        <v>78.150000000000006</v>
      </c>
      <c r="W1770">
        <f>'raw data Crude oil'!W1771</f>
        <v>77.75</v>
      </c>
      <c r="X1770">
        <f>'raw data Crude oil'!X1771</f>
        <v>77.34</v>
      </c>
      <c r="Y1770">
        <f>'raw data Crude oil'!Y1771</f>
        <v>76.94</v>
      </c>
      <c r="Z1770">
        <f>'raw data Crude oil'!Z1771</f>
        <v>86.41</v>
      </c>
      <c r="AA1770">
        <f>'raw data Crude oil'!AA1771</f>
        <v>85.340999999999994</v>
      </c>
      <c r="AB1770">
        <f>'raw data Crude oil'!AB1771</f>
        <v>84.688000000000002</v>
      </c>
      <c r="AC1770">
        <f>'raw data Crude oil'!AC1771</f>
        <v>84.129000000000005</v>
      </c>
      <c r="AD1770">
        <f>'raw data Crude oil'!AD1771</f>
        <v>83.647000000000006</v>
      </c>
      <c r="AE1770">
        <f>'raw data Crude oil'!AE1771</f>
        <v>83.165000000000006</v>
      </c>
      <c r="AF1770">
        <f>'raw data Crude oil'!AF1771</f>
        <v>82.688000000000002</v>
      </c>
      <c r="AG1770">
        <f>'raw data Crude oil'!AG1771</f>
        <v>82.180999999999997</v>
      </c>
      <c r="AH1770">
        <f>'raw data Crude oil'!AH1771</f>
        <v>81.724000000000004</v>
      </c>
      <c r="AI1770">
        <f>'raw data Crude oil'!AI1771</f>
        <v>81.283000000000001</v>
      </c>
      <c r="AJ1770">
        <f>'raw data Crude oil'!AJ1771</f>
        <v>80.831999999999994</v>
      </c>
      <c r="AK1770">
        <f>'raw data Crude oil'!AK1771</f>
        <v>80.394000000000005</v>
      </c>
    </row>
    <row r="1771" spans="1:37" x14ac:dyDescent="0.3">
      <c r="A1771" s="18">
        <f>'raw data Crude oil'!A1772</f>
        <v>45237</v>
      </c>
      <c r="B1771">
        <f>'raw data Crude oil'!B1772</f>
        <v>81.61</v>
      </c>
      <c r="C1771">
        <f>'raw data Crude oil'!C1772</f>
        <v>81.31</v>
      </c>
      <c r="D1771">
        <f>'raw data Crude oil'!D1772</f>
        <v>81.03</v>
      </c>
      <c r="E1771">
        <f>'raw data Crude oil'!E1772</f>
        <v>80.75</v>
      </c>
      <c r="F1771">
        <f>'raw data Crude oil'!F1772</f>
        <v>80.48</v>
      </c>
      <c r="G1771">
        <f>'raw data Crude oil'!G1772</f>
        <v>80.19</v>
      </c>
      <c r="H1771">
        <f>'raw data Crude oil'!H1772</f>
        <v>79.87</v>
      </c>
      <c r="I1771">
        <f>'raw data Crude oil'!I1772</f>
        <v>79.53</v>
      </c>
      <c r="J1771">
        <f>'raw data Crude oil'!J1772</f>
        <v>79.19</v>
      </c>
      <c r="K1771">
        <f>'raw data Crude oil'!K1772</f>
        <v>78.84</v>
      </c>
      <c r="L1771">
        <f>'raw data Crude oil'!L1772</f>
        <v>78.489999999999995</v>
      </c>
      <c r="M1771">
        <f>'raw data Crude oil'!M1772</f>
        <v>78.150000000000006</v>
      </c>
      <c r="N1771">
        <f>'raw data Crude oil'!N1772</f>
        <v>77.37</v>
      </c>
      <c r="O1771">
        <f>'raw data Crude oil'!O1772</f>
        <v>77.209999999999994</v>
      </c>
      <c r="P1771">
        <f>'raw data Crude oil'!P1772</f>
        <v>76.98</v>
      </c>
      <c r="Q1771">
        <f>'raw data Crude oil'!Q1772</f>
        <v>76.73</v>
      </c>
      <c r="R1771">
        <f>'raw data Crude oil'!R1772</f>
        <v>76.459999999999994</v>
      </c>
      <c r="S1771">
        <f>'raw data Crude oil'!S1772</f>
        <v>76.16</v>
      </c>
      <c r="T1771">
        <f>'raw data Crude oil'!T1772</f>
        <v>75.849999999999994</v>
      </c>
      <c r="U1771">
        <f>'raw data Crude oil'!U1772</f>
        <v>75.5</v>
      </c>
      <c r="V1771">
        <f>'raw data Crude oil'!V1772</f>
        <v>75.13</v>
      </c>
      <c r="W1771">
        <f>'raw data Crude oil'!W1772</f>
        <v>74.760000000000005</v>
      </c>
      <c r="X1771">
        <f>'raw data Crude oil'!X1772</f>
        <v>74.38</v>
      </c>
      <c r="Y1771">
        <f>'raw data Crude oil'!Y1772</f>
        <v>74.02</v>
      </c>
      <c r="Z1771">
        <f>'raw data Crude oil'!Z1772</f>
        <v>83.697999999999993</v>
      </c>
      <c r="AA1771">
        <f>'raw data Crude oil'!AA1772</f>
        <v>81.816999999999993</v>
      </c>
      <c r="AB1771">
        <f>'raw data Crude oil'!AB1772</f>
        <v>81.244</v>
      </c>
      <c r="AC1771">
        <f>'raw data Crude oil'!AC1772</f>
        <v>80.771000000000001</v>
      </c>
      <c r="AD1771">
        <f>'raw data Crude oil'!AD1772</f>
        <v>80.340999999999994</v>
      </c>
      <c r="AE1771">
        <f>'raw data Crude oil'!AE1772</f>
        <v>79.923000000000002</v>
      </c>
      <c r="AF1771">
        <f>'raw data Crude oil'!AF1772</f>
        <v>79.492999999999995</v>
      </c>
      <c r="AG1771">
        <f>'raw data Crude oil'!AG1772</f>
        <v>79.040999999999997</v>
      </c>
      <c r="AH1771">
        <f>'raw data Crude oil'!AH1772</f>
        <v>78.61</v>
      </c>
      <c r="AI1771">
        <f>'raw data Crude oil'!AI1772</f>
        <v>78.209000000000003</v>
      </c>
      <c r="AJ1771">
        <f>'raw data Crude oil'!AJ1772</f>
        <v>77.804000000000002</v>
      </c>
      <c r="AK1771">
        <f>'raw data Crude oil'!AK1772</f>
        <v>77.394999999999996</v>
      </c>
    </row>
    <row r="1772" spans="1:37" x14ac:dyDescent="0.3">
      <c r="A1772" s="18">
        <f>'raw data Crude oil'!A1773</f>
        <v>45238</v>
      </c>
      <c r="B1772">
        <f>'raw data Crude oil'!B1773</f>
        <v>79.540000000000006</v>
      </c>
      <c r="C1772">
        <f>'raw data Crude oil'!C1773</f>
        <v>79.41</v>
      </c>
      <c r="D1772">
        <f>'raw data Crude oil'!D1773</f>
        <v>79.209999999999994</v>
      </c>
      <c r="E1772">
        <f>'raw data Crude oil'!E1773</f>
        <v>78.989999999999995</v>
      </c>
      <c r="F1772">
        <f>'raw data Crude oil'!F1773</f>
        <v>78.77</v>
      </c>
      <c r="G1772">
        <f>'raw data Crude oil'!G1773</f>
        <v>78.52</v>
      </c>
      <c r="H1772">
        <f>'raw data Crude oil'!H1773</f>
        <v>78.239999999999995</v>
      </c>
      <c r="I1772">
        <f>'raw data Crude oil'!I1773</f>
        <v>77.95</v>
      </c>
      <c r="J1772">
        <f>'raw data Crude oil'!J1773</f>
        <v>77.650000000000006</v>
      </c>
      <c r="K1772">
        <f>'raw data Crude oil'!K1773</f>
        <v>77.349999999999994</v>
      </c>
      <c r="L1772">
        <f>'raw data Crude oil'!L1773</f>
        <v>77.03</v>
      </c>
      <c r="M1772">
        <f>'raw data Crude oil'!M1773</f>
        <v>76.709999999999994</v>
      </c>
      <c r="N1772">
        <f>'raw data Crude oil'!N1773</f>
        <v>75.33</v>
      </c>
      <c r="O1772">
        <f>'raw data Crude oil'!O1773</f>
        <v>75.31</v>
      </c>
      <c r="P1772">
        <f>'raw data Crude oil'!P1773</f>
        <v>75.12</v>
      </c>
      <c r="Q1772">
        <f>'raw data Crude oil'!Q1773</f>
        <v>74.930000000000007</v>
      </c>
      <c r="R1772">
        <f>'raw data Crude oil'!R1773</f>
        <v>74.739999999999995</v>
      </c>
      <c r="S1772">
        <f>'raw data Crude oil'!S1773</f>
        <v>74.52</v>
      </c>
      <c r="T1772">
        <f>'raw data Crude oil'!T1773</f>
        <v>74.25</v>
      </c>
      <c r="U1772">
        <f>'raw data Crude oil'!U1773</f>
        <v>73.959999999999994</v>
      </c>
      <c r="V1772">
        <f>'raw data Crude oil'!V1773</f>
        <v>73.63</v>
      </c>
      <c r="W1772">
        <f>'raw data Crude oil'!W1773</f>
        <v>73.28</v>
      </c>
      <c r="X1772">
        <f>'raw data Crude oil'!X1773</f>
        <v>72.92</v>
      </c>
      <c r="Y1772">
        <f>'raw data Crude oil'!Y1773</f>
        <v>72.569999999999993</v>
      </c>
      <c r="Z1772">
        <f>'raw data Crude oil'!Z1773</f>
        <v>82.206999999999994</v>
      </c>
      <c r="AA1772">
        <f>'raw data Crude oil'!AA1773</f>
        <v>79.86</v>
      </c>
      <c r="AB1772">
        <f>'raw data Crude oil'!AB1773</f>
        <v>79.350999999999999</v>
      </c>
      <c r="AC1772">
        <f>'raw data Crude oil'!AC1773</f>
        <v>78.938999999999993</v>
      </c>
      <c r="AD1772">
        <f>'raw data Crude oil'!AD1773</f>
        <v>78.581000000000003</v>
      </c>
      <c r="AE1772">
        <f>'raw data Crude oil'!AE1773</f>
        <v>78.207999999999998</v>
      </c>
      <c r="AF1772">
        <f>'raw data Crude oil'!AF1773</f>
        <v>77.828000000000003</v>
      </c>
      <c r="AG1772">
        <f>'raw data Crude oil'!AG1773</f>
        <v>77.435000000000002</v>
      </c>
      <c r="AH1772">
        <f>'raw data Crude oil'!AH1773</f>
        <v>77.057000000000002</v>
      </c>
      <c r="AI1772">
        <f>'raw data Crude oil'!AI1773</f>
        <v>76.674999999999997</v>
      </c>
      <c r="AJ1772">
        <f>'raw data Crude oil'!AJ1773</f>
        <v>76.284999999999997</v>
      </c>
      <c r="AK1772">
        <f>'raw data Crude oil'!AK1773</f>
        <v>75.897000000000006</v>
      </c>
    </row>
    <row r="1773" spans="1:37" x14ac:dyDescent="0.3">
      <c r="A1773" s="18">
        <f>'raw data Crude oil'!A1774</f>
        <v>45239</v>
      </c>
      <c r="B1773">
        <f>'raw data Crude oil'!B1774</f>
        <v>80.010000000000005</v>
      </c>
      <c r="C1773">
        <f>'raw data Crude oil'!C1774</f>
        <v>79.84</v>
      </c>
      <c r="D1773">
        <f>'raw data Crude oil'!D1774</f>
        <v>79.62</v>
      </c>
      <c r="E1773">
        <f>'raw data Crude oil'!E1774</f>
        <v>79.39</v>
      </c>
      <c r="F1773">
        <f>'raw data Crude oil'!F1774</f>
        <v>79.17</v>
      </c>
      <c r="G1773">
        <f>'raw data Crude oil'!G1774</f>
        <v>78.92</v>
      </c>
      <c r="H1773">
        <f>'raw data Crude oil'!H1774</f>
        <v>78.650000000000006</v>
      </c>
      <c r="I1773">
        <f>'raw data Crude oil'!I1774</f>
        <v>78.37</v>
      </c>
      <c r="J1773">
        <f>'raw data Crude oil'!J1774</f>
        <v>78.069999999999993</v>
      </c>
      <c r="K1773">
        <f>'raw data Crude oil'!K1774</f>
        <v>77.760000000000005</v>
      </c>
      <c r="L1773">
        <f>'raw data Crude oil'!L1774</f>
        <v>77.45</v>
      </c>
      <c r="M1773">
        <f>'raw data Crude oil'!M1774</f>
        <v>77.14</v>
      </c>
      <c r="N1773">
        <f>'raw data Crude oil'!N1774</f>
        <v>75.739999999999995</v>
      </c>
      <c r="O1773">
        <f>'raw data Crude oil'!O1774</f>
        <v>75.75</v>
      </c>
      <c r="P1773">
        <f>'raw data Crude oil'!P1774</f>
        <v>75.569999999999993</v>
      </c>
      <c r="Q1773">
        <f>'raw data Crude oil'!Q1774</f>
        <v>75.38</v>
      </c>
      <c r="R1773">
        <f>'raw data Crude oil'!R1774</f>
        <v>75.180000000000007</v>
      </c>
      <c r="S1773">
        <f>'raw data Crude oil'!S1774</f>
        <v>74.959999999999994</v>
      </c>
      <c r="T1773">
        <f>'raw data Crude oil'!T1774</f>
        <v>74.7</v>
      </c>
      <c r="U1773">
        <f>'raw data Crude oil'!U1774</f>
        <v>74.42</v>
      </c>
      <c r="V1773">
        <f>'raw data Crude oil'!V1774</f>
        <v>74.099999999999994</v>
      </c>
      <c r="W1773">
        <f>'raw data Crude oil'!W1774</f>
        <v>73.75</v>
      </c>
      <c r="X1773">
        <f>'raw data Crude oil'!X1774</f>
        <v>73.400000000000006</v>
      </c>
      <c r="Y1773">
        <f>'raw data Crude oil'!Y1774</f>
        <v>73.069999999999993</v>
      </c>
      <c r="Z1773">
        <f>'raw data Crude oil'!Z1774</f>
        <v>82.426000000000002</v>
      </c>
      <c r="AA1773">
        <f>'raw data Crude oil'!AA1774</f>
        <v>80.234999999999999</v>
      </c>
      <c r="AB1773">
        <f>'raw data Crude oil'!AB1774</f>
        <v>79.677000000000007</v>
      </c>
      <c r="AC1773">
        <f>'raw data Crude oil'!AC1774</f>
        <v>79.254999999999995</v>
      </c>
      <c r="AD1773">
        <f>'raw data Crude oil'!AD1774</f>
        <v>78.903000000000006</v>
      </c>
      <c r="AE1773">
        <f>'raw data Crude oil'!AE1774</f>
        <v>78.533000000000001</v>
      </c>
      <c r="AF1773">
        <f>'raw data Crude oil'!AF1774</f>
        <v>78.153000000000006</v>
      </c>
      <c r="AG1773">
        <f>'raw data Crude oil'!AG1774</f>
        <v>77.775000000000006</v>
      </c>
      <c r="AH1773">
        <f>'raw data Crude oil'!AH1774</f>
        <v>77.406999999999996</v>
      </c>
      <c r="AI1773">
        <f>'raw data Crude oil'!AI1774</f>
        <v>77.016000000000005</v>
      </c>
      <c r="AJ1773">
        <f>'raw data Crude oil'!AJ1774</f>
        <v>76.635000000000005</v>
      </c>
      <c r="AK1773">
        <f>'raw data Crude oil'!AK1774</f>
        <v>76.266000000000005</v>
      </c>
    </row>
    <row r="1774" spans="1:37" x14ac:dyDescent="0.3">
      <c r="A1774" s="18">
        <f>'raw data Crude oil'!A1775</f>
        <v>45240</v>
      </c>
      <c r="B1774">
        <f>'raw data Crude oil'!B1775</f>
        <v>81.430000000000007</v>
      </c>
      <c r="C1774">
        <f>'raw data Crude oil'!C1775</f>
        <v>81.13</v>
      </c>
      <c r="D1774">
        <f>'raw data Crude oil'!D1775</f>
        <v>80.84</v>
      </c>
      <c r="E1774">
        <f>'raw data Crude oil'!E1775</f>
        <v>80.569999999999993</v>
      </c>
      <c r="F1774">
        <f>'raw data Crude oil'!F1775</f>
        <v>80.33</v>
      </c>
      <c r="G1774">
        <f>'raw data Crude oil'!G1775</f>
        <v>80.06</v>
      </c>
      <c r="H1774">
        <f>'raw data Crude oil'!H1775</f>
        <v>79.77</v>
      </c>
      <c r="I1774">
        <f>'raw data Crude oil'!I1775</f>
        <v>79.48</v>
      </c>
      <c r="J1774">
        <f>'raw data Crude oil'!J1775</f>
        <v>79.17</v>
      </c>
      <c r="K1774">
        <f>'raw data Crude oil'!K1775</f>
        <v>78.84</v>
      </c>
      <c r="L1774">
        <f>'raw data Crude oil'!L1775</f>
        <v>78.510000000000005</v>
      </c>
      <c r="M1774">
        <f>'raw data Crude oil'!M1775</f>
        <v>78.19</v>
      </c>
      <c r="N1774">
        <f>'raw data Crude oil'!N1775</f>
        <v>77.17</v>
      </c>
      <c r="O1774">
        <f>'raw data Crude oil'!O1775</f>
        <v>77.150000000000006</v>
      </c>
      <c r="P1774">
        <f>'raw data Crude oil'!P1775</f>
        <v>76.930000000000007</v>
      </c>
      <c r="Q1774">
        <f>'raw data Crude oil'!Q1775</f>
        <v>76.680000000000007</v>
      </c>
      <c r="R1774">
        <f>'raw data Crude oil'!R1775</f>
        <v>76.430000000000007</v>
      </c>
      <c r="S1774">
        <f>'raw data Crude oil'!S1775</f>
        <v>76.180000000000007</v>
      </c>
      <c r="T1774">
        <f>'raw data Crude oil'!T1775</f>
        <v>75.900000000000006</v>
      </c>
      <c r="U1774">
        <f>'raw data Crude oil'!U1775</f>
        <v>75.59</v>
      </c>
      <c r="V1774">
        <f>'raw data Crude oil'!V1775</f>
        <v>75.25</v>
      </c>
      <c r="W1774">
        <f>'raw data Crude oil'!W1775</f>
        <v>74.89</v>
      </c>
      <c r="X1774">
        <f>'raw data Crude oil'!X1775</f>
        <v>74.53</v>
      </c>
      <c r="Y1774">
        <f>'raw data Crude oil'!Y1775</f>
        <v>74.17</v>
      </c>
      <c r="Z1774">
        <f>'raw data Crude oil'!Z1775</f>
        <v>83.236000000000004</v>
      </c>
      <c r="AA1774">
        <f>'raw data Crude oil'!AA1775</f>
        <v>81.423000000000002</v>
      </c>
      <c r="AB1774">
        <f>'raw data Crude oil'!AB1775</f>
        <v>80.826999999999998</v>
      </c>
      <c r="AC1774">
        <f>'raw data Crude oil'!AC1775</f>
        <v>80.388000000000005</v>
      </c>
      <c r="AD1774">
        <f>'raw data Crude oil'!AD1775</f>
        <v>80.022000000000006</v>
      </c>
      <c r="AE1774">
        <f>'raw data Crude oil'!AE1775</f>
        <v>79.641999999999996</v>
      </c>
      <c r="AF1774">
        <f>'raw data Crude oil'!AF1775</f>
        <v>79.251999999999995</v>
      </c>
      <c r="AG1774">
        <f>'raw data Crude oil'!AG1775</f>
        <v>78.849999999999994</v>
      </c>
      <c r="AH1774">
        <f>'raw data Crude oil'!AH1775</f>
        <v>78.465999999999994</v>
      </c>
      <c r="AI1774">
        <f>'raw data Crude oil'!AI1775</f>
        <v>78.064999999999998</v>
      </c>
      <c r="AJ1774">
        <f>'raw data Crude oil'!AJ1775</f>
        <v>77.685000000000002</v>
      </c>
      <c r="AK1774">
        <f>'raw data Crude oil'!AK1775</f>
        <v>77.286000000000001</v>
      </c>
    </row>
    <row r="1775" spans="1:37" x14ac:dyDescent="0.3">
      <c r="A1775" s="18">
        <f>'raw data Crude oil'!A1776</f>
        <v>45243</v>
      </c>
      <c r="B1775">
        <f>'raw data Crude oil'!B1776</f>
        <v>82.52</v>
      </c>
      <c r="C1775">
        <f>'raw data Crude oil'!C1776</f>
        <v>82.19</v>
      </c>
      <c r="D1775">
        <f>'raw data Crude oil'!D1776</f>
        <v>81.88</v>
      </c>
      <c r="E1775">
        <f>'raw data Crude oil'!E1776</f>
        <v>81.599999999999994</v>
      </c>
      <c r="F1775">
        <f>'raw data Crude oil'!F1776</f>
        <v>81.36</v>
      </c>
      <c r="G1775">
        <f>'raw data Crude oil'!G1776</f>
        <v>81.09</v>
      </c>
      <c r="H1775">
        <f>'raw data Crude oil'!H1776</f>
        <v>80.790000000000006</v>
      </c>
      <c r="I1775">
        <f>'raw data Crude oil'!I1776</f>
        <v>80.489999999999995</v>
      </c>
      <c r="J1775">
        <f>'raw data Crude oil'!J1776</f>
        <v>80.16</v>
      </c>
      <c r="K1775">
        <f>'raw data Crude oil'!K1776</f>
        <v>79.81</v>
      </c>
      <c r="L1775">
        <f>'raw data Crude oil'!L1776</f>
        <v>79.47</v>
      </c>
      <c r="M1775">
        <f>'raw data Crude oil'!M1776</f>
        <v>79.13</v>
      </c>
      <c r="N1775">
        <f>'raw data Crude oil'!N1776</f>
        <v>78.260000000000005</v>
      </c>
      <c r="O1775">
        <f>'raw data Crude oil'!O1776</f>
        <v>78.19</v>
      </c>
      <c r="P1775">
        <f>'raw data Crude oil'!P1776</f>
        <v>77.989999999999995</v>
      </c>
      <c r="Q1775">
        <f>'raw data Crude oil'!Q1776</f>
        <v>77.75</v>
      </c>
      <c r="R1775">
        <f>'raw data Crude oil'!R1776</f>
        <v>77.510000000000005</v>
      </c>
      <c r="S1775">
        <f>'raw data Crude oil'!S1776</f>
        <v>77.25</v>
      </c>
      <c r="T1775">
        <f>'raw data Crude oil'!T1776</f>
        <v>76.94</v>
      </c>
      <c r="U1775">
        <f>'raw data Crude oil'!U1776</f>
        <v>76.62</v>
      </c>
      <c r="V1775">
        <f>'raw data Crude oil'!V1776</f>
        <v>76.260000000000005</v>
      </c>
      <c r="W1775">
        <f>'raw data Crude oil'!W1776</f>
        <v>75.87</v>
      </c>
      <c r="X1775">
        <f>'raw data Crude oil'!X1776</f>
        <v>75.489999999999995</v>
      </c>
      <c r="Y1775">
        <f>'raw data Crude oil'!Y1776</f>
        <v>75.11</v>
      </c>
      <c r="Z1775">
        <f>'raw data Crude oil'!Z1776</f>
        <v>83.864000000000004</v>
      </c>
      <c r="AA1775">
        <f>'raw data Crude oil'!AA1776</f>
        <v>82.436999999999998</v>
      </c>
      <c r="AB1775">
        <f>'raw data Crude oil'!AB1776</f>
        <v>81.814999999999998</v>
      </c>
      <c r="AC1775">
        <f>'raw data Crude oil'!AC1776</f>
        <v>81.385000000000005</v>
      </c>
      <c r="AD1775">
        <f>'raw data Crude oil'!AD1776</f>
        <v>81.004999999999995</v>
      </c>
      <c r="AE1775">
        <f>'raw data Crude oil'!AE1776</f>
        <v>80.623000000000005</v>
      </c>
      <c r="AF1775">
        <f>'raw data Crude oil'!AF1776</f>
        <v>80.221999999999994</v>
      </c>
      <c r="AG1775">
        <f>'raw data Crude oil'!AG1776</f>
        <v>79.808999999999997</v>
      </c>
      <c r="AH1775">
        <f>'raw data Crude oil'!AH1776</f>
        <v>79.405000000000001</v>
      </c>
      <c r="AI1775">
        <f>'raw data Crude oil'!AI1776</f>
        <v>78.984999999999999</v>
      </c>
      <c r="AJ1775">
        <f>'raw data Crude oil'!AJ1776</f>
        <v>78.573999999999998</v>
      </c>
      <c r="AK1775">
        <f>'raw data Crude oil'!AK1776</f>
        <v>78.165000000000006</v>
      </c>
    </row>
    <row r="1776" spans="1:37" x14ac:dyDescent="0.3">
      <c r="A1776" s="18">
        <f>'raw data Crude oil'!A1777</f>
        <v>45244</v>
      </c>
      <c r="B1776">
        <f>'raw data Crude oil'!B1777</f>
        <v>82.47</v>
      </c>
      <c r="C1776">
        <f>'raw data Crude oil'!C1777</f>
        <v>82.21</v>
      </c>
      <c r="D1776">
        <f>'raw data Crude oil'!D1777</f>
        <v>81.93</v>
      </c>
      <c r="E1776">
        <f>'raw data Crude oil'!E1777</f>
        <v>81.650000000000006</v>
      </c>
      <c r="F1776">
        <f>'raw data Crude oil'!F1777</f>
        <v>81.39</v>
      </c>
      <c r="G1776">
        <f>'raw data Crude oil'!G1777</f>
        <v>81.11</v>
      </c>
      <c r="H1776">
        <f>'raw data Crude oil'!H1777</f>
        <v>80.8</v>
      </c>
      <c r="I1776">
        <f>'raw data Crude oil'!I1777</f>
        <v>80.48</v>
      </c>
      <c r="J1776">
        <f>'raw data Crude oil'!J1777</f>
        <v>80.13</v>
      </c>
      <c r="K1776">
        <f>'raw data Crude oil'!K1777</f>
        <v>79.77</v>
      </c>
      <c r="L1776">
        <f>'raw data Crude oil'!L1777</f>
        <v>79.400000000000006</v>
      </c>
      <c r="M1776">
        <f>'raw data Crude oil'!M1777</f>
        <v>79.040000000000006</v>
      </c>
      <c r="N1776">
        <f>'raw data Crude oil'!N1777</f>
        <v>78.260000000000005</v>
      </c>
      <c r="O1776">
        <f>'raw data Crude oil'!O1777</f>
        <v>78.17</v>
      </c>
      <c r="P1776">
        <f>'raw data Crude oil'!P1777</f>
        <v>77.98</v>
      </c>
      <c r="Q1776">
        <f>'raw data Crude oil'!Q1777</f>
        <v>77.75</v>
      </c>
      <c r="R1776">
        <f>'raw data Crude oil'!R1777</f>
        <v>77.489999999999995</v>
      </c>
      <c r="S1776">
        <f>'raw data Crude oil'!S1777</f>
        <v>77.2</v>
      </c>
      <c r="T1776">
        <f>'raw data Crude oil'!T1777</f>
        <v>76.87</v>
      </c>
      <c r="U1776">
        <f>'raw data Crude oil'!U1777</f>
        <v>76.510000000000005</v>
      </c>
      <c r="V1776">
        <f>'raw data Crude oil'!V1777</f>
        <v>76.12</v>
      </c>
      <c r="W1776">
        <f>'raw data Crude oil'!W1777</f>
        <v>75.72</v>
      </c>
      <c r="X1776">
        <f>'raw data Crude oil'!X1777</f>
        <v>75.31</v>
      </c>
      <c r="Y1776">
        <f>'raw data Crude oil'!Y1777</f>
        <v>74.91</v>
      </c>
      <c r="Z1776">
        <f>'raw data Crude oil'!Z1777</f>
        <v>83.938999999999993</v>
      </c>
      <c r="AA1776">
        <f>'raw data Crude oil'!AA1777</f>
        <v>82.409000000000006</v>
      </c>
      <c r="AB1776">
        <f>'raw data Crude oil'!AB1777</f>
        <v>81.798000000000002</v>
      </c>
      <c r="AC1776">
        <f>'raw data Crude oil'!AC1777</f>
        <v>81.358999999999995</v>
      </c>
      <c r="AD1776">
        <f>'raw data Crude oil'!AD1777</f>
        <v>80.977000000000004</v>
      </c>
      <c r="AE1776">
        <f>'raw data Crude oil'!AE1777</f>
        <v>80.596999999999994</v>
      </c>
      <c r="AF1776">
        <f>'raw data Crude oil'!AF1777</f>
        <v>80.186000000000007</v>
      </c>
      <c r="AG1776">
        <f>'raw data Crude oil'!AG1777</f>
        <v>79.763000000000005</v>
      </c>
      <c r="AH1776">
        <f>'raw data Crude oil'!AH1777</f>
        <v>79.334000000000003</v>
      </c>
      <c r="AI1776">
        <f>'raw data Crude oil'!AI1777</f>
        <v>78.903000000000006</v>
      </c>
      <c r="AJ1776">
        <f>'raw data Crude oil'!AJ1777</f>
        <v>78.462999999999994</v>
      </c>
      <c r="AK1776">
        <f>'raw data Crude oil'!AK1777</f>
        <v>78.034000000000006</v>
      </c>
    </row>
    <row r="1777" spans="1:37" x14ac:dyDescent="0.3">
      <c r="A1777" s="18">
        <f>'raw data Crude oil'!A1778</f>
        <v>45245</v>
      </c>
      <c r="B1777">
        <f>'raw data Crude oil'!B1778</f>
        <v>81.180000000000007</v>
      </c>
      <c r="C1777">
        <f>'raw data Crude oil'!C1778</f>
        <v>81.05</v>
      </c>
      <c r="D1777">
        <f>'raw data Crude oil'!D1778</f>
        <v>80.88</v>
      </c>
      <c r="E1777">
        <f>'raw data Crude oil'!E1778</f>
        <v>80.69</v>
      </c>
      <c r="F1777">
        <f>'raw data Crude oil'!F1778</f>
        <v>80.510000000000005</v>
      </c>
      <c r="G1777">
        <f>'raw data Crude oil'!G1778</f>
        <v>80.290000000000006</v>
      </c>
      <c r="H1777">
        <f>'raw data Crude oil'!H1778</f>
        <v>80.040000000000006</v>
      </c>
      <c r="I1777">
        <f>'raw data Crude oil'!I1778</f>
        <v>79.760000000000005</v>
      </c>
      <c r="J1777">
        <f>'raw data Crude oil'!J1778</f>
        <v>79.459999999999994</v>
      </c>
      <c r="K1777">
        <f>'raw data Crude oil'!K1778</f>
        <v>79.14</v>
      </c>
      <c r="L1777">
        <f>'raw data Crude oil'!L1778</f>
        <v>78.819999999999993</v>
      </c>
      <c r="M1777">
        <f>'raw data Crude oil'!M1778</f>
        <v>78.48</v>
      </c>
      <c r="N1777">
        <f>'raw data Crude oil'!N1778</f>
        <v>76.66</v>
      </c>
      <c r="O1777">
        <f>'raw data Crude oil'!O1778</f>
        <v>76.790000000000006</v>
      </c>
      <c r="P1777">
        <f>'raw data Crude oil'!P1778</f>
        <v>76.8</v>
      </c>
      <c r="Q1777">
        <f>'raw data Crude oil'!Q1778</f>
        <v>76.72</v>
      </c>
      <c r="R1777">
        <f>'raw data Crude oil'!R1778</f>
        <v>76.56</v>
      </c>
      <c r="S1777">
        <f>'raw data Crude oil'!S1778</f>
        <v>76.36</v>
      </c>
      <c r="T1777">
        <f>'raw data Crude oil'!T1778</f>
        <v>76.11</v>
      </c>
      <c r="U1777">
        <f>'raw data Crude oil'!U1778</f>
        <v>75.819999999999993</v>
      </c>
      <c r="V1777">
        <f>'raw data Crude oil'!V1778</f>
        <v>75.489999999999995</v>
      </c>
      <c r="W1777">
        <f>'raw data Crude oil'!W1778</f>
        <v>75.13</v>
      </c>
      <c r="X1777">
        <f>'raw data Crude oil'!X1778</f>
        <v>74.77</v>
      </c>
      <c r="Y1777">
        <f>'raw data Crude oil'!Y1778</f>
        <v>74.41</v>
      </c>
      <c r="Z1777">
        <f>'raw data Crude oil'!Z1778</f>
        <v>83.227999999999994</v>
      </c>
      <c r="AA1777">
        <f>'raw data Crude oil'!AA1778</f>
        <v>81.113</v>
      </c>
      <c r="AB1777">
        <f>'raw data Crude oil'!AB1778</f>
        <v>80.626000000000005</v>
      </c>
      <c r="AC1777">
        <f>'raw data Crude oil'!AC1778</f>
        <v>80.275999999999996</v>
      </c>
      <c r="AD1777">
        <f>'raw data Crude oil'!AD1778</f>
        <v>80.004000000000005</v>
      </c>
      <c r="AE1777">
        <f>'raw data Crude oil'!AE1778</f>
        <v>79.698999999999998</v>
      </c>
      <c r="AF1777">
        <f>'raw data Crude oil'!AF1778</f>
        <v>79.358000000000004</v>
      </c>
      <c r="AG1777">
        <f>'raw data Crude oil'!AG1778</f>
        <v>78.984999999999999</v>
      </c>
      <c r="AH1777">
        <f>'raw data Crude oil'!AH1778</f>
        <v>78.626000000000005</v>
      </c>
      <c r="AI1777">
        <f>'raw data Crude oil'!AI1778</f>
        <v>78.245000000000005</v>
      </c>
      <c r="AJ1777">
        <f>'raw data Crude oil'!AJ1778</f>
        <v>77.864000000000004</v>
      </c>
      <c r="AK1777">
        <f>'raw data Crude oil'!AK1778</f>
        <v>77.474999999999994</v>
      </c>
    </row>
    <row r="1778" spans="1:37" x14ac:dyDescent="0.3">
      <c r="A1778" s="18">
        <f>'raw data Crude oil'!A1779</f>
        <v>45246</v>
      </c>
      <c r="B1778">
        <f>'raw data Crude oil'!B1779</f>
        <v>77.42</v>
      </c>
      <c r="C1778">
        <f>'raw data Crude oil'!C1779</f>
        <v>77.510000000000005</v>
      </c>
      <c r="D1778">
        <f>'raw data Crude oil'!D1779</f>
        <v>77.5</v>
      </c>
      <c r="E1778">
        <f>'raw data Crude oil'!E1779</f>
        <v>77.44</v>
      </c>
      <c r="F1778">
        <f>'raw data Crude oil'!F1779</f>
        <v>77.349999999999994</v>
      </c>
      <c r="G1778">
        <f>'raw data Crude oil'!G1779</f>
        <v>77.2</v>
      </c>
      <c r="H1778">
        <f>'raw data Crude oil'!H1779</f>
        <v>77</v>
      </c>
      <c r="I1778">
        <f>'raw data Crude oil'!I1779</f>
        <v>76.77</v>
      </c>
      <c r="J1778">
        <f>'raw data Crude oil'!J1779</f>
        <v>76.510000000000005</v>
      </c>
      <c r="K1778">
        <f>'raw data Crude oil'!K1779</f>
        <v>76.239999999999995</v>
      </c>
      <c r="L1778">
        <f>'raw data Crude oil'!L1779</f>
        <v>75.97</v>
      </c>
      <c r="M1778">
        <f>'raw data Crude oil'!M1779</f>
        <v>75.69</v>
      </c>
      <c r="N1778">
        <f>'raw data Crude oil'!N1779</f>
        <v>72.900000000000006</v>
      </c>
      <c r="O1778">
        <f>'raw data Crude oil'!O1779</f>
        <v>73.09</v>
      </c>
      <c r="P1778">
        <f>'raw data Crude oil'!P1779</f>
        <v>73.19</v>
      </c>
      <c r="Q1778">
        <f>'raw data Crude oil'!Q1779</f>
        <v>73.28</v>
      </c>
      <c r="R1778">
        <f>'raw data Crude oil'!R1779</f>
        <v>73.27</v>
      </c>
      <c r="S1778">
        <f>'raw data Crude oil'!S1779</f>
        <v>73.19</v>
      </c>
      <c r="T1778">
        <f>'raw data Crude oil'!T1779</f>
        <v>73.040000000000006</v>
      </c>
      <c r="U1778">
        <f>'raw data Crude oil'!U1779</f>
        <v>72.81</v>
      </c>
      <c r="V1778">
        <f>'raw data Crude oil'!V1779</f>
        <v>72.540000000000006</v>
      </c>
      <c r="W1778">
        <f>'raw data Crude oil'!W1779</f>
        <v>72.239999999999995</v>
      </c>
      <c r="X1778">
        <f>'raw data Crude oil'!X1779</f>
        <v>71.92</v>
      </c>
      <c r="Y1778">
        <f>'raw data Crude oil'!Y1779</f>
        <v>71.64</v>
      </c>
      <c r="Z1778">
        <f>'raw data Crude oil'!Z1779</f>
        <v>81.613</v>
      </c>
      <c r="AA1778">
        <f>'raw data Crude oil'!AA1779</f>
        <v>77.804000000000002</v>
      </c>
      <c r="AB1778">
        <f>'raw data Crude oil'!AB1779</f>
        <v>77.417000000000002</v>
      </c>
      <c r="AC1778">
        <f>'raw data Crude oil'!AC1779</f>
        <v>77.167000000000002</v>
      </c>
      <c r="AD1778">
        <f>'raw data Crude oil'!AD1779</f>
        <v>76.977999999999994</v>
      </c>
      <c r="AE1778">
        <f>'raw data Crude oil'!AE1779</f>
        <v>76.756</v>
      </c>
      <c r="AF1778">
        <f>'raw data Crude oil'!AF1779</f>
        <v>76.465999999999994</v>
      </c>
      <c r="AG1778">
        <f>'raw data Crude oil'!AG1779</f>
        <v>76.128</v>
      </c>
      <c r="AH1778">
        <f>'raw data Crude oil'!AH1779</f>
        <v>75.789000000000001</v>
      </c>
      <c r="AI1778">
        <f>'raw data Crude oil'!AI1779</f>
        <v>75.457999999999998</v>
      </c>
      <c r="AJ1778">
        <f>'raw data Crude oil'!AJ1779</f>
        <v>75.126999999999995</v>
      </c>
      <c r="AK1778">
        <f>'raw data Crude oil'!AK1779</f>
        <v>74.787000000000006</v>
      </c>
    </row>
    <row r="1779" spans="1:37" x14ac:dyDescent="0.3">
      <c r="A1779" s="18">
        <f>'raw data Crude oil'!A1780</f>
        <v>45247</v>
      </c>
      <c r="B1779">
        <f>'raw data Crude oil'!B1780</f>
        <v>80.61</v>
      </c>
      <c r="C1779">
        <f>'raw data Crude oil'!C1780</f>
        <v>80.5</v>
      </c>
      <c r="D1779">
        <f>'raw data Crude oil'!D1780</f>
        <v>80.349999999999994</v>
      </c>
      <c r="E1779">
        <f>'raw data Crude oil'!E1780</f>
        <v>80.2</v>
      </c>
      <c r="F1779">
        <f>'raw data Crude oil'!F1780</f>
        <v>80.05</v>
      </c>
      <c r="G1779">
        <f>'raw data Crude oil'!G1780</f>
        <v>79.86</v>
      </c>
      <c r="H1779">
        <f>'raw data Crude oil'!H1780</f>
        <v>79.61</v>
      </c>
      <c r="I1779">
        <f>'raw data Crude oil'!I1780</f>
        <v>79.33</v>
      </c>
      <c r="J1779">
        <f>'raw data Crude oil'!J1780</f>
        <v>79.03</v>
      </c>
      <c r="K1779">
        <f>'raw data Crude oil'!K1780</f>
        <v>78.72</v>
      </c>
      <c r="L1779">
        <f>'raw data Crude oil'!L1780</f>
        <v>78.41</v>
      </c>
      <c r="M1779">
        <f>'raw data Crude oil'!M1780</f>
        <v>78.099999999999994</v>
      </c>
      <c r="N1779">
        <f>'raw data Crude oil'!N1780</f>
        <v>75.89</v>
      </c>
      <c r="O1779">
        <f>'raw data Crude oil'!O1780</f>
        <v>76.040000000000006</v>
      </c>
      <c r="P1779">
        <f>'raw data Crude oil'!P1780</f>
        <v>76.11</v>
      </c>
      <c r="Q1779">
        <f>'raw data Crude oil'!Q1780</f>
        <v>76.08</v>
      </c>
      <c r="R1779">
        <f>'raw data Crude oil'!R1780</f>
        <v>75.97</v>
      </c>
      <c r="S1779">
        <f>'raw data Crude oil'!S1780</f>
        <v>75.8</v>
      </c>
      <c r="T1779">
        <f>'raw data Crude oil'!T1780</f>
        <v>75.58</v>
      </c>
      <c r="U1779">
        <f>'raw data Crude oil'!U1780</f>
        <v>75.290000000000006</v>
      </c>
      <c r="V1779">
        <f>'raw data Crude oil'!V1780</f>
        <v>74.959999999999994</v>
      </c>
      <c r="W1779">
        <f>'raw data Crude oil'!W1780</f>
        <v>74.61</v>
      </c>
      <c r="X1779">
        <f>'raw data Crude oil'!X1780</f>
        <v>74.260000000000005</v>
      </c>
      <c r="Y1779">
        <f>'raw data Crude oil'!Y1780</f>
        <v>73.92</v>
      </c>
      <c r="Z1779">
        <f>'raw data Crude oil'!Z1780</f>
        <v>83.088999999999999</v>
      </c>
      <c r="AA1779">
        <f>'raw data Crude oil'!AA1780</f>
        <v>80.98</v>
      </c>
      <c r="AB1779">
        <f>'raw data Crude oil'!AB1780</f>
        <v>80.488</v>
      </c>
      <c r="AC1779">
        <f>'raw data Crude oil'!AC1780</f>
        <v>80.143000000000001</v>
      </c>
      <c r="AD1779">
        <f>'raw data Crude oil'!AD1780</f>
        <v>79.840999999999994</v>
      </c>
      <c r="AE1779">
        <f>'raw data Crude oil'!AE1780</f>
        <v>79.53</v>
      </c>
      <c r="AF1779">
        <f>'raw data Crude oil'!AF1780</f>
        <v>79.177999999999997</v>
      </c>
      <c r="AG1779">
        <f>'raw data Crude oil'!AG1780</f>
        <v>78.795000000000002</v>
      </c>
      <c r="AH1779">
        <f>'raw data Crude oil'!AH1780</f>
        <v>78.417000000000002</v>
      </c>
      <c r="AI1779">
        <f>'raw data Crude oil'!AI1780</f>
        <v>78.036000000000001</v>
      </c>
      <c r="AJ1779">
        <f>'raw data Crude oil'!AJ1780</f>
        <v>77.655000000000001</v>
      </c>
      <c r="AK1779">
        <f>'raw data Crude oil'!AK1780</f>
        <v>77.256</v>
      </c>
    </row>
    <row r="1780" spans="1:37" x14ac:dyDescent="0.3">
      <c r="A1780" s="18">
        <f>'raw data Crude oil'!A1781</f>
        <v>45250</v>
      </c>
      <c r="B1780">
        <f>'raw data Crude oil'!B1781</f>
        <v>82.32</v>
      </c>
      <c r="C1780">
        <f>'raw data Crude oil'!C1781</f>
        <v>82.34</v>
      </c>
      <c r="D1780">
        <f>'raw data Crude oil'!D1781</f>
        <v>82.2</v>
      </c>
      <c r="E1780">
        <f>'raw data Crude oil'!E1781</f>
        <v>82.02</v>
      </c>
      <c r="F1780">
        <f>'raw data Crude oil'!F1781</f>
        <v>81.83</v>
      </c>
      <c r="G1780">
        <f>'raw data Crude oil'!G1781</f>
        <v>81.59</v>
      </c>
      <c r="H1780">
        <f>'raw data Crude oil'!H1781</f>
        <v>81.31</v>
      </c>
      <c r="I1780">
        <f>'raw data Crude oil'!I1781</f>
        <v>80.989999999999995</v>
      </c>
      <c r="J1780">
        <f>'raw data Crude oil'!J1781</f>
        <v>80.64</v>
      </c>
      <c r="K1780">
        <f>'raw data Crude oil'!K1781</f>
        <v>80.290000000000006</v>
      </c>
      <c r="L1780">
        <f>'raw data Crude oil'!L1781</f>
        <v>79.94</v>
      </c>
      <c r="M1780">
        <f>'raw data Crude oil'!M1781</f>
        <v>79.58</v>
      </c>
      <c r="N1780">
        <f>'raw data Crude oil'!N1781</f>
        <v>77.599999999999994</v>
      </c>
      <c r="O1780">
        <f>'raw data Crude oil'!O1781</f>
        <v>77.83</v>
      </c>
      <c r="P1780">
        <f>'raw data Crude oil'!P1781</f>
        <v>77.900000000000006</v>
      </c>
      <c r="Q1780">
        <f>'raw data Crude oil'!Q1781</f>
        <v>77.83</v>
      </c>
      <c r="R1780">
        <f>'raw data Crude oil'!R1781</f>
        <v>77.680000000000007</v>
      </c>
      <c r="S1780">
        <f>'raw data Crude oil'!S1781</f>
        <v>77.47</v>
      </c>
      <c r="T1780">
        <f>'raw data Crude oil'!T1781</f>
        <v>77.19</v>
      </c>
      <c r="U1780">
        <f>'raw data Crude oil'!U1781</f>
        <v>76.86</v>
      </c>
      <c r="V1780">
        <f>'raw data Crude oil'!V1781</f>
        <v>76.489999999999995</v>
      </c>
      <c r="W1780">
        <f>'raw data Crude oil'!W1781</f>
        <v>76.099999999999994</v>
      </c>
      <c r="X1780">
        <f>'raw data Crude oil'!X1781</f>
        <v>75.709999999999994</v>
      </c>
      <c r="Y1780">
        <f>'raw data Crude oil'!Y1781</f>
        <v>75.34</v>
      </c>
      <c r="Z1780">
        <f>'raw data Crude oil'!Z1781</f>
        <v>83.884</v>
      </c>
      <c r="AA1780">
        <f>'raw data Crude oil'!AA1781</f>
        <v>82.820999999999998</v>
      </c>
      <c r="AB1780">
        <f>'raw data Crude oil'!AB1781</f>
        <v>82.311999999999998</v>
      </c>
      <c r="AC1780">
        <f>'raw data Crude oil'!AC1781</f>
        <v>81.926000000000002</v>
      </c>
      <c r="AD1780">
        <f>'raw data Crude oil'!AD1781</f>
        <v>81.599999999999994</v>
      </c>
      <c r="AE1780">
        <f>'raw data Crude oil'!AE1781</f>
        <v>81.259</v>
      </c>
      <c r="AF1780">
        <f>'raw data Crude oil'!AF1781</f>
        <v>80.878</v>
      </c>
      <c r="AG1780">
        <f>'raw data Crude oil'!AG1781</f>
        <v>80.454999999999998</v>
      </c>
      <c r="AH1780">
        <f>'raw data Crude oil'!AH1781</f>
        <v>80.034999999999997</v>
      </c>
      <c r="AI1780">
        <f>'raw data Crude oil'!AI1781</f>
        <v>79.614000000000004</v>
      </c>
      <c r="AJ1780">
        <f>'raw data Crude oil'!AJ1781</f>
        <v>79.192999999999998</v>
      </c>
      <c r="AK1780">
        <f>'raw data Crude oil'!AK1781</f>
        <v>78.754000000000005</v>
      </c>
    </row>
    <row r="1781" spans="1:37" x14ac:dyDescent="0.3">
      <c r="A1781" s="18">
        <f>'raw data Crude oil'!A1782</f>
        <v>45251</v>
      </c>
      <c r="B1781">
        <f>'raw data Crude oil'!B1782</f>
        <v>82.45</v>
      </c>
      <c r="C1781">
        <f>'raw data Crude oil'!C1782</f>
        <v>82.48</v>
      </c>
      <c r="D1781">
        <f>'raw data Crude oil'!D1782</f>
        <v>82.33</v>
      </c>
      <c r="E1781">
        <f>'raw data Crude oil'!E1782</f>
        <v>82.13</v>
      </c>
      <c r="F1781">
        <f>'raw data Crude oil'!F1782</f>
        <v>81.93</v>
      </c>
      <c r="G1781">
        <f>'raw data Crude oil'!G1782</f>
        <v>81.69</v>
      </c>
      <c r="H1781">
        <f>'raw data Crude oil'!H1782</f>
        <v>81.41</v>
      </c>
      <c r="I1781">
        <f>'raw data Crude oil'!I1782</f>
        <v>81.08</v>
      </c>
      <c r="J1781">
        <f>'raw data Crude oil'!J1782</f>
        <v>80.73</v>
      </c>
      <c r="K1781">
        <f>'raw data Crude oil'!K1782</f>
        <v>80.36</v>
      </c>
      <c r="L1781">
        <f>'raw data Crude oil'!L1782</f>
        <v>80</v>
      </c>
      <c r="M1781">
        <f>'raw data Crude oil'!M1782</f>
        <v>79.64</v>
      </c>
      <c r="N1781">
        <f>'raw data Crude oil'!N1782</f>
        <v>77.77</v>
      </c>
      <c r="O1781">
        <f>'raw data Crude oil'!O1782</f>
        <v>77.92</v>
      </c>
      <c r="P1781">
        <f>'raw data Crude oil'!P1782</f>
        <v>77.88</v>
      </c>
      <c r="Q1781">
        <f>'raw data Crude oil'!Q1782</f>
        <v>77.739999999999995</v>
      </c>
      <c r="R1781">
        <f>'raw data Crude oil'!R1782</f>
        <v>77.540000000000006</v>
      </c>
      <c r="S1781">
        <f>'raw data Crude oil'!S1782</f>
        <v>77.260000000000005</v>
      </c>
      <c r="T1781">
        <f>'raw data Crude oil'!T1782</f>
        <v>76.92</v>
      </c>
      <c r="U1781">
        <f>'raw data Crude oil'!U1782</f>
        <v>76.55</v>
      </c>
      <c r="V1781">
        <f>'raw data Crude oil'!V1782</f>
        <v>76.150000000000006</v>
      </c>
      <c r="W1781">
        <f>'raw data Crude oil'!W1782</f>
        <v>75.75</v>
      </c>
      <c r="X1781">
        <f>'raw data Crude oil'!X1782</f>
        <v>75.36</v>
      </c>
      <c r="Y1781">
        <f>'raw data Crude oil'!Y1782</f>
        <v>74.98</v>
      </c>
      <c r="Z1781">
        <f>'raw data Crude oil'!Z1782</f>
        <v>83.879000000000005</v>
      </c>
      <c r="AA1781">
        <f>'raw data Crude oil'!AA1782</f>
        <v>82.995000000000005</v>
      </c>
      <c r="AB1781">
        <f>'raw data Crude oil'!AB1782</f>
        <v>82.475999999999999</v>
      </c>
      <c r="AC1781">
        <f>'raw data Crude oil'!AC1782</f>
        <v>82.09</v>
      </c>
      <c r="AD1781">
        <f>'raw data Crude oil'!AD1782</f>
        <v>81.748000000000005</v>
      </c>
      <c r="AE1781">
        <f>'raw data Crude oil'!AE1782</f>
        <v>81.397000000000006</v>
      </c>
      <c r="AF1781">
        <f>'raw data Crude oil'!AF1782</f>
        <v>81.016000000000005</v>
      </c>
      <c r="AG1781">
        <f>'raw data Crude oil'!AG1782</f>
        <v>80.578000000000003</v>
      </c>
      <c r="AH1781">
        <f>'raw data Crude oil'!AH1782</f>
        <v>80.153999999999996</v>
      </c>
      <c r="AI1781">
        <f>'raw data Crude oil'!AI1782</f>
        <v>79.718999999999994</v>
      </c>
      <c r="AJ1781">
        <f>'raw data Crude oil'!AJ1782</f>
        <v>79.283000000000001</v>
      </c>
      <c r="AK1781">
        <f>'raw data Crude oil'!AK1782</f>
        <v>78.853999999999999</v>
      </c>
    </row>
    <row r="1782" spans="1:37" x14ac:dyDescent="0.3">
      <c r="A1782" s="18">
        <f>'raw data Crude oil'!A1783</f>
        <v>45252</v>
      </c>
      <c r="B1782">
        <f>'raw data Crude oil'!B1783</f>
        <v>81.96</v>
      </c>
      <c r="C1782">
        <f>'raw data Crude oil'!C1783</f>
        <v>81.88</v>
      </c>
      <c r="D1782">
        <f>'raw data Crude oil'!D1783</f>
        <v>81.7</v>
      </c>
      <c r="E1782">
        <f>'raw data Crude oil'!E1783</f>
        <v>81.489999999999995</v>
      </c>
      <c r="F1782">
        <f>'raw data Crude oil'!F1783</f>
        <v>81.28</v>
      </c>
      <c r="G1782">
        <f>'raw data Crude oil'!G1783</f>
        <v>81.040000000000006</v>
      </c>
      <c r="H1782">
        <f>'raw data Crude oil'!H1783</f>
        <v>80.760000000000005</v>
      </c>
      <c r="I1782">
        <f>'raw data Crude oil'!I1783</f>
        <v>80.44</v>
      </c>
      <c r="J1782">
        <f>'raw data Crude oil'!J1783</f>
        <v>80.09</v>
      </c>
      <c r="K1782">
        <f>'raw data Crude oil'!K1783</f>
        <v>79.73</v>
      </c>
      <c r="L1782">
        <f>'raw data Crude oil'!L1783</f>
        <v>79.37</v>
      </c>
      <c r="M1782">
        <f>'raw data Crude oil'!M1783</f>
        <v>79.010000000000005</v>
      </c>
      <c r="N1782">
        <f>'raw data Crude oil'!N1783</f>
        <v>77.099999999999994</v>
      </c>
      <c r="O1782">
        <f>'raw data Crude oil'!O1783</f>
        <v>77.25</v>
      </c>
      <c r="P1782">
        <f>'raw data Crude oil'!P1783</f>
        <v>77.23</v>
      </c>
      <c r="Q1782">
        <f>'raw data Crude oil'!Q1783</f>
        <v>77.08</v>
      </c>
      <c r="R1782">
        <f>'raw data Crude oil'!R1783</f>
        <v>76.87</v>
      </c>
      <c r="S1782">
        <f>'raw data Crude oil'!S1783</f>
        <v>76.599999999999994</v>
      </c>
      <c r="T1782">
        <f>'raw data Crude oil'!T1783</f>
        <v>76.28</v>
      </c>
      <c r="U1782">
        <f>'raw data Crude oil'!U1783</f>
        <v>75.91</v>
      </c>
      <c r="V1782">
        <f>'raw data Crude oil'!V1783</f>
        <v>75.53</v>
      </c>
      <c r="W1782">
        <f>'raw data Crude oil'!W1783</f>
        <v>75.13</v>
      </c>
      <c r="X1782">
        <f>'raw data Crude oil'!X1783</f>
        <v>74.760000000000005</v>
      </c>
      <c r="Y1782">
        <f>'raw data Crude oil'!Y1783</f>
        <v>74.38</v>
      </c>
      <c r="Z1782">
        <f>'raw data Crude oil'!Z1783</f>
        <v>83.698999999999998</v>
      </c>
      <c r="AA1782">
        <f>'raw data Crude oil'!AA1783</f>
        <v>82.397000000000006</v>
      </c>
      <c r="AB1782">
        <f>'raw data Crude oil'!AB1783</f>
        <v>81.849999999999994</v>
      </c>
      <c r="AC1782">
        <f>'raw data Crude oil'!AC1783</f>
        <v>81.451999999999998</v>
      </c>
      <c r="AD1782">
        <f>'raw data Crude oil'!AD1783</f>
        <v>81.102999999999994</v>
      </c>
      <c r="AE1782">
        <f>'raw data Crude oil'!AE1783</f>
        <v>80.736999999999995</v>
      </c>
      <c r="AF1782">
        <f>'raw data Crude oil'!AF1783</f>
        <v>80.346000000000004</v>
      </c>
      <c r="AG1782">
        <f>'raw data Crude oil'!AG1783</f>
        <v>79.912999999999997</v>
      </c>
      <c r="AH1782">
        <f>'raw data Crude oil'!AH1783</f>
        <v>79.474000000000004</v>
      </c>
      <c r="AI1782">
        <f>'raw data Crude oil'!AI1783</f>
        <v>79.054000000000002</v>
      </c>
      <c r="AJ1782">
        <f>'raw data Crude oil'!AJ1783</f>
        <v>78.632999999999996</v>
      </c>
      <c r="AK1782">
        <f>'raw data Crude oil'!AK1783</f>
        <v>78.213999999999999</v>
      </c>
    </row>
    <row r="1783" spans="1:37" x14ac:dyDescent="0.3">
      <c r="A1783" s="18">
        <f>'raw data Crude oil'!A1784</f>
        <v>45253</v>
      </c>
      <c r="B1783">
        <f>'raw data Crude oil'!B1784</f>
        <v>81.42</v>
      </c>
      <c r="C1783">
        <f>'raw data Crude oil'!C1784</f>
        <v>81.25</v>
      </c>
      <c r="D1783">
        <f>'raw data Crude oil'!D1784</f>
        <v>81.05</v>
      </c>
      <c r="E1783">
        <f>'raw data Crude oil'!E1784</f>
        <v>80.819999999999993</v>
      </c>
      <c r="F1783">
        <f>'raw data Crude oil'!F1784</f>
        <v>80.599999999999994</v>
      </c>
      <c r="G1783">
        <f>'raw data Crude oil'!G1784</f>
        <v>80.37</v>
      </c>
      <c r="H1783">
        <f>'raw data Crude oil'!H1784</f>
        <v>80.099999999999994</v>
      </c>
      <c r="I1783">
        <f>'raw data Crude oil'!I1784</f>
        <v>79.78</v>
      </c>
      <c r="J1783">
        <f>'raw data Crude oil'!J1784</f>
        <v>79.44</v>
      </c>
      <c r="K1783">
        <f>'raw data Crude oil'!K1784</f>
        <v>79.09</v>
      </c>
      <c r="L1783">
        <f>'raw data Crude oil'!L1784</f>
        <v>78.75</v>
      </c>
      <c r="M1783">
        <f>'raw data Crude oil'!M1784</f>
        <v>78.41</v>
      </c>
      <c r="N1783">
        <f>'raw data Crude oil'!N1784</f>
        <v>77.099999999999994</v>
      </c>
      <c r="O1783">
        <f>'raw data Crude oil'!O1784</f>
        <v>77.25</v>
      </c>
      <c r="P1783">
        <f>'raw data Crude oil'!P1784</f>
        <v>77.23</v>
      </c>
      <c r="Q1783">
        <f>'raw data Crude oil'!Q1784</f>
        <v>77.08</v>
      </c>
      <c r="R1783">
        <f>'raw data Crude oil'!R1784</f>
        <v>76.87</v>
      </c>
      <c r="S1783">
        <f>'raw data Crude oil'!S1784</f>
        <v>76.599999999999994</v>
      </c>
      <c r="T1783">
        <f>'raw data Crude oil'!T1784</f>
        <v>76.28</v>
      </c>
      <c r="U1783">
        <f>'raw data Crude oil'!U1784</f>
        <v>75.91</v>
      </c>
      <c r="V1783">
        <f>'raw data Crude oil'!V1784</f>
        <v>75.53</v>
      </c>
      <c r="W1783">
        <f>'raw data Crude oil'!W1784</f>
        <v>75.13</v>
      </c>
      <c r="X1783">
        <f>'raw data Crude oil'!X1784</f>
        <v>74.760000000000005</v>
      </c>
      <c r="Y1783">
        <f>'raw data Crude oil'!Y1784</f>
        <v>74.38</v>
      </c>
      <c r="Z1783">
        <f>'raw data Crude oil'!Z1784</f>
        <v>83.527000000000001</v>
      </c>
      <c r="AA1783">
        <f>'raw data Crude oil'!AA1784</f>
        <v>81.825000000000003</v>
      </c>
      <c r="AB1783">
        <f>'raw data Crude oil'!AB1784</f>
        <v>81.215000000000003</v>
      </c>
      <c r="AC1783">
        <f>'raw data Crude oil'!AC1784</f>
        <v>80.784999999999997</v>
      </c>
      <c r="AD1783">
        <f>'raw data Crude oil'!AD1784</f>
        <v>80.418000000000006</v>
      </c>
      <c r="AE1783">
        <f>'raw data Crude oil'!AE1784</f>
        <v>80.058000000000007</v>
      </c>
      <c r="AF1783">
        <f>'raw data Crude oil'!AF1784</f>
        <v>79.676000000000002</v>
      </c>
      <c r="AG1783">
        <f>'raw data Crude oil'!AG1784</f>
        <v>79.242999999999995</v>
      </c>
      <c r="AH1783">
        <f>'raw data Crude oil'!AH1784</f>
        <v>78.834999999999994</v>
      </c>
      <c r="AI1783">
        <f>'raw data Crude oil'!AI1784</f>
        <v>78.424999999999997</v>
      </c>
      <c r="AJ1783">
        <f>'raw data Crude oil'!AJ1784</f>
        <v>78.013999999999996</v>
      </c>
      <c r="AK1783">
        <f>'raw data Crude oil'!AK1784</f>
        <v>77.605000000000004</v>
      </c>
    </row>
    <row r="1784" spans="1:37" x14ac:dyDescent="0.3">
      <c r="A1784" s="18">
        <f>'raw data Crude oil'!A1785</f>
        <v>45254</v>
      </c>
      <c r="B1784">
        <f>'raw data Crude oil'!B1785</f>
        <v>80.58</v>
      </c>
      <c r="C1784">
        <f>'raw data Crude oil'!C1785</f>
        <v>80.48</v>
      </c>
      <c r="D1784">
        <f>'raw data Crude oil'!D1785</f>
        <v>80.31</v>
      </c>
      <c r="E1784">
        <f>'raw data Crude oil'!E1785</f>
        <v>80.12</v>
      </c>
      <c r="F1784">
        <f>'raw data Crude oil'!F1785</f>
        <v>79.959999999999994</v>
      </c>
      <c r="G1784">
        <f>'raw data Crude oil'!G1785</f>
        <v>79.77</v>
      </c>
      <c r="H1784">
        <f>'raw data Crude oil'!H1785</f>
        <v>79.53</v>
      </c>
      <c r="I1784">
        <f>'raw data Crude oil'!I1785</f>
        <v>79.239999999999995</v>
      </c>
      <c r="J1784">
        <f>'raw data Crude oil'!J1785</f>
        <v>78.930000000000007</v>
      </c>
      <c r="K1784">
        <f>'raw data Crude oil'!K1785</f>
        <v>78.61</v>
      </c>
      <c r="L1784">
        <f>'raw data Crude oil'!L1785</f>
        <v>78.28</v>
      </c>
      <c r="M1784">
        <f>'raw data Crude oil'!M1785</f>
        <v>77.94</v>
      </c>
      <c r="N1784">
        <f>'raw data Crude oil'!N1785</f>
        <v>75.540000000000006</v>
      </c>
      <c r="O1784">
        <f>'raw data Crude oil'!O1785</f>
        <v>75.77</v>
      </c>
      <c r="P1784">
        <f>'raw data Crude oil'!P1785</f>
        <v>75.83</v>
      </c>
      <c r="Q1784">
        <f>'raw data Crude oil'!Q1785</f>
        <v>75.75</v>
      </c>
      <c r="R1784">
        <f>'raw data Crude oil'!R1785</f>
        <v>75.599999999999994</v>
      </c>
      <c r="S1784">
        <f>'raw data Crude oil'!S1785</f>
        <v>75.38</v>
      </c>
      <c r="T1784">
        <f>'raw data Crude oil'!T1785</f>
        <v>75.12</v>
      </c>
      <c r="U1784">
        <f>'raw data Crude oil'!U1785</f>
        <v>74.790000000000006</v>
      </c>
      <c r="V1784">
        <f>'raw data Crude oil'!V1785</f>
        <v>74.45</v>
      </c>
      <c r="W1784">
        <f>'raw data Crude oil'!W1785</f>
        <v>74.099999999999994</v>
      </c>
      <c r="X1784">
        <f>'raw data Crude oil'!X1785</f>
        <v>73.75</v>
      </c>
      <c r="Y1784">
        <f>'raw data Crude oil'!Y1785</f>
        <v>73.400000000000006</v>
      </c>
      <c r="Z1784">
        <f>'raw data Crude oil'!Z1785</f>
        <v>83.438999999999993</v>
      </c>
      <c r="AA1784">
        <f>'raw data Crude oil'!AA1785</f>
        <v>81.207999999999998</v>
      </c>
      <c r="AB1784">
        <f>'raw data Crude oil'!AB1785</f>
        <v>80.590999999999994</v>
      </c>
      <c r="AC1784">
        <f>'raw data Crude oil'!AC1785</f>
        <v>80.147999999999996</v>
      </c>
      <c r="AD1784">
        <f>'raw data Crude oil'!AD1785</f>
        <v>79.816999999999993</v>
      </c>
      <c r="AE1784">
        <f>'raw data Crude oil'!AE1785</f>
        <v>79.486999999999995</v>
      </c>
      <c r="AF1784">
        <f>'raw data Crude oil'!AF1785</f>
        <v>79.126999999999995</v>
      </c>
      <c r="AG1784">
        <f>'raw data Crude oil'!AG1785</f>
        <v>78.727000000000004</v>
      </c>
      <c r="AH1784">
        <f>'raw data Crude oil'!AH1785</f>
        <v>78.346000000000004</v>
      </c>
      <c r="AI1784">
        <f>'raw data Crude oil'!AI1785</f>
        <v>77.954999999999998</v>
      </c>
      <c r="AJ1784">
        <f>'raw data Crude oil'!AJ1785</f>
        <v>77.573999999999998</v>
      </c>
      <c r="AK1784">
        <f>'raw data Crude oil'!AK1785</f>
        <v>77.185000000000002</v>
      </c>
    </row>
    <row r="1785" spans="1:37" x14ac:dyDescent="0.3">
      <c r="A1785" s="18">
        <f>'raw data Crude oil'!A1786</f>
        <v>45257</v>
      </c>
      <c r="B1785">
        <f>'raw data Crude oil'!B1786</f>
        <v>79.98</v>
      </c>
      <c r="C1785">
        <f>'raw data Crude oil'!C1786</f>
        <v>79.87</v>
      </c>
      <c r="D1785">
        <f>'raw data Crude oil'!D1786</f>
        <v>79.73</v>
      </c>
      <c r="E1785">
        <f>'raw data Crude oil'!E1786</f>
        <v>79.569999999999993</v>
      </c>
      <c r="F1785">
        <f>'raw data Crude oil'!F1786</f>
        <v>79.41</v>
      </c>
      <c r="G1785">
        <f>'raw data Crude oil'!G1786</f>
        <v>79.22</v>
      </c>
      <c r="H1785">
        <f>'raw data Crude oil'!H1786</f>
        <v>79</v>
      </c>
      <c r="I1785">
        <f>'raw data Crude oil'!I1786</f>
        <v>78.73</v>
      </c>
      <c r="J1785">
        <f>'raw data Crude oil'!J1786</f>
        <v>78.44</v>
      </c>
      <c r="K1785">
        <f>'raw data Crude oil'!K1786</f>
        <v>78.14</v>
      </c>
      <c r="L1785">
        <f>'raw data Crude oil'!L1786</f>
        <v>77.819999999999993</v>
      </c>
      <c r="M1785">
        <f>'raw data Crude oil'!M1786</f>
        <v>77.5</v>
      </c>
      <c r="N1785">
        <f>'raw data Crude oil'!N1786</f>
        <v>74.86</v>
      </c>
      <c r="O1785">
        <f>'raw data Crude oil'!O1786</f>
        <v>75.09</v>
      </c>
      <c r="P1785">
        <f>'raw data Crude oil'!P1786</f>
        <v>75.22</v>
      </c>
      <c r="Q1785">
        <f>'raw data Crude oil'!Q1786</f>
        <v>75.2</v>
      </c>
      <c r="R1785">
        <f>'raw data Crude oil'!R1786</f>
        <v>75.09</v>
      </c>
      <c r="S1785">
        <f>'raw data Crude oil'!S1786</f>
        <v>74.900000000000006</v>
      </c>
      <c r="T1785">
        <f>'raw data Crude oil'!T1786</f>
        <v>74.66</v>
      </c>
      <c r="U1785">
        <f>'raw data Crude oil'!U1786</f>
        <v>74.36</v>
      </c>
      <c r="V1785">
        <f>'raw data Crude oil'!V1786</f>
        <v>74.040000000000006</v>
      </c>
      <c r="W1785">
        <f>'raw data Crude oil'!W1786</f>
        <v>73.69</v>
      </c>
      <c r="X1785">
        <f>'raw data Crude oil'!X1786</f>
        <v>73.349999999999994</v>
      </c>
      <c r="Y1785">
        <f>'raw data Crude oil'!Y1786</f>
        <v>73</v>
      </c>
      <c r="Z1785">
        <f>'raw data Crude oil'!Z1786</f>
        <v>83.295000000000002</v>
      </c>
      <c r="AA1785">
        <f>'raw data Crude oil'!AA1786</f>
        <v>80.700999999999993</v>
      </c>
      <c r="AB1785">
        <f>'raw data Crude oil'!AB1786</f>
        <v>80.128</v>
      </c>
      <c r="AC1785">
        <f>'raw data Crude oil'!AC1786</f>
        <v>79.706999999999994</v>
      </c>
      <c r="AD1785">
        <f>'raw data Crude oil'!AD1786</f>
        <v>79.38</v>
      </c>
      <c r="AE1785">
        <f>'raw data Crude oil'!AE1786</f>
        <v>79.05</v>
      </c>
      <c r="AF1785">
        <f>'raw data Crude oil'!AF1786</f>
        <v>78.688000000000002</v>
      </c>
      <c r="AG1785">
        <f>'raw data Crude oil'!AG1786</f>
        <v>78.305999999999997</v>
      </c>
      <c r="AH1785">
        <f>'raw data Crude oil'!AH1786</f>
        <v>77.927000000000007</v>
      </c>
      <c r="AI1785">
        <f>'raw data Crude oil'!AI1786</f>
        <v>77.545000000000002</v>
      </c>
      <c r="AJ1785">
        <f>'raw data Crude oil'!AJ1786</f>
        <v>77.144999999999996</v>
      </c>
      <c r="AK1785">
        <f>'raw data Crude oil'!AK1786</f>
        <v>76.756</v>
      </c>
    </row>
    <row r="1786" spans="1:37" x14ac:dyDescent="0.3">
      <c r="A1786" s="18">
        <f>'raw data Crude oil'!A1787</f>
        <v>45258</v>
      </c>
      <c r="B1786">
        <f>'raw data Crude oil'!B1787</f>
        <v>81.680000000000007</v>
      </c>
      <c r="C1786">
        <f>'raw data Crude oil'!C1787</f>
        <v>81.47</v>
      </c>
      <c r="D1786">
        <f>'raw data Crude oil'!D1787</f>
        <v>81.23</v>
      </c>
      <c r="E1786">
        <f>'raw data Crude oil'!E1787</f>
        <v>81.010000000000005</v>
      </c>
      <c r="F1786">
        <f>'raw data Crude oil'!F1787</f>
        <v>80.790000000000006</v>
      </c>
      <c r="G1786">
        <f>'raw data Crude oil'!G1787</f>
        <v>80.540000000000006</v>
      </c>
      <c r="H1786">
        <f>'raw data Crude oil'!H1787</f>
        <v>80.25</v>
      </c>
      <c r="I1786">
        <f>'raw data Crude oil'!I1787</f>
        <v>79.94</v>
      </c>
      <c r="J1786">
        <f>'raw data Crude oil'!J1787</f>
        <v>79.61</v>
      </c>
      <c r="K1786">
        <f>'raw data Crude oil'!K1787</f>
        <v>79.27</v>
      </c>
      <c r="L1786">
        <f>'raw data Crude oil'!L1787</f>
        <v>78.92</v>
      </c>
      <c r="M1786">
        <f>'raw data Crude oil'!M1787</f>
        <v>78.56</v>
      </c>
      <c r="N1786">
        <f>'raw data Crude oil'!N1787</f>
        <v>76.41</v>
      </c>
      <c r="O1786">
        <f>'raw data Crude oil'!O1787</f>
        <v>76.59</v>
      </c>
      <c r="P1786">
        <f>'raw data Crude oil'!P1787</f>
        <v>76.66</v>
      </c>
      <c r="Q1786">
        <f>'raw data Crude oil'!Q1787</f>
        <v>76.59</v>
      </c>
      <c r="R1786">
        <f>'raw data Crude oil'!R1787</f>
        <v>76.45</v>
      </c>
      <c r="S1786">
        <f>'raw data Crude oil'!S1787</f>
        <v>76.22</v>
      </c>
      <c r="T1786">
        <f>'raw data Crude oil'!T1787</f>
        <v>75.930000000000007</v>
      </c>
      <c r="U1786">
        <f>'raw data Crude oil'!U1787</f>
        <v>75.58</v>
      </c>
      <c r="V1786">
        <f>'raw data Crude oil'!V1787</f>
        <v>75.19</v>
      </c>
      <c r="W1786">
        <f>'raw data Crude oil'!W1787</f>
        <v>74.8</v>
      </c>
      <c r="X1786">
        <f>'raw data Crude oil'!X1787</f>
        <v>74.41</v>
      </c>
      <c r="Y1786">
        <f>'raw data Crude oil'!Y1787</f>
        <v>74.02</v>
      </c>
      <c r="Z1786">
        <f>'raw data Crude oil'!Z1787</f>
        <v>83.459000000000003</v>
      </c>
      <c r="AA1786">
        <f>'raw data Crude oil'!AA1787</f>
        <v>82.171000000000006</v>
      </c>
      <c r="AB1786">
        <f>'raw data Crude oil'!AB1787</f>
        <v>81.58</v>
      </c>
      <c r="AC1786">
        <f>'raw data Crude oil'!AC1787</f>
        <v>81.13</v>
      </c>
      <c r="AD1786">
        <f>'raw data Crude oil'!AD1787</f>
        <v>80.757999999999996</v>
      </c>
      <c r="AE1786">
        <f>'raw data Crude oil'!AE1787</f>
        <v>80.376999999999995</v>
      </c>
      <c r="AF1786">
        <f>'raw data Crude oil'!AF1787</f>
        <v>79.956999999999994</v>
      </c>
      <c r="AG1786">
        <f>'raw data Crude oil'!AG1787</f>
        <v>79.513999999999996</v>
      </c>
      <c r="AH1786">
        <f>'raw data Crude oil'!AH1787</f>
        <v>79.094999999999999</v>
      </c>
      <c r="AI1786">
        <f>'raw data Crude oil'!AI1787</f>
        <v>78.694000000000003</v>
      </c>
      <c r="AJ1786">
        <f>'raw data Crude oil'!AJ1787</f>
        <v>78.272999999999996</v>
      </c>
      <c r="AK1786">
        <f>'raw data Crude oil'!AK1787</f>
        <v>77.843999999999994</v>
      </c>
    </row>
    <row r="1787" spans="1:37" x14ac:dyDescent="0.3">
      <c r="A1787" s="18">
        <f>'raw data Crude oil'!A1788</f>
        <v>45259</v>
      </c>
      <c r="B1787">
        <f>'raw data Crude oil'!B1788</f>
        <v>83.1</v>
      </c>
      <c r="C1787">
        <f>'raw data Crude oil'!C1788</f>
        <v>82.88</v>
      </c>
      <c r="D1787">
        <f>'raw data Crude oil'!D1788</f>
        <v>82.58</v>
      </c>
      <c r="E1787">
        <f>'raw data Crude oil'!E1788</f>
        <v>82.29</v>
      </c>
      <c r="F1787">
        <f>'raw data Crude oil'!F1788</f>
        <v>82.01</v>
      </c>
      <c r="G1787">
        <f>'raw data Crude oil'!G1788</f>
        <v>81.739999999999995</v>
      </c>
      <c r="H1787">
        <f>'raw data Crude oil'!H1788</f>
        <v>81.430000000000007</v>
      </c>
      <c r="I1787">
        <f>'raw data Crude oil'!I1788</f>
        <v>81.099999999999994</v>
      </c>
      <c r="J1787">
        <f>'raw data Crude oil'!J1788</f>
        <v>80.760000000000005</v>
      </c>
      <c r="K1787">
        <f>'raw data Crude oil'!K1788</f>
        <v>80.42</v>
      </c>
      <c r="L1787">
        <f>'raw data Crude oil'!L1788</f>
        <v>80.05</v>
      </c>
      <c r="M1787">
        <f>'raw data Crude oil'!M1788</f>
        <v>79.680000000000007</v>
      </c>
      <c r="N1787">
        <f>'raw data Crude oil'!N1788</f>
        <v>77.86</v>
      </c>
      <c r="O1787">
        <f>'raw data Crude oil'!O1788</f>
        <v>77.989999999999995</v>
      </c>
      <c r="P1787">
        <f>'raw data Crude oil'!P1788</f>
        <v>77.98</v>
      </c>
      <c r="Q1787">
        <f>'raw data Crude oil'!Q1788</f>
        <v>77.86</v>
      </c>
      <c r="R1787">
        <f>'raw data Crude oil'!R1788</f>
        <v>77.69</v>
      </c>
      <c r="S1787">
        <f>'raw data Crude oil'!S1788</f>
        <v>77.45</v>
      </c>
      <c r="T1787">
        <f>'raw data Crude oil'!T1788</f>
        <v>77.14</v>
      </c>
      <c r="U1787">
        <f>'raw data Crude oil'!U1788</f>
        <v>76.760000000000005</v>
      </c>
      <c r="V1787">
        <f>'raw data Crude oil'!V1788</f>
        <v>76.36</v>
      </c>
      <c r="W1787">
        <f>'raw data Crude oil'!W1788</f>
        <v>75.95</v>
      </c>
      <c r="X1787">
        <f>'raw data Crude oil'!X1788</f>
        <v>75.55</v>
      </c>
      <c r="Y1787">
        <f>'raw data Crude oil'!Y1788</f>
        <v>75.12</v>
      </c>
      <c r="Z1787">
        <f>'raw data Crude oil'!Z1788</f>
        <v>83.504999999999995</v>
      </c>
      <c r="AA1787">
        <f>'raw data Crude oil'!AA1788</f>
        <v>83.254999999999995</v>
      </c>
      <c r="AB1787">
        <f>'raw data Crude oil'!AB1788</f>
        <v>82.792000000000002</v>
      </c>
      <c r="AC1787">
        <f>'raw data Crude oil'!AC1788</f>
        <v>82.331999999999994</v>
      </c>
      <c r="AD1787">
        <f>'raw data Crude oil'!AD1788</f>
        <v>81.933999999999997</v>
      </c>
      <c r="AE1787">
        <f>'raw data Crude oil'!AE1788</f>
        <v>81.534000000000006</v>
      </c>
      <c r="AF1787">
        <f>'raw data Crude oil'!AF1788</f>
        <v>81.093999999999994</v>
      </c>
      <c r="AG1787">
        <f>'raw data Crude oil'!AG1788</f>
        <v>80.634</v>
      </c>
      <c r="AH1787">
        <f>'raw data Crude oil'!AH1788</f>
        <v>80.215000000000003</v>
      </c>
      <c r="AI1787">
        <f>'raw data Crude oil'!AI1788</f>
        <v>79.793000000000006</v>
      </c>
      <c r="AJ1787">
        <f>'raw data Crude oil'!AJ1788</f>
        <v>79.341999999999999</v>
      </c>
      <c r="AK1787">
        <f>'raw data Crude oil'!AK1788</f>
        <v>78.894000000000005</v>
      </c>
    </row>
    <row r="1788" spans="1:37" x14ac:dyDescent="0.3">
      <c r="A1788" s="18">
        <f>'raw data Crude oil'!A1789</f>
        <v>45260</v>
      </c>
      <c r="B1788">
        <f>'raw data Crude oil'!B1789</f>
        <v>82.83</v>
      </c>
      <c r="C1788">
        <f>'raw data Crude oil'!C1789</f>
        <v>80.86</v>
      </c>
      <c r="D1788">
        <f>'raw data Crude oil'!D1789</f>
        <v>80.58</v>
      </c>
      <c r="E1788">
        <f>'raw data Crude oil'!E1789</f>
        <v>80.28</v>
      </c>
      <c r="F1788">
        <f>'raw data Crude oil'!F1789</f>
        <v>80</v>
      </c>
      <c r="G1788">
        <f>'raw data Crude oil'!G1789</f>
        <v>79.709999999999994</v>
      </c>
      <c r="H1788">
        <f>'raw data Crude oil'!H1789</f>
        <v>79.42</v>
      </c>
      <c r="I1788">
        <f>'raw data Crude oil'!I1789</f>
        <v>79.11</v>
      </c>
      <c r="J1788">
        <f>'raw data Crude oil'!J1789</f>
        <v>78.790000000000006</v>
      </c>
      <c r="K1788">
        <f>'raw data Crude oil'!K1789</f>
        <v>78.47</v>
      </c>
      <c r="L1788">
        <f>'raw data Crude oil'!L1789</f>
        <v>78.14</v>
      </c>
      <c r="M1788">
        <f>'raw data Crude oil'!M1789</f>
        <v>77.8</v>
      </c>
      <c r="N1788">
        <f>'raw data Crude oil'!N1789</f>
        <v>75.959999999999994</v>
      </c>
      <c r="O1788">
        <f>'raw data Crude oil'!O1789</f>
        <v>76.05</v>
      </c>
      <c r="P1788">
        <f>'raw data Crude oil'!P1789</f>
        <v>75.989999999999995</v>
      </c>
      <c r="Q1788">
        <f>'raw data Crude oil'!Q1789</f>
        <v>75.849999999999994</v>
      </c>
      <c r="R1788">
        <f>'raw data Crude oil'!R1789</f>
        <v>75.680000000000007</v>
      </c>
      <c r="S1788">
        <f>'raw data Crude oil'!S1789</f>
        <v>75.47</v>
      </c>
      <c r="T1788">
        <f>'raw data Crude oil'!T1789</f>
        <v>75.2</v>
      </c>
      <c r="U1788">
        <f>'raw data Crude oil'!U1789</f>
        <v>74.87</v>
      </c>
      <c r="V1788">
        <f>'raw data Crude oil'!V1789</f>
        <v>74.48</v>
      </c>
      <c r="W1788">
        <f>'raw data Crude oil'!W1789</f>
        <v>74.08</v>
      </c>
      <c r="X1788">
        <f>'raw data Crude oil'!X1789</f>
        <v>73.7</v>
      </c>
      <c r="Y1788">
        <f>'raw data Crude oil'!Y1789</f>
        <v>73.319999999999993</v>
      </c>
      <c r="Z1788">
        <f>'raw data Crude oil'!Z1789</f>
        <v>83.561000000000007</v>
      </c>
      <c r="AA1788">
        <f>'raw data Crude oil'!AA1789</f>
        <v>81.381</v>
      </c>
      <c r="AB1788">
        <f>'raw data Crude oil'!AB1789</f>
        <v>80.975999999999999</v>
      </c>
      <c r="AC1788">
        <f>'raw data Crude oil'!AC1789</f>
        <v>80.456999999999994</v>
      </c>
      <c r="AD1788">
        <f>'raw data Crude oil'!AD1789</f>
        <v>79.991</v>
      </c>
      <c r="AE1788">
        <f>'raw data Crude oil'!AE1789</f>
        <v>79.546999999999997</v>
      </c>
      <c r="AF1788">
        <f>'raw data Crude oil'!AF1789</f>
        <v>79.126999999999995</v>
      </c>
      <c r="AG1788">
        <f>'raw data Crude oil'!AG1789</f>
        <v>78.713999999999999</v>
      </c>
      <c r="AH1788">
        <f>'raw data Crude oil'!AH1789</f>
        <v>78.305999999999997</v>
      </c>
      <c r="AI1788">
        <f>'raw data Crude oil'!AI1789</f>
        <v>77.915000000000006</v>
      </c>
      <c r="AJ1788">
        <f>'raw data Crude oil'!AJ1789</f>
        <v>77.504000000000005</v>
      </c>
      <c r="AK1788">
        <f>'raw data Crude oil'!AK1789</f>
        <v>77.084999999999994</v>
      </c>
    </row>
    <row r="1789" spans="1:37" x14ac:dyDescent="0.3">
      <c r="A1789" s="18">
        <f>'raw data Crude oil'!A1790</f>
        <v>45261</v>
      </c>
      <c r="B1789">
        <f>'raw data Crude oil'!B1790</f>
        <v>78.88</v>
      </c>
      <c r="C1789">
        <f>'raw data Crude oil'!C1790</f>
        <v>78.77</v>
      </c>
      <c r="D1789">
        <f>'raw data Crude oil'!D1790</f>
        <v>78.61</v>
      </c>
      <c r="E1789">
        <f>'raw data Crude oil'!E1790</f>
        <v>78.45</v>
      </c>
      <c r="F1789">
        <f>'raw data Crude oil'!F1790</f>
        <v>78.27</v>
      </c>
      <c r="G1789">
        <f>'raw data Crude oil'!G1790</f>
        <v>78.040000000000006</v>
      </c>
      <c r="H1789">
        <f>'raw data Crude oil'!H1790</f>
        <v>77.78</v>
      </c>
      <c r="I1789">
        <f>'raw data Crude oil'!I1790</f>
        <v>77.489999999999995</v>
      </c>
      <c r="J1789">
        <f>'raw data Crude oil'!J1790</f>
        <v>77.2</v>
      </c>
      <c r="K1789">
        <f>'raw data Crude oil'!K1790</f>
        <v>76.900000000000006</v>
      </c>
      <c r="L1789">
        <f>'raw data Crude oil'!L1790</f>
        <v>76.59</v>
      </c>
      <c r="M1789">
        <f>'raw data Crude oil'!M1790</f>
        <v>76.28</v>
      </c>
      <c r="N1789">
        <f>'raw data Crude oil'!N1790</f>
        <v>74.069999999999993</v>
      </c>
      <c r="O1789">
        <f>'raw data Crude oil'!O1790</f>
        <v>74.25</v>
      </c>
      <c r="P1789">
        <f>'raw data Crude oil'!P1790</f>
        <v>74.31</v>
      </c>
      <c r="Q1789">
        <f>'raw data Crude oil'!Q1790</f>
        <v>74.28</v>
      </c>
      <c r="R1789">
        <f>'raw data Crude oil'!R1790</f>
        <v>74.2</v>
      </c>
      <c r="S1789">
        <f>'raw data Crude oil'!S1790</f>
        <v>74.040000000000006</v>
      </c>
      <c r="T1789">
        <f>'raw data Crude oil'!T1790</f>
        <v>73.83</v>
      </c>
      <c r="U1789">
        <f>'raw data Crude oil'!U1790</f>
        <v>73.55</v>
      </c>
      <c r="V1789">
        <f>'raw data Crude oil'!V1790</f>
        <v>73.22</v>
      </c>
      <c r="W1789">
        <f>'raw data Crude oil'!W1790</f>
        <v>72.849999999999994</v>
      </c>
      <c r="X1789">
        <f>'raw data Crude oil'!X1790</f>
        <v>72.510000000000005</v>
      </c>
      <c r="Y1789">
        <f>'raw data Crude oil'!Y1790</f>
        <v>72.16</v>
      </c>
      <c r="Z1789">
        <f>'raw data Crude oil'!Z1790</f>
        <v>83.561000000000007</v>
      </c>
      <c r="AA1789">
        <f>'raw data Crude oil'!AA1790</f>
        <v>79.430999999999997</v>
      </c>
      <c r="AB1789">
        <f>'raw data Crude oil'!AB1790</f>
        <v>78.933000000000007</v>
      </c>
      <c r="AC1789">
        <f>'raw data Crude oil'!AC1790</f>
        <v>78.587000000000003</v>
      </c>
      <c r="AD1789">
        <f>'raw data Crude oil'!AD1790</f>
        <v>78.290999999999997</v>
      </c>
      <c r="AE1789">
        <f>'raw data Crude oil'!AE1790</f>
        <v>77.989999999999995</v>
      </c>
      <c r="AF1789">
        <f>'raw data Crude oil'!AF1790</f>
        <v>77.638999999999996</v>
      </c>
      <c r="AG1789">
        <f>'raw data Crude oil'!AG1790</f>
        <v>77.256</v>
      </c>
      <c r="AH1789">
        <f>'raw data Crude oil'!AH1790</f>
        <v>76.867000000000004</v>
      </c>
      <c r="AI1789">
        <f>'raw data Crude oil'!AI1790</f>
        <v>76.516000000000005</v>
      </c>
      <c r="AJ1789">
        <f>'raw data Crude oil'!AJ1790</f>
        <v>76.155000000000001</v>
      </c>
      <c r="AK1789">
        <f>'raw data Crude oil'!AK1790</f>
        <v>75.787000000000006</v>
      </c>
    </row>
    <row r="1790" spans="1:37" x14ac:dyDescent="0.3">
      <c r="A1790" s="18">
        <f>'raw data Crude oil'!A1791</f>
        <v>45264</v>
      </c>
      <c r="B1790">
        <f>'raw data Crude oil'!B1791</f>
        <v>78.03</v>
      </c>
      <c r="C1790">
        <f>'raw data Crude oil'!C1791</f>
        <v>78.069999999999993</v>
      </c>
      <c r="D1790">
        <f>'raw data Crude oil'!D1791</f>
        <v>78.05</v>
      </c>
      <c r="E1790">
        <f>'raw data Crude oil'!E1791</f>
        <v>78</v>
      </c>
      <c r="F1790">
        <f>'raw data Crude oil'!F1791</f>
        <v>77.930000000000007</v>
      </c>
      <c r="G1790">
        <f>'raw data Crude oil'!G1791</f>
        <v>77.8</v>
      </c>
      <c r="H1790">
        <f>'raw data Crude oil'!H1791</f>
        <v>77.62</v>
      </c>
      <c r="I1790">
        <f>'raw data Crude oil'!I1791</f>
        <v>77.41</v>
      </c>
      <c r="J1790">
        <f>'raw data Crude oil'!J1791</f>
        <v>77.17</v>
      </c>
      <c r="K1790">
        <f>'raw data Crude oil'!K1791</f>
        <v>76.91</v>
      </c>
      <c r="L1790">
        <f>'raw data Crude oil'!L1791</f>
        <v>76.63</v>
      </c>
      <c r="M1790">
        <f>'raw data Crude oil'!M1791</f>
        <v>76.34</v>
      </c>
      <c r="N1790">
        <f>'raw data Crude oil'!N1791</f>
        <v>73.040000000000006</v>
      </c>
      <c r="O1790">
        <f>'raw data Crude oil'!O1791</f>
        <v>73.319999999999993</v>
      </c>
      <c r="P1790">
        <f>'raw data Crude oil'!P1791</f>
        <v>73.53</v>
      </c>
      <c r="Q1790">
        <f>'raw data Crude oil'!Q1791</f>
        <v>73.680000000000007</v>
      </c>
      <c r="R1790">
        <f>'raw data Crude oil'!R1791</f>
        <v>73.760000000000005</v>
      </c>
      <c r="S1790">
        <f>'raw data Crude oil'!S1791</f>
        <v>73.760000000000005</v>
      </c>
      <c r="T1790">
        <f>'raw data Crude oil'!T1791</f>
        <v>73.67</v>
      </c>
      <c r="U1790">
        <f>'raw data Crude oil'!U1791</f>
        <v>73.489999999999995</v>
      </c>
      <c r="V1790">
        <f>'raw data Crude oil'!V1791</f>
        <v>73.23</v>
      </c>
      <c r="W1790">
        <f>'raw data Crude oil'!W1791</f>
        <v>72.930000000000007</v>
      </c>
      <c r="X1790">
        <f>'raw data Crude oil'!X1791</f>
        <v>72.63</v>
      </c>
      <c r="Y1790">
        <f>'raw data Crude oil'!Y1791</f>
        <v>72.31</v>
      </c>
      <c r="Z1790">
        <f>'raw data Crude oil'!Z1791</f>
        <v>78.082999999999998</v>
      </c>
      <c r="AA1790">
        <f>'raw data Crude oil'!AA1791</f>
        <v>77.606999999999999</v>
      </c>
      <c r="AB1790">
        <f>'raw data Crude oil'!AB1791</f>
        <v>77.477000000000004</v>
      </c>
      <c r="AC1790">
        <f>'raw data Crude oil'!AC1791</f>
        <v>77.406999999999996</v>
      </c>
      <c r="AD1790">
        <f>'raw data Crude oil'!AD1791</f>
        <v>77.323999999999998</v>
      </c>
      <c r="AE1790">
        <f>'raw data Crude oil'!AE1791</f>
        <v>77.162000000000006</v>
      </c>
      <c r="AF1790">
        <f>'raw data Crude oil'!AF1791</f>
        <v>76.91</v>
      </c>
      <c r="AG1790">
        <f>'raw data Crude oil'!AG1791</f>
        <v>76.64</v>
      </c>
      <c r="AH1790">
        <f>'raw data Crude oil'!AH1791</f>
        <v>76.367999999999995</v>
      </c>
      <c r="AI1790">
        <f>'raw data Crude oil'!AI1791</f>
        <v>76.096999999999994</v>
      </c>
      <c r="AJ1790">
        <f>'raw data Crude oil'!AJ1791</f>
        <v>75.747</v>
      </c>
      <c r="AK1790">
        <f>'raw data Crude oil'!AK1791</f>
        <v>75.387</v>
      </c>
    </row>
    <row r="1791" spans="1:37" x14ac:dyDescent="0.3">
      <c r="A1791" s="18">
        <f>'raw data Crude oil'!A1792</f>
        <v>45265</v>
      </c>
      <c r="B1791">
        <f>'raw data Crude oil'!B1792</f>
        <v>77.2</v>
      </c>
      <c r="C1791">
        <f>'raw data Crude oil'!C1792</f>
        <v>77.17</v>
      </c>
      <c r="D1791">
        <f>'raw data Crude oil'!D1792</f>
        <v>77.08</v>
      </c>
      <c r="E1791">
        <f>'raw data Crude oil'!E1792</f>
        <v>76.98</v>
      </c>
      <c r="F1791">
        <f>'raw data Crude oil'!F1792</f>
        <v>76.89</v>
      </c>
      <c r="G1791">
        <f>'raw data Crude oil'!G1792</f>
        <v>76.75</v>
      </c>
      <c r="H1791">
        <f>'raw data Crude oil'!H1792</f>
        <v>76.56</v>
      </c>
      <c r="I1791">
        <f>'raw data Crude oil'!I1792</f>
        <v>76.349999999999994</v>
      </c>
      <c r="J1791">
        <f>'raw data Crude oil'!J1792</f>
        <v>76.14</v>
      </c>
      <c r="K1791">
        <f>'raw data Crude oil'!K1792</f>
        <v>75.900000000000006</v>
      </c>
      <c r="L1791">
        <f>'raw data Crude oil'!L1792</f>
        <v>75.650000000000006</v>
      </c>
      <c r="M1791">
        <f>'raw data Crude oil'!M1792</f>
        <v>75.39</v>
      </c>
      <c r="N1791">
        <f>'raw data Crude oil'!N1792</f>
        <v>72.319999999999993</v>
      </c>
      <c r="O1791">
        <f>'raw data Crude oil'!O1792</f>
        <v>72.53</v>
      </c>
      <c r="P1791">
        <f>'raw data Crude oil'!P1792</f>
        <v>72.7</v>
      </c>
      <c r="Q1791">
        <f>'raw data Crude oil'!Q1792</f>
        <v>72.8</v>
      </c>
      <c r="R1791">
        <f>'raw data Crude oil'!R1792</f>
        <v>72.86</v>
      </c>
      <c r="S1791">
        <f>'raw data Crude oil'!S1792</f>
        <v>72.84</v>
      </c>
      <c r="T1791">
        <f>'raw data Crude oil'!T1792</f>
        <v>72.73</v>
      </c>
      <c r="U1791">
        <f>'raw data Crude oil'!U1792</f>
        <v>72.540000000000006</v>
      </c>
      <c r="V1791">
        <f>'raw data Crude oil'!V1792</f>
        <v>72.290000000000006</v>
      </c>
      <c r="W1791">
        <f>'raw data Crude oil'!W1792</f>
        <v>71.989999999999995</v>
      </c>
      <c r="X1791">
        <f>'raw data Crude oil'!X1792</f>
        <v>71.72</v>
      </c>
      <c r="Y1791">
        <f>'raw data Crude oil'!Y1792</f>
        <v>71.44</v>
      </c>
      <c r="Z1791">
        <f>'raw data Crude oil'!Z1792</f>
        <v>77.519000000000005</v>
      </c>
      <c r="AA1791">
        <f>'raw data Crude oil'!AA1792</f>
        <v>76.945999999999998</v>
      </c>
      <c r="AB1791">
        <f>'raw data Crude oil'!AB1792</f>
        <v>76.715000000000003</v>
      </c>
      <c r="AC1791">
        <f>'raw data Crude oil'!AC1792</f>
        <v>76.546000000000006</v>
      </c>
      <c r="AD1791">
        <f>'raw data Crude oil'!AD1792</f>
        <v>76.388999999999996</v>
      </c>
      <c r="AE1791">
        <f>'raw data Crude oil'!AE1792</f>
        <v>76.171999999999997</v>
      </c>
      <c r="AF1791">
        <f>'raw data Crude oil'!AF1792</f>
        <v>75.897000000000006</v>
      </c>
      <c r="AG1791">
        <f>'raw data Crude oil'!AG1792</f>
        <v>75.611000000000004</v>
      </c>
      <c r="AH1791">
        <f>'raw data Crude oil'!AH1792</f>
        <v>75.328999999999994</v>
      </c>
      <c r="AI1791">
        <f>'raw data Crude oil'!AI1792</f>
        <v>75.048000000000002</v>
      </c>
      <c r="AJ1791">
        <f>'raw data Crude oil'!AJ1792</f>
        <v>74.739000000000004</v>
      </c>
      <c r="AK1791">
        <f>'raw data Crude oil'!AK1792</f>
        <v>74.397999999999996</v>
      </c>
    </row>
    <row r="1792" spans="1:37" x14ac:dyDescent="0.3">
      <c r="A1792" s="18">
        <f>'raw data Crude oil'!A1793</f>
        <v>45266</v>
      </c>
      <c r="B1792">
        <f>'raw data Crude oil'!B1793</f>
        <v>74.3</v>
      </c>
      <c r="C1792">
        <f>'raw data Crude oil'!C1793</f>
        <v>74.45</v>
      </c>
      <c r="D1792">
        <f>'raw data Crude oil'!D1793</f>
        <v>74.489999999999995</v>
      </c>
      <c r="E1792">
        <f>'raw data Crude oil'!E1793</f>
        <v>74.5</v>
      </c>
      <c r="F1792">
        <f>'raw data Crude oil'!F1793</f>
        <v>74.510000000000005</v>
      </c>
      <c r="G1792">
        <f>'raw data Crude oil'!G1793</f>
        <v>74.459999999999994</v>
      </c>
      <c r="H1792">
        <f>'raw data Crude oil'!H1793</f>
        <v>74.34</v>
      </c>
      <c r="I1792">
        <f>'raw data Crude oil'!I1793</f>
        <v>74.2</v>
      </c>
      <c r="J1792">
        <f>'raw data Crude oil'!J1793</f>
        <v>74.040000000000006</v>
      </c>
      <c r="K1792">
        <f>'raw data Crude oil'!K1793</f>
        <v>73.86</v>
      </c>
      <c r="L1792">
        <f>'raw data Crude oil'!L1793</f>
        <v>73.66</v>
      </c>
      <c r="M1792">
        <f>'raw data Crude oil'!M1793</f>
        <v>73.459999999999994</v>
      </c>
      <c r="N1792">
        <f>'raw data Crude oil'!N1793</f>
        <v>69.38</v>
      </c>
      <c r="O1792">
        <f>'raw data Crude oil'!O1793</f>
        <v>69.650000000000006</v>
      </c>
      <c r="P1792">
        <f>'raw data Crude oil'!P1793</f>
        <v>69.91</v>
      </c>
      <c r="Q1792">
        <f>'raw data Crude oil'!Q1793</f>
        <v>70.12</v>
      </c>
      <c r="R1792">
        <f>'raw data Crude oil'!R1793</f>
        <v>70.28</v>
      </c>
      <c r="S1792">
        <f>'raw data Crude oil'!S1793</f>
        <v>70.34</v>
      </c>
      <c r="T1792">
        <f>'raw data Crude oil'!T1793</f>
        <v>70.31</v>
      </c>
      <c r="U1792">
        <f>'raw data Crude oil'!U1793</f>
        <v>70.180000000000007</v>
      </c>
      <c r="V1792">
        <f>'raw data Crude oil'!V1793</f>
        <v>70</v>
      </c>
      <c r="W1792">
        <f>'raw data Crude oil'!W1793</f>
        <v>69.77</v>
      </c>
      <c r="X1792">
        <f>'raw data Crude oil'!X1793</f>
        <v>69.55</v>
      </c>
      <c r="Y1792">
        <f>'raw data Crude oil'!Y1793</f>
        <v>69.34</v>
      </c>
      <c r="Z1792">
        <f>'raw data Crude oil'!Z1793</f>
        <v>75.516999999999996</v>
      </c>
      <c r="AA1792">
        <f>'raw data Crude oil'!AA1793</f>
        <v>74.481999999999999</v>
      </c>
      <c r="AB1792">
        <f>'raw data Crude oil'!AB1793</f>
        <v>74.314999999999998</v>
      </c>
      <c r="AC1792">
        <f>'raw data Crude oil'!AC1793</f>
        <v>74.244</v>
      </c>
      <c r="AD1792">
        <f>'raw data Crude oil'!AD1793</f>
        <v>74.173000000000002</v>
      </c>
      <c r="AE1792">
        <f>'raw data Crude oil'!AE1793</f>
        <v>74.043000000000006</v>
      </c>
      <c r="AF1792">
        <f>'raw data Crude oil'!AF1793</f>
        <v>73.840999999999994</v>
      </c>
      <c r="AG1792">
        <f>'raw data Crude oil'!AG1793</f>
        <v>73.590999999999994</v>
      </c>
      <c r="AH1792">
        <f>'raw data Crude oil'!AH1793</f>
        <v>73.39</v>
      </c>
      <c r="AI1792">
        <f>'raw data Crude oil'!AI1793</f>
        <v>73.168000000000006</v>
      </c>
      <c r="AJ1792">
        <f>'raw data Crude oil'!AJ1793</f>
        <v>72.921000000000006</v>
      </c>
      <c r="AK1792">
        <f>'raw data Crude oil'!AK1793</f>
        <v>72.64</v>
      </c>
    </row>
    <row r="1793" spans="1:37" x14ac:dyDescent="0.3">
      <c r="A1793" s="18">
        <f>'raw data Crude oil'!A1794</f>
        <v>45267</v>
      </c>
      <c r="B1793">
        <f>'raw data Crude oil'!B1794</f>
        <v>74.05</v>
      </c>
      <c r="C1793">
        <f>'raw data Crude oil'!C1794</f>
        <v>74.239999999999995</v>
      </c>
      <c r="D1793">
        <f>'raw data Crude oil'!D1794</f>
        <v>74.33</v>
      </c>
      <c r="E1793">
        <f>'raw data Crude oil'!E1794</f>
        <v>74.39</v>
      </c>
      <c r="F1793">
        <f>'raw data Crude oil'!F1794</f>
        <v>74.400000000000006</v>
      </c>
      <c r="G1793">
        <f>'raw data Crude oil'!G1794</f>
        <v>74.36</v>
      </c>
      <c r="H1793">
        <f>'raw data Crude oil'!H1794</f>
        <v>74.25</v>
      </c>
      <c r="I1793">
        <f>'raw data Crude oil'!I1794</f>
        <v>74.11</v>
      </c>
      <c r="J1793">
        <f>'raw data Crude oil'!J1794</f>
        <v>73.95</v>
      </c>
      <c r="K1793">
        <f>'raw data Crude oil'!K1794</f>
        <v>73.760000000000005</v>
      </c>
      <c r="L1793">
        <f>'raw data Crude oil'!L1794</f>
        <v>73.56</v>
      </c>
      <c r="M1793">
        <f>'raw data Crude oil'!M1794</f>
        <v>73.36</v>
      </c>
      <c r="N1793">
        <f>'raw data Crude oil'!N1794</f>
        <v>69.34</v>
      </c>
      <c r="O1793">
        <f>'raw data Crude oil'!O1794</f>
        <v>69.59</v>
      </c>
      <c r="P1793">
        <f>'raw data Crude oil'!P1794</f>
        <v>69.81</v>
      </c>
      <c r="Q1793">
        <f>'raw data Crude oil'!Q1794</f>
        <v>70</v>
      </c>
      <c r="R1793">
        <f>'raw data Crude oil'!R1794</f>
        <v>70.150000000000006</v>
      </c>
      <c r="S1793">
        <f>'raw data Crude oil'!S1794</f>
        <v>70.2</v>
      </c>
      <c r="T1793">
        <f>'raw data Crude oil'!T1794</f>
        <v>70.16</v>
      </c>
      <c r="U1793">
        <f>'raw data Crude oil'!U1794</f>
        <v>70.03</v>
      </c>
      <c r="V1793">
        <f>'raw data Crude oil'!V1794</f>
        <v>69.84</v>
      </c>
      <c r="W1793">
        <f>'raw data Crude oil'!W1794</f>
        <v>69.61</v>
      </c>
      <c r="X1793">
        <f>'raw data Crude oil'!X1794</f>
        <v>69.400000000000006</v>
      </c>
      <c r="Y1793">
        <f>'raw data Crude oil'!Y1794</f>
        <v>69.19</v>
      </c>
      <c r="Z1793">
        <f>'raw data Crude oil'!Z1794</f>
        <v>75.265000000000001</v>
      </c>
      <c r="AA1793">
        <f>'raw data Crude oil'!AA1794</f>
        <v>74.274000000000001</v>
      </c>
      <c r="AB1793">
        <f>'raw data Crude oil'!AB1794</f>
        <v>74.147999999999996</v>
      </c>
      <c r="AC1793">
        <f>'raw data Crude oil'!AC1794</f>
        <v>74.091999999999999</v>
      </c>
      <c r="AD1793">
        <f>'raw data Crude oil'!AD1794</f>
        <v>74.003</v>
      </c>
      <c r="AE1793">
        <f>'raw data Crude oil'!AE1794</f>
        <v>73.86</v>
      </c>
      <c r="AF1793">
        <f>'raw data Crude oil'!AF1794</f>
        <v>73.647999999999996</v>
      </c>
      <c r="AG1793">
        <f>'raw data Crude oil'!AG1794</f>
        <v>73.423000000000002</v>
      </c>
      <c r="AH1793">
        <f>'raw data Crude oil'!AH1794</f>
        <v>73.200999999999993</v>
      </c>
      <c r="AI1793">
        <f>'raw data Crude oil'!AI1794</f>
        <v>72.959999999999994</v>
      </c>
      <c r="AJ1793">
        <f>'raw data Crude oil'!AJ1794</f>
        <v>72.691000000000003</v>
      </c>
      <c r="AK1793">
        <f>'raw data Crude oil'!AK1794</f>
        <v>72.42</v>
      </c>
    </row>
    <row r="1794" spans="1:37" x14ac:dyDescent="0.3">
      <c r="A1794" s="18">
        <f>'raw data Crude oil'!A1795</f>
        <v>45268</v>
      </c>
      <c r="B1794">
        <f>'raw data Crude oil'!B1795</f>
        <v>75.84</v>
      </c>
      <c r="C1794">
        <f>'raw data Crude oil'!C1795</f>
        <v>76</v>
      </c>
      <c r="D1794">
        <f>'raw data Crude oil'!D1795</f>
        <v>76.03</v>
      </c>
      <c r="E1794">
        <f>'raw data Crude oil'!E1795</f>
        <v>76.02</v>
      </c>
      <c r="F1794">
        <f>'raw data Crude oil'!F1795</f>
        <v>75.97</v>
      </c>
      <c r="G1794">
        <f>'raw data Crude oil'!G1795</f>
        <v>75.87</v>
      </c>
      <c r="H1794">
        <f>'raw data Crude oil'!H1795</f>
        <v>75.72</v>
      </c>
      <c r="I1794">
        <f>'raw data Crude oil'!I1795</f>
        <v>75.52</v>
      </c>
      <c r="J1794">
        <f>'raw data Crude oil'!J1795</f>
        <v>75.31</v>
      </c>
      <c r="K1794">
        <f>'raw data Crude oil'!K1795</f>
        <v>75.09</v>
      </c>
      <c r="L1794">
        <f>'raw data Crude oil'!L1795</f>
        <v>74.849999999999994</v>
      </c>
      <c r="M1794">
        <f>'raw data Crude oil'!M1795</f>
        <v>74.61</v>
      </c>
      <c r="N1794">
        <f>'raw data Crude oil'!N1795</f>
        <v>71.23</v>
      </c>
      <c r="O1794">
        <f>'raw data Crude oil'!O1795</f>
        <v>71.44</v>
      </c>
      <c r="P1794">
        <f>'raw data Crude oil'!P1795</f>
        <v>71.58</v>
      </c>
      <c r="Q1794">
        <f>'raw data Crude oil'!Q1795</f>
        <v>71.69</v>
      </c>
      <c r="R1794">
        <f>'raw data Crude oil'!R1795</f>
        <v>71.760000000000005</v>
      </c>
      <c r="S1794">
        <f>'raw data Crude oil'!S1795</f>
        <v>71.75</v>
      </c>
      <c r="T1794">
        <f>'raw data Crude oil'!T1795</f>
        <v>71.66</v>
      </c>
      <c r="U1794">
        <f>'raw data Crude oil'!U1795</f>
        <v>71.489999999999995</v>
      </c>
      <c r="V1794">
        <f>'raw data Crude oil'!V1795</f>
        <v>71.25</v>
      </c>
      <c r="W1794">
        <f>'raw data Crude oil'!W1795</f>
        <v>70.98</v>
      </c>
      <c r="X1794">
        <f>'raw data Crude oil'!X1795</f>
        <v>70.739999999999995</v>
      </c>
      <c r="Y1794">
        <f>'raw data Crude oil'!Y1795</f>
        <v>70.48</v>
      </c>
      <c r="Z1794">
        <f>'raw data Crude oil'!Z1795</f>
        <v>76.677000000000007</v>
      </c>
      <c r="AA1794">
        <f>'raw data Crude oil'!AA1795</f>
        <v>76.027000000000001</v>
      </c>
      <c r="AB1794">
        <f>'raw data Crude oil'!AB1795</f>
        <v>75.855999999999995</v>
      </c>
      <c r="AC1794">
        <f>'raw data Crude oil'!AC1795</f>
        <v>75.712999999999994</v>
      </c>
      <c r="AD1794">
        <f>'raw data Crude oil'!AD1795</f>
        <v>75.563000000000002</v>
      </c>
      <c r="AE1794">
        <f>'raw data Crude oil'!AE1795</f>
        <v>75.363</v>
      </c>
      <c r="AF1794">
        <f>'raw data Crude oil'!AF1795</f>
        <v>75.099999999999994</v>
      </c>
      <c r="AG1794">
        <f>'raw data Crude oil'!AG1795</f>
        <v>74.831000000000003</v>
      </c>
      <c r="AH1794">
        <f>'raw data Crude oil'!AH1795</f>
        <v>74.55</v>
      </c>
      <c r="AI1794">
        <f>'raw data Crude oil'!AI1795</f>
        <v>74.278999999999996</v>
      </c>
      <c r="AJ1794">
        <f>'raw data Crude oil'!AJ1795</f>
        <v>74</v>
      </c>
      <c r="AK1794">
        <f>'raw data Crude oil'!AK1795</f>
        <v>73.698999999999998</v>
      </c>
    </row>
    <row r="1795" spans="1:37" x14ac:dyDescent="0.3">
      <c r="A1795" s="18">
        <f>'raw data Crude oil'!A1796</f>
        <v>45271</v>
      </c>
      <c r="B1795">
        <f>'raw data Crude oil'!B1796</f>
        <v>76.03</v>
      </c>
      <c r="C1795">
        <f>'raw data Crude oil'!C1796</f>
        <v>76.25</v>
      </c>
      <c r="D1795">
        <f>'raw data Crude oil'!D1796</f>
        <v>76.349999999999994</v>
      </c>
      <c r="E1795">
        <f>'raw data Crude oil'!E1796</f>
        <v>76.39</v>
      </c>
      <c r="F1795">
        <f>'raw data Crude oil'!F1796</f>
        <v>76.38</v>
      </c>
      <c r="G1795">
        <f>'raw data Crude oil'!G1796</f>
        <v>76.33</v>
      </c>
      <c r="H1795">
        <f>'raw data Crude oil'!H1796</f>
        <v>76.209999999999994</v>
      </c>
      <c r="I1795">
        <f>'raw data Crude oil'!I1796</f>
        <v>76.05</v>
      </c>
      <c r="J1795">
        <f>'raw data Crude oil'!J1796</f>
        <v>75.86</v>
      </c>
      <c r="K1795">
        <f>'raw data Crude oil'!K1796</f>
        <v>75.66</v>
      </c>
      <c r="L1795">
        <f>'raw data Crude oil'!L1796</f>
        <v>75.44</v>
      </c>
      <c r="M1795">
        <f>'raw data Crude oil'!M1796</f>
        <v>75.2</v>
      </c>
      <c r="N1795">
        <f>'raw data Crude oil'!N1796</f>
        <v>71.319999999999993</v>
      </c>
      <c r="O1795">
        <f>'raw data Crude oil'!O1796</f>
        <v>71.56</v>
      </c>
      <c r="P1795">
        <f>'raw data Crude oil'!P1796</f>
        <v>71.760000000000005</v>
      </c>
      <c r="Q1795">
        <f>'raw data Crude oil'!Q1796</f>
        <v>71.92</v>
      </c>
      <c r="R1795">
        <f>'raw data Crude oil'!R1796</f>
        <v>72.040000000000006</v>
      </c>
      <c r="S1795">
        <f>'raw data Crude oil'!S1796</f>
        <v>72.09</v>
      </c>
      <c r="T1795">
        <f>'raw data Crude oil'!T1796</f>
        <v>72.05</v>
      </c>
      <c r="U1795">
        <f>'raw data Crude oil'!U1796</f>
        <v>71.92</v>
      </c>
      <c r="V1795">
        <f>'raw data Crude oil'!V1796</f>
        <v>71.72</v>
      </c>
      <c r="W1795">
        <f>'raw data Crude oil'!W1796</f>
        <v>71.47</v>
      </c>
      <c r="X1795">
        <f>'raw data Crude oil'!X1796</f>
        <v>71.239999999999995</v>
      </c>
      <c r="Y1795">
        <f>'raw data Crude oil'!Y1796</f>
        <v>71</v>
      </c>
      <c r="Z1795">
        <f>'raw data Crude oil'!Z1796</f>
        <v>76.792000000000002</v>
      </c>
      <c r="AA1795">
        <f>'raw data Crude oil'!AA1796</f>
        <v>76.16</v>
      </c>
      <c r="AB1795">
        <f>'raw data Crude oil'!AB1796</f>
        <v>76.046999999999997</v>
      </c>
      <c r="AC1795">
        <f>'raw data Crude oil'!AC1796</f>
        <v>75.975999999999999</v>
      </c>
      <c r="AD1795">
        <f>'raw data Crude oil'!AD1796</f>
        <v>75.903000000000006</v>
      </c>
      <c r="AE1795">
        <f>'raw data Crude oil'!AE1796</f>
        <v>75.75</v>
      </c>
      <c r="AF1795">
        <f>'raw data Crude oil'!AF1796</f>
        <v>75.546999999999997</v>
      </c>
      <c r="AG1795">
        <f>'raw data Crude oil'!AG1796</f>
        <v>75.326999999999998</v>
      </c>
      <c r="AH1795">
        <f>'raw data Crude oil'!AH1796</f>
        <v>75.096000000000004</v>
      </c>
      <c r="AI1795">
        <f>'raw data Crude oil'!AI1796</f>
        <v>74.84</v>
      </c>
      <c r="AJ1795">
        <f>'raw data Crude oil'!AJ1796</f>
        <v>74.569999999999993</v>
      </c>
      <c r="AK1795">
        <f>'raw data Crude oil'!AK1796</f>
        <v>74.278999999999996</v>
      </c>
    </row>
    <row r="1796" spans="1:37" x14ac:dyDescent="0.3">
      <c r="A1796" s="18">
        <f>'raw data Crude oil'!A1797</f>
        <v>45272</v>
      </c>
      <c r="B1796">
        <f>'raw data Crude oil'!B1797</f>
        <v>73.239999999999995</v>
      </c>
      <c r="C1796">
        <f>'raw data Crude oil'!C1797</f>
        <v>73.52</v>
      </c>
      <c r="D1796">
        <f>'raw data Crude oil'!D1797</f>
        <v>73.7</v>
      </c>
      <c r="E1796">
        <f>'raw data Crude oil'!E1797</f>
        <v>73.849999999999994</v>
      </c>
      <c r="F1796">
        <f>'raw data Crude oil'!F1797</f>
        <v>73.94</v>
      </c>
      <c r="G1796">
        <f>'raw data Crude oil'!G1797</f>
        <v>73.959999999999994</v>
      </c>
      <c r="H1796">
        <f>'raw data Crude oil'!H1797</f>
        <v>73.91</v>
      </c>
      <c r="I1796">
        <f>'raw data Crude oil'!I1797</f>
        <v>73.8</v>
      </c>
      <c r="J1796">
        <f>'raw data Crude oil'!J1797</f>
        <v>73.66</v>
      </c>
      <c r="K1796">
        <f>'raw data Crude oil'!K1797</f>
        <v>73.489999999999995</v>
      </c>
      <c r="L1796">
        <f>'raw data Crude oil'!L1797</f>
        <v>73.31</v>
      </c>
      <c r="M1796">
        <f>'raw data Crude oil'!M1797</f>
        <v>73.11</v>
      </c>
      <c r="N1796">
        <f>'raw data Crude oil'!N1797</f>
        <v>68.61</v>
      </c>
      <c r="O1796">
        <f>'raw data Crude oil'!O1797</f>
        <v>68.849999999999994</v>
      </c>
      <c r="P1796">
        <f>'raw data Crude oil'!P1797</f>
        <v>69.09</v>
      </c>
      <c r="Q1796">
        <f>'raw data Crude oil'!Q1797</f>
        <v>69.31</v>
      </c>
      <c r="R1796">
        <f>'raw data Crude oil'!R1797</f>
        <v>69.510000000000005</v>
      </c>
      <c r="S1796">
        <f>'raw data Crude oil'!S1797</f>
        <v>69.66</v>
      </c>
      <c r="T1796">
        <f>'raw data Crude oil'!T1797</f>
        <v>69.709999999999994</v>
      </c>
      <c r="U1796">
        <f>'raw data Crude oil'!U1797</f>
        <v>69.66</v>
      </c>
      <c r="V1796">
        <f>'raw data Crude oil'!V1797</f>
        <v>69.5</v>
      </c>
      <c r="W1796">
        <f>'raw data Crude oil'!W1797</f>
        <v>69.3</v>
      </c>
      <c r="X1796">
        <f>'raw data Crude oil'!X1797</f>
        <v>69.11</v>
      </c>
      <c r="Y1796">
        <f>'raw data Crude oil'!Y1797</f>
        <v>68.92</v>
      </c>
      <c r="Z1796">
        <f>'raw data Crude oil'!Z1797</f>
        <v>74.759</v>
      </c>
      <c r="AA1796">
        <f>'raw data Crude oil'!AA1797</f>
        <v>72.981999999999999</v>
      </c>
      <c r="AB1796">
        <f>'raw data Crude oil'!AB1797</f>
        <v>73.150999999999996</v>
      </c>
      <c r="AC1796">
        <f>'raw data Crude oil'!AC1797</f>
        <v>73.275999999999996</v>
      </c>
      <c r="AD1796">
        <f>'raw data Crude oil'!AD1797</f>
        <v>73.338999999999999</v>
      </c>
      <c r="AE1796">
        <f>'raw data Crude oil'!AE1797</f>
        <v>73.319000000000003</v>
      </c>
      <c r="AF1796">
        <f>'raw data Crude oil'!AF1797</f>
        <v>73.215000000000003</v>
      </c>
      <c r="AG1796">
        <f>'raw data Crude oil'!AG1797</f>
        <v>73.084000000000003</v>
      </c>
      <c r="AH1796">
        <f>'raw data Crude oil'!AH1797</f>
        <v>72.902000000000001</v>
      </c>
      <c r="AI1796">
        <f>'raw data Crude oil'!AI1797</f>
        <v>72.680999999999997</v>
      </c>
      <c r="AJ1796">
        <f>'raw data Crude oil'!AJ1797</f>
        <v>72.450999999999993</v>
      </c>
      <c r="AK1796">
        <f>'raw data Crude oil'!AK1797</f>
        <v>72.19</v>
      </c>
    </row>
    <row r="1797" spans="1:37" x14ac:dyDescent="0.3">
      <c r="A1797" s="18">
        <f>'raw data Crude oil'!A1798</f>
        <v>45273</v>
      </c>
      <c r="B1797">
        <f>'raw data Crude oil'!B1798</f>
        <v>74.260000000000005</v>
      </c>
      <c r="C1797">
        <f>'raw data Crude oil'!C1798</f>
        <v>74.510000000000005</v>
      </c>
      <c r="D1797">
        <f>'raw data Crude oil'!D1798</f>
        <v>74.709999999999994</v>
      </c>
      <c r="E1797">
        <f>'raw data Crude oil'!E1798</f>
        <v>74.87</v>
      </c>
      <c r="F1797">
        <f>'raw data Crude oil'!F1798</f>
        <v>74.959999999999994</v>
      </c>
      <c r="G1797">
        <f>'raw data Crude oil'!G1798</f>
        <v>75</v>
      </c>
      <c r="H1797">
        <f>'raw data Crude oil'!H1798</f>
        <v>74.959999999999994</v>
      </c>
      <c r="I1797">
        <f>'raw data Crude oil'!I1798</f>
        <v>74.849999999999994</v>
      </c>
      <c r="J1797">
        <f>'raw data Crude oil'!J1798</f>
        <v>74.709999999999994</v>
      </c>
      <c r="K1797">
        <f>'raw data Crude oil'!K1798</f>
        <v>74.540000000000006</v>
      </c>
      <c r="L1797">
        <f>'raw data Crude oil'!L1798</f>
        <v>74.349999999999994</v>
      </c>
      <c r="M1797">
        <f>'raw data Crude oil'!M1798</f>
        <v>74.14</v>
      </c>
      <c r="N1797">
        <f>'raw data Crude oil'!N1798</f>
        <v>69.47</v>
      </c>
      <c r="O1797">
        <f>'raw data Crude oil'!O1798</f>
        <v>69.72</v>
      </c>
      <c r="P1797">
        <f>'raw data Crude oil'!P1798</f>
        <v>69.98</v>
      </c>
      <c r="Q1797">
        <f>'raw data Crude oil'!Q1798</f>
        <v>70.239999999999995</v>
      </c>
      <c r="R1797">
        <f>'raw data Crude oil'!R1798</f>
        <v>70.489999999999995</v>
      </c>
      <c r="S1797">
        <f>'raw data Crude oil'!S1798</f>
        <v>70.650000000000006</v>
      </c>
      <c r="T1797">
        <f>'raw data Crude oil'!T1798</f>
        <v>70.72</v>
      </c>
      <c r="U1797">
        <f>'raw data Crude oil'!U1798</f>
        <v>70.680000000000007</v>
      </c>
      <c r="V1797">
        <f>'raw data Crude oil'!V1798</f>
        <v>70.540000000000006</v>
      </c>
      <c r="W1797">
        <f>'raw data Crude oil'!W1798</f>
        <v>70.349999999999994</v>
      </c>
      <c r="X1797">
        <f>'raw data Crude oil'!X1798</f>
        <v>70.16</v>
      </c>
      <c r="Y1797">
        <f>'raw data Crude oil'!Y1798</f>
        <v>69.95</v>
      </c>
      <c r="Z1797">
        <f>'raw data Crude oil'!Z1798</f>
        <v>75.022000000000006</v>
      </c>
      <c r="AA1797">
        <f>'raw data Crude oil'!AA1798</f>
        <v>73.731999999999999</v>
      </c>
      <c r="AB1797">
        <f>'raw data Crude oil'!AB1798</f>
        <v>73.971000000000004</v>
      </c>
      <c r="AC1797">
        <f>'raw data Crude oil'!AC1798</f>
        <v>74.134</v>
      </c>
      <c r="AD1797">
        <f>'raw data Crude oil'!AD1798</f>
        <v>74.227000000000004</v>
      </c>
      <c r="AE1797">
        <f>'raw data Crude oil'!AE1798</f>
        <v>74.248000000000005</v>
      </c>
      <c r="AF1797">
        <f>'raw data Crude oil'!AF1798</f>
        <v>74.17</v>
      </c>
      <c r="AG1797">
        <f>'raw data Crude oil'!AG1798</f>
        <v>74.054000000000002</v>
      </c>
      <c r="AH1797">
        <f>'raw data Crude oil'!AH1798</f>
        <v>73.891999999999996</v>
      </c>
      <c r="AI1797">
        <f>'raw data Crude oil'!AI1798</f>
        <v>73.691000000000003</v>
      </c>
      <c r="AJ1797">
        <f>'raw data Crude oil'!AJ1798</f>
        <v>73.471000000000004</v>
      </c>
      <c r="AK1797">
        <f>'raw data Crude oil'!AK1798</f>
        <v>73.239999999999995</v>
      </c>
    </row>
    <row r="1798" spans="1:37" x14ac:dyDescent="0.3">
      <c r="A1798" s="18">
        <f>'raw data Crude oil'!A1799</f>
        <v>45274</v>
      </c>
      <c r="B1798">
        <f>'raw data Crude oil'!B1799</f>
        <v>76.61</v>
      </c>
      <c r="C1798">
        <f>'raw data Crude oil'!C1799</f>
        <v>76.849999999999994</v>
      </c>
      <c r="D1798">
        <f>'raw data Crude oil'!D1799</f>
        <v>77.010000000000005</v>
      </c>
      <c r="E1798">
        <f>'raw data Crude oil'!E1799</f>
        <v>77.099999999999994</v>
      </c>
      <c r="F1798">
        <f>'raw data Crude oil'!F1799</f>
        <v>77.12</v>
      </c>
      <c r="G1798">
        <f>'raw data Crude oil'!G1799</f>
        <v>77.09</v>
      </c>
      <c r="H1798">
        <f>'raw data Crude oil'!H1799</f>
        <v>76.989999999999995</v>
      </c>
      <c r="I1798">
        <f>'raw data Crude oil'!I1799</f>
        <v>76.819999999999993</v>
      </c>
      <c r="J1798">
        <f>'raw data Crude oil'!J1799</f>
        <v>76.63</v>
      </c>
      <c r="K1798">
        <f>'raw data Crude oil'!K1799</f>
        <v>76.42</v>
      </c>
      <c r="L1798">
        <f>'raw data Crude oil'!L1799</f>
        <v>76.19</v>
      </c>
      <c r="M1798">
        <f>'raw data Crude oil'!M1799</f>
        <v>75.930000000000007</v>
      </c>
      <c r="N1798">
        <f>'raw data Crude oil'!N1799</f>
        <v>71.58</v>
      </c>
      <c r="O1798">
        <f>'raw data Crude oil'!O1799</f>
        <v>71.91</v>
      </c>
      <c r="P1798">
        <f>'raw data Crude oil'!P1799</f>
        <v>72.209999999999994</v>
      </c>
      <c r="Q1798">
        <f>'raw data Crude oil'!Q1799</f>
        <v>72.45</v>
      </c>
      <c r="R1798">
        <f>'raw data Crude oil'!R1799</f>
        <v>72.66</v>
      </c>
      <c r="S1798">
        <f>'raw data Crude oil'!S1799</f>
        <v>72.77</v>
      </c>
      <c r="T1798">
        <f>'raw data Crude oil'!T1799</f>
        <v>72.77</v>
      </c>
      <c r="U1798">
        <f>'raw data Crude oil'!U1799</f>
        <v>72.67</v>
      </c>
      <c r="V1798">
        <f>'raw data Crude oil'!V1799</f>
        <v>72.48</v>
      </c>
      <c r="W1798">
        <f>'raw data Crude oil'!W1799</f>
        <v>72.239999999999995</v>
      </c>
      <c r="X1798">
        <f>'raw data Crude oil'!X1799</f>
        <v>72.02</v>
      </c>
      <c r="Y1798">
        <f>'raw data Crude oil'!Y1799</f>
        <v>71.75</v>
      </c>
      <c r="Z1798">
        <f>'raw data Crude oil'!Z1799</f>
        <v>76.332999999999998</v>
      </c>
      <c r="AA1798">
        <f>'raw data Crude oil'!AA1799</f>
        <v>76.272000000000006</v>
      </c>
      <c r="AB1798">
        <f>'raw data Crude oil'!AB1799</f>
        <v>76.328999999999994</v>
      </c>
      <c r="AC1798">
        <f>'raw data Crude oil'!AC1799</f>
        <v>76.382999999999996</v>
      </c>
      <c r="AD1798">
        <f>'raw data Crude oil'!AD1799</f>
        <v>76.353999999999999</v>
      </c>
      <c r="AE1798">
        <f>'raw data Crude oil'!AE1799</f>
        <v>76.290999999999997</v>
      </c>
      <c r="AF1798">
        <f>'raw data Crude oil'!AF1799</f>
        <v>76.156999999999996</v>
      </c>
      <c r="AG1798">
        <f>'raw data Crude oil'!AG1799</f>
        <v>75.977000000000004</v>
      </c>
      <c r="AH1798">
        <f>'raw data Crude oil'!AH1799</f>
        <v>75.765000000000001</v>
      </c>
      <c r="AI1798">
        <f>'raw data Crude oil'!AI1799</f>
        <v>75.549000000000007</v>
      </c>
      <c r="AJ1798">
        <f>'raw data Crude oil'!AJ1799</f>
        <v>75.278999999999996</v>
      </c>
      <c r="AK1798">
        <f>'raw data Crude oil'!AK1799</f>
        <v>74.977999999999994</v>
      </c>
    </row>
    <row r="1799" spans="1:37" x14ac:dyDescent="0.3">
      <c r="A1799" s="18">
        <f>'raw data Crude oil'!A1800</f>
        <v>45275</v>
      </c>
      <c r="B1799">
        <f>'raw data Crude oil'!B1800</f>
        <v>76.55</v>
      </c>
      <c r="C1799">
        <f>'raw data Crude oil'!C1800</f>
        <v>76.760000000000005</v>
      </c>
      <c r="D1799">
        <f>'raw data Crude oil'!D1800</f>
        <v>76.92</v>
      </c>
      <c r="E1799">
        <f>'raw data Crude oil'!E1800</f>
        <v>77.010000000000005</v>
      </c>
      <c r="F1799">
        <f>'raw data Crude oil'!F1800</f>
        <v>77.03</v>
      </c>
      <c r="G1799">
        <f>'raw data Crude oil'!G1800</f>
        <v>76.989999999999995</v>
      </c>
      <c r="H1799">
        <f>'raw data Crude oil'!H1800</f>
        <v>76.87</v>
      </c>
      <c r="I1799">
        <f>'raw data Crude oil'!I1800</f>
        <v>76.69</v>
      </c>
      <c r="J1799">
        <f>'raw data Crude oil'!J1800</f>
        <v>76.489999999999995</v>
      </c>
      <c r="K1799">
        <f>'raw data Crude oil'!K1800</f>
        <v>76.28</v>
      </c>
      <c r="L1799">
        <f>'raw data Crude oil'!L1800</f>
        <v>76.05</v>
      </c>
      <c r="M1799">
        <f>'raw data Crude oil'!M1800</f>
        <v>75.790000000000006</v>
      </c>
      <c r="N1799">
        <f>'raw data Crude oil'!N1800</f>
        <v>71.430000000000007</v>
      </c>
      <c r="O1799">
        <f>'raw data Crude oil'!O1800</f>
        <v>71.78</v>
      </c>
      <c r="P1799">
        <f>'raw data Crude oil'!P1800</f>
        <v>72.05</v>
      </c>
      <c r="Q1799">
        <f>'raw data Crude oil'!Q1800</f>
        <v>72.31</v>
      </c>
      <c r="R1799">
        <f>'raw data Crude oil'!R1800</f>
        <v>72.53</v>
      </c>
      <c r="S1799">
        <f>'raw data Crude oil'!S1800</f>
        <v>72.650000000000006</v>
      </c>
      <c r="T1799">
        <f>'raw data Crude oil'!T1800</f>
        <v>72.650000000000006</v>
      </c>
      <c r="U1799">
        <f>'raw data Crude oil'!U1800</f>
        <v>72.55</v>
      </c>
      <c r="V1799">
        <f>'raw data Crude oil'!V1800</f>
        <v>72.36</v>
      </c>
      <c r="W1799">
        <f>'raw data Crude oil'!W1800</f>
        <v>72.12</v>
      </c>
      <c r="X1799">
        <f>'raw data Crude oil'!X1800</f>
        <v>71.87</v>
      </c>
      <c r="Y1799">
        <f>'raw data Crude oil'!Y1800</f>
        <v>71.599999999999994</v>
      </c>
      <c r="Z1799">
        <f>'raw data Crude oil'!Z1800</f>
        <v>76.242999999999995</v>
      </c>
      <c r="AA1799">
        <f>'raw data Crude oil'!AA1800</f>
        <v>76.069000000000003</v>
      </c>
      <c r="AB1799">
        <f>'raw data Crude oil'!AB1800</f>
        <v>76.119</v>
      </c>
      <c r="AC1799">
        <f>'raw data Crude oil'!AC1800</f>
        <v>76.198999999999998</v>
      </c>
      <c r="AD1799">
        <f>'raw data Crude oil'!AD1800</f>
        <v>76.207999999999998</v>
      </c>
      <c r="AE1799">
        <f>'raw data Crude oil'!AE1800</f>
        <v>76.150000000000006</v>
      </c>
      <c r="AF1799">
        <f>'raw data Crude oil'!AF1800</f>
        <v>75.995999999999995</v>
      </c>
      <c r="AG1799">
        <f>'raw data Crude oil'!AG1800</f>
        <v>75.801000000000002</v>
      </c>
      <c r="AH1799">
        <f>'raw data Crude oil'!AH1800</f>
        <v>75.599999999999994</v>
      </c>
      <c r="AI1799">
        <f>'raw data Crude oil'!AI1800</f>
        <v>75.379000000000005</v>
      </c>
      <c r="AJ1799">
        <f>'raw data Crude oil'!AJ1800</f>
        <v>75.138999999999996</v>
      </c>
      <c r="AK1799">
        <f>'raw data Crude oil'!AK1800</f>
        <v>74.847999999999999</v>
      </c>
    </row>
    <row r="1800" spans="1:37" x14ac:dyDescent="0.3">
      <c r="A1800" s="18">
        <f>'raw data Crude oil'!A1801</f>
        <v>45278</v>
      </c>
      <c r="B1800">
        <f>'raw data Crude oil'!B1801</f>
        <v>77.95</v>
      </c>
      <c r="C1800">
        <f>'raw data Crude oil'!C1801</f>
        <v>78.11</v>
      </c>
      <c r="D1800">
        <f>'raw data Crude oil'!D1801</f>
        <v>78.209999999999994</v>
      </c>
      <c r="E1800">
        <f>'raw data Crude oil'!E1801</f>
        <v>78.28</v>
      </c>
      <c r="F1800">
        <f>'raw data Crude oil'!F1801</f>
        <v>78.27</v>
      </c>
      <c r="G1800">
        <f>'raw data Crude oil'!G1801</f>
        <v>78.19</v>
      </c>
      <c r="H1800">
        <f>'raw data Crude oil'!H1801</f>
        <v>78.03</v>
      </c>
      <c r="I1800">
        <f>'raw data Crude oil'!I1801</f>
        <v>77.8</v>
      </c>
      <c r="J1800">
        <f>'raw data Crude oil'!J1801</f>
        <v>77.55</v>
      </c>
      <c r="K1800">
        <f>'raw data Crude oil'!K1801</f>
        <v>77.3</v>
      </c>
      <c r="L1800">
        <f>'raw data Crude oil'!L1801</f>
        <v>77.040000000000006</v>
      </c>
      <c r="M1800">
        <f>'raw data Crude oil'!M1801</f>
        <v>76.739999999999995</v>
      </c>
      <c r="N1800">
        <f>'raw data Crude oil'!N1801</f>
        <v>72.47</v>
      </c>
      <c r="O1800">
        <f>'raw data Crude oil'!O1801</f>
        <v>72.819999999999993</v>
      </c>
      <c r="P1800">
        <f>'raw data Crude oil'!P1801</f>
        <v>73.099999999999994</v>
      </c>
      <c r="Q1800">
        <f>'raw data Crude oil'!Q1801</f>
        <v>73.349999999999994</v>
      </c>
      <c r="R1800">
        <f>'raw data Crude oil'!R1801</f>
        <v>73.56</v>
      </c>
      <c r="S1800">
        <f>'raw data Crude oil'!S1801</f>
        <v>73.67</v>
      </c>
      <c r="T1800">
        <f>'raw data Crude oil'!T1801</f>
        <v>73.66</v>
      </c>
      <c r="U1800">
        <f>'raw data Crude oil'!U1801</f>
        <v>73.53</v>
      </c>
      <c r="V1800">
        <f>'raw data Crude oil'!V1801</f>
        <v>73.3</v>
      </c>
      <c r="W1800">
        <f>'raw data Crude oil'!W1801</f>
        <v>73.02</v>
      </c>
      <c r="X1800">
        <f>'raw data Crude oil'!X1801</f>
        <v>72.739999999999995</v>
      </c>
      <c r="Y1800">
        <f>'raw data Crude oil'!Y1801</f>
        <v>72.430000000000007</v>
      </c>
      <c r="Z1800">
        <f>'raw data Crude oil'!Z1801</f>
        <v>76.748999999999995</v>
      </c>
      <c r="AA1800">
        <f>'raw data Crude oil'!AA1801</f>
        <v>77.305000000000007</v>
      </c>
      <c r="AB1800">
        <f>'raw data Crude oil'!AB1801</f>
        <v>77.343000000000004</v>
      </c>
      <c r="AC1800">
        <f>'raw data Crude oil'!AC1801</f>
        <v>77.41</v>
      </c>
      <c r="AD1800">
        <f>'raw data Crude oil'!AD1801</f>
        <v>77.385999999999996</v>
      </c>
      <c r="AE1800">
        <f>'raw data Crude oil'!AE1801</f>
        <v>77.308000000000007</v>
      </c>
      <c r="AF1800">
        <f>'raw data Crude oil'!AF1801</f>
        <v>77.119</v>
      </c>
      <c r="AG1800">
        <f>'raw data Crude oil'!AG1801</f>
        <v>76.879000000000005</v>
      </c>
      <c r="AH1800">
        <f>'raw data Crude oil'!AH1801</f>
        <v>76.629000000000005</v>
      </c>
      <c r="AI1800">
        <f>'raw data Crude oil'!AI1801</f>
        <v>76.358000000000004</v>
      </c>
      <c r="AJ1800">
        <f>'raw data Crude oil'!AJ1801</f>
        <v>76.066999999999993</v>
      </c>
      <c r="AK1800">
        <f>'raw data Crude oil'!AK1801</f>
        <v>75.745999999999995</v>
      </c>
    </row>
    <row r="1801" spans="1:37" x14ac:dyDescent="0.3">
      <c r="A1801" s="18">
        <f>'raw data Crude oil'!A1802</f>
        <v>45279</v>
      </c>
      <c r="B1801">
        <f>'raw data Crude oil'!B1802</f>
        <v>79.23</v>
      </c>
      <c r="C1801">
        <f>'raw data Crude oil'!C1802</f>
        <v>79.37</v>
      </c>
      <c r="D1801">
        <f>'raw data Crude oil'!D1802</f>
        <v>79.41</v>
      </c>
      <c r="E1801">
        <f>'raw data Crude oil'!E1802</f>
        <v>79.44</v>
      </c>
      <c r="F1801">
        <f>'raw data Crude oil'!F1802</f>
        <v>79.39</v>
      </c>
      <c r="G1801">
        <f>'raw data Crude oil'!G1802</f>
        <v>79.27</v>
      </c>
      <c r="H1801">
        <f>'raw data Crude oil'!H1802</f>
        <v>79.069999999999993</v>
      </c>
      <c r="I1801">
        <f>'raw data Crude oil'!I1802</f>
        <v>78.81</v>
      </c>
      <c r="J1801">
        <f>'raw data Crude oil'!J1802</f>
        <v>78.540000000000006</v>
      </c>
      <c r="K1801">
        <f>'raw data Crude oil'!K1802</f>
        <v>78.260000000000005</v>
      </c>
      <c r="L1801">
        <f>'raw data Crude oil'!L1802</f>
        <v>77.97</v>
      </c>
      <c r="M1801">
        <f>'raw data Crude oil'!M1802</f>
        <v>77.650000000000006</v>
      </c>
      <c r="N1801">
        <f>'raw data Crude oil'!N1802</f>
        <v>73.44</v>
      </c>
      <c r="O1801">
        <f>'raw data Crude oil'!O1802</f>
        <v>73.94</v>
      </c>
      <c r="P1801">
        <f>'raw data Crude oil'!P1802</f>
        <v>74.209999999999994</v>
      </c>
      <c r="Q1801">
        <f>'raw data Crude oil'!Q1802</f>
        <v>74.44</v>
      </c>
      <c r="R1801">
        <f>'raw data Crude oil'!R1802</f>
        <v>74.62</v>
      </c>
      <c r="S1801">
        <f>'raw data Crude oil'!S1802</f>
        <v>74.69</v>
      </c>
      <c r="T1801">
        <f>'raw data Crude oil'!T1802</f>
        <v>74.650000000000006</v>
      </c>
      <c r="U1801">
        <f>'raw data Crude oil'!U1802</f>
        <v>74.48</v>
      </c>
      <c r="V1801">
        <f>'raw data Crude oil'!V1802</f>
        <v>74.23</v>
      </c>
      <c r="W1801">
        <f>'raw data Crude oil'!W1802</f>
        <v>73.94</v>
      </c>
      <c r="X1801">
        <f>'raw data Crude oil'!X1802</f>
        <v>73.650000000000006</v>
      </c>
      <c r="Y1801">
        <f>'raw data Crude oil'!Y1802</f>
        <v>73.319999999999993</v>
      </c>
      <c r="Z1801">
        <f>'raw data Crude oil'!Z1802</f>
        <v>77.2</v>
      </c>
      <c r="AA1801">
        <f>'raw data Crude oil'!AA1802</f>
        <v>78.641000000000005</v>
      </c>
      <c r="AB1801">
        <f>'raw data Crude oil'!AB1802</f>
        <v>78.590999999999994</v>
      </c>
      <c r="AC1801">
        <f>'raw data Crude oil'!AC1802</f>
        <v>78.620999999999995</v>
      </c>
      <c r="AD1801">
        <f>'raw data Crude oil'!AD1802</f>
        <v>78.536000000000001</v>
      </c>
      <c r="AE1801">
        <f>'raw data Crude oil'!AE1802</f>
        <v>78.391000000000005</v>
      </c>
      <c r="AF1801">
        <f>'raw data Crude oil'!AF1802</f>
        <v>78.167000000000002</v>
      </c>
      <c r="AG1801">
        <f>'raw data Crude oil'!AG1802</f>
        <v>77.897999999999996</v>
      </c>
      <c r="AH1801">
        <f>'raw data Crude oil'!AH1802</f>
        <v>77.637</v>
      </c>
      <c r="AI1801">
        <f>'raw data Crude oil'!AI1802</f>
        <v>77.346000000000004</v>
      </c>
      <c r="AJ1801">
        <f>'raw data Crude oil'!AJ1802</f>
        <v>77.025999999999996</v>
      </c>
      <c r="AK1801">
        <f>'raw data Crude oil'!AK1802</f>
        <v>76.694999999999993</v>
      </c>
    </row>
    <row r="1802" spans="1:37" x14ac:dyDescent="0.3">
      <c r="A1802" s="18">
        <f>'raw data Crude oil'!A1803</f>
        <v>45280</v>
      </c>
      <c r="B1802">
        <f>'raw data Crude oil'!B1803</f>
        <v>79.7</v>
      </c>
      <c r="C1802">
        <f>'raw data Crude oil'!C1803</f>
        <v>79.66</v>
      </c>
      <c r="D1802">
        <f>'raw data Crude oil'!D1803</f>
        <v>79.59</v>
      </c>
      <c r="E1802">
        <f>'raw data Crude oil'!E1803</f>
        <v>79.52</v>
      </c>
      <c r="F1802">
        <f>'raw data Crude oil'!F1803</f>
        <v>79.42</v>
      </c>
      <c r="G1802">
        <f>'raw data Crude oil'!G1803</f>
        <v>79.260000000000005</v>
      </c>
      <c r="H1802">
        <f>'raw data Crude oil'!H1803</f>
        <v>79.02</v>
      </c>
      <c r="I1802">
        <f>'raw data Crude oil'!I1803</f>
        <v>78.73</v>
      </c>
      <c r="J1802">
        <f>'raw data Crude oil'!J1803</f>
        <v>78.430000000000007</v>
      </c>
      <c r="K1802">
        <f>'raw data Crude oil'!K1803</f>
        <v>78.13</v>
      </c>
      <c r="L1802">
        <f>'raw data Crude oil'!L1803</f>
        <v>77.83</v>
      </c>
      <c r="M1802">
        <f>'raw data Crude oil'!M1803</f>
        <v>77.489999999999995</v>
      </c>
      <c r="N1802">
        <f>'raw data Crude oil'!N1803</f>
        <v>74.22</v>
      </c>
      <c r="O1802">
        <f>'raw data Crude oil'!O1803</f>
        <v>74.45</v>
      </c>
      <c r="P1802">
        <f>'raw data Crude oil'!P1803</f>
        <v>74.62</v>
      </c>
      <c r="Q1802">
        <f>'raw data Crude oil'!Q1803</f>
        <v>74.73</v>
      </c>
      <c r="R1802">
        <f>'raw data Crude oil'!R1803</f>
        <v>74.739999999999995</v>
      </c>
      <c r="S1802">
        <f>'raw data Crude oil'!S1803</f>
        <v>74.63</v>
      </c>
      <c r="T1802">
        <f>'raw data Crude oil'!T1803</f>
        <v>74.42</v>
      </c>
      <c r="U1802">
        <f>'raw data Crude oil'!U1803</f>
        <v>74.14</v>
      </c>
      <c r="V1802">
        <f>'raw data Crude oil'!V1803</f>
        <v>73.819999999999993</v>
      </c>
      <c r="W1802">
        <f>'raw data Crude oil'!W1803</f>
        <v>73.5</v>
      </c>
      <c r="X1802">
        <f>'raw data Crude oil'!X1803</f>
        <v>73.17</v>
      </c>
      <c r="Y1802">
        <f>'raw data Crude oil'!Y1803</f>
        <v>72.8</v>
      </c>
      <c r="Z1802">
        <f>'raw data Crude oil'!Z1803</f>
        <v>77.323999999999998</v>
      </c>
      <c r="AA1802">
        <f>'raw data Crude oil'!AA1803</f>
        <v>78.959999999999994</v>
      </c>
      <c r="AB1802">
        <f>'raw data Crude oil'!AB1803</f>
        <v>78.849999999999994</v>
      </c>
      <c r="AC1802">
        <f>'raw data Crude oil'!AC1803</f>
        <v>78.790000000000006</v>
      </c>
      <c r="AD1802">
        <f>'raw data Crude oil'!AD1803</f>
        <v>78.650999999999996</v>
      </c>
      <c r="AE1802">
        <f>'raw data Crude oil'!AE1803</f>
        <v>78.447999999999993</v>
      </c>
      <c r="AF1802">
        <f>'raw data Crude oil'!AF1803</f>
        <v>78.156000000000006</v>
      </c>
      <c r="AG1802">
        <f>'raw data Crude oil'!AG1803</f>
        <v>77.861999999999995</v>
      </c>
      <c r="AH1802">
        <f>'raw data Crude oil'!AH1803</f>
        <v>77.566000000000003</v>
      </c>
      <c r="AI1802">
        <f>'raw data Crude oil'!AI1803</f>
        <v>77.256</v>
      </c>
      <c r="AJ1802">
        <f>'raw data Crude oil'!AJ1803</f>
        <v>76.944999999999993</v>
      </c>
      <c r="AK1802">
        <f>'raw data Crude oil'!AK1803</f>
        <v>76.584999999999994</v>
      </c>
    </row>
    <row r="1803" spans="1:37" x14ac:dyDescent="0.3">
      <c r="A1803" s="18">
        <f>'raw data Crude oil'!A1804</f>
        <v>45281</v>
      </c>
      <c r="B1803">
        <f>'raw data Crude oil'!B1804</f>
        <v>79.39</v>
      </c>
      <c r="C1803">
        <f>'raw data Crude oil'!C1804</f>
        <v>79.16</v>
      </c>
      <c r="D1803">
        <f>'raw data Crude oil'!D1804</f>
        <v>79</v>
      </c>
      <c r="E1803">
        <f>'raw data Crude oil'!E1804</f>
        <v>78.900000000000006</v>
      </c>
      <c r="F1803">
        <f>'raw data Crude oil'!F1804</f>
        <v>78.790000000000006</v>
      </c>
      <c r="G1803">
        <f>'raw data Crude oil'!G1804</f>
        <v>78.62</v>
      </c>
      <c r="H1803">
        <f>'raw data Crude oil'!H1804</f>
        <v>78.39</v>
      </c>
      <c r="I1803">
        <f>'raw data Crude oil'!I1804</f>
        <v>78.099999999999994</v>
      </c>
      <c r="J1803">
        <f>'raw data Crude oil'!J1804</f>
        <v>77.81</v>
      </c>
      <c r="K1803">
        <f>'raw data Crude oil'!K1804</f>
        <v>77.52</v>
      </c>
      <c r="L1803">
        <f>'raw data Crude oil'!L1804</f>
        <v>77.22</v>
      </c>
      <c r="M1803">
        <f>'raw data Crude oil'!M1804</f>
        <v>76.89</v>
      </c>
      <c r="N1803">
        <f>'raw data Crude oil'!N1804</f>
        <v>73.89</v>
      </c>
      <c r="O1803">
        <f>'raw data Crude oil'!O1804</f>
        <v>74.06</v>
      </c>
      <c r="P1803">
        <f>'raw data Crude oil'!P1804</f>
        <v>74.180000000000007</v>
      </c>
      <c r="Q1803">
        <f>'raw data Crude oil'!Q1804</f>
        <v>74.239999999999995</v>
      </c>
      <c r="R1803">
        <f>'raw data Crude oil'!R1804</f>
        <v>74.2</v>
      </c>
      <c r="S1803">
        <f>'raw data Crude oil'!S1804</f>
        <v>74.06</v>
      </c>
      <c r="T1803">
        <f>'raw data Crude oil'!T1804</f>
        <v>73.83</v>
      </c>
      <c r="U1803">
        <f>'raw data Crude oil'!U1804</f>
        <v>73.55</v>
      </c>
      <c r="V1803">
        <f>'raw data Crude oil'!V1804</f>
        <v>73.23</v>
      </c>
      <c r="W1803">
        <f>'raw data Crude oil'!W1804</f>
        <v>72.91</v>
      </c>
      <c r="X1803">
        <f>'raw data Crude oil'!X1804</f>
        <v>72.569999999999993</v>
      </c>
      <c r="Y1803">
        <f>'raw data Crude oil'!Y1804</f>
        <v>72.209999999999994</v>
      </c>
      <c r="Z1803">
        <f>'raw data Crude oil'!Z1804</f>
        <v>77.301000000000002</v>
      </c>
      <c r="AA1803">
        <f>'raw data Crude oil'!AA1804</f>
        <v>78.709999999999994</v>
      </c>
      <c r="AB1803">
        <f>'raw data Crude oil'!AB1804</f>
        <v>78.417000000000002</v>
      </c>
      <c r="AC1803">
        <f>'raw data Crude oil'!AC1804</f>
        <v>78.277000000000001</v>
      </c>
      <c r="AD1803">
        <f>'raw data Crude oil'!AD1804</f>
        <v>78.096999999999994</v>
      </c>
      <c r="AE1803">
        <f>'raw data Crude oil'!AE1804</f>
        <v>77.87</v>
      </c>
      <c r="AF1803">
        <f>'raw data Crude oil'!AF1804</f>
        <v>77.575999999999993</v>
      </c>
      <c r="AG1803">
        <f>'raw data Crude oil'!AG1804</f>
        <v>77.257000000000005</v>
      </c>
      <c r="AH1803">
        <f>'raw data Crude oil'!AH1804</f>
        <v>76.977000000000004</v>
      </c>
      <c r="AI1803">
        <f>'raw data Crude oil'!AI1804</f>
        <v>76.665999999999997</v>
      </c>
      <c r="AJ1803">
        <f>'raw data Crude oil'!AJ1804</f>
        <v>76.346000000000004</v>
      </c>
      <c r="AK1803">
        <f>'raw data Crude oil'!AK1804</f>
        <v>75.984999999999999</v>
      </c>
    </row>
    <row r="1804" spans="1:37" x14ac:dyDescent="0.3">
      <c r="A1804" s="18">
        <f>'raw data Crude oil'!A1805</f>
        <v>45282</v>
      </c>
      <c r="B1804">
        <f>'raw data Crude oil'!B1805</f>
        <v>79.069999999999993</v>
      </c>
      <c r="C1804">
        <f>'raw data Crude oil'!C1805</f>
        <v>78.8</v>
      </c>
      <c r="D1804">
        <f>'raw data Crude oil'!D1805</f>
        <v>78.64</v>
      </c>
      <c r="E1804">
        <f>'raw data Crude oil'!E1805</f>
        <v>78.489999999999995</v>
      </c>
      <c r="F1804">
        <f>'raw data Crude oil'!F1805</f>
        <v>78.33</v>
      </c>
      <c r="G1804">
        <f>'raw data Crude oil'!G1805</f>
        <v>78.12</v>
      </c>
      <c r="H1804">
        <f>'raw data Crude oil'!H1805</f>
        <v>77.84</v>
      </c>
      <c r="I1804">
        <f>'raw data Crude oil'!I1805</f>
        <v>77.52</v>
      </c>
      <c r="J1804">
        <f>'raw data Crude oil'!J1805</f>
        <v>77.2</v>
      </c>
      <c r="K1804">
        <f>'raw data Crude oil'!K1805</f>
        <v>76.88</v>
      </c>
      <c r="L1804">
        <f>'raw data Crude oil'!L1805</f>
        <v>76.56</v>
      </c>
      <c r="M1804">
        <f>'raw data Crude oil'!M1805</f>
        <v>76.209999999999994</v>
      </c>
      <c r="N1804">
        <f>'raw data Crude oil'!N1805</f>
        <v>73.56</v>
      </c>
      <c r="O1804">
        <f>'raw data Crude oil'!O1805</f>
        <v>73.73</v>
      </c>
      <c r="P1804">
        <f>'raw data Crude oil'!P1805</f>
        <v>73.84</v>
      </c>
      <c r="Q1804">
        <f>'raw data Crude oil'!Q1805</f>
        <v>73.88</v>
      </c>
      <c r="R1804">
        <f>'raw data Crude oil'!R1805</f>
        <v>73.8</v>
      </c>
      <c r="S1804">
        <f>'raw data Crude oil'!S1805</f>
        <v>73.599999999999994</v>
      </c>
      <c r="T1804">
        <f>'raw data Crude oil'!T1805</f>
        <v>73.319999999999993</v>
      </c>
      <c r="U1804">
        <f>'raw data Crude oil'!U1805</f>
        <v>72.98</v>
      </c>
      <c r="V1804">
        <f>'raw data Crude oil'!V1805</f>
        <v>72.61</v>
      </c>
      <c r="W1804">
        <f>'raw data Crude oil'!W1805</f>
        <v>72.239999999999995</v>
      </c>
      <c r="X1804">
        <f>'raw data Crude oil'!X1805</f>
        <v>71.89</v>
      </c>
      <c r="Y1804">
        <f>'raw data Crude oil'!Y1805</f>
        <v>71.510000000000005</v>
      </c>
      <c r="Z1804">
        <f>'raw data Crude oil'!Z1805</f>
        <v>77.230999999999995</v>
      </c>
      <c r="AA1804">
        <f>'raw data Crude oil'!AA1805</f>
        <v>78.613</v>
      </c>
      <c r="AB1804">
        <f>'raw data Crude oil'!AB1805</f>
        <v>78.233000000000004</v>
      </c>
      <c r="AC1804">
        <f>'raw data Crude oil'!AC1805</f>
        <v>78.012</v>
      </c>
      <c r="AD1804">
        <f>'raw data Crude oil'!AD1805</f>
        <v>77.78</v>
      </c>
      <c r="AE1804">
        <f>'raw data Crude oil'!AE1805</f>
        <v>77.498000000000005</v>
      </c>
      <c r="AF1804">
        <f>'raw data Crude oil'!AF1805</f>
        <v>77.153999999999996</v>
      </c>
      <c r="AG1804">
        <f>'raw data Crude oil'!AG1805</f>
        <v>76.786000000000001</v>
      </c>
      <c r="AH1804">
        <f>'raw data Crude oil'!AH1805</f>
        <v>76.435000000000002</v>
      </c>
      <c r="AI1804">
        <f>'raw data Crude oil'!AI1805</f>
        <v>76.084999999999994</v>
      </c>
      <c r="AJ1804">
        <f>'raw data Crude oil'!AJ1805</f>
        <v>75.765000000000001</v>
      </c>
      <c r="AK1804">
        <f>'raw data Crude oil'!AK1805</f>
        <v>75.415000000000006</v>
      </c>
    </row>
    <row r="1805" spans="1:37" x14ac:dyDescent="0.3">
      <c r="A1805" s="18">
        <f>'raw data Crude oil'!A1806</f>
        <v>45286</v>
      </c>
      <c r="B1805">
        <f>'raw data Crude oil'!B1806</f>
        <v>81.069999999999993</v>
      </c>
      <c r="C1805">
        <f>'raw data Crude oil'!C1806</f>
        <v>80.849999999999994</v>
      </c>
      <c r="D1805">
        <f>'raw data Crude oil'!D1806</f>
        <v>80.66</v>
      </c>
      <c r="E1805">
        <f>'raw data Crude oil'!E1806</f>
        <v>80.459999999999994</v>
      </c>
      <c r="F1805">
        <f>'raw data Crude oil'!F1806</f>
        <v>80.23</v>
      </c>
      <c r="G1805">
        <f>'raw data Crude oil'!G1806</f>
        <v>79.95</v>
      </c>
      <c r="H1805">
        <f>'raw data Crude oil'!H1806</f>
        <v>79.599999999999994</v>
      </c>
      <c r="I1805">
        <f>'raw data Crude oil'!I1806</f>
        <v>79.209999999999994</v>
      </c>
      <c r="J1805">
        <f>'raw data Crude oil'!J1806</f>
        <v>78.819999999999993</v>
      </c>
      <c r="K1805">
        <f>'raw data Crude oil'!K1806</f>
        <v>78.44</v>
      </c>
      <c r="L1805">
        <f>'raw data Crude oil'!L1806</f>
        <v>78.069999999999993</v>
      </c>
      <c r="M1805">
        <f>'raw data Crude oil'!M1806</f>
        <v>77.67</v>
      </c>
      <c r="N1805">
        <f>'raw data Crude oil'!N1806</f>
        <v>75.569999999999993</v>
      </c>
      <c r="O1805">
        <f>'raw data Crude oil'!O1806</f>
        <v>75.709999999999994</v>
      </c>
      <c r="P1805">
        <f>'raw data Crude oil'!P1806</f>
        <v>75.790000000000006</v>
      </c>
      <c r="Q1805">
        <f>'raw data Crude oil'!Q1806</f>
        <v>75.790000000000006</v>
      </c>
      <c r="R1805">
        <f>'raw data Crude oil'!R1806</f>
        <v>75.650000000000006</v>
      </c>
      <c r="S1805">
        <f>'raw data Crude oil'!S1806</f>
        <v>75.38</v>
      </c>
      <c r="T1805">
        <f>'raw data Crude oil'!T1806</f>
        <v>75.02</v>
      </c>
      <c r="U1805">
        <f>'raw data Crude oil'!U1806</f>
        <v>74.59</v>
      </c>
      <c r="V1805">
        <f>'raw data Crude oil'!V1806</f>
        <v>74.150000000000006</v>
      </c>
      <c r="W1805">
        <f>'raw data Crude oil'!W1806</f>
        <v>73.73</v>
      </c>
      <c r="X1805">
        <f>'raw data Crude oil'!X1806</f>
        <v>73.319999999999993</v>
      </c>
      <c r="Y1805">
        <f>'raw data Crude oil'!Y1806</f>
        <v>72.88</v>
      </c>
      <c r="Z1805">
        <f>'raw data Crude oil'!Z1806</f>
        <v>77.564999999999998</v>
      </c>
      <c r="AA1805">
        <f>'raw data Crude oil'!AA1806</f>
        <v>80.710999999999999</v>
      </c>
      <c r="AB1805">
        <f>'raw data Crude oil'!AB1806</f>
        <v>80.301000000000002</v>
      </c>
      <c r="AC1805">
        <f>'raw data Crude oil'!AC1806</f>
        <v>80.031000000000006</v>
      </c>
      <c r="AD1805">
        <f>'raw data Crude oil'!AD1806</f>
        <v>79.751000000000005</v>
      </c>
      <c r="AE1805">
        <f>'raw data Crude oil'!AE1806</f>
        <v>79.39</v>
      </c>
      <c r="AF1805">
        <f>'raw data Crude oil'!AF1806</f>
        <v>78.956000000000003</v>
      </c>
      <c r="AG1805">
        <f>'raw data Crude oil'!AG1806</f>
        <v>78.522999999999996</v>
      </c>
      <c r="AH1805">
        <f>'raw data Crude oil'!AH1806</f>
        <v>78.113</v>
      </c>
      <c r="AI1805">
        <f>'raw data Crude oil'!AI1806</f>
        <v>77.712000000000003</v>
      </c>
      <c r="AJ1805">
        <f>'raw data Crude oil'!AJ1806</f>
        <v>77.272999999999996</v>
      </c>
      <c r="AK1805">
        <f>'raw data Crude oil'!AK1806</f>
        <v>76.872</v>
      </c>
    </row>
    <row r="1806" spans="1:37" x14ac:dyDescent="0.3">
      <c r="A1806" s="18">
        <f>'raw data Crude oil'!A1807</f>
        <v>45287</v>
      </c>
      <c r="B1806">
        <f>'raw data Crude oil'!B1807</f>
        <v>79.650000000000006</v>
      </c>
      <c r="C1806">
        <f>'raw data Crude oil'!C1807</f>
        <v>79.540000000000006</v>
      </c>
      <c r="D1806">
        <f>'raw data Crude oil'!D1807</f>
        <v>79.41</v>
      </c>
      <c r="E1806">
        <f>'raw data Crude oil'!E1807</f>
        <v>79.260000000000005</v>
      </c>
      <c r="F1806">
        <f>'raw data Crude oil'!F1807</f>
        <v>79.09</v>
      </c>
      <c r="G1806">
        <f>'raw data Crude oil'!G1807</f>
        <v>78.87</v>
      </c>
      <c r="H1806">
        <f>'raw data Crude oil'!H1807</f>
        <v>78.59</v>
      </c>
      <c r="I1806">
        <f>'raw data Crude oil'!I1807</f>
        <v>78.260000000000005</v>
      </c>
      <c r="J1806">
        <f>'raw data Crude oil'!J1807</f>
        <v>77.92</v>
      </c>
      <c r="K1806">
        <f>'raw data Crude oil'!K1807</f>
        <v>77.599999999999994</v>
      </c>
      <c r="L1806">
        <f>'raw data Crude oil'!L1807</f>
        <v>77.27</v>
      </c>
      <c r="M1806">
        <f>'raw data Crude oil'!M1807</f>
        <v>76.900000000000006</v>
      </c>
      <c r="N1806">
        <f>'raw data Crude oil'!N1807</f>
        <v>74.11</v>
      </c>
      <c r="O1806">
        <f>'raw data Crude oil'!O1807</f>
        <v>74.34</v>
      </c>
      <c r="P1806">
        <f>'raw data Crude oil'!P1807</f>
        <v>74.510000000000005</v>
      </c>
      <c r="Q1806">
        <f>'raw data Crude oil'!Q1807</f>
        <v>74.599999999999994</v>
      </c>
      <c r="R1806">
        <f>'raw data Crude oil'!R1807</f>
        <v>74.569999999999993</v>
      </c>
      <c r="S1806">
        <f>'raw data Crude oil'!S1807</f>
        <v>74.39</v>
      </c>
      <c r="T1806">
        <f>'raw data Crude oil'!T1807</f>
        <v>74.099999999999994</v>
      </c>
      <c r="U1806">
        <f>'raw data Crude oil'!U1807</f>
        <v>73.75</v>
      </c>
      <c r="V1806">
        <f>'raw data Crude oil'!V1807</f>
        <v>73.38</v>
      </c>
      <c r="W1806">
        <f>'raw data Crude oil'!W1807</f>
        <v>73.010000000000005</v>
      </c>
      <c r="X1806">
        <f>'raw data Crude oil'!X1807</f>
        <v>72.61</v>
      </c>
      <c r="Y1806">
        <f>'raw data Crude oil'!Y1807</f>
        <v>72.2</v>
      </c>
      <c r="Z1806">
        <f>'raw data Crude oil'!Z1807</f>
        <v>77.42</v>
      </c>
      <c r="AA1806">
        <f>'raw data Crude oil'!AA1807</f>
        <v>79.343999999999994</v>
      </c>
      <c r="AB1806">
        <f>'raw data Crude oil'!AB1807</f>
        <v>79.013000000000005</v>
      </c>
      <c r="AC1806">
        <f>'raw data Crude oil'!AC1807</f>
        <v>78.783000000000001</v>
      </c>
      <c r="AD1806">
        <f>'raw data Crude oil'!AD1807</f>
        <v>78.566000000000003</v>
      </c>
      <c r="AE1806">
        <f>'raw data Crude oil'!AE1807</f>
        <v>78.313999999999993</v>
      </c>
      <c r="AF1806">
        <f>'raw data Crude oil'!AF1807</f>
        <v>77.974000000000004</v>
      </c>
      <c r="AG1806">
        <f>'raw data Crude oil'!AG1807</f>
        <v>77.605000000000004</v>
      </c>
      <c r="AH1806">
        <f>'raw data Crude oil'!AH1807</f>
        <v>77.245000000000005</v>
      </c>
      <c r="AI1806">
        <f>'raw data Crude oil'!AI1807</f>
        <v>76.894000000000005</v>
      </c>
      <c r="AJ1806">
        <f>'raw data Crude oil'!AJ1807</f>
        <v>76.524000000000001</v>
      </c>
      <c r="AK1806">
        <f>'raw data Crude oil'!AK1807</f>
        <v>76.134</v>
      </c>
    </row>
    <row r="1807" spans="1:37" x14ac:dyDescent="0.3">
      <c r="A1807" s="18">
        <f>'raw data Crude oil'!A1808</f>
        <v>45288</v>
      </c>
      <c r="B1807">
        <f>'raw data Crude oil'!B1808</f>
        <v>78.39</v>
      </c>
      <c r="C1807">
        <f>'raw data Crude oil'!C1808</f>
        <v>77.150000000000006</v>
      </c>
      <c r="D1807">
        <f>'raw data Crude oil'!D1808</f>
        <v>77.040000000000006</v>
      </c>
      <c r="E1807">
        <f>'raw data Crude oil'!E1808</f>
        <v>76.94</v>
      </c>
      <c r="F1807">
        <f>'raw data Crude oil'!F1808</f>
        <v>76.819999999999993</v>
      </c>
      <c r="G1807">
        <f>'raw data Crude oil'!G1808</f>
        <v>76.64</v>
      </c>
      <c r="H1807">
        <f>'raw data Crude oil'!H1808</f>
        <v>76.39</v>
      </c>
      <c r="I1807">
        <f>'raw data Crude oil'!I1808</f>
        <v>76.099999999999994</v>
      </c>
      <c r="J1807">
        <f>'raw data Crude oil'!J1808</f>
        <v>75.81</v>
      </c>
      <c r="K1807">
        <f>'raw data Crude oil'!K1808</f>
        <v>75.53</v>
      </c>
      <c r="L1807">
        <f>'raw data Crude oil'!L1808</f>
        <v>75.25</v>
      </c>
      <c r="M1807">
        <f>'raw data Crude oil'!M1808</f>
        <v>74.930000000000007</v>
      </c>
      <c r="N1807">
        <f>'raw data Crude oil'!N1808</f>
        <v>71.77</v>
      </c>
      <c r="O1807">
        <f>'raw data Crude oil'!O1808</f>
        <v>71.97</v>
      </c>
      <c r="P1807">
        <f>'raw data Crude oil'!P1808</f>
        <v>72.14</v>
      </c>
      <c r="Q1807">
        <f>'raw data Crude oil'!Q1808</f>
        <v>72.27</v>
      </c>
      <c r="R1807">
        <f>'raw data Crude oil'!R1808</f>
        <v>72.290000000000006</v>
      </c>
      <c r="S1807">
        <f>'raw data Crude oil'!S1808</f>
        <v>72.150000000000006</v>
      </c>
      <c r="T1807">
        <f>'raw data Crude oil'!T1808</f>
        <v>71.89</v>
      </c>
      <c r="U1807">
        <f>'raw data Crude oil'!U1808</f>
        <v>71.56</v>
      </c>
      <c r="V1807">
        <f>'raw data Crude oil'!V1808</f>
        <v>71.209999999999994</v>
      </c>
      <c r="W1807">
        <f>'raw data Crude oil'!W1808</f>
        <v>70.88</v>
      </c>
      <c r="X1807">
        <f>'raw data Crude oil'!X1808</f>
        <v>70.55</v>
      </c>
      <c r="Y1807">
        <f>'raw data Crude oil'!Y1808</f>
        <v>70.180000000000007</v>
      </c>
      <c r="Z1807">
        <f>'raw data Crude oil'!Z1808</f>
        <v>77.302000000000007</v>
      </c>
      <c r="AA1807">
        <f>'raw data Crude oil'!AA1808</f>
        <v>76.864999999999995</v>
      </c>
      <c r="AB1807">
        <f>'raw data Crude oil'!AB1808</f>
        <v>76.58</v>
      </c>
      <c r="AC1807">
        <f>'raw data Crude oil'!AC1808</f>
        <v>76.417000000000002</v>
      </c>
      <c r="AD1807">
        <f>'raw data Crude oil'!AD1808</f>
        <v>76.266999999999996</v>
      </c>
      <c r="AE1807">
        <f>'raw data Crude oil'!AE1808</f>
        <v>76.049000000000007</v>
      </c>
      <c r="AF1807">
        <f>'raw data Crude oil'!AF1808</f>
        <v>75.725999999999999</v>
      </c>
      <c r="AG1807">
        <f>'raw data Crude oil'!AG1808</f>
        <v>75.397000000000006</v>
      </c>
      <c r="AH1807">
        <f>'raw data Crude oil'!AH1808</f>
        <v>75.066999999999993</v>
      </c>
      <c r="AI1807">
        <f>'raw data Crude oil'!AI1808</f>
        <v>74.747</v>
      </c>
      <c r="AJ1807">
        <f>'raw data Crude oil'!AJ1808</f>
        <v>74.436000000000007</v>
      </c>
      <c r="AK1807">
        <f>'raw data Crude oil'!AK1808</f>
        <v>74.116</v>
      </c>
    </row>
    <row r="1808" spans="1:37" x14ac:dyDescent="0.3">
      <c r="A1808" s="18">
        <f>'raw data Crude oil'!A1809</f>
        <v>45289</v>
      </c>
      <c r="B1808">
        <f>'raw data Crude oil'!B1809</f>
        <v>77.040000000000006</v>
      </c>
      <c r="C1808">
        <f>'raw data Crude oil'!C1809</f>
        <v>76.91</v>
      </c>
      <c r="D1808">
        <f>'raw data Crude oil'!D1809</f>
        <v>76.790000000000006</v>
      </c>
      <c r="E1808">
        <f>'raw data Crude oil'!E1809</f>
        <v>76.64</v>
      </c>
      <c r="F1808">
        <f>'raw data Crude oil'!F1809</f>
        <v>76.430000000000007</v>
      </c>
      <c r="G1808">
        <f>'raw data Crude oil'!G1809</f>
        <v>76.17</v>
      </c>
      <c r="H1808">
        <f>'raw data Crude oil'!H1809</f>
        <v>75.87</v>
      </c>
      <c r="I1808">
        <f>'raw data Crude oil'!I1809</f>
        <v>75.569999999999993</v>
      </c>
      <c r="J1808">
        <f>'raw data Crude oil'!J1809</f>
        <v>75.28</v>
      </c>
      <c r="K1808">
        <f>'raw data Crude oil'!K1809</f>
        <v>75</v>
      </c>
      <c r="L1808">
        <f>'raw data Crude oil'!L1809</f>
        <v>74.69</v>
      </c>
      <c r="M1808">
        <f>'raw data Crude oil'!M1809</f>
        <v>74.39</v>
      </c>
      <c r="N1808">
        <f>'raw data Crude oil'!N1809</f>
        <v>71.650000000000006</v>
      </c>
      <c r="O1808">
        <f>'raw data Crude oil'!O1809</f>
        <v>71.84</v>
      </c>
      <c r="P1808">
        <f>'raw data Crude oil'!P1809</f>
        <v>72.010000000000005</v>
      </c>
      <c r="Q1808">
        <f>'raw data Crude oil'!Q1809</f>
        <v>72.13</v>
      </c>
      <c r="R1808">
        <f>'raw data Crude oil'!R1809</f>
        <v>72.12</v>
      </c>
      <c r="S1808">
        <f>'raw data Crude oil'!S1809</f>
        <v>71.97</v>
      </c>
      <c r="T1808">
        <f>'raw data Crude oil'!T1809</f>
        <v>71.69</v>
      </c>
      <c r="U1808">
        <f>'raw data Crude oil'!U1809</f>
        <v>71.34</v>
      </c>
      <c r="V1808">
        <f>'raw data Crude oil'!V1809</f>
        <v>70.98</v>
      </c>
      <c r="W1808">
        <f>'raw data Crude oil'!W1809</f>
        <v>70.650000000000006</v>
      </c>
      <c r="X1808">
        <f>'raw data Crude oil'!X1809</f>
        <v>70.3</v>
      </c>
      <c r="Y1808">
        <f>'raw data Crude oil'!Y1809</f>
        <v>69.94</v>
      </c>
      <c r="Z1808">
        <f>'raw data Crude oil'!Z1809</f>
        <v>77.331000000000003</v>
      </c>
      <c r="AA1808">
        <f>'raw data Crude oil'!AA1809</f>
        <v>76.909000000000006</v>
      </c>
      <c r="AB1808">
        <f>'raw data Crude oil'!AB1809</f>
        <v>76.549000000000007</v>
      </c>
      <c r="AC1808">
        <f>'raw data Crude oil'!AC1809</f>
        <v>76.317999999999998</v>
      </c>
      <c r="AD1808">
        <f>'raw data Crude oil'!AD1809</f>
        <v>76.105000000000004</v>
      </c>
      <c r="AE1808">
        <f>'raw data Crude oil'!AE1809</f>
        <v>75.858999999999995</v>
      </c>
      <c r="AF1808">
        <f>'raw data Crude oil'!AF1809</f>
        <v>75.545000000000002</v>
      </c>
      <c r="AG1808">
        <f>'raw data Crude oil'!AG1809</f>
        <v>75.212000000000003</v>
      </c>
      <c r="AH1808">
        <f>'raw data Crude oil'!AH1809</f>
        <v>74.891999999999996</v>
      </c>
      <c r="AI1808">
        <f>'raw data Crude oil'!AI1809</f>
        <v>74.587000000000003</v>
      </c>
      <c r="AJ1808">
        <f>'raw data Crude oil'!AJ1809</f>
        <v>74.272000000000006</v>
      </c>
      <c r="AK1808">
        <f>'raw data Crude oil'!AK1809</f>
        <v>73.906000000000006</v>
      </c>
    </row>
    <row r="1809" spans="1:37" x14ac:dyDescent="0.3">
      <c r="A1809" s="18">
        <f>'raw data Crude oil'!A1810</f>
        <v>45293</v>
      </c>
      <c r="B1809">
        <f>'raw data Crude oil'!B1810</f>
        <v>75.89</v>
      </c>
      <c r="C1809">
        <f>'raw data Crude oil'!C1810</f>
        <v>75.86</v>
      </c>
      <c r="D1809">
        <f>'raw data Crude oil'!D1810</f>
        <v>75.819999999999993</v>
      </c>
      <c r="E1809">
        <f>'raw data Crude oil'!E1810</f>
        <v>75.73</v>
      </c>
      <c r="F1809">
        <f>'raw data Crude oil'!F1810</f>
        <v>75.56</v>
      </c>
      <c r="G1809">
        <f>'raw data Crude oil'!G1810</f>
        <v>75.34</v>
      </c>
      <c r="H1809">
        <f>'raw data Crude oil'!H1810</f>
        <v>75.08</v>
      </c>
      <c r="I1809">
        <f>'raw data Crude oil'!I1810</f>
        <v>74.81</v>
      </c>
      <c r="J1809">
        <f>'raw data Crude oil'!J1810</f>
        <v>74.55</v>
      </c>
      <c r="K1809">
        <f>'raw data Crude oil'!K1810</f>
        <v>74.28</v>
      </c>
      <c r="L1809">
        <f>'raw data Crude oil'!L1810</f>
        <v>74</v>
      </c>
      <c r="M1809">
        <f>'raw data Crude oil'!M1810</f>
        <v>73.72</v>
      </c>
      <c r="N1809">
        <f>'raw data Crude oil'!N1810</f>
        <v>70.38</v>
      </c>
      <c r="O1809">
        <f>'raw data Crude oil'!O1810</f>
        <v>70.62</v>
      </c>
      <c r="P1809">
        <f>'raw data Crude oil'!P1810</f>
        <v>70.819999999999993</v>
      </c>
      <c r="Q1809">
        <f>'raw data Crude oil'!Q1810</f>
        <v>70.989999999999995</v>
      </c>
      <c r="R1809">
        <f>'raw data Crude oil'!R1810</f>
        <v>71.040000000000006</v>
      </c>
      <c r="S1809">
        <f>'raw data Crude oil'!S1810</f>
        <v>70.94</v>
      </c>
      <c r="T1809">
        <f>'raw data Crude oil'!T1810</f>
        <v>70.7</v>
      </c>
      <c r="U1809">
        <f>'raw data Crude oil'!U1810</f>
        <v>70.41</v>
      </c>
      <c r="V1809">
        <f>'raw data Crude oil'!V1810</f>
        <v>70.099999999999994</v>
      </c>
      <c r="W1809">
        <f>'raw data Crude oil'!W1810</f>
        <v>69.81</v>
      </c>
      <c r="X1809">
        <f>'raw data Crude oil'!X1810</f>
        <v>69.489999999999995</v>
      </c>
      <c r="Y1809">
        <f>'raw data Crude oil'!Y1810</f>
        <v>69.150000000000006</v>
      </c>
      <c r="Z1809">
        <f>'raw data Crude oil'!Z1810</f>
        <v>77.331000000000003</v>
      </c>
      <c r="AA1809">
        <f>'raw data Crude oil'!AA1810</f>
        <v>75.873999999999995</v>
      </c>
      <c r="AB1809">
        <f>'raw data Crude oil'!AB1810</f>
        <v>75.617999999999995</v>
      </c>
      <c r="AC1809">
        <f>'raw data Crude oil'!AC1810</f>
        <v>75.430999999999997</v>
      </c>
      <c r="AD1809">
        <f>'raw data Crude oil'!AD1810</f>
        <v>75.253</v>
      </c>
      <c r="AE1809">
        <f>'raw data Crude oil'!AE1810</f>
        <v>75.040999999999997</v>
      </c>
      <c r="AF1809">
        <f>'raw data Crude oil'!AF1810</f>
        <v>74.747</v>
      </c>
      <c r="AG1809">
        <f>'raw data Crude oil'!AG1810</f>
        <v>74.445999999999998</v>
      </c>
      <c r="AH1809">
        <f>'raw data Crude oil'!AH1810</f>
        <v>74.165999999999997</v>
      </c>
      <c r="AI1809">
        <f>'raw data Crude oil'!AI1810</f>
        <v>73.900000000000006</v>
      </c>
      <c r="AJ1809">
        <f>'raw data Crude oil'!AJ1810</f>
        <v>73.587999999999994</v>
      </c>
      <c r="AK1809">
        <f>'raw data Crude oil'!AK1810</f>
        <v>73.257000000000005</v>
      </c>
    </row>
    <row r="1810" spans="1:37" x14ac:dyDescent="0.3">
      <c r="A1810" s="18">
        <f>'raw data Crude oil'!A1811</f>
        <v>45294</v>
      </c>
      <c r="B1810">
        <f>'raw data Crude oil'!B1811</f>
        <v>78.25</v>
      </c>
      <c r="C1810">
        <f>'raw data Crude oil'!C1811</f>
        <v>78.14</v>
      </c>
      <c r="D1810">
        <f>'raw data Crude oil'!D1811</f>
        <v>78.040000000000006</v>
      </c>
      <c r="E1810">
        <f>'raw data Crude oil'!E1811</f>
        <v>77.91</v>
      </c>
      <c r="F1810">
        <f>'raw data Crude oil'!F1811</f>
        <v>77.7</v>
      </c>
      <c r="G1810">
        <f>'raw data Crude oil'!G1811</f>
        <v>77.44</v>
      </c>
      <c r="H1810">
        <f>'raw data Crude oil'!H1811</f>
        <v>77.14</v>
      </c>
      <c r="I1810">
        <f>'raw data Crude oil'!I1811</f>
        <v>76.849999999999994</v>
      </c>
      <c r="J1810">
        <f>'raw data Crude oil'!J1811</f>
        <v>76.56</v>
      </c>
      <c r="K1810">
        <f>'raw data Crude oil'!K1811</f>
        <v>76.260000000000005</v>
      </c>
      <c r="L1810">
        <f>'raw data Crude oil'!L1811</f>
        <v>75.94</v>
      </c>
      <c r="M1810">
        <f>'raw data Crude oil'!M1811</f>
        <v>75.63</v>
      </c>
      <c r="N1810">
        <f>'raw data Crude oil'!N1811</f>
        <v>72.7</v>
      </c>
      <c r="O1810">
        <f>'raw data Crude oil'!O1811</f>
        <v>72.89</v>
      </c>
      <c r="P1810">
        <f>'raw data Crude oil'!P1811</f>
        <v>73.03</v>
      </c>
      <c r="Q1810">
        <f>'raw data Crude oil'!Q1811</f>
        <v>73.12</v>
      </c>
      <c r="R1810">
        <f>'raw data Crude oil'!R1811</f>
        <v>73.09</v>
      </c>
      <c r="S1810">
        <f>'raw data Crude oil'!S1811</f>
        <v>72.94</v>
      </c>
      <c r="T1810">
        <f>'raw data Crude oil'!T1811</f>
        <v>72.66</v>
      </c>
      <c r="U1810">
        <f>'raw data Crude oil'!U1811</f>
        <v>72.34</v>
      </c>
      <c r="V1810">
        <f>'raw data Crude oil'!V1811</f>
        <v>71.989999999999995</v>
      </c>
      <c r="W1810">
        <f>'raw data Crude oil'!W1811</f>
        <v>71.650000000000006</v>
      </c>
      <c r="X1810">
        <f>'raw data Crude oil'!X1811</f>
        <v>71.31</v>
      </c>
      <c r="Y1810">
        <f>'raw data Crude oil'!Y1811</f>
        <v>70.95</v>
      </c>
      <c r="Z1810">
        <f>'raw data Crude oil'!Z1811</f>
        <v>77.826999999999998</v>
      </c>
      <c r="AA1810">
        <f>'raw data Crude oil'!AA1811</f>
        <v>77.790000000000006</v>
      </c>
      <c r="AB1810">
        <f>'raw data Crude oil'!AB1811</f>
        <v>77.623999999999995</v>
      </c>
      <c r="AC1810">
        <f>'raw data Crude oil'!AC1811</f>
        <v>77.444999999999993</v>
      </c>
      <c r="AD1810">
        <f>'raw data Crude oil'!AD1811</f>
        <v>77.198999999999998</v>
      </c>
      <c r="AE1810">
        <f>'raw data Crude oil'!AE1811</f>
        <v>76.885000000000005</v>
      </c>
      <c r="AF1810">
        <f>'raw data Crude oil'!AF1811</f>
        <v>76.557000000000002</v>
      </c>
      <c r="AG1810">
        <f>'raw data Crude oil'!AG1811</f>
        <v>76.247</v>
      </c>
      <c r="AH1810">
        <f>'raw data Crude oil'!AH1811</f>
        <v>75.936000000000007</v>
      </c>
      <c r="AI1810">
        <f>'raw data Crude oil'!AI1811</f>
        <v>75.596000000000004</v>
      </c>
      <c r="AJ1810">
        <f>'raw data Crude oil'!AJ1811</f>
        <v>75.234999999999999</v>
      </c>
      <c r="AK1810">
        <f>'raw data Crude oil'!AK1811</f>
        <v>74.875</v>
      </c>
    </row>
    <row r="1811" spans="1:37" x14ac:dyDescent="0.3">
      <c r="A1811" s="18">
        <f>'raw data Crude oil'!A1812</f>
        <v>45295</v>
      </c>
      <c r="B1811">
        <f>'raw data Crude oil'!B1812</f>
        <v>77.59</v>
      </c>
      <c r="C1811">
        <f>'raw data Crude oil'!C1812</f>
        <v>77.41</v>
      </c>
      <c r="D1811">
        <f>'raw data Crude oil'!D1812</f>
        <v>77.260000000000005</v>
      </c>
      <c r="E1811">
        <f>'raw data Crude oil'!E1812</f>
        <v>77.099999999999994</v>
      </c>
      <c r="F1811">
        <f>'raw data Crude oil'!F1812</f>
        <v>76.86</v>
      </c>
      <c r="G1811">
        <f>'raw data Crude oil'!G1812</f>
        <v>76.599999999999994</v>
      </c>
      <c r="H1811">
        <f>'raw data Crude oil'!H1812</f>
        <v>76.31</v>
      </c>
      <c r="I1811">
        <f>'raw data Crude oil'!I1812</f>
        <v>76.010000000000005</v>
      </c>
      <c r="J1811">
        <f>'raw data Crude oil'!J1812</f>
        <v>75.709999999999994</v>
      </c>
      <c r="K1811">
        <f>'raw data Crude oil'!K1812</f>
        <v>75.400000000000006</v>
      </c>
      <c r="L1811">
        <f>'raw data Crude oil'!L1812</f>
        <v>75.08</v>
      </c>
      <c r="M1811">
        <f>'raw data Crude oil'!M1812</f>
        <v>74.790000000000006</v>
      </c>
      <c r="N1811">
        <f>'raw data Crude oil'!N1812</f>
        <v>72.19</v>
      </c>
      <c r="O1811">
        <f>'raw data Crude oil'!O1812</f>
        <v>72.36</v>
      </c>
      <c r="P1811">
        <f>'raw data Crude oil'!P1812</f>
        <v>72.459999999999994</v>
      </c>
      <c r="Q1811">
        <f>'raw data Crude oil'!Q1812</f>
        <v>72.489999999999995</v>
      </c>
      <c r="R1811">
        <f>'raw data Crude oil'!R1812</f>
        <v>72.430000000000007</v>
      </c>
      <c r="S1811">
        <f>'raw data Crude oil'!S1812</f>
        <v>72.25</v>
      </c>
      <c r="T1811">
        <f>'raw data Crude oil'!T1812</f>
        <v>71.97</v>
      </c>
      <c r="U1811">
        <f>'raw data Crude oil'!U1812</f>
        <v>71.650000000000006</v>
      </c>
      <c r="V1811">
        <f>'raw data Crude oil'!V1812</f>
        <v>71.290000000000006</v>
      </c>
      <c r="W1811">
        <f>'raw data Crude oil'!W1812</f>
        <v>70.959999999999994</v>
      </c>
      <c r="X1811">
        <f>'raw data Crude oil'!X1812</f>
        <v>70.61</v>
      </c>
      <c r="Y1811">
        <f>'raw data Crude oil'!Y1812</f>
        <v>70.25</v>
      </c>
      <c r="Z1811">
        <f>'raw data Crude oil'!Z1812</f>
        <v>77.33</v>
      </c>
      <c r="AA1811">
        <f>'raw data Crude oil'!AA1812</f>
        <v>77.147999999999996</v>
      </c>
      <c r="AB1811">
        <f>'raw data Crude oil'!AB1812</f>
        <v>76.927000000000007</v>
      </c>
      <c r="AC1811">
        <f>'raw data Crude oil'!AC1812</f>
        <v>76.709000000000003</v>
      </c>
      <c r="AD1811">
        <f>'raw data Crude oil'!AD1812</f>
        <v>76.418999999999997</v>
      </c>
      <c r="AE1811">
        <f>'raw data Crude oil'!AE1812</f>
        <v>76.075999999999993</v>
      </c>
      <c r="AF1811">
        <f>'raw data Crude oil'!AF1812</f>
        <v>75.736999999999995</v>
      </c>
      <c r="AG1811">
        <f>'raw data Crude oil'!AG1812</f>
        <v>75.406000000000006</v>
      </c>
      <c r="AH1811">
        <f>'raw data Crude oil'!AH1812</f>
        <v>75.075000000000003</v>
      </c>
      <c r="AI1811">
        <f>'raw data Crude oil'!AI1812</f>
        <v>74.695999999999998</v>
      </c>
      <c r="AJ1811">
        <f>'raw data Crude oil'!AJ1812</f>
        <v>74.316000000000003</v>
      </c>
      <c r="AK1811">
        <f>'raw data Crude oil'!AK1812</f>
        <v>73.975999999999999</v>
      </c>
    </row>
    <row r="1812" spans="1:37" x14ac:dyDescent="0.3">
      <c r="A1812" s="18">
        <f>'raw data Crude oil'!A1813</f>
        <v>45296</v>
      </c>
      <c r="B1812">
        <f>'raw data Crude oil'!B1813</f>
        <v>78.760000000000005</v>
      </c>
      <c r="C1812">
        <f>'raw data Crude oil'!C1813</f>
        <v>78.540000000000006</v>
      </c>
      <c r="D1812">
        <f>'raw data Crude oil'!D1813</f>
        <v>78.349999999999994</v>
      </c>
      <c r="E1812">
        <f>'raw data Crude oil'!E1813</f>
        <v>78.14</v>
      </c>
      <c r="F1812">
        <f>'raw data Crude oil'!F1813</f>
        <v>77.86</v>
      </c>
      <c r="G1812">
        <f>'raw data Crude oil'!G1813</f>
        <v>77.55</v>
      </c>
      <c r="H1812">
        <f>'raw data Crude oil'!H1813</f>
        <v>77.22</v>
      </c>
      <c r="I1812">
        <f>'raw data Crude oil'!I1813</f>
        <v>76.900000000000006</v>
      </c>
      <c r="J1812">
        <f>'raw data Crude oil'!J1813</f>
        <v>76.58</v>
      </c>
      <c r="K1812">
        <f>'raw data Crude oil'!K1813</f>
        <v>76.25</v>
      </c>
      <c r="L1812">
        <f>'raw data Crude oil'!L1813</f>
        <v>75.91</v>
      </c>
      <c r="M1812">
        <f>'raw data Crude oil'!M1813</f>
        <v>75.59</v>
      </c>
      <c r="N1812">
        <f>'raw data Crude oil'!N1813</f>
        <v>73.81</v>
      </c>
      <c r="O1812">
        <f>'raw data Crude oil'!O1813</f>
        <v>73.86</v>
      </c>
      <c r="P1812">
        <f>'raw data Crude oil'!P1813</f>
        <v>73.87</v>
      </c>
      <c r="Q1812">
        <f>'raw data Crude oil'!Q1813</f>
        <v>73.81</v>
      </c>
      <c r="R1812">
        <f>'raw data Crude oil'!R1813</f>
        <v>73.66</v>
      </c>
      <c r="S1812">
        <f>'raw data Crude oil'!S1813</f>
        <v>73.41</v>
      </c>
      <c r="T1812">
        <f>'raw data Crude oil'!T1813</f>
        <v>73.08</v>
      </c>
      <c r="U1812">
        <f>'raw data Crude oil'!U1813</f>
        <v>72.709999999999994</v>
      </c>
      <c r="V1812">
        <f>'raw data Crude oil'!V1813</f>
        <v>72.33</v>
      </c>
      <c r="W1812">
        <f>'raw data Crude oil'!W1813</f>
        <v>71.959999999999994</v>
      </c>
      <c r="X1812">
        <f>'raw data Crude oil'!X1813</f>
        <v>71.599999999999994</v>
      </c>
      <c r="Y1812">
        <f>'raw data Crude oil'!Y1813</f>
        <v>71.209999999999994</v>
      </c>
      <c r="Z1812">
        <f>'raw data Crude oil'!Z1813</f>
        <v>78.353999999999999</v>
      </c>
      <c r="AA1812">
        <f>'raw data Crude oil'!AA1813</f>
        <v>78.305999999999997</v>
      </c>
      <c r="AB1812">
        <f>'raw data Crude oil'!AB1813</f>
        <v>78.055999999999997</v>
      </c>
      <c r="AC1812">
        <f>'raw data Crude oil'!AC1813</f>
        <v>77.784000000000006</v>
      </c>
      <c r="AD1812">
        <f>'raw data Crude oil'!AD1813</f>
        <v>77.460999999999999</v>
      </c>
      <c r="AE1812">
        <f>'raw data Crude oil'!AE1813</f>
        <v>77.075999999999993</v>
      </c>
      <c r="AF1812">
        <f>'raw data Crude oil'!AF1813</f>
        <v>76.688000000000002</v>
      </c>
      <c r="AG1812">
        <f>'raw data Crude oil'!AG1813</f>
        <v>76.319999999999993</v>
      </c>
      <c r="AH1812">
        <f>'raw data Crude oil'!AH1813</f>
        <v>75.978999999999999</v>
      </c>
      <c r="AI1812">
        <f>'raw data Crude oil'!AI1813</f>
        <v>75.605000000000004</v>
      </c>
      <c r="AJ1812">
        <f>'raw data Crude oil'!AJ1813</f>
        <v>75.215000000000003</v>
      </c>
      <c r="AK1812">
        <f>'raw data Crude oil'!AK1813</f>
        <v>74.834000000000003</v>
      </c>
    </row>
    <row r="1813" spans="1:37" x14ac:dyDescent="0.3">
      <c r="A1813" s="18">
        <f>'raw data Crude oil'!A1814</f>
        <v>45299</v>
      </c>
      <c r="B1813">
        <f>'raw data Crude oil'!B1814</f>
        <v>76.12</v>
      </c>
      <c r="C1813">
        <f>'raw data Crude oil'!C1814</f>
        <v>75.91</v>
      </c>
      <c r="D1813">
        <f>'raw data Crude oil'!D1814</f>
        <v>75.75</v>
      </c>
      <c r="E1813">
        <f>'raw data Crude oil'!E1814</f>
        <v>75.599999999999994</v>
      </c>
      <c r="F1813">
        <f>'raw data Crude oil'!F1814</f>
        <v>75.37</v>
      </c>
      <c r="G1813">
        <f>'raw data Crude oil'!G1814</f>
        <v>75.12</v>
      </c>
      <c r="H1813">
        <f>'raw data Crude oil'!H1814</f>
        <v>74.86</v>
      </c>
      <c r="I1813">
        <f>'raw data Crude oil'!I1814</f>
        <v>74.59</v>
      </c>
      <c r="J1813">
        <f>'raw data Crude oil'!J1814</f>
        <v>74.34</v>
      </c>
      <c r="K1813">
        <f>'raw data Crude oil'!K1814</f>
        <v>74.069999999999993</v>
      </c>
      <c r="L1813">
        <f>'raw data Crude oil'!L1814</f>
        <v>73.790000000000006</v>
      </c>
      <c r="M1813">
        <f>'raw data Crude oil'!M1814</f>
        <v>73.53</v>
      </c>
      <c r="N1813">
        <f>'raw data Crude oil'!N1814</f>
        <v>70.77</v>
      </c>
      <c r="O1813">
        <f>'raw data Crude oil'!O1814</f>
        <v>70.92</v>
      </c>
      <c r="P1813">
        <f>'raw data Crude oil'!P1814</f>
        <v>71.02</v>
      </c>
      <c r="Q1813">
        <f>'raw data Crude oil'!Q1814</f>
        <v>71.06</v>
      </c>
      <c r="R1813">
        <f>'raw data Crude oil'!R1814</f>
        <v>71.02</v>
      </c>
      <c r="S1813">
        <f>'raw data Crude oil'!S1814</f>
        <v>70.87</v>
      </c>
      <c r="T1813">
        <f>'raw data Crude oil'!T1814</f>
        <v>70.62</v>
      </c>
      <c r="U1813">
        <f>'raw data Crude oil'!U1814</f>
        <v>70.31</v>
      </c>
      <c r="V1813">
        <f>'raw data Crude oil'!V1814</f>
        <v>69.989999999999995</v>
      </c>
      <c r="W1813">
        <f>'raw data Crude oil'!W1814</f>
        <v>69.680000000000007</v>
      </c>
      <c r="X1813">
        <f>'raw data Crude oil'!X1814</f>
        <v>69.38</v>
      </c>
      <c r="Y1813">
        <f>'raw data Crude oil'!Y1814</f>
        <v>69.05</v>
      </c>
      <c r="Z1813">
        <f>'raw data Crude oil'!Z1814</f>
        <v>76.352000000000004</v>
      </c>
      <c r="AA1813">
        <f>'raw data Crude oil'!AA1814</f>
        <v>75.555999999999997</v>
      </c>
      <c r="AB1813">
        <f>'raw data Crude oil'!AB1814</f>
        <v>75.355999999999995</v>
      </c>
      <c r="AC1813">
        <f>'raw data Crude oil'!AC1814</f>
        <v>75.150000000000006</v>
      </c>
      <c r="AD1813">
        <f>'raw data Crude oil'!AD1814</f>
        <v>74.861999999999995</v>
      </c>
      <c r="AE1813">
        <f>'raw data Crude oil'!AE1814</f>
        <v>74.558000000000007</v>
      </c>
      <c r="AF1813">
        <f>'raw data Crude oil'!AF1814</f>
        <v>74.263000000000005</v>
      </c>
      <c r="AG1813">
        <f>'raw data Crude oil'!AG1814</f>
        <v>73.959000000000003</v>
      </c>
      <c r="AH1813">
        <f>'raw data Crude oil'!AH1814</f>
        <v>73.656999999999996</v>
      </c>
      <c r="AI1813">
        <f>'raw data Crude oil'!AI1814</f>
        <v>73.317999999999998</v>
      </c>
      <c r="AJ1813">
        <f>'raw data Crude oil'!AJ1814</f>
        <v>72.968000000000004</v>
      </c>
      <c r="AK1813">
        <f>'raw data Crude oil'!AK1814</f>
        <v>72.63</v>
      </c>
    </row>
    <row r="1814" spans="1:37" x14ac:dyDescent="0.3">
      <c r="A1814" s="18">
        <f>'raw data Crude oil'!A1815</f>
        <v>45300</v>
      </c>
      <c r="B1814">
        <f>'raw data Crude oil'!B1815</f>
        <v>77.59</v>
      </c>
      <c r="C1814">
        <f>'raw data Crude oil'!C1815</f>
        <v>77.260000000000005</v>
      </c>
      <c r="D1814">
        <f>'raw data Crude oil'!D1815</f>
        <v>77.03</v>
      </c>
      <c r="E1814">
        <f>'raw data Crude oil'!E1815</f>
        <v>76.81</v>
      </c>
      <c r="F1814">
        <f>'raw data Crude oil'!F1815</f>
        <v>76.540000000000006</v>
      </c>
      <c r="G1814">
        <f>'raw data Crude oil'!G1815</f>
        <v>76.23</v>
      </c>
      <c r="H1814">
        <f>'raw data Crude oil'!H1815</f>
        <v>75.91</v>
      </c>
      <c r="I1814">
        <f>'raw data Crude oil'!I1815</f>
        <v>75.599999999999994</v>
      </c>
      <c r="J1814">
        <f>'raw data Crude oil'!J1815</f>
        <v>75.3</v>
      </c>
      <c r="K1814">
        <f>'raw data Crude oil'!K1815</f>
        <v>74.989999999999995</v>
      </c>
      <c r="L1814">
        <f>'raw data Crude oil'!L1815</f>
        <v>74.680000000000007</v>
      </c>
      <c r="M1814">
        <f>'raw data Crude oil'!M1815</f>
        <v>74.38</v>
      </c>
      <c r="N1814">
        <f>'raw data Crude oil'!N1815</f>
        <v>72.239999999999995</v>
      </c>
      <c r="O1814">
        <f>'raw data Crude oil'!O1815</f>
        <v>72.290000000000006</v>
      </c>
      <c r="P1814">
        <f>'raw data Crude oil'!P1815</f>
        <v>72.33</v>
      </c>
      <c r="Q1814">
        <f>'raw data Crude oil'!Q1815</f>
        <v>72.3</v>
      </c>
      <c r="R1814">
        <f>'raw data Crude oil'!R1815</f>
        <v>72.180000000000007</v>
      </c>
      <c r="S1814">
        <f>'raw data Crude oil'!S1815</f>
        <v>71.97</v>
      </c>
      <c r="T1814">
        <f>'raw data Crude oil'!T1815</f>
        <v>71.680000000000007</v>
      </c>
      <c r="U1814">
        <f>'raw data Crude oil'!U1815</f>
        <v>71.34</v>
      </c>
      <c r="V1814">
        <f>'raw data Crude oil'!V1815</f>
        <v>70.97</v>
      </c>
      <c r="W1814">
        <f>'raw data Crude oil'!W1815</f>
        <v>70.63</v>
      </c>
      <c r="X1814">
        <f>'raw data Crude oil'!X1815</f>
        <v>70.28</v>
      </c>
      <c r="Y1814">
        <f>'raw data Crude oil'!Y1815</f>
        <v>69.92</v>
      </c>
      <c r="Z1814">
        <f>'raw data Crude oil'!Z1815</f>
        <v>77.52</v>
      </c>
      <c r="AA1814">
        <f>'raw data Crude oil'!AA1815</f>
        <v>76.968999999999994</v>
      </c>
      <c r="AB1814">
        <f>'raw data Crude oil'!AB1815</f>
        <v>76.697000000000003</v>
      </c>
      <c r="AC1814">
        <f>'raw data Crude oil'!AC1815</f>
        <v>76.415999999999997</v>
      </c>
      <c r="AD1814">
        <f>'raw data Crude oil'!AD1815</f>
        <v>76.081999999999994</v>
      </c>
      <c r="AE1814">
        <f>'raw data Crude oil'!AE1815</f>
        <v>75.713999999999999</v>
      </c>
      <c r="AF1814">
        <f>'raw data Crude oil'!AF1815</f>
        <v>75.356999999999999</v>
      </c>
      <c r="AG1814">
        <f>'raw data Crude oil'!AG1815</f>
        <v>75.006</v>
      </c>
      <c r="AH1814">
        <f>'raw data Crude oil'!AH1815</f>
        <v>74.655000000000001</v>
      </c>
      <c r="AI1814">
        <f>'raw data Crude oil'!AI1815</f>
        <v>74.307000000000002</v>
      </c>
      <c r="AJ1814">
        <f>'raw data Crude oil'!AJ1815</f>
        <v>73.936000000000007</v>
      </c>
      <c r="AK1814">
        <f>'raw data Crude oil'!AK1815</f>
        <v>73.585999999999999</v>
      </c>
    </row>
    <row r="1815" spans="1:37" x14ac:dyDescent="0.3">
      <c r="A1815" s="18">
        <f>'raw data Crude oil'!A1816</f>
        <v>45301</v>
      </c>
      <c r="B1815">
        <f>'raw data Crude oil'!B1816</f>
        <v>76.8</v>
      </c>
      <c r="C1815">
        <f>'raw data Crude oil'!C1816</f>
        <v>76.45</v>
      </c>
      <c r="D1815">
        <f>'raw data Crude oil'!D1816</f>
        <v>76.23</v>
      </c>
      <c r="E1815">
        <f>'raw data Crude oil'!E1816</f>
        <v>76.02</v>
      </c>
      <c r="F1815">
        <f>'raw data Crude oil'!F1816</f>
        <v>75.77</v>
      </c>
      <c r="G1815">
        <f>'raw data Crude oil'!G1816</f>
        <v>75.510000000000005</v>
      </c>
      <c r="H1815">
        <f>'raw data Crude oil'!H1816</f>
        <v>75.209999999999994</v>
      </c>
      <c r="I1815">
        <f>'raw data Crude oil'!I1816</f>
        <v>74.92</v>
      </c>
      <c r="J1815">
        <f>'raw data Crude oil'!J1816</f>
        <v>74.64</v>
      </c>
      <c r="K1815">
        <f>'raw data Crude oil'!K1816</f>
        <v>74.34</v>
      </c>
      <c r="L1815">
        <f>'raw data Crude oil'!L1816</f>
        <v>74.040000000000006</v>
      </c>
      <c r="M1815">
        <f>'raw data Crude oil'!M1816</f>
        <v>73.760000000000005</v>
      </c>
      <c r="N1815">
        <f>'raw data Crude oil'!N1816</f>
        <v>71.37</v>
      </c>
      <c r="O1815">
        <f>'raw data Crude oil'!O1816</f>
        <v>71.44</v>
      </c>
      <c r="P1815">
        <f>'raw data Crude oil'!P1816</f>
        <v>71.5</v>
      </c>
      <c r="Q1815">
        <f>'raw data Crude oil'!Q1816</f>
        <v>71.540000000000006</v>
      </c>
      <c r="R1815">
        <f>'raw data Crude oil'!R1816</f>
        <v>71.489999999999995</v>
      </c>
      <c r="S1815">
        <f>'raw data Crude oil'!S1816</f>
        <v>71.349999999999994</v>
      </c>
      <c r="T1815">
        <f>'raw data Crude oil'!T1816</f>
        <v>71.12</v>
      </c>
      <c r="U1815">
        <f>'raw data Crude oil'!U1816</f>
        <v>70.83</v>
      </c>
      <c r="V1815">
        <f>'raw data Crude oil'!V1816</f>
        <v>70.5</v>
      </c>
      <c r="W1815">
        <f>'raw data Crude oil'!W1816</f>
        <v>70.180000000000007</v>
      </c>
      <c r="X1815">
        <f>'raw data Crude oil'!X1816</f>
        <v>69.849999999999994</v>
      </c>
      <c r="Y1815">
        <f>'raw data Crude oil'!Y1816</f>
        <v>69.5</v>
      </c>
      <c r="Z1815">
        <f>'raw data Crude oil'!Z1816</f>
        <v>77.084999999999994</v>
      </c>
      <c r="AA1815">
        <f>'raw data Crude oil'!AA1816</f>
        <v>76.262</v>
      </c>
      <c r="AB1815">
        <f>'raw data Crude oil'!AB1816</f>
        <v>75.944000000000003</v>
      </c>
      <c r="AC1815">
        <f>'raw data Crude oil'!AC1816</f>
        <v>75.644000000000005</v>
      </c>
      <c r="AD1815">
        <f>'raw data Crude oil'!AD1816</f>
        <v>75.343999999999994</v>
      </c>
      <c r="AE1815">
        <f>'raw data Crude oil'!AE1816</f>
        <v>75.022999999999996</v>
      </c>
      <c r="AF1815">
        <f>'raw data Crude oil'!AF1816</f>
        <v>74.682000000000002</v>
      </c>
      <c r="AG1815">
        <f>'raw data Crude oil'!AG1816</f>
        <v>74.346999999999994</v>
      </c>
      <c r="AH1815">
        <f>'raw data Crude oil'!AH1816</f>
        <v>74.012</v>
      </c>
      <c r="AI1815">
        <f>'raw data Crude oil'!AI1816</f>
        <v>73.656999999999996</v>
      </c>
      <c r="AJ1815">
        <f>'raw data Crude oil'!AJ1816</f>
        <v>73.287000000000006</v>
      </c>
      <c r="AK1815">
        <f>'raw data Crude oil'!AK1816</f>
        <v>72.927000000000007</v>
      </c>
    </row>
    <row r="1816" spans="1:37" x14ac:dyDescent="0.3">
      <c r="A1816" s="18">
        <f>'raw data Crude oil'!A1817</f>
        <v>45302</v>
      </c>
      <c r="B1816">
        <f>'raw data Crude oil'!B1817</f>
        <v>77.41</v>
      </c>
      <c r="C1816">
        <f>'raw data Crude oil'!C1817</f>
        <v>77.11</v>
      </c>
      <c r="D1816">
        <f>'raw data Crude oil'!D1817</f>
        <v>76.92</v>
      </c>
      <c r="E1816">
        <f>'raw data Crude oil'!E1817</f>
        <v>76.73</v>
      </c>
      <c r="F1816">
        <f>'raw data Crude oil'!F1817</f>
        <v>76.489999999999995</v>
      </c>
      <c r="G1816">
        <f>'raw data Crude oil'!G1817</f>
        <v>76.23</v>
      </c>
      <c r="H1816">
        <f>'raw data Crude oil'!H1817</f>
        <v>75.930000000000007</v>
      </c>
      <c r="I1816">
        <f>'raw data Crude oil'!I1817</f>
        <v>75.64</v>
      </c>
      <c r="J1816">
        <f>'raw data Crude oil'!J1817</f>
        <v>75.34</v>
      </c>
      <c r="K1816">
        <f>'raw data Crude oil'!K1817</f>
        <v>75.03</v>
      </c>
      <c r="L1816">
        <f>'raw data Crude oil'!L1817</f>
        <v>74.72</v>
      </c>
      <c r="M1816">
        <f>'raw data Crude oil'!M1817</f>
        <v>74.42</v>
      </c>
      <c r="N1816">
        <f>'raw data Crude oil'!N1817</f>
        <v>72.02</v>
      </c>
      <c r="O1816">
        <f>'raw data Crude oil'!O1817</f>
        <v>72.09</v>
      </c>
      <c r="P1816">
        <f>'raw data Crude oil'!P1817</f>
        <v>72.17</v>
      </c>
      <c r="Q1816">
        <f>'raw data Crude oil'!Q1817</f>
        <v>72.209999999999994</v>
      </c>
      <c r="R1816">
        <f>'raw data Crude oil'!R1817</f>
        <v>72.14</v>
      </c>
      <c r="S1816">
        <f>'raw data Crude oil'!S1817</f>
        <v>71.98</v>
      </c>
      <c r="T1816">
        <f>'raw data Crude oil'!T1817</f>
        <v>71.72</v>
      </c>
      <c r="U1816">
        <f>'raw data Crude oil'!U1817</f>
        <v>71.41</v>
      </c>
      <c r="V1816">
        <f>'raw data Crude oil'!V1817</f>
        <v>71.069999999999993</v>
      </c>
      <c r="W1816">
        <f>'raw data Crude oil'!W1817</f>
        <v>70.739999999999995</v>
      </c>
      <c r="X1816">
        <f>'raw data Crude oil'!X1817</f>
        <v>70.400000000000006</v>
      </c>
      <c r="Y1816">
        <f>'raw data Crude oil'!Y1817</f>
        <v>70.040000000000006</v>
      </c>
      <c r="Z1816">
        <f>'raw data Crude oil'!Z1817</f>
        <v>77.488</v>
      </c>
      <c r="AA1816">
        <f>'raw data Crude oil'!AA1817</f>
        <v>76.796000000000006</v>
      </c>
      <c r="AB1816">
        <f>'raw data Crude oil'!AB1817</f>
        <v>76.546000000000006</v>
      </c>
      <c r="AC1816">
        <f>'raw data Crude oil'!AC1817</f>
        <v>76.287000000000006</v>
      </c>
      <c r="AD1816">
        <f>'raw data Crude oil'!AD1817</f>
        <v>75.997</v>
      </c>
      <c r="AE1816">
        <f>'raw data Crude oil'!AE1817</f>
        <v>75.686000000000007</v>
      </c>
      <c r="AF1816">
        <f>'raw data Crude oil'!AF1817</f>
        <v>75.346999999999994</v>
      </c>
      <c r="AG1816">
        <f>'raw data Crude oil'!AG1817</f>
        <v>75.006</v>
      </c>
      <c r="AH1816">
        <f>'raw data Crude oil'!AH1817</f>
        <v>74.655000000000001</v>
      </c>
      <c r="AI1816">
        <f>'raw data Crude oil'!AI1817</f>
        <v>74.296999999999997</v>
      </c>
      <c r="AJ1816">
        <f>'raw data Crude oil'!AJ1817</f>
        <v>73.945999999999998</v>
      </c>
      <c r="AK1816">
        <f>'raw data Crude oil'!AK1817</f>
        <v>73.585999999999999</v>
      </c>
    </row>
    <row r="1817" spans="1:37" x14ac:dyDescent="0.3">
      <c r="A1817" s="18">
        <f>'raw data Crude oil'!A1818</f>
        <v>45303</v>
      </c>
      <c r="B1817">
        <f>'raw data Crude oil'!B1818</f>
        <v>78.290000000000006</v>
      </c>
      <c r="C1817">
        <f>'raw data Crude oil'!C1818</f>
        <v>77.97</v>
      </c>
      <c r="D1817">
        <f>'raw data Crude oil'!D1818</f>
        <v>77.77</v>
      </c>
      <c r="E1817">
        <f>'raw data Crude oil'!E1818</f>
        <v>77.56</v>
      </c>
      <c r="F1817">
        <f>'raw data Crude oil'!F1818</f>
        <v>77.31</v>
      </c>
      <c r="G1817">
        <f>'raw data Crude oil'!G1818</f>
        <v>77.040000000000006</v>
      </c>
      <c r="H1817">
        <f>'raw data Crude oil'!H1818</f>
        <v>76.73</v>
      </c>
      <c r="I1817">
        <f>'raw data Crude oil'!I1818</f>
        <v>76.430000000000007</v>
      </c>
      <c r="J1817">
        <f>'raw data Crude oil'!J1818</f>
        <v>76.13</v>
      </c>
      <c r="K1817">
        <f>'raw data Crude oil'!K1818</f>
        <v>75.819999999999993</v>
      </c>
      <c r="L1817">
        <f>'raw data Crude oil'!L1818</f>
        <v>75.510000000000005</v>
      </c>
      <c r="M1817">
        <f>'raw data Crude oil'!M1818</f>
        <v>75.209999999999994</v>
      </c>
      <c r="N1817">
        <f>'raw data Crude oil'!N1818</f>
        <v>72.680000000000007</v>
      </c>
      <c r="O1817">
        <f>'raw data Crude oil'!O1818</f>
        <v>72.790000000000006</v>
      </c>
      <c r="P1817">
        <f>'raw data Crude oil'!P1818</f>
        <v>72.88</v>
      </c>
      <c r="Q1817">
        <f>'raw data Crude oil'!Q1818</f>
        <v>72.930000000000007</v>
      </c>
      <c r="R1817">
        <f>'raw data Crude oil'!R1818</f>
        <v>72.87</v>
      </c>
      <c r="S1817">
        <f>'raw data Crude oil'!S1818</f>
        <v>72.7</v>
      </c>
      <c r="T1817">
        <f>'raw data Crude oil'!T1818</f>
        <v>72.44</v>
      </c>
      <c r="U1817">
        <f>'raw data Crude oil'!U1818</f>
        <v>72.11</v>
      </c>
      <c r="V1817">
        <f>'raw data Crude oil'!V1818</f>
        <v>71.760000000000005</v>
      </c>
      <c r="W1817">
        <f>'raw data Crude oil'!W1818</f>
        <v>71.430000000000007</v>
      </c>
      <c r="X1817">
        <f>'raw data Crude oil'!X1818</f>
        <v>71.099999999999994</v>
      </c>
      <c r="Y1817">
        <f>'raw data Crude oil'!Y1818</f>
        <v>70.739999999999995</v>
      </c>
      <c r="Z1817">
        <f>'raw data Crude oil'!Z1818</f>
        <v>77.930000000000007</v>
      </c>
      <c r="AA1817">
        <f>'raw data Crude oil'!AA1818</f>
        <v>77.38</v>
      </c>
      <c r="AB1817">
        <f>'raw data Crude oil'!AB1818</f>
        <v>77.218000000000004</v>
      </c>
      <c r="AC1817">
        <f>'raw data Crude oil'!AC1818</f>
        <v>76.983999999999995</v>
      </c>
      <c r="AD1817">
        <f>'raw data Crude oil'!AD1818</f>
        <v>76.712999999999994</v>
      </c>
      <c r="AE1817">
        <f>'raw data Crude oil'!AE1818</f>
        <v>76.405000000000001</v>
      </c>
      <c r="AF1817">
        <f>'raw data Crude oil'!AF1818</f>
        <v>76.072000000000003</v>
      </c>
      <c r="AG1817">
        <f>'raw data Crude oil'!AG1818</f>
        <v>75.741</v>
      </c>
      <c r="AH1817">
        <f>'raw data Crude oil'!AH1818</f>
        <v>75.41</v>
      </c>
      <c r="AI1817">
        <f>'raw data Crude oil'!AI1818</f>
        <v>75.072000000000003</v>
      </c>
      <c r="AJ1817">
        <f>'raw data Crude oil'!AJ1818</f>
        <v>74.721000000000004</v>
      </c>
      <c r="AK1817">
        <f>'raw data Crude oil'!AK1818</f>
        <v>74.37</v>
      </c>
    </row>
    <row r="1818" spans="1:37" x14ac:dyDescent="0.3">
      <c r="A1818" s="18">
        <f>'raw data Crude oil'!A1819</f>
        <v>45306</v>
      </c>
      <c r="B1818">
        <f>'raw data Crude oil'!B1819</f>
        <v>78.150000000000006</v>
      </c>
      <c r="C1818">
        <f>'raw data Crude oil'!C1819</f>
        <v>77.81</v>
      </c>
      <c r="D1818">
        <f>'raw data Crude oil'!D1819</f>
        <v>77.599999999999994</v>
      </c>
      <c r="E1818">
        <f>'raw data Crude oil'!E1819</f>
        <v>77.38</v>
      </c>
      <c r="F1818">
        <f>'raw data Crude oil'!F1819</f>
        <v>77.13</v>
      </c>
      <c r="G1818">
        <f>'raw data Crude oil'!G1819</f>
        <v>76.86</v>
      </c>
      <c r="H1818">
        <f>'raw data Crude oil'!H1819</f>
        <v>76.55</v>
      </c>
      <c r="I1818">
        <f>'raw data Crude oil'!I1819</f>
        <v>76.239999999999995</v>
      </c>
      <c r="J1818">
        <f>'raw data Crude oil'!J1819</f>
        <v>75.94</v>
      </c>
      <c r="K1818">
        <f>'raw data Crude oil'!K1819</f>
        <v>75.62</v>
      </c>
      <c r="L1818">
        <f>'raw data Crude oil'!L1819</f>
        <v>75.3</v>
      </c>
      <c r="M1818">
        <f>'raw data Crude oil'!M1819</f>
        <v>75</v>
      </c>
      <c r="N1818">
        <f>'raw data Crude oil'!N1819</f>
        <v>72.680000000000007</v>
      </c>
      <c r="O1818">
        <f>'raw data Crude oil'!O1819</f>
        <v>72.790000000000006</v>
      </c>
      <c r="P1818">
        <f>'raw data Crude oil'!P1819</f>
        <v>72.88</v>
      </c>
      <c r="Q1818">
        <f>'raw data Crude oil'!Q1819</f>
        <v>72.930000000000007</v>
      </c>
      <c r="R1818">
        <f>'raw data Crude oil'!R1819</f>
        <v>72.87</v>
      </c>
      <c r="S1818">
        <f>'raw data Crude oil'!S1819</f>
        <v>72.7</v>
      </c>
      <c r="T1818">
        <f>'raw data Crude oil'!T1819</f>
        <v>72.44</v>
      </c>
      <c r="U1818">
        <f>'raw data Crude oil'!U1819</f>
        <v>72.11</v>
      </c>
      <c r="V1818">
        <f>'raw data Crude oil'!V1819</f>
        <v>71.760000000000005</v>
      </c>
      <c r="W1818">
        <f>'raw data Crude oil'!W1819</f>
        <v>71.430000000000007</v>
      </c>
      <c r="X1818">
        <f>'raw data Crude oil'!X1819</f>
        <v>71.099999999999994</v>
      </c>
      <c r="Y1818">
        <f>'raw data Crude oil'!Y1819</f>
        <v>70.739999999999995</v>
      </c>
      <c r="Z1818">
        <f>'raw data Crude oil'!Z1819</f>
        <v>77.697000000000003</v>
      </c>
      <c r="AA1818">
        <f>'raw data Crude oil'!AA1819</f>
        <v>77.128</v>
      </c>
      <c r="AB1818">
        <f>'raw data Crude oil'!AB1819</f>
        <v>76.947999999999993</v>
      </c>
      <c r="AC1818">
        <f>'raw data Crude oil'!AC1819</f>
        <v>76.727999999999994</v>
      </c>
      <c r="AD1818">
        <f>'raw data Crude oil'!AD1819</f>
        <v>76.462999999999994</v>
      </c>
      <c r="AE1818">
        <f>'raw data Crude oil'!AE1819</f>
        <v>76.165000000000006</v>
      </c>
      <c r="AF1818">
        <f>'raw data Crude oil'!AF1819</f>
        <v>75.837000000000003</v>
      </c>
      <c r="AG1818">
        <f>'raw data Crude oil'!AG1819</f>
        <v>75.506</v>
      </c>
      <c r="AH1818">
        <f>'raw data Crude oil'!AH1819</f>
        <v>75.185000000000002</v>
      </c>
      <c r="AI1818">
        <f>'raw data Crude oil'!AI1819</f>
        <v>74.835999999999999</v>
      </c>
      <c r="AJ1818">
        <f>'raw data Crude oil'!AJ1819</f>
        <v>74.475999999999999</v>
      </c>
      <c r="AK1818">
        <f>'raw data Crude oil'!AK1819</f>
        <v>74.125</v>
      </c>
    </row>
    <row r="1819" spans="1:37" x14ac:dyDescent="0.3">
      <c r="A1819" s="18">
        <f>'raw data Crude oil'!A1820</f>
        <v>45307</v>
      </c>
      <c r="B1819">
        <f>'raw data Crude oil'!B1820</f>
        <v>78.290000000000006</v>
      </c>
      <c r="C1819">
        <f>'raw data Crude oil'!C1820</f>
        <v>77.87</v>
      </c>
      <c r="D1819">
        <f>'raw data Crude oil'!D1820</f>
        <v>77.61</v>
      </c>
      <c r="E1819">
        <f>'raw data Crude oil'!E1820</f>
        <v>77.36</v>
      </c>
      <c r="F1819">
        <f>'raw data Crude oil'!F1820</f>
        <v>77.08</v>
      </c>
      <c r="G1819">
        <f>'raw data Crude oil'!G1820</f>
        <v>76.790000000000006</v>
      </c>
      <c r="H1819">
        <f>'raw data Crude oil'!H1820</f>
        <v>76.47</v>
      </c>
      <c r="I1819">
        <f>'raw data Crude oil'!I1820</f>
        <v>76.150000000000006</v>
      </c>
      <c r="J1819">
        <f>'raw data Crude oil'!J1820</f>
        <v>75.83</v>
      </c>
      <c r="K1819">
        <f>'raw data Crude oil'!K1820</f>
        <v>75.5</v>
      </c>
      <c r="L1819">
        <f>'raw data Crude oil'!L1820</f>
        <v>75.17</v>
      </c>
      <c r="M1819">
        <f>'raw data Crude oil'!M1820</f>
        <v>74.86</v>
      </c>
      <c r="N1819">
        <f>'raw data Crude oil'!N1820</f>
        <v>72.400000000000006</v>
      </c>
      <c r="O1819">
        <f>'raw data Crude oil'!O1820</f>
        <v>72.52</v>
      </c>
      <c r="P1819">
        <f>'raw data Crude oil'!P1820</f>
        <v>72.58</v>
      </c>
      <c r="Q1819">
        <f>'raw data Crude oil'!Q1820</f>
        <v>72.59</v>
      </c>
      <c r="R1819">
        <f>'raw data Crude oil'!R1820</f>
        <v>72.5</v>
      </c>
      <c r="S1819">
        <f>'raw data Crude oil'!S1820</f>
        <v>72.33</v>
      </c>
      <c r="T1819">
        <f>'raw data Crude oil'!T1820</f>
        <v>72.05</v>
      </c>
      <c r="U1819">
        <f>'raw data Crude oil'!U1820</f>
        <v>71.72</v>
      </c>
      <c r="V1819">
        <f>'raw data Crude oil'!V1820</f>
        <v>71.36</v>
      </c>
      <c r="W1819">
        <f>'raw data Crude oil'!W1820</f>
        <v>71.03</v>
      </c>
      <c r="X1819">
        <f>'raw data Crude oil'!X1820</f>
        <v>70.7</v>
      </c>
      <c r="Y1819">
        <f>'raw data Crude oil'!Y1820</f>
        <v>70.34</v>
      </c>
      <c r="Z1819">
        <f>'raw data Crude oil'!Z1820</f>
        <v>77.697999999999993</v>
      </c>
      <c r="AA1819">
        <f>'raw data Crude oil'!AA1820</f>
        <v>76.998999999999995</v>
      </c>
      <c r="AB1819">
        <f>'raw data Crude oil'!AB1820</f>
        <v>76.819000000000003</v>
      </c>
      <c r="AC1819">
        <f>'raw data Crude oil'!AC1820</f>
        <v>76.569000000000003</v>
      </c>
      <c r="AD1819">
        <f>'raw data Crude oil'!AD1820</f>
        <v>76.278999999999996</v>
      </c>
      <c r="AE1819">
        <f>'raw data Crude oil'!AE1820</f>
        <v>75.965999999999994</v>
      </c>
      <c r="AF1819">
        <f>'raw data Crude oil'!AF1820</f>
        <v>75.632000000000005</v>
      </c>
      <c r="AG1819">
        <f>'raw data Crude oil'!AG1820</f>
        <v>75.305000000000007</v>
      </c>
      <c r="AH1819">
        <f>'raw data Crude oil'!AH1820</f>
        <v>74.974000000000004</v>
      </c>
      <c r="AI1819">
        <f>'raw data Crude oil'!AI1820</f>
        <v>74.634</v>
      </c>
      <c r="AJ1819">
        <f>'raw data Crude oil'!AJ1820</f>
        <v>74.275000000000006</v>
      </c>
      <c r="AK1819">
        <f>'raw data Crude oil'!AK1820</f>
        <v>73.905000000000001</v>
      </c>
    </row>
    <row r="1820" spans="1:37" x14ac:dyDescent="0.3">
      <c r="A1820" s="18">
        <f>'raw data Crude oil'!A1821</f>
        <v>45308</v>
      </c>
      <c r="B1820">
        <f>'raw data Crude oil'!B1821</f>
        <v>77.88</v>
      </c>
      <c r="C1820">
        <f>'raw data Crude oil'!C1821</f>
        <v>77.489999999999995</v>
      </c>
      <c r="D1820">
        <f>'raw data Crude oil'!D1821</f>
        <v>77.260000000000005</v>
      </c>
      <c r="E1820">
        <f>'raw data Crude oil'!E1821</f>
        <v>77.03</v>
      </c>
      <c r="F1820">
        <f>'raw data Crude oil'!F1821</f>
        <v>76.77</v>
      </c>
      <c r="G1820">
        <f>'raw data Crude oil'!G1821</f>
        <v>76.489999999999995</v>
      </c>
      <c r="H1820">
        <f>'raw data Crude oil'!H1821</f>
        <v>76.17</v>
      </c>
      <c r="I1820">
        <f>'raw data Crude oil'!I1821</f>
        <v>75.86</v>
      </c>
      <c r="J1820">
        <f>'raw data Crude oil'!J1821</f>
        <v>75.55</v>
      </c>
      <c r="K1820">
        <f>'raw data Crude oil'!K1821</f>
        <v>75.23</v>
      </c>
      <c r="L1820">
        <f>'raw data Crude oil'!L1821</f>
        <v>74.92</v>
      </c>
      <c r="M1820">
        <f>'raw data Crude oil'!M1821</f>
        <v>74.62</v>
      </c>
      <c r="N1820">
        <f>'raw data Crude oil'!N1821</f>
        <v>72.56</v>
      </c>
      <c r="O1820">
        <f>'raw data Crude oil'!O1821</f>
        <v>72.48</v>
      </c>
      <c r="P1820">
        <f>'raw data Crude oil'!P1821</f>
        <v>72.459999999999994</v>
      </c>
      <c r="Q1820">
        <f>'raw data Crude oil'!Q1821</f>
        <v>72.41</v>
      </c>
      <c r="R1820">
        <f>'raw data Crude oil'!R1821</f>
        <v>72.28</v>
      </c>
      <c r="S1820">
        <f>'raw data Crude oil'!S1821</f>
        <v>72.09</v>
      </c>
      <c r="T1820">
        <f>'raw data Crude oil'!T1821</f>
        <v>71.8</v>
      </c>
      <c r="U1820">
        <f>'raw data Crude oil'!U1821</f>
        <v>71.459999999999994</v>
      </c>
      <c r="V1820">
        <f>'raw data Crude oil'!V1821</f>
        <v>71.099999999999994</v>
      </c>
      <c r="W1820">
        <f>'raw data Crude oil'!W1821</f>
        <v>70.760000000000005</v>
      </c>
      <c r="X1820">
        <f>'raw data Crude oil'!X1821</f>
        <v>70.430000000000007</v>
      </c>
      <c r="Y1820">
        <f>'raw data Crude oil'!Y1821</f>
        <v>70.08</v>
      </c>
      <c r="Z1820">
        <f>'raw data Crude oil'!Z1821</f>
        <v>77.472999999999999</v>
      </c>
      <c r="AA1820">
        <f>'raw data Crude oil'!AA1821</f>
        <v>76.597999999999999</v>
      </c>
      <c r="AB1820">
        <f>'raw data Crude oil'!AB1821</f>
        <v>76.406000000000006</v>
      </c>
      <c r="AC1820">
        <f>'raw data Crude oil'!AC1821</f>
        <v>76.191999999999993</v>
      </c>
      <c r="AD1820">
        <f>'raw data Crude oil'!AD1821</f>
        <v>75.903000000000006</v>
      </c>
      <c r="AE1820">
        <f>'raw data Crude oil'!AE1821</f>
        <v>75.608999999999995</v>
      </c>
      <c r="AF1820">
        <f>'raw data Crude oil'!AF1821</f>
        <v>75.302000000000007</v>
      </c>
      <c r="AG1820">
        <f>'raw data Crude oil'!AG1821</f>
        <v>74.986000000000004</v>
      </c>
      <c r="AH1820">
        <f>'raw data Crude oil'!AH1821</f>
        <v>74.665000000000006</v>
      </c>
      <c r="AI1820">
        <f>'raw data Crude oil'!AI1821</f>
        <v>74.316999999999993</v>
      </c>
      <c r="AJ1820">
        <f>'raw data Crude oil'!AJ1821</f>
        <v>73.980999999999995</v>
      </c>
      <c r="AK1820">
        <f>'raw data Crude oil'!AK1821</f>
        <v>73.646000000000001</v>
      </c>
    </row>
    <row r="1821" spans="1:37" x14ac:dyDescent="0.3">
      <c r="A1821" s="18">
        <f>'raw data Crude oil'!A1822</f>
        <v>45309</v>
      </c>
      <c r="B1821">
        <f>'raw data Crude oil'!B1822</f>
        <v>79.099999999999994</v>
      </c>
      <c r="C1821">
        <f>'raw data Crude oil'!C1822</f>
        <v>78.650000000000006</v>
      </c>
      <c r="D1821">
        <f>'raw data Crude oil'!D1822</f>
        <v>78.39</v>
      </c>
      <c r="E1821">
        <f>'raw data Crude oil'!E1822</f>
        <v>78.14</v>
      </c>
      <c r="F1821">
        <f>'raw data Crude oil'!F1822</f>
        <v>77.84</v>
      </c>
      <c r="G1821">
        <f>'raw data Crude oil'!G1822</f>
        <v>77.53</v>
      </c>
      <c r="H1821">
        <f>'raw data Crude oil'!H1822</f>
        <v>77.19</v>
      </c>
      <c r="I1821">
        <f>'raw data Crude oil'!I1822</f>
        <v>76.849999999999994</v>
      </c>
      <c r="J1821">
        <f>'raw data Crude oil'!J1822</f>
        <v>76.5</v>
      </c>
      <c r="K1821">
        <f>'raw data Crude oil'!K1822</f>
        <v>76.150000000000006</v>
      </c>
      <c r="L1821">
        <f>'raw data Crude oil'!L1822</f>
        <v>75.8</v>
      </c>
      <c r="M1821">
        <f>'raw data Crude oil'!M1822</f>
        <v>75.47</v>
      </c>
      <c r="N1821">
        <f>'raw data Crude oil'!N1822</f>
        <v>74.08</v>
      </c>
      <c r="O1821">
        <f>'raw data Crude oil'!O1822</f>
        <v>73.95</v>
      </c>
      <c r="P1821">
        <f>'raw data Crude oil'!P1822</f>
        <v>73.83</v>
      </c>
      <c r="Q1821">
        <f>'raw data Crude oil'!Q1822</f>
        <v>73.7</v>
      </c>
      <c r="R1821">
        <f>'raw data Crude oil'!R1822</f>
        <v>73.5</v>
      </c>
      <c r="S1821">
        <f>'raw data Crude oil'!S1822</f>
        <v>73.25</v>
      </c>
      <c r="T1821">
        <f>'raw data Crude oil'!T1822</f>
        <v>72.900000000000006</v>
      </c>
      <c r="U1821">
        <f>'raw data Crude oil'!U1822</f>
        <v>72.52</v>
      </c>
      <c r="V1821">
        <f>'raw data Crude oil'!V1822</f>
        <v>72.12</v>
      </c>
      <c r="W1821">
        <f>'raw data Crude oil'!W1822</f>
        <v>71.760000000000005</v>
      </c>
      <c r="X1821">
        <f>'raw data Crude oil'!X1822</f>
        <v>71.42</v>
      </c>
      <c r="Y1821">
        <f>'raw data Crude oil'!Y1822</f>
        <v>71.040000000000006</v>
      </c>
      <c r="Z1821">
        <f>'raw data Crude oil'!Z1822</f>
        <v>77.930999999999997</v>
      </c>
      <c r="AA1821">
        <f>'raw data Crude oil'!AA1822</f>
        <v>77.849000000000004</v>
      </c>
      <c r="AB1821">
        <f>'raw data Crude oil'!AB1822</f>
        <v>77.593000000000004</v>
      </c>
      <c r="AC1821">
        <f>'raw data Crude oil'!AC1822</f>
        <v>77.335999999999999</v>
      </c>
      <c r="AD1821">
        <f>'raw data Crude oil'!AD1822</f>
        <v>77.001999999999995</v>
      </c>
      <c r="AE1821">
        <f>'raw data Crude oil'!AE1822</f>
        <v>76.658000000000001</v>
      </c>
      <c r="AF1821">
        <f>'raw data Crude oil'!AF1822</f>
        <v>76.319999999999993</v>
      </c>
      <c r="AG1821">
        <f>'raw data Crude oil'!AG1822</f>
        <v>75.97</v>
      </c>
      <c r="AH1821">
        <f>'raw data Crude oil'!AH1822</f>
        <v>75.62</v>
      </c>
      <c r="AI1821">
        <f>'raw data Crude oil'!AI1822</f>
        <v>75.224999999999994</v>
      </c>
      <c r="AJ1821">
        <f>'raw data Crude oil'!AJ1822</f>
        <v>74.834000000000003</v>
      </c>
      <c r="AK1821">
        <f>'raw data Crude oil'!AK1822</f>
        <v>74.474000000000004</v>
      </c>
    </row>
    <row r="1822" spans="1:37" x14ac:dyDescent="0.3">
      <c r="A1822" s="18">
        <f>'raw data Crude oil'!A1823</f>
        <v>45310</v>
      </c>
      <c r="B1822">
        <f>'raw data Crude oil'!B1823</f>
        <v>78.56</v>
      </c>
      <c r="C1822">
        <f>'raw data Crude oil'!C1823</f>
        <v>78.08</v>
      </c>
      <c r="D1822">
        <f>'raw data Crude oil'!D1823</f>
        <v>77.790000000000006</v>
      </c>
      <c r="E1822">
        <f>'raw data Crude oil'!E1823</f>
        <v>77.53</v>
      </c>
      <c r="F1822">
        <f>'raw data Crude oil'!F1823</f>
        <v>77.239999999999995</v>
      </c>
      <c r="G1822">
        <f>'raw data Crude oil'!G1823</f>
        <v>76.92</v>
      </c>
      <c r="H1822">
        <f>'raw data Crude oil'!H1823</f>
        <v>76.569999999999993</v>
      </c>
      <c r="I1822">
        <f>'raw data Crude oil'!I1823</f>
        <v>76.209999999999994</v>
      </c>
      <c r="J1822">
        <f>'raw data Crude oil'!J1823</f>
        <v>75.86</v>
      </c>
      <c r="K1822">
        <f>'raw data Crude oil'!K1823</f>
        <v>75.510000000000005</v>
      </c>
      <c r="L1822">
        <f>'raw data Crude oil'!L1823</f>
        <v>75.16</v>
      </c>
      <c r="M1822">
        <f>'raw data Crude oil'!M1823</f>
        <v>74.84</v>
      </c>
      <c r="N1822">
        <f>'raw data Crude oil'!N1823</f>
        <v>73.41</v>
      </c>
      <c r="O1822">
        <f>'raw data Crude oil'!O1823</f>
        <v>73.25</v>
      </c>
      <c r="P1822">
        <f>'raw data Crude oil'!P1823</f>
        <v>73.12</v>
      </c>
      <c r="Q1822">
        <f>'raw data Crude oil'!Q1823</f>
        <v>72.989999999999995</v>
      </c>
      <c r="R1822">
        <f>'raw data Crude oil'!R1823</f>
        <v>72.8</v>
      </c>
      <c r="S1822">
        <f>'raw data Crude oil'!S1823</f>
        <v>72.540000000000006</v>
      </c>
      <c r="T1822">
        <f>'raw data Crude oil'!T1823</f>
        <v>72.209999999999994</v>
      </c>
      <c r="U1822">
        <f>'raw data Crude oil'!U1823</f>
        <v>71.819999999999993</v>
      </c>
      <c r="V1822">
        <f>'raw data Crude oil'!V1823</f>
        <v>71.42</v>
      </c>
      <c r="W1822">
        <f>'raw data Crude oil'!W1823</f>
        <v>71.069999999999993</v>
      </c>
      <c r="X1822">
        <f>'raw data Crude oil'!X1823</f>
        <v>70.72</v>
      </c>
      <c r="Y1822">
        <f>'raw data Crude oil'!Y1823</f>
        <v>70.34</v>
      </c>
      <c r="Z1822">
        <f>'raw data Crude oil'!Z1823</f>
        <v>77.802999999999997</v>
      </c>
      <c r="AA1822">
        <f>'raw data Crude oil'!AA1823</f>
        <v>77.355000000000004</v>
      </c>
      <c r="AB1822">
        <f>'raw data Crude oil'!AB1823</f>
        <v>77.093999999999994</v>
      </c>
      <c r="AC1822">
        <f>'raw data Crude oil'!AC1823</f>
        <v>76.837000000000003</v>
      </c>
      <c r="AD1822">
        <f>'raw data Crude oil'!AD1823</f>
        <v>76.501000000000005</v>
      </c>
      <c r="AE1822">
        <f>'raw data Crude oil'!AE1823</f>
        <v>76.158000000000001</v>
      </c>
      <c r="AF1822">
        <f>'raw data Crude oil'!AF1823</f>
        <v>75.804000000000002</v>
      </c>
      <c r="AG1822">
        <f>'raw data Crude oil'!AG1823</f>
        <v>75.444000000000003</v>
      </c>
      <c r="AH1822">
        <f>'raw data Crude oil'!AH1823</f>
        <v>75.082999999999998</v>
      </c>
      <c r="AI1822">
        <f>'raw data Crude oil'!AI1823</f>
        <v>74.7</v>
      </c>
      <c r="AJ1822">
        <f>'raw data Crude oil'!AJ1823</f>
        <v>74.325000000000003</v>
      </c>
      <c r="AK1822">
        <f>'raw data Crude oil'!AK1823</f>
        <v>73.963999999999999</v>
      </c>
    </row>
    <row r="1823" spans="1:37" x14ac:dyDescent="0.3">
      <c r="A1823" s="18">
        <f>'raw data Crude oil'!A1824</f>
        <v>45313</v>
      </c>
      <c r="B1823">
        <f>'raw data Crude oil'!B1824</f>
        <v>80.06</v>
      </c>
      <c r="C1823">
        <f>'raw data Crude oil'!C1824</f>
        <v>79.599999999999994</v>
      </c>
      <c r="D1823">
        <f>'raw data Crude oil'!D1824</f>
        <v>79.319999999999993</v>
      </c>
      <c r="E1823">
        <f>'raw data Crude oil'!E1824</f>
        <v>79.06</v>
      </c>
      <c r="F1823">
        <f>'raw data Crude oil'!F1824</f>
        <v>78.760000000000005</v>
      </c>
      <c r="G1823">
        <f>'raw data Crude oil'!G1824</f>
        <v>78.44</v>
      </c>
      <c r="H1823">
        <f>'raw data Crude oil'!H1824</f>
        <v>78.08</v>
      </c>
      <c r="I1823">
        <f>'raw data Crude oil'!I1824</f>
        <v>77.72</v>
      </c>
      <c r="J1823">
        <f>'raw data Crude oil'!J1824</f>
        <v>77.349999999999994</v>
      </c>
      <c r="K1823">
        <f>'raw data Crude oil'!K1824</f>
        <v>76.98</v>
      </c>
      <c r="L1823">
        <f>'raw data Crude oil'!L1824</f>
        <v>76.62</v>
      </c>
      <c r="M1823">
        <f>'raw data Crude oil'!M1824</f>
        <v>76.28</v>
      </c>
      <c r="N1823">
        <f>'raw data Crude oil'!N1824</f>
        <v>75.19</v>
      </c>
      <c r="O1823">
        <f>'raw data Crude oil'!O1824</f>
        <v>74.760000000000005</v>
      </c>
      <c r="P1823">
        <f>'raw data Crude oil'!P1824</f>
        <v>74.650000000000006</v>
      </c>
      <c r="Q1823">
        <f>'raw data Crude oil'!Q1824</f>
        <v>74.540000000000006</v>
      </c>
      <c r="R1823">
        <f>'raw data Crude oil'!R1824</f>
        <v>74.349999999999994</v>
      </c>
      <c r="S1823">
        <f>'raw data Crude oil'!S1824</f>
        <v>74.099999999999994</v>
      </c>
      <c r="T1823">
        <f>'raw data Crude oil'!T1824</f>
        <v>73.760000000000005</v>
      </c>
      <c r="U1823">
        <f>'raw data Crude oil'!U1824</f>
        <v>73.37</v>
      </c>
      <c r="V1823">
        <f>'raw data Crude oil'!V1824</f>
        <v>72.97</v>
      </c>
      <c r="W1823">
        <f>'raw data Crude oil'!W1824</f>
        <v>72.599999999999994</v>
      </c>
      <c r="X1823">
        <f>'raw data Crude oil'!X1824</f>
        <v>72.2</v>
      </c>
      <c r="Y1823">
        <f>'raw data Crude oil'!Y1824</f>
        <v>71.81</v>
      </c>
      <c r="Z1823">
        <f>'raw data Crude oil'!Z1824</f>
        <v>78.325000000000003</v>
      </c>
      <c r="AA1823">
        <f>'raw data Crude oil'!AA1824</f>
        <v>78.897000000000006</v>
      </c>
      <c r="AB1823">
        <f>'raw data Crude oil'!AB1824</f>
        <v>78.656999999999996</v>
      </c>
      <c r="AC1823">
        <f>'raw data Crude oil'!AC1824</f>
        <v>78.396000000000001</v>
      </c>
      <c r="AD1823">
        <f>'raw data Crude oil'!AD1824</f>
        <v>78.055999999999997</v>
      </c>
      <c r="AE1823">
        <f>'raw data Crude oil'!AE1824</f>
        <v>77.706999999999994</v>
      </c>
      <c r="AF1823">
        <f>'raw data Crude oil'!AF1824</f>
        <v>77.338999999999999</v>
      </c>
      <c r="AG1823">
        <f>'raw data Crude oil'!AG1824</f>
        <v>76.972999999999999</v>
      </c>
      <c r="AH1823">
        <f>'raw data Crude oil'!AH1824</f>
        <v>76.602000000000004</v>
      </c>
      <c r="AI1823">
        <f>'raw data Crude oil'!AI1824</f>
        <v>76.213999999999999</v>
      </c>
      <c r="AJ1823">
        <f>'raw data Crude oil'!AJ1824</f>
        <v>75.823999999999998</v>
      </c>
      <c r="AK1823">
        <f>'raw data Crude oil'!AK1824</f>
        <v>75.451999999999998</v>
      </c>
    </row>
    <row r="1824" spans="1:37" x14ac:dyDescent="0.3">
      <c r="A1824" s="18">
        <f>'raw data Crude oil'!A1825</f>
        <v>45314</v>
      </c>
      <c r="B1824">
        <f>'raw data Crude oil'!B1825</f>
        <v>79.55</v>
      </c>
      <c r="C1824">
        <f>'raw data Crude oil'!C1825</f>
        <v>79.11</v>
      </c>
      <c r="D1824">
        <f>'raw data Crude oil'!D1825</f>
        <v>78.849999999999994</v>
      </c>
      <c r="E1824">
        <f>'raw data Crude oil'!E1825</f>
        <v>78.62</v>
      </c>
      <c r="F1824">
        <f>'raw data Crude oil'!F1825</f>
        <v>78.349999999999994</v>
      </c>
      <c r="G1824">
        <f>'raw data Crude oil'!G1825</f>
        <v>78.040000000000006</v>
      </c>
      <c r="H1824">
        <f>'raw data Crude oil'!H1825</f>
        <v>77.709999999999994</v>
      </c>
      <c r="I1824">
        <f>'raw data Crude oil'!I1825</f>
        <v>77.36</v>
      </c>
      <c r="J1824">
        <f>'raw data Crude oil'!J1825</f>
        <v>77.010000000000005</v>
      </c>
      <c r="K1824">
        <f>'raw data Crude oil'!K1825</f>
        <v>76.650000000000006</v>
      </c>
      <c r="L1824">
        <f>'raw data Crude oil'!L1825</f>
        <v>76.290000000000006</v>
      </c>
      <c r="M1824">
        <f>'raw data Crude oil'!M1825</f>
        <v>75.959999999999994</v>
      </c>
      <c r="N1824">
        <f>'raw data Crude oil'!N1825</f>
        <v>74.37</v>
      </c>
      <c r="O1824">
        <f>'raw data Crude oil'!O1825</f>
        <v>74.27</v>
      </c>
      <c r="P1824">
        <f>'raw data Crude oil'!P1825</f>
        <v>74.16</v>
      </c>
      <c r="Q1824">
        <f>'raw data Crude oil'!Q1825</f>
        <v>73.98</v>
      </c>
      <c r="R1824">
        <f>'raw data Crude oil'!R1825</f>
        <v>73.73</v>
      </c>
      <c r="S1824">
        <f>'raw data Crude oil'!S1825</f>
        <v>73.400000000000006</v>
      </c>
      <c r="T1824">
        <f>'raw data Crude oil'!T1825</f>
        <v>73.03</v>
      </c>
      <c r="U1824">
        <f>'raw data Crude oil'!U1825</f>
        <v>72.63</v>
      </c>
      <c r="V1824">
        <f>'raw data Crude oil'!V1825</f>
        <v>72.260000000000005</v>
      </c>
      <c r="W1824">
        <f>'raw data Crude oil'!W1825</f>
        <v>71.88</v>
      </c>
      <c r="X1824">
        <f>'raw data Crude oil'!X1825</f>
        <v>71.48</v>
      </c>
      <c r="Y1824">
        <f>'raw data Crude oil'!Y1825</f>
        <v>71.099999999999994</v>
      </c>
      <c r="Z1824">
        <f>'raw data Crude oil'!Z1825</f>
        <v>78.206000000000003</v>
      </c>
      <c r="AA1824">
        <f>'raw data Crude oil'!AA1825</f>
        <v>78.468999999999994</v>
      </c>
      <c r="AB1824">
        <f>'raw data Crude oil'!AB1825</f>
        <v>78.227999999999994</v>
      </c>
      <c r="AC1824">
        <f>'raw data Crude oil'!AC1825</f>
        <v>77.984999999999999</v>
      </c>
      <c r="AD1824">
        <f>'raw data Crude oil'!AD1825</f>
        <v>77.656000000000006</v>
      </c>
      <c r="AE1824">
        <f>'raw data Crude oil'!AE1825</f>
        <v>77.316000000000003</v>
      </c>
      <c r="AF1824">
        <f>'raw data Crude oil'!AF1825</f>
        <v>76.965999999999994</v>
      </c>
      <c r="AG1824">
        <f>'raw data Crude oil'!AG1825</f>
        <v>76.614000000000004</v>
      </c>
      <c r="AH1824">
        <f>'raw data Crude oil'!AH1825</f>
        <v>76.253</v>
      </c>
      <c r="AI1824">
        <f>'raw data Crude oil'!AI1825</f>
        <v>75.873999999999995</v>
      </c>
      <c r="AJ1824">
        <f>'raw data Crude oil'!AJ1825</f>
        <v>75.494</v>
      </c>
      <c r="AK1824">
        <f>'raw data Crude oil'!AK1825</f>
        <v>75.123000000000005</v>
      </c>
    </row>
    <row r="1825" spans="1:37" x14ac:dyDescent="0.3">
      <c r="A1825" s="18">
        <f>'raw data Crude oil'!A1826</f>
        <v>45315</v>
      </c>
      <c r="B1825">
        <f>'raw data Crude oil'!B1826</f>
        <v>80.040000000000006</v>
      </c>
      <c r="C1825">
        <f>'raw data Crude oil'!C1826</f>
        <v>79.63</v>
      </c>
      <c r="D1825">
        <f>'raw data Crude oil'!D1826</f>
        <v>79.38</v>
      </c>
      <c r="E1825">
        <f>'raw data Crude oil'!E1826</f>
        <v>79.13</v>
      </c>
      <c r="F1825">
        <f>'raw data Crude oil'!F1826</f>
        <v>78.83</v>
      </c>
      <c r="G1825">
        <f>'raw data Crude oil'!G1826</f>
        <v>78.5</v>
      </c>
      <c r="H1825">
        <f>'raw data Crude oil'!H1826</f>
        <v>78.13</v>
      </c>
      <c r="I1825">
        <f>'raw data Crude oil'!I1826</f>
        <v>77.760000000000005</v>
      </c>
      <c r="J1825">
        <f>'raw data Crude oil'!J1826</f>
        <v>77.39</v>
      </c>
      <c r="K1825">
        <f>'raw data Crude oil'!K1826</f>
        <v>77.010000000000005</v>
      </c>
      <c r="L1825">
        <f>'raw data Crude oil'!L1826</f>
        <v>76.64</v>
      </c>
      <c r="M1825">
        <f>'raw data Crude oil'!M1826</f>
        <v>76.3</v>
      </c>
      <c r="N1825">
        <f>'raw data Crude oil'!N1826</f>
        <v>75.09</v>
      </c>
      <c r="O1825">
        <f>'raw data Crude oil'!O1826</f>
        <v>74.98</v>
      </c>
      <c r="P1825">
        <f>'raw data Crude oil'!P1826</f>
        <v>74.849999999999994</v>
      </c>
      <c r="Q1825">
        <f>'raw data Crude oil'!Q1826</f>
        <v>74.64</v>
      </c>
      <c r="R1825">
        <f>'raw data Crude oil'!R1826</f>
        <v>74.349999999999994</v>
      </c>
      <c r="S1825">
        <f>'raw data Crude oil'!S1826</f>
        <v>73.98</v>
      </c>
      <c r="T1825">
        <f>'raw data Crude oil'!T1826</f>
        <v>73.56</v>
      </c>
      <c r="U1825">
        <f>'raw data Crude oil'!U1826</f>
        <v>73.13</v>
      </c>
      <c r="V1825">
        <f>'raw data Crude oil'!V1826</f>
        <v>72.739999999999995</v>
      </c>
      <c r="W1825">
        <f>'raw data Crude oil'!W1826</f>
        <v>72.349999999999994</v>
      </c>
      <c r="X1825">
        <f>'raw data Crude oil'!X1826</f>
        <v>71.94</v>
      </c>
      <c r="Y1825">
        <f>'raw data Crude oil'!Y1826</f>
        <v>71.55</v>
      </c>
      <c r="Z1825">
        <f>'raw data Crude oil'!Z1826</f>
        <v>78.373999999999995</v>
      </c>
      <c r="AA1825">
        <f>'raw data Crude oil'!AA1826</f>
        <v>79.129000000000005</v>
      </c>
      <c r="AB1825">
        <f>'raw data Crude oil'!AB1826</f>
        <v>78.870999999999995</v>
      </c>
      <c r="AC1825">
        <f>'raw data Crude oil'!AC1826</f>
        <v>78.581000000000003</v>
      </c>
      <c r="AD1825">
        <f>'raw data Crude oil'!AD1826</f>
        <v>78.209000000000003</v>
      </c>
      <c r="AE1825">
        <f>'raw data Crude oil'!AE1826</f>
        <v>77.825000000000003</v>
      </c>
      <c r="AF1825">
        <f>'raw data Crude oil'!AF1826</f>
        <v>77.433999999999997</v>
      </c>
      <c r="AG1825">
        <f>'raw data Crude oil'!AG1826</f>
        <v>77.043000000000006</v>
      </c>
      <c r="AH1825">
        <f>'raw data Crude oil'!AH1826</f>
        <v>76.652000000000001</v>
      </c>
      <c r="AI1825">
        <f>'raw data Crude oil'!AI1826</f>
        <v>76.254000000000005</v>
      </c>
      <c r="AJ1825">
        <f>'raw data Crude oil'!AJ1826</f>
        <v>75.853999999999999</v>
      </c>
      <c r="AK1825">
        <f>'raw data Crude oil'!AK1826</f>
        <v>75.462000000000003</v>
      </c>
    </row>
    <row r="1826" spans="1:37" x14ac:dyDescent="0.3">
      <c r="A1826" s="18">
        <f>'raw data Crude oil'!A1827</f>
        <v>45316</v>
      </c>
      <c r="B1826">
        <f>'raw data Crude oil'!B1827</f>
        <v>82.43</v>
      </c>
      <c r="C1826">
        <f>'raw data Crude oil'!C1827</f>
        <v>81.96</v>
      </c>
      <c r="D1826">
        <f>'raw data Crude oil'!D1827</f>
        <v>81.63</v>
      </c>
      <c r="E1826">
        <f>'raw data Crude oil'!E1827</f>
        <v>81.290000000000006</v>
      </c>
      <c r="F1826">
        <f>'raw data Crude oil'!F1827</f>
        <v>80.89</v>
      </c>
      <c r="G1826">
        <f>'raw data Crude oil'!G1827</f>
        <v>80.45</v>
      </c>
      <c r="H1826">
        <f>'raw data Crude oil'!H1827</f>
        <v>79.989999999999995</v>
      </c>
      <c r="I1826">
        <f>'raw data Crude oil'!I1827</f>
        <v>79.53</v>
      </c>
      <c r="J1826">
        <f>'raw data Crude oil'!J1827</f>
        <v>79.09</v>
      </c>
      <c r="K1826">
        <f>'raw data Crude oil'!K1827</f>
        <v>78.64</v>
      </c>
      <c r="L1826">
        <f>'raw data Crude oil'!L1827</f>
        <v>78.209999999999994</v>
      </c>
      <c r="M1826">
        <f>'raw data Crude oil'!M1827</f>
        <v>77.819999999999993</v>
      </c>
      <c r="N1826">
        <f>'raw data Crude oil'!N1827</f>
        <v>77.36</v>
      </c>
      <c r="O1826">
        <f>'raw data Crude oil'!O1827</f>
        <v>77.19</v>
      </c>
      <c r="P1826">
        <f>'raw data Crude oil'!P1827</f>
        <v>77.010000000000005</v>
      </c>
      <c r="Q1826">
        <f>'raw data Crude oil'!Q1827</f>
        <v>76.72</v>
      </c>
      <c r="R1826">
        <f>'raw data Crude oil'!R1827</f>
        <v>76.34</v>
      </c>
      <c r="S1826">
        <f>'raw data Crude oil'!S1827</f>
        <v>75.88</v>
      </c>
      <c r="T1826">
        <f>'raw data Crude oil'!T1827</f>
        <v>75.38</v>
      </c>
      <c r="U1826">
        <f>'raw data Crude oil'!U1827</f>
        <v>74.87</v>
      </c>
      <c r="V1826">
        <f>'raw data Crude oil'!V1827</f>
        <v>74.42</v>
      </c>
      <c r="W1826">
        <f>'raw data Crude oil'!W1827</f>
        <v>73.97</v>
      </c>
      <c r="X1826">
        <f>'raw data Crude oil'!X1827</f>
        <v>73.5</v>
      </c>
      <c r="Y1826">
        <f>'raw data Crude oil'!Y1827</f>
        <v>73.06</v>
      </c>
      <c r="Z1826">
        <f>'raw data Crude oil'!Z1827</f>
        <v>78.804000000000002</v>
      </c>
      <c r="AA1826">
        <f>'raw data Crude oil'!AA1827</f>
        <v>81.328999999999994</v>
      </c>
      <c r="AB1826">
        <f>'raw data Crude oil'!AB1827</f>
        <v>81.048000000000002</v>
      </c>
      <c r="AC1826">
        <f>'raw data Crude oil'!AC1827</f>
        <v>80.707999999999998</v>
      </c>
      <c r="AD1826">
        <f>'raw data Crude oil'!AD1827</f>
        <v>80.289000000000001</v>
      </c>
      <c r="AE1826">
        <f>'raw data Crude oil'!AE1827</f>
        <v>79.819999999999993</v>
      </c>
      <c r="AF1826">
        <f>'raw data Crude oil'!AF1827</f>
        <v>79.332999999999998</v>
      </c>
      <c r="AG1826">
        <f>'raw data Crude oil'!AG1827</f>
        <v>78.852999999999994</v>
      </c>
      <c r="AH1826">
        <f>'raw data Crude oil'!AH1827</f>
        <v>78.382000000000005</v>
      </c>
      <c r="AI1826">
        <f>'raw data Crude oil'!AI1827</f>
        <v>77.894000000000005</v>
      </c>
      <c r="AJ1826">
        <f>'raw data Crude oil'!AJ1827</f>
        <v>77.411000000000001</v>
      </c>
      <c r="AK1826">
        <f>'raw data Crude oil'!AK1827</f>
        <v>76.968000000000004</v>
      </c>
    </row>
    <row r="1827" spans="1:37" x14ac:dyDescent="0.3">
      <c r="A1827" s="18">
        <f>'raw data Crude oil'!A1828</f>
        <v>45317</v>
      </c>
      <c r="B1827">
        <f>'raw data Crude oil'!B1828</f>
        <v>83.55</v>
      </c>
      <c r="C1827">
        <f>'raw data Crude oil'!C1828</f>
        <v>82.95</v>
      </c>
      <c r="D1827">
        <f>'raw data Crude oil'!D1828</f>
        <v>82.52</v>
      </c>
      <c r="E1827">
        <f>'raw data Crude oil'!E1828</f>
        <v>82.13</v>
      </c>
      <c r="F1827">
        <f>'raw data Crude oil'!F1828</f>
        <v>81.709999999999994</v>
      </c>
      <c r="G1827">
        <f>'raw data Crude oil'!G1828</f>
        <v>81.27</v>
      </c>
      <c r="H1827">
        <f>'raw data Crude oil'!H1828</f>
        <v>80.790000000000006</v>
      </c>
      <c r="I1827">
        <f>'raw data Crude oil'!I1828</f>
        <v>80.31</v>
      </c>
      <c r="J1827">
        <f>'raw data Crude oil'!J1828</f>
        <v>79.84</v>
      </c>
      <c r="K1827">
        <f>'raw data Crude oil'!K1828</f>
        <v>79.37</v>
      </c>
      <c r="L1827">
        <f>'raw data Crude oil'!L1828</f>
        <v>78.92</v>
      </c>
      <c r="M1827">
        <f>'raw data Crude oil'!M1828</f>
        <v>78.510000000000005</v>
      </c>
      <c r="N1827">
        <f>'raw data Crude oil'!N1828</f>
        <v>78.010000000000005</v>
      </c>
      <c r="O1827">
        <f>'raw data Crude oil'!O1828</f>
        <v>77.86</v>
      </c>
      <c r="P1827">
        <f>'raw data Crude oil'!P1828</f>
        <v>77.680000000000007</v>
      </c>
      <c r="Q1827">
        <f>'raw data Crude oil'!Q1828</f>
        <v>77.39</v>
      </c>
      <c r="R1827">
        <f>'raw data Crude oil'!R1828</f>
        <v>77</v>
      </c>
      <c r="S1827">
        <f>'raw data Crude oil'!S1828</f>
        <v>76.52</v>
      </c>
      <c r="T1827">
        <f>'raw data Crude oil'!T1828</f>
        <v>75.989999999999995</v>
      </c>
      <c r="U1827">
        <f>'raw data Crude oil'!U1828</f>
        <v>75.459999999999994</v>
      </c>
      <c r="V1827">
        <f>'raw data Crude oil'!V1828</f>
        <v>74.989999999999995</v>
      </c>
      <c r="W1827">
        <f>'raw data Crude oil'!W1828</f>
        <v>74.52</v>
      </c>
      <c r="X1827">
        <f>'raw data Crude oil'!X1828</f>
        <v>74.040000000000006</v>
      </c>
      <c r="Y1827">
        <f>'raw data Crude oil'!Y1828</f>
        <v>73.59</v>
      </c>
      <c r="Z1827">
        <f>'raw data Crude oil'!Z1828</f>
        <v>78.902000000000001</v>
      </c>
      <c r="AA1827">
        <f>'raw data Crude oil'!AA1828</f>
        <v>82.191000000000003</v>
      </c>
      <c r="AB1827">
        <f>'raw data Crude oil'!AB1828</f>
        <v>81.912000000000006</v>
      </c>
      <c r="AC1827">
        <f>'raw data Crude oil'!AC1828</f>
        <v>81.551000000000002</v>
      </c>
      <c r="AD1827">
        <f>'raw data Crude oil'!AD1828</f>
        <v>81.081000000000003</v>
      </c>
      <c r="AE1827">
        <f>'raw data Crude oil'!AE1828</f>
        <v>80.585999999999999</v>
      </c>
      <c r="AF1827">
        <f>'raw data Crude oil'!AF1828</f>
        <v>80.088999999999999</v>
      </c>
      <c r="AG1827">
        <f>'raw data Crude oil'!AG1828</f>
        <v>79.588999999999999</v>
      </c>
      <c r="AH1827">
        <f>'raw data Crude oil'!AH1828</f>
        <v>79.108000000000004</v>
      </c>
      <c r="AI1827">
        <f>'raw data Crude oil'!AI1828</f>
        <v>78.62</v>
      </c>
      <c r="AJ1827">
        <f>'raw data Crude oil'!AJ1828</f>
        <v>78.14</v>
      </c>
      <c r="AK1827">
        <f>'raw data Crude oil'!AK1828</f>
        <v>77.677000000000007</v>
      </c>
    </row>
    <row r="1828" spans="1:37" x14ac:dyDescent="0.3">
      <c r="A1828" s="18">
        <f>'raw data Crude oil'!A1829</f>
        <v>45320</v>
      </c>
      <c r="B1828">
        <f>'raw data Crude oil'!B1829</f>
        <v>82.4</v>
      </c>
      <c r="C1828">
        <f>'raw data Crude oil'!C1829</f>
        <v>81.83</v>
      </c>
      <c r="D1828">
        <f>'raw data Crude oil'!D1829</f>
        <v>81.45</v>
      </c>
      <c r="E1828">
        <f>'raw data Crude oil'!E1829</f>
        <v>81.08</v>
      </c>
      <c r="F1828">
        <f>'raw data Crude oil'!F1829</f>
        <v>80.680000000000007</v>
      </c>
      <c r="G1828">
        <f>'raw data Crude oil'!G1829</f>
        <v>80.25</v>
      </c>
      <c r="H1828">
        <f>'raw data Crude oil'!H1829</f>
        <v>79.78</v>
      </c>
      <c r="I1828">
        <f>'raw data Crude oil'!I1829</f>
        <v>79.319999999999993</v>
      </c>
      <c r="J1828">
        <f>'raw data Crude oil'!J1829</f>
        <v>78.86</v>
      </c>
      <c r="K1828">
        <f>'raw data Crude oil'!K1829</f>
        <v>78.41</v>
      </c>
      <c r="L1828">
        <f>'raw data Crude oil'!L1829</f>
        <v>77.97</v>
      </c>
      <c r="M1828">
        <f>'raw data Crude oil'!M1829</f>
        <v>77.56</v>
      </c>
      <c r="N1828">
        <f>'raw data Crude oil'!N1829</f>
        <v>76.78</v>
      </c>
      <c r="O1828">
        <f>'raw data Crude oil'!O1829</f>
        <v>76.67</v>
      </c>
      <c r="P1828">
        <f>'raw data Crude oil'!P1829</f>
        <v>76.55</v>
      </c>
      <c r="Q1828">
        <f>'raw data Crude oil'!Q1829</f>
        <v>76.33</v>
      </c>
      <c r="R1828">
        <f>'raw data Crude oil'!R1829</f>
        <v>76</v>
      </c>
      <c r="S1828">
        <f>'raw data Crude oil'!S1829</f>
        <v>75.56</v>
      </c>
      <c r="T1828">
        <f>'raw data Crude oil'!T1829</f>
        <v>75.06</v>
      </c>
      <c r="U1828">
        <f>'raw data Crude oil'!U1829</f>
        <v>74.55</v>
      </c>
      <c r="V1828">
        <f>'raw data Crude oil'!V1829</f>
        <v>74.08</v>
      </c>
      <c r="W1828">
        <f>'raw data Crude oil'!W1829</f>
        <v>73.62</v>
      </c>
      <c r="X1828">
        <f>'raw data Crude oil'!X1829</f>
        <v>73.150000000000006</v>
      </c>
      <c r="Y1828">
        <f>'raw data Crude oil'!Y1829</f>
        <v>72.709999999999994</v>
      </c>
      <c r="Z1828">
        <f>'raw data Crude oil'!Z1829</f>
        <v>78.820999999999998</v>
      </c>
      <c r="AA1828">
        <f>'raw data Crude oil'!AA1829</f>
        <v>81.122</v>
      </c>
      <c r="AB1828">
        <f>'raw data Crude oil'!AB1829</f>
        <v>80.852000000000004</v>
      </c>
      <c r="AC1828">
        <f>'raw data Crude oil'!AC1829</f>
        <v>80.462999999999994</v>
      </c>
      <c r="AD1828">
        <f>'raw data Crude oil'!AD1829</f>
        <v>80.010999999999996</v>
      </c>
      <c r="AE1828">
        <f>'raw data Crude oil'!AE1829</f>
        <v>79.527000000000001</v>
      </c>
      <c r="AF1828">
        <f>'raw data Crude oil'!AF1829</f>
        <v>79.040000000000006</v>
      </c>
      <c r="AG1828">
        <f>'raw data Crude oil'!AG1829</f>
        <v>78.569000000000003</v>
      </c>
      <c r="AH1828">
        <f>'raw data Crude oil'!AH1829</f>
        <v>78.108999999999995</v>
      </c>
      <c r="AI1828">
        <f>'raw data Crude oil'!AI1829</f>
        <v>77.641000000000005</v>
      </c>
      <c r="AJ1828">
        <f>'raw data Crude oil'!AJ1829</f>
        <v>77.17</v>
      </c>
      <c r="AK1828">
        <f>'raw data Crude oil'!AK1829</f>
        <v>76.727999999999994</v>
      </c>
    </row>
    <row r="1829" spans="1:37" x14ac:dyDescent="0.3">
      <c r="A1829" s="18">
        <f>'raw data Crude oil'!A1830</f>
        <v>45321</v>
      </c>
      <c r="B1829">
        <f>'raw data Crude oil'!B1830</f>
        <v>82.87</v>
      </c>
      <c r="C1829">
        <f>'raw data Crude oil'!C1830</f>
        <v>82.5</v>
      </c>
      <c r="D1829">
        <f>'raw data Crude oil'!D1830</f>
        <v>82.13</v>
      </c>
      <c r="E1829">
        <f>'raw data Crude oil'!E1830</f>
        <v>81.75</v>
      </c>
      <c r="F1829">
        <f>'raw data Crude oil'!F1830</f>
        <v>81.36</v>
      </c>
      <c r="G1829">
        <f>'raw data Crude oil'!G1830</f>
        <v>80.94</v>
      </c>
      <c r="H1829">
        <f>'raw data Crude oil'!H1830</f>
        <v>80.48</v>
      </c>
      <c r="I1829">
        <f>'raw data Crude oil'!I1830</f>
        <v>80.02</v>
      </c>
      <c r="J1829">
        <f>'raw data Crude oil'!J1830</f>
        <v>79.569999999999993</v>
      </c>
      <c r="K1829">
        <f>'raw data Crude oil'!K1830</f>
        <v>79.11</v>
      </c>
      <c r="L1829">
        <f>'raw data Crude oil'!L1830</f>
        <v>78.67</v>
      </c>
      <c r="M1829">
        <f>'raw data Crude oil'!M1830</f>
        <v>78.25</v>
      </c>
      <c r="N1829">
        <f>'raw data Crude oil'!N1830</f>
        <v>77.819999999999993</v>
      </c>
      <c r="O1829">
        <f>'raw data Crude oil'!O1830</f>
        <v>77.650000000000006</v>
      </c>
      <c r="P1829">
        <f>'raw data Crude oil'!P1830</f>
        <v>77.48</v>
      </c>
      <c r="Q1829">
        <f>'raw data Crude oil'!Q1830</f>
        <v>77.22</v>
      </c>
      <c r="R1829">
        <f>'raw data Crude oil'!R1830</f>
        <v>76.87</v>
      </c>
      <c r="S1829">
        <f>'raw data Crude oil'!S1830</f>
        <v>76.41</v>
      </c>
      <c r="T1829">
        <f>'raw data Crude oil'!T1830</f>
        <v>75.92</v>
      </c>
      <c r="U1829">
        <f>'raw data Crude oil'!U1830</f>
        <v>75.41</v>
      </c>
      <c r="V1829">
        <f>'raw data Crude oil'!V1830</f>
        <v>74.94</v>
      </c>
      <c r="W1829">
        <f>'raw data Crude oil'!W1830</f>
        <v>74.47</v>
      </c>
      <c r="X1829">
        <f>'raw data Crude oil'!X1830</f>
        <v>73.98</v>
      </c>
      <c r="Y1829">
        <f>'raw data Crude oil'!Y1830</f>
        <v>73.53</v>
      </c>
      <c r="Z1829">
        <f>'raw data Crude oil'!Z1830</f>
        <v>78.856999999999999</v>
      </c>
      <c r="AA1829">
        <f>'raw data Crude oil'!AA1830</f>
        <v>81.867000000000004</v>
      </c>
      <c r="AB1829">
        <f>'raw data Crude oil'!AB1830</f>
        <v>81.581000000000003</v>
      </c>
      <c r="AC1829">
        <f>'raw data Crude oil'!AC1830</f>
        <v>81.137</v>
      </c>
      <c r="AD1829">
        <f>'raw data Crude oil'!AD1830</f>
        <v>80.686999999999998</v>
      </c>
      <c r="AE1829">
        <f>'raw data Crude oil'!AE1830</f>
        <v>80.224999999999994</v>
      </c>
      <c r="AF1829">
        <f>'raw data Crude oil'!AF1830</f>
        <v>79.754999999999995</v>
      </c>
      <c r="AG1829">
        <f>'raw data Crude oil'!AG1830</f>
        <v>79.292000000000002</v>
      </c>
      <c r="AH1829">
        <f>'raw data Crude oil'!AH1830</f>
        <v>78.832999999999998</v>
      </c>
      <c r="AI1829">
        <f>'raw data Crude oil'!AI1830</f>
        <v>78.355999999999995</v>
      </c>
      <c r="AJ1829">
        <f>'raw data Crude oil'!AJ1830</f>
        <v>77.89</v>
      </c>
      <c r="AK1829">
        <f>'raw data Crude oil'!AK1830</f>
        <v>77.421999999999997</v>
      </c>
    </row>
    <row r="1830" spans="1:37" x14ac:dyDescent="0.3">
      <c r="A1830" s="18">
        <f>'raw data Crude oil'!A1831</f>
        <v>45322</v>
      </c>
      <c r="B1830">
        <f>'raw data Crude oil'!B1831</f>
        <v>81.709999999999994</v>
      </c>
      <c r="C1830">
        <f>'raw data Crude oil'!C1831</f>
        <v>80.55</v>
      </c>
      <c r="D1830">
        <f>'raw data Crude oil'!D1831</f>
        <v>80.27</v>
      </c>
      <c r="E1830">
        <f>'raw data Crude oil'!E1831</f>
        <v>79.95</v>
      </c>
      <c r="F1830">
        <f>'raw data Crude oil'!F1831</f>
        <v>79.58</v>
      </c>
      <c r="G1830">
        <f>'raw data Crude oil'!G1831</f>
        <v>79.19</v>
      </c>
      <c r="H1830">
        <f>'raw data Crude oil'!H1831</f>
        <v>78.77</v>
      </c>
      <c r="I1830">
        <f>'raw data Crude oil'!I1831</f>
        <v>78.34</v>
      </c>
      <c r="J1830">
        <f>'raw data Crude oil'!J1831</f>
        <v>77.92</v>
      </c>
      <c r="K1830">
        <f>'raw data Crude oil'!K1831</f>
        <v>77.5</v>
      </c>
      <c r="L1830">
        <f>'raw data Crude oil'!L1831</f>
        <v>77.08</v>
      </c>
      <c r="M1830">
        <f>'raw data Crude oil'!M1831</f>
        <v>76.7</v>
      </c>
      <c r="N1830">
        <f>'raw data Crude oil'!N1831</f>
        <v>75.849999999999994</v>
      </c>
      <c r="O1830">
        <f>'raw data Crude oil'!O1831</f>
        <v>75.709999999999994</v>
      </c>
      <c r="P1830">
        <f>'raw data Crude oil'!P1831</f>
        <v>75.56</v>
      </c>
      <c r="Q1830">
        <f>'raw data Crude oil'!Q1831</f>
        <v>75.349999999999994</v>
      </c>
      <c r="R1830">
        <f>'raw data Crude oil'!R1831</f>
        <v>75.040000000000006</v>
      </c>
      <c r="S1830">
        <f>'raw data Crude oil'!S1831</f>
        <v>74.64</v>
      </c>
      <c r="T1830">
        <f>'raw data Crude oil'!T1831</f>
        <v>74.2</v>
      </c>
      <c r="U1830">
        <f>'raw data Crude oil'!U1831</f>
        <v>73.739999999999995</v>
      </c>
      <c r="V1830">
        <f>'raw data Crude oil'!V1831</f>
        <v>73.319999999999993</v>
      </c>
      <c r="W1830">
        <f>'raw data Crude oil'!W1831</f>
        <v>72.89</v>
      </c>
      <c r="X1830">
        <f>'raw data Crude oil'!X1831</f>
        <v>72.45</v>
      </c>
      <c r="Y1830">
        <f>'raw data Crude oil'!Y1831</f>
        <v>72.03</v>
      </c>
      <c r="Z1830">
        <f>'raw data Crude oil'!Z1831</f>
        <v>78.846999999999994</v>
      </c>
      <c r="AA1830">
        <f>'raw data Crude oil'!AA1831</f>
        <v>80.147000000000006</v>
      </c>
      <c r="AB1830">
        <f>'raw data Crude oil'!AB1831</f>
        <v>79.834000000000003</v>
      </c>
      <c r="AC1830">
        <f>'raw data Crude oil'!AC1831</f>
        <v>79.387</v>
      </c>
      <c r="AD1830">
        <f>'raw data Crude oil'!AD1831</f>
        <v>78.947999999999993</v>
      </c>
      <c r="AE1830">
        <f>'raw data Crude oil'!AE1831</f>
        <v>78.503</v>
      </c>
      <c r="AF1830">
        <f>'raw data Crude oil'!AF1831</f>
        <v>78.058000000000007</v>
      </c>
      <c r="AG1830">
        <f>'raw data Crude oil'!AG1831</f>
        <v>77.617999999999995</v>
      </c>
      <c r="AH1830">
        <f>'raw data Crude oil'!AH1831</f>
        <v>77.180000000000007</v>
      </c>
      <c r="AI1830">
        <f>'raw data Crude oil'!AI1831</f>
        <v>76.731999999999999</v>
      </c>
      <c r="AJ1830">
        <f>'raw data Crude oil'!AJ1831</f>
        <v>76.272000000000006</v>
      </c>
      <c r="AK1830">
        <f>'raw data Crude oil'!AK1831</f>
        <v>75.83</v>
      </c>
    </row>
    <row r="1831" spans="1:37" x14ac:dyDescent="0.3">
      <c r="A1831" s="18">
        <f>'raw data Crude oil'!A1832</f>
        <v>45323</v>
      </c>
      <c r="B1831">
        <f>'raw data Crude oil'!B1832</f>
        <v>78.7</v>
      </c>
      <c r="C1831">
        <f>'raw data Crude oil'!C1832</f>
        <v>78.41</v>
      </c>
      <c r="D1831">
        <f>'raw data Crude oil'!D1832</f>
        <v>78.11</v>
      </c>
      <c r="E1831">
        <f>'raw data Crude oil'!E1832</f>
        <v>77.78</v>
      </c>
      <c r="F1831">
        <f>'raw data Crude oil'!F1832</f>
        <v>77.430000000000007</v>
      </c>
      <c r="G1831">
        <f>'raw data Crude oil'!G1832</f>
        <v>77.040000000000006</v>
      </c>
      <c r="H1831">
        <f>'raw data Crude oil'!H1832</f>
        <v>76.63</v>
      </c>
      <c r="I1831">
        <f>'raw data Crude oil'!I1832</f>
        <v>76.23</v>
      </c>
      <c r="J1831">
        <f>'raw data Crude oil'!J1832</f>
        <v>75.819999999999993</v>
      </c>
      <c r="K1831">
        <f>'raw data Crude oil'!K1832</f>
        <v>75.430000000000007</v>
      </c>
      <c r="L1831">
        <f>'raw data Crude oil'!L1832</f>
        <v>75.06</v>
      </c>
      <c r="M1831">
        <f>'raw data Crude oil'!M1832</f>
        <v>74.760000000000005</v>
      </c>
      <c r="N1831">
        <f>'raw data Crude oil'!N1832</f>
        <v>73.819999999999993</v>
      </c>
      <c r="O1831">
        <f>'raw data Crude oil'!O1832</f>
        <v>73.790000000000006</v>
      </c>
      <c r="P1831">
        <f>'raw data Crude oil'!P1832</f>
        <v>73.7</v>
      </c>
      <c r="Q1831">
        <f>'raw data Crude oil'!Q1832</f>
        <v>73.540000000000006</v>
      </c>
      <c r="R1831">
        <f>'raw data Crude oil'!R1832</f>
        <v>73.28</v>
      </c>
      <c r="S1831">
        <f>'raw data Crude oil'!S1832</f>
        <v>72.91</v>
      </c>
      <c r="T1831">
        <f>'raw data Crude oil'!T1832</f>
        <v>72.489999999999995</v>
      </c>
      <c r="U1831">
        <f>'raw data Crude oil'!U1832</f>
        <v>72.06</v>
      </c>
      <c r="V1831">
        <f>'raw data Crude oil'!V1832</f>
        <v>71.66</v>
      </c>
      <c r="W1831">
        <f>'raw data Crude oil'!W1832</f>
        <v>71.25</v>
      </c>
      <c r="X1831">
        <f>'raw data Crude oil'!X1832</f>
        <v>70.83</v>
      </c>
      <c r="Y1831">
        <f>'raw data Crude oil'!Y1832</f>
        <v>70.430000000000007</v>
      </c>
      <c r="Z1831">
        <f>'raw data Crude oil'!Z1832</f>
        <v>78.846999999999994</v>
      </c>
      <c r="AA1831">
        <f>'raw data Crude oil'!AA1832</f>
        <v>78.557000000000002</v>
      </c>
      <c r="AB1831">
        <f>'raw data Crude oil'!AB1832</f>
        <v>78.204999999999998</v>
      </c>
      <c r="AC1831">
        <f>'raw data Crude oil'!AC1832</f>
        <v>77.724999999999994</v>
      </c>
      <c r="AD1831">
        <f>'raw data Crude oil'!AD1832</f>
        <v>77.260000000000005</v>
      </c>
      <c r="AE1831">
        <f>'raw data Crude oil'!AE1832</f>
        <v>76.802000000000007</v>
      </c>
      <c r="AF1831">
        <f>'raw data Crude oil'!AF1832</f>
        <v>76.37</v>
      </c>
      <c r="AG1831">
        <f>'raw data Crude oil'!AG1832</f>
        <v>75.947000000000003</v>
      </c>
      <c r="AH1831">
        <f>'raw data Crude oil'!AH1832</f>
        <v>75.527000000000001</v>
      </c>
      <c r="AI1831">
        <f>'raw data Crude oil'!AI1832</f>
        <v>75.113</v>
      </c>
      <c r="AJ1831">
        <f>'raw data Crude oil'!AJ1832</f>
        <v>74.701999999999998</v>
      </c>
      <c r="AK1831">
        <f>'raw data Crude oil'!AK1832</f>
        <v>74.301000000000002</v>
      </c>
    </row>
    <row r="1832" spans="1:37" x14ac:dyDescent="0.3">
      <c r="A1832" s="18">
        <f>'raw data Crude oil'!A1833</f>
        <v>45324</v>
      </c>
      <c r="B1832">
        <f>'raw data Crude oil'!B1833</f>
        <v>77.33</v>
      </c>
      <c r="C1832">
        <f>'raw data Crude oil'!C1833</f>
        <v>77.069999999999993</v>
      </c>
      <c r="D1832">
        <f>'raw data Crude oil'!D1833</f>
        <v>76.8</v>
      </c>
      <c r="E1832">
        <f>'raw data Crude oil'!E1833</f>
        <v>76.5</v>
      </c>
      <c r="F1832">
        <f>'raw data Crude oil'!F1833</f>
        <v>76.19</v>
      </c>
      <c r="G1832">
        <f>'raw data Crude oil'!G1833</f>
        <v>75.83</v>
      </c>
      <c r="H1832">
        <f>'raw data Crude oil'!H1833</f>
        <v>75.45</v>
      </c>
      <c r="I1832">
        <f>'raw data Crude oil'!I1833</f>
        <v>75.09</v>
      </c>
      <c r="J1832">
        <f>'raw data Crude oil'!J1833</f>
        <v>74.72</v>
      </c>
      <c r="K1832">
        <f>'raw data Crude oil'!K1833</f>
        <v>74.36</v>
      </c>
      <c r="L1832">
        <f>'raw data Crude oil'!L1833</f>
        <v>74.03</v>
      </c>
      <c r="M1832">
        <f>'raw data Crude oil'!M1833</f>
        <v>73.760000000000005</v>
      </c>
      <c r="N1832">
        <f>'raw data Crude oil'!N1833</f>
        <v>72.28</v>
      </c>
      <c r="O1832">
        <f>'raw data Crude oil'!O1833</f>
        <v>72.3</v>
      </c>
      <c r="P1832">
        <f>'raw data Crude oil'!P1833</f>
        <v>72.28</v>
      </c>
      <c r="Q1832">
        <f>'raw data Crude oil'!Q1833</f>
        <v>72.180000000000007</v>
      </c>
      <c r="R1832">
        <f>'raw data Crude oil'!R1833</f>
        <v>71.97</v>
      </c>
      <c r="S1832">
        <f>'raw data Crude oil'!S1833</f>
        <v>71.66</v>
      </c>
      <c r="T1832">
        <f>'raw data Crude oil'!T1833</f>
        <v>71.28</v>
      </c>
      <c r="U1832">
        <f>'raw data Crude oil'!U1833</f>
        <v>70.89</v>
      </c>
      <c r="V1832">
        <f>'raw data Crude oil'!V1833</f>
        <v>70.53</v>
      </c>
      <c r="W1832">
        <f>'raw data Crude oil'!W1833</f>
        <v>70.150000000000006</v>
      </c>
      <c r="X1832">
        <f>'raw data Crude oil'!X1833</f>
        <v>69.77</v>
      </c>
      <c r="Y1832">
        <f>'raw data Crude oil'!Y1833</f>
        <v>69.42</v>
      </c>
      <c r="Z1832">
        <f>'raw data Crude oil'!Z1833</f>
        <v>77.575000000000003</v>
      </c>
      <c r="AA1832">
        <f>'raw data Crude oil'!AA1833</f>
        <v>76.906999999999996</v>
      </c>
      <c r="AB1832">
        <f>'raw data Crude oil'!AB1833</f>
        <v>76.45</v>
      </c>
      <c r="AC1832">
        <f>'raw data Crude oil'!AC1833</f>
        <v>76.02</v>
      </c>
      <c r="AD1832">
        <f>'raw data Crude oil'!AD1833</f>
        <v>75.608999999999995</v>
      </c>
      <c r="AE1832">
        <f>'raw data Crude oil'!AE1833</f>
        <v>75.203000000000003</v>
      </c>
      <c r="AF1832">
        <f>'raw data Crude oil'!AF1833</f>
        <v>74.804000000000002</v>
      </c>
      <c r="AG1832">
        <f>'raw data Crude oil'!AG1833</f>
        <v>74.423000000000002</v>
      </c>
      <c r="AH1832">
        <f>'raw data Crude oil'!AH1833</f>
        <v>74.03</v>
      </c>
      <c r="AI1832">
        <f>'raw data Crude oil'!AI1833</f>
        <v>73.644000000000005</v>
      </c>
      <c r="AJ1832">
        <f>'raw data Crude oil'!AJ1833</f>
        <v>73.284000000000006</v>
      </c>
      <c r="AK1832">
        <f>'raw data Crude oil'!AK1833</f>
        <v>73.019000000000005</v>
      </c>
    </row>
    <row r="1833" spans="1:37" x14ac:dyDescent="0.3">
      <c r="A1833" s="18">
        <f>'raw data Crude oil'!A1834</f>
        <v>45327</v>
      </c>
      <c r="B1833">
        <f>'raw data Crude oil'!B1834</f>
        <v>77.989999999999995</v>
      </c>
      <c r="C1833">
        <f>'raw data Crude oil'!C1834</f>
        <v>77.73</v>
      </c>
      <c r="D1833">
        <f>'raw data Crude oil'!D1834</f>
        <v>77.48</v>
      </c>
      <c r="E1833">
        <f>'raw data Crude oil'!E1834</f>
        <v>77.2</v>
      </c>
      <c r="F1833">
        <f>'raw data Crude oil'!F1834</f>
        <v>76.900000000000006</v>
      </c>
      <c r="G1833">
        <f>'raw data Crude oil'!G1834</f>
        <v>76.56</v>
      </c>
      <c r="H1833">
        <f>'raw data Crude oil'!H1834</f>
        <v>76.19</v>
      </c>
      <c r="I1833">
        <f>'raw data Crude oil'!I1834</f>
        <v>75.83</v>
      </c>
      <c r="J1833">
        <f>'raw data Crude oil'!J1834</f>
        <v>75.47</v>
      </c>
      <c r="K1833">
        <f>'raw data Crude oil'!K1834</f>
        <v>75.11</v>
      </c>
      <c r="L1833">
        <f>'raw data Crude oil'!L1834</f>
        <v>74.77</v>
      </c>
      <c r="M1833">
        <f>'raw data Crude oil'!M1834</f>
        <v>74.5</v>
      </c>
      <c r="N1833">
        <f>'raw data Crude oil'!N1834</f>
        <v>72.78</v>
      </c>
      <c r="O1833">
        <f>'raw data Crude oil'!O1834</f>
        <v>72.849999999999994</v>
      </c>
      <c r="P1833">
        <f>'raw data Crude oil'!P1834</f>
        <v>72.87</v>
      </c>
      <c r="Q1833">
        <f>'raw data Crude oil'!Q1834</f>
        <v>72.790000000000006</v>
      </c>
      <c r="R1833">
        <f>'raw data Crude oil'!R1834</f>
        <v>72.599999999999994</v>
      </c>
      <c r="S1833">
        <f>'raw data Crude oil'!S1834</f>
        <v>72.3</v>
      </c>
      <c r="T1833">
        <f>'raw data Crude oil'!T1834</f>
        <v>71.94</v>
      </c>
      <c r="U1833">
        <f>'raw data Crude oil'!U1834</f>
        <v>71.56</v>
      </c>
      <c r="V1833">
        <f>'raw data Crude oil'!V1834</f>
        <v>71.209999999999994</v>
      </c>
      <c r="W1833">
        <f>'raw data Crude oil'!W1834</f>
        <v>70.84</v>
      </c>
      <c r="X1833">
        <f>'raw data Crude oil'!X1834</f>
        <v>70.459999999999994</v>
      </c>
      <c r="Y1833">
        <f>'raw data Crude oil'!Y1834</f>
        <v>70.09</v>
      </c>
      <c r="Z1833">
        <f>'raw data Crude oil'!Z1834</f>
        <v>77.977999999999994</v>
      </c>
      <c r="AA1833">
        <f>'raw data Crude oil'!AA1834</f>
        <v>77.397999999999996</v>
      </c>
      <c r="AB1833">
        <f>'raw data Crude oil'!AB1834</f>
        <v>77.048000000000002</v>
      </c>
      <c r="AC1833">
        <f>'raw data Crude oil'!AC1834</f>
        <v>76.698999999999998</v>
      </c>
      <c r="AD1833">
        <f>'raw data Crude oil'!AD1834</f>
        <v>76.322999999999993</v>
      </c>
      <c r="AE1833">
        <f>'raw data Crude oil'!AE1834</f>
        <v>75.938999999999993</v>
      </c>
      <c r="AF1833">
        <f>'raw data Crude oil'!AF1834</f>
        <v>75.554000000000002</v>
      </c>
      <c r="AG1833">
        <f>'raw data Crude oil'!AG1834</f>
        <v>75.183000000000007</v>
      </c>
      <c r="AH1833">
        <f>'raw data Crude oil'!AH1834</f>
        <v>74.799000000000007</v>
      </c>
      <c r="AI1833">
        <f>'raw data Crude oil'!AI1834</f>
        <v>74.403999999999996</v>
      </c>
      <c r="AJ1833">
        <f>'raw data Crude oil'!AJ1834</f>
        <v>74.034000000000006</v>
      </c>
      <c r="AK1833">
        <f>'raw data Crude oil'!AK1834</f>
        <v>73.727999999999994</v>
      </c>
    </row>
    <row r="1834" spans="1:37" x14ac:dyDescent="0.3">
      <c r="A1834" s="18">
        <f>'raw data Crude oil'!A1835</f>
        <v>45328</v>
      </c>
      <c r="B1834">
        <f>'raw data Crude oil'!B1835</f>
        <v>78.59</v>
      </c>
      <c r="C1834">
        <f>'raw data Crude oil'!C1835</f>
        <v>78.27</v>
      </c>
      <c r="D1834">
        <f>'raw data Crude oil'!D1835</f>
        <v>77.95</v>
      </c>
      <c r="E1834">
        <f>'raw data Crude oil'!E1835</f>
        <v>77.61</v>
      </c>
      <c r="F1834">
        <f>'raw data Crude oil'!F1835</f>
        <v>77.260000000000005</v>
      </c>
      <c r="G1834">
        <f>'raw data Crude oil'!G1835</f>
        <v>76.88</v>
      </c>
      <c r="H1834">
        <f>'raw data Crude oil'!H1835</f>
        <v>76.489999999999995</v>
      </c>
      <c r="I1834">
        <f>'raw data Crude oil'!I1835</f>
        <v>76.11</v>
      </c>
      <c r="J1834">
        <f>'raw data Crude oil'!J1835</f>
        <v>75.72</v>
      </c>
      <c r="K1834">
        <f>'raw data Crude oil'!K1835</f>
        <v>75.34</v>
      </c>
      <c r="L1834">
        <f>'raw data Crude oil'!L1835</f>
        <v>74.989999999999995</v>
      </c>
      <c r="M1834">
        <f>'raw data Crude oil'!M1835</f>
        <v>74.7</v>
      </c>
      <c r="N1834">
        <f>'raw data Crude oil'!N1835</f>
        <v>73.31</v>
      </c>
      <c r="O1834">
        <f>'raw data Crude oil'!O1835</f>
        <v>73.37</v>
      </c>
      <c r="P1834">
        <f>'raw data Crude oil'!P1835</f>
        <v>73.349999999999994</v>
      </c>
      <c r="Q1834">
        <f>'raw data Crude oil'!Q1835</f>
        <v>73.23</v>
      </c>
      <c r="R1834">
        <f>'raw data Crude oil'!R1835</f>
        <v>73.010000000000005</v>
      </c>
      <c r="S1834">
        <f>'raw data Crude oil'!S1835</f>
        <v>72.680000000000007</v>
      </c>
      <c r="T1834">
        <f>'raw data Crude oil'!T1835</f>
        <v>72.3</v>
      </c>
      <c r="U1834">
        <f>'raw data Crude oil'!U1835</f>
        <v>71.900000000000006</v>
      </c>
      <c r="V1834">
        <f>'raw data Crude oil'!V1835</f>
        <v>71.53</v>
      </c>
      <c r="W1834">
        <f>'raw data Crude oil'!W1835</f>
        <v>71.150000000000006</v>
      </c>
      <c r="X1834">
        <f>'raw data Crude oil'!X1835</f>
        <v>70.75</v>
      </c>
      <c r="Y1834">
        <f>'raw data Crude oil'!Y1835</f>
        <v>70.36</v>
      </c>
      <c r="Z1834">
        <f>'raw data Crude oil'!Z1835</f>
        <v>78.311999999999998</v>
      </c>
      <c r="AA1834">
        <f>'raw data Crude oil'!AA1835</f>
        <v>77.843999999999994</v>
      </c>
      <c r="AB1834">
        <f>'raw data Crude oil'!AB1835</f>
        <v>77.454999999999998</v>
      </c>
      <c r="AC1834">
        <f>'raw data Crude oil'!AC1835</f>
        <v>77.064999999999998</v>
      </c>
      <c r="AD1834">
        <f>'raw data Crude oil'!AD1835</f>
        <v>76.656000000000006</v>
      </c>
      <c r="AE1834">
        <f>'raw data Crude oil'!AE1835</f>
        <v>76.238</v>
      </c>
      <c r="AF1834">
        <f>'raw data Crude oil'!AF1835</f>
        <v>75.817999999999998</v>
      </c>
      <c r="AG1834">
        <f>'raw data Crude oil'!AG1835</f>
        <v>75.406000000000006</v>
      </c>
      <c r="AH1834">
        <f>'raw data Crude oil'!AH1835</f>
        <v>74.992999999999995</v>
      </c>
      <c r="AI1834">
        <f>'raw data Crude oil'!AI1835</f>
        <v>74.593000000000004</v>
      </c>
      <c r="AJ1834">
        <f>'raw data Crude oil'!AJ1835</f>
        <v>74.201999999999998</v>
      </c>
      <c r="AK1834">
        <f>'raw data Crude oil'!AK1835</f>
        <v>73.917000000000002</v>
      </c>
    </row>
    <row r="1835" spans="1:37" x14ac:dyDescent="0.3">
      <c r="A1835" s="18">
        <f>'raw data Crude oil'!A1836</f>
        <v>45329</v>
      </c>
      <c r="B1835">
        <f>'raw data Crude oil'!B1836</f>
        <v>79.209999999999994</v>
      </c>
      <c r="C1835">
        <f>'raw data Crude oil'!C1836</f>
        <v>78.89</v>
      </c>
      <c r="D1835">
        <f>'raw data Crude oil'!D1836</f>
        <v>78.55</v>
      </c>
      <c r="E1835">
        <f>'raw data Crude oil'!E1836</f>
        <v>78.2</v>
      </c>
      <c r="F1835">
        <f>'raw data Crude oil'!F1836</f>
        <v>77.83</v>
      </c>
      <c r="G1835">
        <f>'raw data Crude oil'!G1836</f>
        <v>77.430000000000007</v>
      </c>
      <c r="H1835">
        <f>'raw data Crude oil'!H1836</f>
        <v>77.03</v>
      </c>
      <c r="I1835">
        <f>'raw data Crude oil'!I1836</f>
        <v>76.64</v>
      </c>
      <c r="J1835">
        <f>'raw data Crude oil'!J1836</f>
        <v>76.239999999999995</v>
      </c>
      <c r="K1835">
        <f>'raw data Crude oil'!K1836</f>
        <v>75.849999999999994</v>
      </c>
      <c r="L1835">
        <f>'raw data Crude oil'!L1836</f>
        <v>75.489999999999995</v>
      </c>
      <c r="M1835">
        <f>'raw data Crude oil'!M1836</f>
        <v>75.180000000000007</v>
      </c>
      <c r="N1835">
        <f>'raw data Crude oil'!N1836</f>
        <v>73.86</v>
      </c>
      <c r="O1835">
        <f>'raw data Crude oil'!O1836</f>
        <v>73.91</v>
      </c>
      <c r="P1835">
        <f>'raw data Crude oil'!P1836</f>
        <v>73.89</v>
      </c>
      <c r="Q1835">
        <f>'raw data Crude oil'!Q1836</f>
        <v>73.77</v>
      </c>
      <c r="R1835">
        <f>'raw data Crude oil'!R1836</f>
        <v>73.540000000000006</v>
      </c>
      <c r="S1835">
        <f>'raw data Crude oil'!S1836</f>
        <v>73.2</v>
      </c>
      <c r="T1835">
        <f>'raw data Crude oil'!T1836</f>
        <v>72.8</v>
      </c>
      <c r="U1835">
        <f>'raw data Crude oil'!U1836</f>
        <v>72.38</v>
      </c>
      <c r="V1835">
        <f>'raw data Crude oil'!V1836</f>
        <v>71.989999999999995</v>
      </c>
      <c r="W1835">
        <f>'raw data Crude oil'!W1836</f>
        <v>71.59</v>
      </c>
      <c r="X1835">
        <f>'raw data Crude oil'!X1836</f>
        <v>71.180000000000007</v>
      </c>
      <c r="Y1835">
        <f>'raw data Crude oil'!Y1836</f>
        <v>70.78</v>
      </c>
      <c r="Z1835">
        <f>'raw data Crude oil'!Z1836</f>
        <v>78.864999999999995</v>
      </c>
      <c r="AA1835">
        <f>'raw data Crude oil'!AA1836</f>
        <v>78.563000000000002</v>
      </c>
      <c r="AB1835">
        <f>'raw data Crude oil'!AB1836</f>
        <v>78.129000000000005</v>
      </c>
      <c r="AC1835">
        <f>'raw data Crude oil'!AC1836</f>
        <v>77.698999999999998</v>
      </c>
      <c r="AD1835">
        <f>'raw data Crude oil'!AD1836</f>
        <v>77.259</v>
      </c>
      <c r="AE1835">
        <f>'raw data Crude oil'!AE1836</f>
        <v>76.808000000000007</v>
      </c>
      <c r="AF1835">
        <f>'raw data Crude oil'!AF1836</f>
        <v>76.376999999999995</v>
      </c>
      <c r="AG1835">
        <f>'raw data Crude oil'!AG1836</f>
        <v>75.965999999999994</v>
      </c>
      <c r="AH1835">
        <f>'raw data Crude oil'!AH1836</f>
        <v>75.548000000000002</v>
      </c>
      <c r="AI1835">
        <f>'raw data Crude oil'!AI1836</f>
        <v>75.132999999999996</v>
      </c>
      <c r="AJ1835">
        <f>'raw data Crude oil'!AJ1836</f>
        <v>74.739000000000004</v>
      </c>
      <c r="AK1835">
        <f>'raw data Crude oil'!AK1836</f>
        <v>74.417000000000002</v>
      </c>
    </row>
    <row r="1836" spans="1:37" x14ac:dyDescent="0.3">
      <c r="A1836" s="18">
        <f>'raw data Crude oil'!A1837</f>
        <v>45330</v>
      </c>
      <c r="B1836">
        <f>'raw data Crude oil'!B1837</f>
        <v>81.63</v>
      </c>
      <c r="C1836">
        <f>'raw data Crude oil'!C1837</f>
        <v>81.08</v>
      </c>
      <c r="D1836">
        <f>'raw data Crude oil'!D1837</f>
        <v>80.569999999999993</v>
      </c>
      <c r="E1836">
        <f>'raw data Crude oil'!E1837</f>
        <v>80.09</v>
      </c>
      <c r="F1836">
        <f>'raw data Crude oil'!F1837</f>
        <v>79.62</v>
      </c>
      <c r="G1836">
        <f>'raw data Crude oil'!G1837</f>
        <v>79.14</v>
      </c>
      <c r="H1836">
        <f>'raw data Crude oil'!H1837</f>
        <v>78.67</v>
      </c>
      <c r="I1836">
        <f>'raw data Crude oil'!I1837</f>
        <v>78.23</v>
      </c>
      <c r="J1836">
        <f>'raw data Crude oil'!J1837</f>
        <v>77.790000000000006</v>
      </c>
      <c r="K1836">
        <f>'raw data Crude oil'!K1837</f>
        <v>77.36</v>
      </c>
      <c r="L1836">
        <f>'raw data Crude oil'!L1837</f>
        <v>76.95</v>
      </c>
      <c r="M1836">
        <f>'raw data Crude oil'!M1837</f>
        <v>76.599999999999994</v>
      </c>
      <c r="N1836">
        <f>'raw data Crude oil'!N1837</f>
        <v>76.22</v>
      </c>
      <c r="O1836">
        <f>'raw data Crude oil'!O1837</f>
        <v>76.19</v>
      </c>
      <c r="P1836">
        <f>'raw data Crude oil'!P1837</f>
        <v>76.040000000000006</v>
      </c>
      <c r="Q1836">
        <f>'raw data Crude oil'!Q1837</f>
        <v>75.78</v>
      </c>
      <c r="R1836">
        <f>'raw data Crude oil'!R1837</f>
        <v>75.45</v>
      </c>
      <c r="S1836">
        <f>'raw data Crude oil'!S1837</f>
        <v>75.02</v>
      </c>
      <c r="T1836">
        <f>'raw data Crude oil'!T1837</f>
        <v>74.540000000000006</v>
      </c>
      <c r="U1836">
        <f>'raw data Crude oil'!U1837</f>
        <v>74.05</v>
      </c>
      <c r="V1836">
        <f>'raw data Crude oil'!V1837</f>
        <v>73.599999999999994</v>
      </c>
      <c r="W1836">
        <f>'raw data Crude oil'!W1837</f>
        <v>73.14</v>
      </c>
      <c r="X1836">
        <f>'raw data Crude oil'!X1837</f>
        <v>72.69</v>
      </c>
      <c r="Y1836">
        <f>'raw data Crude oil'!Y1837</f>
        <v>72.25</v>
      </c>
      <c r="Z1836">
        <f>'raw data Crude oil'!Z1837</f>
        <v>80.272999999999996</v>
      </c>
      <c r="AA1836">
        <f>'raw data Crude oil'!AA1837</f>
        <v>80.596000000000004</v>
      </c>
      <c r="AB1836">
        <f>'raw data Crude oil'!AB1837</f>
        <v>80.126000000000005</v>
      </c>
      <c r="AC1836">
        <f>'raw data Crude oil'!AC1837</f>
        <v>79.625</v>
      </c>
      <c r="AD1836">
        <f>'raw data Crude oil'!AD1837</f>
        <v>79.096000000000004</v>
      </c>
      <c r="AE1836">
        <f>'raw data Crude oil'!AE1837</f>
        <v>78.569999999999993</v>
      </c>
      <c r="AF1836">
        <f>'raw data Crude oil'!AF1837</f>
        <v>78.069999999999993</v>
      </c>
      <c r="AG1836">
        <f>'raw data Crude oil'!AG1837</f>
        <v>77.593999999999994</v>
      </c>
      <c r="AH1836">
        <f>'raw data Crude oil'!AH1837</f>
        <v>77.131</v>
      </c>
      <c r="AI1836">
        <f>'raw data Crude oil'!AI1837</f>
        <v>76.67</v>
      </c>
      <c r="AJ1836">
        <f>'raw data Crude oil'!AJ1837</f>
        <v>76.221999999999994</v>
      </c>
      <c r="AK1836">
        <f>'raw data Crude oil'!AK1837</f>
        <v>75.855000000000004</v>
      </c>
    </row>
    <row r="1837" spans="1:37" x14ac:dyDescent="0.3">
      <c r="A1837" s="18">
        <f>'raw data Crude oil'!A1838</f>
        <v>45331</v>
      </c>
      <c r="B1837">
        <f>'raw data Crude oil'!B1838</f>
        <v>82.19</v>
      </c>
      <c r="C1837">
        <f>'raw data Crude oil'!C1838</f>
        <v>81.61</v>
      </c>
      <c r="D1837">
        <f>'raw data Crude oil'!D1838</f>
        <v>81.11</v>
      </c>
      <c r="E1837">
        <f>'raw data Crude oil'!E1838</f>
        <v>80.66</v>
      </c>
      <c r="F1837">
        <f>'raw data Crude oil'!F1838</f>
        <v>80.22</v>
      </c>
      <c r="G1837">
        <f>'raw data Crude oil'!G1838</f>
        <v>79.760000000000005</v>
      </c>
      <c r="H1837">
        <f>'raw data Crude oil'!H1838</f>
        <v>79.290000000000006</v>
      </c>
      <c r="I1837">
        <f>'raw data Crude oil'!I1838</f>
        <v>78.849999999999994</v>
      </c>
      <c r="J1837">
        <f>'raw data Crude oil'!J1838</f>
        <v>78.400000000000006</v>
      </c>
      <c r="K1837">
        <f>'raw data Crude oil'!K1838</f>
        <v>77.95</v>
      </c>
      <c r="L1837">
        <f>'raw data Crude oil'!L1838</f>
        <v>77.540000000000006</v>
      </c>
      <c r="M1837">
        <f>'raw data Crude oil'!M1838</f>
        <v>77.17</v>
      </c>
      <c r="N1837">
        <f>'raw data Crude oil'!N1838</f>
        <v>76.84</v>
      </c>
      <c r="O1837">
        <f>'raw data Crude oil'!O1838</f>
        <v>76.77</v>
      </c>
      <c r="P1837">
        <f>'raw data Crude oil'!P1838</f>
        <v>76.61</v>
      </c>
      <c r="Q1837">
        <f>'raw data Crude oil'!Q1838</f>
        <v>76.349999999999994</v>
      </c>
      <c r="R1837">
        <f>'raw data Crude oil'!R1838</f>
        <v>76.010000000000005</v>
      </c>
      <c r="S1837">
        <f>'raw data Crude oil'!S1838</f>
        <v>75.59</v>
      </c>
      <c r="T1837">
        <f>'raw data Crude oil'!T1838</f>
        <v>75.11</v>
      </c>
      <c r="U1837">
        <f>'raw data Crude oil'!U1838</f>
        <v>74.62</v>
      </c>
      <c r="V1837">
        <f>'raw data Crude oil'!V1838</f>
        <v>74.17</v>
      </c>
      <c r="W1837">
        <f>'raw data Crude oil'!W1838</f>
        <v>73.709999999999994</v>
      </c>
      <c r="X1837">
        <f>'raw data Crude oil'!X1838</f>
        <v>73.239999999999995</v>
      </c>
      <c r="Y1837">
        <f>'raw data Crude oil'!Y1838</f>
        <v>72.8</v>
      </c>
      <c r="Z1837">
        <f>'raw data Crude oil'!Z1838</f>
        <v>80.644000000000005</v>
      </c>
      <c r="AA1837">
        <f>'raw data Crude oil'!AA1838</f>
        <v>81.088999999999999</v>
      </c>
      <c r="AB1837">
        <f>'raw data Crude oil'!AB1838</f>
        <v>80.59</v>
      </c>
      <c r="AC1837">
        <f>'raw data Crude oil'!AC1838</f>
        <v>80.084999999999994</v>
      </c>
      <c r="AD1837">
        <f>'raw data Crude oil'!AD1838</f>
        <v>79.575000000000003</v>
      </c>
      <c r="AE1837">
        <f>'raw data Crude oil'!AE1838</f>
        <v>79.081000000000003</v>
      </c>
      <c r="AF1837">
        <f>'raw data Crude oil'!AF1838</f>
        <v>78.590999999999994</v>
      </c>
      <c r="AG1837">
        <f>'raw data Crude oil'!AG1838</f>
        <v>78.119</v>
      </c>
      <c r="AH1837">
        <f>'raw data Crude oil'!AH1838</f>
        <v>77.650000000000006</v>
      </c>
      <c r="AI1837">
        <f>'raw data Crude oil'!AI1838</f>
        <v>77.185000000000002</v>
      </c>
      <c r="AJ1837">
        <f>'raw data Crude oil'!AJ1838</f>
        <v>76.724999999999994</v>
      </c>
      <c r="AK1837">
        <f>'raw data Crude oil'!AK1838</f>
        <v>76.344999999999999</v>
      </c>
    </row>
    <row r="1838" spans="1:37" x14ac:dyDescent="0.3">
      <c r="A1838" s="18">
        <f>'raw data Crude oil'!A1839</f>
        <v>45334</v>
      </c>
      <c r="B1838">
        <f>'raw data Crude oil'!B1839</f>
        <v>82</v>
      </c>
      <c r="C1838">
        <f>'raw data Crude oil'!C1839</f>
        <v>81.510000000000005</v>
      </c>
      <c r="D1838">
        <f>'raw data Crude oil'!D1839</f>
        <v>81.040000000000006</v>
      </c>
      <c r="E1838">
        <f>'raw data Crude oil'!E1839</f>
        <v>80.599999999999994</v>
      </c>
      <c r="F1838">
        <f>'raw data Crude oil'!F1839</f>
        <v>80.17</v>
      </c>
      <c r="G1838">
        <f>'raw data Crude oil'!G1839</f>
        <v>79.72</v>
      </c>
      <c r="H1838">
        <f>'raw data Crude oil'!H1839</f>
        <v>79.27</v>
      </c>
      <c r="I1838">
        <f>'raw data Crude oil'!I1839</f>
        <v>78.84</v>
      </c>
      <c r="J1838">
        <f>'raw data Crude oil'!J1839</f>
        <v>78.400000000000006</v>
      </c>
      <c r="K1838">
        <f>'raw data Crude oil'!K1839</f>
        <v>77.959999999999994</v>
      </c>
      <c r="L1838">
        <f>'raw data Crude oil'!L1839</f>
        <v>77.56</v>
      </c>
      <c r="M1838">
        <f>'raw data Crude oil'!M1839</f>
        <v>77.2</v>
      </c>
      <c r="N1838">
        <f>'raw data Crude oil'!N1839</f>
        <v>76.92</v>
      </c>
      <c r="O1838">
        <f>'raw data Crude oil'!O1839</f>
        <v>76.819999999999993</v>
      </c>
      <c r="P1838">
        <f>'raw data Crude oil'!P1839</f>
        <v>76.650000000000006</v>
      </c>
      <c r="Q1838">
        <f>'raw data Crude oil'!Q1839</f>
        <v>76.39</v>
      </c>
      <c r="R1838">
        <f>'raw data Crude oil'!R1839</f>
        <v>76.040000000000006</v>
      </c>
      <c r="S1838">
        <f>'raw data Crude oil'!S1839</f>
        <v>75.62</v>
      </c>
      <c r="T1838">
        <f>'raw data Crude oil'!T1839</f>
        <v>75.150000000000006</v>
      </c>
      <c r="U1838">
        <f>'raw data Crude oil'!U1839</f>
        <v>74.67</v>
      </c>
      <c r="V1838">
        <f>'raw data Crude oil'!V1839</f>
        <v>74.22</v>
      </c>
      <c r="W1838">
        <f>'raw data Crude oil'!W1839</f>
        <v>73.77</v>
      </c>
      <c r="X1838">
        <f>'raw data Crude oil'!X1839</f>
        <v>73.31</v>
      </c>
      <c r="Y1838">
        <f>'raw data Crude oil'!Y1839</f>
        <v>72.86</v>
      </c>
      <c r="Z1838">
        <f>'raw data Crude oil'!Z1839</f>
        <v>80.581000000000003</v>
      </c>
      <c r="AA1838">
        <f>'raw data Crude oil'!AA1839</f>
        <v>80.992000000000004</v>
      </c>
      <c r="AB1838">
        <f>'raw data Crude oil'!AB1839</f>
        <v>80.55</v>
      </c>
      <c r="AC1838">
        <f>'raw data Crude oil'!AC1839</f>
        <v>80.040999999999997</v>
      </c>
      <c r="AD1838">
        <f>'raw data Crude oil'!AD1839</f>
        <v>79.533000000000001</v>
      </c>
      <c r="AE1838">
        <f>'raw data Crude oil'!AE1839</f>
        <v>79.045000000000002</v>
      </c>
      <c r="AF1838">
        <f>'raw data Crude oil'!AF1839</f>
        <v>78.564999999999998</v>
      </c>
      <c r="AG1838">
        <f>'raw data Crude oil'!AG1839</f>
        <v>78.099000000000004</v>
      </c>
      <c r="AH1838">
        <f>'raw data Crude oil'!AH1839</f>
        <v>77.631</v>
      </c>
      <c r="AI1838">
        <f>'raw data Crude oil'!AI1839</f>
        <v>77.171000000000006</v>
      </c>
      <c r="AJ1838">
        <f>'raw data Crude oil'!AJ1839</f>
        <v>76.736000000000004</v>
      </c>
      <c r="AK1838">
        <f>'raw data Crude oil'!AK1839</f>
        <v>76.375</v>
      </c>
    </row>
    <row r="1839" spans="1:37" x14ac:dyDescent="0.3">
      <c r="A1839" s="18">
        <f>'raw data Crude oil'!A1840</f>
        <v>45335</v>
      </c>
      <c r="B1839">
        <f>'raw data Crude oil'!B1840</f>
        <v>82.77</v>
      </c>
      <c r="C1839">
        <f>'raw data Crude oil'!C1840</f>
        <v>82.07</v>
      </c>
      <c r="D1839">
        <f>'raw data Crude oil'!D1840</f>
        <v>81.48</v>
      </c>
      <c r="E1839">
        <f>'raw data Crude oil'!E1840</f>
        <v>80.959999999999994</v>
      </c>
      <c r="F1839">
        <f>'raw data Crude oil'!F1840</f>
        <v>80.459999999999994</v>
      </c>
      <c r="G1839">
        <f>'raw data Crude oil'!G1840</f>
        <v>79.959999999999994</v>
      </c>
      <c r="H1839">
        <f>'raw data Crude oil'!H1840</f>
        <v>79.48</v>
      </c>
      <c r="I1839">
        <f>'raw data Crude oil'!I1840</f>
        <v>79.03</v>
      </c>
      <c r="J1839">
        <f>'raw data Crude oil'!J1840</f>
        <v>78.58</v>
      </c>
      <c r="K1839">
        <f>'raw data Crude oil'!K1840</f>
        <v>78.13</v>
      </c>
      <c r="L1839">
        <f>'raw data Crude oil'!L1840</f>
        <v>77.709999999999994</v>
      </c>
      <c r="M1839">
        <f>'raw data Crude oil'!M1840</f>
        <v>77.349999999999994</v>
      </c>
      <c r="N1839">
        <f>'raw data Crude oil'!N1840</f>
        <v>77.87</v>
      </c>
      <c r="O1839">
        <f>'raw data Crude oil'!O1840</f>
        <v>77.56</v>
      </c>
      <c r="P1839">
        <f>'raw data Crude oil'!P1840</f>
        <v>77.239999999999995</v>
      </c>
      <c r="Q1839">
        <f>'raw data Crude oil'!Q1840</f>
        <v>76.87</v>
      </c>
      <c r="R1839">
        <f>'raw data Crude oil'!R1840</f>
        <v>76.44</v>
      </c>
      <c r="S1839">
        <f>'raw data Crude oil'!S1840</f>
        <v>75.94</v>
      </c>
      <c r="T1839">
        <f>'raw data Crude oil'!T1840</f>
        <v>75.400000000000006</v>
      </c>
      <c r="U1839">
        <f>'raw data Crude oil'!U1840</f>
        <v>74.88</v>
      </c>
      <c r="V1839">
        <f>'raw data Crude oil'!V1840</f>
        <v>74.400000000000006</v>
      </c>
      <c r="W1839">
        <f>'raw data Crude oil'!W1840</f>
        <v>73.930000000000007</v>
      </c>
      <c r="X1839">
        <f>'raw data Crude oil'!X1840</f>
        <v>73.459999999999994</v>
      </c>
      <c r="Y1839">
        <f>'raw data Crude oil'!Y1840</f>
        <v>73.010000000000005</v>
      </c>
      <c r="Z1839">
        <f>'raw data Crude oil'!Z1840</f>
        <v>80.963999999999999</v>
      </c>
      <c r="AA1839">
        <f>'raw data Crude oil'!AA1840</f>
        <v>81.585999999999999</v>
      </c>
      <c r="AB1839">
        <f>'raw data Crude oil'!AB1840</f>
        <v>81.069999999999993</v>
      </c>
      <c r="AC1839">
        <f>'raw data Crude oil'!AC1840</f>
        <v>80.477999999999994</v>
      </c>
      <c r="AD1839">
        <f>'raw data Crude oil'!AD1840</f>
        <v>79.875</v>
      </c>
      <c r="AE1839">
        <f>'raw data Crude oil'!AE1840</f>
        <v>79.332999999999998</v>
      </c>
      <c r="AF1839">
        <f>'raw data Crude oil'!AF1840</f>
        <v>78.825000000000003</v>
      </c>
      <c r="AG1839">
        <f>'raw data Crude oil'!AG1840</f>
        <v>78.338999999999999</v>
      </c>
      <c r="AH1839">
        <f>'raw data Crude oil'!AH1840</f>
        <v>77.86</v>
      </c>
      <c r="AI1839">
        <f>'raw data Crude oil'!AI1840</f>
        <v>77.38</v>
      </c>
      <c r="AJ1839">
        <f>'raw data Crude oil'!AJ1840</f>
        <v>76.930999999999997</v>
      </c>
      <c r="AK1839">
        <f>'raw data Crude oil'!AK1840</f>
        <v>76.575000000000003</v>
      </c>
    </row>
    <row r="1840" spans="1:37" x14ac:dyDescent="0.3">
      <c r="A1840" s="18">
        <f>'raw data Crude oil'!A1841</f>
        <v>45336</v>
      </c>
      <c r="B1840">
        <f>'raw data Crude oil'!B1841</f>
        <v>81.599999999999994</v>
      </c>
      <c r="C1840">
        <f>'raw data Crude oil'!C1841</f>
        <v>80.989999999999995</v>
      </c>
      <c r="D1840">
        <f>'raw data Crude oil'!D1841</f>
        <v>80.48</v>
      </c>
      <c r="E1840">
        <f>'raw data Crude oil'!E1841</f>
        <v>80.010000000000005</v>
      </c>
      <c r="F1840">
        <f>'raw data Crude oil'!F1841</f>
        <v>79.56</v>
      </c>
      <c r="G1840">
        <f>'raw data Crude oil'!G1841</f>
        <v>79.12</v>
      </c>
      <c r="H1840">
        <f>'raw data Crude oil'!H1841</f>
        <v>78.680000000000007</v>
      </c>
      <c r="I1840">
        <f>'raw data Crude oil'!I1841</f>
        <v>78.260000000000005</v>
      </c>
      <c r="J1840">
        <f>'raw data Crude oil'!J1841</f>
        <v>77.84</v>
      </c>
      <c r="K1840">
        <f>'raw data Crude oil'!K1841</f>
        <v>77.42</v>
      </c>
      <c r="L1840">
        <f>'raw data Crude oil'!L1841</f>
        <v>77.03</v>
      </c>
      <c r="M1840">
        <f>'raw data Crude oil'!M1841</f>
        <v>76.69</v>
      </c>
      <c r="N1840">
        <f>'raw data Crude oil'!N1841</f>
        <v>76.64</v>
      </c>
      <c r="O1840">
        <f>'raw data Crude oil'!O1841</f>
        <v>76.36</v>
      </c>
      <c r="P1840">
        <f>'raw data Crude oil'!P1841</f>
        <v>76.11</v>
      </c>
      <c r="Q1840">
        <f>'raw data Crude oil'!Q1841</f>
        <v>75.790000000000006</v>
      </c>
      <c r="R1840">
        <f>'raw data Crude oil'!R1841</f>
        <v>75.41</v>
      </c>
      <c r="S1840">
        <f>'raw data Crude oil'!S1841</f>
        <v>74.959999999999994</v>
      </c>
      <c r="T1840">
        <f>'raw data Crude oil'!T1841</f>
        <v>74.489999999999995</v>
      </c>
      <c r="U1840">
        <f>'raw data Crude oil'!U1841</f>
        <v>73.98</v>
      </c>
      <c r="V1840">
        <f>'raw data Crude oil'!V1841</f>
        <v>73.540000000000006</v>
      </c>
      <c r="W1840">
        <f>'raw data Crude oil'!W1841</f>
        <v>73.09</v>
      </c>
      <c r="X1840">
        <f>'raw data Crude oil'!X1841</f>
        <v>72.64</v>
      </c>
      <c r="Y1840">
        <f>'raw data Crude oil'!Y1841</f>
        <v>72.209999999999994</v>
      </c>
      <c r="Z1840">
        <f>'raw data Crude oil'!Z1841</f>
        <v>80.454999999999998</v>
      </c>
      <c r="AA1840">
        <f>'raw data Crude oil'!AA1841</f>
        <v>80.53</v>
      </c>
      <c r="AB1840">
        <f>'raw data Crude oil'!AB1841</f>
        <v>80.039000000000001</v>
      </c>
      <c r="AC1840">
        <f>'raw data Crude oil'!AC1841</f>
        <v>79.48</v>
      </c>
      <c r="AD1840">
        <f>'raw data Crude oil'!AD1841</f>
        <v>78.929000000000002</v>
      </c>
      <c r="AE1840">
        <f>'raw data Crude oil'!AE1841</f>
        <v>78.429000000000002</v>
      </c>
      <c r="AF1840">
        <f>'raw data Crude oil'!AF1841</f>
        <v>77.956000000000003</v>
      </c>
      <c r="AG1840">
        <f>'raw data Crude oil'!AG1841</f>
        <v>77.512</v>
      </c>
      <c r="AH1840">
        <f>'raw data Crude oil'!AH1841</f>
        <v>77.084000000000003</v>
      </c>
      <c r="AI1840">
        <f>'raw data Crude oil'!AI1841</f>
        <v>76.653000000000006</v>
      </c>
      <c r="AJ1840">
        <f>'raw data Crude oil'!AJ1841</f>
        <v>76.238</v>
      </c>
      <c r="AK1840">
        <f>'raw data Crude oil'!AK1841</f>
        <v>75.875</v>
      </c>
    </row>
    <row r="1841" spans="1:37" x14ac:dyDescent="0.3">
      <c r="A1841" s="18">
        <f>'raw data Crude oil'!A1842</f>
        <v>45337</v>
      </c>
      <c r="B1841">
        <f>'raw data Crude oil'!B1842</f>
        <v>82.86</v>
      </c>
      <c r="C1841">
        <f>'raw data Crude oil'!C1842</f>
        <v>82.16</v>
      </c>
      <c r="D1841">
        <f>'raw data Crude oil'!D1842</f>
        <v>81.56</v>
      </c>
      <c r="E1841">
        <f>'raw data Crude oil'!E1842</f>
        <v>81.010000000000005</v>
      </c>
      <c r="F1841">
        <f>'raw data Crude oil'!F1842</f>
        <v>80.48</v>
      </c>
      <c r="G1841">
        <f>'raw data Crude oil'!G1842</f>
        <v>79.98</v>
      </c>
      <c r="H1841">
        <f>'raw data Crude oil'!H1842</f>
        <v>79.5</v>
      </c>
      <c r="I1841">
        <f>'raw data Crude oil'!I1842</f>
        <v>79.040000000000006</v>
      </c>
      <c r="J1841">
        <f>'raw data Crude oil'!J1842</f>
        <v>78.59</v>
      </c>
      <c r="K1841">
        <f>'raw data Crude oil'!K1842</f>
        <v>78.14</v>
      </c>
      <c r="L1841">
        <f>'raw data Crude oil'!L1842</f>
        <v>77.73</v>
      </c>
      <c r="M1841">
        <f>'raw data Crude oil'!M1842</f>
        <v>77.36</v>
      </c>
      <c r="N1841">
        <f>'raw data Crude oil'!N1842</f>
        <v>78.03</v>
      </c>
      <c r="O1841">
        <f>'raw data Crude oil'!O1842</f>
        <v>77.59</v>
      </c>
      <c r="P1841">
        <f>'raw data Crude oil'!P1842</f>
        <v>77.22</v>
      </c>
      <c r="Q1841">
        <f>'raw data Crude oil'!Q1842</f>
        <v>76.81</v>
      </c>
      <c r="R1841">
        <f>'raw data Crude oil'!R1842</f>
        <v>76.34</v>
      </c>
      <c r="S1841">
        <f>'raw data Crude oil'!S1842</f>
        <v>75.81</v>
      </c>
      <c r="T1841">
        <f>'raw data Crude oil'!T1842</f>
        <v>75.260000000000005</v>
      </c>
      <c r="U1841">
        <f>'raw data Crude oil'!U1842</f>
        <v>74.72</v>
      </c>
      <c r="V1841">
        <f>'raw data Crude oil'!V1842</f>
        <v>74.25</v>
      </c>
      <c r="W1841">
        <f>'raw data Crude oil'!W1842</f>
        <v>73.78</v>
      </c>
      <c r="X1841">
        <f>'raw data Crude oil'!X1842</f>
        <v>73.3</v>
      </c>
      <c r="Y1841">
        <f>'raw data Crude oil'!Y1842</f>
        <v>72.849999999999994</v>
      </c>
      <c r="Z1841">
        <f>'raw data Crude oil'!Z1842</f>
        <v>81.001999999999995</v>
      </c>
      <c r="AA1841">
        <f>'raw data Crude oil'!AA1842</f>
        <v>81.67</v>
      </c>
      <c r="AB1841">
        <f>'raw data Crude oil'!AB1842</f>
        <v>81.150000000000006</v>
      </c>
      <c r="AC1841">
        <f>'raw data Crude oil'!AC1842</f>
        <v>80.531999999999996</v>
      </c>
      <c r="AD1841">
        <f>'raw data Crude oil'!AD1842</f>
        <v>79.915000000000006</v>
      </c>
      <c r="AE1841">
        <f>'raw data Crude oil'!AE1842</f>
        <v>79.358999999999995</v>
      </c>
      <c r="AF1841">
        <f>'raw data Crude oil'!AF1842</f>
        <v>78.838999999999999</v>
      </c>
      <c r="AG1841">
        <f>'raw data Crude oil'!AG1842</f>
        <v>78.358999999999995</v>
      </c>
      <c r="AH1841">
        <f>'raw data Crude oil'!AH1842</f>
        <v>77.89</v>
      </c>
      <c r="AI1841">
        <f>'raw data Crude oil'!AI1842</f>
        <v>77.42</v>
      </c>
      <c r="AJ1841">
        <f>'raw data Crude oil'!AJ1842</f>
        <v>76.974999999999994</v>
      </c>
      <c r="AK1841">
        <f>'raw data Crude oil'!AK1842</f>
        <v>76.603999999999999</v>
      </c>
    </row>
    <row r="1842" spans="1:37" x14ac:dyDescent="0.3">
      <c r="A1842" s="18">
        <f>'raw data Crude oil'!A1843</f>
        <v>45338</v>
      </c>
      <c r="B1842">
        <f>'raw data Crude oil'!B1843</f>
        <v>83.47</v>
      </c>
      <c r="C1842">
        <f>'raw data Crude oil'!C1843</f>
        <v>82.74</v>
      </c>
      <c r="D1842">
        <f>'raw data Crude oil'!D1843</f>
        <v>82.11</v>
      </c>
      <c r="E1842">
        <f>'raw data Crude oil'!E1843</f>
        <v>81.510000000000005</v>
      </c>
      <c r="F1842">
        <f>'raw data Crude oil'!F1843</f>
        <v>80.94</v>
      </c>
      <c r="G1842">
        <f>'raw data Crude oil'!G1843</f>
        <v>80.400000000000006</v>
      </c>
      <c r="H1842">
        <f>'raw data Crude oil'!H1843</f>
        <v>79.89</v>
      </c>
      <c r="I1842">
        <f>'raw data Crude oil'!I1843</f>
        <v>79.41</v>
      </c>
      <c r="J1842">
        <f>'raw data Crude oil'!J1843</f>
        <v>78.94</v>
      </c>
      <c r="K1842">
        <f>'raw data Crude oil'!K1843</f>
        <v>78.47</v>
      </c>
      <c r="L1842">
        <f>'raw data Crude oil'!L1843</f>
        <v>78.040000000000006</v>
      </c>
      <c r="M1842">
        <f>'raw data Crude oil'!M1843</f>
        <v>77.66</v>
      </c>
      <c r="N1842">
        <f>'raw data Crude oil'!N1843</f>
        <v>79.19</v>
      </c>
      <c r="O1842">
        <f>'raw data Crude oil'!O1843</f>
        <v>78.459999999999994</v>
      </c>
      <c r="P1842">
        <f>'raw data Crude oil'!P1843</f>
        <v>77.98</v>
      </c>
      <c r="Q1842">
        <f>'raw data Crude oil'!Q1843</f>
        <v>77.48</v>
      </c>
      <c r="R1842">
        <f>'raw data Crude oil'!R1843</f>
        <v>76.94</v>
      </c>
      <c r="S1842">
        <f>'raw data Crude oil'!S1843</f>
        <v>76.349999999999994</v>
      </c>
      <c r="T1842">
        <f>'raw data Crude oil'!T1843</f>
        <v>75.77</v>
      </c>
      <c r="U1842">
        <f>'raw data Crude oil'!U1843</f>
        <v>75.2</v>
      </c>
      <c r="V1842">
        <f>'raw data Crude oil'!V1843</f>
        <v>74.69</v>
      </c>
      <c r="W1842">
        <f>'raw data Crude oil'!W1843</f>
        <v>74.19</v>
      </c>
      <c r="X1842">
        <f>'raw data Crude oil'!X1843</f>
        <v>73.69</v>
      </c>
      <c r="Y1842">
        <f>'raw data Crude oil'!Y1843</f>
        <v>73.22</v>
      </c>
      <c r="Z1842">
        <f>'raw data Crude oil'!Z1843</f>
        <v>81.222999999999999</v>
      </c>
      <c r="AA1842">
        <f>'raw data Crude oil'!AA1843</f>
        <v>82.213999999999999</v>
      </c>
      <c r="AB1842">
        <f>'raw data Crude oil'!AB1843</f>
        <v>81.697999999999993</v>
      </c>
      <c r="AC1842">
        <f>'raw data Crude oil'!AC1843</f>
        <v>81.05</v>
      </c>
      <c r="AD1842">
        <f>'raw data Crude oil'!AD1843</f>
        <v>80.41</v>
      </c>
      <c r="AE1842">
        <f>'raw data Crude oil'!AE1843</f>
        <v>79.814999999999998</v>
      </c>
      <c r="AF1842">
        <f>'raw data Crude oil'!AF1843</f>
        <v>79.275000000000006</v>
      </c>
      <c r="AG1842">
        <f>'raw data Crude oil'!AG1843</f>
        <v>78.756</v>
      </c>
      <c r="AH1842">
        <f>'raw data Crude oil'!AH1843</f>
        <v>78.266000000000005</v>
      </c>
      <c r="AI1842">
        <f>'raw data Crude oil'!AI1843</f>
        <v>77.786000000000001</v>
      </c>
      <c r="AJ1842">
        <f>'raw data Crude oil'!AJ1843</f>
        <v>77.33</v>
      </c>
      <c r="AK1842">
        <f>'raw data Crude oil'!AK1843</f>
        <v>76.944000000000003</v>
      </c>
    </row>
    <row r="1843" spans="1:37" x14ac:dyDescent="0.3">
      <c r="A1843" s="18">
        <f>'raw data Crude oil'!A1844</f>
        <v>45341</v>
      </c>
      <c r="B1843">
        <f>'raw data Crude oil'!B1844</f>
        <v>83.56</v>
      </c>
      <c r="C1843">
        <f>'raw data Crude oil'!C1844</f>
        <v>82.73</v>
      </c>
      <c r="D1843">
        <f>'raw data Crude oil'!D1844</f>
        <v>82.09</v>
      </c>
      <c r="E1843">
        <f>'raw data Crude oil'!E1844</f>
        <v>81.510000000000005</v>
      </c>
      <c r="F1843">
        <f>'raw data Crude oil'!F1844</f>
        <v>80.959999999999994</v>
      </c>
      <c r="G1843">
        <f>'raw data Crude oil'!G1844</f>
        <v>80.430000000000007</v>
      </c>
      <c r="H1843">
        <f>'raw data Crude oil'!H1844</f>
        <v>79.92</v>
      </c>
      <c r="I1843">
        <f>'raw data Crude oil'!I1844</f>
        <v>79.430000000000007</v>
      </c>
      <c r="J1843">
        <f>'raw data Crude oil'!J1844</f>
        <v>78.959999999999994</v>
      </c>
      <c r="K1843">
        <f>'raw data Crude oil'!K1844</f>
        <v>78.489999999999995</v>
      </c>
      <c r="L1843">
        <f>'raw data Crude oil'!L1844</f>
        <v>78.06</v>
      </c>
      <c r="M1843">
        <f>'raw data Crude oil'!M1844</f>
        <v>77.680000000000007</v>
      </c>
      <c r="N1843">
        <f>'raw data Crude oil'!N1844</f>
        <v>79.19</v>
      </c>
      <c r="O1843">
        <f>'raw data Crude oil'!O1844</f>
        <v>78.459999999999994</v>
      </c>
      <c r="P1843">
        <f>'raw data Crude oil'!P1844</f>
        <v>77.98</v>
      </c>
      <c r="Q1843">
        <f>'raw data Crude oil'!Q1844</f>
        <v>77.48</v>
      </c>
      <c r="R1843">
        <f>'raw data Crude oil'!R1844</f>
        <v>76.94</v>
      </c>
      <c r="S1843">
        <f>'raw data Crude oil'!S1844</f>
        <v>76.349999999999994</v>
      </c>
      <c r="T1843">
        <f>'raw data Crude oil'!T1844</f>
        <v>75.77</v>
      </c>
      <c r="U1843">
        <f>'raw data Crude oil'!U1844</f>
        <v>75.2</v>
      </c>
      <c r="V1843">
        <f>'raw data Crude oil'!V1844</f>
        <v>74.69</v>
      </c>
      <c r="W1843">
        <f>'raw data Crude oil'!W1844</f>
        <v>74.19</v>
      </c>
      <c r="X1843">
        <f>'raw data Crude oil'!X1844</f>
        <v>73.69</v>
      </c>
      <c r="Y1843">
        <f>'raw data Crude oil'!Y1844</f>
        <v>73.22</v>
      </c>
      <c r="Z1843">
        <f>'raw data Crude oil'!Z1844</f>
        <v>81.231999999999999</v>
      </c>
      <c r="AA1843">
        <f>'raw data Crude oil'!AA1844</f>
        <v>82.283000000000001</v>
      </c>
      <c r="AB1843">
        <f>'raw data Crude oil'!AB1844</f>
        <v>81.733999999999995</v>
      </c>
      <c r="AC1843">
        <f>'raw data Crude oil'!AC1844</f>
        <v>81.085999999999999</v>
      </c>
      <c r="AD1843">
        <f>'raw data Crude oil'!AD1844</f>
        <v>80.438999999999993</v>
      </c>
      <c r="AE1843">
        <f>'raw data Crude oil'!AE1844</f>
        <v>79.828000000000003</v>
      </c>
      <c r="AF1843">
        <f>'raw data Crude oil'!AF1844</f>
        <v>79.268000000000001</v>
      </c>
      <c r="AG1843">
        <f>'raw data Crude oil'!AG1844</f>
        <v>78.748000000000005</v>
      </c>
      <c r="AH1843">
        <f>'raw data Crude oil'!AH1844</f>
        <v>78.25</v>
      </c>
      <c r="AI1843">
        <f>'raw data Crude oil'!AI1844</f>
        <v>77.77</v>
      </c>
      <c r="AJ1843">
        <f>'raw data Crude oil'!AJ1844</f>
        <v>77.313999999999993</v>
      </c>
      <c r="AK1843">
        <f>'raw data Crude oil'!AK1844</f>
        <v>76.924000000000007</v>
      </c>
    </row>
    <row r="1844" spans="1:37" x14ac:dyDescent="0.3">
      <c r="A1844" s="18">
        <f>'raw data Crude oil'!A1845</f>
        <v>45342</v>
      </c>
      <c r="B1844">
        <f>'raw data Crude oil'!B1845</f>
        <v>82.34</v>
      </c>
      <c r="C1844">
        <f>'raw data Crude oil'!C1845</f>
        <v>81.5</v>
      </c>
      <c r="D1844">
        <f>'raw data Crude oil'!D1845</f>
        <v>80.87</v>
      </c>
      <c r="E1844">
        <f>'raw data Crude oil'!E1845</f>
        <v>80.31</v>
      </c>
      <c r="F1844">
        <f>'raw data Crude oil'!F1845</f>
        <v>79.77</v>
      </c>
      <c r="G1844">
        <f>'raw data Crude oil'!G1845</f>
        <v>79.260000000000005</v>
      </c>
      <c r="H1844">
        <f>'raw data Crude oil'!H1845</f>
        <v>78.760000000000005</v>
      </c>
      <c r="I1844">
        <f>'raw data Crude oil'!I1845</f>
        <v>78.3</v>
      </c>
      <c r="J1844">
        <f>'raw data Crude oil'!J1845</f>
        <v>77.84</v>
      </c>
      <c r="K1844">
        <f>'raw data Crude oil'!K1845</f>
        <v>77.39</v>
      </c>
      <c r="L1844">
        <f>'raw data Crude oil'!L1845</f>
        <v>76.97</v>
      </c>
      <c r="M1844">
        <f>'raw data Crude oil'!M1845</f>
        <v>76.599999999999994</v>
      </c>
      <c r="N1844">
        <f>'raw data Crude oil'!N1845</f>
        <v>78.180000000000007</v>
      </c>
      <c r="O1844">
        <f>'raw data Crude oil'!O1845</f>
        <v>77.040000000000006</v>
      </c>
      <c r="P1844">
        <f>'raw data Crude oil'!P1845</f>
        <v>76.62</v>
      </c>
      <c r="Q1844">
        <f>'raw data Crude oil'!Q1845</f>
        <v>76.2</v>
      </c>
      <c r="R1844">
        <f>'raw data Crude oil'!R1845</f>
        <v>75.73</v>
      </c>
      <c r="S1844">
        <f>'raw data Crude oil'!S1845</f>
        <v>75.2</v>
      </c>
      <c r="T1844">
        <f>'raw data Crude oil'!T1845</f>
        <v>74.650000000000006</v>
      </c>
      <c r="U1844">
        <f>'raw data Crude oil'!U1845</f>
        <v>74.099999999999994</v>
      </c>
      <c r="V1844">
        <f>'raw data Crude oil'!V1845</f>
        <v>73.61</v>
      </c>
      <c r="W1844">
        <f>'raw data Crude oil'!W1845</f>
        <v>73.11</v>
      </c>
      <c r="X1844">
        <f>'raw data Crude oil'!X1845</f>
        <v>72.62</v>
      </c>
      <c r="Y1844">
        <f>'raw data Crude oil'!Y1845</f>
        <v>72.17</v>
      </c>
      <c r="Z1844">
        <f>'raw data Crude oil'!Z1845</f>
        <v>80.828999999999994</v>
      </c>
      <c r="AA1844">
        <f>'raw data Crude oil'!AA1845</f>
        <v>81.129000000000005</v>
      </c>
      <c r="AB1844">
        <f>'raw data Crude oil'!AB1845</f>
        <v>80.525000000000006</v>
      </c>
      <c r="AC1844">
        <f>'raw data Crude oil'!AC1845</f>
        <v>79.867000000000004</v>
      </c>
      <c r="AD1844">
        <f>'raw data Crude oil'!AD1845</f>
        <v>79.209999999999994</v>
      </c>
      <c r="AE1844">
        <f>'raw data Crude oil'!AE1845</f>
        <v>78.597999999999999</v>
      </c>
      <c r="AF1844">
        <f>'raw data Crude oil'!AF1845</f>
        <v>78.049000000000007</v>
      </c>
      <c r="AG1844">
        <f>'raw data Crude oil'!AG1845</f>
        <v>77.537999999999997</v>
      </c>
      <c r="AH1844">
        <f>'raw data Crude oil'!AH1845</f>
        <v>77.05</v>
      </c>
      <c r="AI1844">
        <f>'raw data Crude oil'!AI1845</f>
        <v>76.58</v>
      </c>
      <c r="AJ1844">
        <f>'raw data Crude oil'!AJ1845</f>
        <v>76.125</v>
      </c>
      <c r="AK1844">
        <f>'raw data Crude oil'!AK1845</f>
        <v>75.765000000000001</v>
      </c>
    </row>
    <row r="1845" spans="1:37" x14ac:dyDescent="0.3">
      <c r="A1845" s="18">
        <f>'raw data Crude oil'!A1846</f>
        <v>45343</v>
      </c>
      <c r="B1845">
        <f>'raw data Crude oil'!B1846</f>
        <v>83.03</v>
      </c>
      <c r="C1845">
        <f>'raw data Crude oil'!C1846</f>
        <v>82.11</v>
      </c>
      <c r="D1845">
        <f>'raw data Crude oil'!D1846</f>
        <v>81.41</v>
      </c>
      <c r="E1845">
        <f>'raw data Crude oil'!E1846</f>
        <v>80.8</v>
      </c>
      <c r="F1845">
        <f>'raw data Crude oil'!F1846</f>
        <v>80.22</v>
      </c>
      <c r="G1845">
        <f>'raw data Crude oil'!G1846</f>
        <v>79.650000000000006</v>
      </c>
      <c r="H1845">
        <f>'raw data Crude oil'!H1846</f>
        <v>79.12</v>
      </c>
      <c r="I1845">
        <f>'raw data Crude oil'!I1846</f>
        <v>78.62</v>
      </c>
      <c r="J1845">
        <f>'raw data Crude oil'!J1846</f>
        <v>78.150000000000006</v>
      </c>
      <c r="K1845">
        <f>'raw data Crude oil'!K1846</f>
        <v>77.69</v>
      </c>
      <c r="L1845">
        <f>'raw data Crude oil'!L1846</f>
        <v>77.260000000000005</v>
      </c>
      <c r="M1845">
        <f>'raw data Crude oil'!M1846</f>
        <v>76.88</v>
      </c>
      <c r="N1845">
        <f>'raw data Crude oil'!N1846</f>
        <v>77.91</v>
      </c>
      <c r="O1845">
        <f>'raw data Crude oil'!O1846</f>
        <v>77.31</v>
      </c>
      <c r="P1845">
        <f>'raw data Crude oil'!P1846</f>
        <v>76.78</v>
      </c>
      <c r="Q1845">
        <f>'raw data Crude oil'!Q1846</f>
        <v>76.22</v>
      </c>
      <c r="R1845">
        <f>'raw data Crude oil'!R1846</f>
        <v>75.63</v>
      </c>
      <c r="S1845">
        <f>'raw data Crude oil'!S1846</f>
        <v>75.03</v>
      </c>
      <c r="T1845">
        <f>'raw data Crude oil'!T1846</f>
        <v>74.44</v>
      </c>
      <c r="U1845">
        <f>'raw data Crude oil'!U1846</f>
        <v>73.92</v>
      </c>
      <c r="V1845">
        <f>'raw data Crude oil'!V1846</f>
        <v>73.42</v>
      </c>
      <c r="W1845">
        <f>'raw data Crude oil'!W1846</f>
        <v>72.930000000000007</v>
      </c>
      <c r="X1845">
        <f>'raw data Crude oil'!X1846</f>
        <v>72.459999999999994</v>
      </c>
      <c r="Y1845">
        <f>'raw data Crude oil'!Y1846</f>
        <v>72.040000000000006</v>
      </c>
      <c r="Z1845">
        <f>'raw data Crude oil'!Z1846</f>
        <v>81.022000000000006</v>
      </c>
      <c r="AA1845">
        <f>'raw data Crude oil'!AA1846</f>
        <v>81.744</v>
      </c>
      <c r="AB1845">
        <f>'raw data Crude oil'!AB1846</f>
        <v>81.087000000000003</v>
      </c>
      <c r="AC1845">
        <f>'raw data Crude oil'!AC1846</f>
        <v>80.37</v>
      </c>
      <c r="AD1845">
        <f>'raw data Crude oil'!AD1846</f>
        <v>79.652000000000001</v>
      </c>
      <c r="AE1845">
        <f>'raw data Crude oil'!AE1846</f>
        <v>79.007000000000005</v>
      </c>
      <c r="AF1845">
        <f>'raw data Crude oil'!AF1846</f>
        <v>78.436999999999998</v>
      </c>
      <c r="AG1845">
        <f>'raw data Crude oil'!AG1846</f>
        <v>77.897000000000006</v>
      </c>
      <c r="AH1845">
        <f>'raw data Crude oil'!AH1846</f>
        <v>77.397000000000006</v>
      </c>
      <c r="AI1845">
        <f>'raw data Crude oil'!AI1846</f>
        <v>76.915000000000006</v>
      </c>
      <c r="AJ1845">
        <f>'raw data Crude oil'!AJ1846</f>
        <v>76.448999999999998</v>
      </c>
      <c r="AK1845">
        <f>'raw data Crude oil'!AK1846</f>
        <v>76.063999999999993</v>
      </c>
    </row>
    <row r="1846" spans="1:37" x14ac:dyDescent="0.3">
      <c r="A1846" s="18">
        <f>'raw data Crude oil'!A1847</f>
        <v>45344</v>
      </c>
      <c r="B1846">
        <f>'raw data Crude oil'!B1847</f>
        <v>83.67</v>
      </c>
      <c r="C1846">
        <f>'raw data Crude oil'!C1847</f>
        <v>82.7</v>
      </c>
      <c r="D1846">
        <f>'raw data Crude oil'!D1847</f>
        <v>81.99</v>
      </c>
      <c r="E1846">
        <f>'raw data Crude oil'!E1847</f>
        <v>81.349999999999994</v>
      </c>
      <c r="F1846">
        <f>'raw data Crude oil'!F1847</f>
        <v>80.73</v>
      </c>
      <c r="G1846">
        <f>'raw data Crude oil'!G1847</f>
        <v>80.13</v>
      </c>
      <c r="H1846">
        <f>'raw data Crude oil'!H1847</f>
        <v>79.569999999999993</v>
      </c>
      <c r="I1846">
        <f>'raw data Crude oil'!I1847</f>
        <v>79.069999999999993</v>
      </c>
      <c r="J1846">
        <f>'raw data Crude oil'!J1847</f>
        <v>78.59</v>
      </c>
      <c r="K1846">
        <f>'raw data Crude oil'!K1847</f>
        <v>78.12</v>
      </c>
      <c r="L1846">
        <f>'raw data Crude oil'!L1847</f>
        <v>77.67</v>
      </c>
      <c r="M1846">
        <f>'raw data Crude oil'!M1847</f>
        <v>77.290000000000006</v>
      </c>
      <c r="N1846">
        <f>'raw data Crude oil'!N1847</f>
        <v>78.61</v>
      </c>
      <c r="O1846">
        <f>'raw data Crude oil'!O1847</f>
        <v>77.930000000000007</v>
      </c>
      <c r="P1846">
        <f>'raw data Crude oil'!P1847</f>
        <v>77.34</v>
      </c>
      <c r="Q1846">
        <f>'raw data Crude oil'!Q1847</f>
        <v>76.739999999999995</v>
      </c>
      <c r="R1846">
        <f>'raw data Crude oil'!R1847</f>
        <v>76.12</v>
      </c>
      <c r="S1846">
        <f>'raw data Crude oil'!S1847</f>
        <v>75.5</v>
      </c>
      <c r="T1846">
        <f>'raw data Crude oil'!T1847</f>
        <v>74.89</v>
      </c>
      <c r="U1846">
        <f>'raw data Crude oil'!U1847</f>
        <v>74.36</v>
      </c>
      <c r="V1846">
        <f>'raw data Crude oil'!V1847</f>
        <v>73.84</v>
      </c>
      <c r="W1846">
        <f>'raw data Crude oil'!W1847</f>
        <v>73.34</v>
      </c>
      <c r="X1846">
        <f>'raw data Crude oil'!X1847</f>
        <v>72.87</v>
      </c>
      <c r="Y1846">
        <f>'raw data Crude oil'!Y1847</f>
        <v>72.45</v>
      </c>
      <c r="Z1846">
        <f>'raw data Crude oil'!Z1847</f>
        <v>81.216999999999999</v>
      </c>
      <c r="AA1846">
        <f>'raw data Crude oil'!AA1847</f>
        <v>82.272000000000006</v>
      </c>
      <c r="AB1846">
        <f>'raw data Crude oil'!AB1847</f>
        <v>81.590999999999994</v>
      </c>
      <c r="AC1846">
        <f>'raw data Crude oil'!AC1847</f>
        <v>80.840999999999994</v>
      </c>
      <c r="AD1846">
        <f>'raw data Crude oil'!AD1847</f>
        <v>80.097999999999999</v>
      </c>
      <c r="AE1846">
        <f>'raw data Crude oil'!AE1847</f>
        <v>79.430999999999997</v>
      </c>
      <c r="AF1846">
        <f>'raw data Crude oil'!AF1847</f>
        <v>78.84</v>
      </c>
      <c r="AG1846">
        <f>'raw data Crude oil'!AG1847</f>
        <v>78.298000000000002</v>
      </c>
      <c r="AH1846">
        <f>'raw data Crude oil'!AH1847</f>
        <v>77.8</v>
      </c>
      <c r="AI1846">
        <f>'raw data Crude oil'!AI1847</f>
        <v>77.308999999999997</v>
      </c>
      <c r="AJ1846">
        <f>'raw data Crude oil'!AJ1847</f>
        <v>76.823999999999998</v>
      </c>
      <c r="AK1846">
        <f>'raw data Crude oil'!AK1847</f>
        <v>76.453999999999994</v>
      </c>
    </row>
    <row r="1847" spans="1:37" x14ac:dyDescent="0.3">
      <c r="A1847" s="18">
        <f>'raw data Crude oil'!A1848</f>
        <v>45345</v>
      </c>
      <c r="B1847">
        <f>'raw data Crude oil'!B1848</f>
        <v>81.62</v>
      </c>
      <c r="C1847">
        <f>'raw data Crude oil'!C1848</f>
        <v>80.8</v>
      </c>
      <c r="D1847">
        <f>'raw data Crude oil'!D1848</f>
        <v>80.25</v>
      </c>
      <c r="E1847">
        <f>'raw data Crude oil'!E1848</f>
        <v>79.709999999999994</v>
      </c>
      <c r="F1847">
        <f>'raw data Crude oil'!F1848</f>
        <v>79.16</v>
      </c>
      <c r="G1847">
        <f>'raw data Crude oil'!G1848</f>
        <v>78.63</v>
      </c>
      <c r="H1847">
        <f>'raw data Crude oil'!H1848</f>
        <v>78.14</v>
      </c>
      <c r="I1847">
        <f>'raw data Crude oil'!I1848</f>
        <v>77.69</v>
      </c>
      <c r="J1847">
        <f>'raw data Crude oil'!J1848</f>
        <v>77.25</v>
      </c>
      <c r="K1847">
        <f>'raw data Crude oil'!K1848</f>
        <v>76.819999999999993</v>
      </c>
      <c r="L1847">
        <f>'raw data Crude oil'!L1848</f>
        <v>76.42</v>
      </c>
      <c r="M1847">
        <f>'raw data Crude oil'!M1848</f>
        <v>76.069999999999993</v>
      </c>
      <c r="N1847">
        <f>'raw data Crude oil'!N1848</f>
        <v>76.489999999999995</v>
      </c>
      <c r="O1847">
        <f>'raw data Crude oil'!O1848</f>
        <v>76.08</v>
      </c>
      <c r="P1847">
        <f>'raw data Crude oil'!P1848</f>
        <v>75.62</v>
      </c>
      <c r="Q1847">
        <f>'raw data Crude oil'!Q1848</f>
        <v>75.13</v>
      </c>
      <c r="R1847">
        <f>'raw data Crude oil'!R1848</f>
        <v>74.59</v>
      </c>
      <c r="S1847">
        <f>'raw data Crude oil'!S1848</f>
        <v>74.05</v>
      </c>
      <c r="T1847">
        <f>'raw data Crude oil'!T1848</f>
        <v>73.510000000000005</v>
      </c>
      <c r="U1847">
        <f>'raw data Crude oil'!U1848</f>
        <v>73.02</v>
      </c>
      <c r="V1847">
        <f>'raw data Crude oil'!V1848</f>
        <v>72.55</v>
      </c>
      <c r="W1847">
        <f>'raw data Crude oil'!W1848</f>
        <v>72.09</v>
      </c>
      <c r="X1847">
        <f>'raw data Crude oil'!X1848</f>
        <v>71.67</v>
      </c>
      <c r="Y1847">
        <f>'raw data Crude oil'!Y1848</f>
        <v>71.28</v>
      </c>
      <c r="Z1847">
        <f>'raw data Crude oil'!Z1848</f>
        <v>80.754000000000005</v>
      </c>
      <c r="AA1847">
        <f>'raw data Crude oil'!AA1848</f>
        <v>80.322999999999993</v>
      </c>
      <c r="AB1847">
        <f>'raw data Crude oil'!AB1848</f>
        <v>79.795000000000002</v>
      </c>
      <c r="AC1847">
        <f>'raw data Crude oil'!AC1848</f>
        <v>79.150000000000006</v>
      </c>
      <c r="AD1847">
        <f>'raw data Crude oil'!AD1848</f>
        <v>78.507999999999996</v>
      </c>
      <c r="AE1847">
        <f>'raw data Crude oil'!AE1848</f>
        <v>77.903000000000006</v>
      </c>
      <c r="AF1847">
        <f>'raw data Crude oil'!AF1848</f>
        <v>77.352999999999994</v>
      </c>
      <c r="AG1847">
        <f>'raw data Crude oil'!AG1848</f>
        <v>76.852999999999994</v>
      </c>
      <c r="AH1847">
        <f>'raw data Crude oil'!AH1848</f>
        <v>76.402000000000001</v>
      </c>
      <c r="AI1847">
        <f>'raw data Crude oil'!AI1848</f>
        <v>75.962000000000003</v>
      </c>
      <c r="AJ1847">
        <f>'raw data Crude oil'!AJ1848</f>
        <v>75.537999999999997</v>
      </c>
      <c r="AK1847">
        <f>'raw data Crude oil'!AK1848</f>
        <v>75.176000000000002</v>
      </c>
    </row>
    <row r="1848" spans="1:37" x14ac:dyDescent="0.3">
      <c r="A1848" s="18">
        <f>'raw data Crude oil'!A1849</f>
        <v>45348</v>
      </c>
      <c r="B1848">
        <f>'raw data Crude oil'!B1849</f>
        <v>82.53</v>
      </c>
      <c r="C1848">
        <f>'raw data Crude oil'!C1849</f>
        <v>81.67</v>
      </c>
      <c r="D1848">
        <f>'raw data Crude oil'!D1849</f>
        <v>81.099999999999994</v>
      </c>
      <c r="E1848">
        <f>'raw data Crude oil'!E1849</f>
        <v>80.540000000000006</v>
      </c>
      <c r="F1848">
        <f>'raw data Crude oil'!F1849</f>
        <v>79.97</v>
      </c>
      <c r="G1848">
        <f>'raw data Crude oil'!G1849</f>
        <v>79.400000000000006</v>
      </c>
      <c r="H1848">
        <f>'raw data Crude oil'!H1849</f>
        <v>78.87</v>
      </c>
      <c r="I1848">
        <f>'raw data Crude oil'!I1849</f>
        <v>78.38</v>
      </c>
      <c r="J1848">
        <f>'raw data Crude oil'!J1849</f>
        <v>77.91</v>
      </c>
      <c r="K1848">
        <f>'raw data Crude oil'!K1849</f>
        <v>77.45</v>
      </c>
      <c r="L1848">
        <f>'raw data Crude oil'!L1849</f>
        <v>77.03</v>
      </c>
      <c r="M1848">
        <f>'raw data Crude oil'!M1849</f>
        <v>76.66</v>
      </c>
      <c r="N1848">
        <f>'raw data Crude oil'!N1849</f>
        <v>77.58</v>
      </c>
      <c r="O1848">
        <f>'raw data Crude oil'!O1849</f>
        <v>77.09</v>
      </c>
      <c r="P1848">
        <f>'raw data Crude oil'!P1849</f>
        <v>76.59</v>
      </c>
      <c r="Q1848">
        <f>'raw data Crude oil'!Q1849</f>
        <v>76.05</v>
      </c>
      <c r="R1848">
        <f>'raw data Crude oil'!R1849</f>
        <v>75.459999999999994</v>
      </c>
      <c r="S1848">
        <f>'raw data Crude oil'!S1849</f>
        <v>74.849999999999994</v>
      </c>
      <c r="T1848">
        <f>'raw data Crude oil'!T1849</f>
        <v>74.27</v>
      </c>
      <c r="U1848">
        <f>'raw data Crude oil'!U1849</f>
        <v>73.739999999999995</v>
      </c>
      <c r="V1848">
        <f>'raw data Crude oil'!V1849</f>
        <v>73.239999999999995</v>
      </c>
      <c r="W1848">
        <f>'raw data Crude oil'!W1849</f>
        <v>72.75</v>
      </c>
      <c r="X1848">
        <f>'raw data Crude oil'!X1849</f>
        <v>72.3</v>
      </c>
      <c r="Y1848">
        <f>'raw data Crude oil'!Y1849</f>
        <v>71.89</v>
      </c>
      <c r="Z1848">
        <f>'raw data Crude oil'!Z1849</f>
        <v>80.834999999999994</v>
      </c>
      <c r="AA1848">
        <f>'raw data Crude oil'!AA1849</f>
        <v>81.128</v>
      </c>
      <c r="AB1848">
        <f>'raw data Crude oil'!AB1849</f>
        <v>80.658000000000001</v>
      </c>
      <c r="AC1848">
        <f>'raw data Crude oil'!AC1849</f>
        <v>79.995999999999995</v>
      </c>
      <c r="AD1848">
        <f>'raw data Crude oil'!AD1849</f>
        <v>79.347999999999999</v>
      </c>
      <c r="AE1848">
        <f>'raw data Crude oil'!AE1849</f>
        <v>78.712000000000003</v>
      </c>
      <c r="AF1848">
        <f>'raw data Crude oil'!AF1849</f>
        <v>78.123000000000005</v>
      </c>
      <c r="AG1848">
        <f>'raw data Crude oil'!AG1849</f>
        <v>77.587999999999994</v>
      </c>
      <c r="AH1848">
        <f>'raw data Crude oil'!AH1849</f>
        <v>77.099999999999994</v>
      </c>
      <c r="AI1848">
        <f>'raw data Crude oil'!AI1849</f>
        <v>76.61</v>
      </c>
      <c r="AJ1848">
        <f>'raw data Crude oil'!AJ1849</f>
        <v>76.165000000000006</v>
      </c>
      <c r="AK1848">
        <f>'raw data Crude oil'!AK1849</f>
        <v>75.823999999999998</v>
      </c>
    </row>
    <row r="1849" spans="1:37" x14ac:dyDescent="0.3">
      <c r="A1849" s="18">
        <f>'raw data Crude oil'!A1850</f>
        <v>45349</v>
      </c>
      <c r="B1849">
        <f>'raw data Crude oil'!B1850</f>
        <v>83.65</v>
      </c>
      <c r="C1849">
        <f>'raw data Crude oil'!C1850</f>
        <v>82.66</v>
      </c>
      <c r="D1849">
        <f>'raw data Crude oil'!D1850</f>
        <v>82.02</v>
      </c>
      <c r="E1849">
        <f>'raw data Crude oil'!E1850</f>
        <v>81.400000000000006</v>
      </c>
      <c r="F1849">
        <f>'raw data Crude oil'!F1850</f>
        <v>80.77</v>
      </c>
      <c r="G1849">
        <f>'raw data Crude oil'!G1850</f>
        <v>80.150000000000006</v>
      </c>
      <c r="H1849">
        <f>'raw data Crude oil'!H1850</f>
        <v>79.569999999999993</v>
      </c>
      <c r="I1849">
        <f>'raw data Crude oil'!I1850</f>
        <v>79.040000000000006</v>
      </c>
      <c r="J1849">
        <f>'raw data Crude oil'!J1850</f>
        <v>78.53</v>
      </c>
      <c r="K1849">
        <f>'raw data Crude oil'!K1850</f>
        <v>78.040000000000006</v>
      </c>
      <c r="L1849">
        <f>'raw data Crude oil'!L1850</f>
        <v>77.59</v>
      </c>
      <c r="M1849">
        <f>'raw data Crude oil'!M1850</f>
        <v>77.2</v>
      </c>
      <c r="N1849">
        <f>'raw data Crude oil'!N1850</f>
        <v>78.87</v>
      </c>
      <c r="O1849">
        <f>'raw data Crude oil'!O1850</f>
        <v>78.23</v>
      </c>
      <c r="P1849">
        <f>'raw data Crude oil'!P1850</f>
        <v>77.64</v>
      </c>
      <c r="Q1849">
        <f>'raw data Crude oil'!Q1850</f>
        <v>77</v>
      </c>
      <c r="R1849">
        <f>'raw data Crude oil'!R1850</f>
        <v>76.319999999999993</v>
      </c>
      <c r="S1849">
        <f>'raw data Crude oil'!S1850</f>
        <v>75.66</v>
      </c>
      <c r="T1849">
        <f>'raw data Crude oil'!T1850</f>
        <v>75.02</v>
      </c>
      <c r="U1849">
        <f>'raw data Crude oil'!U1850</f>
        <v>74.45</v>
      </c>
      <c r="V1849">
        <f>'raw data Crude oil'!V1850</f>
        <v>73.91</v>
      </c>
      <c r="W1849">
        <f>'raw data Crude oil'!W1850</f>
        <v>73.38</v>
      </c>
      <c r="X1849">
        <f>'raw data Crude oil'!X1850</f>
        <v>72.900000000000006</v>
      </c>
      <c r="Y1849">
        <f>'raw data Crude oil'!Y1850</f>
        <v>72.47</v>
      </c>
      <c r="Z1849">
        <f>'raw data Crude oil'!Z1850</f>
        <v>80.968999999999994</v>
      </c>
      <c r="AA1849">
        <f>'raw data Crude oil'!AA1850</f>
        <v>82.131</v>
      </c>
      <c r="AB1849">
        <f>'raw data Crude oil'!AB1850</f>
        <v>81.581999999999994</v>
      </c>
      <c r="AC1849">
        <f>'raw data Crude oil'!AC1850</f>
        <v>80.891000000000005</v>
      </c>
      <c r="AD1849">
        <f>'raw data Crude oil'!AD1850</f>
        <v>80.179000000000002</v>
      </c>
      <c r="AE1849">
        <f>'raw data Crude oil'!AE1850</f>
        <v>79.48</v>
      </c>
      <c r="AF1849">
        <f>'raw data Crude oil'!AF1850</f>
        <v>78.840999999999994</v>
      </c>
      <c r="AG1849">
        <f>'raw data Crude oil'!AG1850</f>
        <v>78.266000000000005</v>
      </c>
      <c r="AH1849">
        <f>'raw data Crude oil'!AH1850</f>
        <v>77.739000000000004</v>
      </c>
      <c r="AI1849">
        <f>'raw data Crude oil'!AI1850</f>
        <v>77.218999999999994</v>
      </c>
      <c r="AJ1849">
        <f>'raw data Crude oil'!AJ1850</f>
        <v>76.742999999999995</v>
      </c>
      <c r="AK1849">
        <f>'raw data Crude oil'!AK1850</f>
        <v>76.364000000000004</v>
      </c>
    </row>
    <row r="1850" spans="1:37" x14ac:dyDescent="0.3">
      <c r="A1850" s="18">
        <f>'raw data Crude oil'!A1851</f>
        <v>45350</v>
      </c>
      <c r="B1850">
        <f>'raw data Crude oil'!B1851</f>
        <v>83.68</v>
      </c>
      <c r="C1850">
        <f>'raw data Crude oil'!C1851</f>
        <v>82.15</v>
      </c>
      <c r="D1850">
        <f>'raw data Crude oil'!D1851</f>
        <v>81.47</v>
      </c>
      <c r="E1850">
        <f>'raw data Crude oil'!E1851</f>
        <v>80.849999999999994</v>
      </c>
      <c r="F1850">
        <f>'raw data Crude oil'!F1851</f>
        <v>80.22</v>
      </c>
      <c r="G1850">
        <f>'raw data Crude oil'!G1851</f>
        <v>79.599999999999994</v>
      </c>
      <c r="H1850">
        <f>'raw data Crude oil'!H1851</f>
        <v>79.03</v>
      </c>
      <c r="I1850">
        <f>'raw data Crude oil'!I1851</f>
        <v>78.5</v>
      </c>
      <c r="J1850">
        <f>'raw data Crude oil'!J1851</f>
        <v>78.010000000000005</v>
      </c>
      <c r="K1850">
        <f>'raw data Crude oil'!K1851</f>
        <v>77.540000000000006</v>
      </c>
      <c r="L1850">
        <f>'raw data Crude oil'!L1851</f>
        <v>77.099999999999994</v>
      </c>
      <c r="M1850">
        <f>'raw data Crude oil'!M1851</f>
        <v>76.73</v>
      </c>
      <c r="N1850">
        <f>'raw data Crude oil'!N1851</f>
        <v>78.540000000000006</v>
      </c>
      <c r="O1850">
        <f>'raw data Crude oil'!O1851</f>
        <v>77.83</v>
      </c>
      <c r="P1850">
        <f>'raw data Crude oil'!P1851</f>
        <v>77.209999999999994</v>
      </c>
      <c r="Q1850">
        <f>'raw data Crude oil'!Q1851</f>
        <v>76.569999999999993</v>
      </c>
      <c r="R1850">
        <f>'raw data Crude oil'!R1851</f>
        <v>75.900000000000006</v>
      </c>
      <c r="S1850">
        <f>'raw data Crude oil'!S1851</f>
        <v>75.23</v>
      </c>
      <c r="T1850">
        <f>'raw data Crude oil'!T1851</f>
        <v>74.59</v>
      </c>
      <c r="U1850">
        <f>'raw data Crude oil'!U1851</f>
        <v>74.02</v>
      </c>
      <c r="V1850">
        <f>'raw data Crude oil'!V1851</f>
        <v>73.489999999999995</v>
      </c>
      <c r="W1850">
        <f>'raw data Crude oil'!W1851</f>
        <v>72.97</v>
      </c>
      <c r="X1850">
        <f>'raw data Crude oil'!X1851</f>
        <v>72.5</v>
      </c>
      <c r="Y1850">
        <f>'raw data Crude oil'!Y1851</f>
        <v>72.069999999999993</v>
      </c>
      <c r="Z1850">
        <f>'raw data Crude oil'!Z1851</f>
        <v>80.906000000000006</v>
      </c>
      <c r="AA1850">
        <f>'raw data Crude oil'!AA1851</f>
        <v>81.718999999999994</v>
      </c>
      <c r="AB1850">
        <f>'raw data Crude oil'!AB1851</f>
        <v>81.126999999999995</v>
      </c>
      <c r="AC1850">
        <f>'raw data Crude oil'!AC1851</f>
        <v>80.408000000000001</v>
      </c>
      <c r="AD1850">
        <f>'raw data Crude oil'!AD1851</f>
        <v>79.680000000000007</v>
      </c>
      <c r="AE1850">
        <f>'raw data Crude oil'!AE1851</f>
        <v>78.989999999999995</v>
      </c>
      <c r="AF1850">
        <f>'raw data Crude oil'!AF1851</f>
        <v>78.350999999999999</v>
      </c>
      <c r="AG1850">
        <f>'raw data Crude oil'!AG1851</f>
        <v>77.766999999999996</v>
      </c>
      <c r="AH1850">
        <f>'raw data Crude oil'!AH1851</f>
        <v>77.25</v>
      </c>
      <c r="AI1850">
        <f>'raw data Crude oil'!AI1851</f>
        <v>76.759</v>
      </c>
      <c r="AJ1850">
        <f>'raw data Crude oil'!AJ1851</f>
        <v>76.284999999999997</v>
      </c>
      <c r="AK1850">
        <f>'raw data Crude oil'!AK1851</f>
        <v>75.918999999999997</v>
      </c>
    </row>
    <row r="1851" spans="1:37" x14ac:dyDescent="0.3">
      <c r="A1851" s="18">
        <f>'raw data Crude oil'!A1852</f>
        <v>45351</v>
      </c>
      <c r="B1851">
        <f>'raw data Crude oil'!B1852</f>
        <v>83.62</v>
      </c>
      <c r="C1851">
        <f>'raw data Crude oil'!C1852</f>
        <v>81.91</v>
      </c>
      <c r="D1851">
        <f>'raw data Crude oil'!D1852</f>
        <v>81.180000000000007</v>
      </c>
      <c r="E1851">
        <f>'raw data Crude oil'!E1852</f>
        <v>80.53</v>
      </c>
      <c r="F1851">
        <f>'raw data Crude oil'!F1852</f>
        <v>79.88</v>
      </c>
      <c r="G1851">
        <f>'raw data Crude oil'!G1852</f>
        <v>79.260000000000005</v>
      </c>
      <c r="H1851">
        <f>'raw data Crude oil'!H1852</f>
        <v>78.69</v>
      </c>
      <c r="I1851">
        <f>'raw data Crude oil'!I1852</f>
        <v>78.180000000000007</v>
      </c>
      <c r="J1851">
        <f>'raw data Crude oil'!J1852</f>
        <v>77.7</v>
      </c>
      <c r="K1851">
        <f>'raw data Crude oil'!K1852</f>
        <v>77.23</v>
      </c>
      <c r="L1851">
        <f>'raw data Crude oil'!L1852</f>
        <v>76.81</v>
      </c>
      <c r="M1851">
        <f>'raw data Crude oil'!M1852</f>
        <v>76.44</v>
      </c>
      <c r="N1851">
        <f>'raw data Crude oil'!N1852</f>
        <v>78.260000000000005</v>
      </c>
      <c r="O1851">
        <f>'raw data Crude oil'!O1852</f>
        <v>77.45</v>
      </c>
      <c r="P1851">
        <f>'raw data Crude oil'!P1852</f>
        <v>76.81</v>
      </c>
      <c r="Q1851">
        <f>'raw data Crude oil'!Q1852</f>
        <v>76.180000000000007</v>
      </c>
      <c r="R1851">
        <f>'raw data Crude oil'!R1852</f>
        <v>75.53</v>
      </c>
      <c r="S1851">
        <f>'raw data Crude oil'!S1852</f>
        <v>74.86</v>
      </c>
      <c r="T1851">
        <f>'raw data Crude oil'!T1852</f>
        <v>74.23</v>
      </c>
      <c r="U1851">
        <f>'raw data Crude oil'!U1852</f>
        <v>73.67</v>
      </c>
      <c r="V1851">
        <f>'raw data Crude oil'!V1852</f>
        <v>73.13</v>
      </c>
      <c r="W1851">
        <f>'raw data Crude oil'!W1852</f>
        <v>72.62</v>
      </c>
      <c r="X1851">
        <f>'raw data Crude oil'!X1852</f>
        <v>72.150000000000006</v>
      </c>
      <c r="Y1851">
        <f>'raw data Crude oil'!Y1852</f>
        <v>71.739999999999995</v>
      </c>
      <c r="Z1851">
        <f>'raw data Crude oil'!Z1852</f>
        <v>80.884</v>
      </c>
      <c r="AA1851">
        <f>'raw data Crude oil'!AA1852</f>
        <v>81.613</v>
      </c>
      <c r="AB1851">
        <f>'raw data Crude oil'!AB1852</f>
        <v>80.915000000000006</v>
      </c>
      <c r="AC1851">
        <f>'raw data Crude oil'!AC1852</f>
        <v>80.134</v>
      </c>
      <c r="AD1851">
        <f>'raw data Crude oil'!AD1852</f>
        <v>79.352999999999994</v>
      </c>
      <c r="AE1851">
        <f>'raw data Crude oil'!AE1852</f>
        <v>78.662000000000006</v>
      </c>
      <c r="AF1851">
        <f>'raw data Crude oil'!AF1852</f>
        <v>78.010999999999996</v>
      </c>
      <c r="AG1851">
        <f>'raw data Crude oil'!AG1852</f>
        <v>77.44</v>
      </c>
      <c r="AH1851">
        <f>'raw data Crude oil'!AH1852</f>
        <v>76.94</v>
      </c>
      <c r="AI1851">
        <f>'raw data Crude oil'!AI1852</f>
        <v>76.456000000000003</v>
      </c>
      <c r="AJ1851">
        <f>'raw data Crude oil'!AJ1852</f>
        <v>75.994</v>
      </c>
      <c r="AK1851">
        <f>'raw data Crude oil'!AK1852</f>
        <v>75.625</v>
      </c>
    </row>
    <row r="1852" spans="1:37" x14ac:dyDescent="0.3">
      <c r="A1852" s="18">
        <f>'raw data Crude oil'!A1853</f>
        <v>45352</v>
      </c>
      <c r="B1852">
        <f>'raw data Crude oil'!B1853</f>
        <v>83.55</v>
      </c>
      <c r="C1852">
        <f>'raw data Crude oil'!C1853</f>
        <v>82.69</v>
      </c>
      <c r="D1852">
        <f>'raw data Crude oil'!D1853</f>
        <v>81.93</v>
      </c>
      <c r="E1852">
        <f>'raw data Crude oil'!E1853</f>
        <v>81.180000000000007</v>
      </c>
      <c r="F1852">
        <f>'raw data Crude oil'!F1853</f>
        <v>80.459999999999994</v>
      </c>
      <c r="G1852">
        <f>'raw data Crude oil'!G1853</f>
        <v>79.81</v>
      </c>
      <c r="H1852">
        <f>'raw data Crude oil'!H1853</f>
        <v>79.209999999999994</v>
      </c>
      <c r="I1852">
        <f>'raw data Crude oil'!I1853</f>
        <v>78.66</v>
      </c>
      <c r="J1852">
        <f>'raw data Crude oil'!J1853</f>
        <v>78.13</v>
      </c>
      <c r="K1852">
        <f>'raw data Crude oil'!K1853</f>
        <v>77.64</v>
      </c>
      <c r="L1852">
        <f>'raw data Crude oil'!L1853</f>
        <v>77.23</v>
      </c>
      <c r="M1852">
        <f>'raw data Crude oil'!M1853</f>
        <v>76.84</v>
      </c>
      <c r="N1852">
        <f>'raw data Crude oil'!N1853</f>
        <v>79.97</v>
      </c>
      <c r="O1852">
        <f>'raw data Crude oil'!O1853</f>
        <v>79.09</v>
      </c>
      <c r="P1852">
        <f>'raw data Crude oil'!P1853</f>
        <v>78.33</v>
      </c>
      <c r="Q1852">
        <f>'raw data Crude oil'!Q1853</f>
        <v>77.59</v>
      </c>
      <c r="R1852">
        <f>'raw data Crude oil'!R1853</f>
        <v>76.84</v>
      </c>
      <c r="S1852">
        <f>'raw data Crude oil'!S1853</f>
        <v>76.09</v>
      </c>
      <c r="T1852">
        <f>'raw data Crude oil'!T1853</f>
        <v>75.37</v>
      </c>
      <c r="U1852">
        <f>'raw data Crude oil'!U1853</f>
        <v>74.72</v>
      </c>
      <c r="V1852">
        <f>'raw data Crude oil'!V1853</f>
        <v>74.11</v>
      </c>
      <c r="W1852">
        <f>'raw data Crude oil'!W1853</f>
        <v>73.52</v>
      </c>
      <c r="X1852">
        <f>'raw data Crude oil'!X1853</f>
        <v>72.989999999999995</v>
      </c>
      <c r="Y1852">
        <f>'raw data Crude oil'!Y1853</f>
        <v>72.52</v>
      </c>
      <c r="Z1852">
        <f>'raw data Crude oil'!Z1853</f>
        <v>80.884</v>
      </c>
      <c r="AA1852">
        <f>'raw data Crude oil'!AA1853</f>
        <v>82.665999999999997</v>
      </c>
      <c r="AB1852">
        <f>'raw data Crude oil'!AB1853</f>
        <v>82.084999999999994</v>
      </c>
      <c r="AC1852">
        <f>'raw data Crude oil'!AC1853</f>
        <v>81.304000000000002</v>
      </c>
      <c r="AD1852">
        <f>'raw data Crude oil'!AD1853</f>
        <v>80.501000000000005</v>
      </c>
      <c r="AE1852">
        <f>'raw data Crude oil'!AE1853</f>
        <v>79.742999999999995</v>
      </c>
      <c r="AF1852">
        <f>'raw data Crude oil'!AF1853</f>
        <v>79.028000000000006</v>
      </c>
      <c r="AG1852">
        <f>'raw data Crude oil'!AG1853</f>
        <v>78.379000000000005</v>
      </c>
      <c r="AH1852">
        <f>'raw data Crude oil'!AH1853</f>
        <v>77.816999999999993</v>
      </c>
      <c r="AI1852">
        <f>'raw data Crude oil'!AI1853</f>
        <v>77.257000000000005</v>
      </c>
      <c r="AJ1852">
        <f>'raw data Crude oil'!AJ1853</f>
        <v>76.730999999999995</v>
      </c>
      <c r="AK1852">
        <f>'raw data Crude oil'!AK1853</f>
        <v>76.311999999999998</v>
      </c>
    </row>
    <row r="1853" spans="1:37" x14ac:dyDescent="0.3">
      <c r="A1853" s="18">
        <f>'raw data Crude oil'!A1854</f>
        <v>45355</v>
      </c>
      <c r="B1853">
        <f>'raw data Crude oil'!B1854</f>
        <v>82.8</v>
      </c>
      <c r="C1853">
        <f>'raw data Crude oil'!C1854</f>
        <v>82.08</v>
      </c>
      <c r="D1853">
        <f>'raw data Crude oil'!D1854</f>
        <v>81.41</v>
      </c>
      <c r="E1853">
        <f>'raw data Crude oil'!E1854</f>
        <v>80.75</v>
      </c>
      <c r="F1853">
        <f>'raw data Crude oil'!F1854</f>
        <v>80.11</v>
      </c>
      <c r="G1853">
        <f>'raw data Crude oil'!G1854</f>
        <v>79.52</v>
      </c>
      <c r="H1853">
        <f>'raw data Crude oil'!H1854</f>
        <v>78.97</v>
      </c>
      <c r="I1853">
        <f>'raw data Crude oil'!I1854</f>
        <v>78.47</v>
      </c>
      <c r="J1853">
        <f>'raw data Crude oil'!J1854</f>
        <v>77.97</v>
      </c>
      <c r="K1853">
        <f>'raw data Crude oil'!K1854</f>
        <v>77.52</v>
      </c>
      <c r="L1853">
        <f>'raw data Crude oil'!L1854</f>
        <v>77.14</v>
      </c>
      <c r="M1853">
        <f>'raw data Crude oil'!M1854</f>
        <v>76.790000000000006</v>
      </c>
      <c r="N1853">
        <f>'raw data Crude oil'!N1854</f>
        <v>78.739999999999995</v>
      </c>
      <c r="O1853">
        <f>'raw data Crude oil'!O1854</f>
        <v>78.17</v>
      </c>
      <c r="P1853">
        <f>'raw data Crude oil'!P1854</f>
        <v>77.61</v>
      </c>
      <c r="Q1853">
        <f>'raw data Crude oil'!Q1854</f>
        <v>77.010000000000005</v>
      </c>
      <c r="R1853">
        <f>'raw data Crude oil'!R1854</f>
        <v>76.38</v>
      </c>
      <c r="S1853">
        <f>'raw data Crude oil'!S1854</f>
        <v>75.739999999999995</v>
      </c>
      <c r="T1853">
        <f>'raw data Crude oil'!T1854</f>
        <v>75.099999999999994</v>
      </c>
      <c r="U1853">
        <f>'raw data Crude oil'!U1854</f>
        <v>74.52</v>
      </c>
      <c r="V1853">
        <f>'raw data Crude oil'!V1854</f>
        <v>73.97</v>
      </c>
      <c r="W1853">
        <f>'raw data Crude oil'!W1854</f>
        <v>73.45</v>
      </c>
      <c r="X1853">
        <f>'raw data Crude oil'!X1854</f>
        <v>72.98</v>
      </c>
      <c r="Y1853">
        <f>'raw data Crude oil'!Y1854</f>
        <v>72.540000000000006</v>
      </c>
      <c r="Z1853">
        <f>'raw data Crude oil'!Z1854</f>
        <v>82.197999999999993</v>
      </c>
      <c r="AA1853">
        <f>'raw data Crude oil'!AA1854</f>
        <v>81.484999999999999</v>
      </c>
      <c r="AB1853">
        <f>'raw data Crude oil'!AB1854</f>
        <v>80.691999999999993</v>
      </c>
      <c r="AC1853">
        <f>'raw data Crude oil'!AC1854</f>
        <v>79.941999999999993</v>
      </c>
      <c r="AD1853">
        <f>'raw data Crude oil'!AD1854</f>
        <v>79.210999999999999</v>
      </c>
      <c r="AE1853">
        <f>'raw data Crude oil'!AE1854</f>
        <v>78.542000000000002</v>
      </c>
      <c r="AF1853">
        <f>'raw data Crude oil'!AF1854</f>
        <v>77.947999999999993</v>
      </c>
      <c r="AG1853">
        <f>'raw data Crude oil'!AG1854</f>
        <v>77.418000000000006</v>
      </c>
      <c r="AH1853">
        <f>'raw data Crude oil'!AH1854</f>
        <v>76.906999999999996</v>
      </c>
      <c r="AI1853">
        <f>'raw data Crude oil'!AI1854</f>
        <v>76.415999999999997</v>
      </c>
      <c r="AJ1853">
        <f>'raw data Crude oil'!AJ1854</f>
        <v>76.093999999999994</v>
      </c>
      <c r="AK1853">
        <f>'raw data Crude oil'!AK1854</f>
        <v>75.772999999999996</v>
      </c>
    </row>
    <row r="1854" spans="1:37" x14ac:dyDescent="0.3">
      <c r="A1854" s="18">
        <f>'raw data Crude oil'!A1855</f>
        <v>45356</v>
      </c>
      <c r="B1854">
        <f>'raw data Crude oil'!B1855</f>
        <v>82.04</v>
      </c>
      <c r="C1854">
        <f>'raw data Crude oil'!C1855</f>
        <v>81.33</v>
      </c>
      <c r="D1854">
        <f>'raw data Crude oil'!D1855</f>
        <v>80.69</v>
      </c>
      <c r="E1854">
        <f>'raw data Crude oil'!E1855</f>
        <v>80.069999999999993</v>
      </c>
      <c r="F1854">
        <f>'raw data Crude oil'!F1855</f>
        <v>79.459999999999994</v>
      </c>
      <c r="G1854">
        <f>'raw data Crude oil'!G1855</f>
        <v>78.88</v>
      </c>
      <c r="H1854">
        <f>'raw data Crude oil'!H1855</f>
        <v>78.349999999999994</v>
      </c>
      <c r="I1854">
        <f>'raw data Crude oil'!I1855</f>
        <v>77.87</v>
      </c>
      <c r="J1854">
        <f>'raw data Crude oil'!J1855</f>
        <v>77.39</v>
      </c>
      <c r="K1854">
        <f>'raw data Crude oil'!K1855</f>
        <v>76.959999999999994</v>
      </c>
      <c r="L1854">
        <f>'raw data Crude oil'!L1855</f>
        <v>76.58</v>
      </c>
      <c r="M1854">
        <f>'raw data Crude oil'!M1855</f>
        <v>76.239999999999995</v>
      </c>
      <c r="N1854">
        <f>'raw data Crude oil'!N1855</f>
        <v>78.150000000000006</v>
      </c>
      <c r="O1854">
        <f>'raw data Crude oil'!O1855</f>
        <v>77.41</v>
      </c>
      <c r="P1854">
        <f>'raw data Crude oil'!P1855</f>
        <v>76.819999999999993</v>
      </c>
      <c r="Q1854">
        <f>'raw data Crude oil'!Q1855</f>
        <v>76.22</v>
      </c>
      <c r="R1854">
        <f>'raw data Crude oil'!R1855</f>
        <v>75.61</v>
      </c>
      <c r="S1854">
        <f>'raw data Crude oil'!S1855</f>
        <v>75</v>
      </c>
      <c r="T1854">
        <f>'raw data Crude oil'!T1855</f>
        <v>74.39</v>
      </c>
      <c r="U1854">
        <f>'raw data Crude oil'!U1855</f>
        <v>73.819999999999993</v>
      </c>
      <c r="V1854">
        <f>'raw data Crude oil'!V1855</f>
        <v>73.28</v>
      </c>
      <c r="W1854">
        <f>'raw data Crude oil'!W1855</f>
        <v>72.78</v>
      </c>
      <c r="X1854">
        <f>'raw data Crude oil'!X1855</f>
        <v>72.33</v>
      </c>
      <c r="Y1854">
        <f>'raw data Crude oil'!Y1855</f>
        <v>71.930000000000007</v>
      </c>
      <c r="Z1854">
        <f>'raw data Crude oil'!Z1855</f>
        <v>81.661000000000001</v>
      </c>
      <c r="AA1854">
        <f>'raw data Crude oil'!AA1855</f>
        <v>80.906000000000006</v>
      </c>
      <c r="AB1854">
        <f>'raw data Crude oil'!AB1855</f>
        <v>80.111999999999995</v>
      </c>
      <c r="AC1854">
        <f>'raw data Crude oil'!AC1855</f>
        <v>79.361000000000004</v>
      </c>
      <c r="AD1854">
        <f>'raw data Crude oil'!AD1855</f>
        <v>78.66</v>
      </c>
      <c r="AE1854">
        <f>'raw data Crude oil'!AE1855</f>
        <v>78.027000000000001</v>
      </c>
      <c r="AF1854">
        <f>'raw data Crude oil'!AF1855</f>
        <v>77.474000000000004</v>
      </c>
      <c r="AG1854">
        <f>'raw data Crude oil'!AG1855</f>
        <v>76.968999999999994</v>
      </c>
      <c r="AH1854">
        <f>'raw data Crude oil'!AH1855</f>
        <v>76.48</v>
      </c>
      <c r="AI1854">
        <f>'raw data Crude oil'!AI1855</f>
        <v>76.004000000000005</v>
      </c>
      <c r="AJ1854">
        <f>'raw data Crude oil'!AJ1855</f>
        <v>75.644999999999996</v>
      </c>
      <c r="AK1854">
        <f>'raw data Crude oil'!AK1855</f>
        <v>75.322999999999993</v>
      </c>
    </row>
    <row r="1855" spans="1:37" x14ac:dyDescent="0.3">
      <c r="A1855" s="18">
        <f>'raw data Crude oil'!A1856</f>
        <v>45357</v>
      </c>
      <c r="B1855">
        <f>'raw data Crude oil'!B1856</f>
        <v>82.96</v>
      </c>
      <c r="C1855">
        <f>'raw data Crude oil'!C1856</f>
        <v>82.18</v>
      </c>
      <c r="D1855">
        <f>'raw data Crude oil'!D1856</f>
        <v>81.489999999999995</v>
      </c>
      <c r="E1855">
        <f>'raw data Crude oil'!E1856</f>
        <v>80.81</v>
      </c>
      <c r="F1855">
        <f>'raw data Crude oil'!F1856</f>
        <v>80.14</v>
      </c>
      <c r="G1855">
        <f>'raw data Crude oil'!G1856</f>
        <v>79.510000000000005</v>
      </c>
      <c r="H1855">
        <f>'raw data Crude oil'!H1856</f>
        <v>78.94</v>
      </c>
      <c r="I1855">
        <f>'raw data Crude oil'!I1856</f>
        <v>78.42</v>
      </c>
      <c r="J1855">
        <f>'raw data Crude oil'!J1856</f>
        <v>77.91</v>
      </c>
      <c r="K1855">
        <f>'raw data Crude oil'!K1856</f>
        <v>77.430000000000007</v>
      </c>
      <c r="L1855">
        <f>'raw data Crude oil'!L1856</f>
        <v>77.03</v>
      </c>
      <c r="M1855">
        <f>'raw data Crude oil'!M1856</f>
        <v>76.650000000000006</v>
      </c>
      <c r="N1855">
        <f>'raw data Crude oil'!N1856</f>
        <v>79.13</v>
      </c>
      <c r="O1855">
        <f>'raw data Crude oil'!O1856</f>
        <v>78.41</v>
      </c>
      <c r="P1855">
        <f>'raw data Crude oil'!P1856</f>
        <v>77.78</v>
      </c>
      <c r="Q1855">
        <f>'raw data Crude oil'!Q1856</f>
        <v>77.14</v>
      </c>
      <c r="R1855">
        <f>'raw data Crude oil'!R1856</f>
        <v>76.47</v>
      </c>
      <c r="S1855">
        <f>'raw data Crude oil'!S1856</f>
        <v>75.790000000000006</v>
      </c>
      <c r="T1855">
        <f>'raw data Crude oil'!T1856</f>
        <v>75.12</v>
      </c>
      <c r="U1855">
        <f>'raw data Crude oil'!U1856</f>
        <v>74.5</v>
      </c>
      <c r="V1855">
        <f>'raw data Crude oil'!V1856</f>
        <v>73.92</v>
      </c>
      <c r="W1855">
        <f>'raw data Crude oil'!W1856</f>
        <v>73.37</v>
      </c>
      <c r="X1855">
        <f>'raw data Crude oil'!X1856</f>
        <v>72.87</v>
      </c>
      <c r="Y1855">
        <f>'raw data Crude oil'!Y1856</f>
        <v>72.430000000000007</v>
      </c>
      <c r="Z1855">
        <f>'raw data Crude oil'!Z1856</f>
        <v>82.438000000000002</v>
      </c>
      <c r="AA1855">
        <f>'raw data Crude oil'!AA1856</f>
        <v>81.849000000000004</v>
      </c>
      <c r="AB1855">
        <f>'raw data Crude oil'!AB1856</f>
        <v>80.978999999999999</v>
      </c>
      <c r="AC1855">
        <f>'raw data Crude oil'!AC1856</f>
        <v>80.171999999999997</v>
      </c>
      <c r="AD1855">
        <f>'raw data Crude oil'!AD1856</f>
        <v>79.412999999999997</v>
      </c>
      <c r="AE1855">
        <f>'raw data Crude oil'!AE1856</f>
        <v>78.718999999999994</v>
      </c>
      <c r="AF1855">
        <f>'raw data Crude oil'!AF1856</f>
        <v>78.105000000000004</v>
      </c>
      <c r="AG1855">
        <f>'raw data Crude oil'!AG1856</f>
        <v>77.552999999999997</v>
      </c>
      <c r="AH1855">
        <f>'raw data Crude oil'!AH1856</f>
        <v>77.016999999999996</v>
      </c>
      <c r="AI1855">
        <f>'raw data Crude oil'!AI1856</f>
        <v>76.501999999999995</v>
      </c>
      <c r="AJ1855">
        <f>'raw data Crude oil'!AJ1856</f>
        <v>76.102999999999994</v>
      </c>
      <c r="AK1855">
        <f>'raw data Crude oil'!AK1856</f>
        <v>75.751999999999995</v>
      </c>
    </row>
    <row r="1856" spans="1:37" x14ac:dyDescent="0.3">
      <c r="A1856" s="18">
        <f>'raw data Crude oil'!A1857</f>
        <v>45358</v>
      </c>
      <c r="B1856">
        <f>'raw data Crude oil'!B1857</f>
        <v>82.96</v>
      </c>
      <c r="C1856">
        <f>'raw data Crude oil'!C1857</f>
        <v>82.28</v>
      </c>
      <c r="D1856">
        <f>'raw data Crude oil'!D1857</f>
        <v>81.63</v>
      </c>
      <c r="E1856">
        <f>'raw data Crude oil'!E1857</f>
        <v>80.98</v>
      </c>
      <c r="F1856">
        <f>'raw data Crude oil'!F1857</f>
        <v>80.33</v>
      </c>
      <c r="G1856">
        <f>'raw data Crude oil'!G1857</f>
        <v>79.709999999999994</v>
      </c>
      <c r="H1856">
        <f>'raw data Crude oil'!H1857</f>
        <v>79.14</v>
      </c>
      <c r="I1856">
        <f>'raw data Crude oil'!I1857</f>
        <v>78.62</v>
      </c>
      <c r="J1856">
        <f>'raw data Crude oil'!J1857</f>
        <v>78.11</v>
      </c>
      <c r="K1856">
        <f>'raw data Crude oil'!K1857</f>
        <v>77.64</v>
      </c>
      <c r="L1856">
        <f>'raw data Crude oil'!L1857</f>
        <v>77.239999999999995</v>
      </c>
      <c r="M1856">
        <f>'raw data Crude oil'!M1857</f>
        <v>76.87</v>
      </c>
      <c r="N1856">
        <f>'raw data Crude oil'!N1857</f>
        <v>78.930000000000007</v>
      </c>
      <c r="O1856">
        <f>'raw data Crude oil'!O1857</f>
        <v>78.319999999999993</v>
      </c>
      <c r="P1856">
        <f>'raw data Crude oil'!P1857</f>
        <v>77.78</v>
      </c>
      <c r="Q1856">
        <f>'raw data Crude oil'!Q1857</f>
        <v>77.2</v>
      </c>
      <c r="R1856">
        <f>'raw data Crude oil'!R1857</f>
        <v>76.56</v>
      </c>
      <c r="S1856">
        <f>'raw data Crude oil'!S1857</f>
        <v>75.900000000000006</v>
      </c>
      <c r="T1856">
        <f>'raw data Crude oil'!T1857</f>
        <v>75.239999999999995</v>
      </c>
      <c r="U1856">
        <f>'raw data Crude oil'!U1857</f>
        <v>74.64</v>
      </c>
      <c r="V1856">
        <f>'raw data Crude oil'!V1857</f>
        <v>74.069999999999993</v>
      </c>
      <c r="W1856">
        <f>'raw data Crude oil'!W1857</f>
        <v>73.52</v>
      </c>
      <c r="X1856">
        <f>'raw data Crude oil'!X1857</f>
        <v>73.03</v>
      </c>
      <c r="Y1856">
        <f>'raw data Crude oil'!Y1857</f>
        <v>72.59</v>
      </c>
      <c r="Z1856">
        <f>'raw data Crude oil'!Z1857</f>
        <v>82.540999999999997</v>
      </c>
      <c r="AA1856">
        <f>'raw data Crude oil'!AA1857</f>
        <v>82.064999999999998</v>
      </c>
      <c r="AB1856">
        <f>'raw data Crude oil'!AB1857</f>
        <v>81.168999999999997</v>
      </c>
      <c r="AC1856">
        <f>'raw data Crude oil'!AC1857</f>
        <v>80.346000000000004</v>
      </c>
      <c r="AD1856">
        <f>'raw data Crude oil'!AD1857</f>
        <v>79.59</v>
      </c>
      <c r="AE1856">
        <f>'raw data Crude oil'!AE1857</f>
        <v>78.917000000000002</v>
      </c>
      <c r="AF1856">
        <f>'raw data Crude oil'!AF1857</f>
        <v>78.316000000000003</v>
      </c>
      <c r="AG1856">
        <f>'raw data Crude oil'!AG1857</f>
        <v>77.765000000000001</v>
      </c>
      <c r="AH1856">
        <f>'raw data Crude oil'!AH1857</f>
        <v>77.228999999999999</v>
      </c>
      <c r="AI1856">
        <f>'raw data Crude oil'!AI1857</f>
        <v>76.712999999999994</v>
      </c>
      <c r="AJ1856">
        <f>'raw data Crude oil'!AJ1857</f>
        <v>76.317999999999998</v>
      </c>
      <c r="AK1856">
        <f>'raw data Crude oil'!AK1857</f>
        <v>75.966999999999999</v>
      </c>
    </row>
    <row r="1857" spans="1:37" x14ac:dyDescent="0.3">
      <c r="A1857" s="18">
        <f>'raw data Crude oil'!A1858</f>
        <v>45359</v>
      </c>
      <c r="B1857">
        <f>'raw data Crude oil'!B1858</f>
        <v>82.08</v>
      </c>
      <c r="C1857">
        <f>'raw data Crude oil'!C1858</f>
        <v>81.510000000000005</v>
      </c>
      <c r="D1857">
        <f>'raw data Crude oil'!D1858</f>
        <v>80.92</v>
      </c>
      <c r="E1857">
        <f>'raw data Crude oil'!E1858</f>
        <v>80.31</v>
      </c>
      <c r="F1857">
        <f>'raw data Crude oil'!F1858</f>
        <v>79.69</v>
      </c>
      <c r="G1857">
        <f>'raw data Crude oil'!G1858</f>
        <v>79.09</v>
      </c>
      <c r="H1857">
        <f>'raw data Crude oil'!H1858</f>
        <v>78.53</v>
      </c>
      <c r="I1857">
        <f>'raw data Crude oil'!I1858</f>
        <v>78.010000000000005</v>
      </c>
      <c r="J1857">
        <f>'raw data Crude oil'!J1858</f>
        <v>77.5</v>
      </c>
      <c r="K1857">
        <f>'raw data Crude oil'!K1858</f>
        <v>77.040000000000006</v>
      </c>
      <c r="L1857">
        <f>'raw data Crude oil'!L1858</f>
        <v>76.64</v>
      </c>
      <c r="M1857">
        <f>'raw data Crude oil'!M1858</f>
        <v>76.28</v>
      </c>
      <c r="N1857">
        <f>'raw data Crude oil'!N1858</f>
        <v>78.010000000000005</v>
      </c>
      <c r="O1857">
        <f>'raw data Crude oil'!O1858</f>
        <v>77.5</v>
      </c>
      <c r="P1857">
        <f>'raw data Crude oil'!P1858</f>
        <v>77.03</v>
      </c>
      <c r="Q1857">
        <f>'raw data Crude oil'!Q1858</f>
        <v>76.510000000000005</v>
      </c>
      <c r="R1857">
        <f>'raw data Crude oil'!R1858</f>
        <v>75.92</v>
      </c>
      <c r="S1857">
        <f>'raw data Crude oil'!S1858</f>
        <v>75.290000000000006</v>
      </c>
      <c r="T1857">
        <f>'raw data Crude oil'!T1858</f>
        <v>74.650000000000006</v>
      </c>
      <c r="U1857">
        <f>'raw data Crude oil'!U1858</f>
        <v>74.08</v>
      </c>
      <c r="V1857">
        <f>'raw data Crude oil'!V1858</f>
        <v>73.510000000000005</v>
      </c>
      <c r="W1857">
        <f>'raw data Crude oil'!W1858</f>
        <v>72.97</v>
      </c>
      <c r="X1857">
        <f>'raw data Crude oil'!X1858</f>
        <v>72.48</v>
      </c>
      <c r="Y1857">
        <f>'raw data Crude oil'!Y1858</f>
        <v>72.040000000000006</v>
      </c>
      <c r="Z1857">
        <f>'raw data Crude oil'!Z1858</f>
        <v>82.117000000000004</v>
      </c>
      <c r="AA1857">
        <f>'raw data Crude oil'!AA1858</f>
        <v>81.41</v>
      </c>
      <c r="AB1857">
        <f>'raw data Crude oil'!AB1858</f>
        <v>80.551000000000002</v>
      </c>
      <c r="AC1857">
        <f>'raw data Crude oil'!AC1858</f>
        <v>79.790000000000006</v>
      </c>
      <c r="AD1857">
        <f>'raw data Crude oil'!AD1858</f>
        <v>79.06</v>
      </c>
      <c r="AE1857">
        <f>'raw data Crude oil'!AE1858</f>
        <v>78.399000000000001</v>
      </c>
      <c r="AF1857">
        <f>'raw data Crude oil'!AF1858</f>
        <v>77.798000000000002</v>
      </c>
      <c r="AG1857">
        <f>'raw data Crude oil'!AG1858</f>
        <v>77.227999999999994</v>
      </c>
      <c r="AH1857">
        <f>'raw data Crude oil'!AH1858</f>
        <v>76.677999999999997</v>
      </c>
      <c r="AI1857">
        <f>'raw data Crude oil'!AI1858</f>
        <v>76.167000000000002</v>
      </c>
      <c r="AJ1857">
        <f>'raw data Crude oil'!AJ1858</f>
        <v>75.774000000000001</v>
      </c>
      <c r="AK1857">
        <f>'raw data Crude oil'!AK1858</f>
        <v>75.423000000000002</v>
      </c>
    </row>
    <row r="1858" spans="1:37" x14ac:dyDescent="0.3">
      <c r="A1858" s="18">
        <f>'raw data Crude oil'!A1859</f>
        <v>45362</v>
      </c>
      <c r="B1858">
        <f>'raw data Crude oil'!B1859</f>
        <v>82.21</v>
      </c>
      <c r="C1858">
        <f>'raw data Crude oil'!C1859</f>
        <v>81.72</v>
      </c>
      <c r="D1858">
        <f>'raw data Crude oil'!D1859</f>
        <v>81.2</v>
      </c>
      <c r="E1858">
        <f>'raw data Crude oil'!E1859</f>
        <v>80.63</v>
      </c>
      <c r="F1858">
        <f>'raw data Crude oil'!F1859</f>
        <v>80.03</v>
      </c>
      <c r="G1858">
        <f>'raw data Crude oil'!G1859</f>
        <v>79.44</v>
      </c>
      <c r="H1858">
        <f>'raw data Crude oil'!H1859</f>
        <v>78.900000000000006</v>
      </c>
      <c r="I1858">
        <f>'raw data Crude oil'!I1859</f>
        <v>78.39</v>
      </c>
      <c r="J1858">
        <f>'raw data Crude oil'!J1859</f>
        <v>77.900000000000006</v>
      </c>
      <c r="K1858">
        <f>'raw data Crude oil'!K1859</f>
        <v>77.45</v>
      </c>
      <c r="L1858">
        <f>'raw data Crude oil'!L1859</f>
        <v>77.06</v>
      </c>
      <c r="M1858">
        <f>'raw data Crude oil'!M1859</f>
        <v>76.709999999999994</v>
      </c>
      <c r="N1858">
        <f>'raw data Crude oil'!N1859</f>
        <v>77.930000000000007</v>
      </c>
      <c r="O1858">
        <f>'raw data Crude oil'!O1859</f>
        <v>77.53</v>
      </c>
      <c r="P1858">
        <f>'raw data Crude oil'!P1859</f>
        <v>77.14</v>
      </c>
      <c r="Q1858">
        <f>'raw data Crude oil'!Q1859</f>
        <v>76.69</v>
      </c>
      <c r="R1858">
        <f>'raw data Crude oil'!R1859</f>
        <v>76.150000000000006</v>
      </c>
      <c r="S1858">
        <f>'raw data Crude oil'!S1859</f>
        <v>75.55</v>
      </c>
      <c r="T1858">
        <f>'raw data Crude oil'!T1859</f>
        <v>74.95</v>
      </c>
      <c r="U1858">
        <f>'raw data Crude oil'!U1859</f>
        <v>74.400000000000006</v>
      </c>
      <c r="V1858">
        <f>'raw data Crude oil'!V1859</f>
        <v>73.849999999999994</v>
      </c>
      <c r="W1858">
        <f>'raw data Crude oil'!W1859</f>
        <v>73.33</v>
      </c>
      <c r="X1858">
        <f>'raw data Crude oil'!X1859</f>
        <v>72.86</v>
      </c>
      <c r="Y1858">
        <f>'raw data Crude oil'!Y1859</f>
        <v>72.45</v>
      </c>
      <c r="Z1858">
        <f>'raw data Crude oil'!Z1859</f>
        <v>82.259</v>
      </c>
      <c r="AA1858">
        <f>'raw data Crude oil'!AA1859</f>
        <v>81.751000000000005</v>
      </c>
      <c r="AB1858">
        <f>'raw data Crude oil'!AB1859</f>
        <v>80.92</v>
      </c>
      <c r="AC1858">
        <f>'raw data Crude oil'!AC1859</f>
        <v>80.150999999999996</v>
      </c>
      <c r="AD1858">
        <f>'raw data Crude oil'!AD1859</f>
        <v>79.444999999999993</v>
      </c>
      <c r="AE1858">
        <f>'raw data Crude oil'!AE1859</f>
        <v>78.802000000000007</v>
      </c>
      <c r="AF1858">
        <f>'raw data Crude oil'!AF1859</f>
        <v>78.200999999999993</v>
      </c>
      <c r="AG1858">
        <f>'raw data Crude oil'!AG1859</f>
        <v>77.649000000000001</v>
      </c>
      <c r="AH1858">
        <f>'raw data Crude oil'!AH1859</f>
        <v>77.119</v>
      </c>
      <c r="AI1858">
        <f>'raw data Crude oil'!AI1859</f>
        <v>76.623000000000005</v>
      </c>
      <c r="AJ1858">
        <f>'raw data Crude oil'!AJ1859</f>
        <v>76.253</v>
      </c>
      <c r="AK1858">
        <f>'raw data Crude oil'!AK1859</f>
        <v>75.923000000000002</v>
      </c>
    </row>
    <row r="1859" spans="1:37" x14ac:dyDescent="0.3">
      <c r="A1859" s="18">
        <f>'raw data Crude oil'!A1860</f>
        <v>45363</v>
      </c>
      <c r="B1859">
        <f>'raw data Crude oil'!B1860</f>
        <v>81.92</v>
      </c>
      <c r="C1859">
        <f>'raw data Crude oil'!C1860</f>
        <v>81.459999999999994</v>
      </c>
      <c r="D1859">
        <f>'raw data Crude oil'!D1860</f>
        <v>80.95</v>
      </c>
      <c r="E1859">
        <f>'raw data Crude oil'!E1860</f>
        <v>80.39</v>
      </c>
      <c r="F1859">
        <f>'raw data Crude oil'!F1860</f>
        <v>79.8</v>
      </c>
      <c r="G1859">
        <f>'raw data Crude oil'!G1860</f>
        <v>79.22</v>
      </c>
      <c r="H1859">
        <f>'raw data Crude oil'!H1860</f>
        <v>78.67</v>
      </c>
      <c r="I1859">
        <f>'raw data Crude oil'!I1860</f>
        <v>78.16</v>
      </c>
      <c r="J1859">
        <f>'raw data Crude oil'!J1860</f>
        <v>77.66</v>
      </c>
      <c r="K1859">
        <f>'raw data Crude oil'!K1860</f>
        <v>77.209999999999994</v>
      </c>
      <c r="L1859">
        <f>'raw data Crude oil'!L1860</f>
        <v>76.819999999999993</v>
      </c>
      <c r="M1859">
        <f>'raw data Crude oil'!M1860</f>
        <v>76.459999999999994</v>
      </c>
      <c r="N1859">
        <f>'raw data Crude oil'!N1860</f>
        <v>77.56</v>
      </c>
      <c r="O1859">
        <f>'raw data Crude oil'!O1860</f>
        <v>77.25</v>
      </c>
      <c r="P1859">
        <f>'raw data Crude oil'!P1860</f>
        <v>76.900000000000006</v>
      </c>
      <c r="Q1859">
        <f>'raw data Crude oil'!Q1860</f>
        <v>76.459999999999994</v>
      </c>
      <c r="R1859">
        <f>'raw data Crude oil'!R1860</f>
        <v>75.930000000000007</v>
      </c>
      <c r="S1859">
        <f>'raw data Crude oil'!S1860</f>
        <v>75.33</v>
      </c>
      <c r="T1859">
        <f>'raw data Crude oil'!T1860</f>
        <v>74.73</v>
      </c>
      <c r="U1859">
        <f>'raw data Crude oil'!U1860</f>
        <v>74.180000000000007</v>
      </c>
      <c r="V1859">
        <f>'raw data Crude oil'!V1860</f>
        <v>73.64</v>
      </c>
      <c r="W1859">
        <f>'raw data Crude oil'!W1860</f>
        <v>73.12</v>
      </c>
      <c r="X1859">
        <f>'raw data Crude oil'!X1860</f>
        <v>72.66</v>
      </c>
      <c r="Y1859">
        <f>'raw data Crude oil'!Y1860</f>
        <v>72.25</v>
      </c>
      <c r="Z1859">
        <f>'raw data Crude oil'!Z1860</f>
        <v>82.192999999999998</v>
      </c>
      <c r="AA1859">
        <f>'raw data Crude oil'!AA1860</f>
        <v>81.606999999999999</v>
      </c>
      <c r="AB1859">
        <f>'raw data Crude oil'!AB1860</f>
        <v>80.769000000000005</v>
      </c>
      <c r="AC1859">
        <f>'raw data Crude oil'!AC1860</f>
        <v>79.988</v>
      </c>
      <c r="AD1859">
        <f>'raw data Crude oil'!AD1860</f>
        <v>79.275000000000006</v>
      </c>
      <c r="AE1859">
        <f>'raw data Crude oil'!AE1860</f>
        <v>78.623999999999995</v>
      </c>
      <c r="AF1859">
        <f>'raw data Crude oil'!AF1860</f>
        <v>78.013000000000005</v>
      </c>
      <c r="AG1859">
        <f>'raw data Crude oil'!AG1860</f>
        <v>77.453000000000003</v>
      </c>
      <c r="AH1859">
        <f>'raw data Crude oil'!AH1860</f>
        <v>76.929000000000002</v>
      </c>
      <c r="AI1859">
        <f>'raw data Crude oil'!AI1860</f>
        <v>76.418000000000006</v>
      </c>
      <c r="AJ1859">
        <f>'raw data Crude oil'!AJ1860</f>
        <v>76.009</v>
      </c>
      <c r="AK1859">
        <f>'raw data Crude oil'!AK1860</f>
        <v>75.638000000000005</v>
      </c>
    </row>
    <row r="1860" spans="1:37" x14ac:dyDescent="0.3">
      <c r="A1860" s="18">
        <f>'raw data Crude oil'!A1861</f>
        <v>45364</v>
      </c>
      <c r="B1860">
        <f>'raw data Crude oil'!B1861</f>
        <v>84.03</v>
      </c>
      <c r="C1860">
        <f>'raw data Crude oil'!C1861</f>
        <v>83.44</v>
      </c>
      <c r="D1860">
        <f>'raw data Crude oil'!D1861</f>
        <v>82.81</v>
      </c>
      <c r="E1860">
        <f>'raw data Crude oil'!E1861</f>
        <v>82.16</v>
      </c>
      <c r="F1860">
        <f>'raw data Crude oil'!F1861</f>
        <v>81.5</v>
      </c>
      <c r="G1860">
        <f>'raw data Crude oil'!G1861</f>
        <v>80.849999999999994</v>
      </c>
      <c r="H1860">
        <f>'raw data Crude oil'!H1861</f>
        <v>80.25</v>
      </c>
      <c r="I1860">
        <f>'raw data Crude oil'!I1861</f>
        <v>79.69</v>
      </c>
      <c r="J1860">
        <f>'raw data Crude oil'!J1861</f>
        <v>79.150000000000006</v>
      </c>
      <c r="K1860">
        <f>'raw data Crude oil'!K1861</f>
        <v>78.650000000000006</v>
      </c>
      <c r="L1860">
        <f>'raw data Crude oil'!L1861</f>
        <v>78.23</v>
      </c>
      <c r="M1860">
        <f>'raw data Crude oil'!M1861</f>
        <v>77.84</v>
      </c>
      <c r="N1860">
        <f>'raw data Crude oil'!N1861</f>
        <v>79.72</v>
      </c>
      <c r="O1860">
        <f>'raw data Crude oil'!O1861</f>
        <v>79.3</v>
      </c>
      <c r="P1860">
        <f>'raw data Crude oil'!P1861</f>
        <v>78.84</v>
      </c>
      <c r="Q1860">
        <f>'raw data Crude oil'!Q1861</f>
        <v>78.31</v>
      </c>
      <c r="R1860">
        <f>'raw data Crude oil'!R1861</f>
        <v>77.7</v>
      </c>
      <c r="S1860">
        <f>'raw data Crude oil'!S1861</f>
        <v>77.02</v>
      </c>
      <c r="T1860">
        <f>'raw data Crude oil'!T1861</f>
        <v>76.349999999999994</v>
      </c>
      <c r="U1860">
        <f>'raw data Crude oil'!U1861</f>
        <v>75.73</v>
      </c>
      <c r="V1860">
        <f>'raw data Crude oil'!V1861</f>
        <v>75.14</v>
      </c>
      <c r="W1860">
        <f>'raw data Crude oil'!W1861</f>
        <v>74.569999999999993</v>
      </c>
      <c r="X1860">
        <f>'raw data Crude oil'!X1861</f>
        <v>74.06</v>
      </c>
      <c r="Y1860">
        <f>'raw data Crude oil'!Y1861</f>
        <v>73.599999999999994</v>
      </c>
      <c r="Z1860">
        <f>'raw data Crude oil'!Z1861</f>
        <v>83.242000000000004</v>
      </c>
      <c r="AA1860">
        <f>'raw data Crude oil'!AA1861</f>
        <v>83.551000000000002</v>
      </c>
      <c r="AB1860">
        <f>'raw data Crude oil'!AB1861</f>
        <v>82.652000000000001</v>
      </c>
      <c r="AC1860">
        <f>'raw data Crude oil'!AC1861</f>
        <v>81.805999999999997</v>
      </c>
      <c r="AD1860">
        <f>'raw data Crude oil'!AD1861</f>
        <v>81.007000000000005</v>
      </c>
      <c r="AE1860">
        <f>'raw data Crude oil'!AE1861</f>
        <v>80.278000000000006</v>
      </c>
      <c r="AF1860">
        <f>'raw data Crude oil'!AF1861</f>
        <v>79.619</v>
      </c>
      <c r="AG1860">
        <f>'raw data Crude oil'!AG1861</f>
        <v>79.012</v>
      </c>
      <c r="AH1860">
        <f>'raw data Crude oil'!AH1861</f>
        <v>78.426000000000002</v>
      </c>
      <c r="AI1860">
        <f>'raw data Crude oil'!AI1861</f>
        <v>77.87</v>
      </c>
      <c r="AJ1860">
        <f>'raw data Crude oil'!AJ1861</f>
        <v>77.421999999999997</v>
      </c>
      <c r="AK1860">
        <f>'raw data Crude oil'!AK1861</f>
        <v>77.040999999999997</v>
      </c>
    </row>
    <row r="1861" spans="1:37" x14ac:dyDescent="0.3">
      <c r="A1861" s="18">
        <f>'raw data Crude oil'!A1862</f>
        <v>45365</v>
      </c>
      <c r="B1861">
        <f>'raw data Crude oil'!B1862</f>
        <v>85.42</v>
      </c>
      <c r="C1861">
        <f>'raw data Crude oil'!C1862</f>
        <v>84.74</v>
      </c>
      <c r="D1861">
        <f>'raw data Crude oil'!D1862</f>
        <v>84.03</v>
      </c>
      <c r="E1861">
        <f>'raw data Crude oil'!E1862</f>
        <v>83.33</v>
      </c>
      <c r="F1861">
        <f>'raw data Crude oil'!F1862</f>
        <v>82.62</v>
      </c>
      <c r="G1861">
        <f>'raw data Crude oil'!G1862</f>
        <v>81.93</v>
      </c>
      <c r="H1861">
        <f>'raw data Crude oil'!H1862</f>
        <v>81.28</v>
      </c>
      <c r="I1861">
        <f>'raw data Crude oil'!I1862</f>
        <v>80.680000000000007</v>
      </c>
      <c r="J1861">
        <f>'raw data Crude oil'!J1862</f>
        <v>80.099999999999994</v>
      </c>
      <c r="K1861">
        <f>'raw data Crude oil'!K1862</f>
        <v>79.569999999999993</v>
      </c>
      <c r="L1861">
        <f>'raw data Crude oil'!L1862</f>
        <v>79.099999999999994</v>
      </c>
      <c r="M1861">
        <f>'raw data Crude oil'!M1862</f>
        <v>78.67</v>
      </c>
      <c r="N1861">
        <f>'raw data Crude oil'!N1862</f>
        <v>81.260000000000005</v>
      </c>
      <c r="O1861">
        <f>'raw data Crude oil'!O1862</f>
        <v>80.739999999999995</v>
      </c>
      <c r="P1861">
        <f>'raw data Crude oil'!P1862</f>
        <v>80.19</v>
      </c>
      <c r="Q1861">
        <f>'raw data Crude oil'!Q1862</f>
        <v>79.569999999999993</v>
      </c>
      <c r="R1861">
        <f>'raw data Crude oil'!R1862</f>
        <v>78.88</v>
      </c>
      <c r="S1861">
        <f>'raw data Crude oil'!S1862</f>
        <v>78.16</v>
      </c>
      <c r="T1861">
        <f>'raw data Crude oil'!T1862</f>
        <v>77.45</v>
      </c>
      <c r="U1861">
        <f>'raw data Crude oil'!U1862</f>
        <v>76.790000000000006</v>
      </c>
      <c r="V1861">
        <f>'raw data Crude oil'!V1862</f>
        <v>76.150000000000006</v>
      </c>
      <c r="W1861">
        <f>'raw data Crude oil'!W1862</f>
        <v>75.540000000000006</v>
      </c>
      <c r="X1861">
        <f>'raw data Crude oil'!X1862</f>
        <v>74.989999999999995</v>
      </c>
      <c r="Y1861">
        <f>'raw data Crude oil'!Y1862</f>
        <v>74.5</v>
      </c>
      <c r="Z1861">
        <f>'raw data Crude oil'!Z1862</f>
        <v>83.864000000000004</v>
      </c>
      <c r="AA1861">
        <f>'raw data Crude oil'!AA1862</f>
        <v>84.727999999999994</v>
      </c>
      <c r="AB1861">
        <f>'raw data Crude oil'!AB1862</f>
        <v>83.78</v>
      </c>
      <c r="AC1861">
        <f>'raw data Crude oil'!AC1862</f>
        <v>82.9</v>
      </c>
      <c r="AD1861">
        <f>'raw data Crude oil'!AD1862</f>
        <v>82.064999999999998</v>
      </c>
      <c r="AE1861">
        <f>'raw data Crude oil'!AE1862</f>
        <v>81.31</v>
      </c>
      <c r="AF1861">
        <f>'raw data Crude oil'!AF1862</f>
        <v>80.600999999999999</v>
      </c>
      <c r="AG1861">
        <f>'raw data Crude oil'!AG1862</f>
        <v>79.95</v>
      </c>
      <c r="AH1861">
        <f>'raw data Crude oil'!AH1862</f>
        <v>79.325000000000003</v>
      </c>
      <c r="AI1861">
        <f>'raw data Crude oil'!AI1862</f>
        <v>78.734999999999999</v>
      </c>
      <c r="AJ1861">
        <f>'raw data Crude oil'!AJ1862</f>
        <v>78.27</v>
      </c>
      <c r="AK1861">
        <f>'raw data Crude oil'!AK1862</f>
        <v>77.849999999999994</v>
      </c>
    </row>
    <row r="1862" spans="1:37" x14ac:dyDescent="0.3">
      <c r="A1862" s="18">
        <f>'raw data Crude oil'!A1863</f>
        <v>45366</v>
      </c>
      <c r="B1862">
        <f>'raw data Crude oil'!B1863</f>
        <v>85.34</v>
      </c>
      <c r="C1862">
        <f>'raw data Crude oil'!C1863</f>
        <v>84.75</v>
      </c>
      <c r="D1862">
        <f>'raw data Crude oil'!D1863</f>
        <v>84.11</v>
      </c>
      <c r="E1862">
        <f>'raw data Crude oil'!E1863</f>
        <v>83.46</v>
      </c>
      <c r="F1862">
        <f>'raw data Crude oil'!F1863</f>
        <v>82.79</v>
      </c>
      <c r="G1862">
        <f>'raw data Crude oil'!G1863</f>
        <v>82.12</v>
      </c>
      <c r="H1862">
        <f>'raw data Crude oil'!H1863</f>
        <v>81.5</v>
      </c>
      <c r="I1862">
        <f>'raw data Crude oil'!I1863</f>
        <v>80.91</v>
      </c>
      <c r="J1862">
        <f>'raw data Crude oil'!J1863</f>
        <v>80.34</v>
      </c>
      <c r="K1862">
        <f>'raw data Crude oil'!K1863</f>
        <v>79.83</v>
      </c>
      <c r="L1862">
        <f>'raw data Crude oil'!L1863</f>
        <v>79.37</v>
      </c>
      <c r="M1862">
        <f>'raw data Crude oil'!M1863</f>
        <v>78.95</v>
      </c>
      <c r="N1862">
        <f>'raw data Crude oil'!N1863</f>
        <v>81.040000000000006</v>
      </c>
      <c r="O1862">
        <f>'raw data Crude oil'!O1863</f>
        <v>80.58</v>
      </c>
      <c r="P1862">
        <f>'raw data Crude oil'!P1863</f>
        <v>80.14</v>
      </c>
      <c r="Q1862">
        <f>'raw data Crude oil'!Q1863</f>
        <v>79.61</v>
      </c>
      <c r="R1862">
        <f>'raw data Crude oil'!R1863</f>
        <v>78.98</v>
      </c>
      <c r="S1862">
        <f>'raw data Crude oil'!S1863</f>
        <v>78.3</v>
      </c>
      <c r="T1862">
        <f>'raw data Crude oil'!T1863</f>
        <v>77.62</v>
      </c>
      <c r="U1862">
        <f>'raw data Crude oil'!U1863</f>
        <v>76.98</v>
      </c>
      <c r="V1862">
        <f>'raw data Crude oil'!V1863</f>
        <v>76.349999999999994</v>
      </c>
      <c r="W1862">
        <f>'raw data Crude oil'!W1863</f>
        <v>75.75</v>
      </c>
      <c r="X1862">
        <f>'raw data Crude oil'!X1863</f>
        <v>75.209999999999994</v>
      </c>
      <c r="Y1862">
        <f>'raw data Crude oil'!Y1863</f>
        <v>74.709999999999994</v>
      </c>
      <c r="Z1862">
        <f>'raw data Crude oil'!Z1863</f>
        <v>83.831999999999994</v>
      </c>
      <c r="AA1862">
        <f>'raw data Crude oil'!AA1863</f>
        <v>84.8</v>
      </c>
      <c r="AB1862">
        <f>'raw data Crude oil'!AB1863</f>
        <v>83.870999999999995</v>
      </c>
      <c r="AC1862">
        <f>'raw data Crude oil'!AC1863</f>
        <v>83.043000000000006</v>
      </c>
      <c r="AD1862">
        <f>'raw data Crude oil'!AD1863</f>
        <v>82.241</v>
      </c>
      <c r="AE1862">
        <f>'raw data Crude oil'!AE1863</f>
        <v>81.488</v>
      </c>
      <c r="AF1862">
        <f>'raw data Crude oil'!AF1863</f>
        <v>80.796999999999997</v>
      </c>
      <c r="AG1862">
        <f>'raw data Crude oil'!AG1863</f>
        <v>80.156999999999996</v>
      </c>
      <c r="AH1862">
        <f>'raw data Crude oil'!AH1863</f>
        <v>79.546000000000006</v>
      </c>
      <c r="AI1862">
        <f>'raw data Crude oil'!AI1863</f>
        <v>78.975999999999999</v>
      </c>
      <c r="AJ1862">
        <f>'raw data Crude oil'!AJ1863</f>
        <v>78.516000000000005</v>
      </c>
      <c r="AK1862">
        <f>'raw data Crude oil'!AK1863</f>
        <v>78.099999999999994</v>
      </c>
    </row>
    <row r="1863" spans="1:37" x14ac:dyDescent="0.3">
      <c r="A1863" s="18">
        <f>'raw data Crude oil'!A1864</f>
        <v>45369</v>
      </c>
      <c r="B1863">
        <f>'raw data Crude oil'!B1864</f>
        <v>86.89</v>
      </c>
      <c r="C1863">
        <f>'raw data Crude oil'!C1864</f>
        <v>86.19</v>
      </c>
      <c r="D1863">
        <f>'raw data Crude oil'!D1864</f>
        <v>85.42</v>
      </c>
      <c r="E1863">
        <f>'raw data Crude oil'!E1864</f>
        <v>84.68</v>
      </c>
      <c r="F1863">
        <f>'raw data Crude oil'!F1864</f>
        <v>83.94</v>
      </c>
      <c r="G1863">
        <f>'raw data Crude oil'!G1864</f>
        <v>83.21</v>
      </c>
      <c r="H1863">
        <f>'raw data Crude oil'!H1864</f>
        <v>82.53</v>
      </c>
      <c r="I1863">
        <f>'raw data Crude oil'!I1864</f>
        <v>81.88</v>
      </c>
      <c r="J1863">
        <f>'raw data Crude oil'!J1864</f>
        <v>81.25</v>
      </c>
      <c r="K1863">
        <f>'raw data Crude oil'!K1864</f>
        <v>80.680000000000007</v>
      </c>
      <c r="L1863">
        <f>'raw data Crude oil'!L1864</f>
        <v>80.180000000000007</v>
      </c>
      <c r="M1863">
        <f>'raw data Crude oil'!M1864</f>
        <v>79.72</v>
      </c>
      <c r="N1863">
        <f>'raw data Crude oil'!N1864</f>
        <v>82.72</v>
      </c>
      <c r="O1863">
        <f>'raw data Crude oil'!O1864</f>
        <v>82.16</v>
      </c>
      <c r="P1863">
        <f>'raw data Crude oil'!P1864</f>
        <v>81.61</v>
      </c>
      <c r="Q1863">
        <f>'raw data Crude oil'!Q1864</f>
        <v>80.959999999999994</v>
      </c>
      <c r="R1863">
        <f>'raw data Crude oil'!R1864</f>
        <v>80.23</v>
      </c>
      <c r="S1863">
        <f>'raw data Crude oil'!S1864</f>
        <v>79.459999999999994</v>
      </c>
      <c r="T1863">
        <f>'raw data Crude oil'!T1864</f>
        <v>78.69</v>
      </c>
      <c r="U1863">
        <f>'raw data Crude oil'!U1864</f>
        <v>77.97</v>
      </c>
      <c r="V1863">
        <f>'raw data Crude oil'!V1864</f>
        <v>77.28</v>
      </c>
      <c r="W1863">
        <f>'raw data Crude oil'!W1864</f>
        <v>76.63</v>
      </c>
      <c r="X1863">
        <f>'raw data Crude oil'!X1864</f>
        <v>76.03</v>
      </c>
      <c r="Y1863">
        <f>'raw data Crude oil'!Y1864</f>
        <v>75.48</v>
      </c>
      <c r="Z1863">
        <f>'raw data Crude oil'!Z1864</f>
        <v>84.477000000000004</v>
      </c>
      <c r="AA1863">
        <f>'raw data Crude oil'!AA1864</f>
        <v>86.32</v>
      </c>
      <c r="AB1863">
        <f>'raw data Crude oil'!AB1864</f>
        <v>85.317999999999998</v>
      </c>
      <c r="AC1863">
        <f>'raw data Crude oil'!AC1864</f>
        <v>84.381</v>
      </c>
      <c r="AD1863">
        <f>'raw data Crude oil'!AD1864</f>
        <v>83.478999999999999</v>
      </c>
      <c r="AE1863">
        <f>'raw data Crude oil'!AE1864</f>
        <v>82.667000000000002</v>
      </c>
      <c r="AF1863">
        <f>'raw data Crude oil'!AF1864</f>
        <v>81.906999999999996</v>
      </c>
      <c r="AG1863">
        <f>'raw data Crude oil'!AG1864</f>
        <v>81.221000000000004</v>
      </c>
      <c r="AH1863">
        <f>'raw data Crude oil'!AH1864</f>
        <v>80.552999999999997</v>
      </c>
      <c r="AI1863">
        <f>'raw data Crude oil'!AI1864</f>
        <v>79.92</v>
      </c>
      <c r="AJ1863">
        <f>'raw data Crude oil'!AJ1864</f>
        <v>79.409000000000006</v>
      </c>
      <c r="AK1863">
        <f>'raw data Crude oil'!AK1864</f>
        <v>78.938000000000002</v>
      </c>
    </row>
    <row r="1864" spans="1:37" x14ac:dyDescent="0.3">
      <c r="A1864" s="18">
        <f>'raw data Crude oil'!A1865</f>
        <v>45370</v>
      </c>
      <c r="B1864">
        <f>'raw data Crude oil'!B1865</f>
        <v>87.38</v>
      </c>
      <c r="C1864">
        <f>'raw data Crude oil'!C1865</f>
        <v>86.62</v>
      </c>
      <c r="D1864">
        <f>'raw data Crude oil'!D1865</f>
        <v>85.83</v>
      </c>
      <c r="E1864">
        <f>'raw data Crude oil'!E1865</f>
        <v>85.06</v>
      </c>
      <c r="F1864">
        <f>'raw data Crude oil'!F1865</f>
        <v>84.28</v>
      </c>
      <c r="G1864">
        <f>'raw data Crude oil'!G1865</f>
        <v>83.53</v>
      </c>
      <c r="H1864">
        <f>'raw data Crude oil'!H1865</f>
        <v>82.83</v>
      </c>
      <c r="I1864">
        <f>'raw data Crude oil'!I1865</f>
        <v>82.17</v>
      </c>
      <c r="J1864">
        <f>'raw data Crude oil'!J1865</f>
        <v>81.53</v>
      </c>
      <c r="K1864">
        <f>'raw data Crude oil'!K1865</f>
        <v>80.95</v>
      </c>
      <c r="L1864">
        <f>'raw data Crude oil'!L1865</f>
        <v>80.44</v>
      </c>
      <c r="M1864">
        <f>'raw data Crude oil'!M1865</f>
        <v>79.97</v>
      </c>
      <c r="N1864">
        <f>'raw data Crude oil'!N1865</f>
        <v>83.47</v>
      </c>
      <c r="O1864">
        <f>'raw data Crude oil'!O1865</f>
        <v>82.73</v>
      </c>
      <c r="P1864">
        <f>'raw data Crude oil'!P1865</f>
        <v>82.08</v>
      </c>
      <c r="Q1864">
        <f>'raw data Crude oil'!Q1865</f>
        <v>81.38</v>
      </c>
      <c r="R1864">
        <f>'raw data Crude oil'!R1865</f>
        <v>80.61</v>
      </c>
      <c r="S1864">
        <f>'raw data Crude oil'!S1865</f>
        <v>79.81</v>
      </c>
      <c r="T1864">
        <f>'raw data Crude oil'!T1865</f>
        <v>79.03</v>
      </c>
      <c r="U1864">
        <f>'raw data Crude oil'!U1865</f>
        <v>78.28</v>
      </c>
      <c r="V1864">
        <f>'raw data Crude oil'!V1865</f>
        <v>77.56</v>
      </c>
      <c r="W1864">
        <f>'raw data Crude oil'!W1865</f>
        <v>76.89</v>
      </c>
      <c r="X1864">
        <f>'raw data Crude oil'!X1865</f>
        <v>76.27</v>
      </c>
      <c r="Y1864">
        <f>'raw data Crude oil'!Y1865</f>
        <v>75.72</v>
      </c>
      <c r="Z1864">
        <f>'raw data Crude oil'!Z1865</f>
        <v>84.602999999999994</v>
      </c>
      <c r="AA1864">
        <f>'raw data Crude oil'!AA1865</f>
        <v>86.721000000000004</v>
      </c>
      <c r="AB1864">
        <f>'raw data Crude oil'!AB1865</f>
        <v>85.715999999999994</v>
      </c>
      <c r="AC1864">
        <f>'raw data Crude oil'!AC1865</f>
        <v>84.77</v>
      </c>
      <c r="AD1864">
        <f>'raw data Crude oil'!AD1865</f>
        <v>83.846000000000004</v>
      </c>
      <c r="AE1864">
        <f>'raw data Crude oil'!AE1865</f>
        <v>83.003</v>
      </c>
      <c r="AF1864">
        <f>'raw data Crude oil'!AF1865</f>
        <v>82.233999999999995</v>
      </c>
      <c r="AG1864">
        <f>'raw data Crude oil'!AG1865</f>
        <v>81.527000000000001</v>
      </c>
      <c r="AH1864">
        <f>'raw data Crude oil'!AH1865</f>
        <v>80.846999999999994</v>
      </c>
      <c r="AI1864">
        <f>'raw data Crude oil'!AI1865</f>
        <v>80.206000000000003</v>
      </c>
      <c r="AJ1864">
        <f>'raw data Crude oil'!AJ1865</f>
        <v>79.703999999999994</v>
      </c>
      <c r="AK1864">
        <f>'raw data Crude oil'!AK1865</f>
        <v>79.233000000000004</v>
      </c>
    </row>
    <row r="1865" spans="1:37" x14ac:dyDescent="0.3">
      <c r="A1865" s="18">
        <f>'raw data Crude oil'!A1866</f>
        <v>45371</v>
      </c>
      <c r="B1865">
        <f>'raw data Crude oil'!B1866</f>
        <v>85.95</v>
      </c>
      <c r="C1865">
        <f>'raw data Crude oil'!C1866</f>
        <v>85.38</v>
      </c>
      <c r="D1865">
        <f>'raw data Crude oil'!D1866</f>
        <v>84.72</v>
      </c>
      <c r="E1865">
        <f>'raw data Crude oil'!E1866</f>
        <v>84.03</v>
      </c>
      <c r="F1865">
        <f>'raw data Crude oil'!F1866</f>
        <v>83.34</v>
      </c>
      <c r="G1865">
        <f>'raw data Crude oil'!G1866</f>
        <v>82.67</v>
      </c>
      <c r="H1865">
        <f>'raw data Crude oil'!H1866</f>
        <v>82.02</v>
      </c>
      <c r="I1865">
        <f>'raw data Crude oil'!I1866</f>
        <v>81.400000000000006</v>
      </c>
      <c r="J1865">
        <f>'raw data Crude oil'!J1866</f>
        <v>80.8</v>
      </c>
      <c r="K1865">
        <f>'raw data Crude oil'!K1866</f>
        <v>80.25</v>
      </c>
      <c r="L1865">
        <f>'raw data Crude oil'!L1866</f>
        <v>79.77</v>
      </c>
      <c r="M1865">
        <f>'raw data Crude oil'!M1866</f>
        <v>79.319999999999993</v>
      </c>
      <c r="N1865">
        <f>'raw data Crude oil'!N1866</f>
        <v>81.680000000000007</v>
      </c>
      <c r="O1865">
        <f>'raw data Crude oil'!O1866</f>
        <v>81.27</v>
      </c>
      <c r="P1865">
        <f>'raw data Crude oil'!P1866</f>
        <v>80.78</v>
      </c>
      <c r="Q1865">
        <f>'raw data Crude oil'!Q1866</f>
        <v>80.180000000000007</v>
      </c>
      <c r="R1865">
        <f>'raw data Crude oil'!R1866</f>
        <v>79.510000000000005</v>
      </c>
      <c r="S1865">
        <f>'raw data Crude oil'!S1866</f>
        <v>78.790000000000006</v>
      </c>
      <c r="T1865">
        <f>'raw data Crude oil'!T1866</f>
        <v>78.06</v>
      </c>
      <c r="U1865">
        <f>'raw data Crude oil'!U1866</f>
        <v>77.36</v>
      </c>
      <c r="V1865">
        <f>'raw data Crude oil'!V1866</f>
        <v>76.7</v>
      </c>
      <c r="W1865">
        <f>'raw data Crude oil'!W1866</f>
        <v>76.069999999999993</v>
      </c>
      <c r="X1865">
        <f>'raw data Crude oil'!X1866</f>
        <v>75.489999999999995</v>
      </c>
      <c r="Y1865">
        <f>'raw data Crude oil'!Y1866</f>
        <v>74.959999999999994</v>
      </c>
      <c r="Z1865">
        <f>'raw data Crude oil'!Z1866</f>
        <v>84.183999999999997</v>
      </c>
      <c r="AA1865">
        <f>'raw data Crude oil'!AA1866</f>
        <v>85.506</v>
      </c>
      <c r="AB1865">
        <f>'raw data Crude oil'!AB1866</f>
        <v>84.566000000000003</v>
      </c>
      <c r="AC1865">
        <f>'raw data Crude oil'!AC1866</f>
        <v>83.709000000000003</v>
      </c>
      <c r="AD1865">
        <f>'raw data Crude oil'!AD1866</f>
        <v>82.861999999999995</v>
      </c>
      <c r="AE1865">
        <f>'raw data Crude oil'!AE1866</f>
        <v>82.078999999999994</v>
      </c>
      <c r="AF1865">
        <f>'raw data Crude oil'!AF1866</f>
        <v>81.358999999999995</v>
      </c>
      <c r="AG1865">
        <f>'raw data Crude oil'!AG1866</f>
        <v>80.688999999999993</v>
      </c>
      <c r="AH1865">
        <f>'raw data Crude oil'!AH1866</f>
        <v>80.049000000000007</v>
      </c>
      <c r="AI1865">
        <f>'raw data Crude oil'!AI1866</f>
        <v>79.448999999999998</v>
      </c>
      <c r="AJ1865">
        <f>'raw data Crude oil'!AJ1866</f>
        <v>78.988</v>
      </c>
      <c r="AK1865">
        <f>'raw data Crude oil'!AK1866</f>
        <v>78.549000000000007</v>
      </c>
    </row>
    <row r="1866" spans="1:37" x14ac:dyDescent="0.3">
      <c r="A1866" s="18">
        <f>'raw data Crude oil'!A1867</f>
        <v>45372</v>
      </c>
      <c r="B1866">
        <f>'raw data Crude oil'!B1867</f>
        <v>85.78</v>
      </c>
      <c r="C1866">
        <f>'raw data Crude oil'!C1867</f>
        <v>85.24</v>
      </c>
      <c r="D1866">
        <f>'raw data Crude oil'!D1867</f>
        <v>84.6</v>
      </c>
      <c r="E1866">
        <f>'raw data Crude oil'!E1867</f>
        <v>83.93</v>
      </c>
      <c r="F1866">
        <f>'raw data Crude oil'!F1867</f>
        <v>83.25</v>
      </c>
      <c r="G1866">
        <f>'raw data Crude oil'!G1867</f>
        <v>82.57</v>
      </c>
      <c r="H1866">
        <f>'raw data Crude oil'!H1867</f>
        <v>81.94</v>
      </c>
      <c r="I1866">
        <f>'raw data Crude oil'!I1867</f>
        <v>81.34</v>
      </c>
      <c r="J1866">
        <f>'raw data Crude oil'!J1867</f>
        <v>80.760000000000005</v>
      </c>
      <c r="K1866">
        <f>'raw data Crude oil'!K1867</f>
        <v>80.22</v>
      </c>
      <c r="L1866">
        <f>'raw data Crude oil'!L1867</f>
        <v>79.73</v>
      </c>
      <c r="M1866">
        <f>'raw data Crude oil'!M1867</f>
        <v>79.28</v>
      </c>
      <c r="N1866">
        <f>'raw data Crude oil'!N1867</f>
        <v>81.069999999999993</v>
      </c>
      <c r="O1866">
        <f>'raw data Crude oil'!O1867</f>
        <v>80.64</v>
      </c>
      <c r="P1866">
        <f>'raw data Crude oil'!P1867</f>
        <v>80.09</v>
      </c>
      <c r="Q1866">
        <f>'raw data Crude oil'!Q1867</f>
        <v>79.45</v>
      </c>
      <c r="R1866">
        <f>'raw data Crude oil'!R1867</f>
        <v>78.75</v>
      </c>
      <c r="S1866">
        <f>'raw data Crude oil'!S1867</f>
        <v>78.05</v>
      </c>
      <c r="T1866">
        <f>'raw data Crude oil'!T1867</f>
        <v>77.38</v>
      </c>
      <c r="U1866">
        <f>'raw data Crude oil'!U1867</f>
        <v>76.72</v>
      </c>
      <c r="V1866">
        <f>'raw data Crude oil'!V1867</f>
        <v>76.099999999999994</v>
      </c>
      <c r="W1866">
        <f>'raw data Crude oil'!W1867</f>
        <v>75.53</v>
      </c>
      <c r="X1866">
        <f>'raw data Crude oil'!X1867</f>
        <v>75.010000000000005</v>
      </c>
      <c r="Y1866">
        <f>'raw data Crude oil'!Y1867</f>
        <v>74.53</v>
      </c>
      <c r="Z1866">
        <f>'raw data Crude oil'!Z1867</f>
        <v>84.153000000000006</v>
      </c>
      <c r="AA1866">
        <f>'raw data Crude oil'!AA1867</f>
        <v>85.340999999999994</v>
      </c>
      <c r="AB1866">
        <f>'raw data Crude oil'!AB1867</f>
        <v>84.400999999999996</v>
      </c>
      <c r="AC1866">
        <f>'raw data Crude oil'!AC1867</f>
        <v>83.566000000000003</v>
      </c>
      <c r="AD1866">
        <f>'raw data Crude oil'!AD1867</f>
        <v>82.745999999999995</v>
      </c>
      <c r="AE1866">
        <f>'raw data Crude oil'!AE1867</f>
        <v>81.986000000000004</v>
      </c>
      <c r="AF1866">
        <f>'raw data Crude oil'!AF1867</f>
        <v>81.286000000000001</v>
      </c>
      <c r="AG1866">
        <f>'raw data Crude oil'!AG1867</f>
        <v>80.635000000000005</v>
      </c>
      <c r="AH1866">
        <f>'raw data Crude oil'!AH1867</f>
        <v>80.013999999999996</v>
      </c>
      <c r="AI1866">
        <f>'raw data Crude oil'!AI1867</f>
        <v>79.423000000000002</v>
      </c>
      <c r="AJ1866">
        <f>'raw data Crude oil'!AJ1867</f>
        <v>78.94</v>
      </c>
      <c r="AK1866">
        <f>'raw data Crude oil'!AK1867</f>
        <v>78.489000000000004</v>
      </c>
    </row>
    <row r="1867" spans="1:37" x14ac:dyDescent="0.3">
      <c r="A1867" s="18">
        <f>'raw data Crude oil'!A1868</f>
        <v>45373</v>
      </c>
      <c r="B1867">
        <f>'raw data Crude oil'!B1868</f>
        <v>85.43</v>
      </c>
      <c r="C1867">
        <f>'raw data Crude oil'!C1868</f>
        <v>84.83</v>
      </c>
      <c r="D1867">
        <f>'raw data Crude oil'!D1868</f>
        <v>84.15</v>
      </c>
      <c r="E1867">
        <f>'raw data Crude oil'!E1868</f>
        <v>83.46</v>
      </c>
      <c r="F1867">
        <f>'raw data Crude oil'!F1868</f>
        <v>82.77</v>
      </c>
      <c r="G1867">
        <f>'raw data Crude oil'!G1868</f>
        <v>82.09</v>
      </c>
      <c r="H1867">
        <f>'raw data Crude oil'!H1868</f>
        <v>81.45</v>
      </c>
      <c r="I1867">
        <f>'raw data Crude oil'!I1868</f>
        <v>80.849999999999994</v>
      </c>
      <c r="J1867">
        <f>'raw data Crude oil'!J1868</f>
        <v>80.27</v>
      </c>
      <c r="K1867">
        <f>'raw data Crude oil'!K1868</f>
        <v>79.73</v>
      </c>
      <c r="L1867">
        <f>'raw data Crude oil'!L1868</f>
        <v>79.25</v>
      </c>
      <c r="M1867">
        <f>'raw data Crude oil'!M1868</f>
        <v>78.81</v>
      </c>
      <c r="N1867">
        <f>'raw data Crude oil'!N1868</f>
        <v>80.63</v>
      </c>
      <c r="O1867">
        <f>'raw data Crude oil'!O1868</f>
        <v>80.17</v>
      </c>
      <c r="P1867">
        <f>'raw data Crude oil'!P1868</f>
        <v>79.61</v>
      </c>
      <c r="Q1867">
        <f>'raw data Crude oil'!Q1868</f>
        <v>78.95</v>
      </c>
      <c r="R1867">
        <f>'raw data Crude oil'!R1868</f>
        <v>78.23</v>
      </c>
      <c r="S1867">
        <f>'raw data Crude oil'!S1868</f>
        <v>77.510000000000005</v>
      </c>
      <c r="T1867">
        <f>'raw data Crude oil'!T1868</f>
        <v>76.83</v>
      </c>
      <c r="U1867">
        <f>'raw data Crude oil'!U1868</f>
        <v>76.180000000000007</v>
      </c>
      <c r="V1867">
        <f>'raw data Crude oil'!V1868</f>
        <v>75.569999999999993</v>
      </c>
      <c r="W1867">
        <f>'raw data Crude oil'!W1868</f>
        <v>75</v>
      </c>
      <c r="X1867">
        <f>'raw data Crude oil'!X1868</f>
        <v>74.489999999999995</v>
      </c>
      <c r="Y1867">
        <f>'raw data Crude oil'!Y1868</f>
        <v>74.02</v>
      </c>
      <c r="Z1867">
        <f>'raw data Crude oil'!Z1868</f>
        <v>84.046999999999997</v>
      </c>
      <c r="AA1867">
        <f>'raw data Crude oil'!AA1868</f>
        <v>84.933999999999997</v>
      </c>
      <c r="AB1867">
        <f>'raw data Crude oil'!AB1868</f>
        <v>83.998999999999995</v>
      </c>
      <c r="AC1867">
        <f>'raw data Crude oil'!AC1868</f>
        <v>83.153999999999996</v>
      </c>
      <c r="AD1867">
        <f>'raw data Crude oil'!AD1868</f>
        <v>82.33</v>
      </c>
      <c r="AE1867">
        <f>'raw data Crude oil'!AE1868</f>
        <v>81.561000000000007</v>
      </c>
      <c r="AF1867">
        <f>'raw data Crude oil'!AF1868</f>
        <v>80.850999999999999</v>
      </c>
      <c r="AG1867">
        <f>'raw data Crude oil'!AG1868</f>
        <v>80.194999999999993</v>
      </c>
      <c r="AH1867">
        <f>'raw data Crude oil'!AH1868</f>
        <v>79.563999999999993</v>
      </c>
      <c r="AI1867">
        <f>'raw data Crude oil'!AI1868</f>
        <v>78.974000000000004</v>
      </c>
      <c r="AJ1867">
        <f>'raw data Crude oil'!AJ1868</f>
        <v>78.489999999999995</v>
      </c>
      <c r="AK1867">
        <f>'raw data Crude oil'!AK1868</f>
        <v>78.028999999999996</v>
      </c>
    </row>
    <row r="1868" spans="1:37" x14ac:dyDescent="0.3">
      <c r="A1868" s="18">
        <f>'raw data Crude oil'!A1869</f>
        <v>45376</v>
      </c>
      <c r="B1868">
        <f>'raw data Crude oil'!B1869</f>
        <v>86.75</v>
      </c>
      <c r="C1868">
        <f>'raw data Crude oil'!C1869</f>
        <v>86.08</v>
      </c>
      <c r="D1868">
        <f>'raw data Crude oil'!D1869</f>
        <v>85.36</v>
      </c>
      <c r="E1868">
        <f>'raw data Crude oil'!E1869</f>
        <v>84.62</v>
      </c>
      <c r="F1868">
        <f>'raw data Crude oil'!F1869</f>
        <v>83.88</v>
      </c>
      <c r="G1868">
        <f>'raw data Crude oil'!G1869</f>
        <v>83.15</v>
      </c>
      <c r="H1868">
        <f>'raw data Crude oil'!H1869</f>
        <v>82.47</v>
      </c>
      <c r="I1868">
        <f>'raw data Crude oil'!I1869</f>
        <v>81.83</v>
      </c>
      <c r="J1868">
        <f>'raw data Crude oil'!J1869</f>
        <v>81.22</v>
      </c>
      <c r="K1868">
        <f>'raw data Crude oil'!K1869</f>
        <v>80.66</v>
      </c>
      <c r="L1868">
        <f>'raw data Crude oil'!L1869</f>
        <v>80.16</v>
      </c>
      <c r="M1868">
        <f>'raw data Crude oil'!M1869</f>
        <v>79.7</v>
      </c>
      <c r="N1868">
        <f>'raw data Crude oil'!N1869</f>
        <v>81.95</v>
      </c>
      <c r="O1868">
        <f>'raw data Crude oil'!O1869</f>
        <v>81.38</v>
      </c>
      <c r="P1868">
        <f>'raw data Crude oil'!P1869</f>
        <v>80.77</v>
      </c>
      <c r="Q1868">
        <f>'raw data Crude oil'!Q1869</f>
        <v>80.06</v>
      </c>
      <c r="R1868">
        <f>'raw data Crude oil'!R1869</f>
        <v>79.290000000000006</v>
      </c>
      <c r="S1868">
        <f>'raw data Crude oil'!S1869</f>
        <v>78.53</v>
      </c>
      <c r="T1868">
        <f>'raw data Crude oil'!T1869</f>
        <v>77.819999999999993</v>
      </c>
      <c r="U1868">
        <f>'raw data Crude oil'!U1869</f>
        <v>77.14</v>
      </c>
      <c r="V1868">
        <f>'raw data Crude oil'!V1869</f>
        <v>76.510000000000005</v>
      </c>
      <c r="W1868">
        <f>'raw data Crude oil'!W1869</f>
        <v>75.92</v>
      </c>
      <c r="X1868">
        <f>'raw data Crude oil'!X1869</f>
        <v>75.38</v>
      </c>
      <c r="Y1868">
        <f>'raw data Crude oil'!Y1869</f>
        <v>74.88</v>
      </c>
      <c r="Z1868">
        <f>'raw data Crude oil'!Z1869</f>
        <v>84.228999999999999</v>
      </c>
      <c r="AA1868">
        <f>'raw data Crude oil'!AA1869</f>
        <v>86.159000000000006</v>
      </c>
      <c r="AB1868">
        <f>'raw data Crude oil'!AB1869</f>
        <v>85.195999999999998</v>
      </c>
      <c r="AC1868">
        <f>'raw data Crude oil'!AC1869</f>
        <v>84.298000000000002</v>
      </c>
      <c r="AD1868">
        <f>'raw data Crude oil'!AD1869</f>
        <v>83.438000000000002</v>
      </c>
      <c r="AE1868">
        <f>'raw data Crude oil'!AE1869</f>
        <v>82.619</v>
      </c>
      <c r="AF1868">
        <f>'raw data Crude oil'!AF1869</f>
        <v>81.86</v>
      </c>
      <c r="AG1868">
        <f>'raw data Crude oil'!AG1869</f>
        <v>81.171999999999997</v>
      </c>
      <c r="AH1868">
        <f>'raw data Crude oil'!AH1869</f>
        <v>80.522999999999996</v>
      </c>
      <c r="AI1868">
        <f>'raw data Crude oil'!AI1869</f>
        <v>79.912000000000006</v>
      </c>
      <c r="AJ1868">
        <f>'raw data Crude oil'!AJ1869</f>
        <v>79.409000000000006</v>
      </c>
      <c r="AK1868">
        <f>'raw data Crude oil'!AK1869</f>
        <v>78.972999999999999</v>
      </c>
    </row>
    <row r="1869" spans="1:37" x14ac:dyDescent="0.3">
      <c r="A1869" s="18">
        <f>'raw data Crude oil'!A1870</f>
        <v>45377</v>
      </c>
      <c r="B1869">
        <f>'raw data Crude oil'!B1870</f>
        <v>86.25</v>
      </c>
      <c r="C1869">
        <f>'raw data Crude oil'!C1870</f>
        <v>85.63</v>
      </c>
      <c r="D1869">
        <f>'raw data Crude oil'!D1870</f>
        <v>84.91</v>
      </c>
      <c r="E1869">
        <f>'raw data Crude oil'!E1870</f>
        <v>84.19</v>
      </c>
      <c r="F1869">
        <f>'raw data Crude oil'!F1870</f>
        <v>83.49</v>
      </c>
      <c r="G1869">
        <f>'raw data Crude oil'!G1870</f>
        <v>82.79</v>
      </c>
      <c r="H1869">
        <f>'raw data Crude oil'!H1870</f>
        <v>82.14</v>
      </c>
      <c r="I1869">
        <f>'raw data Crude oil'!I1870</f>
        <v>81.510000000000005</v>
      </c>
      <c r="J1869">
        <f>'raw data Crude oil'!J1870</f>
        <v>80.91</v>
      </c>
      <c r="K1869">
        <f>'raw data Crude oil'!K1870</f>
        <v>80.36</v>
      </c>
      <c r="L1869">
        <f>'raw data Crude oil'!L1870</f>
        <v>79.88</v>
      </c>
      <c r="M1869">
        <f>'raw data Crude oil'!M1870</f>
        <v>79.44</v>
      </c>
      <c r="N1869">
        <f>'raw data Crude oil'!N1870</f>
        <v>81.62</v>
      </c>
      <c r="O1869">
        <f>'raw data Crude oil'!O1870</f>
        <v>81.040000000000006</v>
      </c>
      <c r="P1869">
        <f>'raw data Crude oil'!P1870</f>
        <v>80.430000000000007</v>
      </c>
      <c r="Q1869">
        <f>'raw data Crude oil'!Q1870</f>
        <v>79.73</v>
      </c>
      <c r="R1869">
        <f>'raw data Crude oil'!R1870</f>
        <v>79.010000000000005</v>
      </c>
      <c r="S1869">
        <f>'raw data Crude oil'!S1870</f>
        <v>78.28</v>
      </c>
      <c r="T1869">
        <f>'raw data Crude oil'!T1870</f>
        <v>77.59</v>
      </c>
      <c r="U1869">
        <f>'raw data Crude oil'!U1870</f>
        <v>76.92</v>
      </c>
      <c r="V1869">
        <f>'raw data Crude oil'!V1870</f>
        <v>76.31</v>
      </c>
      <c r="W1869">
        <f>'raw data Crude oil'!W1870</f>
        <v>75.739999999999995</v>
      </c>
      <c r="X1869">
        <f>'raw data Crude oil'!X1870</f>
        <v>75.22</v>
      </c>
      <c r="Y1869">
        <f>'raw data Crude oil'!Y1870</f>
        <v>74.73</v>
      </c>
      <c r="Z1869">
        <f>'raw data Crude oil'!Z1870</f>
        <v>84.185000000000002</v>
      </c>
      <c r="AA1869">
        <f>'raw data Crude oil'!AA1870</f>
        <v>85.832999999999998</v>
      </c>
      <c r="AB1869">
        <f>'raw data Crude oil'!AB1870</f>
        <v>84.81</v>
      </c>
      <c r="AC1869">
        <f>'raw data Crude oil'!AC1870</f>
        <v>83.91</v>
      </c>
      <c r="AD1869">
        <f>'raw data Crude oil'!AD1870</f>
        <v>83.051000000000002</v>
      </c>
      <c r="AE1869">
        <f>'raw data Crude oil'!AE1870</f>
        <v>82.251000000000005</v>
      </c>
      <c r="AF1869">
        <f>'raw data Crude oil'!AF1870</f>
        <v>81.510999999999996</v>
      </c>
      <c r="AG1869">
        <f>'raw data Crude oil'!AG1870</f>
        <v>80.828999999999994</v>
      </c>
      <c r="AH1869">
        <f>'raw data Crude oil'!AH1870</f>
        <v>80.188999999999993</v>
      </c>
      <c r="AI1869">
        <f>'raw data Crude oil'!AI1870</f>
        <v>79.584999999999994</v>
      </c>
      <c r="AJ1869">
        <f>'raw data Crude oil'!AJ1870</f>
        <v>79.094999999999999</v>
      </c>
      <c r="AK1869">
        <f>'raw data Crude oil'!AK1870</f>
        <v>78.653999999999996</v>
      </c>
    </row>
    <row r="1870" spans="1:37" x14ac:dyDescent="0.3">
      <c r="A1870" s="18">
        <f>'raw data Crude oil'!A1871</f>
        <v>45378</v>
      </c>
      <c r="B1870">
        <f>'raw data Crude oil'!B1871</f>
        <v>86.09</v>
      </c>
      <c r="C1870">
        <f>'raw data Crude oil'!C1871</f>
        <v>85.41</v>
      </c>
      <c r="D1870">
        <f>'raw data Crude oil'!D1871</f>
        <v>84.71</v>
      </c>
      <c r="E1870">
        <f>'raw data Crude oil'!E1871</f>
        <v>84.02</v>
      </c>
      <c r="F1870">
        <f>'raw data Crude oil'!F1871</f>
        <v>83.34</v>
      </c>
      <c r="G1870">
        <f>'raw data Crude oil'!G1871</f>
        <v>82.66</v>
      </c>
      <c r="H1870">
        <f>'raw data Crude oil'!H1871</f>
        <v>82.02</v>
      </c>
      <c r="I1870">
        <f>'raw data Crude oil'!I1871</f>
        <v>81.41</v>
      </c>
      <c r="J1870">
        <f>'raw data Crude oil'!J1871</f>
        <v>80.83</v>
      </c>
      <c r="K1870">
        <f>'raw data Crude oil'!K1871</f>
        <v>80.290000000000006</v>
      </c>
      <c r="L1870">
        <f>'raw data Crude oil'!L1871</f>
        <v>79.81</v>
      </c>
      <c r="M1870">
        <f>'raw data Crude oil'!M1871</f>
        <v>79.37</v>
      </c>
      <c r="N1870">
        <f>'raw data Crude oil'!N1871</f>
        <v>81.349999999999994</v>
      </c>
      <c r="O1870">
        <f>'raw data Crude oil'!O1871</f>
        <v>80.78</v>
      </c>
      <c r="P1870">
        <f>'raw data Crude oil'!P1871</f>
        <v>80.19</v>
      </c>
      <c r="Q1870">
        <f>'raw data Crude oil'!Q1871</f>
        <v>79.52</v>
      </c>
      <c r="R1870">
        <f>'raw data Crude oil'!R1871</f>
        <v>78.819999999999993</v>
      </c>
      <c r="S1870">
        <f>'raw data Crude oil'!S1871</f>
        <v>78.12</v>
      </c>
      <c r="T1870">
        <f>'raw data Crude oil'!T1871</f>
        <v>77.44</v>
      </c>
      <c r="U1870">
        <f>'raw data Crude oil'!U1871</f>
        <v>76.8</v>
      </c>
      <c r="V1870">
        <f>'raw data Crude oil'!V1871</f>
        <v>76.2</v>
      </c>
      <c r="W1870">
        <f>'raw data Crude oil'!W1871</f>
        <v>75.64</v>
      </c>
      <c r="X1870">
        <f>'raw data Crude oil'!X1871</f>
        <v>75.13</v>
      </c>
      <c r="Y1870">
        <f>'raw data Crude oil'!Y1871</f>
        <v>74.66</v>
      </c>
      <c r="Z1870">
        <f>'raw data Crude oil'!Z1871</f>
        <v>84.135999999999996</v>
      </c>
      <c r="AA1870">
        <f>'raw data Crude oil'!AA1871</f>
        <v>85.722999999999999</v>
      </c>
      <c r="AB1870">
        <f>'raw data Crude oil'!AB1871</f>
        <v>84.694000000000003</v>
      </c>
      <c r="AC1870">
        <f>'raw data Crude oil'!AC1871</f>
        <v>83.79</v>
      </c>
      <c r="AD1870">
        <f>'raw data Crude oil'!AD1871</f>
        <v>82.944999999999993</v>
      </c>
      <c r="AE1870">
        <f>'raw data Crude oil'!AE1871</f>
        <v>82.176000000000002</v>
      </c>
      <c r="AF1870">
        <f>'raw data Crude oil'!AF1871</f>
        <v>81.450999999999993</v>
      </c>
      <c r="AG1870">
        <f>'raw data Crude oil'!AG1871</f>
        <v>80.784999999999997</v>
      </c>
      <c r="AH1870">
        <f>'raw data Crude oil'!AH1871</f>
        <v>80.144000000000005</v>
      </c>
      <c r="AI1870">
        <f>'raw data Crude oil'!AI1871</f>
        <v>79.524000000000001</v>
      </c>
      <c r="AJ1870">
        <f>'raw data Crude oil'!AJ1871</f>
        <v>79.040000000000006</v>
      </c>
      <c r="AK1870">
        <f>'raw data Crude oil'!AK1871</f>
        <v>78.588999999999999</v>
      </c>
    </row>
    <row r="1871" spans="1:37" x14ac:dyDescent="0.3">
      <c r="A1871" s="18">
        <f>'raw data Crude oil'!A1872</f>
        <v>45379</v>
      </c>
      <c r="B1871">
        <f>'raw data Crude oil'!B1872</f>
        <v>87.48</v>
      </c>
      <c r="C1871">
        <f>'raw data Crude oil'!C1872</f>
        <v>87</v>
      </c>
      <c r="D1871">
        <f>'raw data Crude oil'!D1872</f>
        <v>86.15</v>
      </c>
      <c r="E1871">
        <f>'raw data Crude oil'!E1872</f>
        <v>85.35</v>
      </c>
      <c r="F1871">
        <f>'raw data Crude oil'!F1872</f>
        <v>84.57</v>
      </c>
      <c r="G1871">
        <f>'raw data Crude oil'!G1872</f>
        <v>83.81</v>
      </c>
      <c r="H1871">
        <f>'raw data Crude oil'!H1872</f>
        <v>83.11</v>
      </c>
      <c r="I1871">
        <f>'raw data Crude oil'!I1872</f>
        <v>82.45</v>
      </c>
      <c r="J1871">
        <f>'raw data Crude oil'!J1872</f>
        <v>81.819999999999993</v>
      </c>
      <c r="K1871">
        <f>'raw data Crude oil'!K1872</f>
        <v>81.239999999999995</v>
      </c>
      <c r="L1871">
        <f>'raw data Crude oil'!L1872</f>
        <v>80.73</v>
      </c>
      <c r="M1871">
        <f>'raw data Crude oil'!M1872</f>
        <v>80.260000000000005</v>
      </c>
      <c r="N1871">
        <f>'raw data Crude oil'!N1872</f>
        <v>83.17</v>
      </c>
      <c r="O1871">
        <f>'raw data Crude oil'!O1872</f>
        <v>82.42</v>
      </c>
      <c r="P1871">
        <f>'raw data Crude oil'!P1872</f>
        <v>81.67</v>
      </c>
      <c r="Q1871">
        <f>'raw data Crude oil'!Q1872</f>
        <v>80.89</v>
      </c>
      <c r="R1871">
        <f>'raw data Crude oil'!R1872</f>
        <v>80.09</v>
      </c>
      <c r="S1871">
        <f>'raw data Crude oil'!S1872</f>
        <v>79.290000000000006</v>
      </c>
      <c r="T1871">
        <f>'raw data Crude oil'!T1872</f>
        <v>78.540000000000006</v>
      </c>
      <c r="U1871">
        <f>'raw data Crude oil'!U1872</f>
        <v>77.84</v>
      </c>
      <c r="V1871">
        <f>'raw data Crude oil'!V1872</f>
        <v>77.19</v>
      </c>
      <c r="W1871">
        <f>'raw data Crude oil'!W1872</f>
        <v>76.569999999999993</v>
      </c>
      <c r="X1871">
        <f>'raw data Crude oil'!X1872</f>
        <v>76.03</v>
      </c>
      <c r="Y1871">
        <f>'raw data Crude oil'!Y1872</f>
        <v>75.53</v>
      </c>
      <c r="Z1871">
        <f>'raw data Crude oil'!Z1872</f>
        <v>84.152000000000001</v>
      </c>
      <c r="AA1871">
        <f>'raw data Crude oil'!AA1872</f>
        <v>87.210999999999999</v>
      </c>
      <c r="AB1871">
        <f>'raw data Crude oil'!AB1872</f>
        <v>86.141000000000005</v>
      </c>
      <c r="AC1871">
        <f>'raw data Crude oil'!AC1872</f>
        <v>85.186000000000007</v>
      </c>
      <c r="AD1871">
        <f>'raw data Crude oil'!AD1872</f>
        <v>84.262</v>
      </c>
      <c r="AE1871">
        <f>'raw data Crude oil'!AE1872</f>
        <v>83.405000000000001</v>
      </c>
      <c r="AF1871">
        <f>'raw data Crude oil'!AF1872</f>
        <v>82.619</v>
      </c>
      <c r="AG1871">
        <f>'raw data Crude oil'!AG1872</f>
        <v>81.893000000000001</v>
      </c>
      <c r="AH1871">
        <f>'raw data Crude oil'!AH1872</f>
        <v>81.201999999999998</v>
      </c>
      <c r="AI1871">
        <f>'raw data Crude oil'!AI1872</f>
        <v>80.540999999999997</v>
      </c>
      <c r="AJ1871">
        <f>'raw data Crude oil'!AJ1872</f>
        <v>80.009</v>
      </c>
      <c r="AK1871">
        <f>'raw data Crude oil'!AK1872</f>
        <v>79.528000000000006</v>
      </c>
    </row>
    <row r="1872" spans="1:37" x14ac:dyDescent="0.3">
      <c r="A1872" s="18">
        <f>'raw data Crude oil'!A1873</f>
        <v>45383</v>
      </c>
      <c r="B1872">
        <f>'raw data Crude oil'!B1873</f>
        <v>87.42</v>
      </c>
      <c r="C1872">
        <f>'raw data Crude oil'!C1873</f>
        <v>86.49</v>
      </c>
      <c r="D1872">
        <f>'raw data Crude oil'!D1873</f>
        <v>85.64</v>
      </c>
      <c r="E1872">
        <f>'raw data Crude oil'!E1873</f>
        <v>84.81</v>
      </c>
      <c r="F1872">
        <f>'raw data Crude oil'!F1873</f>
        <v>84.01</v>
      </c>
      <c r="G1872">
        <f>'raw data Crude oil'!G1873</f>
        <v>83.27</v>
      </c>
      <c r="H1872">
        <f>'raw data Crude oil'!H1873</f>
        <v>82.57</v>
      </c>
      <c r="I1872">
        <f>'raw data Crude oil'!I1873</f>
        <v>81.91</v>
      </c>
      <c r="J1872">
        <f>'raw data Crude oil'!J1873</f>
        <v>81.31</v>
      </c>
      <c r="K1872">
        <f>'raw data Crude oil'!K1873</f>
        <v>80.78</v>
      </c>
      <c r="L1872">
        <f>'raw data Crude oil'!L1873</f>
        <v>80.3</v>
      </c>
      <c r="M1872">
        <f>'raw data Crude oil'!M1873</f>
        <v>79.849999999999994</v>
      </c>
      <c r="N1872">
        <f>'raw data Crude oil'!N1873</f>
        <v>83.71</v>
      </c>
      <c r="O1872">
        <f>'raw data Crude oil'!O1873</f>
        <v>82.82</v>
      </c>
      <c r="P1872">
        <f>'raw data Crude oil'!P1873</f>
        <v>81.98</v>
      </c>
      <c r="Q1872">
        <f>'raw data Crude oil'!Q1873</f>
        <v>81.12</v>
      </c>
      <c r="R1872">
        <f>'raw data Crude oil'!R1873</f>
        <v>80.260000000000005</v>
      </c>
      <c r="S1872">
        <f>'raw data Crude oil'!S1873</f>
        <v>79.42</v>
      </c>
      <c r="T1872">
        <f>'raw data Crude oil'!T1873</f>
        <v>78.62</v>
      </c>
      <c r="U1872">
        <f>'raw data Crude oil'!U1873</f>
        <v>77.89</v>
      </c>
      <c r="V1872">
        <f>'raw data Crude oil'!V1873</f>
        <v>77.209999999999994</v>
      </c>
      <c r="W1872">
        <f>'raw data Crude oil'!W1873</f>
        <v>76.59</v>
      </c>
      <c r="X1872">
        <f>'raw data Crude oil'!X1873</f>
        <v>76</v>
      </c>
      <c r="Y1872">
        <f>'raw data Crude oil'!Y1873</f>
        <v>75.48</v>
      </c>
      <c r="Z1872">
        <f>'raw data Crude oil'!Z1873</f>
        <v>84.152000000000001</v>
      </c>
      <c r="AA1872">
        <f>'raw data Crude oil'!AA1873</f>
        <v>87.753</v>
      </c>
      <c r="AB1872">
        <f>'raw data Crude oil'!AB1873</f>
        <v>86.608000000000004</v>
      </c>
      <c r="AC1872">
        <f>'raw data Crude oil'!AC1873</f>
        <v>85.599000000000004</v>
      </c>
      <c r="AD1872">
        <f>'raw data Crude oil'!AD1873</f>
        <v>84.605000000000004</v>
      </c>
      <c r="AE1872">
        <f>'raw data Crude oil'!AE1873</f>
        <v>83.686000000000007</v>
      </c>
      <c r="AF1872">
        <f>'raw data Crude oil'!AF1873</f>
        <v>82.856999999999999</v>
      </c>
      <c r="AG1872">
        <f>'raw data Crude oil'!AG1873</f>
        <v>82.081000000000003</v>
      </c>
      <c r="AH1872">
        <f>'raw data Crude oil'!AH1873</f>
        <v>81.370999999999995</v>
      </c>
      <c r="AI1872">
        <f>'raw data Crude oil'!AI1873</f>
        <v>80.69</v>
      </c>
      <c r="AJ1872">
        <f>'raw data Crude oil'!AJ1873</f>
        <v>80.147999999999996</v>
      </c>
      <c r="AK1872">
        <f>'raw data Crude oil'!AK1873</f>
        <v>79.638000000000005</v>
      </c>
    </row>
    <row r="1873" spans="1:37" x14ac:dyDescent="0.3">
      <c r="A1873" s="18">
        <f>'raw data Crude oil'!A1874</f>
        <v>45384</v>
      </c>
      <c r="B1873">
        <f>'raw data Crude oil'!B1874</f>
        <v>88.92</v>
      </c>
      <c r="C1873">
        <f>'raw data Crude oil'!C1874</f>
        <v>87.89</v>
      </c>
      <c r="D1873">
        <f>'raw data Crude oil'!D1874</f>
        <v>86.92</v>
      </c>
      <c r="E1873">
        <f>'raw data Crude oil'!E1874</f>
        <v>86</v>
      </c>
      <c r="F1873">
        <f>'raw data Crude oil'!F1874</f>
        <v>85.12</v>
      </c>
      <c r="G1873">
        <f>'raw data Crude oil'!G1874</f>
        <v>84.31</v>
      </c>
      <c r="H1873">
        <f>'raw data Crude oil'!H1874</f>
        <v>83.55</v>
      </c>
      <c r="I1873">
        <f>'raw data Crude oil'!I1874</f>
        <v>82.83</v>
      </c>
      <c r="J1873">
        <f>'raw data Crude oil'!J1874</f>
        <v>82.16</v>
      </c>
      <c r="K1873">
        <f>'raw data Crude oil'!K1874</f>
        <v>81.569999999999993</v>
      </c>
      <c r="L1873">
        <f>'raw data Crude oil'!L1874</f>
        <v>81.03</v>
      </c>
      <c r="M1873">
        <f>'raw data Crude oil'!M1874</f>
        <v>80.53</v>
      </c>
      <c r="N1873">
        <f>'raw data Crude oil'!N1874</f>
        <v>85.15</v>
      </c>
      <c r="O1873">
        <f>'raw data Crude oil'!O1874</f>
        <v>84.22</v>
      </c>
      <c r="P1873">
        <f>'raw data Crude oil'!P1874</f>
        <v>83.29</v>
      </c>
      <c r="Q1873">
        <f>'raw data Crude oil'!Q1874</f>
        <v>82.34</v>
      </c>
      <c r="R1873">
        <f>'raw data Crude oil'!R1874</f>
        <v>81.38</v>
      </c>
      <c r="S1873">
        <f>'raw data Crude oil'!S1874</f>
        <v>80.45</v>
      </c>
      <c r="T1873">
        <f>'raw data Crude oil'!T1874</f>
        <v>79.569999999999993</v>
      </c>
      <c r="U1873">
        <f>'raw data Crude oil'!U1874</f>
        <v>78.77</v>
      </c>
      <c r="V1873">
        <f>'raw data Crude oil'!V1874</f>
        <v>78.02</v>
      </c>
      <c r="W1873">
        <f>'raw data Crude oil'!W1874</f>
        <v>77.319999999999993</v>
      </c>
      <c r="X1873">
        <f>'raw data Crude oil'!X1874</f>
        <v>76.7</v>
      </c>
      <c r="Y1873">
        <f>'raw data Crude oil'!Y1874</f>
        <v>76.12</v>
      </c>
      <c r="Z1873">
        <f>'raw data Crude oil'!Z1874</f>
        <v>89.257999999999996</v>
      </c>
      <c r="AA1873">
        <f>'raw data Crude oil'!AA1874</f>
        <v>88.177999999999997</v>
      </c>
      <c r="AB1873">
        <f>'raw data Crude oil'!AB1874</f>
        <v>87.057000000000002</v>
      </c>
      <c r="AC1873">
        <f>'raw data Crude oil'!AC1874</f>
        <v>85.966999999999999</v>
      </c>
      <c r="AD1873">
        <f>'raw data Crude oil'!AD1874</f>
        <v>84.965999999999994</v>
      </c>
      <c r="AE1873">
        <f>'raw data Crude oil'!AE1874</f>
        <v>84.063999999999993</v>
      </c>
      <c r="AF1873">
        <f>'raw data Crude oil'!AF1874</f>
        <v>83.228999999999999</v>
      </c>
      <c r="AG1873">
        <f>'raw data Crude oil'!AG1874</f>
        <v>82.457999999999998</v>
      </c>
      <c r="AH1873">
        <f>'raw data Crude oil'!AH1874</f>
        <v>81.713999999999999</v>
      </c>
      <c r="AI1873">
        <f>'raw data Crude oil'!AI1874</f>
        <v>81.105000000000004</v>
      </c>
      <c r="AJ1873">
        <f>'raw data Crude oil'!AJ1874</f>
        <v>80.545000000000002</v>
      </c>
      <c r="AK1873">
        <f>'raw data Crude oil'!AK1874</f>
        <v>80.028999999999996</v>
      </c>
    </row>
    <row r="1874" spans="1:37" x14ac:dyDescent="0.3">
      <c r="A1874" s="18">
        <f>'raw data Crude oil'!A1875</f>
        <v>45385</v>
      </c>
      <c r="B1874">
        <f>'raw data Crude oil'!B1875</f>
        <v>89.35</v>
      </c>
      <c r="C1874">
        <f>'raw data Crude oil'!C1875</f>
        <v>88.42</v>
      </c>
      <c r="D1874">
        <f>'raw data Crude oil'!D1875</f>
        <v>87.53</v>
      </c>
      <c r="E1874">
        <f>'raw data Crude oil'!E1875</f>
        <v>86.66</v>
      </c>
      <c r="F1874">
        <f>'raw data Crude oil'!F1875</f>
        <v>85.82</v>
      </c>
      <c r="G1874">
        <f>'raw data Crude oil'!G1875</f>
        <v>85.03</v>
      </c>
      <c r="H1874">
        <f>'raw data Crude oil'!H1875</f>
        <v>84.27</v>
      </c>
      <c r="I1874">
        <f>'raw data Crude oil'!I1875</f>
        <v>83.54</v>
      </c>
      <c r="J1874">
        <f>'raw data Crude oil'!J1875</f>
        <v>82.87</v>
      </c>
      <c r="K1874">
        <f>'raw data Crude oil'!K1875</f>
        <v>82.25</v>
      </c>
      <c r="L1874">
        <f>'raw data Crude oil'!L1875</f>
        <v>81.69</v>
      </c>
      <c r="M1874">
        <f>'raw data Crude oil'!M1875</f>
        <v>81.17</v>
      </c>
      <c r="N1874">
        <f>'raw data Crude oil'!N1875</f>
        <v>85.43</v>
      </c>
      <c r="O1874">
        <f>'raw data Crude oil'!O1875</f>
        <v>84.61</v>
      </c>
      <c r="P1874">
        <f>'raw data Crude oil'!P1875</f>
        <v>83.77</v>
      </c>
      <c r="Q1874">
        <f>'raw data Crude oil'!Q1875</f>
        <v>82.88</v>
      </c>
      <c r="R1874">
        <f>'raw data Crude oil'!R1875</f>
        <v>81.97</v>
      </c>
      <c r="S1874">
        <f>'raw data Crude oil'!S1875</f>
        <v>81.069999999999993</v>
      </c>
      <c r="T1874">
        <f>'raw data Crude oil'!T1875</f>
        <v>80.22</v>
      </c>
      <c r="U1874">
        <f>'raw data Crude oil'!U1875</f>
        <v>79.42</v>
      </c>
      <c r="V1874">
        <f>'raw data Crude oil'!V1875</f>
        <v>78.67</v>
      </c>
      <c r="W1874">
        <f>'raw data Crude oil'!W1875</f>
        <v>77.959999999999994</v>
      </c>
      <c r="X1874">
        <f>'raw data Crude oil'!X1875</f>
        <v>77.319999999999993</v>
      </c>
      <c r="Y1874">
        <f>'raw data Crude oil'!Y1875</f>
        <v>76.73</v>
      </c>
      <c r="Z1874">
        <f>'raw data Crude oil'!Z1875</f>
        <v>89.566999999999993</v>
      </c>
      <c r="AA1874">
        <f>'raw data Crude oil'!AA1875</f>
        <v>88.649000000000001</v>
      </c>
      <c r="AB1874">
        <f>'raw data Crude oil'!AB1875</f>
        <v>87.566999999999993</v>
      </c>
      <c r="AC1874">
        <f>'raw data Crude oil'!AC1875</f>
        <v>86.543000000000006</v>
      </c>
      <c r="AD1874">
        <f>'raw data Crude oil'!AD1875</f>
        <v>85.593000000000004</v>
      </c>
      <c r="AE1874">
        <f>'raw data Crude oil'!AE1875</f>
        <v>84.731999999999999</v>
      </c>
      <c r="AF1874">
        <f>'raw data Crude oil'!AF1875</f>
        <v>83.908000000000001</v>
      </c>
      <c r="AG1874">
        <f>'raw data Crude oil'!AG1875</f>
        <v>83.128</v>
      </c>
      <c r="AH1874">
        <f>'raw data Crude oil'!AH1875</f>
        <v>82.381</v>
      </c>
      <c r="AI1874">
        <f>'raw data Crude oil'!AI1875</f>
        <v>81.754999999999995</v>
      </c>
      <c r="AJ1874">
        <f>'raw data Crude oil'!AJ1875</f>
        <v>81.164000000000001</v>
      </c>
      <c r="AK1874">
        <f>'raw data Crude oil'!AK1875</f>
        <v>80.606999999999999</v>
      </c>
    </row>
    <row r="1875" spans="1:37" x14ac:dyDescent="0.3">
      <c r="A1875" s="18">
        <f>'raw data Crude oil'!A1876</f>
        <v>45386</v>
      </c>
      <c r="B1875">
        <f>'raw data Crude oil'!B1876</f>
        <v>90.65</v>
      </c>
      <c r="C1875">
        <f>'raw data Crude oil'!C1876</f>
        <v>89.66</v>
      </c>
      <c r="D1875">
        <f>'raw data Crude oil'!D1876</f>
        <v>88.71</v>
      </c>
      <c r="E1875">
        <f>'raw data Crude oil'!E1876</f>
        <v>87.78</v>
      </c>
      <c r="F1875">
        <f>'raw data Crude oil'!F1876</f>
        <v>86.9</v>
      </c>
      <c r="G1875">
        <f>'raw data Crude oil'!G1876</f>
        <v>86.06</v>
      </c>
      <c r="H1875">
        <f>'raw data Crude oil'!H1876</f>
        <v>85.27</v>
      </c>
      <c r="I1875">
        <f>'raw data Crude oil'!I1876</f>
        <v>84.51</v>
      </c>
      <c r="J1875">
        <f>'raw data Crude oil'!J1876</f>
        <v>83.8</v>
      </c>
      <c r="K1875">
        <f>'raw data Crude oil'!K1876</f>
        <v>83.14</v>
      </c>
      <c r="L1875">
        <f>'raw data Crude oil'!L1876</f>
        <v>82.53</v>
      </c>
      <c r="M1875">
        <f>'raw data Crude oil'!M1876</f>
        <v>81.96</v>
      </c>
      <c r="N1875">
        <f>'raw data Crude oil'!N1876</f>
        <v>86.59</v>
      </c>
      <c r="O1875">
        <f>'raw data Crude oil'!O1876</f>
        <v>85.81</v>
      </c>
      <c r="P1875">
        <f>'raw data Crude oil'!P1876</f>
        <v>84.96</v>
      </c>
      <c r="Q1875">
        <f>'raw data Crude oil'!Q1876</f>
        <v>84.03</v>
      </c>
      <c r="R1875">
        <f>'raw data Crude oil'!R1876</f>
        <v>83.07</v>
      </c>
      <c r="S1875">
        <f>'raw data Crude oil'!S1876</f>
        <v>82.12</v>
      </c>
      <c r="T1875">
        <f>'raw data Crude oil'!T1876</f>
        <v>81.22</v>
      </c>
      <c r="U1875">
        <f>'raw data Crude oil'!U1876</f>
        <v>80.400000000000006</v>
      </c>
      <c r="V1875">
        <f>'raw data Crude oil'!V1876</f>
        <v>79.61</v>
      </c>
      <c r="W1875">
        <f>'raw data Crude oil'!W1876</f>
        <v>78.86</v>
      </c>
      <c r="X1875">
        <f>'raw data Crude oil'!X1876</f>
        <v>78.17</v>
      </c>
      <c r="Y1875">
        <f>'raw data Crude oil'!Y1876</f>
        <v>77.540000000000006</v>
      </c>
      <c r="Z1875">
        <f>'raw data Crude oil'!Z1876</f>
        <v>90.391000000000005</v>
      </c>
      <c r="AA1875">
        <f>'raw data Crude oil'!AA1876</f>
        <v>89.718999999999994</v>
      </c>
      <c r="AB1875">
        <f>'raw data Crude oil'!AB1876</f>
        <v>88.638000000000005</v>
      </c>
      <c r="AC1875">
        <f>'raw data Crude oil'!AC1876</f>
        <v>87.585999999999999</v>
      </c>
      <c r="AD1875">
        <f>'raw data Crude oil'!AD1876</f>
        <v>86.608000000000004</v>
      </c>
      <c r="AE1875">
        <f>'raw data Crude oil'!AE1876</f>
        <v>85.691999999999993</v>
      </c>
      <c r="AF1875">
        <f>'raw data Crude oil'!AF1876</f>
        <v>84.844999999999999</v>
      </c>
      <c r="AG1875">
        <f>'raw data Crude oil'!AG1876</f>
        <v>84.046000000000006</v>
      </c>
      <c r="AH1875">
        <f>'raw data Crude oil'!AH1876</f>
        <v>83.257000000000005</v>
      </c>
      <c r="AI1875">
        <f>'raw data Crude oil'!AI1876</f>
        <v>82.566999999999993</v>
      </c>
      <c r="AJ1875">
        <f>'raw data Crude oil'!AJ1876</f>
        <v>81.921999999999997</v>
      </c>
      <c r="AK1875">
        <f>'raw data Crude oil'!AK1876</f>
        <v>81.325000000000003</v>
      </c>
    </row>
    <row r="1876" spans="1:37" x14ac:dyDescent="0.3">
      <c r="A1876" s="18">
        <f>'raw data Crude oil'!A1877</f>
        <v>45387</v>
      </c>
      <c r="B1876">
        <f>'raw data Crude oil'!B1877</f>
        <v>91.17</v>
      </c>
      <c r="C1876">
        <f>'raw data Crude oil'!C1877</f>
        <v>90.13</v>
      </c>
      <c r="D1876">
        <f>'raw data Crude oil'!D1877</f>
        <v>89.12</v>
      </c>
      <c r="E1876">
        <f>'raw data Crude oil'!E1877</f>
        <v>88.16</v>
      </c>
      <c r="F1876">
        <f>'raw data Crude oil'!F1877</f>
        <v>87.24</v>
      </c>
      <c r="G1876">
        <f>'raw data Crude oil'!G1877</f>
        <v>86.38</v>
      </c>
      <c r="H1876">
        <f>'raw data Crude oil'!H1877</f>
        <v>85.56</v>
      </c>
      <c r="I1876">
        <f>'raw data Crude oil'!I1877</f>
        <v>84.76</v>
      </c>
      <c r="J1876">
        <f>'raw data Crude oil'!J1877</f>
        <v>84.01</v>
      </c>
      <c r="K1876">
        <f>'raw data Crude oil'!K1877</f>
        <v>83.31</v>
      </c>
      <c r="L1876">
        <f>'raw data Crude oil'!L1877</f>
        <v>82.67</v>
      </c>
      <c r="M1876">
        <f>'raw data Crude oil'!M1877</f>
        <v>82.07</v>
      </c>
      <c r="N1876">
        <f>'raw data Crude oil'!N1877</f>
        <v>86.91</v>
      </c>
      <c r="O1876">
        <f>'raw data Crude oil'!O1877</f>
        <v>86.1</v>
      </c>
      <c r="P1876">
        <f>'raw data Crude oil'!P1877</f>
        <v>85.2</v>
      </c>
      <c r="Q1876">
        <f>'raw data Crude oil'!Q1877</f>
        <v>84.24</v>
      </c>
      <c r="R1876">
        <f>'raw data Crude oil'!R1877</f>
        <v>83.26</v>
      </c>
      <c r="S1876">
        <f>'raw data Crude oil'!S1877</f>
        <v>82.28</v>
      </c>
      <c r="T1876">
        <f>'raw data Crude oil'!T1877</f>
        <v>81.37</v>
      </c>
      <c r="U1876">
        <f>'raw data Crude oil'!U1877</f>
        <v>80.5</v>
      </c>
      <c r="V1876">
        <f>'raw data Crude oil'!V1877</f>
        <v>79.680000000000007</v>
      </c>
      <c r="W1876">
        <f>'raw data Crude oil'!W1877</f>
        <v>78.900000000000006</v>
      </c>
      <c r="X1876">
        <f>'raw data Crude oil'!X1877</f>
        <v>78.180000000000007</v>
      </c>
      <c r="Y1876">
        <f>'raw data Crude oil'!Y1877</f>
        <v>77.52</v>
      </c>
      <c r="Z1876">
        <f>'raw data Crude oil'!Z1877</f>
        <v>90.64</v>
      </c>
      <c r="AA1876">
        <f>'raw data Crude oil'!AA1877</f>
        <v>89.995999999999995</v>
      </c>
      <c r="AB1876">
        <f>'raw data Crude oil'!AB1877</f>
        <v>88.927000000000007</v>
      </c>
      <c r="AC1876">
        <f>'raw data Crude oil'!AC1877</f>
        <v>87.89</v>
      </c>
      <c r="AD1876">
        <f>'raw data Crude oil'!AD1877</f>
        <v>86.911000000000001</v>
      </c>
      <c r="AE1876">
        <f>'raw data Crude oil'!AE1877</f>
        <v>86.001000000000005</v>
      </c>
      <c r="AF1876">
        <f>'raw data Crude oil'!AF1877</f>
        <v>85.144999999999996</v>
      </c>
      <c r="AG1876">
        <f>'raw data Crude oil'!AG1877</f>
        <v>84.308999999999997</v>
      </c>
      <c r="AH1876">
        <f>'raw data Crude oil'!AH1877</f>
        <v>83.488</v>
      </c>
      <c r="AI1876">
        <f>'raw data Crude oil'!AI1877</f>
        <v>82.771000000000001</v>
      </c>
      <c r="AJ1876">
        <f>'raw data Crude oil'!AJ1877</f>
        <v>82.1</v>
      </c>
      <c r="AK1876">
        <f>'raw data Crude oil'!AK1877</f>
        <v>81.474000000000004</v>
      </c>
    </row>
    <row r="1877" spans="1:37" x14ac:dyDescent="0.3">
      <c r="A1877" s="18">
        <f>'raw data Crude oil'!A1878</f>
        <v>45390</v>
      </c>
      <c r="B1877">
        <f>'raw data Crude oil'!B1878</f>
        <v>90.38</v>
      </c>
      <c r="C1877">
        <f>'raw data Crude oil'!C1878</f>
        <v>89.38</v>
      </c>
      <c r="D1877">
        <f>'raw data Crude oil'!D1878</f>
        <v>88.43</v>
      </c>
      <c r="E1877">
        <f>'raw data Crude oil'!E1878</f>
        <v>87.52</v>
      </c>
      <c r="F1877">
        <f>'raw data Crude oil'!F1878</f>
        <v>86.65</v>
      </c>
      <c r="G1877">
        <f>'raw data Crude oil'!G1878</f>
        <v>85.84</v>
      </c>
      <c r="H1877">
        <f>'raw data Crude oil'!H1878</f>
        <v>85.06</v>
      </c>
      <c r="I1877">
        <f>'raw data Crude oil'!I1878</f>
        <v>84.3</v>
      </c>
      <c r="J1877">
        <f>'raw data Crude oil'!J1878</f>
        <v>83.58</v>
      </c>
      <c r="K1877">
        <f>'raw data Crude oil'!K1878</f>
        <v>82.91</v>
      </c>
      <c r="L1877">
        <f>'raw data Crude oil'!L1878</f>
        <v>82.29</v>
      </c>
      <c r="M1877">
        <f>'raw data Crude oil'!M1878</f>
        <v>81.72</v>
      </c>
      <c r="N1877">
        <f>'raw data Crude oil'!N1878</f>
        <v>86.43</v>
      </c>
      <c r="O1877">
        <f>'raw data Crude oil'!O1878</f>
        <v>85.53</v>
      </c>
      <c r="P1877">
        <f>'raw data Crude oil'!P1878</f>
        <v>84.64</v>
      </c>
      <c r="Q1877">
        <f>'raw data Crude oil'!Q1878</f>
        <v>83.71</v>
      </c>
      <c r="R1877">
        <f>'raw data Crude oil'!R1878</f>
        <v>82.77</v>
      </c>
      <c r="S1877">
        <f>'raw data Crude oil'!S1878</f>
        <v>81.84</v>
      </c>
      <c r="T1877">
        <f>'raw data Crude oil'!T1878</f>
        <v>80.959999999999994</v>
      </c>
      <c r="U1877">
        <f>'raw data Crude oil'!U1878</f>
        <v>80.13</v>
      </c>
      <c r="V1877">
        <f>'raw data Crude oil'!V1878</f>
        <v>79.34</v>
      </c>
      <c r="W1877">
        <f>'raw data Crude oil'!W1878</f>
        <v>78.59</v>
      </c>
      <c r="X1877">
        <f>'raw data Crude oil'!X1878</f>
        <v>77.900000000000006</v>
      </c>
      <c r="Y1877">
        <f>'raw data Crude oil'!Y1878</f>
        <v>77.27</v>
      </c>
      <c r="Z1877">
        <f>'raw data Crude oil'!Z1878</f>
        <v>90.064999999999998</v>
      </c>
      <c r="AA1877">
        <f>'raw data Crude oil'!AA1878</f>
        <v>89.236999999999995</v>
      </c>
      <c r="AB1877">
        <f>'raw data Crude oil'!AB1878</f>
        <v>88.183999999999997</v>
      </c>
      <c r="AC1877">
        <f>'raw data Crude oil'!AC1878</f>
        <v>87.171999999999997</v>
      </c>
      <c r="AD1877">
        <f>'raw data Crude oil'!AD1878</f>
        <v>86.230999999999995</v>
      </c>
      <c r="AE1877">
        <f>'raw data Crude oil'!AE1878</f>
        <v>85.37</v>
      </c>
      <c r="AF1877">
        <f>'raw data Crude oil'!AF1878</f>
        <v>84.546999999999997</v>
      </c>
      <c r="AG1877">
        <f>'raw data Crude oil'!AG1878</f>
        <v>83.745999999999995</v>
      </c>
      <c r="AH1877">
        <f>'raw data Crude oil'!AH1878</f>
        <v>82.956000000000003</v>
      </c>
      <c r="AI1877">
        <f>'raw data Crude oil'!AI1878</f>
        <v>82.281999999999996</v>
      </c>
      <c r="AJ1877">
        <f>'raw data Crude oil'!AJ1878</f>
        <v>81.632000000000005</v>
      </c>
      <c r="AK1877">
        <f>'raw data Crude oil'!AK1878</f>
        <v>81.046000000000006</v>
      </c>
    </row>
    <row r="1878" spans="1:37" x14ac:dyDescent="0.3">
      <c r="A1878" s="18">
        <f>'raw data Crude oil'!A1879</f>
        <v>45391</v>
      </c>
      <c r="B1878">
        <f>'raw data Crude oil'!B1879</f>
        <v>89.42</v>
      </c>
      <c r="C1878">
        <f>'raw data Crude oil'!C1879</f>
        <v>88.53</v>
      </c>
      <c r="D1878">
        <f>'raw data Crude oil'!D1879</f>
        <v>87.66</v>
      </c>
      <c r="E1878">
        <f>'raw data Crude oil'!E1879</f>
        <v>86.83</v>
      </c>
      <c r="F1878">
        <f>'raw data Crude oil'!F1879</f>
        <v>86.02</v>
      </c>
      <c r="G1878">
        <f>'raw data Crude oil'!G1879</f>
        <v>85.25</v>
      </c>
      <c r="H1878">
        <f>'raw data Crude oil'!H1879</f>
        <v>84.49</v>
      </c>
      <c r="I1878">
        <f>'raw data Crude oil'!I1879</f>
        <v>83.75</v>
      </c>
      <c r="J1878">
        <f>'raw data Crude oil'!J1879</f>
        <v>83.04</v>
      </c>
      <c r="K1878">
        <f>'raw data Crude oil'!K1879</f>
        <v>82.37</v>
      </c>
      <c r="L1878">
        <f>'raw data Crude oil'!L1879</f>
        <v>81.760000000000005</v>
      </c>
      <c r="M1878">
        <f>'raw data Crude oil'!M1879</f>
        <v>81.19</v>
      </c>
      <c r="N1878">
        <f>'raw data Crude oil'!N1879</f>
        <v>85.23</v>
      </c>
      <c r="O1878">
        <f>'raw data Crude oil'!O1879</f>
        <v>84.46</v>
      </c>
      <c r="P1878">
        <f>'raw data Crude oil'!P1879</f>
        <v>83.68</v>
      </c>
      <c r="Q1878">
        <f>'raw data Crude oil'!Q1879</f>
        <v>82.87</v>
      </c>
      <c r="R1878">
        <f>'raw data Crude oil'!R1879</f>
        <v>82.02</v>
      </c>
      <c r="S1878">
        <f>'raw data Crude oil'!S1879</f>
        <v>81.16</v>
      </c>
      <c r="T1878">
        <f>'raw data Crude oil'!T1879</f>
        <v>80.33</v>
      </c>
      <c r="U1878">
        <f>'raw data Crude oil'!U1879</f>
        <v>79.53</v>
      </c>
      <c r="V1878">
        <f>'raw data Crude oil'!V1879</f>
        <v>78.760000000000005</v>
      </c>
      <c r="W1878">
        <f>'raw data Crude oil'!W1879</f>
        <v>78.02</v>
      </c>
      <c r="X1878">
        <f>'raw data Crude oil'!X1879</f>
        <v>77.34</v>
      </c>
      <c r="Y1878">
        <f>'raw data Crude oil'!Y1879</f>
        <v>76.72</v>
      </c>
      <c r="Z1878">
        <f>'raw data Crude oil'!Z1879</f>
        <v>89.488</v>
      </c>
      <c r="AA1878">
        <f>'raw data Crude oil'!AA1879</f>
        <v>88.41</v>
      </c>
      <c r="AB1878">
        <f>'raw data Crude oil'!AB1879</f>
        <v>87.361000000000004</v>
      </c>
      <c r="AC1878">
        <f>'raw data Crude oil'!AC1879</f>
        <v>86.37</v>
      </c>
      <c r="AD1878">
        <f>'raw data Crude oil'!AD1879</f>
        <v>85.48</v>
      </c>
      <c r="AE1878">
        <f>'raw data Crude oil'!AE1879</f>
        <v>84.659000000000006</v>
      </c>
      <c r="AF1878">
        <f>'raw data Crude oil'!AF1879</f>
        <v>83.867999999999995</v>
      </c>
      <c r="AG1878">
        <f>'raw data Crude oil'!AG1879</f>
        <v>83.096000000000004</v>
      </c>
      <c r="AH1878">
        <f>'raw data Crude oil'!AH1879</f>
        <v>82.335999999999999</v>
      </c>
      <c r="AI1878">
        <f>'raw data Crude oil'!AI1879</f>
        <v>81.665999999999997</v>
      </c>
      <c r="AJ1878">
        <f>'raw data Crude oil'!AJ1879</f>
        <v>81.036000000000001</v>
      </c>
      <c r="AK1878">
        <f>'raw data Crude oil'!AK1879</f>
        <v>80.465999999999994</v>
      </c>
    </row>
    <row r="1879" spans="1:37" x14ac:dyDescent="0.3">
      <c r="A1879" s="18">
        <f>'raw data Crude oil'!A1880</f>
        <v>45392</v>
      </c>
      <c r="B1879">
        <f>'raw data Crude oil'!B1880</f>
        <v>90.48</v>
      </c>
      <c r="C1879">
        <f>'raw data Crude oil'!C1880</f>
        <v>89.49</v>
      </c>
      <c r="D1879">
        <f>'raw data Crude oil'!D1880</f>
        <v>88.53</v>
      </c>
      <c r="E1879">
        <f>'raw data Crude oil'!E1880</f>
        <v>87.65</v>
      </c>
      <c r="F1879">
        <f>'raw data Crude oil'!F1880</f>
        <v>86.8</v>
      </c>
      <c r="G1879">
        <f>'raw data Crude oil'!G1880</f>
        <v>85.99</v>
      </c>
      <c r="H1879">
        <f>'raw data Crude oil'!H1880</f>
        <v>85.21</v>
      </c>
      <c r="I1879">
        <f>'raw data Crude oil'!I1880</f>
        <v>84.45</v>
      </c>
      <c r="J1879">
        <f>'raw data Crude oil'!J1880</f>
        <v>83.71</v>
      </c>
      <c r="K1879">
        <f>'raw data Crude oil'!K1880</f>
        <v>83.03</v>
      </c>
      <c r="L1879">
        <f>'raw data Crude oil'!L1880</f>
        <v>82.39</v>
      </c>
      <c r="M1879">
        <f>'raw data Crude oil'!M1880</f>
        <v>81.8</v>
      </c>
      <c r="N1879">
        <f>'raw data Crude oil'!N1880</f>
        <v>86.21</v>
      </c>
      <c r="O1879">
        <f>'raw data Crude oil'!O1880</f>
        <v>85.44</v>
      </c>
      <c r="P1879">
        <f>'raw data Crude oil'!P1880</f>
        <v>84.63</v>
      </c>
      <c r="Q1879">
        <f>'raw data Crude oil'!Q1880</f>
        <v>83.77</v>
      </c>
      <c r="R1879">
        <f>'raw data Crude oil'!R1880</f>
        <v>82.87</v>
      </c>
      <c r="S1879">
        <f>'raw data Crude oil'!S1880</f>
        <v>81.97</v>
      </c>
      <c r="T1879">
        <f>'raw data Crude oil'!T1880</f>
        <v>81.11</v>
      </c>
      <c r="U1879">
        <f>'raw data Crude oil'!U1880</f>
        <v>80.28</v>
      </c>
      <c r="V1879">
        <f>'raw data Crude oil'!V1880</f>
        <v>79.489999999999995</v>
      </c>
      <c r="W1879">
        <f>'raw data Crude oil'!W1880</f>
        <v>78.73</v>
      </c>
      <c r="X1879">
        <f>'raw data Crude oil'!X1880</f>
        <v>78.03</v>
      </c>
      <c r="Y1879">
        <f>'raw data Crude oil'!Y1880</f>
        <v>77.39</v>
      </c>
      <c r="Z1879">
        <f>'raw data Crude oil'!Z1880</f>
        <v>90.24</v>
      </c>
      <c r="AA1879">
        <f>'raw data Crude oil'!AA1880</f>
        <v>89.438000000000002</v>
      </c>
      <c r="AB1879">
        <f>'raw data Crude oil'!AB1880</f>
        <v>88.308000000000007</v>
      </c>
      <c r="AC1879">
        <f>'raw data Crude oil'!AC1880</f>
        <v>87.253</v>
      </c>
      <c r="AD1879">
        <f>'raw data Crude oil'!AD1880</f>
        <v>86.313000000000002</v>
      </c>
      <c r="AE1879">
        <f>'raw data Crude oil'!AE1880</f>
        <v>85.472999999999999</v>
      </c>
      <c r="AF1879">
        <f>'raw data Crude oil'!AF1880</f>
        <v>84.662000000000006</v>
      </c>
      <c r="AG1879">
        <f>'raw data Crude oil'!AG1880</f>
        <v>83.852999999999994</v>
      </c>
      <c r="AH1879">
        <f>'raw data Crude oil'!AH1880</f>
        <v>83.045000000000002</v>
      </c>
      <c r="AI1879">
        <f>'raw data Crude oil'!AI1880</f>
        <v>82.355999999999995</v>
      </c>
      <c r="AJ1879">
        <f>'raw data Crude oil'!AJ1880</f>
        <v>81.680999999999997</v>
      </c>
      <c r="AK1879">
        <f>'raw data Crude oil'!AK1880</f>
        <v>81.063999999999993</v>
      </c>
    </row>
    <row r="1880" spans="1:37" x14ac:dyDescent="0.3">
      <c r="A1880" s="18">
        <f>'raw data Crude oil'!A1881</f>
        <v>45393</v>
      </c>
      <c r="B1880">
        <f>'raw data Crude oil'!B1881</f>
        <v>89.74</v>
      </c>
      <c r="C1880">
        <f>'raw data Crude oil'!C1881</f>
        <v>88.83</v>
      </c>
      <c r="D1880">
        <f>'raw data Crude oil'!D1881</f>
        <v>87.94</v>
      </c>
      <c r="E1880">
        <f>'raw data Crude oil'!E1881</f>
        <v>87.11</v>
      </c>
      <c r="F1880">
        <f>'raw data Crude oil'!F1881</f>
        <v>86.31</v>
      </c>
      <c r="G1880">
        <f>'raw data Crude oil'!G1881</f>
        <v>85.57</v>
      </c>
      <c r="H1880">
        <f>'raw data Crude oil'!H1881</f>
        <v>84.84</v>
      </c>
      <c r="I1880">
        <f>'raw data Crude oil'!I1881</f>
        <v>84.13</v>
      </c>
      <c r="J1880">
        <f>'raw data Crude oil'!J1881</f>
        <v>83.44</v>
      </c>
      <c r="K1880">
        <f>'raw data Crude oil'!K1881</f>
        <v>82.79</v>
      </c>
      <c r="L1880">
        <f>'raw data Crude oil'!L1881</f>
        <v>82.19</v>
      </c>
      <c r="M1880">
        <f>'raw data Crude oil'!M1881</f>
        <v>81.63</v>
      </c>
      <c r="N1880">
        <f>'raw data Crude oil'!N1881</f>
        <v>85.02</v>
      </c>
      <c r="O1880">
        <f>'raw data Crude oil'!O1881</f>
        <v>84.45</v>
      </c>
      <c r="P1880">
        <f>'raw data Crude oil'!P1881</f>
        <v>83.77</v>
      </c>
      <c r="Q1880">
        <f>'raw data Crude oil'!Q1881</f>
        <v>83.02</v>
      </c>
      <c r="R1880">
        <f>'raw data Crude oil'!R1881</f>
        <v>82.2</v>
      </c>
      <c r="S1880">
        <f>'raw data Crude oil'!S1881</f>
        <v>81.37</v>
      </c>
      <c r="T1880">
        <f>'raw data Crude oil'!T1881</f>
        <v>80.58</v>
      </c>
      <c r="U1880">
        <f>'raw data Crude oil'!U1881</f>
        <v>79.81</v>
      </c>
      <c r="V1880">
        <f>'raw data Crude oil'!V1881</f>
        <v>79.069999999999993</v>
      </c>
      <c r="W1880">
        <f>'raw data Crude oil'!W1881</f>
        <v>78.37</v>
      </c>
      <c r="X1880">
        <f>'raw data Crude oil'!X1881</f>
        <v>77.709999999999994</v>
      </c>
      <c r="Y1880">
        <f>'raw data Crude oil'!Y1881</f>
        <v>77.11</v>
      </c>
      <c r="Z1880">
        <f>'raw data Crude oil'!Z1881</f>
        <v>89.81</v>
      </c>
      <c r="AA1880">
        <f>'raw data Crude oil'!AA1881</f>
        <v>88.725999999999999</v>
      </c>
      <c r="AB1880">
        <f>'raw data Crude oil'!AB1881</f>
        <v>87.679000000000002</v>
      </c>
      <c r="AC1880">
        <f>'raw data Crude oil'!AC1881</f>
        <v>86.688000000000002</v>
      </c>
      <c r="AD1880">
        <f>'raw data Crude oil'!AD1881</f>
        <v>85.816999999999993</v>
      </c>
      <c r="AE1880">
        <f>'raw data Crude oil'!AE1881</f>
        <v>85.025999999999996</v>
      </c>
      <c r="AF1880">
        <f>'raw data Crude oil'!AF1881</f>
        <v>84.256</v>
      </c>
      <c r="AG1880">
        <f>'raw data Crude oil'!AG1881</f>
        <v>83.506</v>
      </c>
      <c r="AH1880">
        <f>'raw data Crude oil'!AH1881</f>
        <v>82.745999999999995</v>
      </c>
      <c r="AI1880">
        <f>'raw data Crude oil'!AI1881</f>
        <v>82.093000000000004</v>
      </c>
      <c r="AJ1880">
        <f>'raw data Crude oil'!AJ1881</f>
        <v>81.471999999999994</v>
      </c>
      <c r="AK1880">
        <f>'raw data Crude oil'!AK1881</f>
        <v>80.896000000000001</v>
      </c>
    </row>
    <row r="1881" spans="1:37" x14ac:dyDescent="0.3">
      <c r="A1881" s="18">
        <f>'raw data Crude oil'!A1882</f>
        <v>45394</v>
      </c>
      <c r="B1881">
        <f>'raw data Crude oil'!B1882</f>
        <v>90.45</v>
      </c>
      <c r="C1881">
        <f>'raw data Crude oil'!C1882</f>
        <v>89.53</v>
      </c>
      <c r="D1881">
        <f>'raw data Crude oil'!D1882</f>
        <v>88.65</v>
      </c>
      <c r="E1881">
        <f>'raw data Crude oil'!E1882</f>
        <v>87.81</v>
      </c>
      <c r="F1881">
        <f>'raw data Crude oil'!F1882</f>
        <v>87.01</v>
      </c>
      <c r="G1881">
        <f>'raw data Crude oil'!G1882</f>
        <v>86.25</v>
      </c>
      <c r="H1881">
        <f>'raw data Crude oil'!H1882</f>
        <v>85.52</v>
      </c>
      <c r="I1881">
        <f>'raw data Crude oil'!I1882</f>
        <v>84.79</v>
      </c>
      <c r="J1881">
        <f>'raw data Crude oil'!J1882</f>
        <v>84.09</v>
      </c>
      <c r="K1881">
        <f>'raw data Crude oil'!K1882</f>
        <v>83.43</v>
      </c>
      <c r="L1881">
        <f>'raw data Crude oil'!L1882</f>
        <v>82.81</v>
      </c>
      <c r="M1881">
        <f>'raw data Crude oil'!M1882</f>
        <v>82.25</v>
      </c>
      <c r="N1881">
        <f>'raw data Crude oil'!N1882</f>
        <v>85.66</v>
      </c>
      <c r="O1881">
        <f>'raw data Crude oil'!O1882</f>
        <v>85.08</v>
      </c>
      <c r="P1881">
        <f>'raw data Crude oil'!P1882</f>
        <v>84.4</v>
      </c>
      <c r="Q1881">
        <f>'raw data Crude oil'!Q1882</f>
        <v>83.65</v>
      </c>
      <c r="R1881">
        <f>'raw data Crude oil'!R1882</f>
        <v>82.82</v>
      </c>
      <c r="S1881">
        <f>'raw data Crude oil'!S1882</f>
        <v>81.96</v>
      </c>
      <c r="T1881">
        <f>'raw data Crude oil'!T1882</f>
        <v>81.16</v>
      </c>
      <c r="U1881">
        <f>'raw data Crude oil'!U1882</f>
        <v>80.36</v>
      </c>
      <c r="V1881">
        <f>'raw data Crude oil'!V1882</f>
        <v>79.59</v>
      </c>
      <c r="W1881">
        <f>'raw data Crude oil'!W1882</f>
        <v>78.87</v>
      </c>
      <c r="X1881">
        <f>'raw data Crude oil'!X1882</f>
        <v>78.209999999999994</v>
      </c>
      <c r="Y1881">
        <f>'raw data Crude oil'!Y1882</f>
        <v>77.59</v>
      </c>
      <c r="Z1881">
        <f>'raw data Crude oil'!Z1882</f>
        <v>90.097999999999999</v>
      </c>
      <c r="AA1881">
        <f>'raw data Crude oil'!AA1882</f>
        <v>89.262</v>
      </c>
      <c r="AB1881">
        <f>'raw data Crude oil'!AB1882</f>
        <v>88.256</v>
      </c>
      <c r="AC1881">
        <f>'raw data Crude oil'!AC1882</f>
        <v>87.302999999999997</v>
      </c>
      <c r="AD1881">
        <f>'raw data Crude oil'!AD1882</f>
        <v>86.435000000000002</v>
      </c>
      <c r="AE1881">
        <f>'raw data Crude oil'!AE1882</f>
        <v>85.64</v>
      </c>
      <c r="AF1881">
        <f>'raw data Crude oil'!AF1882</f>
        <v>84.869</v>
      </c>
      <c r="AG1881">
        <f>'raw data Crude oil'!AG1882</f>
        <v>84.113</v>
      </c>
      <c r="AH1881">
        <f>'raw data Crude oil'!AH1882</f>
        <v>83.352999999999994</v>
      </c>
      <c r="AI1881">
        <f>'raw data Crude oil'!AI1882</f>
        <v>82.691999999999993</v>
      </c>
      <c r="AJ1881">
        <f>'raw data Crude oil'!AJ1882</f>
        <v>82.061999999999998</v>
      </c>
      <c r="AK1881">
        <f>'raw data Crude oil'!AK1882</f>
        <v>81.495999999999995</v>
      </c>
    </row>
    <row r="1882" spans="1:37" x14ac:dyDescent="0.3">
      <c r="A1882" s="18">
        <f>'raw data Crude oil'!A1883</f>
        <v>45397</v>
      </c>
      <c r="B1882">
        <f>'raw data Crude oil'!B1883</f>
        <v>90.1</v>
      </c>
      <c r="C1882">
        <f>'raw data Crude oil'!C1883</f>
        <v>89.25</v>
      </c>
      <c r="D1882">
        <f>'raw data Crude oil'!D1883</f>
        <v>88.41</v>
      </c>
      <c r="E1882">
        <f>'raw data Crude oil'!E1883</f>
        <v>87.6</v>
      </c>
      <c r="F1882">
        <f>'raw data Crude oil'!F1883</f>
        <v>86.82</v>
      </c>
      <c r="G1882">
        <f>'raw data Crude oil'!G1883</f>
        <v>86.09</v>
      </c>
      <c r="H1882">
        <f>'raw data Crude oil'!H1883</f>
        <v>85.37</v>
      </c>
      <c r="I1882">
        <f>'raw data Crude oil'!I1883</f>
        <v>84.66</v>
      </c>
      <c r="J1882">
        <f>'raw data Crude oil'!J1883</f>
        <v>83.98</v>
      </c>
      <c r="K1882">
        <f>'raw data Crude oil'!K1883</f>
        <v>83.35</v>
      </c>
      <c r="L1882">
        <f>'raw data Crude oil'!L1883</f>
        <v>82.76</v>
      </c>
      <c r="M1882">
        <f>'raw data Crude oil'!M1883</f>
        <v>82.22</v>
      </c>
      <c r="N1882">
        <f>'raw data Crude oil'!N1883</f>
        <v>85.41</v>
      </c>
      <c r="O1882">
        <f>'raw data Crude oil'!O1883</f>
        <v>84.86</v>
      </c>
      <c r="P1882">
        <f>'raw data Crude oil'!P1883</f>
        <v>84.2</v>
      </c>
      <c r="Q1882">
        <f>'raw data Crude oil'!Q1883</f>
        <v>83.47</v>
      </c>
      <c r="R1882">
        <f>'raw data Crude oil'!R1883</f>
        <v>82.65</v>
      </c>
      <c r="S1882">
        <f>'raw data Crude oil'!S1883</f>
        <v>81.83</v>
      </c>
      <c r="T1882">
        <f>'raw data Crude oil'!T1883</f>
        <v>81.040000000000006</v>
      </c>
      <c r="U1882">
        <f>'raw data Crude oil'!U1883</f>
        <v>80.27</v>
      </c>
      <c r="V1882">
        <f>'raw data Crude oil'!V1883</f>
        <v>79.540000000000006</v>
      </c>
      <c r="W1882">
        <f>'raw data Crude oil'!W1883</f>
        <v>78.84</v>
      </c>
      <c r="X1882">
        <f>'raw data Crude oil'!X1883</f>
        <v>78.2</v>
      </c>
      <c r="Y1882">
        <f>'raw data Crude oil'!Y1883</f>
        <v>77.61</v>
      </c>
      <c r="Z1882">
        <f>'raw data Crude oil'!Z1883</f>
        <v>89.878</v>
      </c>
      <c r="AA1882">
        <f>'raw data Crude oil'!AA1883</f>
        <v>89.007999999999996</v>
      </c>
      <c r="AB1882">
        <f>'raw data Crude oil'!AB1883</f>
        <v>88.025000000000006</v>
      </c>
      <c r="AC1882">
        <f>'raw data Crude oil'!AC1883</f>
        <v>87.081000000000003</v>
      </c>
      <c r="AD1882">
        <f>'raw data Crude oil'!AD1883</f>
        <v>86.227000000000004</v>
      </c>
      <c r="AE1882">
        <f>'raw data Crude oil'!AE1883</f>
        <v>85.456000000000003</v>
      </c>
      <c r="AF1882">
        <f>'raw data Crude oil'!AF1883</f>
        <v>84.718999999999994</v>
      </c>
      <c r="AG1882">
        <f>'raw data Crude oil'!AG1883</f>
        <v>83.988</v>
      </c>
      <c r="AH1882">
        <f>'raw data Crude oil'!AH1883</f>
        <v>83.26</v>
      </c>
      <c r="AI1882">
        <f>'raw data Crude oil'!AI1883</f>
        <v>82.632999999999996</v>
      </c>
      <c r="AJ1882">
        <f>'raw data Crude oil'!AJ1883</f>
        <v>82.022999999999996</v>
      </c>
      <c r="AK1882">
        <f>'raw data Crude oil'!AK1883</f>
        <v>81.466999999999999</v>
      </c>
    </row>
    <row r="1883" spans="1:37" x14ac:dyDescent="0.3">
      <c r="A1883" s="18">
        <f>'raw data Crude oil'!A1884</f>
        <v>45398</v>
      </c>
      <c r="B1883">
        <f>'raw data Crude oil'!B1884</f>
        <v>90.02</v>
      </c>
      <c r="C1883">
        <f>'raw data Crude oil'!C1884</f>
        <v>89.23</v>
      </c>
      <c r="D1883">
        <f>'raw data Crude oil'!D1884</f>
        <v>88.43</v>
      </c>
      <c r="E1883">
        <f>'raw data Crude oil'!E1884</f>
        <v>87.65</v>
      </c>
      <c r="F1883">
        <f>'raw data Crude oil'!F1884</f>
        <v>86.9</v>
      </c>
      <c r="G1883">
        <f>'raw data Crude oil'!G1884</f>
        <v>86.2</v>
      </c>
      <c r="H1883">
        <f>'raw data Crude oil'!H1884</f>
        <v>85.51</v>
      </c>
      <c r="I1883">
        <f>'raw data Crude oil'!I1884</f>
        <v>84.82</v>
      </c>
      <c r="J1883">
        <f>'raw data Crude oil'!J1884</f>
        <v>84.14</v>
      </c>
      <c r="K1883">
        <f>'raw data Crude oil'!K1884</f>
        <v>83.5</v>
      </c>
      <c r="L1883">
        <f>'raw data Crude oil'!L1884</f>
        <v>82.91</v>
      </c>
      <c r="M1883">
        <f>'raw data Crude oil'!M1884</f>
        <v>82.38</v>
      </c>
      <c r="N1883">
        <f>'raw data Crude oil'!N1884</f>
        <v>85.36</v>
      </c>
      <c r="O1883">
        <f>'raw data Crude oil'!O1884</f>
        <v>84.83</v>
      </c>
      <c r="P1883">
        <f>'raw data Crude oil'!P1884</f>
        <v>84.22</v>
      </c>
      <c r="Q1883">
        <f>'raw data Crude oil'!Q1884</f>
        <v>83.51</v>
      </c>
      <c r="R1883">
        <f>'raw data Crude oil'!R1884</f>
        <v>82.73</v>
      </c>
      <c r="S1883">
        <f>'raw data Crude oil'!S1884</f>
        <v>81.92</v>
      </c>
      <c r="T1883">
        <f>'raw data Crude oil'!T1884</f>
        <v>81.150000000000006</v>
      </c>
      <c r="U1883">
        <f>'raw data Crude oil'!U1884</f>
        <v>80.400000000000006</v>
      </c>
      <c r="V1883">
        <f>'raw data Crude oil'!V1884</f>
        <v>79.67</v>
      </c>
      <c r="W1883">
        <f>'raw data Crude oil'!W1884</f>
        <v>78.98</v>
      </c>
      <c r="X1883">
        <f>'raw data Crude oil'!X1884</f>
        <v>78.349999999999994</v>
      </c>
      <c r="Y1883">
        <f>'raw data Crude oil'!Y1884</f>
        <v>77.760000000000005</v>
      </c>
      <c r="Z1883">
        <f>'raw data Crude oil'!Z1884</f>
        <v>89.954999999999998</v>
      </c>
      <c r="AA1883">
        <f>'raw data Crude oil'!AA1884</f>
        <v>89.105000000000004</v>
      </c>
      <c r="AB1883">
        <f>'raw data Crude oil'!AB1884</f>
        <v>88.149000000000001</v>
      </c>
      <c r="AC1883">
        <f>'raw data Crude oil'!AC1884</f>
        <v>87.230999999999995</v>
      </c>
      <c r="AD1883">
        <f>'raw data Crude oil'!AD1884</f>
        <v>86.400999999999996</v>
      </c>
      <c r="AE1883">
        <f>'raw data Crude oil'!AE1884</f>
        <v>85.650999999999996</v>
      </c>
      <c r="AF1883">
        <f>'raw data Crude oil'!AF1884</f>
        <v>84.930999999999997</v>
      </c>
      <c r="AG1883">
        <f>'raw data Crude oil'!AG1884</f>
        <v>84.218999999999994</v>
      </c>
      <c r="AH1883">
        <f>'raw data Crude oil'!AH1884</f>
        <v>83.478999999999999</v>
      </c>
      <c r="AI1883">
        <f>'raw data Crude oil'!AI1884</f>
        <v>82.832999999999998</v>
      </c>
      <c r="AJ1883">
        <f>'raw data Crude oil'!AJ1884</f>
        <v>82.224000000000004</v>
      </c>
      <c r="AK1883">
        <f>'raw data Crude oil'!AK1884</f>
        <v>81.677999999999997</v>
      </c>
    </row>
    <row r="1884" spans="1:37" x14ac:dyDescent="0.3">
      <c r="A1884" s="18">
        <f>'raw data Crude oil'!A1885</f>
        <v>45399</v>
      </c>
      <c r="B1884">
        <f>'raw data Crude oil'!B1885</f>
        <v>87.29</v>
      </c>
      <c r="C1884">
        <f>'raw data Crude oil'!C1885</f>
        <v>86.6</v>
      </c>
      <c r="D1884">
        <f>'raw data Crude oil'!D1885</f>
        <v>85.9</v>
      </c>
      <c r="E1884">
        <f>'raw data Crude oil'!E1885</f>
        <v>85.2</v>
      </c>
      <c r="F1884">
        <f>'raw data Crude oil'!F1885</f>
        <v>84.52</v>
      </c>
      <c r="G1884">
        <f>'raw data Crude oil'!G1885</f>
        <v>83.9</v>
      </c>
      <c r="H1884">
        <f>'raw data Crude oil'!H1885</f>
        <v>83.29</v>
      </c>
      <c r="I1884">
        <f>'raw data Crude oil'!I1885</f>
        <v>82.68</v>
      </c>
      <c r="J1884">
        <f>'raw data Crude oil'!J1885</f>
        <v>82.08</v>
      </c>
      <c r="K1884">
        <f>'raw data Crude oil'!K1885</f>
        <v>81.510000000000005</v>
      </c>
      <c r="L1884">
        <f>'raw data Crude oil'!L1885</f>
        <v>80.989999999999995</v>
      </c>
      <c r="M1884">
        <f>'raw data Crude oil'!M1885</f>
        <v>80.52</v>
      </c>
      <c r="N1884">
        <f>'raw data Crude oil'!N1885</f>
        <v>82.69</v>
      </c>
      <c r="O1884">
        <f>'raw data Crude oil'!O1885</f>
        <v>82.15</v>
      </c>
      <c r="P1884">
        <f>'raw data Crude oil'!P1885</f>
        <v>81.61</v>
      </c>
      <c r="Q1884">
        <f>'raw data Crude oil'!Q1885</f>
        <v>81</v>
      </c>
      <c r="R1884">
        <f>'raw data Crude oil'!R1885</f>
        <v>80.31</v>
      </c>
      <c r="S1884">
        <f>'raw data Crude oil'!S1885</f>
        <v>79.61</v>
      </c>
      <c r="T1884">
        <f>'raw data Crude oil'!T1885</f>
        <v>78.95</v>
      </c>
      <c r="U1884">
        <f>'raw data Crude oil'!U1885</f>
        <v>78.31</v>
      </c>
      <c r="V1884">
        <f>'raw data Crude oil'!V1885</f>
        <v>77.680000000000007</v>
      </c>
      <c r="W1884">
        <f>'raw data Crude oil'!W1885</f>
        <v>77.08</v>
      </c>
      <c r="X1884">
        <f>'raw data Crude oil'!X1885</f>
        <v>76.52</v>
      </c>
      <c r="Y1884">
        <f>'raw data Crude oil'!Y1885</f>
        <v>76</v>
      </c>
      <c r="Z1884">
        <f>'raw data Crude oil'!Z1885</f>
        <v>88.869</v>
      </c>
      <c r="AA1884">
        <f>'raw data Crude oil'!AA1885</f>
        <v>86.56</v>
      </c>
      <c r="AB1884">
        <f>'raw data Crude oil'!AB1885</f>
        <v>85.688999999999993</v>
      </c>
      <c r="AC1884">
        <f>'raw data Crude oil'!AC1885</f>
        <v>84.83</v>
      </c>
      <c r="AD1884">
        <f>'raw data Crude oil'!AD1885</f>
        <v>84.057000000000002</v>
      </c>
      <c r="AE1884">
        <f>'raw data Crude oil'!AE1885</f>
        <v>83.385999999999996</v>
      </c>
      <c r="AF1884">
        <f>'raw data Crude oil'!AF1885</f>
        <v>82.738</v>
      </c>
      <c r="AG1884">
        <f>'raw data Crude oil'!AG1885</f>
        <v>82.090999999999994</v>
      </c>
      <c r="AH1884">
        <f>'raw data Crude oil'!AH1885</f>
        <v>81.445999999999998</v>
      </c>
      <c r="AI1884">
        <f>'raw data Crude oil'!AI1885</f>
        <v>80.876000000000005</v>
      </c>
      <c r="AJ1884">
        <f>'raw data Crude oil'!AJ1885</f>
        <v>80.346999999999994</v>
      </c>
      <c r="AK1884">
        <f>'raw data Crude oil'!AK1885</f>
        <v>79.87</v>
      </c>
    </row>
    <row r="1885" spans="1:37" x14ac:dyDescent="0.3">
      <c r="A1885" s="18">
        <f>'raw data Crude oil'!A1886</f>
        <v>45400</v>
      </c>
      <c r="B1885">
        <f>'raw data Crude oil'!B1886</f>
        <v>87.11</v>
      </c>
      <c r="C1885">
        <f>'raw data Crude oil'!C1886</f>
        <v>86.4</v>
      </c>
      <c r="D1885">
        <f>'raw data Crude oil'!D1886</f>
        <v>85.7</v>
      </c>
      <c r="E1885">
        <f>'raw data Crude oil'!E1886</f>
        <v>85</v>
      </c>
      <c r="F1885">
        <f>'raw data Crude oil'!F1886</f>
        <v>84.32</v>
      </c>
      <c r="G1885">
        <f>'raw data Crude oil'!G1886</f>
        <v>83.69</v>
      </c>
      <c r="H1885">
        <f>'raw data Crude oil'!H1886</f>
        <v>83.07</v>
      </c>
      <c r="I1885">
        <f>'raw data Crude oil'!I1886</f>
        <v>82.45</v>
      </c>
      <c r="J1885">
        <f>'raw data Crude oil'!J1886</f>
        <v>81.849999999999994</v>
      </c>
      <c r="K1885">
        <f>'raw data Crude oil'!K1886</f>
        <v>81.290000000000006</v>
      </c>
      <c r="L1885">
        <f>'raw data Crude oil'!L1886</f>
        <v>80.77</v>
      </c>
      <c r="M1885">
        <f>'raw data Crude oil'!M1886</f>
        <v>80.31</v>
      </c>
      <c r="N1885">
        <f>'raw data Crude oil'!N1886</f>
        <v>82.73</v>
      </c>
      <c r="O1885">
        <f>'raw data Crude oil'!O1886</f>
        <v>82.1</v>
      </c>
      <c r="P1885">
        <f>'raw data Crude oil'!P1886</f>
        <v>81.52</v>
      </c>
      <c r="Q1885">
        <f>'raw data Crude oil'!Q1886</f>
        <v>80.87</v>
      </c>
      <c r="R1885">
        <f>'raw data Crude oil'!R1886</f>
        <v>80.17</v>
      </c>
      <c r="S1885">
        <f>'raw data Crude oil'!S1886</f>
        <v>79.45</v>
      </c>
      <c r="T1885">
        <f>'raw data Crude oil'!T1886</f>
        <v>78.77</v>
      </c>
      <c r="U1885">
        <f>'raw data Crude oil'!U1886</f>
        <v>78.13</v>
      </c>
      <c r="V1885">
        <f>'raw data Crude oil'!V1886</f>
        <v>77.489999999999995</v>
      </c>
      <c r="W1885">
        <f>'raw data Crude oil'!W1886</f>
        <v>76.900000000000006</v>
      </c>
      <c r="X1885">
        <f>'raw data Crude oil'!X1886</f>
        <v>76.349999999999994</v>
      </c>
      <c r="Y1885">
        <f>'raw data Crude oil'!Y1886</f>
        <v>75.84</v>
      </c>
      <c r="Z1885">
        <f>'raw data Crude oil'!Z1886</f>
        <v>88.775999999999996</v>
      </c>
      <c r="AA1885">
        <f>'raw data Crude oil'!AA1886</f>
        <v>86.343000000000004</v>
      </c>
      <c r="AB1885">
        <f>'raw data Crude oil'!AB1886</f>
        <v>85.483999999999995</v>
      </c>
      <c r="AC1885">
        <f>'raw data Crude oil'!AC1886</f>
        <v>84.665000000000006</v>
      </c>
      <c r="AD1885">
        <f>'raw data Crude oil'!AD1886</f>
        <v>83.876000000000005</v>
      </c>
      <c r="AE1885">
        <f>'raw data Crude oil'!AE1886</f>
        <v>83.174999999999997</v>
      </c>
      <c r="AF1885">
        <f>'raw data Crude oil'!AF1886</f>
        <v>82.513000000000005</v>
      </c>
      <c r="AG1885">
        <f>'raw data Crude oil'!AG1886</f>
        <v>81.870999999999995</v>
      </c>
      <c r="AH1885">
        <f>'raw data Crude oil'!AH1886</f>
        <v>81.231999999999999</v>
      </c>
      <c r="AI1885">
        <f>'raw data Crude oil'!AI1886</f>
        <v>80.676000000000002</v>
      </c>
      <c r="AJ1885">
        <f>'raw data Crude oil'!AJ1886</f>
        <v>80.147000000000006</v>
      </c>
      <c r="AK1885">
        <f>'raw data Crude oil'!AK1886</f>
        <v>79.69</v>
      </c>
    </row>
    <row r="1886" spans="1:37" x14ac:dyDescent="0.3">
      <c r="A1886" s="18">
        <f>'raw data Crude oil'!A1887</f>
        <v>45401</v>
      </c>
      <c r="B1886">
        <f>'raw data Crude oil'!B1887</f>
        <v>87.29</v>
      </c>
      <c r="C1886">
        <f>'raw data Crude oil'!C1887</f>
        <v>86.51</v>
      </c>
      <c r="D1886">
        <f>'raw data Crude oil'!D1887</f>
        <v>85.75</v>
      </c>
      <c r="E1886">
        <f>'raw data Crude oil'!E1887</f>
        <v>85</v>
      </c>
      <c r="F1886">
        <f>'raw data Crude oil'!F1887</f>
        <v>84.27</v>
      </c>
      <c r="G1886">
        <f>'raw data Crude oil'!G1887</f>
        <v>83.59</v>
      </c>
      <c r="H1886">
        <f>'raw data Crude oil'!H1887</f>
        <v>82.93</v>
      </c>
      <c r="I1886">
        <f>'raw data Crude oil'!I1887</f>
        <v>82.28</v>
      </c>
      <c r="J1886">
        <f>'raw data Crude oil'!J1887</f>
        <v>81.66</v>
      </c>
      <c r="K1886">
        <f>'raw data Crude oil'!K1887</f>
        <v>81.069999999999993</v>
      </c>
      <c r="L1886">
        <f>'raw data Crude oil'!L1887</f>
        <v>80.540000000000006</v>
      </c>
      <c r="M1886">
        <f>'raw data Crude oil'!M1887</f>
        <v>80.069999999999993</v>
      </c>
      <c r="N1886">
        <f>'raw data Crude oil'!N1887</f>
        <v>83.14</v>
      </c>
      <c r="O1886">
        <f>'raw data Crude oil'!O1887</f>
        <v>82.22</v>
      </c>
      <c r="P1886">
        <f>'raw data Crude oil'!P1887</f>
        <v>81.58</v>
      </c>
      <c r="Q1886">
        <f>'raw data Crude oil'!Q1887</f>
        <v>80.88</v>
      </c>
      <c r="R1886">
        <f>'raw data Crude oil'!R1887</f>
        <v>80.13</v>
      </c>
      <c r="S1886">
        <f>'raw data Crude oil'!S1887</f>
        <v>79.37</v>
      </c>
      <c r="T1886">
        <f>'raw data Crude oil'!T1887</f>
        <v>78.650000000000006</v>
      </c>
      <c r="U1886">
        <f>'raw data Crude oil'!U1887</f>
        <v>77.959999999999994</v>
      </c>
      <c r="V1886">
        <f>'raw data Crude oil'!V1887</f>
        <v>77.3</v>
      </c>
      <c r="W1886">
        <f>'raw data Crude oil'!W1887</f>
        <v>76.680000000000007</v>
      </c>
      <c r="X1886">
        <f>'raw data Crude oil'!X1887</f>
        <v>76.11</v>
      </c>
      <c r="Y1886">
        <f>'raw data Crude oil'!Y1887</f>
        <v>75.59</v>
      </c>
      <c r="Z1886">
        <f>'raw data Crude oil'!Z1887</f>
        <v>88.870999999999995</v>
      </c>
      <c r="AA1886">
        <f>'raw data Crude oil'!AA1887</f>
        <v>86.418000000000006</v>
      </c>
      <c r="AB1886">
        <f>'raw data Crude oil'!AB1887</f>
        <v>85.573999999999998</v>
      </c>
      <c r="AC1886">
        <f>'raw data Crude oil'!AC1887</f>
        <v>84.698999999999998</v>
      </c>
      <c r="AD1886">
        <f>'raw data Crude oil'!AD1887</f>
        <v>83.86</v>
      </c>
      <c r="AE1886">
        <f>'raw data Crude oil'!AE1887</f>
        <v>83.084000000000003</v>
      </c>
      <c r="AF1886">
        <f>'raw data Crude oil'!AF1887</f>
        <v>82.391999999999996</v>
      </c>
      <c r="AG1886">
        <f>'raw data Crude oil'!AG1887</f>
        <v>81.709999999999994</v>
      </c>
      <c r="AH1886">
        <f>'raw data Crude oil'!AH1887</f>
        <v>81.043999999999997</v>
      </c>
      <c r="AI1886">
        <f>'raw data Crude oil'!AI1887</f>
        <v>80.456000000000003</v>
      </c>
      <c r="AJ1886">
        <f>'raw data Crude oil'!AJ1887</f>
        <v>79.917000000000002</v>
      </c>
      <c r="AK1886">
        <f>'raw data Crude oil'!AK1887</f>
        <v>79.44</v>
      </c>
    </row>
    <row r="1887" spans="1:37" x14ac:dyDescent="0.3">
      <c r="A1887" s="18">
        <f>'raw data Crude oil'!A1888</f>
        <v>45404</v>
      </c>
      <c r="B1887">
        <f>'raw data Crude oil'!B1888</f>
        <v>87</v>
      </c>
      <c r="C1887">
        <f>'raw data Crude oil'!C1888</f>
        <v>86.07</v>
      </c>
      <c r="D1887">
        <f>'raw data Crude oil'!D1888</f>
        <v>85.29</v>
      </c>
      <c r="E1887">
        <f>'raw data Crude oil'!E1888</f>
        <v>84.55</v>
      </c>
      <c r="F1887">
        <f>'raw data Crude oil'!F1888</f>
        <v>83.83</v>
      </c>
      <c r="G1887">
        <f>'raw data Crude oil'!G1888</f>
        <v>83.16</v>
      </c>
      <c r="H1887">
        <f>'raw data Crude oil'!H1888</f>
        <v>82.51</v>
      </c>
      <c r="I1887">
        <f>'raw data Crude oil'!I1888</f>
        <v>81.88</v>
      </c>
      <c r="J1887">
        <f>'raw data Crude oil'!J1888</f>
        <v>81.27</v>
      </c>
      <c r="K1887">
        <f>'raw data Crude oil'!K1888</f>
        <v>80.7</v>
      </c>
      <c r="L1887">
        <f>'raw data Crude oil'!L1888</f>
        <v>80.17</v>
      </c>
      <c r="M1887">
        <f>'raw data Crude oil'!M1888</f>
        <v>79.709999999999994</v>
      </c>
      <c r="N1887">
        <f>'raw data Crude oil'!N1888</f>
        <v>82.85</v>
      </c>
      <c r="O1887">
        <f>'raw data Crude oil'!O1888</f>
        <v>81.900000000000006</v>
      </c>
      <c r="P1887">
        <f>'raw data Crude oil'!P1888</f>
        <v>81.209999999999994</v>
      </c>
      <c r="Q1887">
        <f>'raw data Crude oil'!Q1888</f>
        <v>80.489999999999995</v>
      </c>
      <c r="R1887">
        <f>'raw data Crude oil'!R1888</f>
        <v>79.73</v>
      </c>
      <c r="S1887">
        <f>'raw data Crude oil'!S1888</f>
        <v>78.97</v>
      </c>
      <c r="T1887">
        <f>'raw data Crude oil'!T1888</f>
        <v>78.260000000000005</v>
      </c>
      <c r="U1887">
        <f>'raw data Crude oil'!U1888</f>
        <v>77.58</v>
      </c>
      <c r="V1887">
        <f>'raw data Crude oil'!V1888</f>
        <v>76.94</v>
      </c>
      <c r="W1887">
        <f>'raw data Crude oil'!W1888</f>
        <v>76.34</v>
      </c>
      <c r="X1887">
        <f>'raw data Crude oil'!X1888</f>
        <v>75.78</v>
      </c>
      <c r="Y1887">
        <f>'raw data Crude oil'!Y1888</f>
        <v>75.27</v>
      </c>
      <c r="Z1887">
        <f>'raw data Crude oil'!Z1888</f>
        <v>88.712999999999994</v>
      </c>
      <c r="AA1887">
        <f>'raw data Crude oil'!AA1888</f>
        <v>85.965999999999994</v>
      </c>
      <c r="AB1887">
        <f>'raw data Crude oil'!AB1888</f>
        <v>85.100999999999999</v>
      </c>
      <c r="AC1887">
        <f>'raw data Crude oil'!AC1888</f>
        <v>84.224000000000004</v>
      </c>
      <c r="AD1887">
        <f>'raw data Crude oil'!AD1888</f>
        <v>83.405000000000001</v>
      </c>
      <c r="AE1887">
        <f>'raw data Crude oil'!AE1888</f>
        <v>82.649000000000001</v>
      </c>
      <c r="AF1887">
        <f>'raw data Crude oil'!AF1888</f>
        <v>81.962999999999994</v>
      </c>
      <c r="AG1887">
        <f>'raw data Crude oil'!AG1888</f>
        <v>81.301000000000002</v>
      </c>
      <c r="AH1887">
        <f>'raw data Crude oil'!AH1888</f>
        <v>80.661000000000001</v>
      </c>
      <c r="AI1887">
        <f>'raw data Crude oil'!AI1888</f>
        <v>80.090999999999994</v>
      </c>
      <c r="AJ1887">
        <f>'raw data Crude oil'!AJ1888</f>
        <v>79.561000000000007</v>
      </c>
      <c r="AK1887">
        <f>'raw data Crude oil'!AK1888</f>
        <v>79.090999999999994</v>
      </c>
    </row>
    <row r="1888" spans="1:37" x14ac:dyDescent="0.3">
      <c r="A1888" s="18">
        <f>'raw data Crude oil'!A1889</f>
        <v>45405</v>
      </c>
      <c r="B1888">
        <f>'raw data Crude oil'!B1889</f>
        <v>88.42</v>
      </c>
      <c r="C1888">
        <f>'raw data Crude oil'!C1889</f>
        <v>87.39</v>
      </c>
      <c r="D1888">
        <f>'raw data Crude oil'!D1889</f>
        <v>86.55</v>
      </c>
      <c r="E1888">
        <f>'raw data Crude oil'!E1889</f>
        <v>85.76</v>
      </c>
      <c r="F1888">
        <f>'raw data Crude oil'!F1889</f>
        <v>84.99</v>
      </c>
      <c r="G1888">
        <f>'raw data Crude oil'!G1889</f>
        <v>84.27</v>
      </c>
      <c r="H1888">
        <f>'raw data Crude oil'!H1889</f>
        <v>83.58</v>
      </c>
      <c r="I1888">
        <f>'raw data Crude oil'!I1889</f>
        <v>82.91</v>
      </c>
      <c r="J1888">
        <f>'raw data Crude oil'!J1889</f>
        <v>82.27</v>
      </c>
      <c r="K1888">
        <f>'raw data Crude oil'!K1889</f>
        <v>81.66</v>
      </c>
      <c r="L1888">
        <f>'raw data Crude oil'!L1889</f>
        <v>81.099999999999994</v>
      </c>
      <c r="M1888">
        <f>'raw data Crude oil'!M1889</f>
        <v>80.61</v>
      </c>
      <c r="N1888">
        <f>'raw data Crude oil'!N1889</f>
        <v>83.36</v>
      </c>
      <c r="O1888">
        <f>'raw data Crude oil'!O1889</f>
        <v>82.56</v>
      </c>
      <c r="P1888">
        <f>'raw data Crude oil'!P1889</f>
        <v>81.73</v>
      </c>
      <c r="Q1888">
        <f>'raw data Crude oil'!Q1889</f>
        <v>80.89</v>
      </c>
      <c r="R1888">
        <f>'raw data Crude oil'!R1889</f>
        <v>80.06</v>
      </c>
      <c r="S1888">
        <f>'raw data Crude oil'!S1889</f>
        <v>79.3</v>
      </c>
      <c r="T1888">
        <f>'raw data Crude oil'!T1889</f>
        <v>78.58</v>
      </c>
      <c r="U1888">
        <f>'raw data Crude oil'!U1889</f>
        <v>77.88</v>
      </c>
      <c r="V1888">
        <f>'raw data Crude oil'!V1889</f>
        <v>77.23</v>
      </c>
      <c r="W1888">
        <f>'raw data Crude oil'!W1889</f>
        <v>76.63</v>
      </c>
      <c r="X1888">
        <f>'raw data Crude oil'!X1889</f>
        <v>76.09</v>
      </c>
      <c r="Y1888">
        <f>'raw data Crude oil'!Y1889</f>
        <v>75.59</v>
      </c>
      <c r="Z1888">
        <f>'raw data Crude oil'!Z1889</f>
        <v>89.135000000000005</v>
      </c>
      <c r="AA1888">
        <f>'raw data Crude oil'!AA1889</f>
        <v>87.323999999999998</v>
      </c>
      <c r="AB1888">
        <f>'raw data Crude oil'!AB1889</f>
        <v>86.396000000000001</v>
      </c>
      <c r="AC1888">
        <f>'raw data Crude oil'!AC1889</f>
        <v>85.436999999999998</v>
      </c>
      <c r="AD1888">
        <f>'raw data Crude oil'!AD1889</f>
        <v>84.566999999999993</v>
      </c>
      <c r="AE1888">
        <f>'raw data Crude oil'!AE1889</f>
        <v>83.751999999999995</v>
      </c>
      <c r="AF1888">
        <f>'raw data Crude oil'!AF1889</f>
        <v>83.016000000000005</v>
      </c>
      <c r="AG1888">
        <f>'raw data Crude oil'!AG1889</f>
        <v>82.33</v>
      </c>
      <c r="AH1888">
        <f>'raw data Crude oil'!AH1889</f>
        <v>81.652000000000001</v>
      </c>
      <c r="AI1888">
        <f>'raw data Crude oil'!AI1889</f>
        <v>81.034999999999997</v>
      </c>
      <c r="AJ1888">
        <f>'raw data Crude oil'!AJ1889</f>
        <v>80.456000000000003</v>
      </c>
      <c r="AK1888">
        <f>'raw data Crude oil'!AK1889</f>
        <v>79.959999999999994</v>
      </c>
    </row>
    <row r="1889" spans="1:37" x14ac:dyDescent="0.3">
      <c r="A1889" s="18">
        <f>'raw data Crude oil'!A1890</f>
        <v>45406</v>
      </c>
      <c r="B1889">
        <f>'raw data Crude oil'!B1890</f>
        <v>88.02</v>
      </c>
      <c r="C1889">
        <f>'raw data Crude oil'!C1890</f>
        <v>87.04</v>
      </c>
      <c r="D1889">
        <f>'raw data Crude oil'!D1890</f>
        <v>86.29</v>
      </c>
      <c r="E1889">
        <f>'raw data Crude oil'!E1890</f>
        <v>85.56</v>
      </c>
      <c r="F1889">
        <f>'raw data Crude oil'!F1890</f>
        <v>84.83</v>
      </c>
      <c r="G1889">
        <f>'raw data Crude oil'!G1890</f>
        <v>84.14</v>
      </c>
      <c r="H1889">
        <f>'raw data Crude oil'!H1890</f>
        <v>83.48</v>
      </c>
      <c r="I1889">
        <f>'raw data Crude oil'!I1890</f>
        <v>82.85</v>
      </c>
      <c r="J1889">
        <f>'raw data Crude oil'!J1890</f>
        <v>82.24</v>
      </c>
      <c r="K1889">
        <f>'raw data Crude oil'!K1890</f>
        <v>81.66</v>
      </c>
      <c r="L1889">
        <f>'raw data Crude oil'!L1890</f>
        <v>81.13</v>
      </c>
      <c r="M1889">
        <f>'raw data Crude oil'!M1890</f>
        <v>80.66</v>
      </c>
      <c r="N1889">
        <f>'raw data Crude oil'!N1890</f>
        <v>82.81</v>
      </c>
      <c r="O1889">
        <f>'raw data Crude oil'!O1890</f>
        <v>82.09</v>
      </c>
      <c r="P1889">
        <f>'raw data Crude oil'!P1890</f>
        <v>81.349999999999994</v>
      </c>
      <c r="Q1889">
        <f>'raw data Crude oil'!Q1890</f>
        <v>80.58</v>
      </c>
      <c r="R1889">
        <f>'raw data Crude oil'!R1890</f>
        <v>79.81</v>
      </c>
      <c r="S1889">
        <f>'raw data Crude oil'!S1890</f>
        <v>79.11</v>
      </c>
      <c r="T1889">
        <f>'raw data Crude oil'!T1890</f>
        <v>78.42</v>
      </c>
      <c r="U1889">
        <f>'raw data Crude oil'!U1890</f>
        <v>77.760000000000005</v>
      </c>
      <c r="V1889">
        <f>'raw data Crude oil'!V1890</f>
        <v>77.150000000000006</v>
      </c>
      <c r="W1889">
        <f>'raw data Crude oil'!W1890</f>
        <v>76.58</v>
      </c>
      <c r="X1889">
        <f>'raw data Crude oil'!X1890</f>
        <v>76.06</v>
      </c>
      <c r="Y1889">
        <f>'raw data Crude oil'!Y1890</f>
        <v>75.58</v>
      </c>
      <c r="Z1889">
        <f>'raw data Crude oil'!Z1890</f>
        <v>89.093999999999994</v>
      </c>
      <c r="AA1889">
        <f>'raw data Crude oil'!AA1890</f>
        <v>86.95</v>
      </c>
      <c r="AB1889">
        <f>'raw data Crude oil'!AB1890</f>
        <v>86.08</v>
      </c>
      <c r="AC1889">
        <f>'raw data Crude oil'!AC1890</f>
        <v>85.186999999999998</v>
      </c>
      <c r="AD1889">
        <f>'raw data Crude oil'!AD1890</f>
        <v>84.364000000000004</v>
      </c>
      <c r="AE1889">
        <f>'raw data Crude oil'!AE1890</f>
        <v>83.593999999999994</v>
      </c>
      <c r="AF1889">
        <f>'raw data Crude oil'!AF1890</f>
        <v>82.897999999999996</v>
      </c>
      <c r="AG1889">
        <f>'raw data Crude oil'!AG1890</f>
        <v>82.242999999999995</v>
      </c>
      <c r="AH1889">
        <f>'raw data Crude oil'!AH1890</f>
        <v>81.605000000000004</v>
      </c>
      <c r="AI1889">
        <f>'raw data Crude oil'!AI1890</f>
        <v>81.036000000000001</v>
      </c>
      <c r="AJ1889">
        <f>'raw data Crude oil'!AJ1890</f>
        <v>80.497</v>
      </c>
      <c r="AK1889">
        <f>'raw data Crude oil'!AK1890</f>
        <v>80.02</v>
      </c>
    </row>
    <row r="1890" spans="1:37" x14ac:dyDescent="0.3">
      <c r="A1890" s="18">
        <f>'raw data Crude oil'!A1891</f>
        <v>45407</v>
      </c>
      <c r="B1890">
        <f>'raw data Crude oil'!B1891</f>
        <v>89.01</v>
      </c>
      <c r="C1890">
        <f>'raw data Crude oil'!C1891</f>
        <v>87.77</v>
      </c>
      <c r="D1890">
        <f>'raw data Crude oil'!D1891</f>
        <v>86.92</v>
      </c>
      <c r="E1890">
        <f>'raw data Crude oil'!E1891</f>
        <v>86.12</v>
      </c>
      <c r="F1890">
        <f>'raw data Crude oil'!F1891</f>
        <v>85.34</v>
      </c>
      <c r="G1890">
        <f>'raw data Crude oil'!G1891</f>
        <v>84.62</v>
      </c>
      <c r="H1890">
        <f>'raw data Crude oil'!H1891</f>
        <v>83.95</v>
      </c>
      <c r="I1890">
        <f>'raw data Crude oil'!I1891</f>
        <v>83.29</v>
      </c>
      <c r="J1890">
        <f>'raw data Crude oil'!J1891</f>
        <v>82.67</v>
      </c>
      <c r="K1890">
        <f>'raw data Crude oil'!K1891</f>
        <v>82.08</v>
      </c>
      <c r="L1890">
        <f>'raw data Crude oil'!L1891</f>
        <v>81.540000000000006</v>
      </c>
      <c r="M1890">
        <f>'raw data Crude oil'!M1891</f>
        <v>81.06</v>
      </c>
      <c r="N1890">
        <f>'raw data Crude oil'!N1891</f>
        <v>83.57</v>
      </c>
      <c r="O1890">
        <f>'raw data Crude oil'!O1891</f>
        <v>82.75</v>
      </c>
      <c r="P1890">
        <f>'raw data Crude oil'!P1891</f>
        <v>81.93</v>
      </c>
      <c r="Q1890">
        <f>'raw data Crude oil'!Q1891</f>
        <v>81.09</v>
      </c>
      <c r="R1890">
        <f>'raw data Crude oil'!R1891</f>
        <v>80.28</v>
      </c>
      <c r="S1890">
        <f>'raw data Crude oil'!S1891</f>
        <v>79.53</v>
      </c>
      <c r="T1890">
        <f>'raw data Crude oil'!T1891</f>
        <v>78.83</v>
      </c>
      <c r="U1890">
        <f>'raw data Crude oil'!U1891</f>
        <v>78.150000000000006</v>
      </c>
      <c r="V1890">
        <f>'raw data Crude oil'!V1891</f>
        <v>77.52</v>
      </c>
      <c r="W1890">
        <f>'raw data Crude oil'!W1891</f>
        <v>76.95</v>
      </c>
      <c r="X1890">
        <f>'raw data Crude oil'!X1891</f>
        <v>76.42</v>
      </c>
      <c r="Y1890">
        <f>'raw data Crude oil'!Y1891</f>
        <v>75.94</v>
      </c>
      <c r="Z1890">
        <f>'raw data Crude oil'!Z1891</f>
        <v>89.204999999999998</v>
      </c>
      <c r="AA1890">
        <f>'raw data Crude oil'!AA1891</f>
        <v>87.644000000000005</v>
      </c>
      <c r="AB1890">
        <f>'raw data Crude oil'!AB1891</f>
        <v>86.739000000000004</v>
      </c>
      <c r="AC1890">
        <f>'raw data Crude oil'!AC1891</f>
        <v>85.796999999999997</v>
      </c>
      <c r="AD1890">
        <f>'raw data Crude oil'!AD1891</f>
        <v>84.945999999999998</v>
      </c>
      <c r="AE1890">
        <f>'raw data Crude oil'!AE1891</f>
        <v>84.143000000000001</v>
      </c>
      <c r="AF1890">
        <f>'raw data Crude oil'!AF1891</f>
        <v>83.426000000000002</v>
      </c>
      <c r="AG1890">
        <f>'raw data Crude oil'!AG1891</f>
        <v>82.73</v>
      </c>
      <c r="AH1890">
        <f>'raw data Crude oil'!AH1891</f>
        <v>82.063999999999993</v>
      </c>
      <c r="AI1890">
        <f>'raw data Crude oil'!AI1891</f>
        <v>81.474999999999994</v>
      </c>
      <c r="AJ1890">
        <f>'raw data Crude oil'!AJ1891</f>
        <v>80.915999999999997</v>
      </c>
      <c r="AK1890">
        <f>'raw data Crude oil'!AK1891</f>
        <v>80.42</v>
      </c>
    </row>
    <row r="1891" spans="1:37" x14ac:dyDescent="0.3">
      <c r="A1891" s="18">
        <f>'raw data Crude oil'!A1892</f>
        <v>45408</v>
      </c>
      <c r="B1891">
        <f>'raw data Crude oil'!B1892</f>
        <v>89.5</v>
      </c>
      <c r="C1891">
        <f>'raw data Crude oil'!C1892</f>
        <v>88.21</v>
      </c>
      <c r="D1891">
        <f>'raw data Crude oil'!D1892</f>
        <v>87.37</v>
      </c>
      <c r="E1891">
        <f>'raw data Crude oil'!E1892</f>
        <v>86.58</v>
      </c>
      <c r="F1891">
        <f>'raw data Crude oil'!F1892</f>
        <v>85.81</v>
      </c>
      <c r="G1891">
        <f>'raw data Crude oil'!G1892</f>
        <v>85.1</v>
      </c>
      <c r="H1891">
        <f>'raw data Crude oil'!H1892</f>
        <v>84.41</v>
      </c>
      <c r="I1891">
        <f>'raw data Crude oil'!I1892</f>
        <v>83.75</v>
      </c>
      <c r="J1891">
        <f>'raw data Crude oil'!J1892</f>
        <v>83.11</v>
      </c>
      <c r="K1891">
        <f>'raw data Crude oil'!K1892</f>
        <v>82.51</v>
      </c>
      <c r="L1891">
        <f>'raw data Crude oil'!L1892</f>
        <v>81.95</v>
      </c>
      <c r="M1891">
        <f>'raw data Crude oil'!M1892</f>
        <v>81.459999999999994</v>
      </c>
      <c r="N1891">
        <f>'raw data Crude oil'!N1892</f>
        <v>83.85</v>
      </c>
      <c r="O1891">
        <f>'raw data Crude oil'!O1892</f>
        <v>83.13</v>
      </c>
      <c r="P1891">
        <f>'raw data Crude oil'!P1892</f>
        <v>82.35</v>
      </c>
      <c r="Q1891">
        <f>'raw data Crude oil'!Q1892</f>
        <v>81.540000000000006</v>
      </c>
      <c r="R1891">
        <f>'raw data Crude oil'!R1892</f>
        <v>80.739999999999995</v>
      </c>
      <c r="S1891">
        <f>'raw data Crude oil'!S1892</f>
        <v>80.010000000000005</v>
      </c>
      <c r="T1891">
        <f>'raw data Crude oil'!T1892</f>
        <v>79.3</v>
      </c>
      <c r="U1891">
        <f>'raw data Crude oil'!U1892</f>
        <v>78.61</v>
      </c>
      <c r="V1891">
        <f>'raw data Crude oil'!V1892</f>
        <v>77.98</v>
      </c>
      <c r="W1891">
        <f>'raw data Crude oil'!W1892</f>
        <v>77.39</v>
      </c>
      <c r="X1891">
        <f>'raw data Crude oil'!X1892</f>
        <v>76.849999999999994</v>
      </c>
      <c r="Y1891">
        <f>'raw data Crude oil'!Y1892</f>
        <v>76.34</v>
      </c>
      <c r="Z1891">
        <f>'raw data Crude oil'!Z1892</f>
        <v>89.234999999999999</v>
      </c>
      <c r="AA1891">
        <f>'raw data Crude oil'!AA1892</f>
        <v>88.003</v>
      </c>
      <c r="AB1891">
        <f>'raw data Crude oil'!AB1892</f>
        <v>87.102000000000004</v>
      </c>
      <c r="AC1891">
        <f>'raw data Crude oil'!AC1892</f>
        <v>86.161000000000001</v>
      </c>
      <c r="AD1891">
        <f>'raw data Crude oil'!AD1892</f>
        <v>85.322000000000003</v>
      </c>
      <c r="AE1891">
        <f>'raw data Crude oil'!AE1892</f>
        <v>84.527000000000001</v>
      </c>
      <c r="AF1891">
        <f>'raw data Crude oil'!AF1892</f>
        <v>83.808000000000007</v>
      </c>
      <c r="AG1891">
        <f>'raw data Crude oil'!AG1892</f>
        <v>83.125</v>
      </c>
      <c r="AH1891">
        <f>'raw data Crude oil'!AH1892</f>
        <v>82.433000000000007</v>
      </c>
      <c r="AI1891">
        <f>'raw data Crude oil'!AI1892</f>
        <v>81.844999999999999</v>
      </c>
      <c r="AJ1891">
        <f>'raw data Crude oil'!AJ1892</f>
        <v>81.271000000000001</v>
      </c>
      <c r="AK1891">
        <f>'raw data Crude oil'!AK1892</f>
        <v>80.77</v>
      </c>
    </row>
    <row r="1892" spans="1:37" x14ac:dyDescent="0.3">
      <c r="A1892" s="18">
        <f>'raw data Crude oil'!A1893</f>
        <v>45411</v>
      </c>
      <c r="B1892">
        <f>'raw data Crude oil'!B1893</f>
        <v>88.4</v>
      </c>
      <c r="C1892">
        <f>'raw data Crude oil'!C1893</f>
        <v>87.2</v>
      </c>
      <c r="D1892">
        <f>'raw data Crude oil'!D1893</f>
        <v>86.42</v>
      </c>
      <c r="E1892">
        <f>'raw data Crude oil'!E1893</f>
        <v>85.68</v>
      </c>
      <c r="F1892">
        <f>'raw data Crude oil'!F1893</f>
        <v>84.96</v>
      </c>
      <c r="G1892">
        <f>'raw data Crude oil'!G1893</f>
        <v>84.3</v>
      </c>
      <c r="H1892">
        <f>'raw data Crude oil'!H1893</f>
        <v>83.65</v>
      </c>
      <c r="I1892">
        <f>'raw data Crude oil'!I1893</f>
        <v>83.02</v>
      </c>
      <c r="J1892">
        <f>'raw data Crude oil'!J1893</f>
        <v>82.42</v>
      </c>
      <c r="K1892">
        <f>'raw data Crude oil'!K1893</f>
        <v>81.849999999999994</v>
      </c>
      <c r="L1892">
        <f>'raw data Crude oil'!L1893</f>
        <v>81.319999999999993</v>
      </c>
      <c r="M1892">
        <f>'raw data Crude oil'!M1893</f>
        <v>80.849999999999994</v>
      </c>
      <c r="N1892">
        <f>'raw data Crude oil'!N1893</f>
        <v>82.63</v>
      </c>
      <c r="O1892">
        <f>'raw data Crude oil'!O1893</f>
        <v>82.03</v>
      </c>
      <c r="P1892">
        <f>'raw data Crude oil'!P1893</f>
        <v>81.37</v>
      </c>
      <c r="Q1892">
        <f>'raw data Crude oil'!Q1893</f>
        <v>80.650000000000006</v>
      </c>
      <c r="R1892">
        <f>'raw data Crude oil'!R1893</f>
        <v>79.92</v>
      </c>
      <c r="S1892">
        <f>'raw data Crude oil'!S1893</f>
        <v>79.239999999999995</v>
      </c>
      <c r="T1892">
        <f>'raw data Crude oil'!T1893</f>
        <v>78.569999999999993</v>
      </c>
      <c r="U1892">
        <f>'raw data Crude oil'!U1893</f>
        <v>77.92</v>
      </c>
      <c r="V1892">
        <f>'raw data Crude oil'!V1893</f>
        <v>77.319999999999993</v>
      </c>
      <c r="W1892">
        <f>'raw data Crude oil'!W1893</f>
        <v>76.760000000000005</v>
      </c>
      <c r="X1892">
        <f>'raw data Crude oil'!X1893</f>
        <v>76.239999999999995</v>
      </c>
      <c r="Y1892">
        <f>'raw data Crude oil'!Y1893</f>
        <v>75.760000000000005</v>
      </c>
      <c r="Z1892">
        <f>'raw data Crude oil'!Z1893</f>
        <v>89.161000000000001</v>
      </c>
      <c r="AA1892">
        <f>'raw data Crude oil'!AA1893</f>
        <v>86.97</v>
      </c>
      <c r="AB1892">
        <f>'raw data Crude oil'!AB1893</f>
        <v>86.122</v>
      </c>
      <c r="AC1892">
        <f>'raw data Crude oil'!AC1893</f>
        <v>85.180999999999997</v>
      </c>
      <c r="AD1892">
        <f>'raw data Crude oil'!AD1893</f>
        <v>84.372</v>
      </c>
      <c r="AE1892">
        <f>'raw data Crude oil'!AE1893</f>
        <v>83.629000000000005</v>
      </c>
      <c r="AF1892">
        <f>'raw data Crude oil'!AF1893</f>
        <v>82.968000000000004</v>
      </c>
      <c r="AG1892">
        <f>'raw data Crude oil'!AG1893</f>
        <v>82.316000000000003</v>
      </c>
      <c r="AH1892">
        <f>'raw data Crude oil'!AH1893</f>
        <v>81.671000000000006</v>
      </c>
      <c r="AI1892">
        <f>'raw data Crude oil'!AI1893</f>
        <v>81.105999999999995</v>
      </c>
      <c r="AJ1892">
        <f>'raw data Crude oil'!AJ1893</f>
        <v>80.566999999999993</v>
      </c>
      <c r="AK1892">
        <f>'raw data Crude oil'!AK1893</f>
        <v>80.09</v>
      </c>
    </row>
    <row r="1893" spans="1:37" x14ac:dyDescent="0.3">
      <c r="A1893" s="18">
        <f>'raw data Crude oil'!A1894</f>
        <v>45412</v>
      </c>
      <c r="B1893">
        <f>'raw data Crude oil'!B1894</f>
        <v>87.86</v>
      </c>
      <c r="C1893">
        <f>'raw data Crude oil'!C1894</f>
        <v>86.33</v>
      </c>
      <c r="D1893">
        <f>'raw data Crude oil'!D1894</f>
        <v>85.61</v>
      </c>
      <c r="E1893">
        <f>'raw data Crude oil'!E1894</f>
        <v>84.91</v>
      </c>
      <c r="F1893">
        <f>'raw data Crude oil'!F1894</f>
        <v>84.23</v>
      </c>
      <c r="G1893">
        <f>'raw data Crude oil'!G1894</f>
        <v>83.61</v>
      </c>
      <c r="H1893">
        <f>'raw data Crude oil'!H1894</f>
        <v>83</v>
      </c>
      <c r="I1893">
        <f>'raw data Crude oil'!I1894</f>
        <v>82.4</v>
      </c>
      <c r="J1893">
        <f>'raw data Crude oil'!J1894</f>
        <v>81.819999999999993</v>
      </c>
      <c r="K1893">
        <f>'raw data Crude oil'!K1894</f>
        <v>81.27</v>
      </c>
      <c r="L1893">
        <f>'raw data Crude oil'!L1894</f>
        <v>80.760000000000005</v>
      </c>
      <c r="M1893">
        <f>'raw data Crude oil'!M1894</f>
        <v>80.31</v>
      </c>
      <c r="N1893">
        <f>'raw data Crude oil'!N1894</f>
        <v>81.93</v>
      </c>
      <c r="O1893">
        <f>'raw data Crude oil'!O1894</f>
        <v>81.28</v>
      </c>
      <c r="P1893">
        <f>'raw data Crude oil'!P1894</f>
        <v>80.61</v>
      </c>
      <c r="Q1893">
        <f>'raw data Crude oil'!Q1894</f>
        <v>79.91</v>
      </c>
      <c r="R1893">
        <f>'raw data Crude oil'!R1894</f>
        <v>79.209999999999994</v>
      </c>
      <c r="S1893">
        <f>'raw data Crude oil'!S1894</f>
        <v>78.569999999999993</v>
      </c>
      <c r="T1893">
        <f>'raw data Crude oil'!T1894</f>
        <v>77.95</v>
      </c>
      <c r="U1893">
        <f>'raw data Crude oil'!U1894</f>
        <v>77.34</v>
      </c>
      <c r="V1893">
        <f>'raw data Crude oil'!V1894</f>
        <v>76.77</v>
      </c>
      <c r="W1893">
        <f>'raw data Crude oil'!W1894</f>
        <v>76.239999999999995</v>
      </c>
      <c r="X1893">
        <f>'raw data Crude oil'!X1894</f>
        <v>75.75</v>
      </c>
      <c r="Y1893">
        <f>'raw data Crude oil'!Y1894</f>
        <v>75.290000000000006</v>
      </c>
      <c r="Z1893">
        <f>'raw data Crude oil'!Z1894</f>
        <v>89.171999999999997</v>
      </c>
      <c r="AA1893">
        <f>'raw data Crude oil'!AA1894</f>
        <v>86.198999999999998</v>
      </c>
      <c r="AB1893">
        <f>'raw data Crude oil'!AB1894</f>
        <v>85.397999999999996</v>
      </c>
      <c r="AC1893">
        <f>'raw data Crude oil'!AC1894</f>
        <v>84.447999999999993</v>
      </c>
      <c r="AD1893">
        <f>'raw data Crude oil'!AD1894</f>
        <v>83.647000000000006</v>
      </c>
      <c r="AE1893">
        <f>'raw data Crude oil'!AE1894</f>
        <v>82.941000000000003</v>
      </c>
      <c r="AF1893">
        <f>'raw data Crude oil'!AF1894</f>
        <v>82.3</v>
      </c>
      <c r="AG1893">
        <f>'raw data Crude oil'!AG1894</f>
        <v>81.679000000000002</v>
      </c>
      <c r="AH1893">
        <f>'raw data Crude oil'!AH1894</f>
        <v>81.063999999999993</v>
      </c>
      <c r="AI1893">
        <f>'raw data Crude oil'!AI1894</f>
        <v>80.531999999999996</v>
      </c>
      <c r="AJ1893">
        <f>'raw data Crude oil'!AJ1894</f>
        <v>80.018000000000001</v>
      </c>
      <c r="AK1893">
        <f>'raw data Crude oil'!AK1894</f>
        <v>79.570999999999998</v>
      </c>
    </row>
    <row r="1894" spans="1:37" x14ac:dyDescent="0.3">
      <c r="A1894" s="18">
        <f>'raw data Crude oil'!A1895</f>
        <v>45413</v>
      </c>
      <c r="B1894">
        <f>'raw data Crude oil'!B1895</f>
        <v>83.44</v>
      </c>
      <c r="C1894">
        <f>'raw data Crude oil'!C1895</f>
        <v>82.79</v>
      </c>
      <c r="D1894">
        <f>'raw data Crude oil'!D1895</f>
        <v>82.15</v>
      </c>
      <c r="E1894">
        <f>'raw data Crude oil'!E1895</f>
        <v>81.53</v>
      </c>
      <c r="F1894">
        <f>'raw data Crude oil'!F1895</f>
        <v>80.97</v>
      </c>
      <c r="G1894">
        <f>'raw data Crude oil'!G1895</f>
        <v>80.41</v>
      </c>
      <c r="H1894">
        <f>'raw data Crude oil'!H1895</f>
        <v>79.86</v>
      </c>
      <c r="I1894">
        <f>'raw data Crude oil'!I1895</f>
        <v>79.34</v>
      </c>
      <c r="J1894">
        <f>'raw data Crude oil'!J1895</f>
        <v>78.84</v>
      </c>
      <c r="K1894">
        <f>'raw data Crude oil'!K1895</f>
        <v>78.38</v>
      </c>
      <c r="L1894">
        <f>'raw data Crude oil'!L1895</f>
        <v>77.97</v>
      </c>
      <c r="M1894">
        <f>'raw data Crude oil'!M1895</f>
        <v>77.62</v>
      </c>
      <c r="N1894">
        <f>'raw data Crude oil'!N1895</f>
        <v>79</v>
      </c>
      <c r="O1894">
        <f>'raw data Crude oil'!O1895</f>
        <v>78.44</v>
      </c>
      <c r="P1894">
        <f>'raw data Crude oil'!P1895</f>
        <v>77.849999999999994</v>
      </c>
      <c r="Q1894">
        <f>'raw data Crude oil'!Q1895</f>
        <v>77.22</v>
      </c>
      <c r="R1894">
        <f>'raw data Crude oil'!R1895</f>
        <v>76.59</v>
      </c>
      <c r="S1894">
        <f>'raw data Crude oil'!S1895</f>
        <v>76.010000000000005</v>
      </c>
      <c r="T1894">
        <f>'raw data Crude oil'!T1895</f>
        <v>75.45</v>
      </c>
      <c r="U1894">
        <f>'raw data Crude oil'!U1895</f>
        <v>74.91</v>
      </c>
      <c r="V1894">
        <f>'raw data Crude oil'!V1895</f>
        <v>74.38</v>
      </c>
      <c r="W1894">
        <f>'raw data Crude oil'!W1895</f>
        <v>73.89</v>
      </c>
      <c r="X1894">
        <f>'raw data Crude oil'!X1895</f>
        <v>73.44</v>
      </c>
      <c r="Y1894">
        <f>'raw data Crude oil'!Y1895</f>
        <v>73.02</v>
      </c>
      <c r="Z1894">
        <f>'raw data Crude oil'!Z1895</f>
        <v>89.171999999999997</v>
      </c>
      <c r="AA1894">
        <f>'raw data Crude oil'!AA1895</f>
        <v>83.468000000000004</v>
      </c>
      <c r="AB1894">
        <f>'raw data Crude oil'!AB1895</f>
        <v>82.668000000000006</v>
      </c>
      <c r="AC1894">
        <f>'raw data Crude oil'!AC1895</f>
        <v>81.778000000000006</v>
      </c>
      <c r="AD1894">
        <f>'raw data Crude oil'!AD1895</f>
        <v>81.009</v>
      </c>
      <c r="AE1894">
        <f>'raw data Crude oil'!AE1895</f>
        <v>80.344999999999999</v>
      </c>
      <c r="AF1894">
        <f>'raw data Crude oil'!AF1895</f>
        <v>79.753</v>
      </c>
      <c r="AG1894">
        <f>'raw data Crude oil'!AG1895</f>
        <v>79.17</v>
      </c>
      <c r="AH1894">
        <f>'raw data Crude oil'!AH1895</f>
        <v>78.617000000000004</v>
      </c>
      <c r="AI1894">
        <f>'raw data Crude oil'!AI1895</f>
        <v>78.134</v>
      </c>
      <c r="AJ1894">
        <f>'raw data Crude oil'!AJ1895</f>
        <v>77.67</v>
      </c>
      <c r="AK1894">
        <f>'raw data Crude oil'!AK1895</f>
        <v>77.263000000000005</v>
      </c>
    </row>
    <row r="1895" spans="1:37" x14ac:dyDescent="0.3">
      <c r="A1895" s="18">
        <f>'raw data Crude oil'!A1896</f>
        <v>45414</v>
      </c>
      <c r="B1895">
        <f>'raw data Crude oil'!B1896</f>
        <v>83.67</v>
      </c>
      <c r="C1895">
        <f>'raw data Crude oil'!C1896</f>
        <v>83.03</v>
      </c>
      <c r="D1895">
        <f>'raw data Crude oil'!D1896</f>
        <v>82.4</v>
      </c>
      <c r="E1895">
        <f>'raw data Crude oil'!E1896</f>
        <v>81.790000000000006</v>
      </c>
      <c r="F1895">
        <f>'raw data Crude oil'!F1896</f>
        <v>81.239999999999995</v>
      </c>
      <c r="G1895">
        <f>'raw data Crude oil'!G1896</f>
        <v>80.7</v>
      </c>
      <c r="H1895">
        <f>'raw data Crude oil'!H1896</f>
        <v>80.180000000000007</v>
      </c>
      <c r="I1895">
        <f>'raw data Crude oil'!I1896</f>
        <v>79.680000000000007</v>
      </c>
      <c r="J1895">
        <f>'raw data Crude oil'!J1896</f>
        <v>79.2</v>
      </c>
      <c r="K1895">
        <f>'raw data Crude oil'!K1896</f>
        <v>78.760000000000005</v>
      </c>
      <c r="L1895">
        <f>'raw data Crude oil'!L1896</f>
        <v>78.37</v>
      </c>
      <c r="M1895">
        <f>'raw data Crude oil'!M1896</f>
        <v>78.040000000000006</v>
      </c>
      <c r="N1895">
        <f>'raw data Crude oil'!N1896</f>
        <v>78.95</v>
      </c>
      <c r="O1895">
        <f>'raw data Crude oil'!O1896</f>
        <v>78.48</v>
      </c>
      <c r="P1895">
        <f>'raw data Crude oil'!P1896</f>
        <v>77.95</v>
      </c>
      <c r="Q1895">
        <f>'raw data Crude oil'!Q1896</f>
        <v>77.37</v>
      </c>
      <c r="R1895">
        <f>'raw data Crude oil'!R1896</f>
        <v>76.78</v>
      </c>
      <c r="S1895">
        <f>'raw data Crude oil'!S1896</f>
        <v>76.239999999999995</v>
      </c>
      <c r="T1895">
        <f>'raw data Crude oil'!T1896</f>
        <v>75.73</v>
      </c>
      <c r="U1895">
        <f>'raw data Crude oil'!U1896</f>
        <v>75.209999999999994</v>
      </c>
      <c r="V1895">
        <f>'raw data Crude oil'!V1896</f>
        <v>74.709999999999994</v>
      </c>
      <c r="W1895">
        <f>'raw data Crude oil'!W1896</f>
        <v>74.25</v>
      </c>
      <c r="X1895">
        <f>'raw data Crude oil'!X1896</f>
        <v>73.81</v>
      </c>
      <c r="Y1895">
        <f>'raw data Crude oil'!Y1896</f>
        <v>73.400000000000006</v>
      </c>
      <c r="Z1895">
        <f>'raw data Crude oil'!Z1896</f>
        <v>83.89</v>
      </c>
      <c r="AA1895">
        <f>'raw data Crude oil'!AA1896</f>
        <v>83.08</v>
      </c>
      <c r="AB1895">
        <f>'raw data Crude oil'!AB1896</f>
        <v>82.182000000000002</v>
      </c>
      <c r="AC1895">
        <f>'raw data Crude oil'!AC1896</f>
        <v>81.41</v>
      </c>
      <c r="AD1895">
        <f>'raw data Crude oil'!AD1896</f>
        <v>80.753</v>
      </c>
      <c r="AE1895">
        <f>'raw data Crude oil'!AE1896</f>
        <v>80.156999999999996</v>
      </c>
      <c r="AF1895">
        <f>'raw data Crude oil'!AF1896</f>
        <v>79.584000000000003</v>
      </c>
      <c r="AG1895">
        <f>'raw data Crude oil'!AG1896</f>
        <v>79.028999999999996</v>
      </c>
      <c r="AH1895">
        <f>'raw data Crude oil'!AH1896</f>
        <v>78.555000000000007</v>
      </c>
      <c r="AI1895">
        <f>'raw data Crude oil'!AI1896</f>
        <v>78.111000000000004</v>
      </c>
      <c r="AJ1895">
        <f>'raw data Crude oil'!AJ1896</f>
        <v>77.724000000000004</v>
      </c>
      <c r="AK1895">
        <f>'raw data Crude oil'!AK1896</f>
        <v>77.373999999999995</v>
      </c>
    </row>
    <row r="1896" spans="1:37" x14ac:dyDescent="0.3">
      <c r="A1896" s="18">
        <f>'raw data Crude oil'!A1897</f>
        <v>45415</v>
      </c>
      <c r="B1896">
        <f>'raw data Crude oil'!B1897</f>
        <v>82.96</v>
      </c>
      <c r="C1896">
        <f>'raw data Crude oil'!C1897</f>
        <v>82.45</v>
      </c>
      <c r="D1896">
        <f>'raw data Crude oil'!D1897</f>
        <v>81.91</v>
      </c>
      <c r="E1896">
        <f>'raw data Crude oil'!E1897</f>
        <v>81.37</v>
      </c>
      <c r="F1896">
        <f>'raw data Crude oil'!F1897</f>
        <v>80.87</v>
      </c>
      <c r="G1896">
        <f>'raw data Crude oil'!G1897</f>
        <v>80.38</v>
      </c>
      <c r="H1896">
        <f>'raw data Crude oil'!H1897</f>
        <v>79.900000000000006</v>
      </c>
      <c r="I1896">
        <f>'raw data Crude oil'!I1897</f>
        <v>79.430000000000007</v>
      </c>
      <c r="J1896">
        <f>'raw data Crude oil'!J1897</f>
        <v>78.989999999999995</v>
      </c>
      <c r="K1896">
        <f>'raw data Crude oil'!K1897</f>
        <v>78.59</v>
      </c>
      <c r="L1896">
        <f>'raw data Crude oil'!L1897</f>
        <v>78.239999999999995</v>
      </c>
      <c r="M1896">
        <f>'raw data Crude oil'!M1897</f>
        <v>77.930000000000007</v>
      </c>
      <c r="N1896">
        <f>'raw data Crude oil'!N1897</f>
        <v>78.11</v>
      </c>
      <c r="O1896">
        <f>'raw data Crude oil'!O1897</f>
        <v>77.760000000000005</v>
      </c>
      <c r="P1896">
        <f>'raw data Crude oil'!P1897</f>
        <v>77.349999999999994</v>
      </c>
      <c r="Q1896">
        <f>'raw data Crude oil'!Q1897</f>
        <v>76.86</v>
      </c>
      <c r="R1896">
        <f>'raw data Crude oil'!R1897</f>
        <v>76.36</v>
      </c>
      <c r="S1896">
        <f>'raw data Crude oil'!S1897</f>
        <v>75.89</v>
      </c>
      <c r="T1896">
        <f>'raw data Crude oil'!T1897</f>
        <v>75.430000000000007</v>
      </c>
      <c r="U1896">
        <f>'raw data Crude oil'!U1897</f>
        <v>74.97</v>
      </c>
      <c r="V1896">
        <f>'raw data Crude oil'!V1897</f>
        <v>74.52</v>
      </c>
      <c r="W1896">
        <f>'raw data Crude oil'!W1897</f>
        <v>74.08</v>
      </c>
      <c r="X1896">
        <f>'raw data Crude oil'!X1897</f>
        <v>73.680000000000007</v>
      </c>
      <c r="Y1896">
        <f>'raw data Crude oil'!Y1897</f>
        <v>73.31</v>
      </c>
      <c r="Z1896">
        <f>'raw data Crude oil'!Z1897</f>
        <v>83.200999999999993</v>
      </c>
      <c r="AA1896">
        <f>'raw data Crude oil'!AA1897</f>
        <v>82.366</v>
      </c>
      <c r="AB1896">
        <f>'raw data Crude oil'!AB1897</f>
        <v>81.576999999999998</v>
      </c>
      <c r="AC1896">
        <f>'raw data Crude oil'!AC1897</f>
        <v>80.915000000000006</v>
      </c>
      <c r="AD1896">
        <f>'raw data Crude oil'!AD1897</f>
        <v>80.338999999999999</v>
      </c>
      <c r="AE1896">
        <f>'raw data Crude oil'!AE1897</f>
        <v>79.789000000000001</v>
      </c>
      <c r="AF1896">
        <f>'raw data Crude oil'!AF1897</f>
        <v>79.257999999999996</v>
      </c>
      <c r="AG1896">
        <f>'raw data Crude oil'!AG1897</f>
        <v>78.718000000000004</v>
      </c>
      <c r="AH1896">
        <f>'raw data Crude oil'!AH1897</f>
        <v>78.266999999999996</v>
      </c>
      <c r="AI1896">
        <f>'raw data Crude oil'!AI1897</f>
        <v>77.858000000000004</v>
      </c>
      <c r="AJ1896">
        <f>'raw data Crude oil'!AJ1897</f>
        <v>77.504999999999995</v>
      </c>
      <c r="AK1896">
        <f>'raw data Crude oil'!AK1897</f>
        <v>77.224999999999994</v>
      </c>
    </row>
    <row r="1897" spans="1:37" x14ac:dyDescent="0.3">
      <c r="A1897" s="18">
        <f>'raw data Crude oil'!A1898</f>
        <v>45418</v>
      </c>
      <c r="B1897">
        <f>'raw data Crude oil'!B1898</f>
        <v>83.33</v>
      </c>
      <c r="C1897">
        <f>'raw data Crude oil'!C1898</f>
        <v>82.84</v>
      </c>
      <c r="D1897">
        <f>'raw data Crude oil'!D1898</f>
        <v>82.32</v>
      </c>
      <c r="E1897">
        <f>'raw data Crude oil'!E1898</f>
        <v>81.78</v>
      </c>
      <c r="F1897">
        <f>'raw data Crude oil'!F1898</f>
        <v>81.290000000000006</v>
      </c>
      <c r="G1897">
        <f>'raw data Crude oil'!G1898</f>
        <v>80.8</v>
      </c>
      <c r="H1897">
        <f>'raw data Crude oil'!H1898</f>
        <v>80.33</v>
      </c>
      <c r="I1897">
        <f>'raw data Crude oil'!I1898</f>
        <v>79.87</v>
      </c>
      <c r="J1897">
        <f>'raw data Crude oil'!J1898</f>
        <v>79.44</v>
      </c>
      <c r="K1897">
        <f>'raw data Crude oil'!K1898</f>
        <v>79.040000000000006</v>
      </c>
      <c r="L1897">
        <f>'raw data Crude oil'!L1898</f>
        <v>78.69</v>
      </c>
      <c r="M1897">
        <f>'raw data Crude oil'!M1898</f>
        <v>78.38</v>
      </c>
      <c r="N1897">
        <f>'raw data Crude oil'!N1898</f>
        <v>78.48</v>
      </c>
      <c r="O1897">
        <f>'raw data Crude oil'!O1898</f>
        <v>78.14</v>
      </c>
      <c r="P1897">
        <f>'raw data Crude oil'!P1898</f>
        <v>77.739999999999995</v>
      </c>
      <c r="Q1897">
        <f>'raw data Crude oil'!Q1898</f>
        <v>77.27</v>
      </c>
      <c r="R1897">
        <f>'raw data Crude oil'!R1898</f>
        <v>76.77</v>
      </c>
      <c r="S1897">
        <f>'raw data Crude oil'!S1898</f>
        <v>76.290000000000006</v>
      </c>
      <c r="T1897">
        <f>'raw data Crude oil'!T1898</f>
        <v>75.84</v>
      </c>
      <c r="U1897">
        <f>'raw data Crude oil'!U1898</f>
        <v>75.37</v>
      </c>
      <c r="V1897">
        <f>'raw data Crude oil'!V1898</f>
        <v>74.92</v>
      </c>
      <c r="W1897">
        <f>'raw data Crude oil'!W1898</f>
        <v>74.48</v>
      </c>
      <c r="X1897">
        <f>'raw data Crude oil'!X1898</f>
        <v>74.08</v>
      </c>
      <c r="Y1897">
        <f>'raw data Crude oil'!Y1898</f>
        <v>73.709999999999994</v>
      </c>
      <c r="Z1897">
        <f>'raw data Crude oil'!Z1898</f>
        <v>83.659000000000006</v>
      </c>
      <c r="AA1897">
        <f>'raw data Crude oil'!AA1898</f>
        <v>82.849000000000004</v>
      </c>
      <c r="AB1897">
        <f>'raw data Crude oil'!AB1898</f>
        <v>82.054000000000002</v>
      </c>
      <c r="AC1897">
        <f>'raw data Crude oil'!AC1898</f>
        <v>81.376999999999995</v>
      </c>
      <c r="AD1897">
        <f>'raw data Crude oil'!AD1898</f>
        <v>80.775999999999996</v>
      </c>
      <c r="AE1897">
        <f>'raw data Crude oil'!AE1898</f>
        <v>80.209999999999994</v>
      </c>
      <c r="AF1897">
        <f>'raw data Crude oil'!AF1898</f>
        <v>79.680000000000007</v>
      </c>
      <c r="AG1897">
        <f>'raw data Crude oil'!AG1898</f>
        <v>79.16</v>
      </c>
      <c r="AH1897">
        <f>'raw data Crude oil'!AH1898</f>
        <v>78.691999999999993</v>
      </c>
      <c r="AI1897">
        <f>'raw data Crude oil'!AI1898</f>
        <v>78.283000000000001</v>
      </c>
      <c r="AJ1897">
        <f>'raw data Crude oil'!AJ1898</f>
        <v>77.924999999999997</v>
      </c>
      <c r="AK1897">
        <f>'raw data Crude oil'!AK1898</f>
        <v>77.635000000000005</v>
      </c>
    </row>
    <row r="1898" spans="1:37" x14ac:dyDescent="0.3">
      <c r="A1898" s="18">
        <f>'raw data Crude oil'!A1899</f>
        <v>45419</v>
      </c>
      <c r="B1898">
        <f>'raw data Crude oil'!B1899</f>
        <v>83.16</v>
      </c>
      <c r="C1898">
        <f>'raw data Crude oil'!C1899</f>
        <v>82.72</v>
      </c>
      <c r="D1898">
        <f>'raw data Crude oil'!D1899</f>
        <v>82.23</v>
      </c>
      <c r="E1898">
        <f>'raw data Crude oil'!E1899</f>
        <v>81.7</v>
      </c>
      <c r="F1898">
        <f>'raw data Crude oil'!F1899</f>
        <v>81.209999999999994</v>
      </c>
      <c r="G1898">
        <f>'raw data Crude oil'!G1899</f>
        <v>80.73</v>
      </c>
      <c r="H1898">
        <f>'raw data Crude oil'!H1899</f>
        <v>80.260000000000005</v>
      </c>
      <c r="I1898">
        <f>'raw data Crude oil'!I1899</f>
        <v>79.81</v>
      </c>
      <c r="J1898">
        <f>'raw data Crude oil'!J1899</f>
        <v>79.37</v>
      </c>
      <c r="K1898">
        <f>'raw data Crude oil'!K1899</f>
        <v>78.959999999999994</v>
      </c>
      <c r="L1898">
        <f>'raw data Crude oil'!L1899</f>
        <v>78.59</v>
      </c>
      <c r="M1898">
        <f>'raw data Crude oil'!M1899</f>
        <v>78.27</v>
      </c>
      <c r="N1898">
        <f>'raw data Crude oil'!N1899</f>
        <v>78.38</v>
      </c>
      <c r="O1898">
        <f>'raw data Crude oil'!O1899</f>
        <v>78.06</v>
      </c>
      <c r="P1898">
        <f>'raw data Crude oil'!P1899</f>
        <v>77.680000000000007</v>
      </c>
      <c r="Q1898">
        <f>'raw data Crude oil'!Q1899</f>
        <v>77.239999999999995</v>
      </c>
      <c r="R1898">
        <f>'raw data Crude oil'!R1899</f>
        <v>76.760000000000005</v>
      </c>
      <c r="S1898">
        <f>'raw data Crude oil'!S1899</f>
        <v>76.290000000000006</v>
      </c>
      <c r="T1898">
        <f>'raw data Crude oil'!T1899</f>
        <v>75.84</v>
      </c>
      <c r="U1898">
        <f>'raw data Crude oil'!U1899</f>
        <v>75.38</v>
      </c>
      <c r="V1898">
        <f>'raw data Crude oil'!V1899</f>
        <v>74.92</v>
      </c>
      <c r="W1898">
        <f>'raw data Crude oil'!W1899</f>
        <v>74.489999999999995</v>
      </c>
      <c r="X1898">
        <f>'raw data Crude oil'!X1899</f>
        <v>74.09</v>
      </c>
      <c r="Y1898">
        <f>'raw data Crude oil'!Y1899</f>
        <v>73.7</v>
      </c>
      <c r="Z1898">
        <f>'raw data Crude oil'!Z1899</f>
        <v>83.804000000000002</v>
      </c>
      <c r="AA1898">
        <f>'raw data Crude oil'!AA1899</f>
        <v>82.834999999999994</v>
      </c>
      <c r="AB1898">
        <f>'raw data Crude oil'!AB1899</f>
        <v>82.046000000000006</v>
      </c>
      <c r="AC1898">
        <f>'raw data Crude oil'!AC1899</f>
        <v>81.366</v>
      </c>
      <c r="AD1898">
        <f>'raw data Crude oil'!AD1899</f>
        <v>80.760999999999996</v>
      </c>
      <c r="AE1898">
        <f>'raw data Crude oil'!AE1899</f>
        <v>80.194999999999993</v>
      </c>
      <c r="AF1898">
        <f>'raw data Crude oil'!AF1899</f>
        <v>79.653999999999996</v>
      </c>
      <c r="AG1898">
        <f>'raw data Crude oil'!AG1899</f>
        <v>79.132999999999996</v>
      </c>
      <c r="AH1898">
        <f>'raw data Crude oil'!AH1899</f>
        <v>78.680999999999997</v>
      </c>
      <c r="AI1898">
        <f>'raw data Crude oil'!AI1899</f>
        <v>78.262</v>
      </c>
      <c r="AJ1898">
        <f>'raw data Crude oil'!AJ1899</f>
        <v>77.885000000000005</v>
      </c>
      <c r="AK1898">
        <f>'raw data Crude oil'!AK1899</f>
        <v>77.563999999999993</v>
      </c>
    </row>
    <row r="1899" spans="1:37" x14ac:dyDescent="0.3">
      <c r="A1899" s="18">
        <f>'raw data Crude oil'!A1900</f>
        <v>45420</v>
      </c>
      <c r="B1899">
        <f>'raw data Crude oil'!B1900</f>
        <v>83.58</v>
      </c>
      <c r="C1899">
        <f>'raw data Crude oil'!C1900</f>
        <v>83</v>
      </c>
      <c r="D1899">
        <f>'raw data Crude oil'!D1900</f>
        <v>82.42</v>
      </c>
      <c r="E1899">
        <f>'raw data Crude oil'!E1900</f>
        <v>81.84</v>
      </c>
      <c r="F1899">
        <f>'raw data Crude oil'!F1900</f>
        <v>81.3</v>
      </c>
      <c r="G1899">
        <f>'raw data Crude oil'!G1900</f>
        <v>80.77</v>
      </c>
      <c r="H1899">
        <f>'raw data Crude oil'!H1900</f>
        <v>80.260000000000005</v>
      </c>
      <c r="I1899">
        <f>'raw data Crude oil'!I1900</f>
        <v>79.77</v>
      </c>
      <c r="J1899">
        <f>'raw data Crude oil'!J1900</f>
        <v>79.3</v>
      </c>
      <c r="K1899">
        <f>'raw data Crude oil'!K1900</f>
        <v>78.87</v>
      </c>
      <c r="L1899">
        <f>'raw data Crude oil'!L1900</f>
        <v>78.489999999999995</v>
      </c>
      <c r="M1899">
        <f>'raw data Crude oil'!M1900</f>
        <v>78.16</v>
      </c>
      <c r="N1899">
        <f>'raw data Crude oil'!N1900</f>
        <v>78.989999999999995</v>
      </c>
      <c r="O1899">
        <f>'raw data Crude oil'!O1900</f>
        <v>78.56</v>
      </c>
      <c r="P1899">
        <f>'raw data Crude oil'!P1900</f>
        <v>78.069999999999993</v>
      </c>
      <c r="Q1899">
        <f>'raw data Crude oil'!Q1900</f>
        <v>77.53</v>
      </c>
      <c r="R1899">
        <f>'raw data Crude oil'!R1900</f>
        <v>76.97</v>
      </c>
      <c r="S1899">
        <f>'raw data Crude oil'!S1900</f>
        <v>76.430000000000007</v>
      </c>
      <c r="T1899">
        <f>'raw data Crude oil'!T1900</f>
        <v>75.92</v>
      </c>
      <c r="U1899">
        <f>'raw data Crude oil'!U1900</f>
        <v>75.430000000000007</v>
      </c>
      <c r="V1899">
        <f>'raw data Crude oil'!V1900</f>
        <v>74.94</v>
      </c>
      <c r="W1899">
        <f>'raw data Crude oil'!W1900</f>
        <v>74.48</v>
      </c>
      <c r="X1899">
        <f>'raw data Crude oil'!X1900</f>
        <v>74.05</v>
      </c>
      <c r="Y1899">
        <f>'raw data Crude oil'!Y1900</f>
        <v>73.650000000000006</v>
      </c>
      <c r="Z1899">
        <f>'raw data Crude oil'!Z1900</f>
        <v>83.986999999999995</v>
      </c>
      <c r="AA1899">
        <f>'raw data Crude oil'!AA1900</f>
        <v>83.156999999999996</v>
      </c>
      <c r="AB1899">
        <f>'raw data Crude oil'!AB1900</f>
        <v>82.31</v>
      </c>
      <c r="AC1899">
        <f>'raw data Crude oil'!AC1900</f>
        <v>81.555000000000007</v>
      </c>
      <c r="AD1899">
        <f>'raw data Crude oil'!AD1900</f>
        <v>80.876000000000005</v>
      </c>
      <c r="AE1899">
        <f>'raw data Crude oil'!AE1900</f>
        <v>80.256</v>
      </c>
      <c r="AF1899">
        <f>'raw data Crude oil'!AF1900</f>
        <v>79.674999999999997</v>
      </c>
      <c r="AG1899">
        <f>'raw data Crude oil'!AG1900</f>
        <v>79.113</v>
      </c>
      <c r="AH1899">
        <f>'raw data Crude oil'!AH1900</f>
        <v>78.617000000000004</v>
      </c>
      <c r="AI1899">
        <f>'raw data Crude oil'!AI1900</f>
        <v>78.171000000000006</v>
      </c>
      <c r="AJ1899">
        <f>'raw data Crude oil'!AJ1900</f>
        <v>77.784000000000006</v>
      </c>
      <c r="AK1899">
        <f>'raw data Crude oil'!AK1900</f>
        <v>77.444000000000003</v>
      </c>
    </row>
    <row r="1900" spans="1:37" x14ac:dyDescent="0.3">
      <c r="A1900" s="18">
        <f>'raw data Crude oil'!A1901</f>
        <v>45421</v>
      </c>
      <c r="B1900">
        <f>'raw data Crude oil'!B1901</f>
        <v>83.88</v>
      </c>
      <c r="C1900">
        <f>'raw data Crude oil'!C1901</f>
        <v>83.34</v>
      </c>
      <c r="D1900">
        <f>'raw data Crude oil'!D1901</f>
        <v>82.75</v>
      </c>
      <c r="E1900">
        <f>'raw data Crude oil'!E1901</f>
        <v>82.16</v>
      </c>
      <c r="F1900">
        <f>'raw data Crude oil'!F1901</f>
        <v>81.61</v>
      </c>
      <c r="G1900">
        <f>'raw data Crude oil'!G1901</f>
        <v>81.069999999999993</v>
      </c>
      <c r="H1900">
        <f>'raw data Crude oil'!H1901</f>
        <v>80.55</v>
      </c>
      <c r="I1900">
        <f>'raw data Crude oil'!I1901</f>
        <v>80.06</v>
      </c>
      <c r="J1900">
        <f>'raw data Crude oil'!J1901</f>
        <v>79.58</v>
      </c>
      <c r="K1900">
        <f>'raw data Crude oil'!K1901</f>
        <v>79.14</v>
      </c>
      <c r="L1900">
        <f>'raw data Crude oil'!L1901</f>
        <v>78.75</v>
      </c>
      <c r="M1900">
        <f>'raw data Crude oil'!M1901</f>
        <v>78.41</v>
      </c>
      <c r="N1900">
        <f>'raw data Crude oil'!N1901</f>
        <v>79.260000000000005</v>
      </c>
      <c r="O1900">
        <f>'raw data Crude oil'!O1901</f>
        <v>78.8</v>
      </c>
      <c r="P1900">
        <f>'raw data Crude oil'!P1901</f>
        <v>78.31</v>
      </c>
      <c r="Q1900">
        <f>'raw data Crude oil'!Q1901</f>
        <v>77.760000000000005</v>
      </c>
      <c r="R1900">
        <f>'raw data Crude oil'!R1901</f>
        <v>77.209999999999994</v>
      </c>
      <c r="S1900">
        <f>'raw data Crude oil'!S1901</f>
        <v>76.680000000000007</v>
      </c>
      <c r="T1900">
        <f>'raw data Crude oil'!T1901</f>
        <v>76.17</v>
      </c>
      <c r="U1900">
        <f>'raw data Crude oil'!U1901</f>
        <v>75.66</v>
      </c>
      <c r="V1900">
        <f>'raw data Crude oil'!V1901</f>
        <v>75.17</v>
      </c>
      <c r="W1900">
        <f>'raw data Crude oil'!W1901</f>
        <v>74.709999999999994</v>
      </c>
      <c r="X1900">
        <f>'raw data Crude oil'!X1901</f>
        <v>74.28</v>
      </c>
      <c r="Y1900">
        <f>'raw data Crude oil'!Y1901</f>
        <v>73.87</v>
      </c>
      <c r="Z1900">
        <f>'raw data Crude oil'!Z1901</f>
        <v>84.325000000000003</v>
      </c>
      <c r="AA1900">
        <f>'raw data Crude oil'!AA1901</f>
        <v>83.558999999999997</v>
      </c>
      <c r="AB1900">
        <f>'raw data Crude oil'!AB1901</f>
        <v>82.697999999999993</v>
      </c>
      <c r="AC1900">
        <f>'raw data Crude oil'!AC1901</f>
        <v>81.927999999999997</v>
      </c>
      <c r="AD1900">
        <f>'raw data Crude oil'!AD1901</f>
        <v>81.238</v>
      </c>
      <c r="AE1900">
        <f>'raw data Crude oil'!AE1901</f>
        <v>80.606999999999999</v>
      </c>
      <c r="AF1900">
        <f>'raw data Crude oil'!AF1901</f>
        <v>80.006</v>
      </c>
      <c r="AG1900">
        <f>'raw data Crude oil'!AG1901</f>
        <v>79.424000000000007</v>
      </c>
      <c r="AH1900">
        <f>'raw data Crude oil'!AH1901</f>
        <v>78.91</v>
      </c>
      <c r="AI1900">
        <f>'raw data Crude oil'!AI1901</f>
        <v>78.450999999999993</v>
      </c>
      <c r="AJ1900">
        <f>'raw data Crude oil'!AJ1901</f>
        <v>78.054000000000002</v>
      </c>
      <c r="AK1900">
        <f>'raw data Crude oil'!AK1901</f>
        <v>77.712999999999994</v>
      </c>
    </row>
    <row r="1901" spans="1:37" x14ac:dyDescent="0.3">
      <c r="A1901" s="18">
        <f>'raw data Crude oil'!A1902</f>
        <v>45422</v>
      </c>
      <c r="B1901">
        <f>'raw data Crude oil'!B1902</f>
        <v>82.79</v>
      </c>
      <c r="C1901">
        <f>'raw data Crude oil'!C1902</f>
        <v>82.36</v>
      </c>
      <c r="D1901">
        <f>'raw data Crude oil'!D1902</f>
        <v>81.83</v>
      </c>
      <c r="E1901">
        <f>'raw data Crude oil'!E1902</f>
        <v>81.28</v>
      </c>
      <c r="F1901">
        <f>'raw data Crude oil'!F1902</f>
        <v>80.75</v>
      </c>
      <c r="G1901">
        <f>'raw data Crude oil'!G1902</f>
        <v>80.23</v>
      </c>
      <c r="H1901">
        <f>'raw data Crude oil'!H1902</f>
        <v>79.73</v>
      </c>
      <c r="I1901">
        <f>'raw data Crude oil'!I1902</f>
        <v>79.260000000000005</v>
      </c>
      <c r="J1901">
        <f>'raw data Crude oil'!J1902</f>
        <v>78.81</v>
      </c>
      <c r="K1901">
        <f>'raw data Crude oil'!K1902</f>
        <v>78.39</v>
      </c>
      <c r="L1901">
        <f>'raw data Crude oil'!L1902</f>
        <v>78.02</v>
      </c>
      <c r="M1901">
        <f>'raw data Crude oil'!M1902</f>
        <v>77.69</v>
      </c>
      <c r="N1901">
        <f>'raw data Crude oil'!N1902</f>
        <v>78.260000000000005</v>
      </c>
      <c r="O1901">
        <f>'raw data Crude oil'!O1902</f>
        <v>77.84</v>
      </c>
      <c r="P1901">
        <f>'raw data Crude oil'!P1902</f>
        <v>77.41</v>
      </c>
      <c r="Q1901">
        <f>'raw data Crude oil'!Q1902</f>
        <v>76.92</v>
      </c>
      <c r="R1901">
        <f>'raw data Crude oil'!R1902</f>
        <v>76.400000000000006</v>
      </c>
      <c r="S1901">
        <f>'raw data Crude oil'!S1902</f>
        <v>75.900000000000006</v>
      </c>
      <c r="T1901">
        <f>'raw data Crude oil'!T1902</f>
        <v>75.41</v>
      </c>
      <c r="U1901">
        <f>'raw data Crude oil'!U1902</f>
        <v>74.930000000000007</v>
      </c>
      <c r="V1901">
        <f>'raw data Crude oil'!V1902</f>
        <v>74.47</v>
      </c>
      <c r="W1901">
        <f>'raw data Crude oil'!W1902</f>
        <v>74.03</v>
      </c>
      <c r="X1901">
        <f>'raw data Crude oil'!X1902</f>
        <v>73.599999999999994</v>
      </c>
      <c r="Y1901">
        <f>'raw data Crude oil'!Y1902</f>
        <v>73.2</v>
      </c>
      <c r="Z1901">
        <f>'raw data Crude oil'!Z1902</f>
        <v>83.757000000000005</v>
      </c>
      <c r="AA1901">
        <f>'raw data Crude oil'!AA1902</f>
        <v>82.649000000000001</v>
      </c>
      <c r="AB1901">
        <f>'raw data Crude oil'!AB1902</f>
        <v>81.817999999999998</v>
      </c>
      <c r="AC1901">
        <f>'raw data Crude oil'!AC1902</f>
        <v>81.067999999999998</v>
      </c>
      <c r="AD1901">
        <f>'raw data Crude oil'!AD1902</f>
        <v>80.396000000000001</v>
      </c>
      <c r="AE1901">
        <f>'raw data Crude oil'!AE1902</f>
        <v>79.784999999999997</v>
      </c>
      <c r="AF1901">
        <f>'raw data Crude oil'!AF1902</f>
        <v>79.212999999999994</v>
      </c>
      <c r="AG1901">
        <f>'raw data Crude oil'!AG1902</f>
        <v>78.652000000000001</v>
      </c>
      <c r="AH1901">
        <f>'raw data Crude oil'!AH1902</f>
        <v>78.171000000000006</v>
      </c>
      <c r="AI1901">
        <f>'raw data Crude oil'!AI1902</f>
        <v>77.736999999999995</v>
      </c>
      <c r="AJ1901">
        <f>'raw data Crude oil'!AJ1902</f>
        <v>77.353999999999999</v>
      </c>
      <c r="AK1901">
        <f>'raw data Crude oil'!AK1902</f>
        <v>77.013999999999996</v>
      </c>
    </row>
    <row r="1902" spans="1:37" x14ac:dyDescent="0.3">
      <c r="A1902" s="18">
        <f>'raw data Crude oil'!A1903</f>
        <v>45425</v>
      </c>
      <c r="B1902">
        <f>'raw data Crude oil'!B1903</f>
        <v>83.36</v>
      </c>
      <c r="C1902">
        <f>'raw data Crude oil'!C1903</f>
        <v>82.91</v>
      </c>
      <c r="D1902">
        <f>'raw data Crude oil'!D1903</f>
        <v>82.37</v>
      </c>
      <c r="E1902">
        <f>'raw data Crude oil'!E1903</f>
        <v>81.819999999999993</v>
      </c>
      <c r="F1902">
        <f>'raw data Crude oil'!F1903</f>
        <v>81.290000000000006</v>
      </c>
      <c r="G1902">
        <f>'raw data Crude oil'!G1903</f>
        <v>80.77</v>
      </c>
      <c r="H1902">
        <f>'raw data Crude oil'!H1903</f>
        <v>80.27</v>
      </c>
      <c r="I1902">
        <f>'raw data Crude oil'!I1903</f>
        <v>79.8</v>
      </c>
      <c r="J1902">
        <f>'raw data Crude oil'!J1903</f>
        <v>79.34</v>
      </c>
      <c r="K1902">
        <f>'raw data Crude oil'!K1903</f>
        <v>78.900000000000006</v>
      </c>
      <c r="L1902">
        <f>'raw data Crude oil'!L1903</f>
        <v>78.510000000000005</v>
      </c>
      <c r="M1902">
        <f>'raw data Crude oil'!M1903</f>
        <v>78.17</v>
      </c>
      <c r="N1902">
        <f>'raw data Crude oil'!N1903</f>
        <v>79.12</v>
      </c>
      <c r="O1902">
        <f>'raw data Crude oil'!O1903</f>
        <v>78.599999999999994</v>
      </c>
      <c r="P1902">
        <f>'raw data Crude oil'!P1903</f>
        <v>78.08</v>
      </c>
      <c r="Q1902">
        <f>'raw data Crude oil'!Q1903</f>
        <v>77.52</v>
      </c>
      <c r="R1902">
        <f>'raw data Crude oil'!R1903</f>
        <v>76.959999999999994</v>
      </c>
      <c r="S1902">
        <f>'raw data Crude oil'!S1903</f>
        <v>76.430000000000007</v>
      </c>
      <c r="T1902">
        <f>'raw data Crude oil'!T1903</f>
        <v>75.930000000000007</v>
      </c>
      <c r="U1902">
        <f>'raw data Crude oil'!U1903</f>
        <v>75.44</v>
      </c>
      <c r="V1902">
        <f>'raw data Crude oil'!V1903</f>
        <v>74.97</v>
      </c>
      <c r="W1902">
        <f>'raw data Crude oil'!W1903</f>
        <v>74.510000000000005</v>
      </c>
      <c r="X1902">
        <f>'raw data Crude oil'!X1903</f>
        <v>74.08</v>
      </c>
      <c r="Y1902">
        <f>'raw data Crude oil'!Y1903</f>
        <v>73.67</v>
      </c>
      <c r="Z1902">
        <f>'raw data Crude oil'!Z1903</f>
        <v>84.108000000000004</v>
      </c>
      <c r="AA1902">
        <f>'raw data Crude oil'!AA1903</f>
        <v>83.224000000000004</v>
      </c>
      <c r="AB1902">
        <f>'raw data Crude oil'!AB1903</f>
        <v>82.384</v>
      </c>
      <c r="AC1902">
        <f>'raw data Crude oil'!AC1903</f>
        <v>81.634</v>
      </c>
      <c r="AD1902">
        <f>'raw data Crude oil'!AD1903</f>
        <v>80.957999999999998</v>
      </c>
      <c r="AE1902">
        <f>'raw data Crude oil'!AE1903</f>
        <v>80.347999999999999</v>
      </c>
      <c r="AF1902">
        <f>'raw data Crude oil'!AF1903</f>
        <v>79.772999999999996</v>
      </c>
      <c r="AG1902">
        <f>'raw data Crude oil'!AG1903</f>
        <v>79.221000000000004</v>
      </c>
      <c r="AH1902">
        <f>'raw data Crude oil'!AH1903</f>
        <v>78.73</v>
      </c>
      <c r="AI1902">
        <f>'raw data Crude oil'!AI1903</f>
        <v>78.290999999999997</v>
      </c>
      <c r="AJ1902">
        <f>'raw data Crude oil'!AJ1903</f>
        <v>77.894000000000005</v>
      </c>
      <c r="AK1902">
        <f>'raw data Crude oil'!AK1903</f>
        <v>77.534000000000006</v>
      </c>
    </row>
    <row r="1903" spans="1:37" x14ac:dyDescent="0.3">
      <c r="A1903" s="18">
        <f>'raw data Crude oil'!A1904</f>
        <v>45426</v>
      </c>
      <c r="B1903">
        <f>'raw data Crude oil'!B1904</f>
        <v>82.38</v>
      </c>
      <c r="C1903">
        <f>'raw data Crude oil'!C1904</f>
        <v>81.96</v>
      </c>
      <c r="D1903">
        <f>'raw data Crude oil'!D1904</f>
        <v>81.47</v>
      </c>
      <c r="E1903">
        <f>'raw data Crude oil'!E1904</f>
        <v>80.959999999999994</v>
      </c>
      <c r="F1903">
        <f>'raw data Crude oil'!F1904</f>
        <v>80.47</v>
      </c>
      <c r="G1903">
        <f>'raw data Crude oil'!G1904</f>
        <v>79.989999999999995</v>
      </c>
      <c r="H1903">
        <f>'raw data Crude oil'!H1904</f>
        <v>79.53</v>
      </c>
      <c r="I1903">
        <f>'raw data Crude oil'!I1904</f>
        <v>79.09</v>
      </c>
      <c r="J1903">
        <f>'raw data Crude oil'!J1904</f>
        <v>78.67</v>
      </c>
      <c r="K1903">
        <f>'raw data Crude oil'!K1904</f>
        <v>78.28</v>
      </c>
      <c r="L1903">
        <f>'raw data Crude oil'!L1904</f>
        <v>77.94</v>
      </c>
      <c r="M1903">
        <f>'raw data Crude oil'!M1904</f>
        <v>77.650000000000006</v>
      </c>
      <c r="N1903">
        <f>'raw data Crude oil'!N1904</f>
        <v>78.02</v>
      </c>
      <c r="O1903">
        <f>'raw data Crude oil'!O1904</f>
        <v>77.650000000000006</v>
      </c>
      <c r="P1903">
        <f>'raw data Crude oil'!P1904</f>
        <v>77.2</v>
      </c>
      <c r="Q1903">
        <f>'raw data Crude oil'!Q1904</f>
        <v>76.69</v>
      </c>
      <c r="R1903">
        <f>'raw data Crude oil'!R1904</f>
        <v>76.16</v>
      </c>
      <c r="S1903">
        <f>'raw data Crude oil'!S1904</f>
        <v>75.680000000000007</v>
      </c>
      <c r="T1903">
        <f>'raw data Crude oil'!T1904</f>
        <v>75.23</v>
      </c>
      <c r="U1903">
        <f>'raw data Crude oil'!U1904</f>
        <v>74.790000000000006</v>
      </c>
      <c r="V1903">
        <f>'raw data Crude oil'!V1904</f>
        <v>74.349999999999994</v>
      </c>
      <c r="W1903">
        <f>'raw data Crude oil'!W1904</f>
        <v>73.930000000000007</v>
      </c>
      <c r="X1903">
        <f>'raw data Crude oil'!X1904</f>
        <v>73.540000000000006</v>
      </c>
      <c r="Y1903">
        <f>'raw data Crude oil'!Y1904</f>
        <v>73.17</v>
      </c>
      <c r="Z1903">
        <f>'raw data Crude oil'!Z1904</f>
        <v>83.466999999999999</v>
      </c>
      <c r="AA1903">
        <f>'raw data Crude oil'!AA1904</f>
        <v>82.138999999999996</v>
      </c>
      <c r="AB1903">
        <f>'raw data Crude oil'!AB1904</f>
        <v>81.347999999999999</v>
      </c>
      <c r="AC1903">
        <f>'raw data Crude oil'!AC1904</f>
        <v>80.668000000000006</v>
      </c>
      <c r="AD1903">
        <f>'raw data Crude oil'!AD1904</f>
        <v>80.037000000000006</v>
      </c>
      <c r="AE1903">
        <f>'raw data Crude oil'!AE1904</f>
        <v>79.474999999999994</v>
      </c>
      <c r="AF1903">
        <f>'raw data Crude oil'!AF1904</f>
        <v>78.944000000000003</v>
      </c>
      <c r="AG1903">
        <f>'raw data Crude oil'!AG1904</f>
        <v>78.423000000000002</v>
      </c>
      <c r="AH1903">
        <f>'raw data Crude oil'!AH1904</f>
        <v>77.972999999999999</v>
      </c>
      <c r="AI1903">
        <f>'raw data Crude oil'!AI1904</f>
        <v>77.602999999999994</v>
      </c>
      <c r="AJ1903">
        <f>'raw data Crude oil'!AJ1904</f>
        <v>77.256</v>
      </c>
      <c r="AK1903">
        <f>'raw data Crude oil'!AK1904</f>
        <v>76.945999999999998</v>
      </c>
    </row>
    <row r="1904" spans="1:37" x14ac:dyDescent="0.3">
      <c r="A1904" s="18">
        <f>'raw data Crude oil'!A1905</f>
        <v>45427</v>
      </c>
      <c r="B1904">
        <f>'raw data Crude oil'!B1905</f>
        <v>82.75</v>
      </c>
      <c r="C1904">
        <f>'raw data Crude oil'!C1905</f>
        <v>82.33</v>
      </c>
      <c r="D1904">
        <f>'raw data Crude oil'!D1905</f>
        <v>81.83</v>
      </c>
      <c r="E1904">
        <f>'raw data Crude oil'!E1905</f>
        <v>81.3</v>
      </c>
      <c r="F1904">
        <f>'raw data Crude oil'!F1905</f>
        <v>80.78</v>
      </c>
      <c r="G1904">
        <f>'raw data Crude oil'!G1905</f>
        <v>80.28</v>
      </c>
      <c r="H1904">
        <f>'raw data Crude oil'!H1905</f>
        <v>79.81</v>
      </c>
      <c r="I1904">
        <f>'raw data Crude oil'!I1905</f>
        <v>79.36</v>
      </c>
      <c r="J1904">
        <f>'raw data Crude oil'!J1905</f>
        <v>78.930000000000007</v>
      </c>
      <c r="K1904">
        <f>'raw data Crude oil'!K1905</f>
        <v>78.53</v>
      </c>
      <c r="L1904">
        <f>'raw data Crude oil'!L1905</f>
        <v>78.180000000000007</v>
      </c>
      <c r="M1904">
        <f>'raw data Crude oil'!M1905</f>
        <v>77.87</v>
      </c>
      <c r="N1904">
        <f>'raw data Crude oil'!N1905</f>
        <v>78.63</v>
      </c>
      <c r="O1904">
        <f>'raw data Crude oil'!O1905</f>
        <v>78.16</v>
      </c>
      <c r="P1904">
        <f>'raw data Crude oil'!P1905</f>
        <v>77.680000000000007</v>
      </c>
      <c r="Q1904">
        <f>'raw data Crude oil'!Q1905</f>
        <v>77.14</v>
      </c>
      <c r="R1904">
        <f>'raw data Crude oil'!R1905</f>
        <v>76.58</v>
      </c>
      <c r="S1904">
        <f>'raw data Crude oil'!S1905</f>
        <v>76.06</v>
      </c>
      <c r="T1904">
        <f>'raw data Crude oil'!T1905</f>
        <v>75.56</v>
      </c>
      <c r="U1904">
        <f>'raw data Crude oil'!U1905</f>
        <v>75.08</v>
      </c>
      <c r="V1904">
        <f>'raw data Crude oil'!V1905</f>
        <v>74.64</v>
      </c>
      <c r="W1904">
        <f>'raw data Crude oil'!W1905</f>
        <v>74.2</v>
      </c>
      <c r="X1904">
        <f>'raw data Crude oil'!X1905</f>
        <v>73.790000000000006</v>
      </c>
      <c r="Y1904">
        <f>'raw data Crude oil'!Y1905</f>
        <v>73.42</v>
      </c>
      <c r="Z1904">
        <f>'raw data Crude oil'!Z1905</f>
        <v>83.668999999999997</v>
      </c>
      <c r="AA1904">
        <f>'raw data Crude oil'!AA1905</f>
        <v>82.486000000000004</v>
      </c>
      <c r="AB1904">
        <f>'raw data Crude oil'!AB1905</f>
        <v>81.698999999999998</v>
      </c>
      <c r="AC1904">
        <f>'raw data Crude oil'!AC1905</f>
        <v>81.016000000000005</v>
      </c>
      <c r="AD1904">
        <f>'raw data Crude oil'!AD1905</f>
        <v>80.385999999999996</v>
      </c>
      <c r="AE1904">
        <f>'raw data Crude oil'!AE1905</f>
        <v>79.813999999999993</v>
      </c>
      <c r="AF1904">
        <f>'raw data Crude oil'!AF1905</f>
        <v>79.263000000000005</v>
      </c>
      <c r="AG1904">
        <f>'raw data Crude oil'!AG1905</f>
        <v>78.728999999999999</v>
      </c>
      <c r="AH1904">
        <f>'raw data Crude oil'!AH1905</f>
        <v>78.272000000000006</v>
      </c>
      <c r="AI1904">
        <f>'raw data Crude oil'!AI1905</f>
        <v>77.852999999999994</v>
      </c>
      <c r="AJ1904">
        <f>'raw data Crude oil'!AJ1905</f>
        <v>77.484999999999999</v>
      </c>
      <c r="AK1904">
        <f>'raw data Crude oil'!AK1905</f>
        <v>77.165000000000006</v>
      </c>
    </row>
    <row r="1905" spans="1:37" x14ac:dyDescent="0.3">
      <c r="A1905" s="18">
        <f>'raw data Crude oil'!A1906</f>
        <v>45428</v>
      </c>
      <c r="B1905">
        <f>'raw data Crude oil'!B1906</f>
        <v>83.27</v>
      </c>
      <c r="C1905">
        <f>'raw data Crude oil'!C1906</f>
        <v>82.87</v>
      </c>
      <c r="D1905">
        <f>'raw data Crude oil'!D1906</f>
        <v>82.36</v>
      </c>
      <c r="E1905">
        <f>'raw data Crude oil'!E1906</f>
        <v>81.819999999999993</v>
      </c>
      <c r="F1905">
        <f>'raw data Crude oil'!F1906</f>
        <v>81.3</v>
      </c>
      <c r="G1905">
        <f>'raw data Crude oil'!G1906</f>
        <v>80.8</v>
      </c>
      <c r="H1905">
        <f>'raw data Crude oil'!H1906</f>
        <v>80.319999999999993</v>
      </c>
      <c r="I1905">
        <f>'raw data Crude oil'!I1906</f>
        <v>79.87</v>
      </c>
      <c r="J1905">
        <f>'raw data Crude oil'!J1906</f>
        <v>79.44</v>
      </c>
      <c r="K1905">
        <f>'raw data Crude oil'!K1906</f>
        <v>79.040000000000006</v>
      </c>
      <c r="L1905">
        <f>'raw data Crude oil'!L1906</f>
        <v>78.680000000000007</v>
      </c>
      <c r="M1905">
        <f>'raw data Crude oil'!M1906</f>
        <v>78.37</v>
      </c>
      <c r="N1905">
        <f>'raw data Crude oil'!N1906</f>
        <v>79.23</v>
      </c>
      <c r="O1905">
        <f>'raw data Crude oil'!O1906</f>
        <v>78.739999999999995</v>
      </c>
      <c r="P1905">
        <f>'raw data Crude oil'!P1906</f>
        <v>78.27</v>
      </c>
      <c r="Q1905">
        <f>'raw data Crude oil'!Q1906</f>
        <v>77.73</v>
      </c>
      <c r="R1905">
        <f>'raw data Crude oil'!R1906</f>
        <v>77.17</v>
      </c>
      <c r="S1905">
        <f>'raw data Crude oil'!S1906</f>
        <v>76.64</v>
      </c>
      <c r="T1905">
        <f>'raw data Crude oil'!T1906</f>
        <v>76.150000000000006</v>
      </c>
      <c r="U1905">
        <f>'raw data Crude oil'!U1906</f>
        <v>75.66</v>
      </c>
      <c r="V1905">
        <f>'raw data Crude oil'!V1906</f>
        <v>75.2</v>
      </c>
      <c r="W1905">
        <f>'raw data Crude oil'!W1906</f>
        <v>74.75</v>
      </c>
      <c r="X1905">
        <f>'raw data Crude oil'!X1906</f>
        <v>74.34</v>
      </c>
      <c r="Y1905">
        <f>'raw data Crude oil'!Y1906</f>
        <v>73.95</v>
      </c>
      <c r="Z1905">
        <f>'raw data Crude oil'!Z1906</f>
        <v>83.97</v>
      </c>
      <c r="AA1905">
        <f>'raw data Crude oil'!AA1906</f>
        <v>83.078000000000003</v>
      </c>
      <c r="AB1905">
        <f>'raw data Crude oil'!AB1906</f>
        <v>82.287999999999997</v>
      </c>
      <c r="AC1905">
        <f>'raw data Crude oil'!AC1906</f>
        <v>81.566000000000003</v>
      </c>
      <c r="AD1905">
        <f>'raw data Crude oil'!AD1906</f>
        <v>80.915999999999997</v>
      </c>
      <c r="AE1905">
        <f>'raw data Crude oil'!AE1906</f>
        <v>80.323999999999998</v>
      </c>
      <c r="AF1905">
        <f>'raw data Crude oil'!AF1906</f>
        <v>79.774000000000001</v>
      </c>
      <c r="AG1905">
        <f>'raw data Crude oil'!AG1906</f>
        <v>79.248999999999995</v>
      </c>
      <c r="AH1905">
        <f>'raw data Crude oil'!AH1906</f>
        <v>78.781999999999996</v>
      </c>
      <c r="AI1905">
        <f>'raw data Crude oil'!AI1906</f>
        <v>78.361999999999995</v>
      </c>
      <c r="AJ1905">
        <f>'raw data Crude oil'!AJ1906</f>
        <v>77.984999999999999</v>
      </c>
      <c r="AK1905">
        <f>'raw data Crude oil'!AK1906</f>
        <v>77.655000000000001</v>
      </c>
    </row>
    <row r="1906" spans="1:37" x14ac:dyDescent="0.3">
      <c r="A1906" s="18">
        <f>'raw data Crude oil'!A1907</f>
        <v>45429</v>
      </c>
      <c r="B1906">
        <f>'raw data Crude oil'!B1907</f>
        <v>83.98</v>
      </c>
      <c r="C1906">
        <f>'raw data Crude oil'!C1907</f>
        <v>83.63</v>
      </c>
      <c r="D1906">
        <f>'raw data Crude oil'!D1907</f>
        <v>83.14</v>
      </c>
      <c r="E1906">
        <f>'raw data Crude oil'!E1907</f>
        <v>82.6</v>
      </c>
      <c r="F1906">
        <f>'raw data Crude oil'!F1907</f>
        <v>82.06</v>
      </c>
      <c r="G1906">
        <f>'raw data Crude oil'!G1907</f>
        <v>81.540000000000006</v>
      </c>
      <c r="H1906">
        <f>'raw data Crude oil'!H1907</f>
        <v>81.040000000000006</v>
      </c>
      <c r="I1906">
        <f>'raw data Crude oil'!I1907</f>
        <v>80.56</v>
      </c>
      <c r="J1906">
        <f>'raw data Crude oil'!J1907</f>
        <v>80.11</v>
      </c>
      <c r="K1906">
        <f>'raw data Crude oil'!K1907</f>
        <v>79.7</v>
      </c>
      <c r="L1906">
        <f>'raw data Crude oil'!L1907</f>
        <v>79.33</v>
      </c>
      <c r="M1906">
        <f>'raw data Crude oil'!M1907</f>
        <v>79</v>
      </c>
      <c r="N1906">
        <f>'raw data Crude oil'!N1907</f>
        <v>80.06</v>
      </c>
      <c r="O1906">
        <f>'raw data Crude oil'!O1907</f>
        <v>79.58</v>
      </c>
      <c r="P1906">
        <f>'raw data Crude oil'!P1907</f>
        <v>79.12</v>
      </c>
      <c r="Q1906">
        <f>'raw data Crude oil'!Q1907</f>
        <v>78.58</v>
      </c>
      <c r="R1906">
        <f>'raw data Crude oil'!R1907</f>
        <v>78.010000000000005</v>
      </c>
      <c r="S1906">
        <f>'raw data Crude oil'!S1907</f>
        <v>77.459999999999994</v>
      </c>
      <c r="T1906">
        <f>'raw data Crude oil'!T1907</f>
        <v>76.94</v>
      </c>
      <c r="U1906">
        <f>'raw data Crude oil'!U1907</f>
        <v>76.430000000000007</v>
      </c>
      <c r="V1906">
        <f>'raw data Crude oil'!V1907</f>
        <v>75.95</v>
      </c>
      <c r="W1906">
        <f>'raw data Crude oil'!W1907</f>
        <v>75.489999999999995</v>
      </c>
      <c r="X1906">
        <f>'raw data Crude oil'!X1907</f>
        <v>75.05</v>
      </c>
      <c r="Y1906">
        <f>'raw data Crude oil'!Y1907</f>
        <v>74.64</v>
      </c>
      <c r="Z1906">
        <f>'raw data Crude oil'!Z1907</f>
        <v>84.381</v>
      </c>
      <c r="AA1906">
        <f>'raw data Crude oil'!AA1907</f>
        <v>83.956999999999994</v>
      </c>
      <c r="AB1906">
        <f>'raw data Crude oil'!AB1907</f>
        <v>83.137</v>
      </c>
      <c r="AC1906">
        <f>'raw data Crude oil'!AC1907</f>
        <v>82.405000000000001</v>
      </c>
      <c r="AD1906">
        <f>'raw data Crude oil'!AD1907</f>
        <v>81.718000000000004</v>
      </c>
      <c r="AE1906">
        <f>'raw data Crude oil'!AE1907</f>
        <v>81.108000000000004</v>
      </c>
      <c r="AF1906">
        <f>'raw data Crude oil'!AF1907</f>
        <v>80.527000000000001</v>
      </c>
      <c r="AG1906">
        <f>'raw data Crude oil'!AG1907</f>
        <v>79.966999999999999</v>
      </c>
      <c r="AH1906">
        <f>'raw data Crude oil'!AH1907</f>
        <v>79.480999999999995</v>
      </c>
      <c r="AI1906">
        <f>'raw data Crude oil'!AI1907</f>
        <v>79.052000000000007</v>
      </c>
      <c r="AJ1906">
        <f>'raw data Crude oil'!AJ1907</f>
        <v>78.664000000000001</v>
      </c>
      <c r="AK1906">
        <f>'raw data Crude oil'!AK1907</f>
        <v>78.325000000000003</v>
      </c>
    </row>
    <row r="1907" spans="1:37" x14ac:dyDescent="0.3">
      <c r="A1907" s="18">
        <f>'raw data Crude oil'!A1908</f>
        <v>45432</v>
      </c>
      <c r="B1907">
        <f>'raw data Crude oil'!B1908</f>
        <v>83.71</v>
      </c>
      <c r="C1907">
        <f>'raw data Crude oil'!C1908</f>
        <v>83.46</v>
      </c>
      <c r="D1907">
        <f>'raw data Crude oil'!D1908</f>
        <v>83.05</v>
      </c>
      <c r="E1907">
        <f>'raw data Crude oil'!E1908</f>
        <v>82.57</v>
      </c>
      <c r="F1907">
        <f>'raw data Crude oil'!F1908</f>
        <v>82.06</v>
      </c>
      <c r="G1907">
        <f>'raw data Crude oil'!G1908</f>
        <v>81.55</v>
      </c>
      <c r="H1907">
        <f>'raw data Crude oil'!H1908</f>
        <v>81.069999999999993</v>
      </c>
      <c r="I1907">
        <f>'raw data Crude oil'!I1908</f>
        <v>80.61</v>
      </c>
      <c r="J1907">
        <f>'raw data Crude oil'!J1908</f>
        <v>80.17</v>
      </c>
      <c r="K1907">
        <f>'raw data Crude oil'!K1908</f>
        <v>79.77</v>
      </c>
      <c r="L1907">
        <f>'raw data Crude oil'!L1908</f>
        <v>79.41</v>
      </c>
      <c r="M1907">
        <f>'raw data Crude oil'!M1908</f>
        <v>79.099999999999994</v>
      </c>
      <c r="N1907">
        <f>'raw data Crude oil'!N1908</f>
        <v>79.8</v>
      </c>
      <c r="O1907">
        <f>'raw data Crude oil'!O1908</f>
        <v>79.3</v>
      </c>
      <c r="P1907">
        <f>'raw data Crude oil'!P1908</f>
        <v>78.900000000000006</v>
      </c>
      <c r="Q1907">
        <f>'raw data Crude oil'!Q1908</f>
        <v>78.42</v>
      </c>
      <c r="R1907">
        <f>'raw data Crude oil'!R1908</f>
        <v>77.88</v>
      </c>
      <c r="S1907">
        <f>'raw data Crude oil'!S1908</f>
        <v>77.36</v>
      </c>
      <c r="T1907">
        <f>'raw data Crude oil'!T1908</f>
        <v>76.87</v>
      </c>
      <c r="U1907">
        <f>'raw data Crude oil'!U1908</f>
        <v>76.39</v>
      </c>
      <c r="V1907">
        <f>'raw data Crude oil'!V1908</f>
        <v>75.930000000000007</v>
      </c>
      <c r="W1907">
        <f>'raw data Crude oil'!W1908</f>
        <v>75.489999999999995</v>
      </c>
      <c r="X1907">
        <f>'raw data Crude oil'!X1908</f>
        <v>75.069999999999993</v>
      </c>
      <c r="Y1907">
        <f>'raw data Crude oil'!Y1908</f>
        <v>74.680000000000007</v>
      </c>
      <c r="Z1907">
        <f>'raw data Crude oil'!Z1908</f>
        <v>84.406000000000006</v>
      </c>
      <c r="AA1907">
        <f>'raw data Crude oil'!AA1908</f>
        <v>83.98</v>
      </c>
      <c r="AB1907">
        <f>'raw data Crude oil'!AB1908</f>
        <v>83.171999999999997</v>
      </c>
      <c r="AC1907">
        <f>'raw data Crude oil'!AC1908</f>
        <v>82.48</v>
      </c>
      <c r="AD1907">
        <f>'raw data Crude oil'!AD1908</f>
        <v>81.811000000000007</v>
      </c>
      <c r="AE1907">
        <f>'raw data Crude oil'!AE1908</f>
        <v>81.210999999999999</v>
      </c>
      <c r="AF1907">
        <f>'raw data Crude oil'!AF1908</f>
        <v>80.632999999999996</v>
      </c>
      <c r="AG1907">
        <f>'raw data Crude oil'!AG1908</f>
        <v>80.078000000000003</v>
      </c>
      <c r="AH1907">
        <f>'raw data Crude oil'!AH1908</f>
        <v>79.611999999999995</v>
      </c>
      <c r="AI1907">
        <f>'raw data Crude oil'!AI1908</f>
        <v>79.182000000000002</v>
      </c>
      <c r="AJ1907">
        <f>'raw data Crude oil'!AJ1908</f>
        <v>78.784999999999997</v>
      </c>
      <c r="AK1907">
        <f>'raw data Crude oil'!AK1908</f>
        <v>78.454999999999998</v>
      </c>
    </row>
    <row r="1908" spans="1:37" x14ac:dyDescent="0.3">
      <c r="A1908" s="18">
        <f>'raw data Crude oil'!A1909</f>
        <v>45433</v>
      </c>
      <c r="B1908">
        <f>'raw data Crude oil'!B1909</f>
        <v>82.88</v>
      </c>
      <c r="C1908">
        <f>'raw data Crude oil'!C1909</f>
        <v>82.7</v>
      </c>
      <c r="D1908">
        <f>'raw data Crude oil'!D1909</f>
        <v>82.33</v>
      </c>
      <c r="E1908">
        <f>'raw data Crude oil'!E1909</f>
        <v>81.89</v>
      </c>
      <c r="F1908">
        <f>'raw data Crude oil'!F1909</f>
        <v>81.400000000000006</v>
      </c>
      <c r="G1908">
        <f>'raw data Crude oil'!G1909</f>
        <v>80.91</v>
      </c>
      <c r="H1908">
        <f>'raw data Crude oil'!H1909</f>
        <v>80.44</v>
      </c>
      <c r="I1908">
        <f>'raw data Crude oil'!I1909</f>
        <v>80</v>
      </c>
      <c r="J1908">
        <f>'raw data Crude oil'!J1909</f>
        <v>79.59</v>
      </c>
      <c r="K1908">
        <f>'raw data Crude oil'!K1909</f>
        <v>79.209999999999994</v>
      </c>
      <c r="L1908">
        <f>'raw data Crude oil'!L1909</f>
        <v>78.88</v>
      </c>
      <c r="M1908">
        <f>'raw data Crude oil'!M1909</f>
        <v>78.58</v>
      </c>
      <c r="N1908">
        <f>'raw data Crude oil'!N1909</f>
        <v>79.260000000000005</v>
      </c>
      <c r="O1908">
        <f>'raw data Crude oil'!O1909</f>
        <v>78.66</v>
      </c>
      <c r="P1908">
        <f>'raw data Crude oil'!P1909</f>
        <v>78.28</v>
      </c>
      <c r="Q1908">
        <f>'raw data Crude oil'!Q1909</f>
        <v>77.819999999999993</v>
      </c>
      <c r="R1908">
        <f>'raw data Crude oil'!R1909</f>
        <v>77.31</v>
      </c>
      <c r="S1908">
        <f>'raw data Crude oil'!S1909</f>
        <v>76.81</v>
      </c>
      <c r="T1908">
        <f>'raw data Crude oil'!T1909</f>
        <v>76.33</v>
      </c>
      <c r="U1908">
        <f>'raw data Crude oil'!U1909</f>
        <v>75.87</v>
      </c>
      <c r="V1908">
        <f>'raw data Crude oil'!V1909</f>
        <v>75.430000000000007</v>
      </c>
      <c r="W1908">
        <f>'raw data Crude oil'!W1909</f>
        <v>75.02</v>
      </c>
      <c r="X1908">
        <f>'raw data Crude oil'!X1909</f>
        <v>74.61</v>
      </c>
      <c r="Y1908">
        <f>'raw data Crude oil'!Y1909</f>
        <v>74.239999999999995</v>
      </c>
      <c r="Z1908">
        <f>'raw data Crude oil'!Z1909</f>
        <v>84.102000000000004</v>
      </c>
      <c r="AA1908">
        <f>'raw data Crude oil'!AA1909</f>
        <v>83.156999999999996</v>
      </c>
      <c r="AB1908">
        <f>'raw data Crude oil'!AB1909</f>
        <v>82.426000000000002</v>
      </c>
      <c r="AC1908">
        <f>'raw data Crude oil'!AC1909</f>
        <v>81.768000000000001</v>
      </c>
      <c r="AD1908">
        <f>'raw data Crude oil'!AD1909</f>
        <v>81.156999999999996</v>
      </c>
      <c r="AE1908">
        <f>'raw data Crude oil'!AE1909</f>
        <v>80.58</v>
      </c>
      <c r="AF1908">
        <f>'raw data Crude oil'!AF1909</f>
        <v>80.019000000000005</v>
      </c>
      <c r="AG1908">
        <f>'raw data Crude oil'!AG1909</f>
        <v>79.480999999999995</v>
      </c>
      <c r="AH1908">
        <f>'raw data Crude oil'!AH1909</f>
        <v>79.033000000000001</v>
      </c>
      <c r="AI1908">
        <f>'raw data Crude oil'!AI1909</f>
        <v>78.614000000000004</v>
      </c>
      <c r="AJ1908">
        <f>'raw data Crude oil'!AJ1909</f>
        <v>78.245999999999995</v>
      </c>
      <c r="AK1908">
        <f>'raw data Crude oil'!AK1909</f>
        <v>77.926000000000002</v>
      </c>
    </row>
    <row r="1909" spans="1:37" x14ac:dyDescent="0.3">
      <c r="A1909" s="18">
        <f>'raw data Crude oil'!A1910</f>
        <v>45434</v>
      </c>
      <c r="B1909">
        <f>'raw data Crude oil'!B1910</f>
        <v>81.900000000000006</v>
      </c>
      <c r="C1909">
        <f>'raw data Crude oil'!C1910</f>
        <v>81.64</v>
      </c>
      <c r="D1909">
        <f>'raw data Crude oil'!D1910</f>
        <v>81.22</v>
      </c>
      <c r="E1909">
        <f>'raw data Crude oil'!E1910</f>
        <v>80.760000000000005</v>
      </c>
      <c r="F1909">
        <f>'raw data Crude oil'!F1910</f>
        <v>80.27</v>
      </c>
      <c r="G1909">
        <f>'raw data Crude oil'!G1910</f>
        <v>79.790000000000006</v>
      </c>
      <c r="H1909">
        <f>'raw data Crude oil'!H1910</f>
        <v>79.33</v>
      </c>
      <c r="I1909">
        <f>'raw data Crude oil'!I1910</f>
        <v>78.900000000000006</v>
      </c>
      <c r="J1909">
        <f>'raw data Crude oil'!J1910</f>
        <v>78.510000000000005</v>
      </c>
      <c r="K1909">
        <f>'raw data Crude oil'!K1910</f>
        <v>78.150000000000006</v>
      </c>
      <c r="L1909">
        <f>'raw data Crude oil'!L1910</f>
        <v>77.819999999999993</v>
      </c>
      <c r="M1909">
        <f>'raw data Crude oil'!M1910</f>
        <v>77.540000000000006</v>
      </c>
      <c r="N1909">
        <f>'raw data Crude oil'!N1910</f>
        <v>77.569999999999993</v>
      </c>
      <c r="O1909">
        <f>'raw data Crude oil'!O1910</f>
        <v>77.150000000000006</v>
      </c>
      <c r="P1909">
        <f>'raw data Crude oil'!P1910</f>
        <v>76.66</v>
      </c>
      <c r="Q1909">
        <f>'raw data Crude oil'!Q1910</f>
        <v>76.13</v>
      </c>
      <c r="R1909">
        <f>'raw data Crude oil'!R1910</f>
        <v>75.64</v>
      </c>
      <c r="S1909">
        <f>'raw data Crude oil'!S1910</f>
        <v>75.16</v>
      </c>
      <c r="T1909">
        <f>'raw data Crude oil'!T1910</f>
        <v>74.709999999999994</v>
      </c>
      <c r="U1909">
        <f>'raw data Crude oil'!U1910</f>
        <v>74.28</v>
      </c>
      <c r="V1909">
        <f>'raw data Crude oil'!V1910</f>
        <v>73.87</v>
      </c>
      <c r="W1909">
        <f>'raw data Crude oil'!W1910</f>
        <v>73.48</v>
      </c>
      <c r="X1909">
        <f>'raw data Crude oil'!X1910</f>
        <v>73.12</v>
      </c>
      <c r="Y1909">
        <f>'raw data Crude oil'!Y1910</f>
        <v>72.78</v>
      </c>
      <c r="Z1909">
        <f>'raw data Crude oil'!Z1910</f>
        <v>83.754000000000005</v>
      </c>
      <c r="AA1909">
        <f>'raw data Crude oil'!AA1910</f>
        <v>82.113</v>
      </c>
      <c r="AB1909">
        <f>'raw data Crude oil'!AB1910</f>
        <v>81.353999999999999</v>
      </c>
      <c r="AC1909">
        <f>'raw data Crude oil'!AC1910</f>
        <v>80.69</v>
      </c>
      <c r="AD1909">
        <f>'raw data Crude oil'!AD1910</f>
        <v>80.066999999999993</v>
      </c>
      <c r="AE1909">
        <f>'raw data Crude oil'!AE1910</f>
        <v>79.483999999999995</v>
      </c>
      <c r="AF1909">
        <f>'raw data Crude oil'!AF1910</f>
        <v>78.924000000000007</v>
      </c>
      <c r="AG1909">
        <f>'raw data Crude oil'!AG1910</f>
        <v>78.397999999999996</v>
      </c>
      <c r="AH1909">
        <f>'raw data Crude oil'!AH1910</f>
        <v>77.963999999999999</v>
      </c>
      <c r="AI1909">
        <f>'raw data Crude oil'!AI1910</f>
        <v>77.584000000000003</v>
      </c>
      <c r="AJ1909">
        <f>'raw data Crude oil'!AJ1910</f>
        <v>77.216999999999999</v>
      </c>
      <c r="AK1909">
        <f>'raw data Crude oil'!AK1910</f>
        <v>76.917000000000002</v>
      </c>
    </row>
    <row r="1910" spans="1:37" x14ac:dyDescent="0.3">
      <c r="A1910" s="18">
        <f>'raw data Crude oil'!A1911</f>
        <v>45435</v>
      </c>
      <c r="B1910">
        <f>'raw data Crude oil'!B1911</f>
        <v>81.36</v>
      </c>
      <c r="C1910">
        <f>'raw data Crude oil'!C1911</f>
        <v>81.11</v>
      </c>
      <c r="D1910">
        <f>'raw data Crude oil'!D1911</f>
        <v>80.69</v>
      </c>
      <c r="E1910">
        <f>'raw data Crude oil'!E1911</f>
        <v>80.23</v>
      </c>
      <c r="F1910">
        <f>'raw data Crude oil'!F1911</f>
        <v>79.760000000000005</v>
      </c>
      <c r="G1910">
        <f>'raw data Crude oil'!G1911</f>
        <v>79.3</v>
      </c>
      <c r="H1910">
        <f>'raw data Crude oil'!H1911</f>
        <v>78.86</v>
      </c>
      <c r="I1910">
        <f>'raw data Crude oil'!I1911</f>
        <v>78.45</v>
      </c>
      <c r="J1910">
        <f>'raw data Crude oil'!J1911</f>
        <v>78.069999999999993</v>
      </c>
      <c r="K1910">
        <f>'raw data Crude oil'!K1911</f>
        <v>77.72</v>
      </c>
      <c r="L1910">
        <f>'raw data Crude oil'!L1911</f>
        <v>77.400000000000006</v>
      </c>
      <c r="M1910">
        <f>'raw data Crude oil'!M1911</f>
        <v>77.12</v>
      </c>
      <c r="N1910">
        <f>'raw data Crude oil'!N1911</f>
        <v>76.87</v>
      </c>
      <c r="O1910">
        <f>'raw data Crude oil'!O1911</f>
        <v>76.459999999999994</v>
      </c>
      <c r="P1910">
        <f>'raw data Crude oil'!P1911</f>
        <v>76</v>
      </c>
      <c r="Q1910">
        <f>'raw data Crude oil'!Q1911</f>
        <v>75.5</v>
      </c>
      <c r="R1910">
        <f>'raw data Crude oil'!R1911</f>
        <v>75.03</v>
      </c>
      <c r="S1910">
        <f>'raw data Crude oil'!S1911</f>
        <v>74.569999999999993</v>
      </c>
      <c r="T1910">
        <f>'raw data Crude oil'!T1911</f>
        <v>74.14</v>
      </c>
      <c r="U1910">
        <f>'raw data Crude oil'!U1911</f>
        <v>73.72</v>
      </c>
      <c r="V1910">
        <f>'raw data Crude oil'!V1911</f>
        <v>73.33</v>
      </c>
      <c r="W1910">
        <f>'raw data Crude oil'!W1911</f>
        <v>72.959999999999994</v>
      </c>
      <c r="X1910">
        <f>'raw data Crude oil'!X1911</f>
        <v>72.63</v>
      </c>
      <c r="Y1910">
        <f>'raw data Crude oil'!Y1911</f>
        <v>72.3</v>
      </c>
      <c r="Z1910">
        <f>'raw data Crude oil'!Z1911</f>
        <v>83.664000000000001</v>
      </c>
      <c r="AA1910">
        <f>'raw data Crude oil'!AA1911</f>
        <v>81.754000000000005</v>
      </c>
      <c r="AB1910">
        <f>'raw data Crude oil'!AB1911</f>
        <v>81.034000000000006</v>
      </c>
      <c r="AC1910">
        <f>'raw data Crude oil'!AC1911</f>
        <v>80.353999999999999</v>
      </c>
      <c r="AD1910">
        <f>'raw data Crude oil'!AD1911</f>
        <v>79.727999999999994</v>
      </c>
      <c r="AE1910">
        <f>'raw data Crude oil'!AE1911</f>
        <v>79.150999999999996</v>
      </c>
      <c r="AF1910">
        <f>'raw data Crude oil'!AF1911</f>
        <v>78.605000000000004</v>
      </c>
      <c r="AG1910">
        <f>'raw data Crude oil'!AG1911</f>
        <v>78.088999999999999</v>
      </c>
      <c r="AH1910">
        <f>'raw data Crude oil'!AH1911</f>
        <v>77.659000000000006</v>
      </c>
      <c r="AI1910">
        <f>'raw data Crude oil'!AI1911</f>
        <v>77.263999999999996</v>
      </c>
      <c r="AJ1910">
        <f>'raw data Crude oil'!AJ1911</f>
        <v>76.906999999999996</v>
      </c>
      <c r="AK1910">
        <f>'raw data Crude oil'!AK1911</f>
        <v>76.587000000000003</v>
      </c>
    </row>
    <row r="1911" spans="1:37" x14ac:dyDescent="0.3">
      <c r="A1911" s="18">
        <f>'raw data Crude oil'!A1912</f>
        <v>45436</v>
      </c>
      <c r="B1911">
        <f>'raw data Crude oil'!B1912</f>
        <v>82.12</v>
      </c>
      <c r="C1911">
        <f>'raw data Crude oil'!C1912</f>
        <v>81.84</v>
      </c>
      <c r="D1911">
        <f>'raw data Crude oil'!D1912</f>
        <v>81.400000000000006</v>
      </c>
      <c r="E1911">
        <f>'raw data Crude oil'!E1912</f>
        <v>80.91</v>
      </c>
      <c r="F1911">
        <f>'raw data Crude oil'!F1912</f>
        <v>80.400000000000006</v>
      </c>
      <c r="G1911">
        <f>'raw data Crude oil'!G1912</f>
        <v>79.900000000000006</v>
      </c>
      <c r="H1911">
        <f>'raw data Crude oil'!H1912</f>
        <v>79.430000000000007</v>
      </c>
      <c r="I1911">
        <f>'raw data Crude oil'!I1912</f>
        <v>78.989999999999995</v>
      </c>
      <c r="J1911">
        <f>'raw data Crude oil'!J1912</f>
        <v>78.58</v>
      </c>
      <c r="K1911">
        <f>'raw data Crude oil'!K1912</f>
        <v>78.2</v>
      </c>
      <c r="L1911">
        <f>'raw data Crude oil'!L1912</f>
        <v>77.86</v>
      </c>
      <c r="M1911">
        <f>'raw data Crude oil'!M1912</f>
        <v>77.56</v>
      </c>
      <c r="N1911">
        <f>'raw data Crude oil'!N1912</f>
        <v>77.72</v>
      </c>
      <c r="O1911">
        <f>'raw data Crude oil'!O1912</f>
        <v>77.23</v>
      </c>
      <c r="P1911">
        <f>'raw data Crude oil'!P1912</f>
        <v>76.709999999999994</v>
      </c>
      <c r="Q1911">
        <f>'raw data Crude oil'!Q1912</f>
        <v>76.13</v>
      </c>
      <c r="R1911">
        <f>'raw data Crude oil'!R1912</f>
        <v>75.599999999999994</v>
      </c>
      <c r="S1911">
        <f>'raw data Crude oil'!S1912</f>
        <v>75.09</v>
      </c>
      <c r="T1911">
        <f>'raw data Crude oil'!T1912</f>
        <v>74.62</v>
      </c>
      <c r="U1911">
        <f>'raw data Crude oil'!U1912</f>
        <v>74.17</v>
      </c>
      <c r="V1911">
        <f>'raw data Crude oil'!V1912</f>
        <v>73.75</v>
      </c>
      <c r="W1911">
        <f>'raw data Crude oil'!W1912</f>
        <v>73.37</v>
      </c>
      <c r="X1911">
        <f>'raw data Crude oil'!X1912</f>
        <v>73.010000000000005</v>
      </c>
      <c r="Y1911">
        <f>'raw data Crude oil'!Y1912</f>
        <v>72.67</v>
      </c>
      <c r="Z1911">
        <f>'raw data Crude oil'!Z1912</f>
        <v>83.79</v>
      </c>
      <c r="AA1911">
        <f>'raw data Crude oil'!AA1912</f>
        <v>82.313000000000002</v>
      </c>
      <c r="AB1911">
        <f>'raw data Crude oil'!AB1912</f>
        <v>81.638999999999996</v>
      </c>
      <c r="AC1911">
        <f>'raw data Crude oil'!AC1912</f>
        <v>80.995000000000005</v>
      </c>
      <c r="AD1911">
        <f>'raw data Crude oil'!AD1912</f>
        <v>80.355999999999995</v>
      </c>
      <c r="AE1911">
        <f>'raw data Crude oil'!AE1912</f>
        <v>79.75</v>
      </c>
      <c r="AF1911">
        <f>'raw data Crude oil'!AF1912</f>
        <v>79.168999999999997</v>
      </c>
      <c r="AG1911">
        <f>'raw data Crude oil'!AG1912</f>
        <v>78.600999999999999</v>
      </c>
      <c r="AH1911">
        <f>'raw data Crude oil'!AH1912</f>
        <v>78.143000000000001</v>
      </c>
      <c r="AI1911">
        <f>'raw data Crude oil'!AI1912</f>
        <v>77.712999999999994</v>
      </c>
      <c r="AJ1911">
        <f>'raw data Crude oil'!AJ1912</f>
        <v>77.325999999999993</v>
      </c>
      <c r="AK1911">
        <f>'raw data Crude oil'!AK1912</f>
        <v>76.995999999999995</v>
      </c>
    </row>
    <row r="1912" spans="1:37" x14ac:dyDescent="0.3">
      <c r="A1912" s="18">
        <f>'raw data Crude oil'!A1913</f>
        <v>45439</v>
      </c>
      <c r="B1912">
        <f>'raw data Crude oil'!B1913</f>
        <v>83.1</v>
      </c>
      <c r="C1912">
        <f>'raw data Crude oil'!C1913</f>
        <v>82.88</v>
      </c>
      <c r="D1912">
        <f>'raw data Crude oil'!D1913</f>
        <v>82.45</v>
      </c>
      <c r="E1912">
        <f>'raw data Crude oil'!E1913</f>
        <v>81.96</v>
      </c>
      <c r="F1912">
        <f>'raw data Crude oil'!F1913</f>
        <v>81.44</v>
      </c>
      <c r="G1912">
        <f>'raw data Crude oil'!G1913</f>
        <v>80.92</v>
      </c>
      <c r="H1912">
        <f>'raw data Crude oil'!H1913</f>
        <v>80.430000000000007</v>
      </c>
      <c r="I1912">
        <f>'raw data Crude oil'!I1913</f>
        <v>79.97</v>
      </c>
      <c r="J1912">
        <f>'raw data Crude oil'!J1913</f>
        <v>79.55</v>
      </c>
      <c r="K1912">
        <f>'raw data Crude oil'!K1913</f>
        <v>79.16</v>
      </c>
      <c r="L1912">
        <f>'raw data Crude oil'!L1913</f>
        <v>78.8</v>
      </c>
      <c r="M1912">
        <f>'raw data Crude oil'!M1913</f>
        <v>78.489999999999995</v>
      </c>
      <c r="N1912">
        <f>'raw data Crude oil'!N1913</f>
        <v>77.72</v>
      </c>
      <c r="O1912">
        <f>'raw data Crude oil'!O1913</f>
        <v>77.23</v>
      </c>
      <c r="P1912">
        <f>'raw data Crude oil'!P1913</f>
        <v>76.709999999999994</v>
      </c>
      <c r="Q1912">
        <f>'raw data Crude oil'!Q1913</f>
        <v>76.13</v>
      </c>
      <c r="R1912">
        <f>'raw data Crude oil'!R1913</f>
        <v>75.599999999999994</v>
      </c>
      <c r="S1912">
        <f>'raw data Crude oil'!S1913</f>
        <v>75.09</v>
      </c>
      <c r="T1912">
        <f>'raw data Crude oil'!T1913</f>
        <v>74.62</v>
      </c>
      <c r="U1912">
        <f>'raw data Crude oil'!U1913</f>
        <v>74.17</v>
      </c>
      <c r="V1912">
        <f>'raw data Crude oil'!V1913</f>
        <v>73.75</v>
      </c>
      <c r="W1912">
        <f>'raw data Crude oil'!W1913</f>
        <v>73.37</v>
      </c>
      <c r="X1912">
        <f>'raw data Crude oil'!X1913</f>
        <v>73.010000000000005</v>
      </c>
      <c r="Y1912">
        <f>'raw data Crude oil'!Y1913</f>
        <v>72.67</v>
      </c>
      <c r="Z1912">
        <f>'raw data Crude oil'!Z1913</f>
        <v>83.99</v>
      </c>
      <c r="AA1912">
        <f>'raw data Crude oil'!AA1913</f>
        <v>83.328000000000003</v>
      </c>
      <c r="AB1912">
        <f>'raw data Crude oil'!AB1913</f>
        <v>82.688000000000002</v>
      </c>
      <c r="AC1912">
        <f>'raw data Crude oil'!AC1913</f>
        <v>82.055000000000007</v>
      </c>
      <c r="AD1912">
        <f>'raw data Crude oil'!AD1913</f>
        <v>81.411000000000001</v>
      </c>
      <c r="AE1912">
        <f>'raw data Crude oil'!AE1913</f>
        <v>80.793999999999997</v>
      </c>
      <c r="AF1912">
        <f>'raw data Crude oil'!AF1913</f>
        <v>80.203000000000003</v>
      </c>
      <c r="AG1912">
        <f>'raw data Crude oil'!AG1913</f>
        <v>79.63</v>
      </c>
      <c r="AH1912">
        <f>'raw data Crude oil'!AH1913</f>
        <v>79.141999999999996</v>
      </c>
      <c r="AI1912">
        <f>'raw data Crude oil'!AI1913</f>
        <v>78.706999999999994</v>
      </c>
      <c r="AJ1912">
        <f>'raw data Crude oil'!AJ1913</f>
        <v>78.305000000000007</v>
      </c>
      <c r="AK1912">
        <f>'raw data Crude oil'!AK1913</f>
        <v>77.945999999999998</v>
      </c>
    </row>
    <row r="1913" spans="1:37" x14ac:dyDescent="0.3">
      <c r="A1913" s="18">
        <f>'raw data Crude oil'!A1914</f>
        <v>45440</v>
      </c>
      <c r="B1913">
        <f>'raw data Crude oil'!B1914</f>
        <v>84.22</v>
      </c>
      <c r="C1913">
        <f>'raw data Crude oil'!C1914</f>
        <v>83.94</v>
      </c>
      <c r="D1913">
        <f>'raw data Crude oil'!D1914</f>
        <v>83.49</v>
      </c>
      <c r="E1913">
        <f>'raw data Crude oil'!E1914</f>
        <v>82.98</v>
      </c>
      <c r="F1913">
        <f>'raw data Crude oil'!F1914</f>
        <v>82.44</v>
      </c>
      <c r="G1913">
        <f>'raw data Crude oil'!G1914</f>
        <v>81.91</v>
      </c>
      <c r="H1913">
        <f>'raw data Crude oil'!H1914</f>
        <v>81.400000000000006</v>
      </c>
      <c r="I1913">
        <f>'raw data Crude oil'!I1914</f>
        <v>80.92</v>
      </c>
      <c r="J1913">
        <f>'raw data Crude oil'!J1914</f>
        <v>80.48</v>
      </c>
      <c r="K1913">
        <f>'raw data Crude oil'!K1914</f>
        <v>80.06</v>
      </c>
      <c r="L1913">
        <f>'raw data Crude oil'!L1914</f>
        <v>79.67</v>
      </c>
      <c r="M1913">
        <f>'raw data Crude oil'!M1914</f>
        <v>79.319999999999993</v>
      </c>
      <c r="N1913">
        <f>'raw data Crude oil'!N1914</f>
        <v>79.83</v>
      </c>
      <c r="O1913">
        <f>'raw data Crude oil'!O1914</f>
        <v>79.349999999999994</v>
      </c>
      <c r="P1913">
        <f>'raw data Crude oil'!P1914</f>
        <v>78.83</v>
      </c>
      <c r="Q1913">
        <f>'raw data Crude oil'!Q1914</f>
        <v>78.239999999999995</v>
      </c>
      <c r="R1913">
        <f>'raw data Crude oil'!R1914</f>
        <v>77.67</v>
      </c>
      <c r="S1913">
        <f>'raw data Crude oil'!S1914</f>
        <v>77.14</v>
      </c>
      <c r="T1913">
        <f>'raw data Crude oil'!T1914</f>
        <v>76.62</v>
      </c>
      <c r="U1913">
        <f>'raw data Crude oil'!U1914</f>
        <v>76.12</v>
      </c>
      <c r="V1913">
        <f>'raw data Crude oil'!V1914</f>
        <v>75.67</v>
      </c>
      <c r="W1913">
        <f>'raw data Crude oil'!W1914</f>
        <v>75.239999999999995</v>
      </c>
      <c r="X1913">
        <f>'raw data Crude oil'!X1914</f>
        <v>74.84</v>
      </c>
      <c r="Y1913">
        <f>'raw data Crude oil'!Y1914</f>
        <v>74.459999999999994</v>
      </c>
      <c r="Z1913">
        <f>'raw data Crude oil'!Z1914</f>
        <v>84.120999999999995</v>
      </c>
      <c r="AA1913">
        <f>'raw data Crude oil'!AA1914</f>
        <v>84.218000000000004</v>
      </c>
      <c r="AB1913">
        <f>'raw data Crude oil'!AB1914</f>
        <v>83.641000000000005</v>
      </c>
      <c r="AC1913">
        <f>'raw data Crude oil'!AC1914</f>
        <v>82.980999999999995</v>
      </c>
      <c r="AD1913">
        <f>'raw data Crude oil'!AD1914</f>
        <v>82.331000000000003</v>
      </c>
      <c r="AE1913">
        <f>'raw data Crude oil'!AE1914</f>
        <v>81.697999999999993</v>
      </c>
      <c r="AF1913">
        <f>'raw data Crude oil'!AF1914</f>
        <v>81.096999999999994</v>
      </c>
      <c r="AG1913">
        <f>'raw data Crude oil'!AG1914</f>
        <v>80.518000000000001</v>
      </c>
      <c r="AH1913">
        <f>'raw data Crude oil'!AH1914</f>
        <v>80.018000000000001</v>
      </c>
      <c r="AI1913">
        <f>'raw data Crude oil'!AI1914</f>
        <v>79.561000000000007</v>
      </c>
      <c r="AJ1913">
        <f>'raw data Crude oil'!AJ1914</f>
        <v>79.132999999999996</v>
      </c>
      <c r="AK1913">
        <f>'raw data Crude oil'!AK1914</f>
        <v>78.754000000000005</v>
      </c>
    </row>
    <row r="1914" spans="1:37" x14ac:dyDescent="0.3">
      <c r="A1914" s="18">
        <f>'raw data Crude oil'!A1915</f>
        <v>45441</v>
      </c>
      <c r="B1914">
        <f>'raw data Crude oil'!B1915</f>
        <v>83.6</v>
      </c>
      <c r="C1914">
        <f>'raw data Crude oil'!C1915</f>
        <v>83.43</v>
      </c>
      <c r="D1914">
        <f>'raw data Crude oil'!D1915</f>
        <v>83.03</v>
      </c>
      <c r="E1914">
        <f>'raw data Crude oil'!E1915</f>
        <v>82.56</v>
      </c>
      <c r="F1914">
        <f>'raw data Crude oil'!F1915</f>
        <v>82.07</v>
      </c>
      <c r="G1914">
        <f>'raw data Crude oil'!G1915</f>
        <v>81.58</v>
      </c>
      <c r="H1914">
        <f>'raw data Crude oil'!H1915</f>
        <v>81.099999999999994</v>
      </c>
      <c r="I1914">
        <f>'raw data Crude oil'!I1915</f>
        <v>80.650000000000006</v>
      </c>
      <c r="J1914">
        <f>'raw data Crude oil'!J1915</f>
        <v>80.209999999999994</v>
      </c>
      <c r="K1914">
        <f>'raw data Crude oil'!K1915</f>
        <v>79.8</v>
      </c>
      <c r="L1914">
        <f>'raw data Crude oil'!L1915</f>
        <v>79.41</v>
      </c>
      <c r="M1914">
        <f>'raw data Crude oil'!M1915</f>
        <v>79.05</v>
      </c>
      <c r="N1914">
        <f>'raw data Crude oil'!N1915</f>
        <v>79.23</v>
      </c>
      <c r="O1914">
        <f>'raw data Crude oil'!O1915</f>
        <v>78.8</v>
      </c>
      <c r="P1914">
        <f>'raw data Crude oil'!P1915</f>
        <v>78.34</v>
      </c>
      <c r="Q1914">
        <f>'raw data Crude oil'!Q1915</f>
        <v>77.81</v>
      </c>
      <c r="R1914">
        <f>'raw data Crude oil'!R1915</f>
        <v>77.28</v>
      </c>
      <c r="S1914">
        <f>'raw data Crude oil'!S1915</f>
        <v>76.77</v>
      </c>
      <c r="T1914">
        <f>'raw data Crude oil'!T1915</f>
        <v>76.290000000000006</v>
      </c>
      <c r="U1914">
        <f>'raw data Crude oil'!U1915</f>
        <v>75.81</v>
      </c>
      <c r="V1914">
        <f>'raw data Crude oil'!V1915</f>
        <v>75.38</v>
      </c>
      <c r="W1914">
        <f>'raw data Crude oil'!W1915</f>
        <v>74.959999999999994</v>
      </c>
      <c r="X1914">
        <f>'raw data Crude oil'!X1915</f>
        <v>74.56</v>
      </c>
      <c r="Y1914">
        <f>'raw data Crude oil'!Y1915</f>
        <v>74.17</v>
      </c>
      <c r="Z1914">
        <f>'raw data Crude oil'!Z1915</f>
        <v>84.082999999999998</v>
      </c>
      <c r="AA1914">
        <f>'raw data Crude oil'!AA1915</f>
        <v>83.53</v>
      </c>
      <c r="AB1914">
        <f>'raw data Crude oil'!AB1915</f>
        <v>83.13</v>
      </c>
      <c r="AC1914">
        <f>'raw data Crude oil'!AC1915</f>
        <v>82.558000000000007</v>
      </c>
      <c r="AD1914">
        <f>'raw data Crude oil'!AD1915</f>
        <v>81.947999999999993</v>
      </c>
      <c r="AE1914">
        <f>'raw data Crude oil'!AE1915</f>
        <v>81.358999999999995</v>
      </c>
      <c r="AF1914">
        <f>'raw data Crude oil'!AF1915</f>
        <v>80.789000000000001</v>
      </c>
      <c r="AG1914">
        <f>'raw data Crude oil'!AG1915</f>
        <v>80.227999999999994</v>
      </c>
      <c r="AH1914">
        <f>'raw data Crude oil'!AH1915</f>
        <v>79.741</v>
      </c>
      <c r="AI1914">
        <f>'raw data Crude oil'!AI1915</f>
        <v>79.290999999999997</v>
      </c>
      <c r="AJ1914">
        <f>'raw data Crude oil'!AJ1915</f>
        <v>78.863</v>
      </c>
      <c r="AK1914">
        <f>'raw data Crude oil'!AK1915</f>
        <v>78.463999999999999</v>
      </c>
    </row>
    <row r="1915" spans="1:37" x14ac:dyDescent="0.3">
      <c r="A1915" s="18">
        <f>'raw data Crude oil'!A1916</f>
        <v>45442</v>
      </c>
      <c r="B1915">
        <f>'raw data Crude oil'!B1916</f>
        <v>81.86</v>
      </c>
      <c r="C1915">
        <f>'raw data Crude oil'!C1916</f>
        <v>81.88</v>
      </c>
      <c r="D1915">
        <f>'raw data Crude oil'!D1916</f>
        <v>81.58</v>
      </c>
      <c r="E1915">
        <f>'raw data Crude oil'!E1916</f>
        <v>81.17</v>
      </c>
      <c r="F1915">
        <f>'raw data Crude oil'!F1916</f>
        <v>80.73</v>
      </c>
      <c r="G1915">
        <f>'raw data Crude oil'!G1916</f>
        <v>80.290000000000006</v>
      </c>
      <c r="H1915">
        <f>'raw data Crude oil'!H1916</f>
        <v>79.87</v>
      </c>
      <c r="I1915">
        <f>'raw data Crude oil'!I1916</f>
        <v>79.459999999999994</v>
      </c>
      <c r="J1915">
        <f>'raw data Crude oil'!J1916</f>
        <v>79.069999999999993</v>
      </c>
      <c r="K1915">
        <f>'raw data Crude oil'!K1916</f>
        <v>78.69</v>
      </c>
      <c r="L1915">
        <f>'raw data Crude oil'!L1916</f>
        <v>78.33</v>
      </c>
      <c r="M1915">
        <f>'raw data Crude oil'!M1916</f>
        <v>78.010000000000005</v>
      </c>
      <c r="N1915">
        <f>'raw data Crude oil'!N1916</f>
        <v>77.91</v>
      </c>
      <c r="O1915">
        <f>'raw data Crude oil'!O1916</f>
        <v>77.540000000000006</v>
      </c>
      <c r="P1915">
        <f>'raw data Crude oil'!P1916</f>
        <v>77.14</v>
      </c>
      <c r="Q1915">
        <f>'raw data Crude oil'!Q1916</f>
        <v>76.66</v>
      </c>
      <c r="R1915">
        <f>'raw data Crude oil'!R1916</f>
        <v>76.17</v>
      </c>
      <c r="S1915">
        <f>'raw data Crude oil'!S1916</f>
        <v>75.709999999999994</v>
      </c>
      <c r="T1915">
        <f>'raw data Crude oil'!T1916</f>
        <v>75.27</v>
      </c>
      <c r="U1915">
        <f>'raw data Crude oil'!U1916</f>
        <v>74.849999999999994</v>
      </c>
      <c r="V1915">
        <f>'raw data Crude oil'!V1916</f>
        <v>74.45</v>
      </c>
      <c r="W1915">
        <f>'raw data Crude oil'!W1916</f>
        <v>74.06</v>
      </c>
      <c r="X1915">
        <f>'raw data Crude oil'!X1916</f>
        <v>73.69</v>
      </c>
      <c r="Y1915">
        <f>'raw data Crude oil'!Y1916</f>
        <v>73.319999999999993</v>
      </c>
      <c r="Z1915">
        <f>'raw data Crude oil'!Z1916</f>
        <v>84.007999999999996</v>
      </c>
      <c r="AA1915">
        <f>'raw data Crude oil'!AA1916</f>
        <v>82.144999999999996</v>
      </c>
      <c r="AB1915">
        <f>'raw data Crude oil'!AB1916</f>
        <v>81.756</v>
      </c>
      <c r="AC1915">
        <f>'raw data Crude oil'!AC1916</f>
        <v>81.266000000000005</v>
      </c>
      <c r="AD1915">
        <f>'raw data Crude oil'!AD1916</f>
        <v>80.736999999999995</v>
      </c>
      <c r="AE1915">
        <f>'raw data Crude oil'!AE1916</f>
        <v>80.186999999999998</v>
      </c>
      <c r="AF1915">
        <f>'raw data Crude oil'!AF1916</f>
        <v>79.635000000000005</v>
      </c>
      <c r="AG1915">
        <f>'raw data Crude oil'!AG1916</f>
        <v>79.102999999999994</v>
      </c>
      <c r="AH1915">
        <f>'raw data Crude oil'!AH1916</f>
        <v>78.643000000000001</v>
      </c>
      <c r="AI1915">
        <f>'raw data Crude oil'!AI1916</f>
        <v>78.231999999999999</v>
      </c>
      <c r="AJ1915">
        <f>'raw data Crude oil'!AJ1916</f>
        <v>77.844999999999999</v>
      </c>
      <c r="AK1915">
        <f>'raw data Crude oil'!AK1916</f>
        <v>77.495000000000005</v>
      </c>
    </row>
    <row r="1916" spans="1:37" x14ac:dyDescent="0.3">
      <c r="A1916" s="18">
        <f>'raw data Crude oil'!A1917</f>
        <v>45443</v>
      </c>
      <c r="B1916">
        <f>'raw data Crude oil'!B1917</f>
        <v>81.62</v>
      </c>
      <c r="C1916">
        <f>'raw data Crude oil'!C1917</f>
        <v>81.11</v>
      </c>
      <c r="D1916">
        <f>'raw data Crude oil'!D1917</f>
        <v>80.87</v>
      </c>
      <c r="E1916">
        <f>'raw data Crude oil'!E1917</f>
        <v>80.53</v>
      </c>
      <c r="F1916">
        <f>'raw data Crude oil'!F1917</f>
        <v>80.16</v>
      </c>
      <c r="G1916">
        <f>'raw data Crude oil'!G1917</f>
        <v>79.790000000000006</v>
      </c>
      <c r="H1916">
        <f>'raw data Crude oil'!H1917</f>
        <v>79.44</v>
      </c>
      <c r="I1916">
        <f>'raw data Crude oil'!I1917</f>
        <v>79.09</v>
      </c>
      <c r="J1916">
        <f>'raw data Crude oil'!J1917</f>
        <v>78.760000000000005</v>
      </c>
      <c r="K1916">
        <f>'raw data Crude oil'!K1917</f>
        <v>78.44</v>
      </c>
      <c r="L1916">
        <f>'raw data Crude oil'!L1917</f>
        <v>78.13</v>
      </c>
      <c r="M1916">
        <f>'raw data Crude oil'!M1917</f>
        <v>77.86</v>
      </c>
      <c r="N1916">
        <f>'raw data Crude oil'!N1917</f>
        <v>76.989999999999995</v>
      </c>
      <c r="O1916">
        <f>'raw data Crude oil'!O1917</f>
        <v>76.73</v>
      </c>
      <c r="P1916">
        <f>'raw data Crude oil'!P1917</f>
        <v>76.400000000000006</v>
      </c>
      <c r="Q1916">
        <f>'raw data Crude oil'!Q1917</f>
        <v>75.989999999999995</v>
      </c>
      <c r="R1916">
        <f>'raw data Crude oil'!R1917</f>
        <v>75.569999999999993</v>
      </c>
      <c r="S1916">
        <f>'raw data Crude oil'!S1917</f>
        <v>75.17</v>
      </c>
      <c r="T1916">
        <f>'raw data Crude oil'!T1917</f>
        <v>74.790000000000006</v>
      </c>
      <c r="U1916">
        <f>'raw data Crude oil'!U1917</f>
        <v>74.430000000000007</v>
      </c>
      <c r="V1916">
        <f>'raw data Crude oil'!V1917</f>
        <v>74.09</v>
      </c>
      <c r="W1916">
        <f>'raw data Crude oil'!W1917</f>
        <v>73.760000000000005</v>
      </c>
      <c r="X1916">
        <f>'raw data Crude oil'!X1917</f>
        <v>73.44</v>
      </c>
      <c r="Y1916">
        <f>'raw data Crude oil'!Y1917</f>
        <v>73.12</v>
      </c>
      <c r="Z1916">
        <f>'raw data Crude oil'!Z1917</f>
        <v>84.034999999999997</v>
      </c>
      <c r="AA1916">
        <f>'raw data Crude oil'!AA1917</f>
        <v>81.632999999999996</v>
      </c>
      <c r="AB1916">
        <f>'raw data Crude oil'!AB1917</f>
        <v>81.173000000000002</v>
      </c>
      <c r="AC1916">
        <f>'raw data Crude oil'!AC1917</f>
        <v>80.691999999999993</v>
      </c>
      <c r="AD1916">
        <f>'raw data Crude oil'!AD1917</f>
        <v>80.209000000000003</v>
      </c>
      <c r="AE1916">
        <f>'raw data Crude oil'!AE1917</f>
        <v>79.697999999999993</v>
      </c>
      <c r="AF1916">
        <f>'raw data Crude oil'!AF1917</f>
        <v>79.195999999999998</v>
      </c>
      <c r="AG1916">
        <f>'raw data Crude oil'!AG1917</f>
        <v>78.701999999999998</v>
      </c>
      <c r="AH1916">
        <f>'raw data Crude oil'!AH1917</f>
        <v>78.290000000000006</v>
      </c>
      <c r="AI1916">
        <f>'raw data Crude oil'!AI1917</f>
        <v>77.930000000000007</v>
      </c>
      <c r="AJ1916">
        <f>'raw data Crude oil'!AJ1917</f>
        <v>77.596999999999994</v>
      </c>
      <c r="AK1916">
        <f>'raw data Crude oil'!AK1917</f>
        <v>77.296999999999997</v>
      </c>
    </row>
    <row r="1917" spans="1:37" x14ac:dyDescent="0.3">
      <c r="A1917" s="18">
        <f>'raw data Crude oil'!A1918</f>
        <v>45446</v>
      </c>
      <c r="B1917">
        <f>'raw data Crude oil'!B1918</f>
        <v>78.36</v>
      </c>
      <c r="C1917">
        <f>'raw data Crude oil'!C1918</f>
        <v>78.22</v>
      </c>
      <c r="D1917">
        <f>'raw data Crude oil'!D1918</f>
        <v>77.95</v>
      </c>
      <c r="E1917">
        <f>'raw data Crude oil'!E1918</f>
        <v>77.64</v>
      </c>
      <c r="F1917">
        <f>'raw data Crude oil'!F1918</f>
        <v>77.33</v>
      </c>
      <c r="G1917">
        <f>'raw data Crude oil'!G1918</f>
        <v>77.05</v>
      </c>
      <c r="H1917">
        <f>'raw data Crude oil'!H1918</f>
        <v>76.78</v>
      </c>
      <c r="I1917">
        <f>'raw data Crude oil'!I1918</f>
        <v>76.52</v>
      </c>
      <c r="J1917">
        <f>'raw data Crude oil'!J1918</f>
        <v>76.27</v>
      </c>
      <c r="K1917">
        <f>'raw data Crude oil'!K1918</f>
        <v>76.03</v>
      </c>
      <c r="L1917">
        <f>'raw data Crude oil'!L1918</f>
        <v>75.819999999999993</v>
      </c>
      <c r="M1917">
        <f>'raw data Crude oil'!M1918</f>
        <v>75.61</v>
      </c>
      <c r="N1917">
        <f>'raw data Crude oil'!N1918</f>
        <v>74.22</v>
      </c>
      <c r="O1917">
        <f>'raw data Crude oil'!O1918</f>
        <v>74.09</v>
      </c>
      <c r="P1917">
        <f>'raw data Crude oil'!P1918</f>
        <v>73.84</v>
      </c>
      <c r="Q1917">
        <f>'raw data Crude oil'!Q1918</f>
        <v>73.5</v>
      </c>
      <c r="R1917">
        <f>'raw data Crude oil'!R1918</f>
        <v>73.150000000000006</v>
      </c>
      <c r="S1917">
        <f>'raw data Crude oil'!S1918</f>
        <v>72.81</v>
      </c>
      <c r="T1917">
        <f>'raw data Crude oil'!T1918</f>
        <v>72.5</v>
      </c>
      <c r="U1917">
        <f>'raw data Crude oil'!U1918</f>
        <v>72.2</v>
      </c>
      <c r="V1917">
        <f>'raw data Crude oil'!V1918</f>
        <v>71.92</v>
      </c>
      <c r="W1917">
        <f>'raw data Crude oil'!W1918</f>
        <v>71.650000000000006</v>
      </c>
      <c r="X1917">
        <f>'raw data Crude oil'!X1918</f>
        <v>71.39</v>
      </c>
      <c r="Y1917">
        <f>'raw data Crude oil'!Y1918</f>
        <v>71.150000000000006</v>
      </c>
      <c r="Z1917">
        <f>'raw data Crude oil'!Z1918</f>
        <v>84.034999999999997</v>
      </c>
      <c r="AA1917">
        <f>'raw data Crude oil'!AA1918</f>
        <v>79.225999999999999</v>
      </c>
      <c r="AB1917">
        <f>'raw data Crude oil'!AB1918</f>
        <v>78.597999999999999</v>
      </c>
      <c r="AC1917">
        <f>'raw data Crude oil'!AC1918</f>
        <v>78.123999999999995</v>
      </c>
      <c r="AD1917">
        <f>'raw data Crude oil'!AD1918</f>
        <v>77.688999999999993</v>
      </c>
      <c r="AE1917">
        <f>'raw data Crude oil'!AE1918</f>
        <v>77.238</v>
      </c>
      <c r="AF1917">
        <f>'raw data Crude oil'!AF1918</f>
        <v>76.796999999999997</v>
      </c>
      <c r="AG1917">
        <f>'raw data Crude oil'!AG1918</f>
        <v>76.385000000000005</v>
      </c>
      <c r="AH1917">
        <f>'raw data Crude oil'!AH1918</f>
        <v>76.039000000000001</v>
      </c>
      <c r="AI1917">
        <f>'raw data Crude oil'!AI1918</f>
        <v>75.738</v>
      </c>
      <c r="AJ1917">
        <f>'raw data Crude oil'!AJ1918</f>
        <v>75.465000000000003</v>
      </c>
      <c r="AK1917">
        <f>'raw data Crude oil'!AK1918</f>
        <v>75.221000000000004</v>
      </c>
    </row>
    <row r="1918" spans="1:37" x14ac:dyDescent="0.3">
      <c r="A1918" s="18">
        <f>'raw data Crude oil'!A1919</f>
        <v>45447</v>
      </c>
      <c r="B1918">
        <f>'raw data Crude oil'!B1919</f>
        <v>77.52</v>
      </c>
      <c r="C1918">
        <f>'raw data Crude oil'!C1919</f>
        <v>77.27</v>
      </c>
      <c r="D1918">
        <f>'raw data Crude oil'!D1919</f>
        <v>76.94</v>
      </c>
      <c r="E1918">
        <f>'raw data Crude oil'!E1919</f>
        <v>76.59</v>
      </c>
      <c r="F1918">
        <f>'raw data Crude oil'!F1919</f>
        <v>76.25</v>
      </c>
      <c r="G1918">
        <f>'raw data Crude oil'!G1919</f>
        <v>75.95</v>
      </c>
      <c r="H1918">
        <f>'raw data Crude oil'!H1919</f>
        <v>75.66</v>
      </c>
      <c r="I1918">
        <f>'raw data Crude oil'!I1919</f>
        <v>75.400000000000006</v>
      </c>
      <c r="J1918">
        <f>'raw data Crude oil'!J1919</f>
        <v>75.16</v>
      </c>
      <c r="K1918">
        <f>'raw data Crude oil'!K1919</f>
        <v>74.92</v>
      </c>
      <c r="L1918">
        <f>'raw data Crude oil'!L1919</f>
        <v>74.7</v>
      </c>
      <c r="M1918">
        <f>'raw data Crude oil'!M1919</f>
        <v>74.48</v>
      </c>
      <c r="N1918">
        <f>'raw data Crude oil'!N1919</f>
        <v>73.25</v>
      </c>
      <c r="O1918">
        <f>'raw data Crude oil'!O1919</f>
        <v>73.06</v>
      </c>
      <c r="P1918">
        <f>'raw data Crude oil'!P1919</f>
        <v>72.75</v>
      </c>
      <c r="Q1918">
        <f>'raw data Crude oil'!Q1919</f>
        <v>72.349999999999994</v>
      </c>
      <c r="R1918">
        <f>'raw data Crude oil'!R1919</f>
        <v>71.959999999999994</v>
      </c>
      <c r="S1918">
        <f>'raw data Crude oil'!S1919</f>
        <v>71.599999999999994</v>
      </c>
      <c r="T1918">
        <f>'raw data Crude oil'!T1919</f>
        <v>71.260000000000005</v>
      </c>
      <c r="U1918">
        <f>'raw data Crude oil'!U1919</f>
        <v>70.930000000000007</v>
      </c>
      <c r="V1918">
        <f>'raw data Crude oil'!V1919</f>
        <v>70.63</v>
      </c>
      <c r="W1918">
        <f>'raw data Crude oil'!W1919</f>
        <v>70.349999999999994</v>
      </c>
      <c r="X1918">
        <f>'raw data Crude oil'!X1919</f>
        <v>70.099999999999994</v>
      </c>
      <c r="Y1918">
        <f>'raw data Crude oil'!Y1919</f>
        <v>69.849999999999994</v>
      </c>
      <c r="Z1918">
        <f>'raw data Crude oil'!Z1919</f>
        <v>78.150000000000006</v>
      </c>
      <c r="AA1918">
        <f>'raw data Crude oil'!AA1919</f>
        <v>77.546000000000006</v>
      </c>
      <c r="AB1918">
        <f>'raw data Crude oil'!AB1919</f>
        <v>77.123999999999995</v>
      </c>
      <c r="AC1918">
        <f>'raw data Crude oil'!AC1919</f>
        <v>76.683999999999997</v>
      </c>
      <c r="AD1918">
        <f>'raw data Crude oil'!AD1919</f>
        <v>76.216999999999999</v>
      </c>
      <c r="AE1918">
        <f>'raw data Crude oil'!AE1919</f>
        <v>75.766999999999996</v>
      </c>
      <c r="AF1918">
        <f>'raw data Crude oil'!AF1919</f>
        <v>75.334999999999994</v>
      </c>
      <c r="AG1918">
        <f>'raw data Crude oil'!AG1919</f>
        <v>74.989000000000004</v>
      </c>
      <c r="AH1918">
        <f>'raw data Crude oil'!AH1919</f>
        <v>74.697999999999993</v>
      </c>
      <c r="AI1918">
        <f>'raw data Crude oil'!AI1919</f>
        <v>74.41</v>
      </c>
      <c r="AJ1918">
        <f>'raw data Crude oil'!AJ1919</f>
        <v>74.14</v>
      </c>
      <c r="AK1918">
        <f>'raw data Crude oil'!AK1919</f>
        <v>73.875</v>
      </c>
    </row>
    <row r="1919" spans="1:37" x14ac:dyDescent="0.3">
      <c r="A1919" s="18">
        <f>'raw data Crude oil'!A1920</f>
        <v>45448</v>
      </c>
      <c r="B1919">
        <f>'raw data Crude oil'!B1920</f>
        <v>78.41</v>
      </c>
      <c r="C1919">
        <f>'raw data Crude oil'!C1920</f>
        <v>78.040000000000006</v>
      </c>
      <c r="D1919">
        <f>'raw data Crude oil'!D1920</f>
        <v>77.61</v>
      </c>
      <c r="E1919">
        <f>'raw data Crude oil'!E1920</f>
        <v>77.19</v>
      </c>
      <c r="F1919">
        <f>'raw data Crude oil'!F1920</f>
        <v>76.790000000000006</v>
      </c>
      <c r="G1919">
        <f>'raw data Crude oil'!G1920</f>
        <v>76.42</v>
      </c>
      <c r="H1919">
        <f>'raw data Crude oil'!H1920</f>
        <v>76.09</v>
      </c>
      <c r="I1919">
        <f>'raw data Crude oil'!I1920</f>
        <v>75.78</v>
      </c>
      <c r="J1919">
        <f>'raw data Crude oil'!J1920</f>
        <v>75.5</v>
      </c>
      <c r="K1919">
        <f>'raw data Crude oil'!K1920</f>
        <v>75.22</v>
      </c>
      <c r="L1919">
        <f>'raw data Crude oil'!L1920</f>
        <v>74.97</v>
      </c>
      <c r="M1919">
        <f>'raw data Crude oil'!M1920</f>
        <v>74.72</v>
      </c>
      <c r="N1919">
        <f>'raw data Crude oil'!N1920</f>
        <v>74.069999999999993</v>
      </c>
      <c r="O1919">
        <f>'raw data Crude oil'!O1920</f>
        <v>73.819999999999993</v>
      </c>
      <c r="P1919">
        <f>'raw data Crude oil'!P1920</f>
        <v>73.42</v>
      </c>
      <c r="Q1919">
        <f>'raw data Crude oil'!Q1920</f>
        <v>72.930000000000007</v>
      </c>
      <c r="R1919">
        <f>'raw data Crude oil'!R1920</f>
        <v>72.459999999999994</v>
      </c>
      <c r="S1919">
        <f>'raw data Crude oil'!S1920</f>
        <v>72.02</v>
      </c>
      <c r="T1919">
        <f>'raw data Crude oil'!T1920</f>
        <v>71.62</v>
      </c>
      <c r="U1919">
        <f>'raw data Crude oil'!U1920</f>
        <v>71.239999999999995</v>
      </c>
      <c r="V1919">
        <f>'raw data Crude oil'!V1920</f>
        <v>70.91</v>
      </c>
      <c r="W1919">
        <f>'raw data Crude oil'!W1920</f>
        <v>70.599999999999994</v>
      </c>
      <c r="X1919">
        <f>'raw data Crude oil'!X1920</f>
        <v>70.31</v>
      </c>
      <c r="Y1919">
        <f>'raw data Crude oil'!Y1920</f>
        <v>70.03</v>
      </c>
      <c r="Z1919">
        <f>'raw data Crude oil'!Z1920</f>
        <v>78.834000000000003</v>
      </c>
      <c r="AA1919">
        <f>'raw data Crude oil'!AA1920</f>
        <v>78.320999999999998</v>
      </c>
      <c r="AB1919">
        <f>'raw data Crude oil'!AB1920</f>
        <v>77.790999999999997</v>
      </c>
      <c r="AC1919">
        <f>'raw data Crude oil'!AC1920</f>
        <v>77.254000000000005</v>
      </c>
      <c r="AD1919">
        <f>'raw data Crude oil'!AD1920</f>
        <v>76.713999999999999</v>
      </c>
      <c r="AE1919">
        <f>'raw data Crude oil'!AE1920</f>
        <v>76.194999999999993</v>
      </c>
      <c r="AF1919">
        <f>'raw data Crude oil'!AF1920</f>
        <v>75.709999999999994</v>
      </c>
      <c r="AG1919">
        <f>'raw data Crude oil'!AG1920</f>
        <v>75.307000000000002</v>
      </c>
      <c r="AH1919">
        <f>'raw data Crude oil'!AH1920</f>
        <v>74.980999999999995</v>
      </c>
      <c r="AI1919">
        <f>'raw data Crude oil'!AI1920</f>
        <v>74.668000000000006</v>
      </c>
      <c r="AJ1919">
        <f>'raw data Crude oil'!AJ1920</f>
        <v>74.378</v>
      </c>
      <c r="AK1919">
        <f>'raw data Crude oil'!AK1920</f>
        <v>74.093000000000004</v>
      </c>
    </row>
    <row r="1920" spans="1:37" x14ac:dyDescent="0.3">
      <c r="A1920" s="18">
        <f>'raw data Crude oil'!A1921</f>
        <v>45449</v>
      </c>
      <c r="B1920">
        <f>'raw data Crude oil'!B1921</f>
        <v>79.87</v>
      </c>
      <c r="C1920">
        <f>'raw data Crude oil'!C1921</f>
        <v>79.5</v>
      </c>
      <c r="D1920">
        <f>'raw data Crude oil'!D1921</f>
        <v>79.040000000000006</v>
      </c>
      <c r="E1920">
        <f>'raw data Crude oil'!E1921</f>
        <v>78.58</v>
      </c>
      <c r="F1920">
        <f>'raw data Crude oil'!F1921</f>
        <v>78.150000000000006</v>
      </c>
      <c r="G1920">
        <f>'raw data Crude oil'!G1921</f>
        <v>77.760000000000005</v>
      </c>
      <c r="H1920">
        <f>'raw data Crude oil'!H1921</f>
        <v>77.400000000000006</v>
      </c>
      <c r="I1920">
        <f>'raw data Crude oil'!I1921</f>
        <v>77.05</v>
      </c>
      <c r="J1920">
        <f>'raw data Crude oil'!J1921</f>
        <v>76.73</v>
      </c>
      <c r="K1920">
        <f>'raw data Crude oil'!K1921</f>
        <v>76.42</v>
      </c>
      <c r="L1920">
        <f>'raw data Crude oil'!L1921</f>
        <v>76.13</v>
      </c>
      <c r="M1920">
        <f>'raw data Crude oil'!M1921</f>
        <v>75.849999999999994</v>
      </c>
      <c r="N1920">
        <f>'raw data Crude oil'!N1921</f>
        <v>75.55</v>
      </c>
      <c r="O1920">
        <f>'raw data Crude oil'!O1921</f>
        <v>75.239999999999995</v>
      </c>
      <c r="P1920">
        <f>'raw data Crude oil'!P1921</f>
        <v>74.81</v>
      </c>
      <c r="Q1920">
        <f>'raw data Crude oil'!Q1921</f>
        <v>74.290000000000006</v>
      </c>
      <c r="R1920">
        <f>'raw data Crude oil'!R1921</f>
        <v>73.78</v>
      </c>
      <c r="S1920">
        <f>'raw data Crude oil'!S1921</f>
        <v>73.31</v>
      </c>
      <c r="T1920">
        <f>'raw data Crude oil'!T1921</f>
        <v>72.87</v>
      </c>
      <c r="U1920">
        <f>'raw data Crude oil'!U1921</f>
        <v>72.47</v>
      </c>
      <c r="V1920">
        <f>'raw data Crude oil'!V1921</f>
        <v>72.099999999999994</v>
      </c>
      <c r="W1920">
        <f>'raw data Crude oil'!W1921</f>
        <v>71.75</v>
      </c>
      <c r="X1920">
        <f>'raw data Crude oil'!X1921</f>
        <v>71.42</v>
      </c>
      <c r="Y1920">
        <f>'raw data Crude oil'!Y1921</f>
        <v>71.11</v>
      </c>
      <c r="Z1920">
        <f>'raw data Crude oil'!Z1921</f>
        <v>79.98</v>
      </c>
      <c r="AA1920">
        <f>'raw data Crude oil'!AA1921</f>
        <v>79.769000000000005</v>
      </c>
      <c r="AB1920">
        <f>'raw data Crude oil'!AB1921</f>
        <v>79.209999999999994</v>
      </c>
      <c r="AC1920">
        <f>'raw data Crude oil'!AC1921</f>
        <v>78.650999999999996</v>
      </c>
      <c r="AD1920">
        <f>'raw data Crude oil'!AD1921</f>
        <v>78.093000000000004</v>
      </c>
      <c r="AE1920">
        <f>'raw data Crude oil'!AE1921</f>
        <v>77.552999999999997</v>
      </c>
      <c r="AF1920">
        <f>'raw data Crude oil'!AF1921</f>
        <v>77.027000000000001</v>
      </c>
      <c r="AG1920">
        <f>'raw data Crude oil'!AG1921</f>
        <v>76.584999999999994</v>
      </c>
      <c r="AH1920">
        <f>'raw data Crude oil'!AH1921</f>
        <v>76.215000000000003</v>
      </c>
      <c r="AI1920">
        <f>'raw data Crude oil'!AI1921</f>
        <v>75.866</v>
      </c>
      <c r="AJ1920">
        <f>'raw data Crude oil'!AJ1921</f>
        <v>75.537000000000006</v>
      </c>
      <c r="AK1920">
        <f>'raw data Crude oil'!AK1921</f>
        <v>75.227000000000004</v>
      </c>
    </row>
    <row r="1921" spans="1:37" x14ac:dyDescent="0.3">
      <c r="A1921" s="18">
        <f>'raw data Crude oil'!A1922</f>
        <v>45450</v>
      </c>
      <c r="B1921">
        <f>'raw data Crude oil'!B1922</f>
        <v>79.62</v>
      </c>
      <c r="C1921">
        <f>'raw data Crude oil'!C1922</f>
        <v>79.34</v>
      </c>
      <c r="D1921">
        <f>'raw data Crude oil'!D1922</f>
        <v>78.94</v>
      </c>
      <c r="E1921">
        <f>'raw data Crude oil'!E1922</f>
        <v>78.53</v>
      </c>
      <c r="F1921">
        <f>'raw data Crude oil'!F1922</f>
        <v>78.14</v>
      </c>
      <c r="G1921">
        <f>'raw data Crude oil'!G1922</f>
        <v>77.78</v>
      </c>
      <c r="H1921">
        <f>'raw data Crude oil'!H1922</f>
        <v>77.459999999999994</v>
      </c>
      <c r="I1921">
        <f>'raw data Crude oil'!I1922</f>
        <v>77.14</v>
      </c>
      <c r="J1921">
        <f>'raw data Crude oil'!J1922</f>
        <v>76.84</v>
      </c>
      <c r="K1921">
        <f>'raw data Crude oil'!K1922</f>
        <v>76.55</v>
      </c>
      <c r="L1921">
        <f>'raw data Crude oil'!L1922</f>
        <v>76.28</v>
      </c>
      <c r="M1921">
        <f>'raw data Crude oil'!M1922</f>
        <v>76.02</v>
      </c>
      <c r="N1921">
        <f>'raw data Crude oil'!N1922</f>
        <v>75.53</v>
      </c>
      <c r="O1921">
        <f>'raw data Crude oil'!O1922</f>
        <v>75.22</v>
      </c>
      <c r="P1921">
        <f>'raw data Crude oil'!P1922</f>
        <v>74.8</v>
      </c>
      <c r="Q1921">
        <f>'raw data Crude oil'!Q1922</f>
        <v>74.319999999999993</v>
      </c>
      <c r="R1921">
        <f>'raw data Crude oil'!R1922</f>
        <v>73.849999999999994</v>
      </c>
      <c r="S1921">
        <f>'raw data Crude oil'!S1922</f>
        <v>73.41</v>
      </c>
      <c r="T1921">
        <f>'raw data Crude oil'!T1922</f>
        <v>73</v>
      </c>
      <c r="U1921">
        <f>'raw data Crude oil'!U1922</f>
        <v>72.63</v>
      </c>
      <c r="V1921">
        <f>'raw data Crude oil'!V1922</f>
        <v>72.290000000000006</v>
      </c>
      <c r="W1921">
        <f>'raw data Crude oil'!W1922</f>
        <v>71.98</v>
      </c>
      <c r="X1921">
        <f>'raw data Crude oil'!X1922</f>
        <v>71.67</v>
      </c>
      <c r="Y1921">
        <f>'raw data Crude oil'!Y1922</f>
        <v>71.39</v>
      </c>
      <c r="Z1921">
        <f>'raw data Crude oil'!Z1922</f>
        <v>79.876999999999995</v>
      </c>
      <c r="AA1921">
        <f>'raw data Crude oil'!AA1922</f>
        <v>79.593000000000004</v>
      </c>
      <c r="AB1921">
        <f>'raw data Crude oil'!AB1922</f>
        <v>79.08</v>
      </c>
      <c r="AC1921">
        <f>'raw data Crude oil'!AC1922</f>
        <v>78.575000000000003</v>
      </c>
      <c r="AD1921">
        <f>'raw data Crude oil'!AD1922</f>
        <v>78.061000000000007</v>
      </c>
      <c r="AE1921">
        <f>'raw data Crude oil'!AE1922</f>
        <v>77.555000000000007</v>
      </c>
      <c r="AF1921">
        <f>'raw data Crude oil'!AF1922</f>
        <v>77.06</v>
      </c>
      <c r="AG1921">
        <f>'raw data Crude oil'!AG1922</f>
        <v>76.646000000000001</v>
      </c>
      <c r="AH1921">
        <f>'raw data Crude oil'!AH1922</f>
        <v>76.296000000000006</v>
      </c>
      <c r="AI1921">
        <f>'raw data Crude oil'!AI1922</f>
        <v>75.966999999999999</v>
      </c>
      <c r="AJ1921">
        <f>'raw data Crude oil'!AJ1922</f>
        <v>75.658000000000001</v>
      </c>
      <c r="AK1921">
        <f>'raw data Crude oil'!AK1922</f>
        <v>75.358000000000004</v>
      </c>
    </row>
    <row r="1922" spans="1:37" x14ac:dyDescent="0.3">
      <c r="A1922" s="18">
        <f>'raw data Crude oil'!A1923</f>
        <v>45453</v>
      </c>
      <c r="B1922">
        <f>'raw data Crude oil'!B1923</f>
        <v>81.63</v>
      </c>
      <c r="C1922">
        <f>'raw data Crude oil'!C1923</f>
        <v>81.23</v>
      </c>
      <c r="D1922">
        <f>'raw data Crude oil'!D1923</f>
        <v>80.75</v>
      </c>
      <c r="E1922">
        <f>'raw data Crude oil'!E1923</f>
        <v>80.27</v>
      </c>
      <c r="F1922">
        <f>'raw data Crude oil'!F1923</f>
        <v>79.81</v>
      </c>
      <c r="G1922">
        <f>'raw data Crude oil'!G1923</f>
        <v>79.38</v>
      </c>
      <c r="H1922">
        <f>'raw data Crude oil'!H1923</f>
        <v>78.989999999999995</v>
      </c>
      <c r="I1922">
        <f>'raw data Crude oil'!I1923</f>
        <v>78.63</v>
      </c>
      <c r="J1922">
        <f>'raw data Crude oil'!J1923</f>
        <v>78.290000000000006</v>
      </c>
      <c r="K1922">
        <f>'raw data Crude oil'!K1923</f>
        <v>77.959999999999994</v>
      </c>
      <c r="L1922">
        <f>'raw data Crude oil'!L1923</f>
        <v>77.66</v>
      </c>
      <c r="M1922">
        <f>'raw data Crude oil'!M1923</f>
        <v>77.37</v>
      </c>
      <c r="N1922">
        <f>'raw data Crude oil'!N1923</f>
        <v>77.739999999999995</v>
      </c>
      <c r="O1922">
        <f>'raw data Crude oil'!O1923</f>
        <v>77.33</v>
      </c>
      <c r="P1922">
        <f>'raw data Crude oil'!P1923</f>
        <v>76.819999999999993</v>
      </c>
      <c r="Q1922">
        <f>'raw data Crude oil'!Q1923</f>
        <v>76.25</v>
      </c>
      <c r="R1922">
        <f>'raw data Crude oil'!R1923</f>
        <v>75.69</v>
      </c>
      <c r="S1922">
        <f>'raw data Crude oil'!S1923</f>
        <v>75.17</v>
      </c>
      <c r="T1922">
        <f>'raw data Crude oil'!T1923</f>
        <v>74.69</v>
      </c>
      <c r="U1922">
        <f>'raw data Crude oil'!U1923</f>
        <v>74.260000000000005</v>
      </c>
      <c r="V1922">
        <f>'raw data Crude oil'!V1923</f>
        <v>73.86</v>
      </c>
      <c r="W1922">
        <f>'raw data Crude oil'!W1923</f>
        <v>73.489999999999995</v>
      </c>
      <c r="X1922">
        <f>'raw data Crude oil'!X1923</f>
        <v>73.14</v>
      </c>
      <c r="Y1922">
        <f>'raw data Crude oil'!Y1923</f>
        <v>72.819999999999993</v>
      </c>
      <c r="Z1922">
        <f>'raw data Crude oil'!Z1923</f>
        <v>81.144000000000005</v>
      </c>
      <c r="AA1922">
        <f>'raw data Crude oil'!AA1923</f>
        <v>81.462000000000003</v>
      </c>
      <c r="AB1922">
        <f>'raw data Crude oil'!AB1923</f>
        <v>80.873000000000005</v>
      </c>
      <c r="AC1922">
        <f>'raw data Crude oil'!AC1923</f>
        <v>80.296000000000006</v>
      </c>
      <c r="AD1922">
        <f>'raw data Crude oil'!AD1923</f>
        <v>79.724000000000004</v>
      </c>
      <c r="AE1922">
        <f>'raw data Crude oil'!AE1923</f>
        <v>79.174999999999997</v>
      </c>
      <c r="AF1922">
        <f>'raw data Crude oil'!AF1923</f>
        <v>78.635000000000005</v>
      </c>
      <c r="AG1922">
        <f>'raw data Crude oil'!AG1923</f>
        <v>78.180999999999997</v>
      </c>
      <c r="AH1922">
        <f>'raw data Crude oil'!AH1923</f>
        <v>77.790000000000006</v>
      </c>
      <c r="AI1922">
        <f>'raw data Crude oil'!AI1923</f>
        <v>77.421999999999997</v>
      </c>
      <c r="AJ1922">
        <f>'raw data Crude oil'!AJ1923</f>
        <v>77.075999999999993</v>
      </c>
      <c r="AK1922">
        <f>'raw data Crude oil'!AK1923</f>
        <v>76.745999999999995</v>
      </c>
    </row>
    <row r="1923" spans="1:37" x14ac:dyDescent="0.3">
      <c r="A1923" s="18">
        <f>'raw data Crude oil'!A1924</f>
        <v>45454</v>
      </c>
      <c r="B1923">
        <f>'raw data Crude oil'!B1924</f>
        <v>81.92</v>
      </c>
      <c r="C1923">
        <f>'raw data Crude oil'!C1924</f>
        <v>81.540000000000006</v>
      </c>
      <c r="D1923">
        <f>'raw data Crude oil'!D1924</f>
        <v>81.06</v>
      </c>
      <c r="E1923">
        <f>'raw data Crude oil'!E1924</f>
        <v>80.59</v>
      </c>
      <c r="F1923">
        <f>'raw data Crude oil'!F1924</f>
        <v>80.14</v>
      </c>
      <c r="G1923">
        <f>'raw data Crude oil'!G1924</f>
        <v>79.72</v>
      </c>
      <c r="H1923">
        <f>'raw data Crude oil'!H1924</f>
        <v>79.34</v>
      </c>
      <c r="I1923">
        <f>'raw data Crude oil'!I1924</f>
        <v>78.98</v>
      </c>
      <c r="J1923">
        <f>'raw data Crude oil'!J1924</f>
        <v>78.63</v>
      </c>
      <c r="K1923">
        <f>'raw data Crude oil'!K1924</f>
        <v>78.31</v>
      </c>
      <c r="L1923">
        <f>'raw data Crude oil'!L1924</f>
        <v>78.010000000000005</v>
      </c>
      <c r="M1923">
        <f>'raw data Crude oil'!M1924</f>
        <v>77.72</v>
      </c>
      <c r="N1923">
        <f>'raw data Crude oil'!N1924</f>
        <v>77.900000000000006</v>
      </c>
      <c r="O1923">
        <f>'raw data Crude oil'!O1924</f>
        <v>77.55</v>
      </c>
      <c r="P1923">
        <f>'raw data Crude oil'!P1924</f>
        <v>77.08</v>
      </c>
      <c r="Q1923">
        <f>'raw data Crude oil'!Q1924</f>
        <v>76.540000000000006</v>
      </c>
      <c r="R1923">
        <f>'raw data Crude oil'!R1924</f>
        <v>76</v>
      </c>
      <c r="S1923">
        <f>'raw data Crude oil'!S1924</f>
        <v>75.489999999999995</v>
      </c>
      <c r="T1923">
        <f>'raw data Crude oil'!T1924</f>
        <v>75.02</v>
      </c>
      <c r="U1923">
        <f>'raw data Crude oil'!U1924</f>
        <v>74.599999999999994</v>
      </c>
      <c r="V1923">
        <f>'raw data Crude oil'!V1924</f>
        <v>74.2</v>
      </c>
      <c r="W1923">
        <f>'raw data Crude oil'!W1924</f>
        <v>73.83</v>
      </c>
      <c r="X1923">
        <f>'raw data Crude oil'!X1924</f>
        <v>73.48</v>
      </c>
      <c r="Y1923">
        <f>'raw data Crude oil'!Y1924</f>
        <v>73.150000000000006</v>
      </c>
      <c r="Z1923">
        <f>'raw data Crude oil'!Z1924</f>
        <v>81.305999999999997</v>
      </c>
      <c r="AA1923">
        <f>'raw data Crude oil'!AA1924</f>
        <v>81.769000000000005</v>
      </c>
      <c r="AB1923">
        <f>'raw data Crude oil'!AB1924</f>
        <v>81.17</v>
      </c>
      <c r="AC1923">
        <f>'raw data Crude oil'!AC1924</f>
        <v>80.58</v>
      </c>
      <c r="AD1923">
        <f>'raw data Crude oil'!AD1924</f>
        <v>80.004000000000005</v>
      </c>
      <c r="AE1923">
        <f>'raw data Crude oil'!AE1924</f>
        <v>79.462999999999994</v>
      </c>
      <c r="AF1923">
        <f>'raw data Crude oil'!AF1924</f>
        <v>78.941999999999993</v>
      </c>
      <c r="AG1923">
        <f>'raw data Crude oil'!AG1924</f>
        <v>78.497</v>
      </c>
      <c r="AH1923">
        <f>'raw data Crude oil'!AH1924</f>
        <v>78.108999999999995</v>
      </c>
      <c r="AI1923">
        <f>'raw data Crude oil'!AI1924</f>
        <v>77.745999999999995</v>
      </c>
      <c r="AJ1923">
        <f>'raw data Crude oil'!AJ1924</f>
        <v>77.415999999999997</v>
      </c>
      <c r="AK1923">
        <f>'raw data Crude oil'!AK1924</f>
        <v>77.096999999999994</v>
      </c>
    </row>
    <row r="1924" spans="1:37" x14ac:dyDescent="0.3">
      <c r="A1924" s="18">
        <f>'raw data Crude oil'!A1925</f>
        <v>45455</v>
      </c>
      <c r="B1924">
        <f>'raw data Crude oil'!B1925</f>
        <v>82.6</v>
      </c>
      <c r="C1924">
        <f>'raw data Crude oil'!C1925</f>
        <v>82.15</v>
      </c>
      <c r="D1924">
        <f>'raw data Crude oil'!D1925</f>
        <v>81.650000000000006</v>
      </c>
      <c r="E1924">
        <f>'raw data Crude oil'!E1925</f>
        <v>81.16</v>
      </c>
      <c r="F1924">
        <f>'raw data Crude oil'!F1925</f>
        <v>80.69</v>
      </c>
      <c r="G1924">
        <f>'raw data Crude oil'!G1925</f>
        <v>80.25</v>
      </c>
      <c r="H1924">
        <f>'raw data Crude oil'!H1925</f>
        <v>79.849999999999994</v>
      </c>
      <c r="I1924">
        <f>'raw data Crude oil'!I1925</f>
        <v>79.459999999999994</v>
      </c>
      <c r="J1924">
        <f>'raw data Crude oil'!J1925</f>
        <v>79.09</v>
      </c>
      <c r="K1924">
        <f>'raw data Crude oil'!K1925</f>
        <v>78.739999999999995</v>
      </c>
      <c r="L1924">
        <f>'raw data Crude oil'!L1925</f>
        <v>78.42</v>
      </c>
      <c r="M1924">
        <f>'raw data Crude oil'!M1925</f>
        <v>78.11</v>
      </c>
      <c r="N1924">
        <f>'raw data Crude oil'!N1925</f>
        <v>78.5</v>
      </c>
      <c r="O1924">
        <f>'raw data Crude oil'!O1925</f>
        <v>78.150000000000006</v>
      </c>
      <c r="P1924">
        <f>'raw data Crude oil'!P1925</f>
        <v>77.680000000000007</v>
      </c>
      <c r="Q1924">
        <f>'raw data Crude oil'!Q1925</f>
        <v>77.13</v>
      </c>
      <c r="R1924">
        <f>'raw data Crude oil'!R1925</f>
        <v>76.58</v>
      </c>
      <c r="S1924">
        <f>'raw data Crude oil'!S1925</f>
        <v>76.040000000000006</v>
      </c>
      <c r="T1924">
        <f>'raw data Crude oil'!T1925</f>
        <v>75.56</v>
      </c>
      <c r="U1924">
        <f>'raw data Crude oil'!U1925</f>
        <v>75.12</v>
      </c>
      <c r="V1924">
        <f>'raw data Crude oil'!V1925</f>
        <v>74.7</v>
      </c>
      <c r="W1924">
        <f>'raw data Crude oil'!W1925</f>
        <v>74.3</v>
      </c>
      <c r="X1924">
        <f>'raw data Crude oil'!X1925</f>
        <v>73.92</v>
      </c>
      <c r="Y1924">
        <f>'raw data Crude oil'!Y1925</f>
        <v>73.56</v>
      </c>
      <c r="Z1924">
        <f>'raw data Crude oil'!Z1925</f>
        <v>81.643000000000001</v>
      </c>
      <c r="AA1924">
        <f>'raw data Crude oil'!AA1925</f>
        <v>82.281999999999996</v>
      </c>
      <c r="AB1924">
        <f>'raw data Crude oil'!AB1925</f>
        <v>81.688999999999993</v>
      </c>
      <c r="AC1924">
        <f>'raw data Crude oil'!AC1925</f>
        <v>81.099999999999994</v>
      </c>
      <c r="AD1924">
        <f>'raw data Crude oil'!AD1925</f>
        <v>80.540999999999997</v>
      </c>
      <c r="AE1924">
        <f>'raw data Crude oil'!AE1925</f>
        <v>80.001000000000005</v>
      </c>
      <c r="AF1924">
        <f>'raw data Crude oil'!AF1925</f>
        <v>79.472999999999999</v>
      </c>
      <c r="AG1924">
        <f>'raw data Crude oil'!AG1925</f>
        <v>79.003</v>
      </c>
      <c r="AH1924">
        <f>'raw data Crude oil'!AH1925</f>
        <v>78.582999999999998</v>
      </c>
      <c r="AI1924">
        <f>'raw data Crude oil'!AI1925</f>
        <v>78.194999999999993</v>
      </c>
      <c r="AJ1924">
        <f>'raw data Crude oil'!AJ1925</f>
        <v>77.834999999999994</v>
      </c>
      <c r="AK1924">
        <f>'raw data Crude oil'!AK1925</f>
        <v>77.486000000000004</v>
      </c>
    </row>
    <row r="1925" spans="1:37" x14ac:dyDescent="0.3">
      <c r="A1925" s="18">
        <f>'raw data Crude oil'!A1926</f>
        <v>45456</v>
      </c>
      <c r="B1925">
        <f>'raw data Crude oil'!B1926</f>
        <v>82.75</v>
      </c>
      <c r="C1925">
        <f>'raw data Crude oil'!C1926</f>
        <v>82.3</v>
      </c>
      <c r="D1925">
        <f>'raw data Crude oil'!D1926</f>
        <v>81.8</v>
      </c>
      <c r="E1925">
        <f>'raw data Crude oil'!E1926</f>
        <v>81.31</v>
      </c>
      <c r="F1925">
        <f>'raw data Crude oil'!F1926</f>
        <v>80.84</v>
      </c>
      <c r="G1925">
        <f>'raw data Crude oil'!G1926</f>
        <v>80.400000000000006</v>
      </c>
      <c r="H1925">
        <f>'raw data Crude oil'!H1926</f>
        <v>79.989999999999995</v>
      </c>
      <c r="I1925">
        <f>'raw data Crude oil'!I1926</f>
        <v>79.599999999999994</v>
      </c>
      <c r="J1925">
        <f>'raw data Crude oil'!J1926</f>
        <v>79.23</v>
      </c>
      <c r="K1925">
        <f>'raw data Crude oil'!K1926</f>
        <v>78.87</v>
      </c>
      <c r="L1925">
        <f>'raw data Crude oil'!L1926</f>
        <v>78.540000000000006</v>
      </c>
      <c r="M1925">
        <f>'raw data Crude oil'!M1926</f>
        <v>78.22</v>
      </c>
      <c r="N1925">
        <f>'raw data Crude oil'!N1926</f>
        <v>78.62</v>
      </c>
      <c r="O1925">
        <f>'raw data Crude oil'!O1926</f>
        <v>78.260000000000005</v>
      </c>
      <c r="P1925">
        <f>'raw data Crude oil'!P1926</f>
        <v>77.819999999999993</v>
      </c>
      <c r="Q1925">
        <f>'raw data Crude oil'!Q1926</f>
        <v>77.31</v>
      </c>
      <c r="R1925">
        <f>'raw data Crude oil'!R1926</f>
        <v>76.78</v>
      </c>
      <c r="S1925">
        <f>'raw data Crude oil'!S1926</f>
        <v>76.25</v>
      </c>
      <c r="T1925">
        <f>'raw data Crude oil'!T1926</f>
        <v>75.75</v>
      </c>
      <c r="U1925">
        <f>'raw data Crude oil'!U1926</f>
        <v>75.31</v>
      </c>
      <c r="V1925">
        <f>'raw data Crude oil'!V1926</f>
        <v>74.89</v>
      </c>
      <c r="W1925">
        <f>'raw data Crude oil'!W1926</f>
        <v>74.48</v>
      </c>
      <c r="X1925">
        <f>'raw data Crude oil'!X1926</f>
        <v>74.099999999999994</v>
      </c>
      <c r="Y1925">
        <f>'raw data Crude oil'!Y1926</f>
        <v>73.73</v>
      </c>
      <c r="Z1925">
        <f>'raw data Crude oil'!Z1926</f>
        <v>81.575999999999993</v>
      </c>
      <c r="AA1925">
        <f>'raw data Crude oil'!AA1926</f>
        <v>82.283000000000001</v>
      </c>
      <c r="AB1925">
        <f>'raw data Crude oil'!AB1926</f>
        <v>81.742999999999995</v>
      </c>
      <c r="AC1925">
        <f>'raw data Crude oil'!AC1926</f>
        <v>81.171000000000006</v>
      </c>
      <c r="AD1925">
        <f>'raw data Crude oil'!AD1926</f>
        <v>80.626000000000005</v>
      </c>
      <c r="AE1925">
        <f>'raw data Crude oil'!AE1926</f>
        <v>80.099999999999994</v>
      </c>
      <c r="AF1925">
        <f>'raw data Crude oil'!AF1926</f>
        <v>79.582999999999998</v>
      </c>
      <c r="AG1925">
        <f>'raw data Crude oil'!AG1926</f>
        <v>79.125</v>
      </c>
      <c r="AH1925">
        <f>'raw data Crude oil'!AH1926</f>
        <v>78.703999999999994</v>
      </c>
      <c r="AI1925">
        <f>'raw data Crude oil'!AI1926</f>
        <v>78.296000000000006</v>
      </c>
      <c r="AJ1925">
        <f>'raw data Crude oil'!AJ1926</f>
        <v>77.930000000000007</v>
      </c>
      <c r="AK1925">
        <f>'raw data Crude oil'!AK1926</f>
        <v>77.575000000000003</v>
      </c>
    </row>
    <row r="1926" spans="1:37" x14ac:dyDescent="0.3">
      <c r="A1926" s="18">
        <f>'raw data Crude oil'!A1927</f>
        <v>45457</v>
      </c>
      <c r="B1926">
        <f>'raw data Crude oil'!B1927</f>
        <v>82.62</v>
      </c>
      <c r="C1926">
        <f>'raw data Crude oil'!C1927</f>
        <v>82.08</v>
      </c>
      <c r="D1926">
        <f>'raw data Crude oil'!D1927</f>
        <v>81.5</v>
      </c>
      <c r="E1926">
        <f>'raw data Crude oil'!E1927</f>
        <v>80.97</v>
      </c>
      <c r="F1926">
        <f>'raw data Crude oil'!F1927</f>
        <v>80.48</v>
      </c>
      <c r="G1926">
        <f>'raw data Crude oil'!G1927</f>
        <v>80.03</v>
      </c>
      <c r="H1926">
        <f>'raw data Crude oil'!H1927</f>
        <v>79.599999999999994</v>
      </c>
      <c r="I1926">
        <f>'raw data Crude oil'!I1927</f>
        <v>79.2</v>
      </c>
      <c r="J1926">
        <f>'raw data Crude oil'!J1927</f>
        <v>78.83</v>
      </c>
      <c r="K1926">
        <f>'raw data Crude oil'!K1927</f>
        <v>78.48</v>
      </c>
      <c r="L1926">
        <f>'raw data Crude oil'!L1927</f>
        <v>78.150000000000006</v>
      </c>
      <c r="M1926">
        <f>'raw data Crude oil'!M1927</f>
        <v>77.83</v>
      </c>
      <c r="N1926">
        <f>'raw data Crude oil'!N1927</f>
        <v>78.45</v>
      </c>
      <c r="O1926">
        <f>'raw data Crude oil'!O1927</f>
        <v>78.05</v>
      </c>
      <c r="P1926">
        <f>'raw data Crude oil'!P1927</f>
        <v>77.55</v>
      </c>
      <c r="Q1926">
        <f>'raw data Crude oil'!Q1927</f>
        <v>76.98</v>
      </c>
      <c r="R1926">
        <f>'raw data Crude oil'!R1927</f>
        <v>76.41</v>
      </c>
      <c r="S1926">
        <f>'raw data Crude oil'!S1927</f>
        <v>75.87</v>
      </c>
      <c r="T1926">
        <f>'raw data Crude oil'!T1927</f>
        <v>75.37</v>
      </c>
      <c r="U1926">
        <f>'raw data Crude oil'!U1927</f>
        <v>74.91</v>
      </c>
      <c r="V1926">
        <f>'raw data Crude oil'!V1927</f>
        <v>74.48</v>
      </c>
      <c r="W1926">
        <f>'raw data Crude oil'!W1927</f>
        <v>74.069999999999993</v>
      </c>
      <c r="X1926">
        <f>'raw data Crude oil'!X1927</f>
        <v>73.680000000000007</v>
      </c>
      <c r="Y1926">
        <f>'raw data Crude oil'!Y1927</f>
        <v>73.31</v>
      </c>
      <c r="Z1926">
        <f>'raw data Crude oil'!Z1927</f>
        <v>81.501999999999995</v>
      </c>
      <c r="AA1926">
        <f>'raw data Crude oil'!AA1927</f>
        <v>82.105000000000004</v>
      </c>
      <c r="AB1926">
        <f>'raw data Crude oil'!AB1927</f>
        <v>81.503</v>
      </c>
      <c r="AC1926">
        <f>'raw data Crude oil'!AC1927</f>
        <v>80.891000000000005</v>
      </c>
      <c r="AD1926">
        <f>'raw data Crude oil'!AD1927</f>
        <v>80.319999999999993</v>
      </c>
      <c r="AE1926">
        <f>'raw data Crude oil'!AE1927</f>
        <v>79.77</v>
      </c>
      <c r="AF1926">
        <f>'raw data Crude oil'!AF1927</f>
        <v>79.231999999999999</v>
      </c>
      <c r="AG1926">
        <f>'raw data Crude oil'!AG1927</f>
        <v>78.763000000000005</v>
      </c>
      <c r="AH1926">
        <f>'raw data Crude oil'!AH1927</f>
        <v>78.332999999999998</v>
      </c>
      <c r="AI1926">
        <f>'raw data Crude oil'!AI1927</f>
        <v>77.933999999999997</v>
      </c>
      <c r="AJ1926">
        <f>'raw data Crude oil'!AJ1927</f>
        <v>77.575000000000003</v>
      </c>
      <c r="AK1926">
        <f>'raw data Crude oil'!AK1927</f>
        <v>77.215999999999994</v>
      </c>
    </row>
    <row r="1927" spans="1:37" x14ac:dyDescent="0.3">
      <c r="A1927" s="18">
        <f>'raw data Crude oil'!A1928</f>
        <v>45460</v>
      </c>
      <c r="B1927">
        <f>'raw data Crude oil'!B1928</f>
        <v>84.25</v>
      </c>
      <c r="C1927">
        <f>'raw data Crude oil'!C1928</f>
        <v>83.52</v>
      </c>
      <c r="D1927">
        <f>'raw data Crude oil'!D1928</f>
        <v>82.79</v>
      </c>
      <c r="E1927">
        <f>'raw data Crude oil'!E1928</f>
        <v>82.15</v>
      </c>
      <c r="F1927">
        <f>'raw data Crude oil'!F1928</f>
        <v>81.55</v>
      </c>
      <c r="G1927">
        <f>'raw data Crude oil'!G1928</f>
        <v>80.989999999999995</v>
      </c>
      <c r="H1927">
        <f>'raw data Crude oil'!H1928</f>
        <v>80.47</v>
      </c>
      <c r="I1927">
        <f>'raw data Crude oil'!I1928</f>
        <v>79.98</v>
      </c>
      <c r="J1927">
        <f>'raw data Crude oil'!J1928</f>
        <v>79.53</v>
      </c>
      <c r="K1927">
        <f>'raw data Crude oil'!K1928</f>
        <v>79.099999999999994</v>
      </c>
      <c r="L1927">
        <f>'raw data Crude oil'!L1928</f>
        <v>78.7</v>
      </c>
      <c r="M1927">
        <f>'raw data Crude oil'!M1928</f>
        <v>78.319999999999993</v>
      </c>
      <c r="N1927">
        <f>'raw data Crude oil'!N1928</f>
        <v>80.33</v>
      </c>
      <c r="O1927">
        <f>'raw data Crude oil'!O1928</f>
        <v>79.72</v>
      </c>
      <c r="P1927">
        <f>'raw data Crude oil'!P1928</f>
        <v>79.02</v>
      </c>
      <c r="Q1927">
        <f>'raw data Crude oil'!Q1928</f>
        <v>78.27</v>
      </c>
      <c r="R1927">
        <f>'raw data Crude oil'!R1928</f>
        <v>77.55</v>
      </c>
      <c r="S1927">
        <f>'raw data Crude oil'!S1928</f>
        <v>76.900000000000006</v>
      </c>
      <c r="T1927">
        <f>'raw data Crude oil'!T1928</f>
        <v>76.31</v>
      </c>
      <c r="U1927">
        <f>'raw data Crude oil'!U1928</f>
        <v>75.760000000000005</v>
      </c>
      <c r="V1927">
        <f>'raw data Crude oil'!V1928</f>
        <v>75.239999999999995</v>
      </c>
      <c r="W1927">
        <f>'raw data Crude oil'!W1928</f>
        <v>74.73</v>
      </c>
      <c r="X1927">
        <f>'raw data Crude oil'!X1928</f>
        <v>74.260000000000005</v>
      </c>
      <c r="Y1927">
        <f>'raw data Crude oil'!Y1928</f>
        <v>73.819999999999993</v>
      </c>
      <c r="Z1927">
        <f>'raw data Crude oil'!Z1928</f>
        <v>82.097999999999999</v>
      </c>
      <c r="AA1927">
        <f>'raw data Crude oil'!AA1928</f>
        <v>83.361999999999995</v>
      </c>
      <c r="AB1927">
        <f>'raw data Crude oil'!AB1928</f>
        <v>82.674999999999997</v>
      </c>
      <c r="AC1927">
        <f>'raw data Crude oil'!AC1928</f>
        <v>81.980999999999995</v>
      </c>
      <c r="AD1927">
        <f>'raw data Crude oil'!AD1928</f>
        <v>81.334999999999994</v>
      </c>
      <c r="AE1927">
        <f>'raw data Crude oil'!AE1928</f>
        <v>80.712999999999994</v>
      </c>
      <c r="AF1927">
        <f>'raw data Crude oil'!AF1928</f>
        <v>80.093000000000004</v>
      </c>
      <c r="AG1927">
        <f>'raw data Crude oil'!AG1928</f>
        <v>79.569999999999993</v>
      </c>
      <c r="AH1927">
        <f>'raw data Crude oil'!AH1928</f>
        <v>79.088999999999999</v>
      </c>
      <c r="AI1927">
        <f>'raw data Crude oil'!AI1928</f>
        <v>78.620999999999995</v>
      </c>
      <c r="AJ1927">
        <f>'raw data Crude oil'!AJ1928</f>
        <v>78.191999999999993</v>
      </c>
      <c r="AK1927">
        <f>'raw data Crude oil'!AK1928</f>
        <v>77.783000000000001</v>
      </c>
    </row>
    <row r="1928" spans="1:37" x14ac:dyDescent="0.3">
      <c r="A1928" s="18">
        <f>'raw data Crude oil'!A1929</f>
        <v>45461</v>
      </c>
      <c r="B1928">
        <f>'raw data Crude oil'!B1929</f>
        <v>85.33</v>
      </c>
      <c r="C1928">
        <f>'raw data Crude oil'!C1929</f>
        <v>84.53</v>
      </c>
      <c r="D1928">
        <f>'raw data Crude oil'!D1929</f>
        <v>83.79</v>
      </c>
      <c r="E1928">
        <f>'raw data Crude oil'!E1929</f>
        <v>83.15</v>
      </c>
      <c r="F1928">
        <f>'raw data Crude oil'!F1929</f>
        <v>82.55</v>
      </c>
      <c r="G1928">
        <f>'raw data Crude oil'!G1929</f>
        <v>81.99</v>
      </c>
      <c r="H1928">
        <f>'raw data Crude oil'!H1929</f>
        <v>81.459999999999994</v>
      </c>
      <c r="I1928">
        <f>'raw data Crude oil'!I1929</f>
        <v>80.959999999999994</v>
      </c>
      <c r="J1928">
        <f>'raw data Crude oil'!J1929</f>
        <v>80.5</v>
      </c>
      <c r="K1928">
        <f>'raw data Crude oil'!K1929</f>
        <v>80.069999999999993</v>
      </c>
      <c r="L1928">
        <f>'raw data Crude oil'!L1929</f>
        <v>79.66</v>
      </c>
      <c r="M1928">
        <f>'raw data Crude oil'!M1929</f>
        <v>79.28</v>
      </c>
      <c r="N1928">
        <f>'raw data Crude oil'!N1929</f>
        <v>81.569999999999993</v>
      </c>
      <c r="O1928">
        <f>'raw data Crude oil'!O1929</f>
        <v>80.709999999999994</v>
      </c>
      <c r="P1928">
        <f>'raw data Crude oil'!P1929</f>
        <v>79.989999999999995</v>
      </c>
      <c r="Q1928">
        <f>'raw data Crude oil'!Q1929</f>
        <v>79.23</v>
      </c>
      <c r="R1928">
        <f>'raw data Crude oil'!R1929</f>
        <v>78.53</v>
      </c>
      <c r="S1928">
        <f>'raw data Crude oil'!S1929</f>
        <v>77.87</v>
      </c>
      <c r="T1928">
        <f>'raw data Crude oil'!T1929</f>
        <v>77.27</v>
      </c>
      <c r="U1928">
        <f>'raw data Crude oil'!U1929</f>
        <v>76.709999999999994</v>
      </c>
      <c r="V1928">
        <f>'raw data Crude oil'!V1929</f>
        <v>76.19</v>
      </c>
      <c r="W1928">
        <f>'raw data Crude oil'!W1929</f>
        <v>75.69</v>
      </c>
      <c r="X1928">
        <f>'raw data Crude oil'!X1929</f>
        <v>75.22</v>
      </c>
      <c r="Y1928">
        <f>'raw data Crude oil'!Y1929</f>
        <v>74.78</v>
      </c>
      <c r="Z1928">
        <f>'raw data Crude oil'!Z1929</f>
        <v>82.518000000000001</v>
      </c>
      <c r="AA1928">
        <f>'raw data Crude oil'!AA1929</f>
        <v>84.358000000000004</v>
      </c>
      <c r="AB1928">
        <f>'raw data Crude oil'!AB1929</f>
        <v>83.632000000000005</v>
      </c>
      <c r="AC1928">
        <f>'raw data Crude oil'!AC1929</f>
        <v>82.94</v>
      </c>
      <c r="AD1928">
        <f>'raw data Crude oil'!AD1929</f>
        <v>82.290999999999997</v>
      </c>
      <c r="AE1928">
        <f>'raw data Crude oil'!AE1929</f>
        <v>81.67</v>
      </c>
      <c r="AF1928">
        <f>'raw data Crude oil'!AF1929</f>
        <v>81.063999999999993</v>
      </c>
      <c r="AG1928">
        <f>'raw data Crude oil'!AG1929</f>
        <v>80.524000000000001</v>
      </c>
      <c r="AH1928">
        <f>'raw data Crude oil'!AH1929</f>
        <v>80.024000000000001</v>
      </c>
      <c r="AI1928">
        <f>'raw data Crude oil'!AI1929</f>
        <v>79.555000000000007</v>
      </c>
      <c r="AJ1928">
        <f>'raw data Crude oil'!AJ1929</f>
        <v>79.117000000000004</v>
      </c>
      <c r="AK1928">
        <f>'raw data Crude oil'!AK1929</f>
        <v>78.707999999999998</v>
      </c>
    </row>
    <row r="1929" spans="1:37" x14ac:dyDescent="0.3">
      <c r="A1929" s="18">
        <f>'raw data Crude oil'!A1930</f>
        <v>45462</v>
      </c>
      <c r="B1929">
        <f>'raw data Crude oil'!B1930</f>
        <v>85.07</v>
      </c>
      <c r="C1929">
        <f>'raw data Crude oil'!C1930</f>
        <v>84.29</v>
      </c>
      <c r="D1929">
        <f>'raw data Crude oil'!D1930</f>
        <v>83.58</v>
      </c>
      <c r="E1929">
        <f>'raw data Crude oil'!E1930</f>
        <v>82.97</v>
      </c>
      <c r="F1929">
        <f>'raw data Crude oil'!F1930</f>
        <v>82.41</v>
      </c>
      <c r="G1929">
        <f>'raw data Crude oil'!G1930</f>
        <v>81.87</v>
      </c>
      <c r="H1929">
        <f>'raw data Crude oil'!H1930</f>
        <v>81.36</v>
      </c>
      <c r="I1929">
        <f>'raw data Crude oil'!I1930</f>
        <v>80.88</v>
      </c>
      <c r="J1929">
        <f>'raw data Crude oil'!J1930</f>
        <v>80.430000000000007</v>
      </c>
      <c r="K1929">
        <f>'raw data Crude oil'!K1930</f>
        <v>80.010000000000005</v>
      </c>
      <c r="L1929">
        <f>'raw data Crude oil'!L1930</f>
        <v>79.61</v>
      </c>
      <c r="M1929">
        <f>'raw data Crude oil'!M1930</f>
        <v>79.23</v>
      </c>
      <c r="N1929">
        <f>'raw data Crude oil'!N1930</f>
        <v>81.569999999999993</v>
      </c>
      <c r="O1929">
        <f>'raw data Crude oil'!O1930</f>
        <v>80.709999999999994</v>
      </c>
      <c r="P1929">
        <f>'raw data Crude oil'!P1930</f>
        <v>79.989999999999995</v>
      </c>
      <c r="Q1929">
        <f>'raw data Crude oil'!Q1930</f>
        <v>79.23</v>
      </c>
      <c r="R1929">
        <f>'raw data Crude oil'!R1930</f>
        <v>78.53</v>
      </c>
      <c r="S1929">
        <f>'raw data Crude oil'!S1930</f>
        <v>77.87</v>
      </c>
      <c r="T1929">
        <f>'raw data Crude oil'!T1930</f>
        <v>77.27</v>
      </c>
      <c r="U1929">
        <f>'raw data Crude oil'!U1930</f>
        <v>76.709999999999994</v>
      </c>
      <c r="V1929">
        <f>'raw data Crude oil'!V1930</f>
        <v>76.19</v>
      </c>
      <c r="W1929">
        <f>'raw data Crude oil'!W1930</f>
        <v>75.69</v>
      </c>
      <c r="X1929">
        <f>'raw data Crude oil'!X1930</f>
        <v>75.22</v>
      </c>
      <c r="Y1929">
        <f>'raw data Crude oil'!Y1930</f>
        <v>74.78</v>
      </c>
      <c r="Z1929">
        <f>'raw data Crude oil'!Z1930</f>
        <v>82.376999999999995</v>
      </c>
      <c r="AA1929">
        <f>'raw data Crude oil'!AA1930</f>
        <v>84.188999999999993</v>
      </c>
      <c r="AB1929">
        <f>'raw data Crude oil'!AB1930</f>
        <v>83.507000000000005</v>
      </c>
      <c r="AC1929">
        <f>'raw data Crude oil'!AC1930</f>
        <v>82.843000000000004</v>
      </c>
      <c r="AD1929">
        <f>'raw data Crude oil'!AD1930</f>
        <v>82.197000000000003</v>
      </c>
      <c r="AE1929">
        <f>'raw data Crude oil'!AE1930</f>
        <v>81.575999999999993</v>
      </c>
      <c r="AF1929">
        <f>'raw data Crude oil'!AF1930</f>
        <v>80.983999999999995</v>
      </c>
      <c r="AG1929">
        <f>'raw data Crude oil'!AG1930</f>
        <v>80.459999999999994</v>
      </c>
      <c r="AH1929">
        <f>'raw data Crude oil'!AH1930</f>
        <v>79.978999999999999</v>
      </c>
      <c r="AI1929">
        <f>'raw data Crude oil'!AI1930</f>
        <v>79.540999999999997</v>
      </c>
      <c r="AJ1929">
        <f>'raw data Crude oil'!AJ1930</f>
        <v>79.122</v>
      </c>
      <c r="AK1929">
        <f>'raw data Crude oil'!AK1930</f>
        <v>78.722999999999999</v>
      </c>
    </row>
    <row r="1930" spans="1:37" x14ac:dyDescent="0.3">
      <c r="A1930" s="18">
        <f>'raw data Crude oil'!A1931</f>
        <v>45463</v>
      </c>
      <c r="B1930">
        <f>'raw data Crude oil'!B1931</f>
        <v>85.71</v>
      </c>
      <c r="C1930">
        <f>'raw data Crude oil'!C1931</f>
        <v>84.86</v>
      </c>
      <c r="D1930">
        <f>'raw data Crude oil'!D1931</f>
        <v>84.13</v>
      </c>
      <c r="E1930">
        <f>'raw data Crude oil'!E1931</f>
        <v>83.49</v>
      </c>
      <c r="F1930">
        <f>'raw data Crude oil'!F1931</f>
        <v>82.91</v>
      </c>
      <c r="G1930">
        <f>'raw data Crude oil'!G1931</f>
        <v>82.34</v>
      </c>
      <c r="H1930">
        <f>'raw data Crude oil'!H1931</f>
        <v>81.81</v>
      </c>
      <c r="I1930">
        <f>'raw data Crude oil'!I1931</f>
        <v>81.31</v>
      </c>
      <c r="J1930">
        <f>'raw data Crude oil'!J1931</f>
        <v>80.849999999999994</v>
      </c>
      <c r="K1930">
        <f>'raw data Crude oil'!K1931</f>
        <v>80.430000000000007</v>
      </c>
      <c r="L1930">
        <f>'raw data Crude oil'!L1931</f>
        <v>80.02</v>
      </c>
      <c r="M1930">
        <f>'raw data Crude oil'!M1931</f>
        <v>79.64</v>
      </c>
      <c r="N1930">
        <f>'raw data Crude oil'!N1931</f>
        <v>82.17</v>
      </c>
      <c r="O1930">
        <f>'raw data Crude oil'!O1931</f>
        <v>81.290000000000006</v>
      </c>
      <c r="P1930">
        <f>'raw data Crude oil'!P1931</f>
        <v>80.489999999999995</v>
      </c>
      <c r="Q1930">
        <f>'raw data Crude oil'!Q1931</f>
        <v>79.67</v>
      </c>
      <c r="R1930">
        <f>'raw data Crude oil'!R1931</f>
        <v>78.930000000000007</v>
      </c>
      <c r="S1930">
        <f>'raw data Crude oil'!S1931</f>
        <v>78.25</v>
      </c>
      <c r="T1930">
        <f>'raw data Crude oil'!T1931</f>
        <v>77.63</v>
      </c>
      <c r="U1930">
        <f>'raw data Crude oil'!U1931</f>
        <v>77.06</v>
      </c>
      <c r="V1930">
        <f>'raw data Crude oil'!V1931</f>
        <v>76.53</v>
      </c>
      <c r="W1930">
        <f>'raw data Crude oil'!W1931</f>
        <v>76.02</v>
      </c>
      <c r="X1930">
        <f>'raw data Crude oil'!X1931</f>
        <v>75.55</v>
      </c>
      <c r="Y1930">
        <f>'raw data Crude oil'!Y1931</f>
        <v>75.11</v>
      </c>
      <c r="Z1930">
        <f>'raw data Crude oil'!Z1931</f>
        <v>82.602999999999994</v>
      </c>
      <c r="AA1930">
        <f>'raw data Crude oil'!AA1931</f>
        <v>84.888999999999996</v>
      </c>
      <c r="AB1930">
        <f>'raw data Crude oil'!AB1931</f>
        <v>84.186000000000007</v>
      </c>
      <c r="AC1930">
        <f>'raw data Crude oil'!AC1931</f>
        <v>83.486999999999995</v>
      </c>
      <c r="AD1930">
        <f>'raw data Crude oil'!AD1931</f>
        <v>82.799000000000007</v>
      </c>
      <c r="AE1930">
        <f>'raw data Crude oil'!AE1931</f>
        <v>82.138999999999996</v>
      </c>
      <c r="AF1930">
        <f>'raw data Crude oil'!AF1931</f>
        <v>81.501999999999995</v>
      </c>
      <c r="AG1930">
        <f>'raw data Crude oil'!AG1931</f>
        <v>80.963999999999999</v>
      </c>
      <c r="AH1930">
        <f>'raw data Crude oil'!AH1931</f>
        <v>80.468999999999994</v>
      </c>
      <c r="AI1930">
        <f>'raw data Crude oil'!AI1931</f>
        <v>80.015000000000001</v>
      </c>
      <c r="AJ1930">
        <f>'raw data Crude oil'!AJ1931</f>
        <v>79.572000000000003</v>
      </c>
      <c r="AK1930">
        <f>'raw data Crude oil'!AK1931</f>
        <v>79.159000000000006</v>
      </c>
    </row>
    <row r="1931" spans="1:37" x14ac:dyDescent="0.3">
      <c r="A1931" s="18">
        <f>'raw data Crude oil'!A1932</f>
        <v>45464</v>
      </c>
      <c r="B1931">
        <f>'raw data Crude oil'!B1932</f>
        <v>85.24</v>
      </c>
      <c r="C1931">
        <f>'raw data Crude oil'!C1932</f>
        <v>84.33</v>
      </c>
      <c r="D1931">
        <f>'raw data Crude oil'!D1932</f>
        <v>83.56</v>
      </c>
      <c r="E1931">
        <f>'raw data Crude oil'!E1932</f>
        <v>82.91</v>
      </c>
      <c r="F1931">
        <f>'raw data Crude oil'!F1932</f>
        <v>82.33</v>
      </c>
      <c r="G1931">
        <f>'raw data Crude oil'!G1932</f>
        <v>81.78</v>
      </c>
      <c r="H1931">
        <f>'raw data Crude oil'!H1932</f>
        <v>81.260000000000005</v>
      </c>
      <c r="I1931">
        <f>'raw data Crude oil'!I1932</f>
        <v>80.77</v>
      </c>
      <c r="J1931">
        <f>'raw data Crude oil'!J1932</f>
        <v>80.319999999999993</v>
      </c>
      <c r="K1931">
        <f>'raw data Crude oil'!K1932</f>
        <v>79.900000000000006</v>
      </c>
      <c r="L1931">
        <f>'raw data Crude oil'!L1932</f>
        <v>79.5</v>
      </c>
      <c r="M1931">
        <f>'raw data Crude oil'!M1932</f>
        <v>79.12</v>
      </c>
      <c r="N1931">
        <f>'raw data Crude oil'!N1932</f>
        <v>80.73</v>
      </c>
      <c r="O1931">
        <f>'raw data Crude oil'!O1932</f>
        <v>79.959999999999994</v>
      </c>
      <c r="P1931">
        <f>'raw data Crude oil'!P1932</f>
        <v>79.150000000000006</v>
      </c>
      <c r="Q1931">
        <f>'raw data Crude oil'!Q1932</f>
        <v>78.400000000000006</v>
      </c>
      <c r="R1931">
        <f>'raw data Crude oil'!R1932</f>
        <v>77.709999999999994</v>
      </c>
      <c r="S1931">
        <f>'raw data Crude oil'!S1932</f>
        <v>77.09</v>
      </c>
      <c r="T1931">
        <f>'raw data Crude oil'!T1932</f>
        <v>76.52</v>
      </c>
      <c r="U1931">
        <f>'raw data Crude oil'!U1932</f>
        <v>76</v>
      </c>
      <c r="V1931">
        <f>'raw data Crude oil'!V1932</f>
        <v>75.5</v>
      </c>
      <c r="W1931">
        <f>'raw data Crude oil'!W1932</f>
        <v>75.040000000000006</v>
      </c>
      <c r="X1931">
        <f>'raw data Crude oil'!X1932</f>
        <v>74.61</v>
      </c>
      <c r="Y1931">
        <f>'raw data Crude oil'!Y1932</f>
        <v>74.17</v>
      </c>
      <c r="Z1931">
        <f>'raw data Crude oil'!Z1932</f>
        <v>82.477999999999994</v>
      </c>
      <c r="AA1931">
        <f>'raw data Crude oil'!AA1932</f>
        <v>84.447000000000003</v>
      </c>
      <c r="AB1931">
        <f>'raw data Crude oil'!AB1932</f>
        <v>83.69</v>
      </c>
      <c r="AC1931">
        <f>'raw data Crude oil'!AC1932</f>
        <v>82.962000000000003</v>
      </c>
      <c r="AD1931">
        <f>'raw data Crude oil'!AD1932</f>
        <v>82.256</v>
      </c>
      <c r="AE1931">
        <f>'raw data Crude oil'!AE1932</f>
        <v>81.584999999999994</v>
      </c>
      <c r="AF1931">
        <f>'raw data Crude oil'!AF1932</f>
        <v>80.923000000000002</v>
      </c>
      <c r="AG1931">
        <f>'raw data Crude oil'!AG1932</f>
        <v>80.36</v>
      </c>
      <c r="AH1931">
        <f>'raw data Crude oil'!AH1932</f>
        <v>79.879000000000005</v>
      </c>
      <c r="AI1931">
        <f>'raw data Crude oil'!AI1932</f>
        <v>79.421000000000006</v>
      </c>
      <c r="AJ1931">
        <f>'raw data Crude oil'!AJ1932</f>
        <v>78.981999999999999</v>
      </c>
      <c r="AK1931">
        <f>'raw data Crude oil'!AK1932</f>
        <v>78.563000000000002</v>
      </c>
    </row>
    <row r="1932" spans="1:37" x14ac:dyDescent="0.3">
      <c r="A1932" s="18">
        <f>'raw data Crude oil'!A1933</f>
        <v>45467</v>
      </c>
      <c r="B1932">
        <f>'raw data Crude oil'!B1933</f>
        <v>86.01</v>
      </c>
      <c r="C1932">
        <f>'raw data Crude oil'!C1933</f>
        <v>85.15</v>
      </c>
      <c r="D1932">
        <f>'raw data Crude oil'!D1933</f>
        <v>84.41</v>
      </c>
      <c r="E1932">
        <f>'raw data Crude oil'!E1933</f>
        <v>83.77</v>
      </c>
      <c r="F1932">
        <f>'raw data Crude oil'!F1933</f>
        <v>83.18</v>
      </c>
      <c r="G1932">
        <f>'raw data Crude oil'!G1933</f>
        <v>82.62</v>
      </c>
      <c r="H1932">
        <f>'raw data Crude oil'!H1933</f>
        <v>82.1</v>
      </c>
      <c r="I1932">
        <f>'raw data Crude oil'!I1933</f>
        <v>81.599999999999994</v>
      </c>
      <c r="J1932">
        <f>'raw data Crude oil'!J1933</f>
        <v>81.14</v>
      </c>
      <c r="K1932">
        <f>'raw data Crude oil'!K1933</f>
        <v>80.72</v>
      </c>
      <c r="L1932">
        <f>'raw data Crude oil'!L1933</f>
        <v>80.319999999999993</v>
      </c>
      <c r="M1932">
        <f>'raw data Crude oil'!M1933</f>
        <v>79.94</v>
      </c>
      <c r="N1932">
        <f>'raw data Crude oil'!N1933</f>
        <v>81.63</v>
      </c>
      <c r="O1932">
        <f>'raw data Crude oil'!O1933</f>
        <v>80.86</v>
      </c>
      <c r="P1932">
        <f>'raw data Crude oil'!P1933</f>
        <v>80.06</v>
      </c>
      <c r="Q1932">
        <f>'raw data Crude oil'!Q1933</f>
        <v>79.290000000000006</v>
      </c>
      <c r="R1932">
        <f>'raw data Crude oil'!R1933</f>
        <v>78.58</v>
      </c>
      <c r="S1932">
        <f>'raw data Crude oil'!S1933</f>
        <v>77.94</v>
      </c>
      <c r="T1932">
        <f>'raw data Crude oil'!T1933</f>
        <v>77.36</v>
      </c>
      <c r="U1932">
        <f>'raw data Crude oil'!U1933</f>
        <v>76.819999999999993</v>
      </c>
      <c r="V1932">
        <f>'raw data Crude oil'!V1933</f>
        <v>76.31</v>
      </c>
      <c r="W1932">
        <f>'raw data Crude oil'!W1933</f>
        <v>75.84</v>
      </c>
      <c r="X1932">
        <f>'raw data Crude oil'!X1933</f>
        <v>75.39</v>
      </c>
      <c r="Y1932">
        <f>'raw data Crude oil'!Y1933</f>
        <v>74.94</v>
      </c>
      <c r="Z1932">
        <f>'raw data Crude oil'!Z1933</f>
        <v>82.635000000000005</v>
      </c>
      <c r="AA1932">
        <f>'raw data Crude oil'!AA1933</f>
        <v>85.278000000000006</v>
      </c>
      <c r="AB1932">
        <f>'raw data Crude oil'!AB1933</f>
        <v>84.543999999999997</v>
      </c>
      <c r="AC1932">
        <f>'raw data Crude oil'!AC1933</f>
        <v>83.814999999999998</v>
      </c>
      <c r="AD1932">
        <f>'raw data Crude oil'!AD1933</f>
        <v>83.119</v>
      </c>
      <c r="AE1932">
        <f>'raw data Crude oil'!AE1933</f>
        <v>82.448999999999998</v>
      </c>
      <c r="AF1932">
        <f>'raw data Crude oil'!AF1933</f>
        <v>81.786000000000001</v>
      </c>
      <c r="AG1932">
        <f>'raw data Crude oil'!AG1933</f>
        <v>81.228999999999999</v>
      </c>
      <c r="AH1932">
        <f>'raw data Crude oil'!AH1933</f>
        <v>80.728999999999999</v>
      </c>
      <c r="AI1932">
        <f>'raw data Crude oil'!AI1933</f>
        <v>80.281000000000006</v>
      </c>
      <c r="AJ1932">
        <f>'raw data Crude oil'!AJ1933</f>
        <v>79.861999999999995</v>
      </c>
      <c r="AK1932">
        <f>'raw data Crude oil'!AK1933</f>
        <v>79.472999999999999</v>
      </c>
    </row>
    <row r="1933" spans="1:37" x14ac:dyDescent="0.3">
      <c r="A1933" s="18">
        <f>'raw data Crude oil'!A1934</f>
        <v>45468</v>
      </c>
      <c r="B1933">
        <f>'raw data Crude oil'!B1934</f>
        <v>85.01</v>
      </c>
      <c r="C1933">
        <f>'raw data Crude oil'!C1934</f>
        <v>84.22</v>
      </c>
      <c r="D1933">
        <f>'raw data Crude oil'!D1934</f>
        <v>83.58</v>
      </c>
      <c r="E1933">
        <f>'raw data Crude oil'!E1934</f>
        <v>83</v>
      </c>
      <c r="F1933">
        <f>'raw data Crude oil'!F1934</f>
        <v>82.47</v>
      </c>
      <c r="G1933">
        <f>'raw data Crude oil'!G1934</f>
        <v>81.96</v>
      </c>
      <c r="H1933">
        <f>'raw data Crude oil'!H1934</f>
        <v>81.489999999999995</v>
      </c>
      <c r="I1933">
        <f>'raw data Crude oil'!I1934</f>
        <v>81.05</v>
      </c>
      <c r="J1933">
        <f>'raw data Crude oil'!J1934</f>
        <v>80.63</v>
      </c>
      <c r="K1933">
        <f>'raw data Crude oil'!K1934</f>
        <v>80.23</v>
      </c>
      <c r="L1933">
        <f>'raw data Crude oil'!L1934</f>
        <v>79.849999999999994</v>
      </c>
      <c r="M1933">
        <f>'raw data Crude oil'!M1934</f>
        <v>79.489999999999995</v>
      </c>
      <c r="N1933">
        <f>'raw data Crude oil'!N1934</f>
        <v>80.83</v>
      </c>
      <c r="O1933">
        <f>'raw data Crude oil'!O1934</f>
        <v>80.069999999999993</v>
      </c>
      <c r="P1933">
        <f>'raw data Crude oil'!P1934</f>
        <v>79.319999999999993</v>
      </c>
      <c r="Q1933">
        <f>'raw data Crude oil'!Q1934</f>
        <v>78.63</v>
      </c>
      <c r="R1933">
        <f>'raw data Crude oil'!R1934</f>
        <v>77.989999999999995</v>
      </c>
      <c r="S1933">
        <f>'raw data Crude oil'!S1934</f>
        <v>77.41</v>
      </c>
      <c r="T1933">
        <f>'raw data Crude oil'!T1934</f>
        <v>76.87</v>
      </c>
      <c r="U1933">
        <f>'raw data Crude oil'!U1934</f>
        <v>76.38</v>
      </c>
      <c r="V1933">
        <f>'raw data Crude oil'!V1934</f>
        <v>75.91</v>
      </c>
      <c r="W1933">
        <f>'raw data Crude oil'!W1934</f>
        <v>75.459999999999994</v>
      </c>
      <c r="X1933">
        <f>'raw data Crude oil'!X1934</f>
        <v>75.040000000000006</v>
      </c>
      <c r="Y1933">
        <f>'raw data Crude oil'!Y1934</f>
        <v>74.61</v>
      </c>
      <c r="Z1933">
        <f>'raw data Crude oil'!Z1934</f>
        <v>82.483000000000004</v>
      </c>
      <c r="AA1933">
        <f>'raw data Crude oil'!AA1934</f>
        <v>84.4</v>
      </c>
      <c r="AB1933">
        <f>'raw data Crude oil'!AB1934</f>
        <v>83.744</v>
      </c>
      <c r="AC1933">
        <f>'raw data Crude oil'!AC1934</f>
        <v>83.084000000000003</v>
      </c>
      <c r="AD1933">
        <f>'raw data Crude oil'!AD1934</f>
        <v>82.453999999999994</v>
      </c>
      <c r="AE1933">
        <f>'raw data Crude oil'!AE1934</f>
        <v>81.843000000000004</v>
      </c>
      <c r="AF1933">
        <f>'raw data Crude oil'!AF1934</f>
        <v>81.248000000000005</v>
      </c>
      <c r="AG1933">
        <f>'raw data Crude oil'!AG1934</f>
        <v>80.741</v>
      </c>
      <c r="AH1933">
        <f>'raw data Crude oil'!AH1934</f>
        <v>80.28</v>
      </c>
      <c r="AI1933">
        <f>'raw data Crude oil'!AI1934</f>
        <v>79.852000000000004</v>
      </c>
      <c r="AJ1933">
        <f>'raw data Crude oil'!AJ1934</f>
        <v>79.453000000000003</v>
      </c>
      <c r="AK1933">
        <f>'raw data Crude oil'!AK1934</f>
        <v>79.073999999999998</v>
      </c>
    </row>
    <row r="1934" spans="1:37" x14ac:dyDescent="0.3">
      <c r="A1934" s="18">
        <f>'raw data Crude oil'!A1935</f>
        <v>45469</v>
      </c>
      <c r="B1934">
        <f>'raw data Crude oil'!B1935</f>
        <v>85.25</v>
      </c>
      <c r="C1934">
        <f>'raw data Crude oil'!C1935</f>
        <v>84.47</v>
      </c>
      <c r="D1934">
        <f>'raw data Crude oil'!D1935</f>
        <v>83.85</v>
      </c>
      <c r="E1934">
        <f>'raw data Crude oil'!E1935</f>
        <v>83.28</v>
      </c>
      <c r="F1934">
        <f>'raw data Crude oil'!F1935</f>
        <v>82.75</v>
      </c>
      <c r="G1934">
        <f>'raw data Crude oil'!G1935</f>
        <v>82.26</v>
      </c>
      <c r="H1934">
        <f>'raw data Crude oil'!H1935</f>
        <v>81.8</v>
      </c>
      <c r="I1934">
        <f>'raw data Crude oil'!I1935</f>
        <v>81.37</v>
      </c>
      <c r="J1934">
        <f>'raw data Crude oil'!J1935</f>
        <v>80.959999999999994</v>
      </c>
      <c r="K1934">
        <f>'raw data Crude oil'!K1935</f>
        <v>80.569999999999993</v>
      </c>
      <c r="L1934">
        <f>'raw data Crude oil'!L1935</f>
        <v>80.2</v>
      </c>
      <c r="M1934">
        <f>'raw data Crude oil'!M1935</f>
        <v>79.84</v>
      </c>
      <c r="N1934">
        <f>'raw data Crude oil'!N1935</f>
        <v>80.900000000000006</v>
      </c>
      <c r="O1934">
        <f>'raw data Crude oil'!O1935</f>
        <v>80.19</v>
      </c>
      <c r="P1934">
        <f>'raw data Crude oil'!P1935</f>
        <v>79.48</v>
      </c>
      <c r="Q1934">
        <f>'raw data Crude oil'!Q1935</f>
        <v>78.83</v>
      </c>
      <c r="R1934">
        <f>'raw data Crude oil'!R1935</f>
        <v>78.239999999999995</v>
      </c>
      <c r="S1934">
        <f>'raw data Crude oil'!S1935</f>
        <v>77.69</v>
      </c>
      <c r="T1934">
        <f>'raw data Crude oil'!T1935</f>
        <v>77.17</v>
      </c>
      <c r="U1934">
        <f>'raw data Crude oil'!U1935</f>
        <v>76.69</v>
      </c>
      <c r="V1934">
        <f>'raw data Crude oil'!V1935</f>
        <v>76.23</v>
      </c>
      <c r="W1934">
        <f>'raw data Crude oil'!W1935</f>
        <v>75.8</v>
      </c>
      <c r="X1934">
        <f>'raw data Crude oil'!X1935</f>
        <v>75.38</v>
      </c>
      <c r="Y1934">
        <f>'raw data Crude oil'!Y1935</f>
        <v>74.959999999999994</v>
      </c>
      <c r="Z1934">
        <f>'raw data Crude oil'!Z1935</f>
        <v>82.472999999999999</v>
      </c>
      <c r="AA1934">
        <f>'raw data Crude oil'!AA1935</f>
        <v>84.628</v>
      </c>
      <c r="AB1934">
        <f>'raw data Crude oil'!AB1935</f>
        <v>84.019000000000005</v>
      </c>
      <c r="AC1934">
        <f>'raw data Crude oil'!AC1935</f>
        <v>83.39</v>
      </c>
      <c r="AD1934">
        <f>'raw data Crude oil'!AD1935</f>
        <v>82.763999999999996</v>
      </c>
      <c r="AE1934">
        <f>'raw data Crude oil'!AE1935</f>
        <v>82.173000000000002</v>
      </c>
      <c r="AF1934">
        <f>'raw data Crude oil'!AF1935</f>
        <v>81.588999999999999</v>
      </c>
      <c r="AG1934">
        <f>'raw data Crude oil'!AG1935</f>
        <v>81.100999999999999</v>
      </c>
      <c r="AH1934">
        <f>'raw data Crude oil'!AH1935</f>
        <v>80.650999999999996</v>
      </c>
      <c r="AI1934">
        <f>'raw data Crude oil'!AI1935</f>
        <v>80.242000000000004</v>
      </c>
      <c r="AJ1934">
        <f>'raw data Crude oil'!AJ1935</f>
        <v>79.852999999999994</v>
      </c>
      <c r="AK1934">
        <f>'raw data Crude oil'!AK1935</f>
        <v>79.474000000000004</v>
      </c>
    </row>
    <row r="1935" spans="1:37" x14ac:dyDescent="0.3">
      <c r="A1935" s="18">
        <f>'raw data Crude oil'!A1936</f>
        <v>45470</v>
      </c>
      <c r="B1935">
        <f>'raw data Crude oil'!B1936</f>
        <v>86.39</v>
      </c>
      <c r="C1935">
        <f>'raw data Crude oil'!C1936</f>
        <v>85.26</v>
      </c>
      <c r="D1935">
        <f>'raw data Crude oil'!D1936</f>
        <v>84.44</v>
      </c>
      <c r="E1935">
        <f>'raw data Crude oil'!E1936</f>
        <v>83.77</v>
      </c>
      <c r="F1935">
        <f>'raw data Crude oil'!F1936</f>
        <v>83.18</v>
      </c>
      <c r="G1935">
        <f>'raw data Crude oil'!G1936</f>
        <v>82.64</v>
      </c>
      <c r="H1935">
        <f>'raw data Crude oil'!H1936</f>
        <v>82.13</v>
      </c>
      <c r="I1935">
        <f>'raw data Crude oil'!I1936</f>
        <v>81.66</v>
      </c>
      <c r="J1935">
        <f>'raw data Crude oil'!J1936</f>
        <v>81.23</v>
      </c>
      <c r="K1935">
        <f>'raw data Crude oil'!K1936</f>
        <v>80.81</v>
      </c>
      <c r="L1935">
        <f>'raw data Crude oil'!L1936</f>
        <v>80.41</v>
      </c>
      <c r="M1935">
        <f>'raw data Crude oil'!M1936</f>
        <v>80.040000000000006</v>
      </c>
      <c r="N1935">
        <f>'raw data Crude oil'!N1936</f>
        <v>81.739999999999995</v>
      </c>
      <c r="O1935">
        <f>'raw data Crude oil'!O1936</f>
        <v>80.83</v>
      </c>
      <c r="P1935">
        <f>'raw data Crude oil'!P1936</f>
        <v>79.98</v>
      </c>
      <c r="Q1935">
        <f>'raw data Crude oil'!Q1936</f>
        <v>79.25</v>
      </c>
      <c r="R1935">
        <f>'raw data Crude oil'!R1936</f>
        <v>78.599999999999994</v>
      </c>
      <c r="S1935">
        <f>'raw data Crude oil'!S1936</f>
        <v>78.010000000000005</v>
      </c>
      <c r="T1935">
        <f>'raw data Crude oil'!T1936</f>
        <v>77.45</v>
      </c>
      <c r="U1935">
        <f>'raw data Crude oil'!U1936</f>
        <v>76.930000000000007</v>
      </c>
      <c r="V1935">
        <f>'raw data Crude oil'!V1936</f>
        <v>76.44</v>
      </c>
      <c r="W1935">
        <f>'raw data Crude oil'!W1936</f>
        <v>75.97</v>
      </c>
      <c r="X1935">
        <f>'raw data Crude oil'!X1936</f>
        <v>75.52</v>
      </c>
      <c r="Y1935">
        <f>'raw data Crude oil'!Y1936</f>
        <v>75.06</v>
      </c>
      <c r="Z1935">
        <f>'raw data Crude oil'!Z1936</f>
        <v>82.528999999999996</v>
      </c>
      <c r="AA1935">
        <f>'raw data Crude oil'!AA1936</f>
        <v>85.376000000000005</v>
      </c>
      <c r="AB1935">
        <f>'raw data Crude oil'!AB1936</f>
        <v>84.685000000000002</v>
      </c>
      <c r="AC1935">
        <f>'raw data Crude oil'!AC1936</f>
        <v>83.96</v>
      </c>
      <c r="AD1935">
        <f>'raw data Crude oil'!AD1936</f>
        <v>83.254999999999995</v>
      </c>
      <c r="AE1935">
        <f>'raw data Crude oil'!AE1936</f>
        <v>82.585999999999999</v>
      </c>
      <c r="AF1935">
        <f>'raw data Crude oil'!AF1936</f>
        <v>81.956000000000003</v>
      </c>
      <c r="AG1935">
        <f>'raw data Crude oil'!AG1936</f>
        <v>81.41</v>
      </c>
      <c r="AH1935">
        <f>'raw data Crude oil'!AH1936</f>
        <v>80.938999999999993</v>
      </c>
      <c r="AI1935">
        <f>'raw data Crude oil'!AI1936</f>
        <v>80.480999999999995</v>
      </c>
      <c r="AJ1935">
        <f>'raw data Crude oil'!AJ1936</f>
        <v>80.052000000000007</v>
      </c>
      <c r="AK1935">
        <f>'raw data Crude oil'!AK1936</f>
        <v>79.662999999999997</v>
      </c>
    </row>
    <row r="1936" spans="1:37" x14ac:dyDescent="0.3">
      <c r="A1936" s="18">
        <f>'raw data Crude oil'!A1937</f>
        <v>45471</v>
      </c>
      <c r="B1936">
        <f>'raw data Crude oil'!B1937</f>
        <v>86.41</v>
      </c>
      <c r="C1936">
        <f>'raw data Crude oil'!C1937</f>
        <v>85</v>
      </c>
      <c r="D1936">
        <f>'raw data Crude oil'!D1937</f>
        <v>84.19</v>
      </c>
      <c r="E1936">
        <f>'raw data Crude oil'!E1937</f>
        <v>83.5</v>
      </c>
      <c r="F1936">
        <f>'raw data Crude oil'!F1937</f>
        <v>82.89</v>
      </c>
      <c r="G1936">
        <f>'raw data Crude oil'!G1937</f>
        <v>82.33</v>
      </c>
      <c r="H1936">
        <f>'raw data Crude oil'!H1937</f>
        <v>81.83</v>
      </c>
      <c r="I1936">
        <f>'raw data Crude oil'!I1937</f>
        <v>81.36</v>
      </c>
      <c r="J1936">
        <f>'raw data Crude oil'!J1937</f>
        <v>80.930000000000007</v>
      </c>
      <c r="K1936">
        <f>'raw data Crude oil'!K1937</f>
        <v>80.52</v>
      </c>
      <c r="L1936">
        <f>'raw data Crude oil'!L1937</f>
        <v>80.12</v>
      </c>
      <c r="M1936">
        <f>'raw data Crude oil'!M1937</f>
        <v>79.75</v>
      </c>
      <c r="N1936">
        <f>'raw data Crude oil'!N1937</f>
        <v>81.540000000000006</v>
      </c>
      <c r="O1936">
        <f>'raw data Crude oil'!O1937</f>
        <v>80.64</v>
      </c>
      <c r="P1936">
        <f>'raw data Crude oil'!P1937</f>
        <v>79.760000000000005</v>
      </c>
      <c r="Q1936">
        <f>'raw data Crude oil'!Q1937</f>
        <v>79</v>
      </c>
      <c r="R1936">
        <f>'raw data Crude oil'!R1937</f>
        <v>78.34</v>
      </c>
      <c r="S1936">
        <f>'raw data Crude oil'!S1937</f>
        <v>77.739999999999995</v>
      </c>
      <c r="T1936">
        <f>'raw data Crude oil'!T1937</f>
        <v>77.17</v>
      </c>
      <c r="U1936">
        <f>'raw data Crude oil'!U1937</f>
        <v>76.650000000000006</v>
      </c>
      <c r="V1936">
        <f>'raw data Crude oil'!V1937</f>
        <v>76.150000000000006</v>
      </c>
      <c r="W1936">
        <f>'raw data Crude oil'!W1937</f>
        <v>75.7</v>
      </c>
      <c r="X1936">
        <f>'raw data Crude oil'!X1937</f>
        <v>75.260000000000005</v>
      </c>
      <c r="Y1936">
        <f>'raw data Crude oil'!Y1937</f>
        <v>74.81</v>
      </c>
      <c r="Z1936">
        <f>'raw data Crude oil'!Z1937</f>
        <v>82.549000000000007</v>
      </c>
      <c r="AA1936">
        <f>'raw data Crude oil'!AA1937</f>
        <v>85.01</v>
      </c>
      <c r="AB1936">
        <f>'raw data Crude oil'!AB1937</f>
        <v>84.379000000000005</v>
      </c>
      <c r="AC1936">
        <f>'raw data Crude oil'!AC1937</f>
        <v>83.650999999999996</v>
      </c>
      <c r="AD1936">
        <f>'raw data Crude oil'!AD1937</f>
        <v>82.950999999999993</v>
      </c>
      <c r="AE1936">
        <f>'raw data Crude oil'!AE1937</f>
        <v>82.284999999999997</v>
      </c>
      <c r="AF1936">
        <f>'raw data Crude oil'!AF1937</f>
        <v>81.655000000000001</v>
      </c>
      <c r="AG1936">
        <f>'raw data Crude oil'!AG1937</f>
        <v>81.12</v>
      </c>
      <c r="AH1936">
        <f>'raw data Crude oil'!AH1937</f>
        <v>80.650000000000006</v>
      </c>
      <c r="AI1936">
        <f>'raw data Crude oil'!AI1937</f>
        <v>80.210999999999999</v>
      </c>
      <c r="AJ1936">
        <f>'raw data Crude oil'!AJ1937</f>
        <v>79.781999999999996</v>
      </c>
      <c r="AK1936">
        <f>'raw data Crude oil'!AK1937</f>
        <v>79.393000000000001</v>
      </c>
    </row>
    <row r="1937" spans="1:37" x14ac:dyDescent="0.3">
      <c r="A1937" s="18">
        <f>'raw data Crude oil'!A1938</f>
        <v>45474</v>
      </c>
      <c r="B1937">
        <f>'raw data Crude oil'!B1938</f>
        <v>86.6</v>
      </c>
      <c r="C1937">
        <f>'raw data Crude oil'!C1938</f>
        <v>85.72</v>
      </c>
      <c r="D1937">
        <f>'raw data Crude oil'!D1938</f>
        <v>84.97</v>
      </c>
      <c r="E1937">
        <f>'raw data Crude oil'!E1938</f>
        <v>84.3</v>
      </c>
      <c r="F1937">
        <f>'raw data Crude oil'!F1938</f>
        <v>83.7</v>
      </c>
      <c r="G1937">
        <f>'raw data Crude oil'!G1938</f>
        <v>83.16</v>
      </c>
      <c r="H1937">
        <f>'raw data Crude oil'!H1938</f>
        <v>82.67</v>
      </c>
      <c r="I1937">
        <f>'raw data Crude oil'!I1938</f>
        <v>82.21</v>
      </c>
      <c r="J1937">
        <f>'raw data Crude oil'!J1938</f>
        <v>81.760000000000005</v>
      </c>
      <c r="K1937">
        <f>'raw data Crude oil'!K1938</f>
        <v>81.33</v>
      </c>
      <c r="L1937">
        <f>'raw data Crude oil'!L1938</f>
        <v>80.930000000000007</v>
      </c>
      <c r="M1937">
        <f>'raw data Crude oil'!M1938</f>
        <v>80.53</v>
      </c>
      <c r="N1937">
        <f>'raw data Crude oil'!N1938</f>
        <v>83.38</v>
      </c>
      <c r="O1937">
        <f>'raw data Crude oil'!O1938</f>
        <v>82.32</v>
      </c>
      <c r="P1937">
        <f>'raw data Crude oil'!P1938</f>
        <v>81.33</v>
      </c>
      <c r="Q1937">
        <f>'raw data Crude oil'!Q1938</f>
        <v>80.48</v>
      </c>
      <c r="R1937">
        <f>'raw data Crude oil'!R1938</f>
        <v>79.75</v>
      </c>
      <c r="S1937">
        <f>'raw data Crude oil'!S1938</f>
        <v>79.09</v>
      </c>
      <c r="T1937">
        <f>'raw data Crude oil'!T1938</f>
        <v>78.489999999999995</v>
      </c>
      <c r="U1937">
        <f>'raw data Crude oil'!U1938</f>
        <v>77.930000000000007</v>
      </c>
      <c r="V1937">
        <f>'raw data Crude oil'!V1938</f>
        <v>77.400000000000006</v>
      </c>
      <c r="W1937">
        <f>'raw data Crude oil'!W1938</f>
        <v>76.91</v>
      </c>
      <c r="X1937">
        <f>'raw data Crude oil'!X1938</f>
        <v>76.45</v>
      </c>
      <c r="Y1937">
        <f>'raw data Crude oil'!Y1938</f>
        <v>75.98</v>
      </c>
      <c r="Z1937">
        <f>'raw data Crude oil'!Z1938</f>
        <v>82.549000000000007</v>
      </c>
      <c r="AA1937">
        <f>'raw data Crude oil'!AA1938</f>
        <v>86.316999999999993</v>
      </c>
      <c r="AB1937">
        <f>'raw data Crude oil'!AB1938</f>
        <v>85.777000000000001</v>
      </c>
      <c r="AC1937">
        <f>'raw data Crude oil'!AC1938</f>
        <v>85.01</v>
      </c>
      <c r="AD1937">
        <f>'raw data Crude oil'!AD1938</f>
        <v>84.272999999999996</v>
      </c>
      <c r="AE1937">
        <f>'raw data Crude oil'!AE1938</f>
        <v>83.584000000000003</v>
      </c>
      <c r="AF1937">
        <f>'raw data Crude oil'!AF1938</f>
        <v>82.933000000000007</v>
      </c>
      <c r="AG1937">
        <f>'raw data Crude oil'!AG1938</f>
        <v>82.373999999999995</v>
      </c>
      <c r="AH1937">
        <f>'raw data Crude oil'!AH1938</f>
        <v>81.882999999999996</v>
      </c>
      <c r="AI1937">
        <f>'raw data Crude oil'!AI1938</f>
        <v>81.400000000000006</v>
      </c>
      <c r="AJ1937">
        <f>'raw data Crude oil'!AJ1938</f>
        <v>80.950999999999993</v>
      </c>
      <c r="AK1937">
        <f>'raw data Crude oil'!AK1938</f>
        <v>80.512</v>
      </c>
    </row>
    <row r="1938" spans="1:37" x14ac:dyDescent="0.3">
      <c r="A1938" s="18">
        <f>'raw data Crude oil'!A1939</f>
        <v>45475</v>
      </c>
      <c r="B1938">
        <f>'raw data Crude oil'!B1939</f>
        <v>86.24</v>
      </c>
      <c r="C1938">
        <f>'raw data Crude oil'!C1939</f>
        <v>85.44</v>
      </c>
      <c r="D1938">
        <f>'raw data Crude oil'!D1939</f>
        <v>84.73</v>
      </c>
      <c r="E1938">
        <f>'raw data Crude oil'!E1939</f>
        <v>84.11</v>
      </c>
      <c r="F1938">
        <f>'raw data Crude oil'!F1939</f>
        <v>83.55</v>
      </c>
      <c r="G1938">
        <f>'raw data Crude oil'!G1939</f>
        <v>83.04</v>
      </c>
      <c r="H1938">
        <f>'raw data Crude oil'!H1939</f>
        <v>82.57</v>
      </c>
      <c r="I1938">
        <f>'raw data Crude oil'!I1939</f>
        <v>82.13</v>
      </c>
      <c r="J1938">
        <f>'raw data Crude oil'!J1939</f>
        <v>81.7</v>
      </c>
      <c r="K1938">
        <f>'raw data Crude oil'!K1939</f>
        <v>81.28</v>
      </c>
      <c r="L1938">
        <f>'raw data Crude oil'!L1939</f>
        <v>80.88</v>
      </c>
      <c r="M1938">
        <f>'raw data Crude oil'!M1939</f>
        <v>80.489999999999995</v>
      </c>
      <c r="N1938">
        <f>'raw data Crude oil'!N1939</f>
        <v>82.81</v>
      </c>
      <c r="O1938">
        <f>'raw data Crude oil'!O1939</f>
        <v>81.91</v>
      </c>
      <c r="P1938">
        <f>'raw data Crude oil'!P1939</f>
        <v>81.03</v>
      </c>
      <c r="Q1938">
        <f>'raw data Crude oil'!Q1939</f>
        <v>80.25</v>
      </c>
      <c r="R1938">
        <f>'raw data Crude oil'!R1939</f>
        <v>79.56</v>
      </c>
      <c r="S1938">
        <f>'raw data Crude oil'!S1939</f>
        <v>78.94</v>
      </c>
      <c r="T1938">
        <f>'raw data Crude oil'!T1939</f>
        <v>78.36</v>
      </c>
      <c r="U1938">
        <f>'raw data Crude oil'!U1939</f>
        <v>77.84</v>
      </c>
      <c r="V1938">
        <f>'raw data Crude oil'!V1939</f>
        <v>77.33</v>
      </c>
      <c r="W1938">
        <f>'raw data Crude oil'!W1939</f>
        <v>76.86</v>
      </c>
      <c r="X1938">
        <f>'raw data Crude oil'!X1939</f>
        <v>76.41</v>
      </c>
      <c r="Y1938">
        <f>'raw data Crude oil'!Y1939</f>
        <v>75.94</v>
      </c>
      <c r="Z1938">
        <f>'raw data Crude oil'!Z1939</f>
        <v>86.141000000000005</v>
      </c>
      <c r="AA1938">
        <f>'raw data Crude oil'!AA1939</f>
        <v>85.488</v>
      </c>
      <c r="AB1938">
        <f>'raw data Crude oil'!AB1939</f>
        <v>84.728999999999999</v>
      </c>
      <c r="AC1938">
        <f>'raw data Crude oil'!AC1939</f>
        <v>84.025999999999996</v>
      </c>
      <c r="AD1938">
        <f>'raw data Crude oil'!AD1939</f>
        <v>83.381</v>
      </c>
      <c r="AE1938">
        <f>'raw data Crude oil'!AE1939</f>
        <v>82.76</v>
      </c>
      <c r="AF1938">
        <f>'raw data Crude oil'!AF1939</f>
        <v>82.23</v>
      </c>
      <c r="AG1938">
        <f>'raw data Crude oil'!AG1939</f>
        <v>81.769000000000005</v>
      </c>
      <c r="AH1938">
        <f>'raw data Crude oil'!AH1939</f>
        <v>81.319999999999993</v>
      </c>
      <c r="AI1938">
        <f>'raw data Crude oil'!AI1939</f>
        <v>80.870999999999995</v>
      </c>
      <c r="AJ1938">
        <f>'raw data Crude oil'!AJ1939</f>
        <v>80.432000000000002</v>
      </c>
      <c r="AK1938">
        <f>'raw data Crude oil'!AK1939</f>
        <v>80.010999999999996</v>
      </c>
    </row>
    <row r="1939" spans="1:37" x14ac:dyDescent="0.3">
      <c r="A1939" s="18">
        <f>'raw data Crude oil'!A1940</f>
        <v>45476</v>
      </c>
      <c r="B1939">
        <f>'raw data Crude oil'!B1940</f>
        <v>87.34</v>
      </c>
      <c r="C1939">
        <f>'raw data Crude oil'!C1940</f>
        <v>86.52</v>
      </c>
      <c r="D1939">
        <f>'raw data Crude oil'!D1940</f>
        <v>85.79</v>
      </c>
      <c r="E1939">
        <f>'raw data Crude oil'!E1940</f>
        <v>85.14</v>
      </c>
      <c r="F1939">
        <f>'raw data Crude oil'!F1940</f>
        <v>84.56</v>
      </c>
      <c r="G1939">
        <f>'raw data Crude oil'!G1940</f>
        <v>84.02</v>
      </c>
      <c r="H1939">
        <f>'raw data Crude oil'!H1940</f>
        <v>83.52</v>
      </c>
      <c r="I1939">
        <f>'raw data Crude oil'!I1940</f>
        <v>83.04</v>
      </c>
      <c r="J1939">
        <f>'raw data Crude oil'!J1940</f>
        <v>82.58</v>
      </c>
      <c r="K1939">
        <f>'raw data Crude oil'!K1940</f>
        <v>82.13</v>
      </c>
      <c r="L1939">
        <f>'raw data Crude oil'!L1940</f>
        <v>81.7</v>
      </c>
      <c r="M1939">
        <f>'raw data Crude oil'!M1940</f>
        <v>81.28</v>
      </c>
      <c r="N1939">
        <f>'raw data Crude oil'!N1940</f>
        <v>83.88</v>
      </c>
      <c r="O1939">
        <f>'raw data Crude oil'!O1940</f>
        <v>83.02</v>
      </c>
      <c r="P1939">
        <f>'raw data Crude oil'!P1940</f>
        <v>82.13</v>
      </c>
      <c r="Q1939">
        <f>'raw data Crude oil'!Q1940</f>
        <v>81.319999999999993</v>
      </c>
      <c r="R1939">
        <f>'raw data Crude oil'!R1940</f>
        <v>80.59</v>
      </c>
      <c r="S1939">
        <f>'raw data Crude oil'!S1940</f>
        <v>79.930000000000007</v>
      </c>
      <c r="T1939">
        <f>'raw data Crude oil'!T1940</f>
        <v>79.31</v>
      </c>
      <c r="U1939">
        <f>'raw data Crude oil'!U1940</f>
        <v>78.75</v>
      </c>
      <c r="V1939">
        <f>'raw data Crude oil'!V1940</f>
        <v>78.22</v>
      </c>
      <c r="W1939">
        <f>'raw data Crude oil'!W1940</f>
        <v>77.72</v>
      </c>
      <c r="X1939">
        <f>'raw data Crude oil'!X1940</f>
        <v>77.23</v>
      </c>
      <c r="Y1939">
        <f>'raw data Crude oil'!Y1940</f>
        <v>76.739999999999995</v>
      </c>
      <c r="Z1939">
        <f>'raw data Crude oil'!Z1940</f>
        <v>87.194999999999993</v>
      </c>
      <c r="AA1939">
        <f>'raw data Crude oil'!AA1940</f>
        <v>86.587000000000003</v>
      </c>
      <c r="AB1939">
        <f>'raw data Crude oil'!AB1940</f>
        <v>85.79</v>
      </c>
      <c r="AC1939">
        <f>'raw data Crude oil'!AC1940</f>
        <v>85.057000000000002</v>
      </c>
      <c r="AD1939">
        <f>'raw data Crude oil'!AD1940</f>
        <v>84.406000000000006</v>
      </c>
      <c r="AE1939">
        <f>'raw data Crude oil'!AE1940</f>
        <v>83.766999999999996</v>
      </c>
      <c r="AF1939">
        <f>'raw data Crude oil'!AF1940</f>
        <v>83.203000000000003</v>
      </c>
      <c r="AG1939">
        <f>'raw data Crude oil'!AG1940</f>
        <v>82.686999999999998</v>
      </c>
      <c r="AH1939">
        <f>'raw data Crude oil'!AH1940</f>
        <v>82.198999999999998</v>
      </c>
      <c r="AI1939">
        <f>'raw data Crude oil'!AI1940</f>
        <v>81.73</v>
      </c>
      <c r="AJ1939">
        <f>'raw data Crude oil'!AJ1940</f>
        <v>81.281000000000006</v>
      </c>
      <c r="AK1939">
        <f>'raw data Crude oil'!AK1940</f>
        <v>80.84</v>
      </c>
    </row>
    <row r="1940" spans="1:37" x14ac:dyDescent="0.3">
      <c r="A1940" s="18">
        <f>'raw data Crude oil'!A1941</f>
        <v>45477</v>
      </c>
      <c r="B1940">
        <f>'raw data Crude oil'!B1941</f>
        <v>87.43</v>
      </c>
      <c r="C1940">
        <f>'raw data Crude oil'!C1941</f>
        <v>86.57</v>
      </c>
      <c r="D1940">
        <f>'raw data Crude oil'!D1941</f>
        <v>85.82</v>
      </c>
      <c r="E1940">
        <f>'raw data Crude oil'!E1941</f>
        <v>85.15</v>
      </c>
      <c r="F1940">
        <f>'raw data Crude oil'!F1941</f>
        <v>84.55</v>
      </c>
      <c r="G1940">
        <f>'raw data Crude oil'!G1941</f>
        <v>84</v>
      </c>
      <c r="H1940">
        <f>'raw data Crude oil'!H1941</f>
        <v>83.5</v>
      </c>
      <c r="I1940">
        <f>'raw data Crude oil'!I1941</f>
        <v>83.02</v>
      </c>
      <c r="J1940">
        <f>'raw data Crude oil'!J1941</f>
        <v>82.56</v>
      </c>
      <c r="K1940">
        <f>'raw data Crude oil'!K1941</f>
        <v>82.11</v>
      </c>
      <c r="L1940">
        <f>'raw data Crude oil'!L1941</f>
        <v>81.680000000000007</v>
      </c>
      <c r="M1940">
        <f>'raw data Crude oil'!M1941</f>
        <v>81.260000000000005</v>
      </c>
      <c r="N1940">
        <f>'raw data Crude oil'!N1941</f>
        <v>83.88</v>
      </c>
      <c r="O1940">
        <f>'raw data Crude oil'!O1941</f>
        <v>83.02</v>
      </c>
      <c r="P1940">
        <f>'raw data Crude oil'!P1941</f>
        <v>82.13</v>
      </c>
      <c r="Q1940">
        <f>'raw data Crude oil'!Q1941</f>
        <v>81.319999999999993</v>
      </c>
      <c r="R1940">
        <f>'raw data Crude oil'!R1941</f>
        <v>80.59</v>
      </c>
      <c r="S1940">
        <f>'raw data Crude oil'!S1941</f>
        <v>79.930000000000007</v>
      </c>
      <c r="T1940">
        <f>'raw data Crude oil'!T1941</f>
        <v>79.31</v>
      </c>
      <c r="U1940">
        <f>'raw data Crude oil'!U1941</f>
        <v>78.75</v>
      </c>
      <c r="V1940">
        <f>'raw data Crude oil'!V1941</f>
        <v>78.22</v>
      </c>
      <c r="W1940">
        <f>'raw data Crude oil'!W1941</f>
        <v>77.72</v>
      </c>
      <c r="X1940">
        <f>'raw data Crude oil'!X1941</f>
        <v>77.23</v>
      </c>
      <c r="Y1940">
        <f>'raw data Crude oil'!Y1941</f>
        <v>76.739999999999995</v>
      </c>
      <c r="Z1940">
        <f>'raw data Crude oil'!Z1941</f>
        <v>87.203999999999994</v>
      </c>
      <c r="AA1940">
        <f>'raw data Crude oil'!AA1941</f>
        <v>86.626000000000005</v>
      </c>
      <c r="AB1940">
        <f>'raw data Crude oil'!AB1941</f>
        <v>85.822999999999993</v>
      </c>
      <c r="AC1940">
        <f>'raw data Crude oil'!AC1941</f>
        <v>85.082999999999998</v>
      </c>
      <c r="AD1940">
        <f>'raw data Crude oil'!AD1941</f>
        <v>84.412000000000006</v>
      </c>
      <c r="AE1940">
        <f>'raw data Crude oil'!AE1941</f>
        <v>83.77</v>
      </c>
      <c r="AF1940">
        <f>'raw data Crude oil'!AF1941</f>
        <v>83.197000000000003</v>
      </c>
      <c r="AG1940">
        <f>'raw data Crude oil'!AG1941</f>
        <v>82.677000000000007</v>
      </c>
      <c r="AH1940">
        <f>'raw data Crude oil'!AH1941</f>
        <v>82.188999999999993</v>
      </c>
      <c r="AI1940">
        <f>'raw data Crude oil'!AI1941</f>
        <v>81.709999999999994</v>
      </c>
      <c r="AJ1940">
        <f>'raw data Crude oil'!AJ1941</f>
        <v>81.260999999999996</v>
      </c>
      <c r="AK1940">
        <f>'raw data Crude oil'!AK1941</f>
        <v>80.819999999999993</v>
      </c>
    </row>
    <row r="1941" spans="1:37" x14ac:dyDescent="0.3">
      <c r="A1941" s="18">
        <f>'raw data Crude oil'!A1942</f>
        <v>45478</v>
      </c>
      <c r="B1941">
        <f>'raw data Crude oil'!B1942</f>
        <v>86.54</v>
      </c>
      <c r="C1941">
        <f>'raw data Crude oil'!C1942</f>
        <v>85.71</v>
      </c>
      <c r="D1941">
        <f>'raw data Crude oil'!D1942</f>
        <v>84.98</v>
      </c>
      <c r="E1941">
        <f>'raw data Crude oil'!E1942</f>
        <v>84.34</v>
      </c>
      <c r="F1941">
        <f>'raw data Crude oil'!F1942</f>
        <v>83.76</v>
      </c>
      <c r="G1941">
        <f>'raw data Crude oil'!G1942</f>
        <v>83.23</v>
      </c>
      <c r="H1941">
        <f>'raw data Crude oil'!H1942</f>
        <v>82.74</v>
      </c>
      <c r="I1941">
        <f>'raw data Crude oil'!I1942</f>
        <v>82.27</v>
      </c>
      <c r="J1941">
        <f>'raw data Crude oil'!J1942</f>
        <v>81.819999999999993</v>
      </c>
      <c r="K1941">
        <f>'raw data Crude oil'!K1942</f>
        <v>81.39</v>
      </c>
      <c r="L1941">
        <f>'raw data Crude oil'!L1942</f>
        <v>80.98</v>
      </c>
      <c r="M1941">
        <f>'raw data Crude oil'!M1942</f>
        <v>80.58</v>
      </c>
      <c r="N1941">
        <f>'raw data Crude oil'!N1942</f>
        <v>83.16</v>
      </c>
      <c r="O1941">
        <f>'raw data Crude oil'!O1942</f>
        <v>82.26</v>
      </c>
      <c r="P1941">
        <f>'raw data Crude oil'!P1942</f>
        <v>81.37</v>
      </c>
      <c r="Q1941">
        <f>'raw data Crude oil'!Q1942</f>
        <v>80.56</v>
      </c>
      <c r="R1941">
        <f>'raw data Crude oil'!R1942</f>
        <v>79.819999999999993</v>
      </c>
      <c r="S1941">
        <f>'raw data Crude oil'!S1942</f>
        <v>79.17</v>
      </c>
      <c r="T1941">
        <f>'raw data Crude oil'!T1942</f>
        <v>78.569999999999993</v>
      </c>
      <c r="U1941">
        <f>'raw data Crude oil'!U1942</f>
        <v>78.03</v>
      </c>
      <c r="V1941">
        <f>'raw data Crude oil'!V1942</f>
        <v>77.510000000000005</v>
      </c>
      <c r="W1941">
        <f>'raw data Crude oil'!W1942</f>
        <v>77.03</v>
      </c>
      <c r="X1941">
        <f>'raw data Crude oil'!X1942</f>
        <v>76.569999999999993</v>
      </c>
      <c r="Y1941">
        <f>'raw data Crude oil'!Y1942</f>
        <v>76.09</v>
      </c>
      <c r="Z1941">
        <f>'raw data Crude oil'!Z1942</f>
        <v>86.606999999999999</v>
      </c>
      <c r="AA1941">
        <f>'raw data Crude oil'!AA1942</f>
        <v>85.766000000000005</v>
      </c>
      <c r="AB1941">
        <f>'raw data Crude oil'!AB1942</f>
        <v>84.944999999999993</v>
      </c>
      <c r="AC1941">
        <f>'raw data Crude oil'!AC1942</f>
        <v>84.207999999999998</v>
      </c>
      <c r="AD1941">
        <f>'raw data Crude oil'!AD1942</f>
        <v>83.56</v>
      </c>
      <c r="AE1941">
        <f>'raw data Crude oil'!AE1942</f>
        <v>82.938000000000002</v>
      </c>
      <c r="AF1941">
        <f>'raw data Crude oil'!AF1942</f>
        <v>82.399000000000001</v>
      </c>
      <c r="AG1941">
        <f>'raw data Crude oil'!AG1942</f>
        <v>81.908000000000001</v>
      </c>
      <c r="AH1941">
        <f>'raw data Crude oil'!AH1942</f>
        <v>81.44</v>
      </c>
      <c r="AI1941">
        <f>'raw data Crude oil'!AI1942</f>
        <v>80.989999999999995</v>
      </c>
      <c r="AJ1941">
        <f>'raw data Crude oil'!AJ1942</f>
        <v>80.572000000000003</v>
      </c>
      <c r="AK1941">
        <f>'raw data Crude oil'!AK1942</f>
        <v>80.150000000000006</v>
      </c>
    </row>
    <row r="1942" spans="1:37" x14ac:dyDescent="0.3">
      <c r="A1942" s="18">
        <f>'raw data Crude oil'!A1943</f>
        <v>45481</v>
      </c>
      <c r="B1942">
        <f>'raw data Crude oil'!B1943</f>
        <v>85.75</v>
      </c>
      <c r="C1942">
        <f>'raw data Crude oil'!C1943</f>
        <v>84.99</v>
      </c>
      <c r="D1942">
        <f>'raw data Crude oil'!D1943</f>
        <v>84.3</v>
      </c>
      <c r="E1942">
        <f>'raw data Crude oil'!E1943</f>
        <v>83.7</v>
      </c>
      <c r="F1942">
        <f>'raw data Crude oil'!F1943</f>
        <v>83.17</v>
      </c>
      <c r="G1942">
        <f>'raw data Crude oil'!G1943</f>
        <v>82.68</v>
      </c>
      <c r="H1942">
        <f>'raw data Crude oil'!H1943</f>
        <v>82.23</v>
      </c>
      <c r="I1942">
        <f>'raw data Crude oil'!I1943</f>
        <v>81.81</v>
      </c>
      <c r="J1942">
        <f>'raw data Crude oil'!J1943</f>
        <v>81.400000000000006</v>
      </c>
      <c r="K1942">
        <f>'raw data Crude oil'!K1943</f>
        <v>81</v>
      </c>
      <c r="L1942">
        <f>'raw data Crude oil'!L1943</f>
        <v>80.62</v>
      </c>
      <c r="M1942">
        <f>'raw data Crude oil'!M1943</f>
        <v>80.239999999999995</v>
      </c>
      <c r="N1942">
        <f>'raw data Crude oil'!N1943</f>
        <v>82.33</v>
      </c>
      <c r="O1942">
        <f>'raw data Crude oil'!O1943</f>
        <v>81.52</v>
      </c>
      <c r="P1942">
        <f>'raw data Crude oil'!P1943</f>
        <v>80.69</v>
      </c>
      <c r="Q1942">
        <f>'raw data Crude oil'!Q1943</f>
        <v>79.95</v>
      </c>
      <c r="R1942">
        <f>'raw data Crude oil'!R1943</f>
        <v>79.28</v>
      </c>
      <c r="S1942">
        <f>'raw data Crude oil'!S1943</f>
        <v>78.67</v>
      </c>
      <c r="T1942">
        <f>'raw data Crude oil'!T1943</f>
        <v>78.12</v>
      </c>
      <c r="U1942">
        <f>'raw data Crude oil'!U1943</f>
        <v>77.61</v>
      </c>
      <c r="V1942">
        <f>'raw data Crude oil'!V1943</f>
        <v>77.13</v>
      </c>
      <c r="W1942">
        <f>'raw data Crude oil'!W1943</f>
        <v>76.680000000000007</v>
      </c>
      <c r="X1942">
        <f>'raw data Crude oil'!X1943</f>
        <v>76.239999999999995</v>
      </c>
      <c r="Y1942">
        <f>'raw data Crude oil'!Y1943</f>
        <v>75.790000000000006</v>
      </c>
      <c r="Z1942">
        <f>'raw data Crude oil'!Z1943</f>
        <v>85.974999999999994</v>
      </c>
      <c r="AA1942">
        <f>'raw data Crude oil'!AA1943</f>
        <v>85.033000000000001</v>
      </c>
      <c r="AB1942">
        <f>'raw data Crude oil'!AB1943</f>
        <v>84.251000000000005</v>
      </c>
      <c r="AC1942">
        <f>'raw data Crude oil'!AC1943</f>
        <v>83.561000000000007</v>
      </c>
      <c r="AD1942">
        <f>'raw data Crude oil'!AD1943</f>
        <v>82.950999999999993</v>
      </c>
      <c r="AE1942">
        <f>'raw data Crude oil'!AE1943</f>
        <v>82.370999999999995</v>
      </c>
      <c r="AF1942">
        <f>'raw data Crude oil'!AF1943</f>
        <v>81.870999999999995</v>
      </c>
      <c r="AG1942">
        <f>'raw data Crude oil'!AG1943</f>
        <v>81.42</v>
      </c>
      <c r="AH1942">
        <f>'raw data Crude oil'!AH1943</f>
        <v>80.991</v>
      </c>
      <c r="AI1942">
        <f>'raw data Crude oil'!AI1943</f>
        <v>80.581999999999994</v>
      </c>
      <c r="AJ1942">
        <f>'raw data Crude oil'!AJ1943</f>
        <v>80.183000000000007</v>
      </c>
      <c r="AK1942">
        <f>'raw data Crude oil'!AK1943</f>
        <v>79.792000000000002</v>
      </c>
    </row>
    <row r="1943" spans="1:37" x14ac:dyDescent="0.3">
      <c r="A1943" s="18">
        <f>'raw data Crude oil'!A1944</f>
        <v>45482</v>
      </c>
      <c r="B1943">
        <f>'raw data Crude oil'!B1944</f>
        <v>84.66</v>
      </c>
      <c r="C1943">
        <f>'raw data Crude oil'!C1944</f>
        <v>83.89</v>
      </c>
      <c r="D1943">
        <f>'raw data Crude oil'!D1944</f>
        <v>83.2</v>
      </c>
      <c r="E1943">
        <f>'raw data Crude oil'!E1944</f>
        <v>82.59</v>
      </c>
      <c r="F1943">
        <f>'raw data Crude oil'!F1944</f>
        <v>82.07</v>
      </c>
      <c r="G1943">
        <f>'raw data Crude oil'!G1944</f>
        <v>81.599999999999994</v>
      </c>
      <c r="H1943">
        <f>'raw data Crude oil'!H1944</f>
        <v>81.17</v>
      </c>
      <c r="I1943">
        <f>'raw data Crude oil'!I1944</f>
        <v>80.77</v>
      </c>
      <c r="J1943">
        <f>'raw data Crude oil'!J1944</f>
        <v>80.38</v>
      </c>
      <c r="K1943">
        <f>'raw data Crude oil'!K1944</f>
        <v>80</v>
      </c>
      <c r="L1943">
        <f>'raw data Crude oil'!L1944</f>
        <v>79.64</v>
      </c>
      <c r="M1943">
        <f>'raw data Crude oil'!M1944</f>
        <v>79.28</v>
      </c>
      <c r="N1943">
        <f>'raw data Crude oil'!N1944</f>
        <v>81.41</v>
      </c>
      <c r="O1943">
        <f>'raw data Crude oil'!O1944</f>
        <v>80.56</v>
      </c>
      <c r="P1943">
        <f>'raw data Crude oil'!P1944</f>
        <v>79.709999999999994</v>
      </c>
      <c r="Q1943">
        <f>'raw data Crude oil'!Q1944</f>
        <v>78.94</v>
      </c>
      <c r="R1943">
        <f>'raw data Crude oil'!R1944</f>
        <v>78.25</v>
      </c>
      <c r="S1943">
        <f>'raw data Crude oil'!S1944</f>
        <v>77.650000000000006</v>
      </c>
      <c r="T1943">
        <f>'raw data Crude oil'!T1944</f>
        <v>77.11</v>
      </c>
      <c r="U1943">
        <f>'raw data Crude oil'!U1944</f>
        <v>76.63</v>
      </c>
      <c r="V1943">
        <f>'raw data Crude oil'!V1944</f>
        <v>76.17</v>
      </c>
      <c r="W1943">
        <f>'raw data Crude oil'!W1944</f>
        <v>75.739999999999995</v>
      </c>
      <c r="X1943">
        <f>'raw data Crude oil'!X1944</f>
        <v>75.319999999999993</v>
      </c>
      <c r="Y1943">
        <f>'raw data Crude oil'!Y1944</f>
        <v>74.89</v>
      </c>
      <c r="Z1943">
        <f>'raw data Crude oil'!Z1944</f>
        <v>85.200999999999993</v>
      </c>
      <c r="AA1943">
        <f>'raw data Crude oil'!AA1944</f>
        <v>83.908000000000001</v>
      </c>
      <c r="AB1943">
        <f>'raw data Crude oil'!AB1944</f>
        <v>83.150999999999996</v>
      </c>
      <c r="AC1943">
        <f>'raw data Crude oil'!AC1944</f>
        <v>82.466999999999999</v>
      </c>
      <c r="AD1943">
        <f>'raw data Crude oil'!AD1944</f>
        <v>81.86</v>
      </c>
      <c r="AE1943">
        <f>'raw data Crude oil'!AE1944</f>
        <v>81.301000000000002</v>
      </c>
      <c r="AF1943">
        <f>'raw data Crude oil'!AF1944</f>
        <v>80.811999999999998</v>
      </c>
      <c r="AG1943">
        <f>'raw data Crude oil'!AG1944</f>
        <v>80.370999999999995</v>
      </c>
      <c r="AH1943">
        <f>'raw data Crude oil'!AH1944</f>
        <v>79.941999999999993</v>
      </c>
      <c r="AI1943">
        <f>'raw data Crude oil'!AI1944</f>
        <v>79.533000000000001</v>
      </c>
      <c r="AJ1943">
        <f>'raw data Crude oil'!AJ1944</f>
        <v>79.153999999999996</v>
      </c>
      <c r="AK1943">
        <f>'raw data Crude oil'!AK1944</f>
        <v>78.772000000000006</v>
      </c>
    </row>
    <row r="1944" spans="1:37" x14ac:dyDescent="0.3">
      <c r="A1944" s="18">
        <f>'raw data Crude oil'!A1945</f>
        <v>45483</v>
      </c>
      <c r="B1944">
        <f>'raw data Crude oil'!B1945</f>
        <v>85.08</v>
      </c>
      <c r="C1944">
        <f>'raw data Crude oil'!C1945</f>
        <v>84.2</v>
      </c>
      <c r="D1944">
        <f>'raw data Crude oil'!D1945</f>
        <v>83.41</v>
      </c>
      <c r="E1944">
        <f>'raw data Crude oil'!E1945</f>
        <v>82.73</v>
      </c>
      <c r="F1944">
        <f>'raw data Crude oil'!F1945</f>
        <v>82.15</v>
      </c>
      <c r="G1944">
        <f>'raw data Crude oil'!G1945</f>
        <v>81.650000000000006</v>
      </c>
      <c r="H1944">
        <f>'raw data Crude oil'!H1945</f>
        <v>81.2</v>
      </c>
      <c r="I1944">
        <f>'raw data Crude oil'!I1945</f>
        <v>80.78</v>
      </c>
      <c r="J1944">
        <f>'raw data Crude oil'!J1945</f>
        <v>80.37</v>
      </c>
      <c r="K1944">
        <f>'raw data Crude oil'!K1945</f>
        <v>79.97</v>
      </c>
      <c r="L1944">
        <f>'raw data Crude oil'!L1945</f>
        <v>79.599999999999994</v>
      </c>
      <c r="M1944">
        <f>'raw data Crude oil'!M1945</f>
        <v>79.23</v>
      </c>
      <c r="N1944">
        <f>'raw data Crude oil'!N1945</f>
        <v>82.1</v>
      </c>
      <c r="O1944">
        <f>'raw data Crude oil'!O1945</f>
        <v>81.069999999999993</v>
      </c>
      <c r="P1944">
        <f>'raw data Crude oil'!P1945</f>
        <v>80.069999999999993</v>
      </c>
      <c r="Q1944">
        <f>'raw data Crude oil'!Q1945</f>
        <v>79.209999999999994</v>
      </c>
      <c r="R1944">
        <f>'raw data Crude oil'!R1945</f>
        <v>78.45</v>
      </c>
      <c r="S1944">
        <f>'raw data Crude oil'!S1945</f>
        <v>77.78</v>
      </c>
      <c r="T1944">
        <f>'raw data Crude oil'!T1945</f>
        <v>77.2</v>
      </c>
      <c r="U1944">
        <f>'raw data Crude oil'!U1945</f>
        <v>76.680000000000007</v>
      </c>
      <c r="V1944">
        <f>'raw data Crude oil'!V1945</f>
        <v>76.2</v>
      </c>
      <c r="W1944">
        <f>'raw data Crude oil'!W1945</f>
        <v>75.760000000000005</v>
      </c>
      <c r="X1944">
        <f>'raw data Crude oil'!X1945</f>
        <v>75.33</v>
      </c>
      <c r="Y1944">
        <f>'raw data Crude oil'!Y1945</f>
        <v>74.88</v>
      </c>
      <c r="Z1944">
        <f>'raw data Crude oil'!Z1945</f>
        <v>85.352999999999994</v>
      </c>
      <c r="AA1944">
        <f>'raw data Crude oil'!AA1945</f>
        <v>84.114000000000004</v>
      </c>
      <c r="AB1944">
        <f>'raw data Crude oil'!AB1945</f>
        <v>83.314999999999998</v>
      </c>
      <c r="AC1944">
        <f>'raw data Crude oil'!AC1945</f>
        <v>82.594999999999999</v>
      </c>
      <c r="AD1944">
        <f>'raw data Crude oil'!AD1945</f>
        <v>81.965999999999994</v>
      </c>
      <c r="AE1944">
        <f>'raw data Crude oil'!AE1945</f>
        <v>81.382000000000005</v>
      </c>
      <c r="AF1944">
        <f>'raw data Crude oil'!AF1945</f>
        <v>80.876000000000005</v>
      </c>
      <c r="AG1944">
        <f>'raw data Crude oil'!AG1945</f>
        <v>80.42</v>
      </c>
      <c r="AH1944">
        <f>'raw data Crude oil'!AH1945</f>
        <v>79.971000000000004</v>
      </c>
      <c r="AI1944">
        <f>'raw data Crude oil'!AI1945</f>
        <v>79.542000000000002</v>
      </c>
      <c r="AJ1944">
        <f>'raw data Crude oil'!AJ1945</f>
        <v>79.143000000000001</v>
      </c>
      <c r="AK1944">
        <f>'raw data Crude oil'!AK1945</f>
        <v>78.751999999999995</v>
      </c>
    </row>
    <row r="1945" spans="1:37" x14ac:dyDescent="0.3">
      <c r="A1945" s="18">
        <f>'raw data Crude oil'!A1946</f>
        <v>45484</v>
      </c>
      <c r="B1945">
        <f>'raw data Crude oil'!B1946</f>
        <v>85.4</v>
      </c>
      <c r="C1945">
        <f>'raw data Crude oil'!C1946</f>
        <v>84.42</v>
      </c>
      <c r="D1945">
        <f>'raw data Crude oil'!D1946</f>
        <v>83.59</v>
      </c>
      <c r="E1945">
        <f>'raw data Crude oil'!E1946</f>
        <v>82.88</v>
      </c>
      <c r="F1945">
        <f>'raw data Crude oil'!F1946</f>
        <v>82.28</v>
      </c>
      <c r="G1945">
        <f>'raw data Crude oil'!G1946</f>
        <v>81.760000000000005</v>
      </c>
      <c r="H1945">
        <f>'raw data Crude oil'!H1946</f>
        <v>81.290000000000006</v>
      </c>
      <c r="I1945">
        <f>'raw data Crude oil'!I1946</f>
        <v>80.86</v>
      </c>
      <c r="J1945">
        <f>'raw data Crude oil'!J1946</f>
        <v>80.44</v>
      </c>
      <c r="K1945">
        <f>'raw data Crude oil'!K1946</f>
        <v>80.040000000000006</v>
      </c>
      <c r="L1945">
        <f>'raw data Crude oil'!L1946</f>
        <v>79.650000000000006</v>
      </c>
      <c r="M1945">
        <f>'raw data Crude oil'!M1946</f>
        <v>79.27</v>
      </c>
      <c r="N1945">
        <f>'raw data Crude oil'!N1946</f>
        <v>82.62</v>
      </c>
      <c r="O1945">
        <f>'raw data Crude oil'!O1946</f>
        <v>81.38</v>
      </c>
      <c r="P1945">
        <f>'raw data Crude oil'!P1946</f>
        <v>80.260000000000005</v>
      </c>
      <c r="Q1945">
        <f>'raw data Crude oil'!Q1946</f>
        <v>79.37</v>
      </c>
      <c r="R1945">
        <f>'raw data Crude oil'!R1946</f>
        <v>78.61</v>
      </c>
      <c r="S1945">
        <f>'raw data Crude oil'!S1946</f>
        <v>77.94</v>
      </c>
      <c r="T1945">
        <f>'raw data Crude oil'!T1946</f>
        <v>77.33</v>
      </c>
      <c r="U1945">
        <f>'raw data Crude oil'!U1946</f>
        <v>76.790000000000006</v>
      </c>
      <c r="V1945">
        <f>'raw data Crude oil'!V1946</f>
        <v>76.28</v>
      </c>
      <c r="W1945">
        <f>'raw data Crude oil'!W1946</f>
        <v>75.819999999999993</v>
      </c>
      <c r="X1945">
        <f>'raw data Crude oil'!X1946</f>
        <v>75.38</v>
      </c>
      <c r="Y1945">
        <f>'raw data Crude oil'!Y1946</f>
        <v>74.92</v>
      </c>
      <c r="Z1945">
        <f>'raw data Crude oil'!Z1946</f>
        <v>85.497</v>
      </c>
      <c r="AA1945">
        <f>'raw data Crude oil'!AA1946</f>
        <v>84.257000000000005</v>
      </c>
      <c r="AB1945">
        <f>'raw data Crude oil'!AB1946</f>
        <v>83.433000000000007</v>
      </c>
      <c r="AC1945">
        <f>'raw data Crude oil'!AC1946</f>
        <v>82.688999999999993</v>
      </c>
      <c r="AD1945">
        <f>'raw data Crude oil'!AD1946</f>
        <v>82.04</v>
      </c>
      <c r="AE1945">
        <f>'raw data Crude oil'!AE1946</f>
        <v>81.444999999999993</v>
      </c>
      <c r="AF1945">
        <f>'raw data Crude oil'!AF1946</f>
        <v>80.935000000000002</v>
      </c>
      <c r="AG1945">
        <f>'raw data Crude oil'!AG1946</f>
        <v>80.478999999999999</v>
      </c>
      <c r="AH1945">
        <f>'raw data Crude oil'!AH1946</f>
        <v>80.031000000000006</v>
      </c>
      <c r="AI1945">
        <f>'raw data Crude oil'!AI1946</f>
        <v>79.611000000000004</v>
      </c>
      <c r="AJ1945">
        <f>'raw data Crude oil'!AJ1946</f>
        <v>79.212999999999994</v>
      </c>
      <c r="AK1945">
        <f>'raw data Crude oil'!AK1946</f>
        <v>78.822000000000003</v>
      </c>
    </row>
    <row r="1946" spans="1:37" x14ac:dyDescent="0.3">
      <c r="A1946" s="18">
        <f>'raw data Crude oil'!A1947</f>
        <v>45485</v>
      </c>
      <c r="B1946">
        <f>'raw data Crude oil'!B1947</f>
        <v>85.03</v>
      </c>
      <c r="C1946">
        <f>'raw data Crude oil'!C1947</f>
        <v>84.1</v>
      </c>
      <c r="D1946">
        <f>'raw data Crude oil'!D1947</f>
        <v>83.32</v>
      </c>
      <c r="E1946">
        <f>'raw data Crude oil'!E1947</f>
        <v>82.66</v>
      </c>
      <c r="F1946">
        <f>'raw data Crude oil'!F1947</f>
        <v>82.1</v>
      </c>
      <c r="G1946">
        <f>'raw data Crude oil'!G1947</f>
        <v>81.599999999999994</v>
      </c>
      <c r="H1946">
        <f>'raw data Crude oil'!H1947</f>
        <v>81.14</v>
      </c>
      <c r="I1946">
        <f>'raw data Crude oil'!I1947</f>
        <v>80.709999999999994</v>
      </c>
      <c r="J1946">
        <f>'raw data Crude oil'!J1947</f>
        <v>80.290000000000006</v>
      </c>
      <c r="K1946">
        <f>'raw data Crude oil'!K1947</f>
        <v>79.89</v>
      </c>
      <c r="L1946">
        <f>'raw data Crude oil'!L1947</f>
        <v>79.510000000000005</v>
      </c>
      <c r="M1946">
        <f>'raw data Crude oil'!M1947</f>
        <v>79.14</v>
      </c>
      <c r="N1946">
        <f>'raw data Crude oil'!N1947</f>
        <v>82.21</v>
      </c>
      <c r="O1946">
        <f>'raw data Crude oil'!O1947</f>
        <v>81.02</v>
      </c>
      <c r="P1946">
        <f>'raw data Crude oil'!P1947</f>
        <v>79.959999999999994</v>
      </c>
      <c r="Q1946">
        <f>'raw data Crude oil'!Q1947</f>
        <v>79.099999999999994</v>
      </c>
      <c r="R1946">
        <f>'raw data Crude oil'!R1947</f>
        <v>78.400000000000006</v>
      </c>
      <c r="S1946">
        <f>'raw data Crude oil'!S1947</f>
        <v>77.78</v>
      </c>
      <c r="T1946">
        <f>'raw data Crude oil'!T1947</f>
        <v>77.2</v>
      </c>
      <c r="U1946">
        <f>'raw data Crude oil'!U1947</f>
        <v>76.66</v>
      </c>
      <c r="V1946">
        <f>'raw data Crude oil'!V1947</f>
        <v>76.17</v>
      </c>
      <c r="W1946">
        <f>'raw data Crude oil'!W1947</f>
        <v>75.709999999999994</v>
      </c>
      <c r="X1946">
        <f>'raw data Crude oil'!X1947</f>
        <v>75.28</v>
      </c>
      <c r="Y1946">
        <f>'raw data Crude oil'!Y1947</f>
        <v>74.83</v>
      </c>
      <c r="Z1946">
        <f>'raw data Crude oil'!Z1947</f>
        <v>85.239000000000004</v>
      </c>
      <c r="AA1946">
        <f>'raw data Crude oil'!AA1947</f>
        <v>83.784999999999997</v>
      </c>
      <c r="AB1946">
        <f>'raw data Crude oil'!AB1947</f>
        <v>83.019000000000005</v>
      </c>
      <c r="AC1946">
        <f>'raw data Crude oil'!AC1947</f>
        <v>82.317999999999998</v>
      </c>
      <c r="AD1946">
        <f>'raw data Crude oil'!AD1947</f>
        <v>81.701999999999998</v>
      </c>
      <c r="AE1946">
        <f>'raw data Crude oil'!AE1947</f>
        <v>81.120999999999995</v>
      </c>
      <c r="AF1946">
        <f>'raw data Crude oil'!AF1947</f>
        <v>80.64</v>
      </c>
      <c r="AG1946">
        <f>'raw data Crude oil'!AG1947</f>
        <v>80.209000000000003</v>
      </c>
      <c r="AH1946">
        <f>'raw data Crude oil'!AH1947</f>
        <v>79.790999999999997</v>
      </c>
      <c r="AI1946">
        <f>'raw data Crude oil'!AI1947</f>
        <v>79.402000000000001</v>
      </c>
      <c r="AJ1946">
        <f>'raw data Crude oil'!AJ1947</f>
        <v>79.022999999999996</v>
      </c>
      <c r="AK1946">
        <f>'raw data Crude oil'!AK1947</f>
        <v>78.641999999999996</v>
      </c>
    </row>
    <row r="1947" spans="1:37" x14ac:dyDescent="0.3">
      <c r="A1947" s="18">
        <f>'raw data Crude oil'!A1948</f>
        <v>45488</v>
      </c>
      <c r="B1947">
        <f>'raw data Crude oil'!B1948</f>
        <v>84.85</v>
      </c>
      <c r="C1947">
        <f>'raw data Crude oil'!C1948</f>
        <v>83.9</v>
      </c>
      <c r="D1947">
        <f>'raw data Crude oil'!D1948</f>
        <v>83.1</v>
      </c>
      <c r="E1947">
        <f>'raw data Crude oil'!E1948</f>
        <v>82.42</v>
      </c>
      <c r="F1947">
        <f>'raw data Crude oil'!F1948</f>
        <v>81.86</v>
      </c>
      <c r="G1947">
        <f>'raw data Crude oil'!G1948</f>
        <v>81.38</v>
      </c>
      <c r="H1947">
        <f>'raw data Crude oil'!H1948</f>
        <v>80.930000000000007</v>
      </c>
      <c r="I1947">
        <f>'raw data Crude oil'!I1948</f>
        <v>80.510000000000005</v>
      </c>
      <c r="J1947">
        <f>'raw data Crude oil'!J1948</f>
        <v>80.099999999999994</v>
      </c>
      <c r="K1947">
        <f>'raw data Crude oil'!K1948</f>
        <v>79.709999999999994</v>
      </c>
      <c r="L1947">
        <f>'raw data Crude oil'!L1948</f>
        <v>79.33</v>
      </c>
      <c r="M1947">
        <f>'raw data Crude oil'!M1948</f>
        <v>78.959999999999994</v>
      </c>
      <c r="N1947">
        <f>'raw data Crude oil'!N1948</f>
        <v>81.91</v>
      </c>
      <c r="O1947">
        <f>'raw data Crude oil'!O1948</f>
        <v>80.84</v>
      </c>
      <c r="P1947">
        <f>'raw data Crude oil'!P1948</f>
        <v>79.77</v>
      </c>
      <c r="Q1947">
        <f>'raw data Crude oil'!Q1948</f>
        <v>78.88</v>
      </c>
      <c r="R1947">
        <f>'raw data Crude oil'!R1948</f>
        <v>78.150000000000006</v>
      </c>
      <c r="S1947">
        <f>'raw data Crude oil'!S1948</f>
        <v>77.52</v>
      </c>
      <c r="T1947">
        <f>'raw data Crude oil'!T1948</f>
        <v>76.95</v>
      </c>
      <c r="U1947">
        <f>'raw data Crude oil'!U1948</f>
        <v>76.430000000000007</v>
      </c>
      <c r="V1947">
        <f>'raw data Crude oil'!V1948</f>
        <v>75.95</v>
      </c>
      <c r="W1947">
        <f>'raw data Crude oil'!W1948</f>
        <v>75.5</v>
      </c>
      <c r="X1947">
        <f>'raw data Crude oil'!X1948</f>
        <v>75.069999999999993</v>
      </c>
      <c r="Y1947">
        <f>'raw data Crude oil'!Y1948</f>
        <v>74.63</v>
      </c>
      <c r="Z1947">
        <f>'raw data Crude oil'!Z1948</f>
        <v>85.134</v>
      </c>
      <c r="AA1947">
        <f>'raw data Crude oil'!AA1948</f>
        <v>83.504000000000005</v>
      </c>
      <c r="AB1947">
        <f>'raw data Crude oil'!AB1948</f>
        <v>82.757999999999996</v>
      </c>
      <c r="AC1947">
        <f>'raw data Crude oil'!AC1948</f>
        <v>82.075999999999993</v>
      </c>
      <c r="AD1947">
        <f>'raw data Crude oil'!AD1948</f>
        <v>81.477000000000004</v>
      </c>
      <c r="AE1947">
        <f>'raw data Crude oil'!AE1948</f>
        <v>80.917000000000002</v>
      </c>
      <c r="AF1947">
        <f>'raw data Crude oil'!AF1948</f>
        <v>80.441000000000003</v>
      </c>
      <c r="AG1947">
        <f>'raw data Crude oil'!AG1948</f>
        <v>80.010000000000005</v>
      </c>
      <c r="AH1947">
        <f>'raw data Crude oil'!AH1948</f>
        <v>79.590999999999994</v>
      </c>
      <c r="AI1947">
        <f>'raw data Crude oil'!AI1948</f>
        <v>79.201999999999998</v>
      </c>
      <c r="AJ1947">
        <f>'raw data Crude oil'!AJ1948</f>
        <v>78.822999999999993</v>
      </c>
      <c r="AK1947">
        <f>'raw data Crude oil'!AK1948</f>
        <v>78.451999999999998</v>
      </c>
    </row>
    <row r="1948" spans="1:37" x14ac:dyDescent="0.3">
      <c r="A1948" s="18">
        <f>'raw data Crude oil'!A1949</f>
        <v>45489</v>
      </c>
      <c r="B1948">
        <f>'raw data Crude oil'!B1949</f>
        <v>83.73</v>
      </c>
      <c r="C1948">
        <f>'raw data Crude oil'!C1949</f>
        <v>82.8</v>
      </c>
      <c r="D1948">
        <f>'raw data Crude oil'!D1949</f>
        <v>82.02</v>
      </c>
      <c r="E1948">
        <f>'raw data Crude oil'!E1949</f>
        <v>81.38</v>
      </c>
      <c r="F1948">
        <f>'raw data Crude oil'!F1949</f>
        <v>80.849999999999994</v>
      </c>
      <c r="G1948">
        <f>'raw data Crude oil'!G1949</f>
        <v>80.38</v>
      </c>
      <c r="H1948">
        <f>'raw data Crude oil'!H1949</f>
        <v>79.95</v>
      </c>
      <c r="I1948">
        <f>'raw data Crude oil'!I1949</f>
        <v>79.540000000000006</v>
      </c>
      <c r="J1948">
        <f>'raw data Crude oil'!J1949</f>
        <v>79.150000000000006</v>
      </c>
      <c r="K1948">
        <f>'raw data Crude oil'!K1949</f>
        <v>78.77</v>
      </c>
      <c r="L1948">
        <f>'raw data Crude oil'!L1949</f>
        <v>78.41</v>
      </c>
      <c r="M1948">
        <f>'raw data Crude oil'!M1949</f>
        <v>78.06</v>
      </c>
      <c r="N1948">
        <f>'raw data Crude oil'!N1949</f>
        <v>80.760000000000005</v>
      </c>
      <c r="O1948">
        <f>'raw data Crude oil'!O1949</f>
        <v>79.709999999999994</v>
      </c>
      <c r="P1948">
        <f>'raw data Crude oil'!P1949</f>
        <v>78.67</v>
      </c>
      <c r="Q1948">
        <f>'raw data Crude oil'!Q1949</f>
        <v>77.81</v>
      </c>
      <c r="R1948">
        <f>'raw data Crude oil'!R1949</f>
        <v>77.11</v>
      </c>
      <c r="S1948">
        <f>'raw data Crude oil'!S1949</f>
        <v>76.5</v>
      </c>
      <c r="T1948">
        <f>'raw data Crude oil'!T1949</f>
        <v>75.95</v>
      </c>
      <c r="U1948">
        <f>'raw data Crude oil'!U1949</f>
        <v>75.459999999999994</v>
      </c>
      <c r="V1948">
        <f>'raw data Crude oil'!V1949</f>
        <v>75</v>
      </c>
      <c r="W1948">
        <f>'raw data Crude oil'!W1949</f>
        <v>74.569999999999993</v>
      </c>
      <c r="X1948">
        <f>'raw data Crude oil'!X1949</f>
        <v>74.16</v>
      </c>
      <c r="Y1948">
        <f>'raw data Crude oil'!Y1949</f>
        <v>73.73</v>
      </c>
      <c r="Z1948">
        <f>'raw data Crude oil'!Z1949</f>
        <v>84.623999999999995</v>
      </c>
      <c r="AA1948">
        <f>'raw data Crude oil'!AA1949</f>
        <v>82.522000000000006</v>
      </c>
      <c r="AB1948">
        <f>'raw data Crude oil'!AB1949</f>
        <v>81.765000000000001</v>
      </c>
      <c r="AC1948">
        <f>'raw data Crude oil'!AC1949</f>
        <v>81.081999999999994</v>
      </c>
      <c r="AD1948">
        <f>'raw data Crude oil'!AD1949</f>
        <v>80.495000000000005</v>
      </c>
      <c r="AE1948">
        <f>'raw data Crude oil'!AE1949</f>
        <v>79.945999999999998</v>
      </c>
      <c r="AF1948">
        <f>'raw data Crude oil'!AF1949</f>
        <v>79.495999999999995</v>
      </c>
      <c r="AG1948">
        <f>'raw data Crude oil'!AG1949</f>
        <v>79.100999999999999</v>
      </c>
      <c r="AH1948">
        <f>'raw data Crude oil'!AH1949</f>
        <v>78.712000000000003</v>
      </c>
      <c r="AI1948">
        <f>'raw data Crude oil'!AI1949</f>
        <v>78.332999999999998</v>
      </c>
      <c r="AJ1948">
        <f>'raw data Crude oil'!AJ1949</f>
        <v>77.983999999999995</v>
      </c>
      <c r="AK1948">
        <f>'raw data Crude oil'!AK1949</f>
        <v>77.632999999999996</v>
      </c>
    </row>
    <row r="1949" spans="1:37" x14ac:dyDescent="0.3">
      <c r="A1949" s="18">
        <f>'raw data Crude oil'!A1950</f>
        <v>45490</v>
      </c>
      <c r="B1949">
        <f>'raw data Crude oil'!B1950</f>
        <v>85.08</v>
      </c>
      <c r="C1949">
        <f>'raw data Crude oil'!C1950</f>
        <v>83.96</v>
      </c>
      <c r="D1949">
        <f>'raw data Crude oil'!D1950</f>
        <v>83.07</v>
      </c>
      <c r="E1949">
        <f>'raw data Crude oil'!E1950</f>
        <v>82.36</v>
      </c>
      <c r="F1949">
        <f>'raw data Crude oil'!F1950</f>
        <v>81.760000000000005</v>
      </c>
      <c r="G1949">
        <f>'raw data Crude oil'!G1950</f>
        <v>81.25</v>
      </c>
      <c r="H1949">
        <f>'raw data Crude oil'!H1950</f>
        <v>80.78</v>
      </c>
      <c r="I1949">
        <f>'raw data Crude oil'!I1950</f>
        <v>80.33</v>
      </c>
      <c r="J1949">
        <f>'raw data Crude oil'!J1950</f>
        <v>79.91</v>
      </c>
      <c r="K1949">
        <f>'raw data Crude oil'!K1950</f>
        <v>79.5</v>
      </c>
      <c r="L1949">
        <f>'raw data Crude oil'!L1950</f>
        <v>79.12</v>
      </c>
      <c r="M1949">
        <f>'raw data Crude oil'!M1950</f>
        <v>78.739999999999995</v>
      </c>
      <c r="N1949">
        <f>'raw data Crude oil'!N1950</f>
        <v>82.85</v>
      </c>
      <c r="O1949">
        <f>'raw data Crude oil'!O1950</f>
        <v>81.44</v>
      </c>
      <c r="P1949">
        <f>'raw data Crude oil'!P1950</f>
        <v>80.06</v>
      </c>
      <c r="Q1949">
        <f>'raw data Crude oil'!Q1950</f>
        <v>79</v>
      </c>
      <c r="R1949">
        <f>'raw data Crude oil'!R1950</f>
        <v>78.16</v>
      </c>
      <c r="S1949">
        <f>'raw data Crude oil'!S1950</f>
        <v>77.459999999999994</v>
      </c>
      <c r="T1949">
        <f>'raw data Crude oil'!T1950</f>
        <v>76.849999999999994</v>
      </c>
      <c r="U1949">
        <f>'raw data Crude oil'!U1950</f>
        <v>76.3</v>
      </c>
      <c r="V1949">
        <f>'raw data Crude oil'!V1950</f>
        <v>75.8</v>
      </c>
      <c r="W1949">
        <f>'raw data Crude oil'!W1950</f>
        <v>75.34</v>
      </c>
      <c r="X1949">
        <f>'raw data Crude oil'!X1950</f>
        <v>74.91</v>
      </c>
      <c r="Y1949">
        <f>'raw data Crude oil'!Y1950</f>
        <v>74.47</v>
      </c>
      <c r="Z1949">
        <f>'raw data Crude oil'!Z1950</f>
        <v>85.123999999999995</v>
      </c>
      <c r="AA1949">
        <f>'raw data Crude oil'!AA1950</f>
        <v>83.614999999999995</v>
      </c>
      <c r="AB1949">
        <f>'raw data Crude oil'!AB1950</f>
        <v>82.820999999999998</v>
      </c>
      <c r="AC1949">
        <f>'raw data Crude oil'!AC1950</f>
        <v>82.061000000000007</v>
      </c>
      <c r="AD1949">
        <f>'raw data Crude oil'!AD1950</f>
        <v>81.400999999999996</v>
      </c>
      <c r="AE1949">
        <f>'raw data Crude oil'!AE1950</f>
        <v>80.81</v>
      </c>
      <c r="AF1949">
        <f>'raw data Crude oil'!AF1950</f>
        <v>80.314999999999998</v>
      </c>
      <c r="AG1949">
        <f>'raw data Crude oil'!AG1950</f>
        <v>79.888999999999996</v>
      </c>
      <c r="AH1949">
        <f>'raw data Crude oil'!AH1950</f>
        <v>79.48</v>
      </c>
      <c r="AI1949">
        <f>'raw data Crude oil'!AI1950</f>
        <v>79.081999999999994</v>
      </c>
      <c r="AJ1949">
        <f>'raw data Crude oil'!AJ1950</f>
        <v>78.703000000000003</v>
      </c>
      <c r="AK1949">
        <f>'raw data Crude oil'!AK1950</f>
        <v>78.322000000000003</v>
      </c>
    </row>
    <row r="1950" spans="1:37" x14ac:dyDescent="0.3">
      <c r="A1950" s="18">
        <f>'raw data Crude oil'!A1951</f>
        <v>45491</v>
      </c>
      <c r="B1950">
        <f>'raw data Crude oil'!B1951</f>
        <v>85.11</v>
      </c>
      <c r="C1950">
        <f>'raw data Crude oil'!C1951</f>
        <v>83.93</v>
      </c>
      <c r="D1950">
        <f>'raw data Crude oil'!D1951</f>
        <v>83.05</v>
      </c>
      <c r="E1950">
        <f>'raw data Crude oil'!E1951</f>
        <v>82.36</v>
      </c>
      <c r="F1950">
        <f>'raw data Crude oil'!F1951</f>
        <v>81.77</v>
      </c>
      <c r="G1950">
        <f>'raw data Crude oil'!G1951</f>
        <v>81.260000000000005</v>
      </c>
      <c r="H1950">
        <f>'raw data Crude oil'!H1951</f>
        <v>80.8</v>
      </c>
      <c r="I1950">
        <f>'raw data Crude oil'!I1951</f>
        <v>80.38</v>
      </c>
      <c r="J1950">
        <f>'raw data Crude oil'!J1951</f>
        <v>79.97</v>
      </c>
      <c r="K1950">
        <f>'raw data Crude oil'!K1951</f>
        <v>79.58</v>
      </c>
      <c r="L1950">
        <f>'raw data Crude oil'!L1951</f>
        <v>79.209999999999994</v>
      </c>
      <c r="M1950">
        <f>'raw data Crude oil'!M1951</f>
        <v>78.84</v>
      </c>
      <c r="N1950">
        <f>'raw data Crude oil'!N1951</f>
        <v>82.82</v>
      </c>
      <c r="O1950">
        <f>'raw data Crude oil'!O1951</f>
        <v>81.3</v>
      </c>
      <c r="P1950">
        <f>'raw data Crude oil'!P1951</f>
        <v>79.959999999999994</v>
      </c>
      <c r="Q1950">
        <f>'raw data Crude oil'!Q1951</f>
        <v>78.95</v>
      </c>
      <c r="R1950">
        <f>'raw data Crude oil'!R1951</f>
        <v>78.11</v>
      </c>
      <c r="S1950">
        <f>'raw data Crude oil'!S1951</f>
        <v>77.42</v>
      </c>
      <c r="T1950">
        <f>'raw data Crude oil'!T1951</f>
        <v>76.819999999999993</v>
      </c>
      <c r="U1950">
        <f>'raw data Crude oil'!U1951</f>
        <v>76.28</v>
      </c>
      <c r="V1950">
        <f>'raw data Crude oil'!V1951</f>
        <v>75.8</v>
      </c>
      <c r="W1950">
        <f>'raw data Crude oil'!W1951</f>
        <v>75.36</v>
      </c>
      <c r="X1950">
        <f>'raw data Crude oil'!X1951</f>
        <v>74.930000000000007</v>
      </c>
      <c r="Y1950">
        <f>'raw data Crude oil'!Y1951</f>
        <v>74.489999999999995</v>
      </c>
      <c r="Z1950">
        <f>'raw data Crude oil'!Z1951</f>
        <v>85.111000000000004</v>
      </c>
      <c r="AA1950">
        <f>'raw data Crude oil'!AA1951</f>
        <v>83.51</v>
      </c>
      <c r="AB1950">
        <f>'raw data Crude oil'!AB1951</f>
        <v>82.703000000000003</v>
      </c>
      <c r="AC1950">
        <f>'raw data Crude oil'!AC1951</f>
        <v>81.945999999999998</v>
      </c>
      <c r="AD1950">
        <f>'raw data Crude oil'!AD1951</f>
        <v>81.284999999999997</v>
      </c>
      <c r="AE1950">
        <f>'raw data Crude oil'!AE1951</f>
        <v>80.701999999999998</v>
      </c>
      <c r="AF1950">
        <f>'raw data Crude oil'!AF1951</f>
        <v>80.215999999999994</v>
      </c>
      <c r="AG1950">
        <f>'raw data Crude oil'!AG1951</f>
        <v>79.814999999999998</v>
      </c>
      <c r="AH1950">
        <f>'raw data Crude oil'!AH1951</f>
        <v>79.426000000000002</v>
      </c>
      <c r="AI1950">
        <f>'raw data Crude oil'!AI1951</f>
        <v>79.042000000000002</v>
      </c>
      <c r="AJ1950">
        <f>'raw data Crude oil'!AJ1951</f>
        <v>78.692999999999998</v>
      </c>
      <c r="AK1950">
        <f>'raw data Crude oil'!AK1951</f>
        <v>78.341999999999999</v>
      </c>
    </row>
    <row r="1951" spans="1:37" x14ac:dyDescent="0.3">
      <c r="A1951" s="18">
        <f>'raw data Crude oil'!A1952</f>
        <v>45492</v>
      </c>
      <c r="B1951">
        <f>'raw data Crude oil'!B1952</f>
        <v>82.63</v>
      </c>
      <c r="C1951">
        <f>'raw data Crude oil'!C1952</f>
        <v>81.56</v>
      </c>
      <c r="D1951">
        <f>'raw data Crude oil'!D1952</f>
        <v>80.739999999999995</v>
      </c>
      <c r="E1951">
        <f>'raw data Crude oil'!E1952</f>
        <v>80.12</v>
      </c>
      <c r="F1951">
        <f>'raw data Crude oil'!F1952</f>
        <v>79.599999999999994</v>
      </c>
      <c r="G1951">
        <f>'raw data Crude oil'!G1952</f>
        <v>79.150000000000006</v>
      </c>
      <c r="H1951">
        <f>'raw data Crude oil'!H1952</f>
        <v>78.739999999999995</v>
      </c>
      <c r="I1951">
        <f>'raw data Crude oil'!I1952</f>
        <v>78.37</v>
      </c>
      <c r="J1951">
        <f>'raw data Crude oil'!J1952</f>
        <v>78</v>
      </c>
      <c r="K1951">
        <f>'raw data Crude oil'!K1952</f>
        <v>77.64</v>
      </c>
      <c r="L1951">
        <f>'raw data Crude oil'!L1952</f>
        <v>77.31</v>
      </c>
      <c r="M1951">
        <f>'raw data Crude oil'!M1952</f>
        <v>76.97</v>
      </c>
      <c r="N1951">
        <f>'raw data Crude oil'!N1952</f>
        <v>80.13</v>
      </c>
      <c r="O1951">
        <f>'raw data Crude oil'!O1952</f>
        <v>78.64</v>
      </c>
      <c r="P1951">
        <f>'raw data Crude oil'!P1952</f>
        <v>77.48</v>
      </c>
      <c r="Q1951">
        <f>'raw data Crude oil'!Q1952</f>
        <v>76.599999999999994</v>
      </c>
      <c r="R1951">
        <f>'raw data Crude oil'!R1952</f>
        <v>75.86</v>
      </c>
      <c r="S1951">
        <f>'raw data Crude oil'!S1952</f>
        <v>75.23</v>
      </c>
      <c r="T1951">
        <f>'raw data Crude oil'!T1952</f>
        <v>74.709999999999994</v>
      </c>
      <c r="U1951">
        <f>'raw data Crude oil'!U1952</f>
        <v>74.23</v>
      </c>
      <c r="V1951">
        <f>'raw data Crude oil'!V1952</f>
        <v>73.790000000000006</v>
      </c>
      <c r="W1951">
        <f>'raw data Crude oil'!W1952</f>
        <v>73.41</v>
      </c>
      <c r="X1951">
        <f>'raw data Crude oil'!X1952</f>
        <v>73.02</v>
      </c>
      <c r="Y1951">
        <f>'raw data Crude oil'!Y1952</f>
        <v>72.62</v>
      </c>
      <c r="Z1951">
        <f>'raw data Crude oil'!Z1952</f>
        <v>84.286000000000001</v>
      </c>
      <c r="AA1951">
        <f>'raw data Crude oil'!AA1952</f>
        <v>81.123000000000005</v>
      </c>
      <c r="AB1951">
        <f>'raw data Crude oil'!AB1952</f>
        <v>80.378</v>
      </c>
      <c r="AC1951">
        <f>'raw data Crude oil'!AC1952</f>
        <v>79.680999999999997</v>
      </c>
      <c r="AD1951">
        <f>'raw data Crude oil'!AD1952</f>
        <v>79.088999999999999</v>
      </c>
      <c r="AE1951">
        <f>'raw data Crude oil'!AE1952</f>
        <v>78.551000000000002</v>
      </c>
      <c r="AF1951">
        <f>'raw data Crude oil'!AF1952</f>
        <v>78.108000000000004</v>
      </c>
      <c r="AG1951">
        <f>'raw data Crude oil'!AG1952</f>
        <v>77.762</v>
      </c>
      <c r="AH1951">
        <f>'raw data Crude oil'!AH1952</f>
        <v>77.423000000000002</v>
      </c>
      <c r="AI1951">
        <f>'raw data Crude oil'!AI1952</f>
        <v>77.084000000000003</v>
      </c>
      <c r="AJ1951">
        <f>'raw data Crude oil'!AJ1952</f>
        <v>76.754999999999995</v>
      </c>
      <c r="AK1951">
        <f>'raw data Crude oil'!AK1952</f>
        <v>76.424000000000007</v>
      </c>
    </row>
    <row r="1952" spans="1:37" x14ac:dyDescent="0.3">
      <c r="A1952" s="18">
        <f>'raw data Crude oil'!A1953</f>
        <v>45495</v>
      </c>
      <c r="B1952">
        <f>'raw data Crude oil'!B1953</f>
        <v>82.4</v>
      </c>
      <c r="C1952">
        <f>'raw data Crude oil'!C1953</f>
        <v>81.44</v>
      </c>
      <c r="D1952">
        <f>'raw data Crude oil'!D1953</f>
        <v>80.7</v>
      </c>
      <c r="E1952">
        <f>'raw data Crude oil'!E1953</f>
        <v>80.13</v>
      </c>
      <c r="F1952">
        <f>'raw data Crude oil'!F1953</f>
        <v>79.650000000000006</v>
      </c>
      <c r="G1952">
        <f>'raw data Crude oil'!G1953</f>
        <v>79.239999999999995</v>
      </c>
      <c r="H1952">
        <f>'raw data Crude oil'!H1953</f>
        <v>78.87</v>
      </c>
      <c r="I1952">
        <f>'raw data Crude oil'!I1953</f>
        <v>78.52</v>
      </c>
      <c r="J1952">
        <f>'raw data Crude oil'!J1953</f>
        <v>78.19</v>
      </c>
      <c r="K1952">
        <f>'raw data Crude oil'!K1953</f>
        <v>77.86</v>
      </c>
      <c r="L1952">
        <f>'raw data Crude oil'!L1953</f>
        <v>77.55</v>
      </c>
      <c r="M1952">
        <f>'raw data Crude oil'!M1953</f>
        <v>77.23</v>
      </c>
      <c r="N1952">
        <f>'raw data Crude oil'!N1953</f>
        <v>79.78</v>
      </c>
      <c r="O1952">
        <f>'raw data Crude oil'!O1953</f>
        <v>78.400000000000006</v>
      </c>
      <c r="P1952">
        <f>'raw data Crude oil'!P1953</f>
        <v>77.33</v>
      </c>
      <c r="Q1952">
        <f>'raw data Crude oil'!Q1953</f>
        <v>76.5</v>
      </c>
      <c r="R1952">
        <f>'raw data Crude oil'!R1953</f>
        <v>75.8</v>
      </c>
      <c r="S1952">
        <f>'raw data Crude oil'!S1953</f>
        <v>75.23</v>
      </c>
      <c r="T1952">
        <f>'raw data Crude oil'!T1953</f>
        <v>74.73</v>
      </c>
      <c r="U1952">
        <f>'raw data Crude oil'!U1953</f>
        <v>74.3</v>
      </c>
      <c r="V1952">
        <f>'raw data Crude oil'!V1953</f>
        <v>73.89</v>
      </c>
      <c r="W1952">
        <f>'raw data Crude oil'!W1953</f>
        <v>73.52</v>
      </c>
      <c r="X1952">
        <f>'raw data Crude oil'!X1953</f>
        <v>73.16</v>
      </c>
      <c r="Y1952">
        <f>'raw data Crude oil'!Y1953</f>
        <v>72.78</v>
      </c>
      <c r="Z1952">
        <f>'raw data Crude oil'!Z1953</f>
        <v>84.25</v>
      </c>
      <c r="AA1952">
        <f>'raw data Crude oil'!AA1953</f>
        <v>80.876000000000005</v>
      </c>
      <c r="AB1952">
        <f>'raw data Crude oil'!AB1953</f>
        <v>80.233000000000004</v>
      </c>
      <c r="AC1952">
        <f>'raw data Crude oil'!AC1953</f>
        <v>79.614000000000004</v>
      </c>
      <c r="AD1952">
        <f>'raw data Crude oil'!AD1953</f>
        <v>79.075000000000003</v>
      </c>
      <c r="AE1952">
        <f>'raw data Crude oil'!AE1953</f>
        <v>78.596000000000004</v>
      </c>
      <c r="AF1952">
        <f>'raw data Crude oil'!AF1953</f>
        <v>78.194000000000003</v>
      </c>
      <c r="AG1952">
        <f>'raw data Crude oil'!AG1953</f>
        <v>77.894000000000005</v>
      </c>
      <c r="AH1952">
        <f>'raw data Crude oil'!AH1953</f>
        <v>77.614000000000004</v>
      </c>
      <c r="AI1952">
        <f>'raw data Crude oil'!AI1953</f>
        <v>77.301000000000002</v>
      </c>
      <c r="AJ1952">
        <f>'raw data Crude oil'!AJ1953</f>
        <v>76.991</v>
      </c>
      <c r="AK1952">
        <f>'raw data Crude oil'!AK1953</f>
        <v>76.680999999999997</v>
      </c>
    </row>
    <row r="1953" spans="1:37" x14ac:dyDescent="0.3">
      <c r="A1953" s="18">
        <f>'raw data Crude oil'!A1954</f>
        <v>45496</v>
      </c>
      <c r="B1953">
        <f>'raw data Crude oil'!B1954</f>
        <v>81.010000000000005</v>
      </c>
      <c r="C1953">
        <f>'raw data Crude oil'!C1954</f>
        <v>80.069999999999993</v>
      </c>
      <c r="D1953">
        <f>'raw data Crude oil'!D1954</f>
        <v>79.31</v>
      </c>
      <c r="E1953">
        <f>'raw data Crude oil'!E1954</f>
        <v>78.73</v>
      </c>
      <c r="F1953">
        <f>'raw data Crude oil'!F1954</f>
        <v>78.260000000000005</v>
      </c>
      <c r="G1953">
        <f>'raw data Crude oil'!G1954</f>
        <v>77.86</v>
      </c>
      <c r="H1953">
        <f>'raw data Crude oil'!H1954</f>
        <v>77.5</v>
      </c>
      <c r="I1953">
        <f>'raw data Crude oil'!I1954</f>
        <v>77.17</v>
      </c>
      <c r="J1953">
        <f>'raw data Crude oil'!J1954</f>
        <v>76.86</v>
      </c>
      <c r="K1953">
        <f>'raw data Crude oil'!K1954</f>
        <v>76.55</v>
      </c>
      <c r="L1953">
        <f>'raw data Crude oil'!L1954</f>
        <v>76.25</v>
      </c>
      <c r="M1953">
        <f>'raw data Crude oil'!M1954</f>
        <v>75.95</v>
      </c>
      <c r="N1953">
        <f>'raw data Crude oil'!N1954</f>
        <v>76.959999999999994</v>
      </c>
      <c r="O1953">
        <f>'raw data Crude oil'!O1954</f>
        <v>75.92</v>
      </c>
      <c r="P1953">
        <f>'raw data Crude oil'!P1954</f>
        <v>75.099999999999994</v>
      </c>
      <c r="Q1953">
        <f>'raw data Crude oil'!Q1954</f>
        <v>74.41</v>
      </c>
      <c r="R1953">
        <f>'raw data Crude oil'!R1954</f>
        <v>73.849999999999994</v>
      </c>
      <c r="S1953">
        <f>'raw data Crude oil'!S1954</f>
        <v>73.39</v>
      </c>
      <c r="T1953">
        <f>'raw data Crude oil'!T1954</f>
        <v>72.98</v>
      </c>
      <c r="U1953">
        <f>'raw data Crude oil'!U1954</f>
        <v>72.599999999999994</v>
      </c>
      <c r="V1953">
        <f>'raw data Crude oil'!V1954</f>
        <v>72.239999999999995</v>
      </c>
      <c r="W1953">
        <f>'raw data Crude oil'!W1954</f>
        <v>71.89</v>
      </c>
      <c r="X1953">
        <f>'raw data Crude oil'!X1954</f>
        <v>71.53</v>
      </c>
      <c r="Y1953">
        <f>'raw data Crude oil'!Y1954</f>
        <v>71.19</v>
      </c>
      <c r="Z1953">
        <f>'raw data Crude oil'!Z1954</f>
        <v>83.798000000000002</v>
      </c>
      <c r="AA1953">
        <f>'raw data Crude oil'!AA1954</f>
        <v>79.185000000000002</v>
      </c>
      <c r="AB1953">
        <f>'raw data Crude oil'!AB1954</f>
        <v>78.685000000000002</v>
      </c>
      <c r="AC1953">
        <f>'raw data Crude oil'!AC1954</f>
        <v>78.129000000000005</v>
      </c>
      <c r="AD1953">
        <f>'raw data Crude oil'!AD1954</f>
        <v>77.608999999999995</v>
      </c>
      <c r="AE1953">
        <f>'raw data Crude oil'!AE1954</f>
        <v>77.159000000000006</v>
      </c>
      <c r="AF1953">
        <f>'raw data Crude oil'!AF1954</f>
        <v>76.784999999999997</v>
      </c>
      <c r="AG1953">
        <f>'raw data Crude oil'!AG1954</f>
        <v>76.504999999999995</v>
      </c>
      <c r="AH1953">
        <f>'raw data Crude oil'!AH1954</f>
        <v>76.234999999999999</v>
      </c>
      <c r="AI1953">
        <f>'raw data Crude oil'!AI1954</f>
        <v>75.936000000000007</v>
      </c>
      <c r="AJ1953">
        <f>'raw data Crude oil'!AJ1954</f>
        <v>75.635999999999996</v>
      </c>
      <c r="AK1953">
        <f>'raw data Crude oil'!AK1954</f>
        <v>75.335999999999999</v>
      </c>
    </row>
    <row r="1954" spans="1:37" x14ac:dyDescent="0.3">
      <c r="A1954" s="18">
        <f>'raw data Crude oil'!A1955</f>
        <v>45497</v>
      </c>
      <c r="B1954">
        <f>'raw data Crude oil'!B1955</f>
        <v>81.709999999999994</v>
      </c>
      <c r="C1954">
        <f>'raw data Crude oil'!C1955</f>
        <v>80.819999999999993</v>
      </c>
      <c r="D1954">
        <f>'raw data Crude oil'!D1955</f>
        <v>80.09</v>
      </c>
      <c r="E1954">
        <f>'raw data Crude oil'!E1955</f>
        <v>79.510000000000005</v>
      </c>
      <c r="F1954">
        <f>'raw data Crude oil'!F1955</f>
        <v>79.03</v>
      </c>
      <c r="G1954">
        <f>'raw data Crude oil'!G1955</f>
        <v>78.63</v>
      </c>
      <c r="H1954">
        <f>'raw data Crude oil'!H1955</f>
        <v>78.27</v>
      </c>
      <c r="I1954">
        <f>'raw data Crude oil'!I1955</f>
        <v>77.94</v>
      </c>
      <c r="J1954">
        <f>'raw data Crude oil'!J1955</f>
        <v>77.62</v>
      </c>
      <c r="K1954">
        <f>'raw data Crude oil'!K1955</f>
        <v>77.3</v>
      </c>
      <c r="L1954">
        <f>'raw data Crude oil'!L1955</f>
        <v>76.989999999999995</v>
      </c>
      <c r="M1954">
        <f>'raw data Crude oil'!M1955</f>
        <v>76.680000000000007</v>
      </c>
      <c r="N1954">
        <f>'raw data Crude oil'!N1955</f>
        <v>77.59</v>
      </c>
      <c r="O1954">
        <f>'raw data Crude oil'!O1955</f>
        <v>76.58</v>
      </c>
      <c r="P1954">
        <f>'raw data Crude oil'!P1955</f>
        <v>75.790000000000006</v>
      </c>
      <c r="Q1954">
        <f>'raw data Crude oil'!Q1955</f>
        <v>75.12</v>
      </c>
      <c r="R1954">
        <f>'raw data Crude oil'!R1955</f>
        <v>74.56</v>
      </c>
      <c r="S1954">
        <f>'raw data Crude oil'!S1955</f>
        <v>74.09</v>
      </c>
      <c r="T1954">
        <f>'raw data Crude oil'!T1955</f>
        <v>73.680000000000007</v>
      </c>
      <c r="U1954">
        <f>'raw data Crude oil'!U1955</f>
        <v>73.290000000000006</v>
      </c>
      <c r="V1954">
        <f>'raw data Crude oil'!V1955</f>
        <v>72.930000000000007</v>
      </c>
      <c r="W1954">
        <f>'raw data Crude oil'!W1955</f>
        <v>72.58</v>
      </c>
      <c r="X1954">
        <f>'raw data Crude oil'!X1955</f>
        <v>72.19</v>
      </c>
      <c r="Y1954">
        <f>'raw data Crude oil'!Y1955</f>
        <v>71.849999999999994</v>
      </c>
      <c r="Z1954">
        <f>'raw data Crude oil'!Z1955</f>
        <v>83.994</v>
      </c>
      <c r="AA1954">
        <f>'raw data Crude oil'!AA1955</f>
        <v>79.966999999999999</v>
      </c>
      <c r="AB1954">
        <f>'raw data Crude oil'!AB1955</f>
        <v>79.531999999999996</v>
      </c>
      <c r="AC1954">
        <f>'raw data Crude oil'!AC1955</f>
        <v>78.951999999999998</v>
      </c>
      <c r="AD1954">
        <f>'raw data Crude oil'!AD1955</f>
        <v>78.417000000000002</v>
      </c>
      <c r="AE1954">
        <f>'raw data Crude oil'!AE1955</f>
        <v>77.957999999999998</v>
      </c>
      <c r="AF1954">
        <f>'raw data Crude oil'!AF1955</f>
        <v>77.584999999999994</v>
      </c>
      <c r="AG1954">
        <f>'raw data Crude oil'!AG1955</f>
        <v>77.278999999999996</v>
      </c>
      <c r="AH1954">
        <f>'raw data Crude oil'!AH1955</f>
        <v>76.989999999999995</v>
      </c>
      <c r="AI1954">
        <f>'raw data Crude oil'!AI1955</f>
        <v>76.694999999999993</v>
      </c>
      <c r="AJ1954">
        <f>'raw data Crude oil'!AJ1955</f>
        <v>76.396000000000001</v>
      </c>
      <c r="AK1954">
        <f>'raw data Crude oil'!AK1955</f>
        <v>76.094999999999999</v>
      </c>
    </row>
    <row r="1955" spans="1:37" x14ac:dyDescent="0.3">
      <c r="A1955" s="18">
        <f>'raw data Crude oil'!A1956</f>
        <v>45498</v>
      </c>
      <c r="B1955">
        <f>'raw data Crude oil'!B1956</f>
        <v>82.37</v>
      </c>
      <c r="C1955">
        <f>'raw data Crude oil'!C1956</f>
        <v>81.39</v>
      </c>
      <c r="D1955">
        <f>'raw data Crude oil'!D1956</f>
        <v>80.58</v>
      </c>
      <c r="E1955">
        <f>'raw data Crude oil'!E1956</f>
        <v>79.95</v>
      </c>
      <c r="F1955">
        <f>'raw data Crude oil'!F1956</f>
        <v>79.44</v>
      </c>
      <c r="G1955">
        <f>'raw data Crude oil'!G1956</f>
        <v>79.02</v>
      </c>
      <c r="H1955">
        <f>'raw data Crude oil'!H1956</f>
        <v>78.650000000000006</v>
      </c>
      <c r="I1955">
        <f>'raw data Crude oil'!I1956</f>
        <v>78.31</v>
      </c>
      <c r="J1955">
        <f>'raw data Crude oil'!J1956</f>
        <v>77.98</v>
      </c>
      <c r="K1955">
        <f>'raw data Crude oil'!K1956</f>
        <v>77.650000000000006</v>
      </c>
      <c r="L1955">
        <f>'raw data Crude oil'!L1956</f>
        <v>77.34</v>
      </c>
      <c r="M1955">
        <f>'raw data Crude oil'!M1956</f>
        <v>77.03</v>
      </c>
      <c r="N1955">
        <f>'raw data Crude oil'!N1956</f>
        <v>78.28</v>
      </c>
      <c r="O1955">
        <f>'raw data Crude oil'!O1956</f>
        <v>77.11</v>
      </c>
      <c r="P1955">
        <f>'raw data Crude oil'!P1956</f>
        <v>76.22</v>
      </c>
      <c r="Q1955">
        <f>'raw data Crude oil'!Q1956</f>
        <v>75.510000000000005</v>
      </c>
      <c r="R1955">
        <f>'raw data Crude oil'!R1956</f>
        <v>74.930000000000007</v>
      </c>
      <c r="S1955">
        <f>'raw data Crude oil'!S1956</f>
        <v>74.430000000000007</v>
      </c>
      <c r="T1955">
        <f>'raw data Crude oil'!T1956</f>
        <v>74</v>
      </c>
      <c r="U1955">
        <f>'raw data Crude oil'!U1956</f>
        <v>73.61</v>
      </c>
      <c r="V1955">
        <f>'raw data Crude oil'!V1956</f>
        <v>73.239999999999995</v>
      </c>
      <c r="W1955">
        <f>'raw data Crude oil'!W1956</f>
        <v>72.89</v>
      </c>
      <c r="X1955">
        <f>'raw data Crude oil'!X1956</f>
        <v>72.540000000000006</v>
      </c>
      <c r="Y1955">
        <f>'raw data Crude oil'!Y1956</f>
        <v>72.16</v>
      </c>
      <c r="Z1955">
        <f>'raw data Crude oil'!Z1956</f>
        <v>84.088999999999999</v>
      </c>
      <c r="AA1955">
        <f>'raw data Crude oil'!AA1956</f>
        <v>80.552999999999997</v>
      </c>
      <c r="AB1955">
        <f>'raw data Crude oil'!AB1956</f>
        <v>80.125</v>
      </c>
      <c r="AC1955">
        <f>'raw data Crude oil'!AC1956</f>
        <v>79.525999999999996</v>
      </c>
      <c r="AD1955">
        <f>'raw data Crude oil'!AD1956</f>
        <v>78.959999999999994</v>
      </c>
      <c r="AE1955">
        <f>'raw data Crude oil'!AE1956</f>
        <v>78.474999999999994</v>
      </c>
      <c r="AF1955">
        <f>'raw data Crude oil'!AF1956</f>
        <v>78.055000000000007</v>
      </c>
      <c r="AG1955">
        <f>'raw data Crude oil'!AG1956</f>
        <v>77.724000000000004</v>
      </c>
      <c r="AH1955">
        <f>'raw data Crude oil'!AH1956</f>
        <v>77.403999999999996</v>
      </c>
      <c r="AI1955">
        <f>'raw data Crude oil'!AI1956</f>
        <v>77.084999999999994</v>
      </c>
      <c r="AJ1955">
        <f>'raw data Crude oil'!AJ1956</f>
        <v>76.766000000000005</v>
      </c>
      <c r="AK1955">
        <f>'raw data Crude oil'!AK1956</f>
        <v>76.444999999999993</v>
      </c>
    </row>
    <row r="1956" spans="1:37" x14ac:dyDescent="0.3">
      <c r="A1956" s="18">
        <f>'raw data Crude oil'!A1957</f>
        <v>45499</v>
      </c>
      <c r="B1956">
        <f>'raw data Crude oil'!B1957</f>
        <v>81.13</v>
      </c>
      <c r="C1956">
        <f>'raw data Crude oil'!C1957</f>
        <v>80.28</v>
      </c>
      <c r="D1956">
        <f>'raw data Crude oil'!D1957</f>
        <v>79.56</v>
      </c>
      <c r="E1956">
        <f>'raw data Crude oil'!E1957</f>
        <v>78.98</v>
      </c>
      <c r="F1956">
        <f>'raw data Crude oil'!F1957</f>
        <v>78.510000000000005</v>
      </c>
      <c r="G1956">
        <f>'raw data Crude oil'!G1957</f>
        <v>78.14</v>
      </c>
      <c r="H1956">
        <f>'raw data Crude oil'!H1957</f>
        <v>77.819999999999993</v>
      </c>
      <c r="I1956">
        <f>'raw data Crude oil'!I1957</f>
        <v>77.510000000000005</v>
      </c>
      <c r="J1956">
        <f>'raw data Crude oil'!J1957</f>
        <v>77.2</v>
      </c>
      <c r="K1956">
        <f>'raw data Crude oil'!K1957</f>
        <v>76.900000000000006</v>
      </c>
      <c r="L1956">
        <f>'raw data Crude oil'!L1957</f>
        <v>76.61</v>
      </c>
      <c r="M1956">
        <f>'raw data Crude oil'!M1957</f>
        <v>76.319999999999993</v>
      </c>
      <c r="N1956">
        <f>'raw data Crude oil'!N1957</f>
        <v>77.16</v>
      </c>
      <c r="O1956">
        <f>'raw data Crude oil'!O1957</f>
        <v>76</v>
      </c>
      <c r="P1956">
        <f>'raw data Crude oil'!P1957</f>
        <v>75.2</v>
      </c>
      <c r="Q1956">
        <f>'raw data Crude oil'!Q1957</f>
        <v>74.569999999999993</v>
      </c>
      <c r="R1956">
        <f>'raw data Crude oil'!R1957</f>
        <v>74.06</v>
      </c>
      <c r="S1956">
        <f>'raw data Crude oil'!S1957</f>
        <v>73.64</v>
      </c>
      <c r="T1956">
        <f>'raw data Crude oil'!T1957</f>
        <v>73.260000000000005</v>
      </c>
      <c r="U1956">
        <f>'raw data Crude oil'!U1957</f>
        <v>72.900000000000006</v>
      </c>
      <c r="V1956">
        <f>'raw data Crude oil'!V1957</f>
        <v>72.56</v>
      </c>
      <c r="W1956">
        <f>'raw data Crude oil'!W1957</f>
        <v>72.22</v>
      </c>
      <c r="X1956">
        <f>'raw data Crude oil'!X1957</f>
        <v>71.87</v>
      </c>
      <c r="Y1956">
        <f>'raw data Crude oil'!Y1957</f>
        <v>71.540000000000006</v>
      </c>
      <c r="Z1956">
        <f>'raw data Crude oil'!Z1957</f>
        <v>83.912000000000006</v>
      </c>
      <c r="AA1956">
        <f>'raw data Crude oil'!AA1957</f>
        <v>79.216999999999999</v>
      </c>
      <c r="AB1956">
        <f>'raw data Crude oil'!AB1957</f>
        <v>79.001999999999995</v>
      </c>
      <c r="AC1956">
        <f>'raw data Crude oil'!AC1957</f>
        <v>78.441999999999993</v>
      </c>
      <c r="AD1956">
        <f>'raw data Crude oil'!AD1957</f>
        <v>77.930000000000007</v>
      </c>
      <c r="AE1956">
        <f>'raw data Crude oil'!AE1957</f>
        <v>77.477999999999994</v>
      </c>
      <c r="AF1956">
        <f>'raw data Crude oil'!AF1957</f>
        <v>77.126000000000005</v>
      </c>
      <c r="AG1956">
        <f>'raw data Crude oil'!AG1957</f>
        <v>76.834999999999994</v>
      </c>
      <c r="AH1956">
        <f>'raw data Crude oil'!AH1957</f>
        <v>76.546000000000006</v>
      </c>
      <c r="AI1956">
        <f>'raw data Crude oil'!AI1957</f>
        <v>76.266000000000005</v>
      </c>
      <c r="AJ1956">
        <f>'raw data Crude oil'!AJ1957</f>
        <v>75.986999999999995</v>
      </c>
      <c r="AK1956">
        <f>'raw data Crude oil'!AK1957</f>
        <v>75.704999999999998</v>
      </c>
    </row>
    <row r="1957" spans="1:37" x14ac:dyDescent="0.3">
      <c r="A1957" s="18">
        <f>'raw data Crude oil'!A1958</f>
        <v>45502</v>
      </c>
      <c r="B1957">
        <f>'raw data Crude oil'!B1958</f>
        <v>79.78</v>
      </c>
      <c r="C1957">
        <f>'raw data Crude oil'!C1958</f>
        <v>79.05</v>
      </c>
      <c r="D1957">
        <f>'raw data Crude oil'!D1958</f>
        <v>78.42</v>
      </c>
      <c r="E1957">
        <f>'raw data Crude oil'!E1958</f>
        <v>77.92</v>
      </c>
      <c r="F1957">
        <f>'raw data Crude oil'!F1958</f>
        <v>77.52</v>
      </c>
      <c r="G1957">
        <f>'raw data Crude oil'!G1958</f>
        <v>77.2</v>
      </c>
      <c r="H1957">
        <f>'raw data Crude oil'!H1958</f>
        <v>76.92</v>
      </c>
      <c r="I1957">
        <f>'raw data Crude oil'!I1958</f>
        <v>76.650000000000006</v>
      </c>
      <c r="J1957">
        <f>'raw data Crude oil'!J1958</f>
        <v>76.38</v>
      </c>
      <c r="K1957">
        <f>'raw data Crude oil'!K1958</f>
        <v>76.11</v>
      </c>
      <c r="L1957">
        <f>'raw data Crude oil'!L1958</f>
        <v>75.849999999999994</v>
      </c>
      <c r="M1957">
        <f>'raw data Crude oil'!M1958</f>
        <v>75.59</v>
      </c>
      <c r="N1957">
        <f>'raw data Crude oil'!N1958</f>
        <v>75.81</v>
      </c>
      <c r="O1957">
        <f>'raw data Crude oil'!O1958</f>
        <v>74.8</v>
      </c>
      <c r="P1957">
        <f>'raw data Crude oil'!P1958</f>
        <v>74.11</v>
      </c>
      <c r="Q1957">
        <f>'raw data Crude oil'!Q1958</f>
        <v>73.56</v>
      </c>
      <c r="R1957">
        <f>'raw data Crude oil'!R1958</f>
        <v>73.13</v>
      </c>
      <c r="S1957">
        <f>'raw data Crude oil'!S1958</f>
        <v>72.75</v>
      </c>
      <c r="T1957">
        <f>'raw data Crude oil'!T1958</f>
        <v>72.42</v>
      </c>
      <c r="U1957">
        <f>'raw data Crude oil'!U1958</f>
        <v>72.099999999999994</v>
      </c>
      <c r="V1957">
        <f>'raw data Crude oil'!V1958</f>
        <v>71.8</v>
      </c>
      <c r="W1957">
        <f>'raw data Crude oil'!W1958</f>
        <v>71.489999999999995</v>
      </c>
      <c r="X1957">
        <f>'raw data Crude oil'!X1958</f>
        <v>71.180000000000007</v>
      </c>
      <c r="Y1957">
        <f>'raw data Crude oil'!Y1958</f>
        <v>70.88</v>
      </c>
      <c r="Z1957">
        <f>'raw data Crude oil'!Z1958</f>
        <v>83.796999999999997</v>
      </c>
      <c r="AA1957">
        <f>'raw data Crude oil'!AA1958</f>
        <v>78.021000000000001</v>
      </c>
      <c r="AB1957">
        <f>'raw data Crude oil'!AB1958</f>
        <v>77.796000000000006</v>
      </c>
      <c r="AC1957">
        <f>'raw data Crude oil'!AC1958</f>
        <v>77.293000000000006</v>
      </c>
      <c r="AD1957">
        <f>'raw data Crude oil'!AD1958</f>
        <v>76.84</v>
      </c>
      <c r="AE1957">
        <f>'raw data Crude oil'!AE1958</f>
        <v>76.438000000000002</v>
      </c>
      <c r="AF1957">
        <f>'raw data Crude oil'!AF1958</f>
        <v>76.123000000000005</v>
      </c>
      <c r="AG1957">
        <f>'raw data Crude oil'!AG1958</f>
        <v>75.876999999999995</v>
      </c>
      <c r="AH1957">
        <f>'raw data Crude oil'!AH1958</f>
        <v>75.647000000000006</v>
      </c>
      <c r="AI1957">
        <f>'raw data Crude oil'!AI1958</f>
        <v>75.397999999999996</v>
      </c>
      <c r="AJ1957">
        <f>'raw data Crude oil'!AJ1958</f>
        <v>75.168000000000006</v>
      </c>
      <c r="AK1957">
        <f>'raw data Crude oil'!AK1958</f>
        <v>74.927000000000007</v>
      </c>
    </row>
    <row r="1958" spans="1:37" x14ac:dyDescent="0.3">
      <c r="A1958" s="18">
        <f>'raw data Crude oil'!A1959</f>
        <v>45503</v>
      </c>
      <c r="B1958">
        <f>'raw data Crude oil'!B1959</f>
        <v>78.63</v>
      </c>
      <c r="C1958">
        <f>'raw data Crude oil'!C1959</f>
        <v>78.069999999999993</v>
      </c>
      <c r="D1958">
        <f>'raw data Crude oil'!D1959</f>
        <v>77.56</v>
      </c>
      <c r="E1958">
        <f>'raw data Crude oil'!E1959</f>
        <v>77.13</v>
      </c>
      <c r="F1958">
        <f>'raw data Crude oil'!F1959</f>
        <v>76.790000000000006</v>
      </c>
      <c r="G1958">
        <f>'raw data Crude oil'!G1959</f>
        <v>76.5</v>
      </c>
      <c r="H1958">
        <f>'raw data Crude oil'!H1959</f>
        <v>76.239999999999995</v>
      </c>
      <c r="I1958">
        <f>'raw data Crude oil'!I1959</f>
        <v>75.989999999999995</v>
      </c>
      <c r="J1958">
        <f>'raw data Crude oil'!J1959</f>
        <v>75.739999999999995</v>
      </c>
      <c r="K1958">
        <f>'raw data Crude oil'!K1959</f>
        <v>75.5</v>
      </c>
      <c r="L1958">
        <f>'raw data Crude oil'!L1959</f>
        <v>75.260000000000005</v>
      </c>
      <c r="M1958">
        <f>'raw data Crude oil'!M1959</f>
        <v>75.02</v>
      </c>
      <c r="N1958">
        <f>'raw data Crude oil'!N1959</f>
        <v>74.73</v>
      </c>
      <c r="O1958">
        <f>'raw data Crude oil'!O1959</f>
        <v>73.88</v>
      </c>
      <c r="P1958">
        <f>'raw data Crude oil'!P1959</f>
        <v>73.260000000000005</v>
      </c>
      <c r="Q1958">
        <f>'raw data Crude oil'!Q1959</f>
        <v>72.77</v>
      </c>
      <c r="R1958">
        <f>'raw data Crude oil'!R1959</f>
        <v>72.36</v>
      </c>
      <c r="S1958">
        <f>'raw data Crude oil'!S1959</f>
        <v>72.02</v>
      </c>
      <c r="T1958">
        <f>'raw data Crude oil'!T1959</f>
        <v>71.709999999999994</v>
      </c>
      <c r="U1958">
        <f>'raw data Crude oil'!U1959</f>
        <v>71.430000000000007</v>
      </c>
      <c r="V1958">
        <f>'raw data Crude oil'!V1959</f>
        <v>71.16</v>
      </c>
      <c r="W1958">
        <f>'raw data Crude oil'!W1959</f>
        <v>70.900000000000006</v>
      </c>
      <c r="X1958">
        <f>'raw data Crude oil'!X1959</f>
        <v>70.61</v>
      </c>
      <c r="Y1958">
        <f>'raw data Crude oil'!Y1959</f>
        <v>70.33</v>
      </c>
      <c r="Z1958">
        <f>'raw data Crude oil'!Z1959</f>
        <v>83.766999999999996</v>
      </c>
      <c r="AA1958">
        <f>'raw data Crude oil'!AA1959</f>
        <v>77.247</v>
      </c>
      <c r="AB1958">
        <f>'raw data Crude oil'!AB1959</f>
        <v>77.061000000000007</v>
      </c>
      <c r="AC1958">
        <f>'raw data Crude oil'!AC1959</f>
        <v>76.564999999999998</v>
      </c>
      <c r="AD1958">
        <f>'raw data Crude oil'!AD1959</f>
        <v>76.156000000000006</v>
      </c>
      <c r="AE1958">
        <f>'raw data Crude oil'!AE1959</f>
        <v>75.784999999999997</v>
      </c>
      <c r="AF1958">
        <f>'raw data Crude oil'!AF1959</f>
        <v>75.486000000000004</v>
      </c>
      <c r="AG1958">
        <f>'raw data Crude oil'!AG1959</f>
        <v>75.263000000000005</v>
      </c>
      <c r="AH1958">
        <f>'raw data Crude oil'!AH1959</f>
        <v>75.040999999999997</v>
      </c>
      <c r="AI1958">
        <f>'raw data Crude oil'!AI1959</f>
        <v>74.819000000000003</v>
      </c>
      <c r="AJ1958">
        <f>'raw data Crude oil'!AJ1959</f>
        <v>74.588999999999999</v>
      </c>
      <c r="AK1958">
        <f>'raw data Crude oil'!AK1959</f>
        <v>74.358999999999995</v>
      </c>
    </row>
    <row r="1959" spans="1:37" x14ac:dyDescent="0.3">
      <c r="A1959" s="18">
        <f>'raw data Crude oil'!A1960</f>
        <v>45504</v>
      </c>
      <c r="B1959">
        <f>'raw data Crude oil'!B1960</f>
        <v>80.72</v>
      </c>
      <c r="C1959">
        <f>'raw data Crude oil'!C1960</f>
        <v>80.84</v>
      </c>
      <c r="D1959">
        <f>'raw data Crude oil'!D1960</f>
        <v>80.23</v>
      </c>
      <c r="E1959">
        <f>'raw data Crude oil'!E1960</f>
        <v>79.709999999999994</v>
      </c>
      <c r="F1959">
        <f>'raw data Crude oil'!F1960</f>
        <v>79.290000000000006</v>
      </c>
      <c r="G1959">
        <f>'raw data Crude oil'!G1960</f>
        <v>78.91</v>
      </c>
      <c r="H1959">
        <f>'raw data Crude oil'!H1960</f>
        <v>78.569999999999993</v>
      </c>
      <c r="I1959">
        <f>'raw data Crude oil'!I1960</f>
        <v>78.239999999999995</v>
      </c>
      <c r="J1959">
        <f>'raw data Crude oil'!J1960</f>
        <v>77.92</v>
      </c>
      <c r="K1959">
        <f>'raw data Crude oil'!K1960</f>
        <v>77.599999999999994</v>
      </c>
      <c r="L1959">
        <f>'raw data Crude oil'!L1960</f>
        <v>77.290000000000006</v>
      </c>
      <c r="M1959">
        <f>'raw data Crude oil'!M1960</f>
        <v>76.989999999999995</v>
      </c>
      <c r="N1959">
        <f>'raw data Crude oil'!N1960</f>
        <v>77.91</v>
      </c>
      <c r="O1959">
        <f>'raw data Crude oil'!O1960</f>
        <v>76.84</v>
      </c>
      <c r="P1959">
        <f>'raw data Crude oil'!P1960</f>
        <v>76.05</v>
      </c>
      <c r="Q1959">
        <f>'raw data Crude oil'!Q1960</f>
        <v>75.42</v>
      </c>
      <c r="R1959">
        <f>'raw data Crude oil'!R1960</f>
        <v>74.900000000000006</v>
      </c>
      <c r="S1959">
        <f>'raw data Crude oil'!S1960</f>
        <v>74.45</v>
      </c>
      <c r="T1959">
        <f>'raw data Crude oil'!T1960</f>
        <v>74.06</v>
      </c>
      <c r="U1959">
        <f>'raw data Crude oil'!U1960</f>
        <v>73.69</v>
      </c>
      <c r="V1959">
        <f>'raw data Crude oil'!V1960</f>
        <v>73.33</v>
      </c>
      <c r="W1959">
        <f>'raw data Crude oil'!W1960</f>
        <v>72.98</v>
      </c>
      <c r="X1959">
        <f>'raw data Crude oil'!X1960</f>
        <v>72.62</v>
      </c>
      <c r="Y1959">
        <f>'raw data Crude oil'!Y1960</f>
        <v>72.27</v>
      </c>
      <c r="Z1959">
        <f>'raw data Crude oil'!Z1960</f>
        <v>83.83</v>
      </c>
      <c r="AA1959">
        <f>'raw data Crude oil'!AA1960</f>
        <v>79.951999999999998</v>
      </c>
      <c r="AB1959">
        <f>'raw data Crude oil'!AB1960</f>
        <v>79.724999999999994</v>
      </c>
      <c r="AC1959">
        <f>'raw data Crude oil'!AC1960</f>
        <v>79.167000000000002</v>
      </c>
      <c r="AD1959">
        <f>'raw data Crude oil'!AD1960</f>
        <v>78.688000000000002</v>
      </c>
      <c r="AE1959">
        <f>'raw data Crude oil'!AE1960</f>
        <v>78.257999999999996</v>
      </c>
      <c r="AF1959">
        <f>'raw data Crude oil'!AF1960</f>
        <v>77.900000000000006</v>
      </c>
      <c r="AG1959">
        <f>'raw data Crude oil'!AG1960</f>
        <v>77.596999999999994</v>
      </c>
      <c r="AH1959">
        <f>'raw data Crude oil'!AH1960</f>
        <v>77.295000000000002</v>
      </c>
      <c r="AI1959">
        <f>'raw data Crude oil'!AI1960</f>
        <v>76.995000000000005</v>
      </c>
      <c r="AJ1959">
        <f>'raw data Crude oil'!AJ1960</f>
        <v>76.686000000000007</v>
      </c>
      <c r="AK1959">
        <f>'raw data Crude oil'!AK1960</f>
        <v>76.375</v>
      </c>
    </row>
    <row r="1960" spans="1:37" x14ac:dyDescent="0.3">
      <c r="A1960" s="18">
        <f>'raw data Crude oil'!A1961</f>
        <v>45505</v>
      </c>
      <c r="B1960">
        <f>'raw data Crude oil'!B1961</f>
        <v>79.52</v>
      </c>
      <c r="C1960">
        <f>'raw data Crude oil'!C1961</f>
        <v>78.95</v>
      </c>
      <c r="D1960">
        <f>'raw data Crude oil'!D1961</f>
        <v>78.47</v>
      </c>
      <c r="E1960">
        <f>'raw data Crude oil'!E1961</f>
        <v>78.08</v>
      </c>
      <c r="F1960">
        <f>'raw data Crude oil'!F1961</f>
        <v>77.75</v>
      </c>
      <c r="G1960">
        <f>'raw data Crude oil'!G1961</f>
        <v>77.459999999999994</v>
      </c>
      <c r="H1960">
        <f>'raw data Crude oil'!H1961</f>
        <v>77.180000000000007</v>
      </c>
      <c r="I1960">
        <f>'raw data Crude oil'!I1961</f>
        <v>76.900000000000006</v>
      </c>
      <c r="J1960">
        <f>'raw data Crude oil'!J1961</f>
        <v>76.61</v>
      </c>
      <c r="K1960">
        <f>'raw data Crude oil'!K1961</f>
        <v>76.33</v>
      </c>
      <c r="L1960">
        <f>'raw data Crude oil'!L1961</f>
        <v>76.040000000000006</v>
      </c>
      <c r="M1960">
        <f>'raw data Crude oil'!M1961</f>
        <v>75.75</v>
      </c>
      <c r="N1960">
        <f>'raw data Crude oil'!N1961</f>
        <v>76.31</v>
      </c>
      <c r="O1960">
        <f>'raw data Crude oil'!O1961</f>
        <v>75.400000000000006</v>
      </c>
      <c r="P1960">
        <f>'raw data Crude oil'!P1961</f>
        <v>74.72</v>
      </c>
      <c r="Q1960">
        <f>'raw data Crude oil'!Q1961</f>
        <v>74.14</v>
      </c>
      <c r="R1960">
        <f>'raw data Crude oil'!R1961</f>
        <v>73.69</v>
      </c>
      <c r="S1960">
        <f>'raw data Crude oil'!S1961</f>
        <v>73.319999999999993</v>
      </c>
      <c r="T1960">
        <f>'raw data Crude oil'!T1961</f>
        <v>72.98</v>
      </c>
      <c r="U1960">
        <f>'raw data Crude oil'!U1961</f>
        <v>72.66</v>
      </c>
      <c r="V1960">
        <f>'raw data Crude oil'!V1961</f>
        <v>72.34</v>
      </c>
      <c r="W1960">
        <f>'raw data Crude oil'!W1961</f>
        <v>72.02</v>
      </c>
      <c r="X1960">
        <f>'raw data Crude oil'!X1961</f>
        <v>71.69</v>
      </c>
      <c r="Y1960">
        <f>'raw data Crude oil'!Y1961</f>
        <v>71.38</v>
      </c>
      <c r="Z1960">
        <f>'raw data Crude oil'!Z1961</f>
        <v>83.83</v>
      </c>
      <c r="AA1960">
        <f>'raw data Crude oil'!AA1961</f>
        <v>78.676000000000002</v>
      </c>
      <c r="AB1960">
        <f>'raw data Crude oil'!AB1961</f>
        <v>78.453000000000003</v>
      </c>
      <c r="AC1960">
        <f>'raw data Crude oil'!AC1961</f>
        <v>77.852999999999994</v>
      </c>
      <c r="AD1960">
        <f>'raw data Crude oil'!AD1961</f>
        <v>77.403000000000006</v>
      </c>
      <c r="AE1960">
        <f>'raw data Crude oil'!AE1961</f>
        <v>77.001999999999995</v>
      </c>
      <c r="AF1960">
        <f>'raw data Crude oil'!AF1961</f>
        <v>76.686999999999998</v>
      </c>
      <c r="AG1960">
        <f>'raw data Crude oil'!AG1961</f>
        <v>76.450999999999993</v>
      </c>
      <c r="AH1960">
        <f>'raw data Crude oil'!AH1961</f>
        <v>76.22</v>
      </c>
      <c r="AI1960">
        <f>'raw data Crude oil'!AI1961</f>
        <v>75.956999999999994</v>
      </c>
      <c r="AJ1960">
        <f>'raw data Crude oil'!AJ1961</f>
        <v>75.697000000000003</v>
      </c>
      <c r="AK1960">
        <f>'raw data Crude oil'!AK1961</f>
        <v>75.426000000000002</v>
      </c>
    </row>
    <row r="1961" spans="1:37" x14ac:dyDescent="0.3">
      <c r="A1961" s="18">
        <f>'raw data Crude oil'!A1962</f>
        <v>45506</v>
      </c>
      <c r="B1961">
        <f>'raw data Crude oil'!B1962</f>
        <v>76.81</v>
      </c>
      <c r="C1961">
        <f>'raw data Crude oil'!C1962</f>
        <v>76.27</v>
      </c>
      <c r="D1961">
        <f>'raw data Crude oil'!D1962</f>
        <v>75.81</v>
      </c>
      <c r="E1961">
        <f>'raw data Crude oil'!E1962</f>
        <v>75.430000000000007</v>
      </c>
      <c r="F1961">
        <f>'raw data Crude oil'!F1962</f>
        <v>75.12</v>
      </c>
      <c r="G1961">
        <f>'raw data Crude oil'!G1962</f>
        <v>74.849999999999994</v>
      </c>
      <c r="H1961">
        <f>'raw data Crude oil'!H1962</f>
        <v>74.599999999999994</v>
      </c>
      <c r="I1961">
        <f>'raw data Crude oil'!I1962</f>
        <v>74.36</v>
      </c>
      <c r="J1961">
        <f>'raw data Crude oil'!J1962</f>
        <v>74.12</v>
      </c>
      <c r="K1961">
        <f>'raw data Crude oil'!K1962</f>
        <v>73.89</v>
      </c>
      <c r="L1961">
        <f>'raw data Crude oil'!L1962</f>
        <v>73.66</v>
      </c>
      <c r="M1961">
        <f>'raw data Crude oil'!M1962</f>
        <v>73.42</v>
      </c>
      <c r="N1961">
        <f>'raw data Crude oil'!N1962</f>
        <v>73.52</v>
      </c>
      <c r="O1961">
        <f>'raw data Crude oil'!O1962</f>
        <v>72.59</v>
      </c>
      <c r="P1961">
        <f>'raw data Crude oil'!P1962</f>
        <v>71.95</v>
      </c>
      <c r="Q1961">
        <f>'raw data Crude oil'!Q1962</f>
        <v>71.41</v>
      </c>
      <c r="R1961">
        <f>'raw data Crude oil'!R1962</f>
        <v>70.97</v>
      </c>
      <c r="S1961">
        <f>'raw data Crude oil'!S1962</f>
        <v>70.62</v>
      </c>
      <c r="T1961">
        <f>'raw data Crude oil'!T1962</f>
        <v>70.31</v>
      </c>
      <c r="U1961">
        <f>'raw data Crude oil'!U1962</f>
        <v>70.02</v>
      </c>
      <c r="V1961">
        <f>'raw data Crude oil'!V1962</f>
        <v>69.739999999999995</v>
      </c>
      <c r="W1961">
        <f>'raw data Crude oil'!W1962</f>
        <v>69.47</v>
      </c>
      <c r="X1961">
        <f>'raw data Crude oil'!X1962</f>
        <v>69.19</v>
      </c>
      <c r="Y1961">
        <f>'raw data Crude oil'!Y1962</f>
        <v>68.930000000000007</v>
      </c>
      <c r="Z1961">
        <f>'raw data Crude oil'!Z1962</f>
        <v>76.069999999999993</v>
      </c>
      <c r="AA1961">
        <f>'raw data Crude oil'!AA1962</f>
        <v>75.567999999999998</v>
      </c>
      <c r="AB1961">
        <f>'raw data Crude oil'!AB1962</f>
        <v>74.983000000000004</v>
      </c>
      <c r="AC1961">
        <f>'raw data Crude oil'!AC1962</f>
        <v>74.605000000000004</v>
      </c>
      <c r="AD1961">
        <f>'raw data Crude oil'!AD1962</f>
        <v>74.254000000000005</v>
      </c>
      <c r="AE1961">
        <f>'raw data Crude oil'!AE1962</f>
        <v>73.978999999999999</v>
      </c>
      <c r="AF1961">
        <f>'raw data Crude oil'!AF1962</f>
        <v>73.787999999999997</v>
      </c>
      <c r="AG1961">
        <f>'raw data Crude oil'!AG1962</f>
        <v>73.587999999999994</v>
      </c>
      <c r="AH1961">
        <f>'raw data Crude oil'!AH1962</f>
        <v>73.388999999999996</v>
      </c>
      <c r="AI1961">
        <f>'raw data Crude oil'!AI1962</f>
        <v>73.180000000000007</v>
      </c>
      <c r="AJ1961">
        <f>'raw data Crude oil'!AJ1962</f>
        <v>72.968999999999994</v>
      </c>
      <c r="AK1961">
        <f>'raw data Crude oil'!AK1962</f>
        <v>72.760000000000005</v>
      </c>
    </row>
    <row r="1962" spans="1:37" x14ac:dyDescent="0.3">
      <c r="A1962" s="18">
        <f>'raw data Crude oil'!A1963</f>
        <v>45509</v>
      </c>
      <c r="B1962">
        <f>'raw data Crude oil'!B1963</f>
        <v>76.3</v>
      </c>
      <c r="C1962">
        <f>'raw data Crude oil'!C1963</f>
        <v>75.959999999999994</v>
      </c>
      <c r="D1962">
        <f>'raw data Crude oil'!D1963</f>
        <v>75.62</v>
      </c>
      <c r="E1962">
        <f>'raw data Crude oil'!E1963</f>
        <v>75.290000000000006</v>
      </c>
      <c r="F1962">
        <f>'raw data Crude oil'!F1963</f>
        <v>75</v>
      </c>
      <c r="G1962">
        <f>'raw data Crude oil'!G1963</f>
        <v>74.760000000000005</v>
      </c>
      <c r="H1962">
        <f>'raw data Crude oil'!H1963</f>
        <v>74.53</v>
      </c>
      <c r="I1962">
        <f>'raw data Crude oil'!I1963</f>
        <v>74.3</v>
      </c>
      <c r="J1962">
        <f>'raw data Crude oil'!J1963</f>
        <v>74.08</v>
      </c>
      <c r="K1962">
        <f>'raw data Crude oil'!K1963</f>
        <v>73.86</v>
      </c>
      <c r="L1962">
        <f>'raw data Crude oil'!L1963</f>
        <v>73.650000000000006</v>
      </c>
      <c r="M1962">
        <f>'raw data Crude oil'!M1963</f>
        <v>73.42</v>
      </c>
      <c r="N1962">
        <f>'raw data Crude oil'!N1963</f>
        <v>72.94</v>
      </c>
      <c r="O1962">
        <f>'raw data Crude oil'!O1963</f>
        <v>72.2</v>
      </c>
      <c r="P1962">
        <f>'raw data Crude oil'!P1963</f>
        <v>71.66</v>
      </c>
      <c r="Q1962">
        <f>'raw data Crude oil'!Q1963</f>
        <v>71.2</v>
      </c>
      <c r="R1962">
        <f>'raw data Crude oil'!R1963</f>
        <v>70.819999999999993</v>
      </c>
      <c r="S1962">
        <f>'raw data Crude oil'!S1963</f>
        <v>70.489999999999995</v>
      </c>
      <c r="T1962">
        <f>'raw data Crude oil'!T1963</f>
        <v>70.2</v>
      </c>
      <c r="U1962">
        <f>'raw data Crude oil'!U1963</f>
        <v>69.930000000000007</v>
      </c>
      <c r="V1962">
        <f>'raw data Crude oil'!V1963</f>
        <v>69.680000000000007</v>
      </c>
      <c r="W1962">
        <f>'raw data Crude oil'!W1963</f>
        <v>69.430000000000007</v>
      </c>
      <c r="X1962">
        <f>'raw data Crude oil'!X1963</f>
        <v>69.17</v>
      </c>
      <c r="Y1962">
        <f>'raw data Crude oil'!Y1963</f>
        <v>68.930000000000007</v>
      </c>
      <c r="Z1962">
        <f>'raw data Crude oil'!Z1963</f>
        <v>75.260000000000005</v>
      </c>
      <c r="AA1962">
        <f>'raw data Crude oil'!AA1963</f>
        <v>74.858999999999995</v>
      </c>
      <c r="AB1962">
        <f>'raw data Crude oil'!AB1963</f>
        <v>74.436000000000007</v>
      </c>
      <c r="AC1962">
        <f>'raw data Crude oil'!AC1963</f>
        <v>74.135999999999996</v>
      </c>
      <c r="AD1962">
        <f>'raw data Crude oil'!AD1963</f>
        <v>73.846999999999994</v>
      </c>
      <c r="AE1962">
        <f>'raw data Crude oil'!AE1963</f>
        <v>73.64</v>
      </c>
      <c r="AF1962">
        <f>'raw data Crude oil'!AF1963</f>
        <v>73.468999999999994</v>
      </c>
      <c r="AG1962">
        <f>'raw data Crude oil'!AG1963</f>
        <v>73.295000000000002</v>
      </c>
      <c r="AH1962">
        <f>'raw data Crude oil'!AH1963</f>
        <v>73.12</v>
      </c>
      <c r="AI1962">
        <f>'raw data Crude oil'!AI1963</f>
        <v>72.930000000000007</v>
      </c>
      <c r="AJ1962">
        <f>'raw data Crude oil'!AJ1963</f>
        <v>72.759</v>
      </c>
      <c r="AK1962">
        <f>'raw data Crude oil'!AK1963</f>
        <v>72.561000000000007</v>
      </c>
    </row>
    <row r="1963" spans="1:37" x14ac:dyDescent="0.3">
      <c r="A1963" s="18">
        <f>'raw data Crude oil'!A1964</f>
        <v>45510</v>
      </c>
      <c r="B1963">
        <f>'raw data Crude oil'!B1964</f>
        <v>76.48</v>
      </c>
      <c r="C1963">
        <f>'raw data Crude oil'!C1964</f>
        <v>76.03</v>
      </c>
      <c r="D1963">
        <f>'raw data Crude oil'!D1964</f>
        <v>75.62</v>
      </c>
      <c r="E1963">
        <f>'raw data Crude oil'!E1964</f>
        <v>75.239999999999995</v>
      </c>
      <c r="F1963">
        <f>'raw data Crude oil'!F1964</f>
        <v>74.91</v>
      </c>
      <c r="G1963">
        <f>'raw data Crude oil'!G1964</f>
        <v>74.64</v>
      </c>
      <c r="H1963">
        <f>'raw data Crude oil'!H1964</f>
        <v>74.400000000000006</v>
      </c>
      <c r="I1963">
        <f>'raw data Crude oil'!I1964</f>
        <v>74.150000000000006</v>
      </c>
      <c r="J1963">
        <f>'raw data Crude oil'!J1964</f>
        <v>73.930000000000007</v>
      </c>
      <c r="K1963">
        <f>'raw data Crude oil'!K1964</f>
        <v>73.7</v>
      </c>
      <c r="L1963">
        <f>'raw data Crude oil'!L1964</f>
        <v>73.47</v>
      </c>
      <c r="M1963">
        <f>'raw data Crude oil'!M1964</f>
        <v>73.23</v>
      </c>
      <c r="N1963">
        <f>'raw data Crude oil'!N1964</f>
        <v>73.2</v>
      </c>
      <c r="O1963">
        <f>'raw data Crude oil'!O1964</f>
        <v>72.34</v>
      </c>
      <c r="P1963">
        <f>'raw data Crude oil'!P1964</f>
        <v>71.7</v>
      </c>
      <c r="Q1963">
        <f>'raw data Crude oil'!Q1964</f>
        <v>71.17</v>
      </c>
      <c r="R1963">
        <f>'raw data Crude oil'!R1964</f>
        <v>70.739999999999995</v>
      </c>
      <c r="S1963">
        <f>'raw data Crude oil'!S1964</f>
        <v>70.37</v>
      </c>
      <c r="T1963">
        <f>'raw data Crude oil'!T1964</f>
        <v>70.06</v>
      </c>
      <c r="U1963">
        <f>'raw data Crude oil'!U1964</f>
        <v>69.78</v>
      </c>
      <c r="V1963">
        <f>'raw data Crude oil'!V1964</f>
        <v>69.510000000000005</v>
      </c>
      <c r="W1963">
        <f>'raw data Crude oil'!W1964</f>
        <v>69.25</v>
      </c>
      <c r="X1963">
        <f>'raw data Crude oil'!X1964</f>
        <v>68.98</v>
      </c>
      <c r="Y1963">
        <f>'raw data Crude oil'!Y1964</f>
        <v>68.72</v>
      </c>
      <c r="Z1963">
        <f>'raw data Crude oil'!Z1964</f>
        <v>75.423000000000002</v>
      </c>
      <c r="AA1963">
        <f>'raw data Crude oil'!AA1964</f>
        <v>74.924999999999997</v>
      </c>
      <c r="AB1963">
        <f>'raw data Crude oil'!AB1964</f>
        <v>74.447999999999993</v>
      </c>
      <c r="AC1963">
        <f>'raw data Crude oil'!AC1964</f>
        <v>74.087999999999994</v>
      </c>
      <c r="AD1963">
        <f>'raw data Crude oil'!AD1964</f>
        <v>73.765000000000001</v>
      </c>
      <c r="AE1963">
        <f>'raw data Crude oil'!AE1964</f>
        <v>73.519000000000005</v>
      </c>
      <c r="AF1963">
        <f>'raw data Crude oil'!AF1964</f>
        <v>73.328000000000003</v>
      </c>
      <c r="AG1963">
        <f>'raw data Crude oil'!AG1964</f>
        <v>73.13</v>
      </c>
      <c r="AH1963">
        <f>'raw data Crude oil'!AH1964</f>
        <v>72.929000000000002</v>
      </c>
      <c r="AI1963">
        <f>'raw data Crude oil'!AI1964</f>
        <v>72.72</v>
      </c>
      <c r="AJ1963">
        <f>'raw data Crude oil'!AJ1964</f>
        <v>72.519000000000005</v>
      </c>
      <c r="AK1963">
        <f>'raw data Crude oil'!AK1964</f>
        <v>72.31</v>
      </c>
    </row>
    <row r="1964" spans="1:37" x14ac:dyDescent="0.3">
      <c r="A1964" s="18">
        <f>'raw data Crude oil'!A1965</f>
        <v>45511</v>
      </c>
      <c r="B1964">
        <f>'raw data Crude oil'!B1965</f>
        <v>78.33</v>
      </c>
      <c r="C1964">
        <f>'raw data Crude oil'!C1965</f>
        <v>77.67</v>
      </c>
      <c r="D1964">
        <f>'raw data Crude oil'!D1965</f>
        <v>77.14</v>
      </c>
      <c r="E1964">
        <f>'raw data Crude oil'!E1965</f>
        <v>76.7</v>
      </c>
      <c r="F1964">
        <f>'raw data Crude oil'!F1965</f>
        <v>76.33</v>
      </c>
      <c r="G1964">
        <f>'raw data Crude oil'!G1965</f>
        <v>76.010000000000005</v>
      </c>
      <c r="H1964">
        <f>'raw data Crude oil'!H1965</f>
        <v>75.72</v>
      </c>
      <c r="I1964">
        <f>'raw data Crude oil'!I1965</f>
        <v>75.44</v>
      </c>
      <c r="J1964">
        <f>'raw data Crude oil'!J1965</f>
        <v>75.17</v>
      </c>
      <c r="K1964">
        <f>'raw data Crude oil'!K1965</f>
        <v>74.91</v>
      </c>
      <c r="L1964">
        <f>'raw data Crude oil'!L1965</f>
        <v>74.650000000000006</v>
      </c>
      <c r="M1964">
        <f>'raw data Crude oil'!M1965</f>
        <v>74.38</v>
      </c>
      <c r="N1964">
        <f>'raw data Crude oil'!N1965</f>
        <v>75.23</v>
      </c>
      <c r="O1964">
        <f>'raw data Crude oil'!O1965</f>
        <v>74.17</v>
      </c>
      <c r="P1964">
        <f>'raw data Crude oil'!P1965</f>
        <v>73.38</v>
      </c>
      <c r="Q1964">
        <f>'raw data Crude oil'!Q1965</f>
        <v>72.75</v>
      </c>
      <c r="R1964">
        <f>'raw data Crude oil'!R1965</f>
        <v>72.239999999999995</v>
      </c>
      <c r="S1964">
        <f>'raw data Crude oil'!S1965</f>
        <v>71.81</v>
      </c>
      <c r="T1964">
        <f>'raw data Crude oil'!T1965</f>
        <v>71.44</v>
      </c>
      <c r="U1964">
        <f>'raw data Crude oil'!U1965</f>
        <v>71.12</v>
      </c>
      <c r="V1964">
        <f>'raw data Crude oil'!V1965</f>
        <v>70.81</v>
      </c>
      <c r="W1964">
        <f>'raw data Crude oil'!W1965</f>
        <v>70.52</v>
      </c>
      <c r="X1964">
        <f>'raw data Crude oil'!X1965</f>
        <v>70.209999999999994</v>
      </c>
      <c r="Y1964">
        <f>'raw data Crude oil'!Y1965</f>
        <v>69.91</v>
      </c>
      <c r="Z1964">
        <f>'raw data Crude oil'!Z1965</f>
        <v>76.888000000000005</v>
      </c>
      <c r="AA1964">
        <f>'raw data Crude oil'!AA1965</f>
        <v>76.765000000000001</v>
      </c>
      <c r="AB1964">
        <f>'raw data Crude oil'!AB1965</f>
        <v>76.17</v>
      </c>
      <c r="AC1964">
        <f>'raw data Crude oil'!AC1965</f>
        <v>75.694000000000003</v>
      </c>
      <c r="AD1964">
        <f>'raw data Crude oil'!AD1965</f>
        <v>75.295000000000002</v>
      </c>
      <c r="AE1964">
        <f>'raw data Crude oil'!AE1965</f>
        <v>74.997</v>
      </c>
      <c r="AF1964">
        <f>'raw data Crude oil'!AF1965</f>
        <v>74.745999999999995</v>
      </c>
      <c r="AG1964">
        <f>'raw data Crude oil'!AG1965</f>
        <v>74.492000000000004</v>
      </c>
      <c r="AH1964">
        <f>'raw data Crude oil'!AH1965</f>
        <v>74.242999999999995</v>
      </c>
      <c r="AI1964">
        <f>'raw data Crude oil'!AI1965</f>
        <v>73.998000000000005</v>
      </c>
      <c r="AJ1964">
        <f>'raw data Crude oil'!AJ1965</f>
        <v>73.757000000000005</v>
      </c>
      <c r="AK1964">
        <f>'raw data Crude oil'!AK1965</f>
        <v>73.509</v>
      </c>
    </row>
    <row r="1965" spans="1:37" x14ac:dyDescent="0.3">
      <c r="A1965" s="18">
        <f>'raw data Crude oil'!A1966</f>
        <v>45512</v>
      </c>
      <c r="B1965">
        <f>'raw data Crude oil'!B1966</f>
        <v>79.16</v>
      </c>
      <c r="C1965">
        <f>'raw data Crude oil'!C1966</f>
        <v>78.48</v>
      </c>
      <c r="D1965">
        <f>'raw data Crude oil'!D1966</f>
        <v>77.95</v>
      </c>
      <c r="E1965">
        <f>'raw data Crude oil'!E1966</f>
        <v>77.5</v>
      </c>
      <c r="F1965">
        <f>'raw data Crude oil'!F1966</f>
        <v>77.12</v>
      </c>
      <c r="G1965">
        <f>'raw data Crude oil'!G1966</f>
        <v>76.8</v>
      </c>
      <c r="H1965">
        <f>'raw data Crude oil'!H1966</f>
        <v>76.5</v>
      </c>
      <c r="I1965">
        <f>'raw data Crude oil'!I1966</f>
        <v>76.22</v>
      </c>
      <c r="J1965">
        <f>'raw data Crude oil'!J1966</f>
        <v>75.94</v>
      </c>
      <c r="K1965">
        <f>'raw data Crude oil'!K1966</f>
        <v>75.680000000000007</v>
      </c>
      <c r="L1965">
        <f>'raw data Crude oil'!L1966</f>
        <v>75.42</v>
      </c>
      <c r="M1965">
        <f>'raw data Crude oil'!M1966</f>
        <v>75.14</v>
      </c>
      <c r="N1965">
        <f>'raw data Crude oil'!N1966</f>
        <v>76.19</v>
      </c>
      <c r="O1965">
        <f>'raw data Crude oil'!O1966</f>
        <v>75.040000000000006</v>
      </c>
      <c r="P1965">
        <f>'raw data Crude oil'!P1966</f>
        <v>74.260000000000005</v>
      </c>
      <c r="Q1965">
        <f>'raw data Crude oil'!Q1966</f>
        <v>73.64</v>
      </c>
      <c r="R1965">
        <f>'raw data Crude oil'!R1966</f>
        <v>73.13</v>
      </c>
      <c r="S1965">
        <f>'raw data Crude oil'!S1966</f>
        <v>72.7</v>
      </c>
      <c r="T1965">
        <f>'raw data Crude oil'!T1966</f>
        <v>72.31</v>
      </c>
      <c r="U1965">
        <f>'raw data Crude oil'!U1966</f>
        <v>71.98</v>
      </c>
      <c r="V1965">
        <f>'raw data Crude oil'!V1966</f>
        <v>71.66</v>
      </c>
      <c r="W1965">
        <f>'raw data Crude oil'!W1966</f>
        <v>71.36</v>
      </c>
      <c r="X1965">
        <f>'raw data Crude oil'!X1966</f>
        <v>71.040000000000006</v>
      </c>
      <c r="Y1965">
        <f>'raw data Crude oil'!Y1966</f>
        <v>70.75</v>
      </c>
      <c r="Z1965">
        <f>'raw data Crude oil'!Z1966</f>
        <v>77.665000000000006</v>
      </c>
      <c r="AA1965">
        <f>'raw data Crude oil'!AA1966</f>
        <v>77.734999999999999</v>
      </c>
      <c r="AB1965">
        <f>'raw data Crude oil'!AB1966</f>
        <v>77.113</v>
      </c>
      <c r="AC1965">
        <f>'raw data Crude oil'!AC1966</f>
        <v>76.608000000000004</v>
      </c>
      <c r="AD1965">
        <f>'raw data Crude oil'!AD1966</f>
        <v>76.180999999999997</v>
      </c>
      <c r="AE1965">
        <f>'raw data Crude oil'!AE1966</f>
        <v>75.876999999999995</v>
      </c>
      <c r="AF1965">
        <f>'raw data Crude oil'!AF1966</f>
        <v>75.626000000000005</v>
      </c>
      <c r="AG1965">
        <f>'raw data Crude oil'!AG1966</f>
        <v>75.363</v>
      </c>
      <c r="AH1965">
        <f>'raw data Crude oil'!AH1966</f>
        <v>75.113</v>
      </c>
      <c r="AI1965">
        <f>'raw data Crude oil'!AI1966</f>
        <v>74.863</v>
      </c>
      <c r="AJ1965">
        <f>'raw data Crude oil'!AJ1966</f>
        <v>74.611999999999995</v>
      </c>
      <c r="AK1965">
        <f>'raw data Crude oil'!AK1966</f>
        <v>74.353999999999999</v>
      </c>
    </row>
    <row r="1966" spans="1:37" x14ac:dyDescent="0.3">
      <c r="A1966" s="18">
        <f>'raw data Crude oil'!A1967</f>
        <v>45513</v>
      </c>
      <c r="B1966">
        <f>'raw data Crude oil'!B1967</f>
        <v>79.66</v>
      </c>
      <c r="C1966">
        <f>'raw data Crude oil'!C1967</f>
        <v>78.92</v>
      </c>
      <c r="D1966">
        <f>'raw data Crude oil'!D1967</f>
        <v>78.36</v>
      </c>
      <c r="E1966">
        <f>'raw data Crude oil'!E1967</f>
        <v>77.900000000000006</v>
      </c>
      <c r="F1966">
        <f>'raw data Crude oil'!F1967</f>
        <v>77.52</v>
      </c>
      <c r="G1966">
        <f>'raw data Crude oil'!G1967</f>
        <v>77.2</v>
      </c>
      <c r="H1966">
        <f>'raw data Crude oil'!H1967</f>
        <v>76.900000000000006</v>
      </c>
      <c r="I1966">
        <f>'raw data Crude oil'!I1967</f>
        <v>76.61</v>
      </c>
      <c r="J1966">
        <f>'raw data Crude oil'!J1967</f>
        <v>76.33</v>
      </c>
      <c r="K1966">
        <f>'raw data Crude oil'!K1967</f>
        <v>76.06</v>
      </c>
      <c r="L1966">
        <f>'raw data Crude oil'!L1967</f>
        <v>75.8</v>
      </c>
      <c r="M1966">
        <f>'raw data Crude oil'!M1967</f>
        <v>75.52</v>
      </c>
      <c r="N1966">
        <f>'raw data Crude oil'!N1967</f>
        <v>76.84</v>
      </c>
      <c r="O1966">
        <f>'raw data Crude oil'!O1967</f>
        <v>75.61</v>
      </c>
      <c r="P1966">
        <f>'raw data Crude oil'!P1967</f>
        <v>74.77</v>
      </c>
      <c r="Q1966">
        <f>'raw data Crude oil'!Q1967</f>
        <v>74.12</v>
      </c>
      <c r="R1966">
        <f>'raw data Crude oil'!R1967</f>
        <v>73.599999999999994</v>
      </c>
      <c r="S1966">
        <f>'raw data Crude oil'!S1967</f>
        <v>73.17</v>
      </c>
      <c r="T1966">
        <f>'raw data Crude oil'!T1967</f>
        <v>72.78</v>
      </c>
      <c r="U1966">
        <f>'raw data Crude oil'!U1967</f>
        <v>72.44</v>
      </c>
      <c r="V1966">
        <f>'raw data Crude oil'!V1967</f>
        <v>72.13</v>
      </c>
      <c r="W1966">
        <f>'raw data Crude oil'!W1967</f>
        <v>71.819999999999993</v>
      </c>
      <c r="X1966">
        <f>'raw data Crude oil'!X1967</f>
        <v>71.489999999999995</v>
      </c>
      <c r="Y1966">
        <f>'raw data Crude oil'!Y1967</f>
        <v>71.180000000000007</v>
      </c>
      <c r="Z1966">
        <f>'raw data Crude oil'!Z1967</f>
        <v>77.935000000000002</v>
      </c>
      <c r="AA1966">
        <f>'raw data Crude oil'!AA1967</f>
        <v>78.113</v>
      </c>
      <c r="AB1966">
        <f>'raw data Crude oil'!AB1967</f>
        <v>77.489999999999995</v>
      </c>
      <c r="AC1966">
        <f>'raw data Crude oil'!AC1967</f>
        <v>76.991</v>
      </c>
      <c r="AD1966">
        <f>'raw data Crude oil'!AD1967</f>
        <v>76.569000000000003</v>
      </c>
      <c r="AE1966">
        <f>'raw data Crude oil'!AE1967</f>
        <v>76.275999999999996</v>
      </c>
      <c r="AF1966">
        <f>'raw data Crude oil'!AF1967</f>
        <v>76.016000000000005</v>
      </c>
      <c r="AG1966">
        <f>'raw data Crude oil'!AG1967</f>
        <v>75.747</v>
      </c>
      <c r="AH1966">
        <f>'raw data Crude oil'!AH1967</f>
        <v>75.486999999999995</v>
      </c>
      <c r="AI1966">
        <f>'raw data Crude oil'!AI1967</f>
        <v>75.238</v>
      </c>
      <c r="AJ1966">
        <f>'raw data Crude oil'!AJ1967</f>
        <v>74.992000000000004</v>
      </c>
      <c r="AK1966">
        <f>'raw data Crude oil'!AK1967</f>
        <v>74.739000000000004</v>
      </c>
    </row>
    <row r="1967" spans="1:37" x14ac:dyDescent="0.3">
      <c r="A1967" s="18">
        <f>'raw data Crude oil'!A1968</f>
        <v>45516</v>
      </c>
      <c r="B1967">
        <f>'raw data Crude oil'!B1968</f>
        <v>82.3</v>
      </c>
      <c r="C1967">
        <f>'raw data Crude oil'!C1968</f>
        <v>81.38</v>
      </c>
      <c r="D1967">
        <f>'raw data Crude oil'!D1968</f>
        <v>80.709999999999994</v>
      </c>
      <c r="E1967">
        <f>'raw data Crude oil'!E1968</f>
        <v>80.180000000000007</v>
      </c>
      <c r="F1967">
        <f>'raw data Crude oil'!F1968</f>
        <v>79.73</v>
      </c>
      <c r="G1967">
        <f>'raw data Crude oil'!G1968</f>
        <v>79.349999999999994</v>
      </c>
      <c r="H1967">
        <f>'raw data Crude oil'!H1968</f>
        <v>79</v>
      </c>
      <c r="I1967">
        <f>'raw data Crude oil'!I1968</f>
        <v>78.67</v>
      </c>
      <c r="J1967">
        <f>'raw data Crude oil'!J1968</f>
        <v>78.34</v>
      </c>
      <c r="K1967">
        <f>'raw data Crude oil'!K1968</f>
        <v>78.03</v>
      </c>
      <c r="L1967">
        <f>'raw data Crude oil'!L1968</f>
        <v>77.72</v>
      </c>
      <c r="M1967">
        <f>'raw data Crude oil'!M1968</f>
        <v>77.39</v>
      </c>
      <c r="N1967">
        <f>'raw data Crude oil'!N1968</f>
        <v>80.06</v>
      </c>
      <c r="O1967">
        <f>'raw data Crude oil'!O1968</f>
        <v>78.459999999999994</v>
      </c>
      <c r="P1967">
        <f>'raw data Crude oil'!P1968</f>
        <v>77.37</v>
      </c>
      <c r="Q1967">
        <f>'raw data Crude oil'!Q1968</f>
        <v>76.52</v>
      </c>
      <c r="R1967">
        <f>'raw data Crude oil'!R1968</f>
        <v>75.86</v>
      </c>
      <c r="S1967">
        <f>'raw data Crude oil'!S1968</f>
        <v>75.33</v>
      </c>
      <c r="T1967">
        <f>'raw data Crude oil'!T1968</f>
        <v>74.88</v>
      </c>
      <c r="U1967">
        <f>'raw data Crude oil'!U1968</f>
        <v>74.48</v>
      </c>
      <c r="V1967">
        <f>'raw data Crude oil'!V1968</f>
        <v>74.11</v>
      </c>
      <c r="W1967">
        <f>'raw data Crude oil'!W1968</f>
        <v>73.75</v>
      </c>
      <c r="X1967">
        <f>'raw data Crude oil'!X1968</f>
        <v>73.37</v>
      </c>
      <c r="Y1967">
        <f>'raw data Crude oil'!Y1968</f>
        <v>73.010000000000005</v>
      </c>
      <c r="Z1967">
        <f>'raw data Crude oil'!Z1968</f>
        <v>79.481999999999999</v>
      </c>
      <c r="AA1967">
        <f>'raw data Crude oil'!AA1968</f>
        <v>80.447999999999993</v>
      </c>
      <c r="AB1967">
        <f>'raw data Crude oil'!AB1968</f>
        <v>79.747</v>
      </c>
      <c r="AC1967">
        <f>'raw data Crude oil'!AC1968</f>
        <v>79.188999999999993</v>
      </c>
      <c r="AD1967">
        <f>'raw data Crude oil'!AD1968</f>
        <v>78.718999999999994</v>
      </c>
      <c r="AE1967">
        <f>'raw data Crude oil'!AE1968</f>
        <v>78.379000000000005</v>
      </c>
      <c r="AF1967">
        <f>'raw data Crude oil'!AF1968</f>
        <v>78.088999999999999</v>
      </c>
      <c r="AG1967">
        <f>'raw data Crude oil'!AG1968</f>
        <v>77.784000000000006</v>
      </c>
      <c r="AH1967">
        <f>'raw data Crude oil'!AH1968</f>
        <v>77.471000000000004</v>
      </c>
      <c r="AI1967">
        <f>'raw data Crude oil'!AI1968</f>
        <v>77.165999999999997</v>
      </c>
      <c r="AJ1967">
        <f>'raw data Crude oil'!AJ1968</f>
        <v>76.858999999999995</v>
      </c>
      <c r="AK1967">
        <f>'raw data Crude oil'!AK1968</f>
        <v>76.552000000000007</v>
      </c>
    </row>
    <row r="1968" spans="1:37" x14ac:dyDescent="0.3">
      <c r="A1968" s="18">
        <f>'raw data Crude oil'!A1969</f>
        <v>45517</v>
      </c>
      <c r="B1968">
        <f>'raw data Crude oil'!B1969</f>
        <v>80.69</v>
      </c>
      <c r="C1968">
        <f>'raw data Crude oil'!C1969</f>
        <v>79.930000000000007</v>
      </c>
      <c r="D1968">
        <f>'raw data Crude oil'!D1969</f>
        <v>79.34</v>
      </c>
      <c r="E1968">
        <f>'raw data Crude oil'!E1969</f>
        <v>78.88</v>
      </c>
      <c r="F1968">
        <f>'raw data Crude oil'!F1969</f>
        <v>78.489999999999995</v>
      </c>
      <c r="G1968">
        <f>'raw data Crude oil'!G1969</f>
        <v>78.150000000000006</v>
      </c>
      <c r="H1968">
        <f>'raw data Crude oil'!H1969</f>
        <v>77.819999999999993</v>
      </c>
      <c r="I1968">
        <f>'raw data Crude oil'!I1969</f>
        <v>77.510000000000005</v>
      </c>
      <c r="J1968">
        <f>'raw data Crude oil'!J1969</f>
        <v>77.2</v>
      </c>
      <c r="K1968">
        <f>'raw data Crude oil'!K1969</f>
        <v>76.900000000000006</v>
      </c>
      <c r="L1968">
        <f>'raw data Crude oil'!L1969</f>
        <v>76.61</v>
      </c>
      <c r="M1968">
        <f>'raw data Crude oil'!M1969</f>
        <v>76.3</v>
      </c>
      <c r="N1968">
        <f>'raw data Crude oil'!N1969</f>
        <v>78.349999999999994</v>
      </c>
      <c r="O1968">
        <f>'raw data Crude oil'!O1969</f>
        <v>76.8</v>
      </c>
      <c r="P1968">
        <f>'raw data Crude oil'!P1969</f>
        <v>75.83</v>
      </c>
      <c r="Q1968">
        <f>'raw data Crude oil'!Q1969</f>
        <v>75.09</v>
      </c>
      <c r="R1968">
        <f>'raw data Crude oil'!R1969</f>
        <v>74.52</v>
      </c>
      <c r="S1968">
        <f>'raw data Crude oil'!S1969</f>
        <v>74.040000000000006</v>
      </c>
      <c r="T1968">
        <f>'raw data Crude oil'!T1969</f>
        <v>73.63</v>
      </c>
      <c r="U1968">
        <f>'raw data Crude oil'!U1969</f>
        <v>73.260000000000005</v>
      </c>
      <c r="V1968">
        <f>'raw data Crude oil'!V1969</f>
        <v>72.91</v>
      </c>
      <c r="W1968">
        <f>'raw data Crude oil'!W1969</f>
        <v>72.56</v>
      </c>
      <c r="X1968">
        <f>'raw data Crude oil'!X1969</f>
        <v>72.2</v>
      </c>
      <c r="Y1968">
        <f>'raw data Crude oil'!Y1969</f>
        <v>71.87</v>
      </c>
      <c r="Z1968">
        <f>'raw data Crude oil'!Z1969</f>
        <v>78.444000000000003</v>
      </c>
      <c r="AA1968">
        <f>'raw data Crude oil'!AA1969</f>
        <v>78.938999999999993</v>
      </c>
      <c r="AB1968">
        <f>'raw data Crude oil'!AB1969</f>
        <v>78.236000000000004</v>
      </c>
      <c r="AC1968">
        <f>'raw data Crude oil'!AC1969</f>
        <v>77.704999999999998</v>
      </c>
      <c r="AD1968">
        <f>'raw data Crude oil'!AD1969</f>
        <v>77.284000000000006</v>
      </c>
      <c r="AE1968">
        <f>'raw data Crude oil'!AE1969</f>
        <v>76.998999999999995</v>
      </c>
      <c r="AF1968">
        <f>'raw data Crude oil'!AF1969</f>
        <v>76.748999999999995</v>
      </c>
      <c r="AG1968">
        <f>'raw data Crude oil'!AG1969</f>
        <v>76.477000000000004</v>
      </c>
      <c r="AH1968">
        <f>'raw data Crude oil'!AH1969</f>
        <v>76.206000000000003</v>
      </c>
      <c r="AI1968">
        <f>'raw data Crude oil'!AI1969</f>
        <v>75.936999999999998</v>
      </c>
      <c r="AJ1968">
        <f>'raw data Crude oil'!AJ1969</f>
        <v>75.665000000000006</v>
      </c>
      <c r="AK1968">
        <f>'raw data Crude oil'!AK1969</f>
        <v>75.397000000000006</v>
      </c>
    </row>
    <row r="1969" spans="1:37" x14ac:dyDescent="0.3">
      <c r="A1969" s="18">
        <f>'raw data Crude oil'!A1970</f>
        <v>45518</v>
      </c>
      <c r="B1969">
        <f>'raw data Crude oil'!B1970</f>
        <v>79.760000000000005</v>
      </c>
      <c r="C1969">
        <f>'raw data Crude oil'!C1970</f>
        <v>79.03</v>
      </c>
      <c r="D1969">
        <f>'raw data Crude oil'!D1970</f>
        <v>78.510000000000005</v>
      </c>
      <c r="E1969">
        <f>'raw data Crude oil'!E1970</f>
        <v>78.11</v>
      </c>
      <c r="F1969">
        <f>'raw data Crude oil'!F1970</f>
        <v>77.77</v>
      </c>
      <c r="G1969">
        <f>'raw data Crude oil'!G1970</f>
        <v>77.47</v>
      </c>
      <c r="H1969">
        <f>'raw data Crude oil'!H1970</f>
        <v>77.180000000000007</v>
      </c>
      <c r="I1969">
        <f>'raw data Crude oil'!I1970</f>
        <v>76.89</v>
      </c>
      <c r="J1969">
        <f>'raw data Crude oil'!J1970</f>
        <v>76.61</v>
      </c>
      <c r="K1969">
        <f>'raw data Crude oil'!K1970</f>
        <v>76.34</v>
      </c>
      <c r="L1969">
        <f>'raw data Crude oil'!L1970</f>
        <v>76.069999999999993</v>
      </c>
      <c r="M1969">
        <f>'raw data Crude oil'!M1970</f>
        <v>75.78</v>
      </c>
      <c r="N1969">
        <f>'raw data Crude oil'!N1970</f>
        <v>76.98</v>
      </c>
      <c r="O1969">
        <f>'raw data Crude oil'!O1970</f>
        <v>75.84</v>
      </c>
      <c r="P1969">
        <f>'raw data Crude oil'!P1970</f>
        <v>75</v>
      </c>
      <c r="Q1969">
        <f>'raw data Crude oil'!Q1970</f>
        <v>74.349999999999994</v>
      </c>
      <c r="R1969">
        <f>'raw data Crude oil'!R1970</f>
        <v>73.849999999999994</v>
      </c>
      <c r="S1969">
        <f>'raw data Crude oil'!S1970</f>
        <v>73.44</v>
      </c>
      <c r="T1969">
        <f>'raw data Crude oil'!T1970</f>
        <v>73.069999999999993</v>
      </c>
      <c r="U1969">
        <f>'raw data Crude oil'!U1970</f>
        <v>72.73</v>
      </c>
      <c r="V1969">
        <f>'raw data Crude oil'!V1970</f>
        <v>72.400000000000006</v>
      </c>
      <c r="W1969">
        <f>'raw data Crude oil'!W1970</f>
        <v>72.069999999999993</v>
      </c>
      <c r="X1969">
        <f>'raw data Crude oil'!X1970</f>
        <v>71.739999999999995</v>
      </c>
      <c r="Y1969">
        <f>'raw data Crude oil'!Y1970</f>
        <v>71.430000000000007</v>
      </c>
      <c r="Z1969">
        <f>'raw data Crude oil'!Z1970</f>
        <v>78.081000000000003</v>
      </c>
      <c r="AA1969">
        <f>'raw data Crude oil'!AA1970</f>
        <v>78.355000000000004</v>
      </c>
      <c r="AB1969">
        <f>'raw data Crude oil'!AB1970</f>
        <v>77.614000000000004</v>
      </c>
      <c r="AC1969">
        <f>'raw data Crude oil'!AC1970</f>
        <v>77.084000000000003</v>
      </c>
      <c r="AD1969">
        <f>'raw data Crude oil'!AD1970</f>
        <v>76.691999999999993</v>
      </c>
      <c r="AE1969">
        <f>'raw data Crude oil'!AE1970</f>
        <v>76.451999999999998</v>
      </c>
      <c r="AF1969">
        <f>'raw data Crude oil'!AF1970</f>
        <v>76.238</v>
      </c>
      <c r="AG1969">
        <f>'raw data Crude oil'!AG1970</f>
        <v>75.998000000000005</v>
      </c>
      <c r="AH1969">
        <f>'raw data Crude oil'!AH1970</f>
        <v>75.757000000000005</v>
      </c>
      <c r="AI1969">
        <f>'raw data Crude oil'!AI1970</f>
        <v>75.528000000000006</v>
      </c>
      <c r="AJ1969">
        <f>'raw data Crude oil'!AJ1970</f>
        <v>75.286000000000001</v>
      </c>
      <c r="AK1969">
        <f>'raw data Crude oil'!AK1970</f>
        <v>75.028000000000006</v>
      </c>
    </row>
    <row r="1970" spans="1:37" x14ac:dyDescent="0.3">
      <c r="A1970" s="18">
        <f>'raw data Crude oil'!A1971</f>
        <v>45519</v>
      </c>
      <c r="B1970">
        <f>'raw data Crude oil'!B1971</f>
        <v>81.040000000000006</v>
      </c>
      <c r="C1970">
        <f>'raw data Crude oil'!C1971</f>
        <v>80.17</v>
      </c>
      <c r="D1970">
        <f>'raw data Crude oil'!D1971</f>
        <v>79.599999999999994</v>
      </c>
      <c r="E1970">
        <f>'raw data Crude oil'!E1971</f>
        <v>79.150000000000006</v>
      </c>
      <c r="F1970">
        <f>'raw data Crude oil'!F1971</f>
        <v>78.760000000000005</v>
      </c>
      <c r="G1970">
        <f>'raw data Crude oil'!G1971</f>
        <v>78.430000000000007</v>
      </c>
      <c r="H1970">
        <f>'raw data Crude oil'!H1971</f>
        <v>78.099999999999994</v>
      </c>
      <c r="I1970">
        <f>'raw data Crude oil'!I1971</f>
        <v>77.78</v>
      </c>
      <c r="J1970">
        <f>'raw data Crude oil'!J1971</f>
        <v>77.47</v>
      </c>
      <c r="K1970">
        <f>'raw data Crude oil'!K1971</f>
        <v>77.180000000000007</v>
      </c>
      <c r="L1970">
        <f>'raw data Crude oil'!L1971</f>
        <v>76.88</v>
      </c>
      <c r="M1970">
        <f>'raw data Crude oil'!M1971</f>
        <v>76.569999999999993</v>
      </c>
      <c r="N1970">
        <f>'raw data Crude oil'!N1971</f>
        <v>78.16</v>
      </c>
      <c r="O1970">
        <f>'raw data Crude oil'!O1971</f>
        <v>76.989999999999995</v>
      </c>
      <c r="P1970">
        <f>'raw data Crude oil'!P1971</f>
        <v>76.09</v>
      </c>
      <c r="Q1970">
        <f>'raw data Crude oil'!Q1971</f>
        <v>75.41</v>
      </c>
      <c r="R1970">
        <f>'raw data Crude oil'!R1971</f>
        <v>74.86</v>
      </c>
      <c r="S1970">
        <f>'raw data Crude oil'!S1971</f>
        <v>74.400000000000006</v>
      </c>
      <c r="T1970">
        <f>'raw data Crude oil'!T1971</f>
        <v>74</v>
      </c>
      <c r="U1970">
        <f>'raw data Crude oil'!U1971</f>
        <v>73.62</v>
      </c>
      <c r="V1970">
        <f>'raw data Crude oil'!V1971</f>
        <v>73.260000000000005</v>
      </c>
      <c r="W1970">
        <f>'raw data Crude oil'!W1971</f>
        <v>72.91</v>
      </c>
      <c r="X1970">
        <f>'raw data Crude oil'!X1971</f>
        <v>72.540000000000006</v>
      </c>
      <c r="Y1970">
        <f>'raw data Crude oil'!Y1971</f>
        <v>72.19</v>
      </c>
      <c r="Z1970">
        <f>'raw data Crude oil'!Z1971</f>
        <v>78.694000000000003</v>
      </c>
      <c r="AA1970">
        <f>'raw data Crude oil'!AA1971</f>
        <v>79.462999999999994</v>
      </c>
      <c r="AB1970">
        <f>'raw data Crude oil'!AB1971</f>
        <v>78.680000000000007</v>
      </c>
      <c r="AC1970">
        <f>'raw data Crude oil'!AC1971</f>
        <v>78.135999999999996</v>
      </c>
      <c r="AD1970">
        <f>'raw data Crude oil'!AD1971</f>
        <v>77.718999999999994</v>
      </c>
      <c r="AE1970">
        <f>'raw data Crude oil'!AE1971</f>
        <v>77.435000000000002</v>
      </c>
      <c r="AF1970">
        <f>'raw data Crude oil'!AF1971</f>
        <v>77.183999999999997</v>
      </c>
      <c r="AG1970">
        <f>'raw data Crude oil'!AG1971</f>
        <v>76.92</v>
      </c>
      <c r="AH1970">
        <f>'raw data Crude oil'!AH1971</f>
        <v>76.656000000000006</v>
      </c>
      <c r="AI1970">
        <f>'raw data Crude oil'!AI1971</f>
        <v>76.406000000000006</v>
      </c>
      <c r="AJ1970">
        <f>'raw data Crude oil'!AJ1971</f>
        <v>76.144999999999996</v>
      </c>
      <c r="AK1970">
        <f>'raw data Crude oil'!AK1971</f>
        <v>75.861999999999995</v>
      </c>
    </row>
    <row r="1971" spans="1:37" x14ac:dyDescent="0.3">
      <c r="A1971" s="18">
        <f>'raw data Crude oil'!A1972</f>
        <v>45520</v>
      </c>
      <c r="B1971">
        <f>'raw data Crude oil'!B1972</f>
        <v>79.680000000000007</v>
      </c>
      <c r="C1971">
        <f>'raw data Crude oil'!C1972</f>
        <v>78.87</v>
      </c>
      <c r="D1971">
        <f>'raw data Crude oil'!D1972</f>
        <v>78.290000000000006</v>
      </c>
      <c r="E1971">
        <f>'raw data Crude oil'!E1972</f>
        <v>77.84</v>
      </c>
      <c r="F1971">
        <f>'raw data Crude oil'!F1972</f>
        <v>77.48</v>
      </c>
      <c r="G1971">
        <f>'raw data Crude oil'!G1972</f>
        <v>77.17</v>
      </c>
      <c r="H1971">
        <f>'raw data Crude oil'!H1972</f>
        <v>76.87</v>
      </c>
      <c r="I1971">
        <f>'raw data Crude oil'!I1972</f>
        <v>76.58</v>
      </c>
      <c r="J1971">
        <f>'raw data Crude oil'!J1972</f>
        <v>76.31</v>
      </c>
      <c r="K1971">
        <f>'raw data Crude oil'!K1972</f>
        <v>76.05</v>
      </c>
      <c r="L1971">
        <f>'raw data Crude oil'!L1972</f>
        <v>75.790000000000006</v>
      </c>
      <c r="M1971">
        <f>'raw data Crude oil'!M1972</f>
        <v>75.510000000000005</v>
      </c>
      <c r="N1971">
        <f>'raw data Crude oil'!N1972</f>
        <v>76.650000000000006</v>
      </c>
      <c r="O1971">
        <f>'raw data Crude oil'!O1972</f>
        <v>75.540000000000006</v>
      </c>
      <c r="P1971">
        <f>'raw data Crude oil'!P1972</f>
        <v>74.67</v>
      </c>
      <c r="Q1971">
        <f>'raw data Crude oil'!Q1972</f>
        <v>74.010000000000005</v>
      </c>
      <c r="R1971">
        <f>'raw data Crude oil'!R1972</f>
        <v>73.5</v>
      </c>
      <c r="S1971">
        <f>'raw data Crude oil'!S1972</f>
        <v>73.069999999999993</v>
      </c>
      <c r="T1971">
        <f>'raw data Crude oil'!T1972</f>
        <v>72.709999999999994</v>
      </c>
      <c r="U1971">
        <f>'raw data Crude oil'!U1972</f>
        <v>72.37</v>
      </c>
      <c r="V1971">
        <f>'raw data Crude oil'!V1972</f>
        <v>72.05</v>
      </c>
      <c r="W1971">
        <f>'raw data Crude oil'!W1972</f>
        <v>71.73</v>
      </c>
      <c r="X1971">
        <f>'raw data Crude oil'!X1972</f>
        <v>71.39</v>
      </c>
      <c r="Y1971">
        <f>'raw data Crude oil'!Y1972</f>
        <v>71.09</v>
      </c>
      <c r="Z1971">
        <f>'raw data Crude oil'!Z1972</f>
        <v>78.075000000000003</v>
      </c>
      <c r="AA1971">
        <f>'raw data Crude oil'!AA1972</f>
        <v>78.206000000000003</v>
      </c>
      <c r="AB1971">
        <f>'raw data Crude oil'!AB1972</f>
        <v>77.396000000000001</v>
      </c>
      <c r="AC1971">
        <f>'raw data Crude oil'!AC1972</f>
        <v>76.852999999999994</v>
      </c>
      <c r="AD1971">
        <f>'raw data Crude oil'!AD1972</f>
        <v>76.456999999999994</v>
      </c>
      <c r="AE1971">
        <f>'raw data Crude oil'!AE1972</f>
        <v>76.183000000000007</v>
      </c>
      <c r="AF1971">
        <f>'raw data Crude oil'!AF1972</f>
        <v>75.942999999999998</v>
      </c>
      <c r="AG1971">
        <f>'raw data Crude oil'!AG1972</f>
        <v>75.697000000000003</v>
      </c>
      <c r="AH1971">
        <f>'raw data Crude oil'!AH1972</f>
        <v>75.447999999999993</v>
      </c>
      <c r="AI1971">
        <f>'raw data Crude oil'!AI1972</f>
        <v>75.207999999999998</v>
      </c>
      <c r="AJ1971">
        <f>'raw data Crude oil'!AJ1972</f>
        <v>74.966999999999999</v>
      </c>
      <c r="AK1971">
        <f>'raw data Crude oil'!AK1972</f>
        <v>74.728999999999999</v>
      </c>
    </row>
    <row r="1972" spans="1:37" x14ac:dyDescent="0.3">
      <c r="A1972" s="18">
        <f>'raw data Crude oil'!A1973</f>
        <v>45523</v>
      </c>
      <c r="B1972">
        <f>'raw data Crude oil'!B1973</f>
        <v>77.66</v>
      </c>
      <c r="C1972">
        <f>'raw data Crude oil'!C1973</f>
        <v>77.099999999999994</v>
      </c>
      <c r="D1972">
        <f>'raw data Crude oil'!D1973</f>
        <v>76.680000000000007</v>
      </c>
      <c r="E1972">
        <f>'raw data Crude oil'!E1973</f>
        <v>76.319999999999993</v>
      </c>
      <c r="F1972">
        <f>'raw data Crude oil'!F1973</f>
        <v>76.010000000000005</v>
      </c>
      <c r="G1972">
        <f>'raw data Crude oil'!G1973</f>
        <v>75.75</v>
      </c>
      <c r="H1972">
        <f>'raw data Crude oil'!H1973</f>
        <v>75.5</v>
      </c>
      <c r="I1972">
        <f>'raw data Crude oil'!I1973</f>
        <v>75.260000000000005</v>
      </c>
      <c r="J1972">
        <f>'raw data Crude oil'!J1973</f>
        <v>75.03</v>
      </c>
      <c r="K1972">
        <f>'raw data Crude oil'!K1973</f>
        <v>74.81</v>
      </c>
      <c r="L1972">
        <f>'raw data Crude oil'!L1973</f>
        <v>74.59</v>
      </c>
      <c r="M1972">
        <f>'raw data Crude oil'!M1973</f>
        <v>74.349999999999994</v>
      </c>
      <c r="N1972">
        <f>'raw data Crude oil'!N1973</f>
        <v>74.37</v>
      </c>
      <c r="O1972">
        <f>'raw data Crude oil'!O1973</f>
        <v>73.66</v>
      </c>
      <c r="P1972">
        <f>'raw data Crude oil'!P1973</f>
        <v>72.989999999999995</v>
      </c>
      <c r="Q1972">
        <f>'raw data Crude oil'!Q1973</f>
        <v>72.48</v>
      </c>
      <c r="R1972">
        <f>'raw data Crude oil'!R1973</f>
        <v>72.069999999999993</v>
      </c>
      <c r="S1972">
        <f>'raw data Crude oil'!S1973</f>
        <v>71.72</v>
      </c>
      <c r="T1972">
        <f>'raw data Crude oil'!T1973</f>
        <v>71.41</v>
      </c>
      <c r="U1972">
        <f>'raw data Crude oil'!U1973</f>
        <v>71.12</v>
      </c>
      <c r="V1972">
        <f>'raw data Crude oil'!V1973</f>
        <v>70.83</v>
      </c>
      <c r="W1972">
        <f>'raw data Crude oil'!W1973</f>
        <v>70.540000000000006</v>
      </c>
      <c r="X1972">
        <f>'raw data Crude oil'!X1973</f>
        <v>70.239999999999995</v>
      </c>
      <c r="Y1972">
        <f>'raw data Crude oil'!Y1973</f>
        <v>69.97</v>
      </c>
      <c r="Z1972">
        <f>'raw data Crude oil'!Z1973</f>
        <v>77.373999999999995</v>
      </c>
      <c r="AA1972">
        <f>'raw data Crude oil'!AA1973</f>
        <v>76.543000000000006</v>
      </c>
      <c r="AB1972">
        <f>'raw data Crude oil'!AB1973</f>
        <v>75.754000000000005</v>
      </c>
      <c r="AC1972">
        <f>'raw data Crude oil'!AC1973</f>
        <v>75.275000000000006</v>
      </c>
      <c r="AD1972">
        <f>'raw data Crude oil'!AD1973</f>
        <v>74.915000000000006</v>
      </c>
      <c r="AE1972">
        <f>'raw data Crude oil'!AE1973</f>
        <v>74.686000000000007</v>
      </c>
      <c r="AF1972">
        <f>'raw data Crude oil'!AF1973</f>
        <v>74.495000000000005</v>
      </c>
      <c r="AG1972">
        <f>'raw data Crude oil'!AG1973</f>
        <v>74.313999999999993</v>
      </c>
      <c r="AH1972">
        <f>'raw data Crude oil'!AH1973</f>
        <v>74.14</v>
      </c>
      <c r="AI1972">
        <f>'raw data Crude oil'!AI1973</f>
        <v>73.956000000000003</v>
      </c>
      <c r="AJ1972">
        <f>'raw data Crude oil'!AJ1973</f>
        <v>73.766999999999996</v>
      </c>
      <c r="AK1972">
        <f>'raw data Crude oil'!AK1973</f>
        <v>73.569999999999993</v>
      </c>
    </row>
    <row r="1973" spans="1:37" x14ac:dyDescent="0.3">
      <c r="A1973" s="18">
        <f>'raw data Crude oil'!A1974</f>
        <v>45524</v>
      </c>
      <c r="B1973">
        <f>'raw data Crude oil'!B1974</f>
        <v>77.2</v>
      </c>
      <c r="C1973">
        <f>'raw data Crude oil'!C1974</f>
        <v>76.58</v>
      </c>
      <c r="D1973">
        <f>'raw data Crude oil'!D1974</f>
        <v>76.11</v>
      </c>
      <c r="E1973">
        <f>'raw data Crude oil'!E1974</f>
        <v>75.72</v>
      </c>
      <c r="F1973">
        <f>'raw data Crude oil'!F1974</f>
        <v>75.39</v>
      </c>
      <c r="G1973">
        <f>'raw data Crude oil'!G1974</f>
        <v>75.12</v>
      </c>
      <c r="H1973">
        <f>'raw data Crude oil'!H1974</f>
        <v>74.87</v>
      </c>
      <c r="I1973">
        <f>'raw data Crude oil'!I1974</f>
        <v>74.63</v>
      </c>
      <c r="J1973">
        <f>'raw data Crude oil'!J1974</f>
        <v>74.400000000000006</v>
      </c>
      <c r="K1973">
        <f>'raw data Crude oil'!K1974</f>
        <v>74.17</v>
      </c>
      <c r="L1973">
        <f>'raw data Crude oil'!L1974</f>
        <v>73.95</v>
      </c>
      <c r="M1973">
        <f>'raw data Crude oil'!M1974</f>
        <v>73.709999999999994</v>
      </c>
      <c r="N1973">
        <f>'raw data Crude oil'!N1974</f>
        <v>74.040000000000006</v>
      </c>
      <c r="O1973">
        <f>'raw data Crude oil'!O1974</f>
        <v>73.17</v>
      </c>
      <c r="P1973">
        <f>'raw data Crude oil'!P1974</f>
        <v>72.45</v>
      </c>
      <c r="Q1973">
        <f>'raw data Crude oil'!Q1974</f>
        <v>71.900000000000006</v>
      </c>
      <c r="R1973">
        <f>'raw data Crude oil'!R1974</f>
        <v>71.459999999999994</v>
      </c>
      <c r="S1973">
        <f>'raw data Crude oil'!S1974</f>
        <v>71.09</v>
      </c>
      <c r="T1973">
        <f>'raw data Crude oil'!T1974</f>
        <v>70.77</v>
      </c>
      <c r="U1973">
        <f>'raw data Crude oil'!U1974</f>
        <v>70.47</v>
      </c>
      <c r="V1973">
        <f>'raw data Crude oil'!V1974</f>
        <v>70.180000000000007</v>
      </c>
      <c r="W1973">
        <f>'raw data Crude oil'!W1974</f>
        <v>69.900000000000006</v>
      </c>
      <c r="X1973">
        <f>'raw data Crude oil'!X1974</f>
        <v>69.599999999999994</v>
      </c>
      <c r="Y1973">
        <f>'raw data Crude oil'!Y1974</f>
        <v>69.33</v>
      </c>
      <c r="Z1973">
        <f>'raw data Crude oil'!Z1974</f>
        <v>77.125</v>
      </c>
      <c r="AA1973">
        <f>'raw data Crude oil'!AA1974</f>
        <v>76.078000000000003</v>
      </c>
      <c r="AB1973">
        <f>'raw data Crude oil'!AB1974</f>
        <v>75.283000000000001</v>
      </c>
      <c r="AC1973">
        <f>'raw data Crude oil'!AC1974</f>
        <v>74.784000000000006</v>
      </c>
      <c r="AD1973">
        <f>'raw data Crude oil'!AD1974</f>
        <v>74.403999999999996</v>
      </c>
      <c r="AE1973">
        <f>'raw data Crude oil'!AE1974</f>
        <v>74.159000000000006</v>
      </c>
      <c r="AF1973">
        <f>'raw data Crude oil'!AF1974</f>
        <v>73.957999999999998</v>
      </c>
      <c r="AG1973">
        <f>'raw data Crude oil'!AG1974</f>
        <v>73.759</v>
      </c>
      <c r="AH1973">
        <f>'raw data Crude oil'!AH1974</f>
        <v>73.578999999999994</v>
      </c>
      <c r="AI1973">
        <f>'raw data Crude oil'!AI1974</f>
        <v>73.39</v>
      </c>
      <c r="AJ1973">
        <f>'raw data Crude oil'!AJ1974</f>
        <v>73.198999999999998</v>
      </c>
      <c r="AK1973">
        <f>'raw data Crude oil'!AK1974</f>
        <v>72.989999999999995</v>
      </c>
    </row>
    <row r="1974" spans="1:37" x14ac:dyDescent="0.3">
      <c r="A1974" s="18">
        <f>'raw data Crude oil'!A1975</f>
        <v>45525</v>
      </c>
      <c r="B1974">
        <f>'raw data Crude oil'!B1975</f>
        <v>76.05</v>
      </c>
      <c r="C1974">
        <f>'raw data Crude oil'!C1975</f>
        <v>75.5</v>
      </c>
      <c r="D1974">
        <f>'raw data Crude oil'!D1975</f>
        <v>75.08</v>
      </c>
      <c r="E1974">
        <f>'raw data Crude oil'!E1975</f>
        <v>74.72</v>
      </c>
      <c r="F1974">
        <f>'raw data Crude oil'!F1975</f>
        <v>74.42</v>
      </c>
      <c r="G1974">
        <f>'raw data Crude oil'!G1975</f>
        <v>74.180000000000007</v>
      </c>
      <c r="H1974">
        <f>'raw data Crude oil'!H1975</f>
        <v>73.95</v>
      </c>
      <c r="I1974">
        <f>'raw data Crude oil'!I1975</f>
        <v>73.739999999999995</v>
      </c>
      <c r="J1974">
        <f>'raw data Crude oil'!J1975</f>
        <v>73.53</v>
      </c>
      <c r="K1974">
        <f>'raw data Crude oil'!K1975</f>
        <v>73.319999999999993</v>
      </c>
      <c r="L1974">
        <f>'raw data Crude oil'!L1975</f>
        <v>73.12</v>
      </c>
      <c r="M1974">
        <f>'raw data Crude oil'!M1975</f>
        <v>72.900000000000006</v>
      </c>
      <c r="N1974">
        <f>'raw data Crude oil'!N1975</f>
        <v>71.930000000000007</v>
      </c>
      <c r="O1974">
        <f>'raw data Crude oil'!O1975</f>
        <v>71.3</v>
      </c>
      <c r="P1974">
        <f>'raw data Crude oil'!P1975</f>
        <v>70.81</v>
      </c>
      <c r="Q1974">
        <f>'raw data Crude oil'!Q1975</f>
        <v>70.41</v>
      </c>
      <c r="R1974">
        <f>'raw data Crude oil'!R1975</f>
        <v>70.08</v>
      </c>
      <c r="S1974">
        <f>'raw data Crude oil'!S1975</f>
        <v>69.8</v>
      </c>
      <c r="T1974">
        <f>'raw data Crude oil'!T1975</f>
        <v>69.53</v>
      </c>
      <c r="U1974">
        <f>'raw data Crude oil'!U1975</f>
        <v>69.27</v>
      </c>
      <c r="V1974">
        <f>'raw data Crude oil'!V1975</f>
        <v>69.02</v>
      </c>
      <c r="W1974">
        <f>'raw data Crude oil'!W1975</f>
        <v>68.75</v>
      </c>
      <c r="X1974">
        <f>'raw data Crude oil'!X1975</f>
        <v>68.489999999999995</v>
      </c>
      <c r="Y1974">
        <f>'raw data Crude oil'!Y1975</f>
        <v>68.260000000000005</v>
      </c>
      <c r="Z1974">
        <f>'raw data Crude oil'!Z1975</f>
        <v>76.828000000000003</v>
      </c>
      <c r="AA1974">
        <f>'raw data Crude oil'!AA1975</f>
        <v>75.075000000000003</v>
      </c>
      <c r="AB1974">
        <f>'raw data Crude oil'!AB1975</f>
        <v>74.281000000000006</v>
      </c>
      <c r="AC1974">
        <f>'raw data Crude oil'!AC1975</f>
        <v>73.811999999999998</v>
      </c>
      <c r="AD1974">
        <f>'raw data Crude oil'!AD1975</f>
        <v>73.456999999999994</v>
      </c>
      <c r="AE1974">
        <f>'raw data Crude oil'!AE1975</f>
        <v>73.239999999999995</v>
      </c>
      <c r="AF1974">
        <f>'raw data Crude oil'!AF1975</f>
        <v>73.058999999999997</v>
      </c>
      <c r="AG1974">
        <f>'raw data Crude oil'!AG1975</f>
        <v>72.876000000000005</v>
      </c>
      <c r="AH1974">
        <f>'raw data Crude oil'!AH1975</f>
        <v>72.69</v>
      </c>
      <c r="AI1974">
        <f>'raw data Crude oil'!AI1975</f>
        <v>72.501000000000005</v>
      </c>
      <c r="AJ1974">
        <f>'raw data Crude oil'!AJ1975</f>
        <v>72.31</v>
      </c>
      <c r="AK1974">
        <f>'raw data Crude oil'!AK1975</f>
        <v>72.111000000000004</v>
      </c>
    </row>
    <row r="1975" spans="1:37" x14ac:dyDescent="0.3">
      <c r="A1975" s="18">
        <f>'raw data Crude oil'!A1976</f>
        <v>45526</v>
      </c>
      <c r="B1975">
        <f>'raw data Crude oil'!B1976</f>
        <v>77.22</v>
      </c>
      <c r="C1975">
        <f>'raw data Crude oil'!C1976</f>
        <v>76.55</v>
      </c>
      <c r="D1975">
        <f>'raw data Crude oil'!D1976</f>
        <v>76.02</v>
      </c>
      <c r="E1975">
        <f>'raw data Crude oil'!E1976</f>
        <v>75.58</v>
      </c>
      <c r="F1975">
        <f>'raw data Crude oil'!F1976</f>
        <v>75.25</v>
      </c>
      <c r="G1975">
        <f>'raw data Crude oil'!G1976</f>
        <v>74.98</v>
      </c>
      <c r="H1975">
        <f>'raw data Crude oil'!H1976</f>
        <v>74.73</v>
      </c>
      <c r="I1975">
        <f>'raw data Crude oil'!I1976</f>
        <v>74.5</v>
      </c>
      <c r="J1975">
        <f>'raw data Crude oil'!J1976</f>
        <v>74.28</v>
      </c>
      <c r="K1975">
        <f>'raw data Crude oil'!K1976</f>
        <v>74.06</v>
      </c>
      <c r="L1975">
        <f>'raw data Crude oil'!L1976</f>
        <v>73.83</v>
      </c>
      <c r="M1975">
        <f>'raw data Crude oil'!M1976</f>
        <v>73.59</v>
      </c>
      <c r="N1975">
        <f>'raw data Crude oil'!N1976</f>
        <v>73.010000000000005</v>
      </c>
      <c r="O1975">
        <f>'raw data Crude oil'!O1976</f>
        <v>72.28</v>
      </c>
      <c r="P1975">
        <f>'raw data Crude oil'!P1976</f>
        <v>71.680000000000007</v>
      </c>
      <c r="Q1975">
        <f>'raw data Crude oil'!Q1976</f>
        <v>71.22</v>
      </c>
      <c r="R1975">
        <f>'raw data Crude oil'!R1976</f>
        <v>70.849999999999994</v>
      </c>
      <c r="S1975">
        <f>'raw data Crude oil'!S1976</f>
        <v>70.55</v>
      </c>
      <c r="T1975">
        <f>'raw data Crude oil'!T1976</f>
        <v>70.27</v>
      </c>
      <c r="U1975">
        <f>'raw data Crude oil'!U1976</f>
        <v>69.989999999999995</v>
      </c>
      <c r="V1975">
        <f>'raw data Crude oil'!V1976</f>
        <v>69.72</v>
      </c>
      <c r="W1975">
        <f>'raw data Crude oil'!W1976</f>
        <v>69.430000000000007</v>
      </c>
      <c r="X1975">
        <f>'raw data Crude oil'!X1976</f>
        <v>69.17</v>
      </c>
      <c r="Y1975">
        <f>'raw data Crude oil'!Y1976</f>
        <v>68.91</v>
      </c>
      <c r="Z1975">
        <f>'raw data Crude oil'!Z1976</f>
        <v>77.13</v>
      </c>
      <c r="AA1975">
        <f>'raw data Crude oil'!AA1976</f>
        <v>76.155000000000001</v>
      </c>
      <c r="AB1975">
        <f>'raw data Crude oil'!AB1976</f>
        <v>75.334999999999994</v>
      </c>
      <c r="AC1975">
        <f>'raw data Crude oil'!AC1976</f>
        <v>74.805999999999997</v>
      </c>
      <c r="AD1975">
        <f>'raw data Crude oil'!AD1976</f>
        <v>74.406000000000006</v>
      </c>
      <c r="AE1975">
        <f>'raw data Crude oil'!AE1976</f>
        <v>74.138999999999996</v>
      </c>
      <c r="AF1975">
        <f>'raw data Crude oil'!AF1976</f>
        <v>73.918999999999997</v>
      </c>
      <c r="AG1975">
        <f>'raw data Crude oil'!AG1976</f>
        <v>73.7</v>
      </c>
      <c r="AH1975">
        <f>'raw data Crude oil'!AH1976</f>
        <v>73.489999999999995</v>
      </c>
      <c r="AI1975">
        <f>'raw data Crude oil'!AI1976</f>
        <v>73.27</v>
      </c>
      <c r="AJ1975">
        <f>'raw data Crude oil'!AJ1976</f>
        <v>73.049000000000007</v>
      </c>
      <c r="AK1975">
        <f>'raw data Crude oil'!AK1976</f>
        <v>72.83</v>
      </c>
    </row>
    <row r="1976" spans="1:37" x14ac:dyDescent="0.3">
      <c r="A1976" s="18">
        <f>'raw data Crude oil'!A1977</f>
        <v>45527</v>
      </c>
      <c r="B1976">
        <f>'raw data Crude oil'!B1977</f>
        <v>79.02</v>
      </c>
      <c r="C1976">
        <f>'raw data Crude oil'!C1977</f>
        <v>78.150000000000006</v>
      </c>
      <c r="D1976">
        <f>'raw data Crude oil'!D1977</f>
        <v>77.540000000000006</v>
      </c>
      <c r="E1976">
        <f>'raw data Crude oil'!E1977</f>
        <v>77.06</v>
      </c>
      <c r="F1976">
        <f>'raw data Crude oil'!F1977</f>
        <v>76.7</v>
      </c>
      <c r="G1976">
        <f>'raw data Crude oil'!G1977</f>
        <v>76.41</v>
      </c>
      <c r="H1976">
        <f>'raw data Crude oil'!H1977</f>
        <v>76.14</v>
      </c>
      <c r="I1976">
        <f>'raw data Crude oil'!I1977</f>
        <v>75.88</v>
      </c>
      <c r="J1976">
        <f>'raw data Crude oil'!J1977</f>
        <v>75.63</v>
      </c>
      <c r="K1976">
        <f>'raw data Crude oil'!K1977</f>
        <v>75.39</v>
      </c>
      <c r="L1976">
        <f>'raw data Crude oil'!L1977</f>
        <v>75.14</v>
      </c>
      <c r="M1976">
        <f>'raw data Crude oil'!M1977</f>
        <v>74.88</v>
      </c>
      <c r="N1976">
        <f>'raw data Crude oil'!N1977</f>
        <v>74.83</v>
      </c>
      <c r="O1976">
        <f>'raw data Crude oil'!O1977</f>
        <v>73.930000000000007</v>
      </c>
      <c r="P1976">
        <f>'raw data Crude oil'!P1977</f>
        <v>73.25</v>
      </c>
      <c r="Q1976">
        <f>'raw data Crude oil'!Q1977</f>
        <v>72.739999999999995</v>
      </c>
      <c r="R1976">
        <f>'raw data Crude oil'!R1977</f>
        <v>72.34</v>
      </c>
      <c r="S1976">
        <f>'raw data Crude oil'!S1977</f>
        <v>72</v>
      </c>
      <c r="T1976">
        <f>'raw data Crude oil'!T1977</f>
        <v>71.69</v>
      </c>
      <c r="U1976">
        <f>'raw data Crude oil'!U1977</f>
        <v>71.39</v>
      </c>
      <c r="V1976">
        <f>'raw data Crude oil'!V1977</f>
        <v>71.09</v>
      </c>
      <c r="W1976">
        <f>'raw data Crude oil'!W1977</f>
        <v>70.790000000000006</v>
      </c>
      <c r="X1976">
        <f>'raw data Crude oil'!X1977</f>
        <v>70.5</v>
      </c>
      <c r="Y1976">
        <f>'raw data Crude oil'!Y1977</f>
        <v>70.23</v>
      </c>
      <c r="Z1976">
        <f>'raw data Crude oil'!Z1977</f>
        <v>77.584000000000003</v>
      </c>
      <c r="AA1976">
        <f>'raw data Crude oil'!AA1977</f>
        <v>77.801000000000002</v>
      </c>
      <c r="AB1976">
        <f>'raw data Crude oil'!AB1977</f>
        <v>76.879000000000005</v>
      </c>
      <c r="AC1976">
        <f>'raw data Crude oil'!AC1977</f>
        <v>76.302999999999997</v>
      </c>
      <c r="AD1976">
        <f>'raw data Crude oil'!AD1977</f>
        <v>75.872</v>
      </c>
      <c r="AE1976">
        <f>'raw data Crude oil'!AE1977</f>
        <v>75.561000000000007</v>
      </c>
      <c r="AF1976">
        <f>'raw data Crude oil'!AF1977</f>
        <v>75.31</v>
      </c>
      <c r="AG1976">
        <f>'raw data Crude oil'!AG1977</f>
        <v>75.061000000000007</v>
      </c>
      <c r="AH1976">
        <f>'raw data Crude oil'!AH1977</f>
        <v>74.811999999999998</v>
      </c>
      <c r="AI1976">
        <f>'raw data Crude oil'!AI1977</f>
        <v>74.572000000000003</v>
      </c>
      <c r="AJ1976">
        <f>'raw data Crude oil'!AJ1977</f>
        <v>74.317999999999998</v>
      </c>
      <c r="AK1976">
        <f>'raw data Crude oil'!AK1977</f>
        <v>74.09</v>
      </c>
    </row>
    <row r="1977" spans="1:37" x14ac:dyDescent="0.3">
      <c r="A1977" s="18">
        <f>'raw data Crude oil'!A1978</f>
        <v>45530</v>
      </c>
      <c r="B1977">
        <f>'raw data Crude oil'!B1978</f>
        <v>81.430000000000007</v>
      </c>
      <c r="C1977">
        <f>'raw data Crude oil'!C1978</f>
        <v>80.36</v>
      </c>
      <c r="D1977">
        <f>'raw data Crude oil'!D1978</f>
        <v>79.510000000000005</v>
      </c>
      <c r="E1977">
        <f>'raw data Crude oil'!E1978</f>
        <v>78.87</v>
      </c>
      <c r="F1977">
        <f>'raw data Crude oil'!F1978</f>
        <v>78.400000000000006</v>
      </c>
      <c r="G1977">
        <f>'raw data Crude oil'!G1978</f>
        <v>78.040000000000006</v>
      </c>
      <c r="H1977">
        <f>'raw data Crude oil'!H1978</f>
        <v>77.709999999999994</v>
      </c>
      <c r="I1977">
        <f>'raw data Crude oil'!I1978</f>
        <v>77.41</v>
      </c>
      <c r="J1977">
        <f>'raw data Crude oil'!J1978</f>
        <v>77.12</v>
      </c>
      <c r="K1977">
        <f>'raw data Crude oil'!K1978</f>
        <v>76.83</v>
      </c>
      <c r="L1977">
        <f>'raw data Crude oil'!L1978</f>
        <v>76.540000000000006</v>
      </c>
      <c r="M1977">
        <f>'raw data Crude oil'!M1978</f>
        <v>76.23</v>
      </c>
      <c r="N1977">
        <f>'raw data Crude oil'!N1978</f>
        <v>77.42</v>
      </c>
      <c r="O1977">
        <f>'raw data Crude oil'!O1978</f>
        <v>76.17</v>
      </c>
      <c r="P1977">
        <f>'raw data Crude oil'!P1978</f>
        <v>75.209999999999994</v>
      </c>
      <c r="Q1977">
        <f>'raw data Crude oil'!Q1978</f>
        <v>74.510000000000005</v>
      </c>
      <c r="R1977">
        <f>'raw data Crude oil'!R1978</f>
        <v>73.97</v>
      </c>
      <c r="S1977">
        <f>'raw data Crude oil'!S1978</f>
        <v>73.540000000000006</v>
      </c>
      <c r="T1977">
        <f>'raw data Crude oil'!T1978</f>
        <v>73.17</v>
      </c>
      <c r="U1977">
        <f>'raw data Crude oil'!U1978</f>
        <v>72.84</v>
      </c>
      <c r="V1977">
        <f>'raw data Crude oil'!V1978</f>
        <v>72.52</v>
      </c>
      <c r="W1977">
        <f>'raw data Crude oil'!W1978</f>
        <v>72.180000000000007</v>
      </c>
      <c r="X1977">
        <f>'raw data Crude oil'!X1978</f>
        <v>71.86</v>
      </c>
      <c r="Y1977">
        <f>'raw data Crude oil'!Y1978</f>
        <v>71.55</v>
      </c>
      <c r="Z1977">
        <f>'raw data Crude oil'!Z1978</f>
        <v>77.954999999999998</v>
      </c>
      <c r="AA1977">
        <f>'raw data Crude oil'!AA1978</f>
        <v>79.685000000000002</v>
      </c>
      <c r="AB1977">
        <f>'raw data Crude oil'!AB1978</f>
        <v>78.596999999999994</v>
      </c>
      <c r="AC1977">
        <f>'raw data Crude oil'!AC1978</f>
        <v>77.947999999999993</v>
      </c>
      <c r="AD1977">
        <f>'raw data Crude oil'!AD1978</f>
        <v>77.450999999999993</v>
      </c>
      <c r="AE1977">
        <f>'raw data Crude oil'!AE1978</f>
        <v>77.094999999999999</v>
      </c>
      <c r="AF1977">
        <f>'raw data Crude oil'!AF1978</f>
        <v>76.796000000000006</v>
      </c>
      <c r="AG1977">
        <f>'raw data Crude oil'!AG1978</f>
        <v>76.506</v>
      </c>
      <c r="AH1977">
        <f>'raw data Crude oil'!AH1978</f>
        <v>76.245999999999995</v>
      </c>
      <c r="AI1977">
        <f>'raw data Crude oil'!AI1978</f>
        <v>75.977000000000004</v>
      </c>
      <c r="AJ1977">
        <f>'raw data Crude oil'!AJ1978</f>
        <v>75.715000000000003</v>
      </c>
      <c r="AK1977">
        <f>'raw data Crude oil'!AK1978</f>
        <v>75.436999999999998</v>
      </c>
    </row>
    <row r="1978" spans="1:37" x14ac:dyDescent="0.3">
      <c r="A1978" s="18">
        <f>'raw data Crude oil'!A1979</f>
        <v>45531</v>
      </c>
      <c r="B1978">
        <f>'raw data Crude oil'!B1979</f>
        <v>79.55</v>
      </c>
      <c r="C1978">
        <f>'raw data Crude oil'!C1979</f>
        <v>78.66</v>
      </c>
      <c r="D1978">
        <f>'raw data Crude oil'!D1979</f>
        <v>77.92</v>
      </c>
      <c r="E1978">
        <f>'raw data Crude oil'!E1979</f>
        <v>77.36</v>
      </c>
      <c r="F1978">
        <f>'raw data Crude oil'!F1979</f>
        <v>76.959999999999994</v>
      </c>
      <c r="G1978">
        <f>'raw data Crude oil'!G1979</f>
        <v>76.66</v>
      </c>
      <c r="H1978">
        <f>'raw data Crude oil'!H1979</f>
        <v>76.38</v>
      </c>
      <c r="I1978">
        <f>'raw data Crude oil'!I1979</f>
        <v>76.11</v>
      </c>
      <c r="J1978">
        <f>'raw data Crude oil'!J1979</f>
        <v>75.849999999999994</v>
      </c>
      <c r="K1978">
        <f>'raw data Crude oil'!K1979</f>
        <v>75.599999999999994</v>
      </c>
      <c r="L1978">
        <f>'raw data Crude oil'!L1979</f>
        <v>75.349999999999994</v>
      </c>
      <c r="M1978">
        <f>'raw data Crude oil'!M1979</f>
        <v>75.08</v>
      </c>
      <c r="N1978">
        <f>'raw data Crude oil'!N1979</f>
        <v>75.53</v>
      </c>
      <c r="O1978">
        <f>'raw data Crude oil'!O1979</f>
        <v>74.459999999999994</v>
      </c>
      <c r="P1978">
        <f>'raw data Crude oil'!P1979</f>
        <v>73.62</v>
      </c>
      <c r="Q1978">
        <f>'raw data Crude oil'!Q1979</f>
        <v>73.010000000000005</v>
      </c>
      <c r="R1978">
        <f>'raw data Crude oil'!R1979</f>
        <v>72.55</v>
      </c>
      <c r="S1978">
        <f>'raw data Crude oil'!S1979</f>
        <v>72.180000000000007</v>
      </c>
      <c r="T1978">
        <f>'raw data Crude oil'!T1979</f>
        <v>71.86</v>
      </c>
      <c r="U1978">
        <f>'raw data Crude oil'!U1979</f>
        <v>71.569999999999993</v>
      </c>
      <c r="V1978">
        <f>'raw data Crude oil'!V1979</f>
        <v>71.290000000000006</v>
      </c>
      <c r="W1978">
        <f>'raw data Crude oil'!W1979</f>
        <v>71</v>
      </c>
      <c r="X1978">
        <f>'raw data Crude oil'!X1979</f>
        <v>70.72</v>
      </c>
      <c r="Y1978">
        <f>'raw data Crude oil'!Y1979</f>
        <v>70.45</v>
      </c>
      <c r="Z1978">
        <f>'raw data Crude oil'!Z1979</f>
        <v>77.667000000000002</v>
      </c>
      <c r="AA1978">
        <f>'raw data Crude oil'!AA1979</f>
        <v>77.941000000000003</v>
      </c>
      <c r="AB1978">
        <f>'raw data Crude oil'!AB1979</f>
        <v>76.872</v>
      </c>
      <c r="AC1978">
        <f>'raw data Crude oil'!AC1979</f>
        <v>76.266999999999996</v>
      </c>
      <c r="AD1978">
        <f>'raw data Crude oil'!AD1979</f>
        <v>75.825999999999993</v>
      </c>
      <c r="AE1978">
        <f>'raw data Crude oil'!AE1979</f>
        <v>75.534999999999997</v>
      </c>
      <c r="AF1978">
        <f>'raw data Crude oil'!AF1979</f>
        <v>75.295000000000002</v>
      </c>
      <c r="AG1978">
        <f>'raw data Crude oil'!AG1979</f>
        <v>75.054000000000002</v>
      </c>
      <c r="AH1978">
        <f>'raw data Crude oil'!AH1979</f>
        <v>74.823999999999998</v>
      </c>
      <c r="AI1978">
        <f>'raw data Crude oil'!AI1979</f>
        <v>74.593999999999994</v>
      </c>
      <c r="AJ1978">
        <f>'raw data Crude oil'!AJ1979</f>
        <v>74.367000000000004</v>
      </c>
      <c r="AK1978">
        <f>'raw data Crude oil'!AK1979</f>
        <v>74.138999999999996</v>
      </c>
    </row>
    <row r="1979" spans="1:37" x14ac:dyDescent="0.3">
      <c r="A1979" s="18">
        <f>'raw data Crude oil'!A1980</f>
        <v>45532</v>
      </c>
      <c r="B1979">
        <f>'raw data Crude oil'!B1980</f>
        <v>78.650000000000006</v>
      </c>
      <c r="C1979">
        <f>'raw data Crude oil'!C1980</f>
        <v>77.58</v>
      </c>
      <c r="D1979">
        <f>'raw data Crude oil'!D1980</f>
        <v>76.8</v>
      </c>
      <c r="E1979">
        <f>'raw data Crude oil'!E1980</f>
        <v>76.239999999999995</v>
      </c>
      <c r="F1979">
        <f>'raw data Crude oil'!F1980</f>
        <v>75.849999999999994</v>
      </c>
      <c r="G1979">
        <f>'raw data Crude oil'!G1980</f>
        <v>75.569999999999993</v>
      </c>
      <c r="H1979">
        <f>'raw data Crude oil'!H1980</f>
        <v>75.31</v>
      </c>
      <c r="I1979">
        <f>'raw data Crude oil'!I1980</f>
        <v>75.06</v>
      </c>
      <c r="J1979">
        <f>'raw data Crude oil'!J1980</f>
        <v>74.819999999999993</v>
      </c>
      <c r="K1979">
        <f>'raw data Crude oil'!K1980</f>
        <v>74.59</v>
      </c>
      <c r="L1979">
        <f>'raw data Crude oil'!L1980</f>
        <v>74.36</v>
      </c>
      <c r="M1979">
        <f>'raw data Crude oil'!M1980</f>
        <v>74.12</v>
      </c>
      <c r="N1979">
        <f>'raw data Crude oil'!N1980</f>
        <v>74.52</v>
      </c>
      <c r="O1979">
        <f>'raw data Crude oil'!O1980</f>
        <v>73.44</v>
      </c>
      <c r="P1979">
        <f>'raw data Crude oil'!P1980</f>
        <v>72.59</v>
      </c>
      <c r="Q1979">
        <f>'raw data Crude oil'!Q1980</f>
        <v>71.989999999999995</v>
      </c>
      <c r="R1979">
        <f>'raw data Crude oil'!R1980</f>
        <v>71.55</v>
      </c>
      <c r="S1979">
        <f>'raw data Crude oil'!S1980</f>
        <v>71.2</v>
      </c>
      <c r="T1979">
        <f>'raw data Crude oil'!T1980</f>
        <v>70.900000000000006</v>
      </c>
      <c r="U1979">
        <f>'raw data Crude oil'!U1980</f>
        <v>70.62</v>
      </c>
      <c r="V1979">
        <f>'raw data Crude oil'!V1980</f>
        <v>70.36</v>
      </c>
      <c r="W1979">
        <f>'raw data Crude oil'!W1980</f>
        <v>70.08</v>
      </c>
      <c r="X1979">
        <f>'raw data Crude oil'!X1980</f>
        <v>69.819999999999993</v>
      </c>
      <c r="Y1979">
        <f>'raw data Crude oil'!Y1980</f>
        <v>69.58</v>
      </c>
      <c r="Z1979">
        <f>'raw data Crude oil'!Z1980</f>
        <v>77.555000000000007</v>
      </c>
      <c r="AA1979">
        <f>'raw data Crude oil'!AA1980</f>
        <v>76.957999999999998</v>
      </c>
      <c r="AB1979">
        <f>'raw data Crude oil'!AB1980</f>
        <v>75.793999999999997</v>
      </c>
      <c r="AC1979">
        <f>'raw data Crude oil'!AC1980</f>
        <v>75.171999999999997</v>
      </c>
      <c r="AD1979">
        <f>'raw data Crude oil'!AD1980</f>
        <v>74.727999999999994</v>
      </c>
      <c r="AE1979">
        <f>'raw data Crude oil'!AE1980</f>
        <v>74.438000000000002</v>
      </c>
      <c r="AF1979">
        <f>'raw data Crude oil'!AF1980</f>
        <v>74.192999999999998</v>
      </c>
      <c r="AG1979">
        <f>'raw data Crude oil'!AG1980</f>
        <v>73.959000000000003</v>
      </c>
      <c r="AH1979">
        <f>'raw data Crude oil'!AH1980</f>
        <v>73.728999999999999</v>
      </c>
      <c r="AI1979">
        <f>'raw data Crude oil'!AI1980</f>
        <v>73.5</v>
      </c>
      <c r="AJ1979">
        <f>'raw data Crude oil'!AJ1980</f>
        <v>73.278999999999996</v>
      </c>
      <c r="AK1979">
        <f>'raw data Crude oil'!AK1980</f>
        <v>73.06</v>
      </c>
    </row>
    <row r="1980" spans="1:37" x14ac:dyDescent="0.3">
      <c r="A1980" s="18">
        <f>'raw data Crude oil'!A1981</f>
        <v>45533</v>
      </c>
      <c r="B1980">
        <f>'raw data Crude oil'!B1981</f>
        <v>79.94</v>
      </c>
      <c r="C1980">
        <f>'raw data Crude oil'!C1981</f>
        <v>78.819999999999993</v>
      </c>
      <c r="D1980">
        <f>'raw data Crude oil'!D1981</f>
        <v>77.98</v>
      </c>
      <c r="E1980">
        <f>'raw data Crude oil'!E1981</f>
        <v>77.38</v>
      </c>
      <c r="F1980">
        <f>'raw data Crude oil'!F1981</f>
        <v>76.959999999999994</v>
      </c>
      <c r="G1980">
        <f>'raw data Crude oil'!G1981</f>
        <v>76.66</v>
      </c>
      <c r="H1980">
        <f>'raw data Crude oil'!H1981</f>
        <v>76.38</v>
      </c>
      <c r="I1980">
        <f>'raw data Crude oil'!I1981</f>
        <v>76.11</v>
      </c>
      <c r="J1980">
        <f>'raw data Crude oil'!J1981</f>
        <v>75.849999999999994</v>
      </c>
      <c r="K1980">
        <f>'raw data Crude oil'!K1981</f>
        <v>75.59</v>
      </c>
      <c r="L1980">
        <f>'raw data Crude oil'!L1981</f>
        <v>75.34</v>
      </c>
      <c r="M1980">
        <f>'raw data Crude oil'!M1981</f>
        <v>75.08</v>
      </c>
      <c r="N1980">
        <f>'raw data Crude oil'!N1981</f>
        <v>75.91</v>
      </c>
      <c r="O1980">
        <f>'raw data Crude oil'!O1981</f>
        <v>74.67</v>
      </c>
      <c r="P1980">
        <f>'raw data Crude oil'!P1981</f>
        <v>73.73</v>
      </c>
      <c r="Q1980">
        <f>'raw data Crude oil'!Q1981</f>
        <v>73.09</v>
      </c>
      <c r="R1980">
        <f>'raw data Crude oil'!R1981</f>
        <v>72.62</v>
      </c>
      <c r="S1980">
        <f>'raw data Crude oil'!S1981</f>
        <v>72.25</v>
      </c>
      <c r="T1980">
        <f>'raw data Crude oil'!T1981</f>
        <v>71.930000000000007</v>
      </c>
      <c r="U1980">
        <f>'raw data Crude oil'!U1981</f>
        <v>71.63</v>
      </c>
      <c r="V1980">
        <f>'raw data Crude oil'!V1981</f>
        <v>71.349999999999994</v>
      </c>
      <c r="W1980">
        <f>'raw data Crude oil'!W1981</f>
        <v>71.05</v>
      </c>
      <c r="X1980">
        <f>'raw data Crude oil'!X1981</f>
        <v>70.77</v>
      </c>
      <c r="Y1980">
        <f>'raw data Crude oil'!Y1981</f>
        <v>70.5</v>
      </c>
      <c r="Z1980">
        <f>'raw data Crude oil'!Z1981</f>
        <v>77.587000000000003</v>
      </c>
      <c r="AA1980">
        <f>'raw data Crude oil'!AA1981</f>
        <v>78.069999999999993</v>
      </c>
      <c r="AB1980">
        <f>'raw data Crude oil'!AB1981</f>
        <v>76.944000000000003</v>
      </c>
      <c r="AC1980">
        <f>'raw data Crude oil'!AC1981</f>
        <v>76.3</v>
      </c>
      <c r="AD1980">
        <f>'raw data Crude oil'!AD1981</f>
        <v>75.828999999999994</v>
      </c>
      <c r="AE1980">
        <f>'raw data Crude oil'!AE1981</f>
        <v>75.516999999999996</v>
      </c>
      <c r="AF1980">
        <f>'raw data Crude oil'!AF1981</f>
        <v>75.266999999999996</v>
      </c>
      <c r="AG1980">
        <f>'raw data Crude oil'!AG1981</f>
        <v>75.028000000000006</v>
      </c>
      <c r="AH1980">
        <f>'raw data Crude oil'!AH1981</f>
        <v>74.787999999999997</v>
      </c>
      <c r="AI1980">
        <f>'raw data Crude oil'!AI1981</f>
        <v>74.549000000000007</v>
      </c>
      <c r="AJ1980">
        <f>'raw data Crude oil'!AJ1981</f>
        <v>74.308000000000007</v>
      </c>
      <c r="AK1980">
        <f>'raw data Crude oil'!AK1981</f>
        <v>74.058999999999997</v>
      </c>
    </row>
    <row r="1981" spans="1:37" x14ac:dyDescent="0.3">
      <c r="A1981" s="18">
        <f>'raw data Crude oil'!A1982</f>
        <v>45534</v>
      </c>
      <c r="B1981">
        <f>'raw data Crude oil'!B1982</f>
        <v>78.8</v>
      </c>
      <c r="C1981">
        <f>'raw data Crude oil'!C1982</f>
        <v>76.930000000000007</v>
      </c>
      <c r="D1981">
        <f>'raw data Crude oil'!D1982</f>
        <v>76.239999999999995</v>
      </c>
      <c r="E1981">
        <f>'raw data Crude oil'!E1982</f>
        <v>75.72</v>
      </c>
      <c r="F1981">
        <f>'raw data Crude oil'!F1982</f>
        <v>75.38</v>
      </c>
      <c r="G1981">
        <f>'raw data Crude oil'!G1982</f>
        <v>75.13</v>
      </c>
      <c r="H1981">
        <f>'raw data Crude oil'!H1982</f>
        <v>74.89</v>
      </c>
      <c r="I1981">
        <f>'raw data Crude oil'!I1982</f>
        <v>74.66</v>
      </c>
      <c r="J1981">
        <f>'raw data Crude oil'!J1982</f>
        <v>74.430000000000007</v>
      </c>
      <c r="K1981">
        <f>'raw data Crude oil'!K1982</f>
        <v>74.209999999999994</v>
      </c>
      <c r="L1981">
        <f>'raw data Crude oil'!L1982</f>
        <v>73.989999999999995</v>
      </c>
      <c r="M1981">
        <f>'raw data Crude oil'!M1982</f>
        <v>73.760000000000005</v>
      </c>
      <c r="N1981">
        <f>'raw data Crude oil'!N1982</f>
        <v>73.55</v>
      </c>
      <c r="O1981">
        <f>'raw data Crude oil'!O1982</f>
        <v>72.650000000000006</v>
      </c>
      <c r="P1981">
        <f>'raw data Crude oil'!P1982</f>
        <v>71.89</v>
      </c>
      <c r="Q1981">
        <f>'raw data Crude oil'!Q1982</f>
        <v>71.36</v>
      </c>
      <c r="R1981">
        <f>'raw data Crude oil'!R1982</f>
        <v>70.97</v>
      </c>
      <c r="S1981">
        <f>'raw data Crude oil'!S1982</f>
        <v>70.67</v>
      </c>
      <c r="T1981">
        <f>'raw data Crude oil'!T1982</f>
        <v>70.400000000000006</v>
      </c>
      <c r="U1981">
        <f>'raw data Crude oil'!U1982</f>
        <v>70.150000000000006</v>
      </c>
      <c r="V1981">
        <f>'raw data Crude oil'!V1982</f>
        <v>69.89</v>
      </c>
      <c r="W1981">
        <f>'raw data Crude oil'!W1982</f>
        <v>69.63</v>
      </c>
      <c r="X1981">
        <f>'raw data Crude oil'!X1982</f>
        <v>69.39</v>
      </c>
      <c r="Y1981">
        <f>'raw data Crude oil'!Y1982</f>
        <v>69.150000000000006</v>
      </c>
      <c r="Z1981">
        <f>'raw data Crude oil'!Z1982</f>
        <v>77.596000000000004</v>
      </c>
      <c r="AA1981">
        <f>'raw data Crude oil'!AA1982</f>
        <v>76.266999999999996</v>
      </c>
      <c r="AB1981">
        <f>'raw data Crude oil'!AB1982</f>
        <v>75.147000000000006</v>
      </c>
      <c r="AC1981">
        <f>'raw data Crude oil'!AC1982</f>
        <v>74.527000000000001</v>
      </c>
      <c r="AD1981">
        <f>'raw data Crude oil'!AD1982</f>
        <v>74.117000000000004</v>
      </c>
      <c r="AE1981">
        <f>'raw data Crude oil'!AE1982</f>
        <v>73.846999999999994</v>
      </c>
      <c r="AF1981">
        <f>'raw data Crude oil'!AF1982</f>
        <v>73.652000000000001</v>
      </c>
      <c r="AG1981">
        <f>'raw data Crude oil'!AG1982</f>
        <v>73.459000000000003</v>
      </c>
      <c r="AH1981">
        <f>'raw data Crude oil'!AH1982</f>
        <v>73.260000000000005</v>
      </c>
      <c r="AI1981">
        <f>'raw data Crude oil'!AI1982</f>
        <v>73.069999999999993</v>
      </c>
      <c r="AJ1981">
        <f>'raw data Crude oil'!AJ1982</f>
        <v>72.872</v>
      </c>
      <c r="AK1981">
        <f>'raw data Crude oil'!AK1982</f>
        <v>72.671000000000006</v>
      </c>
    </row>
    <row r="1982" spans="1:37" x14ac:dyDescent="0.3">
      <c r="A1982" s="18">
        <f>'raw data Crude oil'!A1983</f>
        <v>45537</v>
      </c>
      <c r="B1982">
        <f>'raw data Crude oil'!B1983</f>
        <v>77.52</v>
      </c>
      <c r="C1982">
        <f>'raw data Crude oil'!C1983</f>
        <v>76.73</v>
      </c>
      <c r="D1982">
        <f>'raw data Crude oil'!D1983</f>
        <v>76.16</v>
      </c>
      <c r="E1982">
        <f>'raw data Crude oil'!E1983</f>
        <v>75.78</v>
      </c>
      <c r="F1982">
        <f>'raw data Crude oil'!F1983</f>
        <v>75.510000000000005</v>
      </c>
      <c r="G1982">
        <f>'raw data Crude oil'!G1983</f>
        <v>75.260000000000005</v>
      </c>
      <c r="H1982">
        <f>'raw data Crude oil'!H1983</f>
        <v>75.02</v>
      </c>
      <c r="I1982">
        <f>'raw data Crude oil'!I1983</f>
        <v>74.790000000000006</v>
      </c>
      <c r="J1982">
        <f>'raw data Crude oil'!J1983</f>
        <v>74.569999999999993</v>
      </c>
      <c r="K1982">
        <f>'raw data Crude oil'!K1983</f>
        <v>74.349999999999994</v>
      </c>
      <c r="L1982">
        <f>'raw data Crude oil'!L1983</f>
        <v>74.12</v>
      </c>
      <c r="M1982">
        <f>'raw data Crude oil'!M1983</f>
        <v>73.900000000000006</v>
      </c>
      <c r="N1982">
        <f>'raw data Crude oil'!N1983</f>
        <v>73.55</v>
      </c>
      <c r="O1982">
        <f>'raw data Crude oil'!O1983</f>
        <v>72.650000000000006</v>
      </c>
      <c r="P1982">
        <f>'raw data Crude oil'!P1983</f>
        <v>71.89</v>
      </c>
      <c r="Q1982">
        <f>'raw data Crude oil'!Q1983</f>
        <v>71.36</v>
      </c>
      <c r="R1982">
        <f>'raw data Crude oil'!R1983</f>
        <v>70.97</v>
      </c>
      <c r="S1982">
        <f>'raw data Crude oil'!S1983</f>
        <v>70.67</v>
      </c>
      <c r="T1982">
        <f>'raw data Crude oil'!T1983</f>
        <v>70.400000000000006</v>
      </c>
      <c r="U1982">
        <f>'raw data Crude oil'!U1983</f>
        <v>70.150000000000006</v>
      </c>
      <c r="V1982">
        <f>'raw data Crude oil'!V1983</f>
        <v>69.89</v>
      </c>
      <c r="W1982">
        <f>'raw data Crude oil'!W1983</f>
        <v>69.63</v>
      </c>
      <c r="X1982">
        <f>'raw data Crude oil'!X1983</f>
        <v>69.39</v>
      </c>
      <c r="Y1982">
        <f>'raw data Crude oil'!Y1983</f>
        <v>69.150000000000006</v>
      </c>
      <c r="Z1982">
        <f>'raw data Crude oil'!Z1983</f>
        <v>77.596000000000004</v>
      </c>
      <c r="AA1982">
        <f>'raw data Crude oil'!AA1983</f>
        <v>76.956999999999994</v>
      </c>
      <c r="AB1982">
        <f>'raw data Crude oil'!AB1983</f>
        <v>75.73</v>
      </c>
      <c r="AC1982">
        <f>'raw data Crude oil'!AC1983</f>
        <v>75.046999999999997</v>
      </c>
      <c r="AD1982">
        <f>'raw data Crude oil'!AD1983</f>
        <v>74.593999999999994</v>
      </c>
      <c r="AE1982">
        <f>'raw data Crude oil'!AE1983</f>
        <v>74.278999999999996</v>
      </c>
      <c r="AF1982">
        <f>'raw data Crude oil'!AF1983</f>
        <v>74.052999999999997</v>
      </c>
      <c r="AG1982">
        <f>'raw data Crude oil'!AG1983</f>
        <v>73.834000000000003</v>
      </c>
      <c r="AH1982">
        <f>'raw data Crude oil'!AH1983</f>
        <v>73.62</v>
      </c>
      <c r="AI1982">
        <f>'raw data Crude oil'!AI1983</f>
        <v>73.415000000000006</v>
      </c>
      <c r="AJ1982">
        <f>'raw data Crude oil'!AJ1983</f>
        <v>73.213999999999999</v>
      </c>
      <c r="AK1982">
        <f>'raw data Crude oil'!AK1983</f>
        <v>73</v>
      </c>
    </row>
    <row r="1983" spans="1:37" x14ac:dyDescent="0.3">
      <c r="A1983" s="18">
        <f>'raw data Crude oil'!A1984</f>
        <v>45538</v>
      </c>
      <c r="B1983">
        <f>'raw data Crude oil'!B1984</f>
        <v>73.75</v>
      </c>
      <c r="C1983">
        <f>'raw data Crude oil'!C1984</f>
        <v>73.3</v>
      </c>
      <c r="D1983">
        <f>'raw data Crude oil'!D1984</f>
        <v>72.91</v>
      </c>
      <c r="E1983">
        <f>'raw data Crude oil'!E1984</f>
        <v>72.61</v>
      </c>
      <c r="F1983">
        <f>'raw data Crude oil'!F1984</f>
        <v>72.400000000000006</v>
      </c>
      <c r="G1983">
        <f>'raw data Crude oil'!G1984</f>
        <v>72.209999999999994</v>
      </c>
      <c r="H1983">
        <f>'raw data Crude oil'!H1984</f>
        <v>72.03</v>
      </c>
      <c r="I1983">
        <f>'raw data Crude oil'!I1984</f>
        <v>71.88</v>
      </c>
      <c r="J1983">
        <f>'raw data Crude oil'!J1984</f>
        <v>71.72</v>
      </c>
      <c r="K1983">
        <f>'raw data Crude oil'!K1984</f>
        <v>71.569999999999993</v>
      </c>
      <c r="L1983">
        <f>'raw data Crude oil'!L1984</f>
        <v>71.41</v>
      </c>
      <c r="M1983">
        <f>'raw data Crude oil'!M1984</f>
        <v>71.260000000000005</v>
      </c>
      <c r="N1983">
        <f>'raw data Crude oil'!N1984</f>
        <v>70.34</v>
      </c>
      <c r="O1983">
        <f>'raw data Crude oil'!O1984</f>
        <v>69.59</v>
      </c>
      <c r="P1983">
        <f>'raw data Crude oil'!P1984</f>
        <v>69.040000000000006</v>
      </c>
      <c r="Q1983">
        <f>'raw data Crude oil'!Q1984</f>
        <v>68.64</v>
      </c>
      <c r="R1983">
        <f>'raw data Crude oil'!R1984</f>
        <v>68.31</v>
      </c>
      <c r="S1983">
        <f>'raw data Crude oil'!S1984</f>
        <v>68.06</v>
      </c>
      <c r="T1983">
        <f>'raw data Crude oil'!T1984</f>
        <v>67.849999999999994</v>
      </c>
      <c r="U1983">
        <f>'raw data Crude oil'!U1984</f>
        <v>67.650000000000006</v>
      </c>
      <c r="V1983">
        <f>'raw data Crude oil'!V1984</f>
        <v>67.45</v>
      </c>
      <c r="W1983">
        <f>'raw data Crude oil'!W1984</f>
        <v>67.239999999999995</v>
      </c>
      <c r="X1983">
        <f>'raw data Crude oil'!X1984</f>
        <v>67.05</v>
      </c>
      <c r="Y1983">
        <f>'raw data Crude oil'!Y1984</f>
        <v>66.88</v>
      </c>
      <c r="Z1983">
        <f>'raw data Crude oil'!Z1984</f>
        <v>73.912000000000006</v>
      </c>
      <c r="AA1983">
        <f>'raw data Crude oil'!AA1984</f>
        <v>72.332999999999998</v>
      </c>
      <c r="AB1983">
        <f>'raw data Crude oil'!AB1984</f>
        <v>71.775999999999996</v>
      </c>
      <c r="AC1983">
        <f>'raw data Crude oil'!AC1984</f>
        <v>71.400999999999996</v>
      </c>
      <c r="AD1983">
        <f>'raw data Crude oil'!AD1984</f>
        <v>71.161000000000001</v>
      </c>
      <c r="AE1983">
        <f>'raw data Crude oil'!AE1984</f>
        <v>71.006</v>
      </c>
      <c r="AF1983">
        <f>'raw data Crude oil'!AF1984</f>
        <v>70.863</v>
      </c>
      <c r="AG1983">
        <f>'raw data Crude oil'!AG1984</f>
        <v>70.731999999999999</v>
      </c>
      <c r="AH1983">
        <f>'raw data Crude oil'!AH1984</f>
        <v>70.593000000000004</v>
      </c>
      <c r="AI1983">
        <f>'raw data Crude oil'!AI1984</f>
        <v>70.462000000000003</v>
      </c>
      <c r="AJ1983">
        <f>'raw data Crude oil'!AJ1984</f>
        <v>70.322999999999993</v>
      </c>
      <c r="AK1983">
        <f>'raw data Crude oil'!AK1984</f>
        <v>70.192999999999998</v>
      </c>
    </row>
    <row r="1984" spans="1:37" x14ac:dyDescent="0.3">
      <c r="A1984" s="18">
        <f>'raw data Crude oil'!A1985</f>
        <v>45539</v>
      </c>
      <c r="B1984">
        <f>'raw data Crude oil'!B1985</f>
        <v>72.7</v>
      </c>
      <c r="C1984">
        <f>'raw data Crude oil'!C1985</f>
        <v>72.28</v>
      </c>
      <c r="D1984">
        <f>'raw data Crude oil'!D1985</f>
        <v>71.930000000000007</v>
      </c>
      <c r="E1984">
        <f>'raw data Crude oil'!E1985</f>
        <v>71.66</v>
      </c>
      <c r="F1984">
        <f>'raw data Crude oil'!F1985</f>
        <v>71.489999999999995</v>
      </c>
      <c r="G1984">
        <f>'raw data Crude oil'!G1985</f>
        <v>71.34</v>
      </c>
      <c r="H1984">
        <f>'raw data Crude oil'!H1985</f>
        <v>71.209999999999994</v>
      </c>
      <c r="I1984">
        <f>'raw data Crude oil'!I1985</f>
        <v>71.099999999999994</v>
      </c>
      <c r="J1984">
        <f>'raw data Crude oil'!J1985</f>
        <v>70.989999999999995</v>
      </c>
      <c r="K1984">
        <f>'raw data Crude oil'!K1985</f>
        <v>70.87</v>
      </c>
      <c r="L1984">
        <f>'raw data Crude oil'!L1985</f>
        <v>70.75</v>
      </c>
      <c r="M1984">
        <f>'raw data Crude oil'!M1985</f>
        <v>70.64</v>
      </c>
      <c r="N1984">
        <f>'raw data Crude oil'!N1985</f>
        <v>69.2</v>
      </c>
      <c r="O1984">
        <f>'raw data Crude oil'!O1985</f>
        <v>68.52</v>
      </c>
      <c r="P1984">
        <f>'raw data Crude oil'!P1985</f>
        <v>68.06</v>
      </c>
      <c r="Q1984">
        <f>'raw data Crude oil'!Q1985</f>
        <v>67.72</v>
      </c>
      <c r="R1984">
        <f>'raw data Crude oil'!R1985</f>
        <v>67.45</v>
      </c>
      <c r="S1984">
        <f>'raw data Crude oil'!S1985</f>
        <v>67.239999999999995</v>
      </c>
      <c r="T1984">
        <f>'raw data Crude oil'!T1985</f>
        <v>67.069999999999993</v>
      </c>
      <c r="U1984">
        <f>'raw data Crude oil'!U1985</f>
        <v>66.92</v>
      </c>
      <c r="V1984">
        <f>'raw data Crude oil'!V1985</f>
        <v>66.78</v>
      </c>
      <c r="W1984">
        <f>'raw data Crude oil'!W1985</f>
        <v>66.63</v>
      </c>
      <c r="X1984">
        <f>'raw data Crude oil'!X1985</f>
        <v>66.489999999999995</v>
      </c>
      <c r="Y1984">
        <f>'raw data Crude oil'!Y1985</f>
        <v>66.349999999999994</v>
      </c>
      <c r="Z1984">
        <f>'raw data Crude oil'!Z1985</f>
        <v>73.117000000000004</v>
      </c>
      <c r="AA1984">
        <f>'raw data Crude oil'!AA1985</f>
        <v>71.42</v>
      </c>
      <c r="AB1984">
        <f>'raw data Crude oil'!AB1985</f>
        <v>70.882000000000005</v>
      </c>
      <c r="AC1984">
        <f>'raw data Crude oil'!AC1985</f>
        <v>70.519000000000005</v>
      </c>
      <c r="AD1984">
        <f>'raw data Crude oil'!AD1985</f>
        <v>70.302999999999997</v>
      </c>
      <c r="AE1984">
        <f>'raw data Crude oil'!AE1985</f>
        <v>70.174000000000007</v>
      </c>
      <c r="AF1984">
        <f>'raw data Crude oil'!AF1985</f>
        <v>70.055000000000007</v>
      </c>
      <c r="AG1984">
        <f>'raw data Crude oil'!AG1985</f>
        <v>69.954999999999998</v>
      </c>
      <c r="AH1984">
        <f>'raw data Crude oil'!AH1985</f>
        <v>69.852999999999994</v>
      </c>
      <c r="AI1984">
        <f>'raw data Crude oil'!AI1985</f>
        <v>69.763999999999996</v>
      </c>
      <c r="AJ1984">
        <f>'raw data Crude oil'!AJ1985</f>
        <v>69.674999999999997</v>
      </c>
      <c r="AK1984">
        <f>'raw data Crude oil'!AK1985</f>
        <v>69.584999999999994</v>
      </c>
    </row>
    <row r="1985" spans="1:37" x14ac:dyDescent="0.3">
      <c r="A1985" s="18">
        <f>'raw data Crude oil'!A1986</f>
        <v>45540</v>
      </c>
      <c r="B1985">
        <f>'raw data Crude oil'!B1986</f>
        <v>72.69</v>
      </c>
      <c r="C1985">
        <f>'raw data Crude oil'!C1986</f>
        <v>72.33</v>
      </c>
      <c r="D1985">
        <f>'raw data Crude oil'!D1986</f>
        <v>72.040000000000006</v>
      </c>
      <c r="E1985">
        <f>'raw data Crude oil'!E1986</f>
        <v>71.84</v>
      </c>
      <c r="F1985">
        <f>'raw data Crude oil'!F1986</f>
        <v>71.72</v>
      </c>
      <c r="G1985">
        <f>'raw data Crude oil'!G1986</f>
        <v>71.62</v>
      </c>
      <c r="H1985">
        <f>'raw data Crude oil'!H1986</f>
        <v>71.53</v>
      </c>
      <c r="I1985">
        <f>'raw data Crude oil'!I1986</f>
        <v>71.45</v>
      </c>
      <c r="J1985">
        <f>'raw data Crude oil'!J1986</f>
        <v>71.37</v>
      </c>
      <c r="K1985">
        <f>'raw data Crude oil'!K1986</f>
        <v>71.28</v>
      </c>
      <c r="L1985">
        <f>'raw data Crude oil'!L1986</f>
        <v>71.180000000000007</v>
      </c>
      <c r="M1985">
        <f>'raw data Crude oil'!M1986</f>
        <v>71.09</v>
      </c>
      <c r="N1985">
        <f>'raw data Crude oil'!N1986</f>
        <v>69.150000000000006</v>
      </c>
      <c r="O1985">
        <f>'raw data Crude oil'!O1986</f>
        <v>68.5</v>
      </c>
      <c r="P1985">
        <f>'raw data Crude oil'!P1986</f>
        <v>68.08</v>
      </c>
      <c r="Q1985">
        <f>'raw data Crude oil'!Q1986</f>
        <v>67.81</v>
      </c>
      <c r="R1985">
        <f>'raw data Crude oil'!R1986</f>
        <v>67.61</v>
      </c>
      <c r="S1985">
        <f>'raw data Crude oil'!S1986</f>
        <v>67.459999999999994</v>
      </c>
      <c r="T1985">
        <f>'raw data Crude oil'!T1986</f>
        <v>67.34</v>
      </c>
      <c r="U1985">
        <f>'raw data Crude oil'!U1986</f>
        <v>67.239999999999995</v>
      </c>
      <c r="V1985">
        <f>'raw data Crude oil'!V1986</f>
        <v>67.13</v>
      </c>
      <c r="W1985">
        <f>'raw data Crude oil'!W1986</f>
        <v>67.010000000000005</v>
      </c>
      <c r="X1985">
        <f>'raw data Crude oil'!X1986</f>
        <v>66.89</v>
      </c>
      <c r="Y1985">
        <f>'raw data Crude oil'!Y1986</f>
        <v>66.77</v>
      </c>
      <c r="Z1985">
        <f>'raw data Crude oil'!Z1986</f>
        <v>73.203000000000003</v>
      </c>
      <c r="AA1985">
        <f>'raw data Crude oil'!AA1986</f>
        <v>71.587000000000003</v>
      </c>
      <c r="AB1985">
        <f>'raw data Crude oil'!AB1986</f>
        <v>71.040000000000006</v>
      </c>
      <c r="AC1985">
        <f>'raw data Crude oil'!AC1986</f>
        <v>70.697999999999993</v>
      </c>
      <c r="AD1985">
        <f>'raw data Crude oil'!AD1986</f>
        <v>70.486000000000004</v>
      </c>
      <c r="AE1985">
        <f>'raw data Crude oil'!AE1986</f>
        <v>70.376000000000005</v>
      </c>
      <c r="AF1985">
        <f>'raw data Crude oil'!AF1986</f>
        <v>70.275999999999996</v>
      </c>
      <c r="AG1985">
        <f>'raw data Crude oil'!AG1986</f>
        <v>70.195999999999998</v>
      </c>
      <c r="AH1985">
        <f>'raw data Crude oil'!AH1986</f>
        <v>70.116</v>
      </c>
      <c r="AI1985">
        <f>'raw data Crude oil'!AI1986</f>
        <v>70.034999999999997</v>
      </c>
      <c r="AJ1985">
        <f>'raw data Crude oil'!AJ1986</f>
        <v>69.945999999999998</v>
      </c>
      <c r="AK1985">
        <f>'raw data Crude oil'!AK1986</f>
        <v>69.855999999999995</v>
      </c>
    </row>
    <row r="1986" spans="1:37" x14ac:dyDescent="0.3">
      <c r="A1986" s="18">
        <f>'raw data Crude oil'!A1987</f>
        <v>45541</v>
      </c>
      <c r="B1986">
        <f>'raw data Crude oil'!B1987</f>
        <v>71.06</v>
      </c>
      <c r="C1986">
        <f>'raw data Crude oil'!C1987</f>
        <v>70.709999999999994</v>
      </c>
      <c r="D1986">
        <f>'raw data Crude oil'!D1987</f>
        <v>70.45</v>
      </c>
      <c r="E1986">
        <f>'raw data Crude oil'!E1987</f>
        <v>70.290000000000006</v>
      </c>
      <c r="F1986">
        <f>'raw data Crude oil'!F1987</f>
        <v>70.23</v>
      </c>
      <c r="G1986">
        <f>'raw data Crude oil'!G1987</f>
        <v>70.19</v>
      </c>
      <c r="H1986">
        <f>'raw data Crude oil'!H1987</f>
        <v>70.16</v>
      </c>
      <c r="I1986">
        <f>'raw data Crude oil'!I1987</f>
        <v>70.14</v>
      </c>
      <c r="J1986">
        <f>'raw data Crude oil'!J1987</f>
        <v>70.099999999999994</v>
      </c>
      <c r="K1986">
        <f>'raw data Crude oil'!K1987</f>
        <v>70.05</v>
      </c>
      <c r="L1986">
        <f>'raw data Crude oil'!L1987</f>
        <v>69.98</v>
      </c>
      <c r="M1986">
        <f>'raw data Crude oil'!M1987</f>
        <v>69.92</v>
      </c>
      <c r="N1986">
        <f>'raw data Crude oil'!N1987</f>
        <v>67.67</v>
      </c>
      <c r="O1986">
        <f>'raw data Crude oil'!O1987</f>
        <v>66.98</v>
      </c>
      <c r="P1986">
        <f>'raw data Crude oil'!P1987</f>
        <v>66.52</v>
      </c>
      <c r="Q1986">
        <f>'raw data Crude oil'!Q1987</f>
        <v>66.260000000000005</v>
      </c>
      <c r="R1986">
        <f>'raw data Crude oil'!R1987</f>
        <v>66.09</v>
      </c>
      <c r="S1986">
        <f>'raw data Crude oil'!S1987</f>
        <v>66</v>
      </c>
      <c r="T1986">
        <f>'raw data Crude oil'!T1987</f>
        <v>65.94</v>
      </c>
      <c r="U1986">
        <f>'raw data Crude oil'!U1987</f>
        <v>65.89</v>
      </c>
      <c r="V1986">
        <f>'raw data Crude oil'!V1987</f>
        <v>65.819999999999993</v>
      </c>
      <c r="W1986">
        <f>'raw data Crude oil'!W1987</f>
        <v>65.73</v>
      </c>
      <c r="X1986">
        <f>'raw data Crude oil'!X1987</f>
        <v>65.64</v>
      </c>
      <c r="Y1986">
        <f>'raw data Crude oil'!Y1987</f>
        <v>65.55</v>
      </c>
      <c r="Z1986">
        <f>'raw data Crude oil'!Z1987</f>
        <v>72.088999999999999</v>
      </c>
      <c r="AA1986">
        <f>'raw data Crude oil'!AA1987</f>
        <v>70.094999999999999</v>
      </c>
      <c r="AB1986">
        <f>'raw data Crude oil'!AB1987</f>
        <v>69.534000000000006</v>
      </c>
      <c r="AC1986">
        <f>'raw data Crude oil'!AC1987</f>
        <v>69.230999999999995</v>
      </c>
      <c r="AD1986">
        <f>'raw data Crude oil'!AD1987</f>
        <v>69.082999999999998</v>
      </c>
      <c r="AE1986">
        <f>'raw data Crude oil'!AE1987</f>
        <v>69.019000000000005</v>
      </c>
      <c r="AF1986">
        <f>'raw data Crude oil'!AF1987</f>
        <v>68.968999999999994</v>
      </c>
      <c r="AG1986">
        <f>'raw data Crude oil'!AG1987</f>
        <v>68.918000000000006</v>
      </c>
      <c r="AH1986">
        <f>'raw data Crude oil'!AH1987</f>
        <v>68.847999999999999</v>
      </c>
      <c r="AI1986">
        <f>'raw data Crude oil'!AI1987</f>
        <v>68.777000000000001</v>
      </c>
      <c r="AJ1986">
        <f>'raw data Crude oil'!AJ1987</f>
        <v>68.710999999999999</v>
      </c>
      <c r="AK1986">
        <f>'raw data Crude oil'!AK1987</f>
        <v>68.650999999999996</v>
      </c>
    </row>
    <row r="1987" spans="1:37" x14ac:dyDescent="0.3">
      <c r="A1987" s="18">
        <f>'raw data Crude oil'!A1988</f>
        <v>45544</v>
      </c>
      <c r="B1987">
        <f>'raw data Crude oil'!B1988</f>
        <v>71.84</v>
      </c>
      <c r="C1987">
        <f>'raw data Crude oil'!C1988</f>
        <v>71.36</v>
      </c>
      <c r="D1987">
        <f>'raw data Crude oil'!D1988</f>
        <v>71</v>
      </c>
      <c r="E1987">
        <f>'raw data Crude oil'!E1988</f>
        <v>70.790000000000006</v>
      </c>
      <c r="F1987">
        <f>'raw data Crude oil'!F1988</f>
        <v>70.680000000000007</v>
      </c>
      <c r="G1987">
        <f>'raw data Crude oil'!G1988</f>
        <v>70.59</v>
      </c>
      <c r="H1987">
        <f>'raw data Crude oil'!H1988</f>
        <v>70.53</v>
      </c>
      <c r="I1987">
        <f>'raw data Crude oil'!I1988</f>
        <v>70.48</v>
      </c>
      <c r="J1987">
        <f>'raw data Crude oil'!J1988</f>
        <v>70.400000000000006</v>
      </c>
      <c r="K1987">
        <f>'raw data Crude oil'!K1988</f>
        <v>70.319999999999993</v>
      </c>
      <c r="L1987">
        <f>'raw data Crude oil'!L1988</f>
        <v>70.239999999999995</v>
      </c>
      <c r="M1987">
        <f>'raw data Crude oil'!M1988</f>
        <v>70.16</v>
      </c>
      <c r="N1987">
        <f>'raw data Crude oil'!N1988</f>
        <v>68.709999999999994</v>
      </c>
      <c r="O1987">
        <f>'raw data Crude oil'!O1988</f>
        <v>67.91</v>
      </c>
      <c r="P1987">
        <f>'raw data Crude oil'!P1988</f>
        <v>67.31</v>
      </c>
      <c r="Q1987">
        <f>'raw data Crude oil'!Q1988</f>
        <v>66.930000000000007</v>
      </c>
      <c r="R1987">
        <f>'raw data Crude oil'!R1988</f>
        <v>66.66</v>
      </c>
      <c r="S1987">
        <f>'raw data Crude oil'!S1988</f>
        <v>66.510000000000005</v>
      </c>
      <c r="T1987">
        <f>'raw data Crude oil'!T1988</f>
        <v>66.39</v>
      </c>
      <c r="U1987">
        <f>'raw data Crude oil'!U1988</f>
        <v>66.290000000000006</v>
      </c>
      <c r="V1987">
        <f>'raw data Crude oil'!V1988</f>
        <v>66.19</v>
      </c>
      <c r="W1987">
        <f>'raw data Crude oil'!W1988</f>
        <v>66.06</v>
      </c>
      <c r="X1987">
        <f>'raw data Crude oil'!X1988</f>
        <v>65.930000000000007</v>
      </c>
      <c r="Y1987">
        <f>'raw data Crude oil'!Y1988</f>
        <v>65.81</v>
      </c>
      <c r="Z1987">
        <f>'raw data Crude oil'!Z1988</f>
        <v>72.635000000000005</v>
      </c>
      <c r="AA1987">
        <f>'raw data Crude oil'!AA1988</f>
        <v>70.733999999999995</v>
      </c>
      <c r="AB1987">
        <f>'raw data Crude oil'!AB1988</f>
        <v>70.16</v>
      </c>
      <c r="AC1987">
        <f>'raw data Crude oil'!AC1988</f>
        <v>69.795000000000002</v>
      </c>
      <c r="AD1987">
        <f>'raw data Crude oil'!AD1988</f>
        <v>69.575999999999993</v>
      </c>
      <c r="AE1987">
        <f>'raw data Crude oil'!AE1988</f>
        <v>69.456999999999994</v>
      </c>
      <c r="AF1987">
        <f>'raw data Crude oil'!AF1988</f>
        <v>69.367999999999995</v>
      </c>
      <c r="AG1987">
        <f>'raw data Crude oil'!AG1988</f>
        <v>69.286000000000001</v>
      </c>
      <c r="AH1987">
        <f>'raw data Crude oil'!AH1988</f>
        <v>69.186000000000007</v>
      </c>
      <c r="AI1987">
        <f>'raw data Crude oil'!AI1988</f>
        <v>69.096000000000004</v>
      </c>
      <c r="AJ1987">
        <f>'raw data Crude oil'!AJ1988</f>
        <v>69.016999999999996</v>
      </c>
      <c r="AK1987">
        <f>'raw data Crude oil'!AK1988</f>
        <v>68.936000000000007</v>
      </c>
    </row>
    <row r="1988" spans="1:37" x14ac:dyDescent="0.3">
      <c r="A1988" s="18">
        <f>'raw data Crude oil'!A1989</f>
        <v>45545</v>
      </c>
      <c r="B1988">
        <f>'raw data Crude oil'!B1989</f>
        <v>69.19</v>
      </c>
      <c r="C1988">
        <f>'raw data Crude oil'!C1989</f>
        <v>68.83</v>
      </c>
      <c r="D1988">
        <f>'raw data Crude oil'!D1989</f>
        <v>68.540000000000006</v>
      </c>
      <c r="E1988">
        <f>'raw data Crude oil'!E1989</f>
        <v>68.400000000000006</v>
      </c>
      <c r="F1988">
        <f>'raw data Crude oil'!F1989</f>
        <v>68.34</v>
      </c>
      <c r="G1988">
        <f>'raw data Crude oil'!G1989</f>
        <v>68.3</v>
      </c>
      <c r="H1988">
        <f>'raw data Crude oil'!H1989</f>
        <v>68.28</v>
      </c>
      <c r="I1988">
        <f>'raw data Crude oil'!I1989</f>
        <v>68.27</v>
      </c>
      <c r="J1988">
        <f>'raw data Crude oil'!J1989</f>
        <v>68.239999999999995</v>
      </c>
      <c r="K1988">
        <f>'raw data Crude oil'!K1989</f>
        <v>68.2</v>
      </c>
      <c r="L1988">
        <f>'raw data Crude oil'!L1989</f>
        <v>68.150000000000006</v>
      </c>
      <c r="M1988">
        <f>'raw data Crude oil'!M1989</f>
        <v>68.11</v>
      </c>
      <c r="N1988">
        <f>'raw data Crude oil'!N1989</f>
        <v>65.75</v>
      </c>
      <c r="O1988">
        <f>'raw data Crude oil'!O1989</f>
        <v>65.14</v>
      </c>
      <c r="P1988">
        <f>'raw data Crude oil'!P1989</f>
        <v>64.69</v>
      </c>
      <c r="Q1988">
        <f>'raw data Crude oil'!Q1989</f>
        <v>64.42</v>
      </c>
      <c r="R1988">
        <f>'raw data Crude oil'!R1989</f>
        <v>64.25</v>
      </c>
      <c r="S1988">
        <f>'raw data Crude oil'!S1989</f>
        <v>64.14</v>
      </c>
      <c r="T1988">
        <f>'raw data Crude oil'!T1989</f>
        <v>64.06</v>
      </c>
      <c r="U1988">
        <f>'raw data Crude oil'!U1989</f>
        <v>64.010000000000005</v>
      </c>
      <c r="V1988">
        <f>'raw data Crude oil'!V1989</f>
        <v>63.95</v>
      </c>
      <c r="W1988">
        <f>'raw data Crude oil'!W1989</f>
        <v>63.87</v>
      </c>
      <c r="X1988">
        <f>'raw data Crude oil'!X1989</f>
        <v>63.79</v>
      </c>
      <c r="Y1988">
        <f>'raw data Crude oil'!Y1989</f>
        <v>63.71</v>
      </c>
      <c r="Z1988">
        <f>'raw data Crude oil'!Z1989</f>
        <v>70.992000000000004</v>
      </c>
      <c r="AA1988">
        <f>'raw data Crude oil'!AA1989</f>
        <v>68.326999999999998</v>
      </c>
      <c r="AB1988">
        <f>'raw data Crude oil'!AB1989</f>
        <v>67.783000000000001</v>
      </c>
      <c r="AC1988">
        <f>'raw data Crude oil'!AC1989</f>
        <v>67.459999999999994</v>
      </c>
      <c r="AD1988">
        <f>'raw data Crude oil'!AD1989</f>
        <v>67.287999999999997</v>
      </c>
      <c r="AE1988">
        <f>'raw data Crude oil'!AE1989</f>
        <v>67.218999999999994</v>
      </c>
      <c r="AF1988">
        <f>'raw data Crude oil'!AF1989</f>
        <v>67.17</v>
      </c>
      <c r="AG1988">
        <f>'raw data Crude oil'!AG1989</f>
        <v>67.129000000000005</v>
      </c>
      <c r="AH1988">
        <f>'raw data Crude oil'!AH1989</f>
        <v>67.087999999999994</v>
      </c>
      <c r="AI1988">
        <f>'raw data Crude oil'!AI1989</f>
        <v>67.037999999999997</v>
      </c>
      <c r="AJ1988">
        <f>'raw data Crude oil'!AJ1989</f>
        <v>66.998000000000005</v>
      </c>
      <c r="AK1988">
        <f>'raw data Crude oil'!AK1989</f>
        <v>66.957999999999998</v>
      </c>
    </row>
    <row r="1989" spans="1:37" x14ac:dyDescent="0.3">
      <c r="A1989" s="18">
        <f>'raw data Crude oil'!A1990</f>
        <v>45546</v>
      </c>
      <c r="B1989">
        <f>'raw data Crude oil'!B1990</f>
        <v>70.61</v>
      </c>
      <c r="C1989">
        <f>'raw data Crude oil'!C1990</f>
        <v>70.17</v>
      </c>
      <c r="D1989">
        <f>'raw data Crude oil'!D1990</f>
        <v>69.81</v>
      </c>
      <c r="E1989">
        <f>'raw data Crude oil'!E1990</f>
        <v>69.650000000000006</v>
      </c>
      <c r="F1989">
        <f>'raw data Crude oil'!F1990</f>
        <v>69.56</v>
      </c>
      <c r="G1989">
        <f>'raw data Crude oil'!G1990</f>
        <v>69.5</v>
      </c>
      <c r="H1989">
        <f>'raw data Crude oil'!H1990</f>
        <v>69.45</v>
      </c>
      <c r="I1989">
        <f>'raw data Crude oil'!I1990</f>
        <v>69.42</v>
      </c>
      <c r="J1989">
        <f>'raw data Crude oil'!J1990</f>
        <v>69.37</v>
      </c>
      <c r="K1989">
        <f>'raw data Crude oil'!K1990</f>
        <v>69.31</v>
      </c>
      <c r="L1989">
        <f>'raw data Crude oil'!L1990</f>
        <v>69.239999999999995</v>
      </c>
      <c r="M1989">
        <f>'raw data Crude oil'!M1990</f>
        <v>69.180000000000007</v>
      </c>
      <c r="N1989">
        <f>'raw data Crude oil'!N1990</f>
        <v>67.31</v>
      </c>
      <c r="O1989">
        <f>'raw data Crude oil'!O1990</f>
        <v>66.599999999999994</v>
      </c>
      <c r="P1989">
        <f>'raw data Crude oil'!P1990</f>
        <v>66.08</v>
      </c>
      <c r="Q1989">
        <f>'raw data Crude oil'!Q1990</f>
        <v>65.77</v>
      </c>
      <c r="R1989">
        <f>'raw data Crude oil'!R1990</f>
        <v>65.569999999999993</v>
      </c>
      <c r="S1989">
        <f>'raw data Crude oil'!S1990</f>
        <v>65.430000000000007</v>
      </c>
      <c r="T1989">
        <f>'raw data Crude oil'!T1990</f>
        <v>65.33</v>
      </c>
      <c r="U1989">
        <f>'raw data Crude oil'!U1990</f>
        <v>65.260000000000005</v>
      </c>
      <c r="V1989">
        <f>'raw data Crude oil'!V1990</f>
        <v>65.17</v>
      </c>
      <c r="W1989">
        <f>'raw data Crude oil'!W1990</f>
        <v>65.069999999999993</v>
      </c>
      <c r="X1989">
        <f>'raw data Crude oil'!X1990</f>
        <v>64.97</v>
      </c>
      <c r="Y1989">
        <f>'raw data Crude oil'!Y1990</f>
        <v>64.87</v>
      </c>
      <c r="Z1989">
        <f>'raw data Crude oil'!Z1990</f>
        <v>71.856999999999999</v>
      </c>
      <c r="AA1989">
        <f>'raw data Crude oil'!AA1990</f>
        <v>69.614000000000004</v>
      </c>
      <c r="AB1989">
        <f>'raw data Crude oil'!AB1990</f>
        <v>69.039000000000001</v>
      </c>
      <c r="AC1989">
        <f>'raw data Crude oil'!AC1990</f>
        <v>68.703999999999994</v>
      </c>
      <c r="AD1989">
        <f>'raw data Crude oil'!AD1990</f>
        <v>68.516999999999996</v>
      </c>
      <c r="AE1989">
        <f>'raw data Crude oil'!AE1990</f>
        <v>68.438000000000002</v>
      </c>
      <c r="AF1989">
        <f>'raw data Crude oil'!AF1990</f>
        <v>68.388999999999996</v>
      </c>
      <c r="AG1989">
        <f>'raw data Crude oil'!AG1990</f>
        <v>68.347999999999999</v>
      </c>
      <c r="AH1989">
        <f>'raw data Crude oil'!AH1990</f>
        <v>68.296999999999997</v>
      </c>
      <c r="AI1989">
        <f>'raw data Crude oil'!AI1990</f>
        <v>68.236999999999995</v>
      </c>
      <c r="AJ1989">
        <f>'raw data Crude oil'!AJ1990</f>
        <v>68.167000000000002</v>
      </c>
      <c r="AK1989">
        <f>'raw data Crude oil'!AK1990</f>
        <v>68.096999999999994</v>
      </c>
    </row>
    <row r="1990" spans="1:37" x14ac:dyDescent="0.3">
      <c r="A1990" s="18">
        <f>'raw data Crude oil'!A1991</f>
        <v>45547</v>
      </c>
      <c r="B1990">
        <f>'raw data Crude oil'!B1991</f>
        <v>71.97</v>
      </c>
      <c r="C1990">
        <f>'raw data Crude oil'!C1991</f>
        <v>71.430000000000007</v>
      </c>
      <c r="D1990">
        <f>'raw data Crude oil'!D1991</f>
        <v>71.05</v>
      </c>
      <c r="E1990">
        <f>'raw data Crude oil'!E1991</f>
        <v>70.849999999999994</v>
      </c>
      <c r="F1990">
        <f>'raw data Crude oil'!F1991</f>
        <v>70.760000000000005</v>
      </c>
      <c r="G1990">
        <f>'raw data Crude oil'!G1991</f>
        <v>70.7</v>
      </c>
      <c r="H1990">
        <f>'raw data Crude oil'!H1991</f>
        <v>70.66</v>
      </c>
      <c r="I1990">
        <f>'raw data Crude oil'!I1991</f>
        <v>70.62</v>
      </c>
      <c r="J1990">
        <f>'raw data Crude oil'!J1991</f>
        <v>70.569999999999993</v>
      </c>
      <c r="K1990">
        <f>'raw data Crude oil'!K1991</f>
        <v>70.5</v>
      </c>
      <c r="L1990">
        <f>'raw data Crude oil'!L1991</f>
        <v>70.42</v>
      </c>
      <c r="M1990">
        <f>'raw data Crude oil'!M1991</f>
        <v>70.34</v>
      </c>
      <c r="N1990">
        <f>'raw data Crude oil'!N1991</f>
        <v>68.97</v>
      </c>
      <c r="O1990">
        <f>'raw data Crude oil'!O1991</f>
        <v>68.150000000000006</v>
      </c>
      <c r="P1990">
        <f>'raw data Crude oil'!P1991</f>
        <v>67.53</v>
      </c>
      <c r="Q1990">
        <f>'raw data Crude oil'!Q1991</f>
        <v>67.150000000000006</v>
      </c>
      <c r="R1990">
        <f>'raw data Crude oil'!R1991</f>
        <v>66.91</v>
      </c>
      <c r="S1990">
        <f>'raw data Crude oil'!S1991</f>
        <v>66.760000000000005</v>
      </c>
      <c r="T1990">
        <f>'raw data Crude oil'!T1991</f>
        <v>66.64</v>
      </c>
      <c r="U1990">
        <f>'raw data Crude oil'!U1991</f>
        <v>66.55</v>
      </c>
      <c r="V1990">
        <f>'raw data Crude oil'!V1991</f>
        <v>66.459999999999994</v>
      </c>
      <c r="W1990">
        <f>'raw data Crude oil'!W1991</f>
        <v>66.34</v>
      </c>
      <c r="X1990">
        <f>'raw data Crude oil'!X1991</f>
        <v>66.23</v>
      </c>
      <c r="Y1990">
        <f>'raw data Crude oil'!Y1991</f>
        <v>66.11</v>
      </c>
      <c r="Z1990">
        <f>'raw data Crude oil'!Z1991</f>
        <v>72.802000000000007</v>
      </c>
      <c r="AA1990">
        <f>'raw data Crude oil'!AA1991</f>
        <v>71.018000000000001</v>
      </c>
      <c r="AB1990">
        <f>'raw data Crude oil'!AB1991</f>
        <v>70.387</v>
      </c>
      <c r="AC1990">
        <f>'raw data Crude oil'!AC1991</f>
        <v>70.010999999999996</v>
      </c>
      <c r="AD1990">
        <f>'raw data Crude oil'!AD1991</f>
        <v>69.796999999999997</v>
      </c>
      <c r="AE1990">
        <f>'raw data Crude oil'!AE1991</f>
        <v>69.695999999999998</v>
      </c>
      <c r="AF1990">
        <f>'raw data Crude oil'!AF1991</f>
        <v>69.625</v>
      </c>
      <c r="AG1990">
        <f>'raw data Crude oil'!AG1991</f>
        <v>69.578000000000003</v>
      </c>
      <c r="AH1990">
        <f>'raw data Crude oil'!AH1991</f>
        <v>69.516999999999996</v>
      </c>
      <c r="AI1990">
        <f>'raw data Crude oil'!AI1991</f>
        <v>69.445999999999998</v>
      </c>
      <c r="AJ1990">
        <f>'raw data Crude oil'!AJ1991</f>
        <v>69.367000000000004</v>
      </c>
      <c r="AK1990">
        <f>'raw data Crude oil'!AK1991</f>
        <v>69.286000000000001</v>
      </c>
    </row>
    <row r="1991" spans="1:37" x14ac:dyDescent="0.3">
      <c r="A1991" s="18">
        <f>'raw data Crude oil'!A1992</f>
        <v>45548</v>
      </c>
      <c r="B1991">
        <f>'raw data Crude oil'!B1992</f>
        <v>71.61</v>
      </c>
      <c r="C1991">
        <f>'raw data Crude oil'!C1992</f>
        <v>71.05</v>
      </c>
      <c r="D1991">
        <f>'raw data Crude oil'!D1992</f>
        <v>70.64</v>
      </c>
      <c r="E1991">
        <f>'raw data Crude oil'!E1992</f>
        <v>70.42</v>
      </c>
      <c r="F1991">
        <f>'raw data Crude oil'!F1992</f>
        <v>70.31</v>
      </c>
      <c r="G1991">
        <f>'raw data Crude oil'!G1992</f>
        <v>70.239999999999995</v>
      </c>
      <c r="H1991">
        <f>'raw data Crude oil'!H1992</f>
        <v>70.19</v>
      </c>
      <c r="I1991">
        <f>'raw data Crude oil'!I1992</f>
        <v>70.16</v>
      </c>
      <c r="J1991">
        <f>'raw data Crude oil'!J1992</f>
        <v>70.11</v>
      </c>
      <c r="K1991">
        <f>'raw data Crude oil'!K1992</f>
        <v>70.040000000000006</v>
      </c>
      <c r="L1991">
        <f>'raw data Crude oil'!L1992</f>
        <v>69.959999999999994</v>
      </c>
      <c r="M1991">
        <f>'raw data Crude oil'!M1992</f>
        <v>69.88</v>
      </c>
      <c r="N1991">
        <f>'raw data Crude oil'!N1992</f>
        <v>68.650000000000006</v>
      </c>
      <c r="O1991">
        <f>'raw data Crude oil'!O1992</f>
        <v>67.75</v>
      </c>
      <c r="P1991">
        <f>'raw data Crude oil'!P1992</f>
        <v>67.09</v>
      </c>
      <c r="Q1991">
        <f>'raw data Crude oil'!Q1992</f>
        <v>66.680000000000007</v>
      </c>
      <c r="R1991">
        <f>'raw data Crude oil'!R1992</f>
        <v>66.42</v>
      </c>
      <c r="S1991">
        <f>'raw data Crude oil'!S1992</f>
        <v>66.25</v>
      </c>
      <c r="T1991">
        <f>'raw data Crude oil'!T1992</f>
        <v>66.13</v>
      </c>
      <c r="U1991">
        <f>'raw data Crude oil'!U1992</f>
        <v>66.02</v>
      </c>
      <c r="V1991">
        <f>'raw data Crude oil'!V1992</f>
        <v>65.92</v>
      </c>
      <c r="W1991">
        <f>'raw data Crude oil'!W1992</f>
        <v>65.8</v>
      </c>
      <c r="X1991">
        <f>'raw data Crude oil'!X1992</f>
        <v>65.69</v>
      </c>
      <c r="Y1991">
        <f>'raw data Crude oil'!Y1992</f>
        <v>65.569999999999993</v>
      </c>
      <c r="Z1991">
        <f>'raw data Crude oil'!Z1992</f>
        <v>72.587999999999994</v>
      </c>
      <c r="AA1991">
        <f>'raw data Crude oil'!AA1992</f>
        <v>70.631</v>
      </c>
      <c r="AB1991">
        <f>'raw data Crude oil'!AB1992</f>
        <v>69.986000000000004</v>
      </c>
      <c r="AC1991">
        <f>'raw data Crude oil'!AC1992</f>
        <v>69.56</v>
      </c>
      <c r="AD1991">
        <f>'raw data Crude oil'!AD1992</f>
        <v>69.307000000000002</v>
      </c>
      <c r="AE1991">
        <f>'raw data Crude oil'!AE1992</f>
        <v>69.210999999999999</v>
      </c>
      <c r="AF1991">
        <f>'raw data Crude oil'!AF1992</f>
        <v>69.138999999999996</v>
      </c>
      <c r="AG1991">
        <f>'raw data Crude oil'!AG1992</f>
        <v>69.087999999999994</v>
      </c>
      <c r="AH1991">
        <f>'raw data Crude oil'!AH1992</f>
        <v>69.027000000000001</v>
      </c>
      <c r="AI1991">
        <f>'raw data Crude oil'!AI1992</f>
        <v>68.965999999999994</v>
      </c>
      <c r="AJ1991">
        <f>'raw data Crude oil'!AJ1992</f>
        <v>68.897000000000006</v>
      </c>
      <c r="AK1991">
        <f>'raw data Crude oil'!AK1992</f>
        <v>68.816000000000003</v>
      </c>
    </row>
    <row r="1992" spans="1:37" x14ac:dyDescent="0.3">
      <c r="A1992" s="18">
        <f>'raw data Crude oil'!A1993</f>
        <v>45551</v>
      </c>
      <c r="B1992">
        <f>'raw data Crude oil'!B1993</f>
        <v>72.75</v>
      </c>
      <c r="C1992">
        <f>'raw data Crude oil'!C1993</f>
        <v>72.150000000000006</v>
      </c>
      <c r="D1992">
        <f>'raw data Crude oil'!D1993</f>
        <v>71.75</v>
      </c>
      <c r="E1992">
        <f>'raw data Crude oil'!E1993</f>
        <v>71.53</v>
      </c>
      <c r="F1992">
        <f>'raw data Crude oil'!F1993</f>
        <v>71.41</v>
      </c>
      <c r="G1992">
        <f>'raw data Crude oil'!G1993</f>
        <v>71.33</v>
      </c>
      <c r="H1992">
        <f>'raw data Crude oil'!H1993</f>
        <v>71.260000000000005</v>
      </c>
      <c r="I1992">
        <f>'raw data Crude oil'!I1993</f>
        <v>71.2</v>
      </c>
      <c r="J1992">
        <f>'raw data Crude oil'!J1993</f>
        <v>71.12</v>
      </c>
      <c r="K1992">
        <f>'raw data Crude oil'!K1993</f>
        <v>71.03</v>
      </c>
      <c r="L1992">
        <f>'raw data Crude oil'!L1993</f>
        <v>70.92</v>
      </c>
      <c r="M1992">
        <f>'raw data Crude oil'!M1993</f>
        <v>70.81</v>
      </c>
      <c r="N1992">
        <f>'raw data Crude oil'!N1993</f>
        <v>70.09</v>
      </c>
      <c r="O1992">
        <f>'raw data Crude oil'!O1993</f>
        <v>69.02</v>
      </c>
      <c r="P1992">
        <f>'raw data Crude oil'!P1993</f>
        <v>68.290000000000006</v>
      </c>
      <c r="Q1992">
        <f>'raw data Crude oil'!Q1993</f>
        <v>67.84</v>
      </c>
      <c r="R1992">
        <f>'raw data Crude oil'!R1993</f>
        <v>67.56</v>
      </c>
      <c r="S1992">
        <f>'raw data Crude oil'!S1993</f>
        <v>67.39</v>
      </c>
      <c r="T1992">
        <f>'raw data Crude oil'!T1993</f>
        <v>67.260000000000005</v>
      </c>
      <c r="U1992">
        <f>'raw data Crude oil'!U1993</f>
        <v>67.14</v>
      </c>
      <c r="V1992">
        <f>'raw data Crude oil'!V1993</f>
        <v>67</v>
      </c>
      <c r="W1992">
        <f>'raw data Crude oil'!W1993</f>
        <v>66.849999999999994</v>
      </c>
      <c r="X1992">
        <f>'raw data Crude oil'!X1993</f>
        <v>66.7</v>
      </c>
      <c r="Y1992">
        <f>'raw data Crude oil'!Y1993</f>
        <v>66.56</v>
      </c>
      <c r="Z1992">
        <f>'raw data Crude oil'!Z1993</f>
        <v>73.174999999999997</v>
      </c>
      <c r="AA1992">
        <f>'raw data Crude oil'!AA1993</f>
        <v>71.763000000000005</v>
      </c>
      <c r="AB1992">
        <f>'raw data Crude oil'!AB1993</f>
        <v>71.113</v>
      </c>
      <c r="AC1992">
        <f>'raw data Crude oil'!AC1993</f>
        <v>70.694999999999993</v>
      </c>
      <c r="AD1992">
        <f>'raw data Crude oil'!AD1993</f>
        <v>70.412000000000006</v>
      </c>
      <c r="AE1992">
        <f>'raw data Crude oil'!AE1993</f>
        <v>70.292000000000002</v>
      </c>
      <c r="AF1992">
        <f>'raw data Crude oil'!AF1993</f>
        <v>70.206999999999994</v>
      </c>
      <c r="AG1992">
        <f>'raw data Crude oil'!AG1993</f>
        <v>70.129000000000005</v>
      </c>
      <c r="AH1992">
        <f>'raw data Crude oil'!AH1993</f>
        <v>70.051000000000002</v>
      </c>
      <c r="AI1992">
        <f>'raw data Crude oil'!AI1993</f>
        <v>69.97</v>
      </c>
      <c r="AJ1992">
        <f>'raw data Crude oil'!AJ1993</f>
        <v>69.885000000000005</v>
      </c>
      <c r="AK1992">
        <f>'raw data Crude oil'!AK1993</f>
        <v>69.795000000000002</v>
      </c>
    </row>
    <row r="1993" spans="1:37" x14ac:dyDescent="0.3">
      <c r="A1993" s="18">
        <f>'raw data Crude oil'!A1994</f>
        <v>45552</v>
      </c>
      <c r="B1993">
        <f>'raw data Crude oil'!B1994</f>
        <v>73.7</v>
      </c>
      <c r="C1993">
        <f>'raw data Crude oil'!C1994</f>
        <v>73.010000000000005</v>
      </c>
      <c r="D1993">
        <f>'raw data Crude oil'!D1994</f>
        <v>72.59</v>
      </c>
      <c r="E1993">
        <f>'raw data Crude oil'!E1994</f>
        <v>72.349999999999994</v>
      </c>
      <c r="F1993">
        <f>'raw data Crude oil'!F1994</f>
        <v>72.209999999999994</v>
      </c>
      <c r="G1993">
        <f>'raw data Crude oil'!G1994</f>
        <v>72.099999999999994</v>
      </c>
      <c r="H1993">
        <f>'raw data Crude oil'!H1994</f>
        <v>72</v>
      </c>
      <c r="I1993">
        <f>'raw data Crude oil'!I1994</f>
        <v>71.91</v>
      </c>
      <c r="J1993">
        <f>'raw data Crude oil'!J1994</f>
        <v>71.81</v>
      </c>
      <c r="K1993">
        <f>'raw data Crude oil'!K1994</f>
        <v>71.7</v>
      </c>
      <c r="L1993">
        <f>'raw data Crude oil'!L1994</f>
        <v>71.59</v>
      </c>
      <c r="M1993">
        <f>'raw data Crude oil'!M1994</f>
        <v>71.48</v>
      </c>
      <c r="N1993">
        <f>'raw data Crude oil'!N1994</f>
        <v>71.19</v>
      </c>
      <c r="O1993">
        <f>'raw data Crude oil'!O1994</f>
        <v>69.959999999999994</v>
      </c>
      <c r="P1993">
        <f>'raw data Crude oil'!P1994</f>
        <v>69.17</v>
      </c>
      <c r="Q1993">
        <f>'raw data Crude oil'!Q1994</f>
        <v>68.7</v>
      </c>
      <c r="R1993">
        <f>'raw data Crude oil'!R1994</f>
        <v>68.41</v>
      </c>
      <c r="S1993">
        <f>'raw data Crude oil'!S1994</f>
        <v>68.209999999999994</v>
      </c>
      <c r="T1993">
        <f>'raw data Crude oil'!T1994</f>
        <v>68.06</v>
      </c>
      <c r="U1993">
        <f>'raw data Crude oil'!U1994</f>
        <v>67.91</v>
      </c>
      <c r="V1993">
        <f>'raw data Crude oil'!V1994</f>
        <v>67.760000000000005</v>
      </c>
      <c r="W1993">
        <f>'raw data Crude oil'!W1994</f>
        <v>67.59</v>
      </c>
      <c r="X1993">
        <f>'raw data Crude oil'!X1994</f>
        <v>67.42</v>
      </c>
      <c r="Y1993">
        <f>'raw data Crude oil'!Y1994</f>
        <v>67.27</v>
      </c>
      <c r="Z1993">
        <f>'raw data Crude oil'!Z1994</f>
        <v>73.594999999999999</v>
      </c>
      <c r="AA1993">
        <f>'raw data Crude oil'!AA1994</f>
        <v>72.641999999999996</v>
      </c>
      <c r="AB1993">
        <f>'raw data Crude oil'!AB1994</f>
        <v>71.980999999999995</v>
      </c>
      <c r="AC1993">
        <f>'raw data Crude oil'!AC1994</f>
        <v>71.561000000000007</v>
      </c>
      <c r="AD1993">
        <f>'raw data Crude oil'!AD1994</f>
        <v>71.260999999999996</v>
      </c>
      <c r="AE1993">
        <f>'raw data Crude oil'!AE1994</f>
        <v>71.111000000000004</v>
      </c>
      <c r="AF1993">
        <f>'raw data Crude oil'!AF1994</f>
        <v>71.001000000000005</v>
      </c>
      <c r="AG1993">
        <f>'raw data Crude oil'!AG1994</f>
        <v>70.91</v>
      </c>
      <c r="AH1993">
        <f>'raw data Crude oil'!AH1994</f>
        <v>70.81</v>
      </c>
      <c r="AI1993">
        <f>'raw data Crude oil'!AI1994</f>
        <v>70.7</v>
      </c>
      <c r="AJ1993">
        <f>'raw data Crude oil'!AJ1994</f>
        <v>70.59</v>
      </c>
      <c r="AK1993">
        <f>'raw data Crude oil'!AK1994</f>
        <v>70.478999999999999</v>
      </c>
    </row>
    <row r="1994" spans="1:37" x14ac:dyDescent="0.3">
      <c r="A1994" s="18">
        <f>'raw data Crude oil'!A1995</f>
        <v>45553</v>
      </c>
      <c r="B1994">
        <f>'raw data Crude oil'!B1995</f>
        <v>73.650000000000006</v>
      </c>
      <c r="C1994">
        <f>'raw data Crude oil'!C1995</f>
        <v>72.88</v>
      </c>
      <c r="D1994">
        <f>'raw data Crude oil'!D1995</f>
        <v>72.42</v>
      </c>
      <c r="E1994">
        <f>'raw data Crude oil'!E1995</f>
        <v>72.16</v>
      </c>
      <c r="F1994">
        <f>'raw data Crude oil'!F1995</f>
        <v>72.02</v>
      </c>
      <c r="G1994">
        <f>'raw data Crude oil'!G1995</f>
        <v>71.92</v>
      </c>
      <c r="H1994">
        <f>'raw data Crude oil'!H1995</f>
        <v>71.84</v>
      </c>
      <c r="I1994">
        <f>'raw data Crude oil'!I1995</f>
        <v>71.760000000000005</v>
      </c>
      <c r="J1994">
        <f>'raw data Crude oil'!J1995</f>
        <v>71.67</v>
      </c>
      <c r="K1994">
        <f>'raw data Crude oil'!K1995</f>
        <v>71.569999999999993</v>
      </c>
      <c r="L1994">
        <f>'raw data Crude oil'!L1995</f>
        <v>71.459999999999994</v>
      </c>
      <c r="M1994">
        <f>'raw data Crude oil'!M1995</f>
        <v>71.349999999999994</v>
      </c>
      <c r="N1994">
        <f>'raw data Crude oil'!N1995</f>
        <v>70.91</v>
      </c>
      <c r="O1994">
        <f>'raw data Crude oil'!O1995</f>
        <v>69.88</v>
      </c>
      <c r="P1994">
        <f>'raw data Crude oil'!P1995</f>
        <v>69.08</v>
      </c>
      <c r="Q1994">
        <f>'raw data Crude oil'!Q1995</f>
        <v>68.599999999999994</v>
      </c>
      <c r="R1994">
        <f>'raw data Crude oil'!R1995</f>
        <v>68.3</v>
      </c>
      <c r="S1994">
        <f>'raw data Crude oil'!S1995</f>
        <v>68.099999999999994</v>
      </c>
      <c r="T1994">
        <f>'raw data Crude oil'!T1995</f>
        <v>67.94</v>
      </c>
      <c r="U1994">
        <f>'raw data Crude oil'!U1995</f>
        <v>67.8</v>
      </c>
      <c r="V1994">
        <f>'raw data Crude oil'!V1995</f>
        <v>67.650000000000006</v>
      </c>
      <c r="W1994">
        <f>'raw data Crude oil'!W1995</f>
        <v>67.48</v>
      </c>
      <c r="X1994">
        <f>'raw data Crude oil'!X1995</f>
        <v>67.31</v>
      </c>
      <c r="Y1994">
        <f>'raw data Crude oil'!Y1995</f>
        <v>67.150000000000006</v>
      </c>
      <c r="Z1994">
        <f>'raw data Crude oil'!Z1995</f>
        <v>73.512</v>
      </c>
      <c r="AA1994">
        <f>'raw data Crude oil'!AA1995</f>
        <v>72.53</v>
      </c>
      <c r="AB1994">
        <f>'raw data Crude oil'!AB1995</f>
        <v>71.768000000000001</v>
      </c>
      <c r="AC1994">
        <f>'raw data Crude oil'!AC1995</f>
        <v>71.356999999999999</v>
      </c>
      <c r="AD1994">
        <f>'raw data Crude oil'!AD1995</f>
        <v>71.064999999999998</v>
      </c>
      <c r="AE1994">
        <f>'raw data Crude oil'!AE1995</f>
        <v>70.915999999999997</v>
      </c>
      <c r="AF1994">
        <f>'raw data Crude oil'!AF1995</f>
        <v>70.816000000000003</v>
      </c>
      <c r="AG1994">
        <f>'raw data Crude oil'!AG1995</f>
        <v>70.736000000000004</v>
      </c>
      <c r="AH1994">
        <f>'raw data Crude oil'!AH1995</f>
        <v>70.644999999999996</v>
      </c>
      <c r="AI1994">
        <f>'raw data Crude oil'!AI1995</f>
        <v>70.545000000000002</v>
      </c>
      <c r="AJ1994">
        <f>'raw data Crude oil'!AJ1995</f>
        <v>70.444999999999993</v>
      </c>
      <c r="AK1994">
        <f>'raw data Crude oil'!AK1995</f>
        <v>70.334000000000003</v>
      </c>
    </row>
    <row r="1995" spans="1:37" x14ac:dyDescent="0.3">
      <c r="A1995" s="18">
        <f>'raw data Crude oil'!A1996</f>
        <v>45554</v>
      </c>
      <c r="B1995">
        <f>'raw data Crude oil'!B1996</f>
        <v>74.88</v>
      </c>
      <c r="C1995">
        <f>'raw data Crude oil'!C1996</f>
        <v>74.010000000000005</v>
      </c>
      <c r="D1995">
        <f>'raw data Crude oil'!D1996</f>
        <v>73.48</v>
      </c>
      <c r="E1995">
        <f>'raw data Crude oil'!E1996</f>
        <v>73.16</v>
      </c>
      <c r="F1995">
        <f>'raw data Crude oil'!F1996</f>
        <v>72.97</v>
      </c>
      <c r="G1995">
        <f>'raw data Crude oil'!G1996</f>
        <v>72.83</v>
      </c>
      <c r="H1995">
        <f>'raw data Crude oil'!H1996</f>
        <v>72.709999999999994</v>
      </c>
      <c r="I1995">
        <f>'raw data Crude oil'!I1996</f>
        <v>72.59</v>
      </c>
      <c r="J1995">
        <f>'raw data Crude oil'!J1996</f>
        <v>72.459999999999994</v>
      </c>
      <c r="K1995">
        <f>'raw data Crude oil'!K1996</f>
        <v>72.33</v>
      </c>
      <c r="L1995">
        <f>'raw data Crude oil'!L1996</f>
        <v>72.19</v>
      </c>
      <c r="M1995">
        <f>'raw data Crude oil'!M1996</f>
        <v>72.05</v>
      </c>
      <c r="N1995">
        <f>'raw data Crude oil'!N1996</f>
        <v>71.95</v>
      </c>
      <c r="O1995">
        <f>'raw data Crude oil'!O1996</f>
        <v>71.16</v>
      </c>
      <c r="P1995">
        <f>'raw data Crude oil'!P1996</f>
        <v>70.260000000000005</v>
      </c>
      <c r="Q1995">
        <f>'raw data Crude oil'!Q1996</f>
        <v>69.67</v>
      </c>
      <c r="R1995">
        <f>'raw data Crude oil'!R1996</f>
        <v>69.27</v>
      </c>
      <c r="S1995">
        <f>'raw data Crude oil'!S1996</f>
        <v>69.02</v>
      </c>
      <c r="T1995">
        <f>'raw data Crude oil'!T1996</f>
        <v>68.819999999999993</v>
      </c>
      <c r="U1995">
        <f>'raw data Crude oil'!U1996</f>
        <v>68.650000000000006</v>
      </c>
      <c r="V1995">
        <f>'raw data Crude oil'!V1996</f>
        <v>68.47</v>
      </c>
      <c r="W1995">
        <f>'raw data Crude oil'!W1996</f>
        <v>68.27</v>
      </c>
      <c r="X1995">
        <f>'raw data Crude oil'!X1996</f>
        <v>68.069999999999993</v>
      </c>
      <c r="Y1995">
        <f>'raw data Crude oil'!Y1996</f>
        <v>67.89</v>
      </c>
      <c r="Z1995">
        <f>'raw data Crude oil'!Z1996</f>
        <v>73.956000000000003</v>
      </c>
      <c r="AA1995">
        <f>'raw data Crude oil'!AA1996</f>
        <v>73.731999999999999</v>
      </c>
      <c r="AB1995">
        <f>'raw data Crude oil'!AB1996</f>
        <v>72.872</v>
      </c>
      <c r="AC1995">
        <f>'raw data Crude oil'!AC1996</f>
        <v>72.402000000000001</v>
      </c>
      <c r="AD1995">
        <f>'raw data Crude oil'!AD1996</f>
        <v>72.063999999999993</v>
      </c>
      <c r="AE1995">
        <f>'raw data Crude oil'!AE1996</f>
        <v>71.864000000000004</v>
      </c>
      <c r="AF1995">
        <f>'raw data Crude oil'!AF1996</f>
        <v>71.733999999999995</v>
      </c>
      <c r="AG1995">
        <f>'raw data Crude oil'!AG1996</f>
        <v>71.614000000000004</v>
      </c>
      <c r="AH1995">
        <f>'raw data Crude oil'!AH1996</f>
        <v>71.483999999999995</v>
      </c>
      <c r="AI1995">
        <f>'raw data Crude oil'!AI1996</f>
        <v>71.352999999999994</v>
      </c>
      <c r="AJ1995">
        <f>'raw data Crude oil'!AJ1996</f>
        <v>71.213999999999999</v>
      </c>
      <c r="AK1995">
        <f>'raw data Crude oil'!AK1996</f>
        <v>71.072999999999993</v>
      </c>
    </row>
    <row r="1996" spans="1:37" x14ac:dyDescent="0.3">
      <c r="A1996" s="18">
        <f>'raw data Crude oil'!A1997</f>
        <v>45555</v>
      </c>
      <c r="B1996">
        <f>'raw data Crude oil'!B1997</f>
        <v>74.489999999999995</v>
      </c>
      <c r="C1996">
        <f>'raw data Crude oil'!C1997</f>
        <v>73.69</v>
      </c>
      <c r="D1996">
        <f>'raw data Crude oil'!D1997</f>
        <v>73.19</v>
      </c>
      <c r="E1996">
        <f>'raw data Crude oil'!E1997</f>
        <v>72.88</v>
      </c>
      <c r="F1996">
        <f>'raw data Crude oil'!F1997</f>
        <v>72.69</v>
      </c>
      <c r="G1996">
        <f>'raw data Crude oil'!G1997</f>
        <v>72.56</v>
      </c>
      <c r="H1996">
        <f>'raw data Crude oil'!H1997</f>
        <v>72.45</v>
      </c>
      <c r="I1996">
        <f>'raw data Crude oil'!I1997</f>
        <v>72.349999999999994</v>
      </c>
      <c r="J1996">
        <f>'raw data Crude oil'!J1997</f>
        <v>72.239999999999995</v>
      </c>
      <c r="K1996">
        <f>'raw data Crude oil'!K1997</f>
        <v>72.12</v>
      </c>
      <c r="L1996">
        <f>'raw data Crude oil'!L1997</f>
        <v>72</v>
      </c>
      <c r="M1996">
        <f>'raw data Crude oil'!M1997</f>
        <v>71.87</v>
      </c>
      <c r="N1996">
        <f>'raw data Crude oil'!N1997</f>
        <v>71.92</v>
      </c>
      <c r="O1996">
        <f>'raw data Crude oil'!O1997</f>
        <v>71</v>
      </c>
      <c r="P1996">
        <f>'raw data Crude oil'!P1997</f>
        <v>70.099999999999994</v>
      </c>
      <c r="Q1996">
        <f>'raw data Crude oil'!Q1997</f>
        <v>69.489999999999995</v>
      </c>
      <c r="R1996">
        <f>'raw data Crude oil'!R1997</f>
        <v>69.099999999999994</v>
      </c>
      <c r="S1996">
        <f>'raw data Crude oil'!S1997</f>
        <v>68.84</v>
      </c>
      <c r="T1996">
        <f>'raw data Crude oil'!T1997</f>
        <v>68.650000000000006</v>
      </c>
      <c r="U1996">
        <f>'raw data Crude oil'!U1997</f>
        <v>68.489999999999995</v>
      </c>
      <c r="V1996">
        <f>'raw data Crude oil'!V1997</f>
        <v>68.33</v>
      </c>
      <c r="W1996">
        <f>'raw data Crude oil'!W1997</f>
        <v>68.14</v>
      </c>
      <c r="X1996">
        <f>'raw data Crude oil'!X1997</f>
        <v>67.959999999999994</v>
      </c>
      <c r="Y1996">
        <f>'raw data Crude oil'!Y1997</f>
        <v>67.790000000000006</v>
      </c>
      <c r="Z1996">
        <f>'raw data Crude oil'!Z1997</f>
        <v>73.716999999999999</v>
      </c>
      <c r="AA1996">
        <f>'raw data Crude oil'!AA1997</f>
        <v>73.153000000000006</v>
      </c>
      <c r="AB1996">
        <f>'raw data Crude oil'!AB1997</f>
        <v>72.444999999999993</v>
      </c>
      <c r="AC1996">
        <f>'raw data Crude oil'!AC1997</f>
        <v>72.031999999999996</v>
      </c>
      <c r="AD1996">
        <f>'raw data Crude oil'!AD1997</f>
        <v>71.713999999999999</v>
      </c>
      <c r="AE1996">
        <f>'raw data Crude oil'!AE1997</f>
        <v>71.534999999999997</v>
      </c>
      <c r="AF1996">
        <f>'raw data Crude oil'!AF1997</f>
        <v>71.415000000000006</v>
      </c>
      <c r="AG1996">
        <f>'raw data Crude oil'!AG1997</f>
        <v>71.314999999999998</v>
      </c>
      <c r="AH1996">
        <f>'raw data Crude oil'!AH1997</f>
        <v>71.215000000000003</v>
      </c>
      <c r="AI1996">
        <f>'raw data Crude oil'!AI1997</f>
        <v>71.093999999999994</v>
      </c>
      <c r="AJ1996">
        <f>'raw data Crude oil'!AJ1997</f>
        <v>70.977000000000004</v>
      </c>
      <c r="AK1996">
        <f>'raw data Crude oil'!AK1997</f>
        <v>70.855999999999995</v>
      </c>
    </row>
    <row r="1997" spans="1:37" x14ac:dyDescent="0.3">
      <c r="A1997" s="18">
        <f>'raw data Crude oil'!A1998</f>
        <v>45558</v>
      </c>
      <c r="B1997">
        <f>'raw data Crude oil'!B1998</f>
        <v>73.900000000000006</v>
      </c>
      <c r="C1997">
        <f>'raw data Crude oil'!C1998</f>
        <v>73.209999999999994</v>
      </c>
      <c r="D1997">
        <f>'raw data Crude oil'!D1998</f>
        <v>72.78</v>
      </c>
      <c r="E1997">
        <f>'raw data Crude oil'!E1998</f>
        <v>72.5</v>
      </c>
      <c r="F1997">
        <f>'raw data Crude oil'!F1998</f>
        <v>72.34</v>
      </c>
      <c r="G1997">
        <f>'raw data Crude oil'!G1998</f>
        <v>72.239999999999995</v>
      </c>
      <c r="H1997">
        <f>'raw data Crude oil'!H1998</f>
        <v>72.16</v>
      </c>
      <c r="I1997">
        <f>'raw data Crude oil'!I1998</f>
        <v>72.08</v>
      </c>
      <c r="J1997">
        <f>'raw data Crude oil'!J1998</f>
        <v>71.989999999999995</v>
      </c>
      <c r="K1997">
        <f>'raw data Crude oil'!K1998</f>
        <v>71.89</v>
      </c>
      <c r="L1997">
        <f>'raw data Crude oil'!L1998</f>
        <v>71.78</v>
      </c>
      <c r="M1997">
        <f>'raw data Crude oil'!M1998</f>
        <v>71.67</v>
      </c>
      <c r="N1997">
        <f>'raw data Crude oil'!N1998</f>
        <v>70.37</v>
      </c>
      <c r="O1997">
        <f>'raw data Crude oil'!O1998</f>
        <v>69.61</v>
      </c>
      <c r="P1997">
        <f>'raw data Crude oil'!P1998</f>
        <v>69.099999999999994</v>
      </c>
      <c r="Q1997">
        <f>'raw data Crude oil'!Q1998</f>
        <v>68.739999999999995</v>
      </c>
      <c r="R1997">
        <f>'raw data Crude oil'!R1998</f>
        <v>68.5</v>
      </c>
      <c r="S1997">
        <f>'raw data Crude oil'!S1998</f>
        <v>68.319999999999993</v>
      </c>
      <c r="T1997">
        <f>'raw data Crude oil'!T1998</f>
        <v>68.19</v>
      </c>
      <c r="U1997">
        <f>'raw data Crude oil'!U1998</f>
        <v>68.02</v>
      </c>
      <c r="V1997">
        <f>'raw data Crude oil'!V1998</f>
        <v>67.86</v>
      </c>
      <c r="W1997">
        <f>'raw data Crude oil'!W1998</f>
        <v>67.7</v>
      </c>
      <c r="X1997">
        <f>'raw data Crude oil'!X1998</f>
        <v>67.540000000000006</v>
      </c>
      <c r="Y1997">
        <f>'raw data Crude oil'!Y1998</f>
        <v>67.39</v>
      </c>
      <c r="Z1997">
        <f>'raw data Crude oil'!Z1998</f>
        <v>73.558000000000007</v>
      </c>
      <c r="AA1997">
        <f>'raw data Crude oil'!AA1998</f>
        <v>72.671000000000006</v>
      </c>
      <c r="AB1997">
        <f>'raw data Crude oil'!AB1998</f>
        <v>72.016999999999996</v>
      </c>
      <c r="AC1997">
        <f>'raw data Crude oil'!AC1998</f>
        <v>71.644999999999996</v>
      </c>
      <c r="AD1997">
        <f>'raw data Crude oil'!AD1998</f>
        <v>71.375</v>
      </c>
      <c r="AE1997">
        <f>'raw data Crude oil'!AE1998</f>
        <v>71.245999999999995</v>
      </c>
      <c r="AF1997">
        <f>'raw data Crude oil'!AF1998</f>
        <v>71.146000000000001</v>
      </c>
      <c r="AG1997">
        <f>'raw data Crude oil'!AG1998</f>
        <v>71.066000000000003</v>
      </c>
      <c r="AH1997">
        <f>'raw data Crude oil'!AH1998</f>
        <v>70.984999999999999</v>
      </c>
      <c r="AI1997">
        <f>'raw data Crude oil'!AI1998</f>
        <v>70.885000000000005</v>
      </c>
      <c r="AJ1997">
        <f>'raw data Crude oil'!AJ1998</f>
        <v>70.775000000000006</v>
      </c>
      <c r="AK1997">
        <f>'raw data Crude oil'!AK1998</f>
        <v>70.664000000000001</v>
      </c>
    </row>
    <row r="1998" spans="1:37" x14ac:dyDescent="0.3">
      <c r="A1998" s="18">
        <f>'raw data Crude oil'!A1999</f>
        <v>45559</v>
      </c>
      <c r="B1998">
        <f>'raw data Crude oil'!B1999</f>
        <v>75.17</v>
      </c>
      <c r="C1998">
        <f>'raw data Crude oil'!C1999</f>
        <v>74.47</v>
      </c>
      <c r="D1998">
        <f>'raw data Crude oil'!D1999</f>
        <v>74.03</v>
      </c>
      <c r="E1998">
        <f>'raw data Crude oil'!E1999</f>
        <v>73.739999999999995</v>
      </c>
      <c r="F1998">
        <f>'raw data Crude oil'!F1999</f>
        <v>73.56</v>
      </c>
      <c r="G1998">
        <f>'raw data Crude oil'!G1999</f>
        <v>73.44</v>
      </c>
      <c r="H1998">
        <f>'raw data Crude oil'!H1999</f>
        <v>73.34</v>
      </c>
      <c r="I1998">
        <f>'raw data Crude oil'!I1999</f>
        <v>73.23</v>
      </c>
      <c r="J1998">
        <f>'raw data Crude oil'!J1999</f>
        <v>73.12</v>
      </c>
      <c r="K1998">
        <f>'raw data Crude oil'!K1999</f>
        <v>73</v>
      </c>
      <c r="L1998">
        <f>'raw data Crude oil'!L1999</f>
        <v>72.88</v>
      </c>
      <c r="M1998">
        <f>'raw data Crude oil'!M1999</f>
        <v>72.75</v>
      </c>
      <c r="N1998">
        <f>'raw data Crude oil'!N1999</f>
        <v>71.56</v>
      </c>
      <c r="O1998">
        <f>'raw data Crude oil'!O1999</f>
        <v>70.84</v>
      </c>
      <c r="P1998">
        <f>'raw data Crude oil'!P1999</f>
        <v>70.33</v>
      </c>
      <c r="Q1998">
        <f>'raw data Crude oil'!Q1999</f>
        <v>69.959999999999994</v>
      </c>
      <c r="R1998">
        <f>'raw data Crude oil'!R1999</f>
        <v>69.680000000000007</v>
      </c>
      <c r="S1998">
        <f>'raw data Crude oil'!S1999</f>
        <v>69.47</v>
      </c>
      <c r="T1998">
        <f>'raw data Crude oil'!T1999</f>
        <v>69.3</v>
      </c>
      <c r="U1998">
        <f>'raw data Crude oil'!U1999</f>
        <v>69.13</v>
      </c>
      <c r="V1998">
        <f>'raw data Crude oil'!V1999</f>
        <v>68.94</v>
      </c>
      <c r="W1998">
        <f>'raw data Crude oil'!W1999</f>
        <v>68.75</v>
      </c>
      <c r="X1998">
        <f>'raw data Crude oil'!X1999</f>
        <v>68.569999999999993</v>
      </c>
      <c r="Y1998">
        <f>'raw data Crude oil'!Y1999</f>
        <v>68.41</v>
      </c>
      <c r="Z1998">
        <f>'raw data Crude oil'!Z1999</f>
        <v>73.822000000000003</v>
      </c>
      <c r="AA1998">
        <f>'raw data Crude oil'!AA1999</f>
        <v>73.941000000000003</v>
      </c>
      <c r="AB1998">
        <f>'raw data Crude oil'!AB1999</f>
        <v>73.275999999999996</v>
      </c>
      <c r="AC1998">
        <f>'raw data Crude oil'!AC1999</f>
        <v>72.878</v>
      </c>
      <c r="AD1998">
        <f>'raw data Crude oil'!AD1999</f>
        <v>72.594999999999999</v>
      </c>
      <c r="AE1998">
        <f>'raw data Crude oil'!AE1999</f>
        <v>72.447000000000003</v>
      </c>
      <c r="AF1998">
        <f>'raw data Crude oil'!AF1999</f>
        <v>72.331000000000003</v>
      </c>
      <c r="AG1998">
        <f>'raw data Crude oil'!AG1999</f>
        <v>72.224999999999994</v>
      </c>
      <c r="AH1998">
        <f>'raw data Crude oil'!AH1999</f>
        <v>72.114999999999995</v>
      </c>
      <c r="AI1998">
        <f>'raw data Crude oil'!AI1999</f>
        <v>71.994</v>
      </c>
      <c r="AJ1998">
        <f>'raw data Crude oil'!AJ1999</f>
        <v>71.876999999999995</v>
      </c>
      <c r="AK1998">
        <f>'raw data Crude oil'!AK1999</f>
        <v>71.745999999999995</v>
      </c>
    </row>
    <row r="1999" spans="1:37" x14ac:dyDescent="0.3">
      <c r="A1999" s="18">
        <f>'raw data Crude oil'!A2000</f>
        <v>45560</v>
      </c>
      <c r="B1999">
        <f>'raw data Crude oil'!B2000</f>
        <v>73.459999999999994</v>
      </c>
      <c r="C1999">
        <f>'raw data Crude oil'!C2000</f>
        <v>72.900000000000006</v>
      </c>
      <c r="D1999">
        <f>'raw data Crude oil'!D2000</f>
        <v>72.569999999999993</v>
      </c>
      <c r="E1999">
        <f>'raw data Crude oil'!E2000</f>
        <v>72.37</v>
      </c>
      <c r="F1999">
        <f>'raw data Crude oil'!F2000</f>
        <v>72.25</v>
      </c>
      <c r="G1999">
        <f>'raw data Crude oil'!G2000</f>
        <v>72.180000000000007</v>
      </c>
      <c r="H1999">
        <f>'raw data Crude oil'!H2000</f>
        <v>72.12</v>
      </c>
      <c r="I1999">
        <f>'raw data Crude oil'!I2000</f>
        <v>72.05</v>
      </c>
      <c r="J1999">
        <f>'raw data Crude oil'!J2000</f>
        <v>71.97</v>
      </c>
      <c r="K1999">
        <f>'raw data Crude oil'!K2000</f>
        <v>71.87</v>
      </c>
      <c r="L1999">
        <f>'raw data Crude oil'!L2000</f>
        <v>71.77</v>
      </c>
      <c r="M1999">
        <f>'raw data Crude oil'!M2000</f>
        <v>71.66</v>
      </c>
      <c r="N1999">
        <f>'raw data Crude oil'!N2000</f>
        <v>69.69</v>
      </c>
      <c r="O1999">
        <f>'raw data Crude oil'!O2000</f>
        <v>69.13</v>
      </c>
      <c r="P1999">
        <f>'raw data Crude oil'!P2000</f>
        <v>68.77</v>
      </c>
      <c r="Q1999">
        <f>'raw data Crude oil'!Q2000</f>
        <v>68.510000000000005</v>
      </c>
      <c r="R1999">
        <f>'raw data Crude oil'!R2000</f>
        <v>68.319999999999993</v>
      </c>
      <c r="S1999">
        <f>'raw data Crude oil'!S2000</f>
        <v>68.180000000000007</v>
      </c>
      <c r="T1999">
        <f>'raw data Crude oil'!T2000</f>
        <v>68.05</v>
      </c>
      <c r="U1999">
        <f>'raw data Crude oil'!U2000</f>
        <v>67.92</v>
      </c>
      <c r="V1999">
        <f>'raw data Crude oil'!V2000</f>
        <v>67.77</v>
      </c>
      <c r="W1999">
        <f>'raw data Crude oil'!W2000</f>
        <v>67.61</v>
      </c>
      <c r="X1999">
        <f>'raw data Crude oil'!X2000</f>
        <v>67.47</v>
      </c>
      <c r="Y1999">
        <f>'raw data Crude oil'!Y2000</f>
        <v>67.319999999999993</v>
      </c>
      <c r="Z1999">
        <f>'raw data Crude oil'!Z2000</f>
        <v>73.616</v>
      </c>
      <c r="AA1999">
        <f>'raw data Crude oil'!AA2000</f>
        <v>72.447000000000003</v>
      </c>
      <c r="AB1999">
        <f>'raw data Crude oil'!AB2000</f>
        <v>71.843000000000004</v>
      </c>
      <c r="AC1999">
        <f>'raw data Crude oil'!AC2000</f>
        <v>71.486999999999995</v>
      </c>
      <c r="AD1999">
        <f>'raw data Crude oil'!AD2000</f>
        <v>71.27</v>
      </c>
      <c r="AE1999">
        <f>'raw data Crude oil'!AE2000</f>
        <v>71.180000000000007</v>
      </c>
      <c r="AF1999">
        <f>'raw data Crude oil'!AF2000</f>
        <v>71.12</v>
      </c>
      <c r="AG1999">
        <f>'raw data Crude oil'!AG2000</f>
        <v>71.06</v>
      </c>
      <c r="AH1999">
        <f>'raw data Crude oil'!AH2000</f>
        <v>70.989999999999995</v>
      </c>
      <c r="AI1999">
        <f>'raw data Crude oil'!AI2000</f>
        <v>70.900000000000006</v>
      </c>
      <c r="AJ1999">
        <f>'raw data Crude oil'!AJ2000</f>
        <v>70.8</v>
      </c>
      <c r="AK1999">
        <f>'raw data Crude oil'!AK2000</f>
        <v>70.69</v>
      </c>
    </row>
    <row r="2000" spans="1:37" x14ac:dyDescent="0.3">
      <c r="A2000" s="18">
        <f>'raw data Crude oil'!A2001</f>
        <v>45561</v>
      </c>
      <c r="B2000">
        <f>'raw data Crude oil'!B2001</f>
        <v>71.599999999999994</v>
      </c>
      <c r="C2000">
        <f>'raw data Crude oil'!C2001</f>
        <v>71.09</v>
      </c>
      <c r="D2000">
        <f>'raw data Crude oil'!D2001</f>
        <v>70.78</v>
      </c>
      <c r="E2000">
        <f>'raw data Crude oil'!E2001</f>
        <v>70.62</v>
      </c>
      <c r="F2000">
        <f>'raw data Crude oil'!F2001</f>
        <v>70.55</v>
      </c>
      <c r="G2000">
        <f>'raw data Crude oil'!G2001</f>
        <v>70.53</v>
      </c>
      <c r="H2000">
        <f>'raw data Crude oil'!H2001</f>
        <v>70.52</v>
      </c>
      <c r="I2000">
        <f>'raw data Crude oil'!I2001</f>
        <v>70.510000000000005</v>
      </c>
      <c r="J2000">
        <f>'raw data Crude oil'!J2001</f>
        <v>70.48</v>
      </c>
      <c r="K2000">
        <f>'raw data Crude oil'!K2001</f>
        <v>70.45</v>
      </c>
      <c r="L2000">
        <f>'raw data Crude oil'!L2001</f>
        <v>70.400000000000006</v>
      </c>
      <c r="M2000">
        <f>'raw data Crude oil'!M2001</f>
        <v>70.349999999999994</v>
      </c>
      <c r="N2000">
        <f>'raw data Crude oil'!N2001</f>
        <v>67.67</v>
      </c>
      <c r="O2000">
        <f>'raw data Crude oil'!O2001</f>
        <v>67.19</v>
      </c>
      <c r="P2000">
        <f>'raw data Crude oil'!P2001</f>
        <v>66.89</v>
      </c>
      <c r="Q2000">
        <f>'raw data Crude oil'!Q2001</f>
        <v>66.7</v>
      </c>
      <c r="R2000">
        <f>'raw data Crude oil'!R2001</f>
        <v>66.59</v>
      </c>
      <c r="S2000">
        <f>'raw data Crude oil'!S2001</f>
        <v>66.510000000000005</v>
      </c>
      <c r="T2000">
        <f>'raw data Crude oil'!T2001</f>
        <v>66.459999999999994</v>
      </c>
      <c r="U2000">
        <f>'raw data Crude oil'!U2001</f>
        <v>66.400000000000006</v>
      </c>
      <c r="V2000">
        <f>'raw data Crude oil'!V2001</f>
        <v>66.319999999999993</v>
      </c>
      <c r="W2000">
        <f>'raw data Crude oil'!W2001</f>
        <v>66.23</v>
      </c>
      <c r="X2000">
        <f>'raw data Crude oil'!X2001</f>
        <v>66.150000000000006</v>
      </c>
      <c r="Y2000">
        <f>'raw data Crude oil'!Y2001</f>
        <v>66.08</v>
      </c>
      <c r="Z2000">
        <f>'raw data Crude oil'!Z2001</f>
        <v>73.403999999999996</v>
      </c>
      <c r="AA2000">
        <f>'raw data Crude oil'!AA2001</f>
        <v>70.570999999999998</v>
      </c>
      <c r="AB2000">
        <f>'raw data Crude oil'!AB2001</f>
        <v>70.001999999999995</v>
      </c>
      <c r="AC2000">
        <f>'raw data Crude oil'!AC2001</f>
        <v>69.694000000000003</v>
      </c>
      <c r="AD2000">
        <f>'raw data Crude oil'!AD2001</f>
        <v>69.513999999999996</v>
      </c>
      <c r="AE2000">
        <f>'raw data Crude oil'!AE2001</f>
        <v>69.453999999999994</v>
      </c>
      <c r="AF2000">
        <f>'raw data Crude oil'!AF2001</f>
        <v>69.42</v>
      </c>
      <c r="AG2000">
        <f>'raw data Crude oil'!AG2001</f>
        <v>69.394000000000005</v>
      </c>
      <c r="AH2000">
        <f>'raw data Crude oil'!AH2001</f>
        <v>69.369</v>
      </c>
      <c r="AI2000">
        <f>'raw data Crude oil'!AI2001</f>
        <v>69.337999999999994</v>
      </c>
      <c r="AJ2000">
        <f>'raw data Crude oil'!AJ2001</f>
        <v>69.287999999999997</v>
      </c>
      <c r="AK2000">
        <f>'raw data Crude oil'!AK2001</f>
        <v>69.238</v>
      </c>
    </row>
    <row r="2001" spans="1:37" x14ac:dyDescent="0.3">
      <c r="A2001" s="18">
        <f>'raw data Crude oil'!A2002</f>
        <v>45562</v>
      </c>
      <c r="B2001">
        <f>'raw data Crude oil'!B2002</f>
        <v>71.98</v>
      </c>
      <c r="C2001">
        <f>'raw data Crude oil'!C2002</f>
        <v>71.540000000000006</v>
      </c>
      <c r="D2001">
        <f>'raw data Crude oil'!D2002</f>
        <v>71.209999999999994</v>
      </c>
      <c r="E2001">
        <f>'raw data Crude oil'!E2002</f>
        <v>71.010000000000005</v>
      </c>
      <c r="F2001">
        <f>'raw data Crude oil'!F2002</f>
        <v>70.900000000000006</v>
      </c>
      <c r="G2001">
        <f>'raw data Crude oil'!G2002</f>
        <v>70.84</v>
      </c>
      <c r="H2001">
        <f>'raw data Crude oil'!H2002</f>
        <v>70.81</v>
      </c>
      <c r="I2001">
        <f>'raw data Crude oil'!I2002</f>
        <v>70.77</v>
      </c>
      <c r="J2001">
        <f>'raw data Crude oil'!J2002</f>
        <v>70.72</v>
      </c>
      <c r="K2001">
        <f>'raw data Crude oil'!K2002</f>
        <v>70.67</v>
      </c>
      <c r="L2001">
        <f>'raw data Crude oil'!L2002</f>
        <v>70.61</v>
      </c>
      <c r="M2001">
        <f>'raw data Crude oil'!M2002</f>
        <v>70.55</v>
      </c>
      <c r="N2001">
        <f>'raw data Crude oil'!N2002</f>
        <v>68.180000000000007</v>
      </c>
      <c r="O2001">
        <f>'raw data Crude oil'!O2002</f>
        <v>67.67</v>
      </c>
      <c r="P2001">
        <f>'raw data Crude oil'!P2002</f>
        <v>67.34</v>
      </c>
      <c r="Q2001">
        <f>'raw data Crude oil'!Q2002</f>
        <v>67.12</v>
      </c>
      <c r="R2001">
        <f>'raw data Crude oil'!R2002</f>
        <v>66.98</v>
      </c>
      <c r="S2001">
        <f>'raw data Crude oil'!S2002</f>
        <v>66.88</v>
      </c>
      <c r="T2001">
        <f>'raw data Crude oil'!T2002</f>
        <v>66.8</v>
      </c>
      <c r="U2001">
        <f>'raw data Crude oil'!U2002</f>
        <v>66.709999999999994</v>
      </c>
      <c r="V2001">
        <f>'raw data Crude oil'!V2002</f>
        <v>66.61</v>
      </c>
      <c r="W2001">
        <f>'raw data Crude oil'!W2002</f>
        <v>66.489999999999995</v>
      </c>
      <c r="X2001">
        <f>'raw data Crude oil'!X2002</f>
        <v>66.400000000000006</v>
      </c>
      <c r="Y2001">
        <f>'raw data Crude oil'!Y2002</f>
        <v>66.31</v>
      </c>
      <c r="Z2001">
        <f>'raw data Crude oil'!Z2002</f>
        <v>73.474999999999994</v>
      </c>
      <c r="AA2001">
        <f>'raw data Crude oil'!AA2002</f>
        <v>71.209000000000003</v>
      </c>
      <c r="AB2001">
        <f>'raw data Crude oil'!AB2002</f>
        <v>70.551000000000002</v>
      </c>
      <c r="AC2001">
        <f>'raw data Crude oil'!AC2002</f>
        <v>70.174999999999997</v>
      </c>
      <c r="AD2001">
        <f>'raw data Crude oil'!AD2002</f>
        <v>69.974999999999994</v>
      </c>
      <c r="AE2001">
        <f>'raw data Crude oil'!AE2002</f>
        <v>69.875</v>
      </c>
      <c r="AF2001">
        <f>'raw data Crude oil'!AF2002</f>
        <v>69.814999999999998</v>
      </c>
      <c r="AG2001">
        <f>'raw data Crude oil'!AG2002</f>
        <v>69.778000000000006</v>
      </c>
      <c r="AH2001">
        <f>'raw data Crude oil'!AH2002</f>
        <v>69.738</v>
      </c>
      <c r="AI2001">
        <f>'raw data Crude oil'!AI2002</f>
        <v>69.686999999999998</v>
      </c>
      <c r="AJ2001">
        <f>'raw data Crude oil'!AJ2002</f>
        <v>69.626999999999995</v>
      </c>
      <c r="AK2001">
        <f>'raw data Crude oil'!AK2002</f>
        <v>69.566999999999993</v>
      </c>
    </row>
    <row r="2002" spans="1:37" x14ac:dyDescent="0.3">
      <c r="A2002" s="18">
        <f>'raw data Crude oil'!A2003</f>
        <v>45565</v>
      </c>
      <c r="B2002">
        <f>'raw data Crude oil'!B2003</f>
        <v>71.77</v>
      </c>
      <c r="C2002">
        <f>'raw data Crude oil'!C2003</f>
        <v>71.7</v>
      </c>
      <c r="D2002">
        <f>'raw data Crude oil'!D2003</f>
        <v>71.459999999999994</v>
      </c>
      <c r="E2002">
        <f>'raw data Crude oil'!E2003</f>
        <v>71.28</v>
      </c>
      <c r="F2002">
        <f>'raw data Crude oil'!F2003</f>
        <v>71.180000000000007</v>
      </c>
      <c r="G2002">
        <f>'raw data Crude oil'!G2003</f>
        <v>71.12</v>
      </c>
      <c r="H2002">
        <f>'raw data Crude oil'!H2003</f>
        <v>71.08</v>
      </c>
      <c r="I2002">
        <f>'raw data Crude oil'!I2003</f>
        <v>71.040000000000006</v>
      </c>
      <c r="J2002">
        <f>'raw data Crude oil'!J2003</f>
        <v>70.98</v>
      </c>
      <c r="K2002">
        <f>'raw data Crude oil'!K2003</f>
        <v>70.930000000000007</v>
      </c>
      <c r="L2002">
        <f>'raw data Crude oil'!L2003</f>
        <v>70.87</v>
      </c>
      <c r="M2002">
        <f>'raw data Crude oil'!M2003</f>
        <v>70.81</v>
      </c>
      <c r="N2002">
        <f>'raw data Crude oil'!N2003</f>
        <v>68.17</v>
      </c>
      <c r="O2002">
        <f>'raw data Crude oil'!O2003</f>
        <v>67.77</v>
      </c>
      <c r="P2002">
        <f>'raw data Crude oil'!P2003</f>
        <v>67.5</v>
      </c>
      <c r="Q2002">
        <f>'raw data Crude oil'!Q2003</f>
        <v>67.319999999999993</v>
      </c>
      <c r="R2002">
        <f>'raw data Crude oil'!R2003</f>
        <v>67.2</v>
      </c>
      <c r="S2002">
        <f>'raw data Crude oil'!S2003</f>
        <v>67.11</v>
      </c>
      <c r="T2002">
        <f>'raw data Crude oil'!T2003</f>
        <v>67.02</v>
      </c>
      <c r="U2002">
        <f>'raw data Crude oil'!U2003</f>
        <v>66.930000000000007</v>
      </c>
      <c r="V2002">
        <f>'raw data Crude oil'!V2003</f>
        <v>66.819999999999993</v>
      </c>
      <c r="W2002">
        <f>'raw data Crude oil'!W2003</f>
        <v>66.72</v>
      </c>
      <c r="X2002">
        <f>'raw data Crude oil'!X2003</f>
        <v>66.63</v>
      </c>
      <c r="Y2002">
        <f>'raw data Crude oil'!Y2003</f>
        <v>66.540000000000006</v>
      </c>
      <c r="Z2002">
        <f>'raw data Crude oil'!Z2003</f>
        <v>73.513999999999996</v>
      </c>
      <c r="AA2002">
        <f>'raw data Crude oil'!AA2003</f>
        <v>71.38</v>
      </c>
      <c r="AB2002">
        <f>'raw data Crude oil'!AB2003</f>
        <v>70.820999999999998</v>
      </c>
      <c r="AC2002">
        <f>'raw data Crude oil'!AC2003</f>
        <v>70.42</v>
      </c>
      <c r="AD2002">
        <f>'raw data Crude oil'!AD2003</f>
        <v>70.22</v>
      </c>
      <c r="AE2002">
        <f>'raw data Crude oil'!AE2003</f>
        <v>70.111000000000004</v>
      </c>
      <c r="AF2002">
        <f>'raw data Crude oil'!AF2003</f>
        <v>70.048000000000002</v>
      </c>
      <c r="AG2002">
        <f>'raw data Crude oil'!AG2003</f>
        <v>69.997</v>
      </c>
      <c r="AH2002">
        <f>'raw data Crude oil'!AH2003</f>
        <v>69.947999999999993</v>
      </c>
      <c r="AI2002">
        <f>'raw data Crude oil'!AI2003</f>
        <v>69.897000000000006</v>
      </c>
      <c r="AJ2002">
        <f>'raw data Crude oil'!AJ2003</f>
        <v>69.837000000000003</v>
      </c>
      <c r="AK2002">
        <f>'raw data Crude oil'!AK2003</f>
        <v>69.777000000000001</v>
      </c>
    </row>
    <row r="2003" spans="1:37" x14ac:dyDescent="0.3">
      <c r="A2003" s="18">
        <f>'raw data Crude oil'!A2004</f>
        <v>45566</v>
      </c>
      <c r="B2003">
        <f>'raw data Crude oil'!B2004</f>
        <v>73.56</v>
      </c>
      <c r="C2003">
        <f>'raw data Crude oil'!C2004</f>
        <v>73.209999999999994</v>
      </c>
      <c r="D2003">
        <f>'raw data Crude oil'!D2004</f>
        <v>72.959999999999994</v>
      </c>
      <c r="E2003">
        <f>'raw data Crude oil'!E2004</f>
        <v>72.790000000000006</v>
      </c>
      <c r="F2003">
        <f>'raw data Crude oil'!F2004</f>
        <v>72.680000000000007</v>
      </c>
      <c r="G2003">
        <f>'raw data Crude oil'!G2004</f>
        <v>72.58</v>
      </c>
      <c r="H2003">
        <f>'raw data Crude oil'!H2004</f>
        <v>72.489999999999995</v>
      </c>
      <c r="I2003">
        <f>'raw data Crude oil'!I2004</f>
        <v>72.41</v>
      </c>
      <c r="J2003">
        <f>'raw data Crude oil'!J2004</f>
        <v>72.319999999999993</v>
      </c>
      <c r="K2003">
        <f>'raw data Crude oil'!K2004</f>
        <v>72.23</v>
      </c>
      <c r="L2003">
        <f>'raw data Crude oil'!L2004</f>
        <v>72.150000000000006</v>
      </c>
      <c r="M2003">
        <f>'raw data Crude oil'!M2004</f>
        <v>72.06</v>
      </c>
      <c r="N2003">
        <f>'raw data Crude oil'!N2004</f>
        <v>69.83</v>
      </c>
      <c r="O2003">
        <f>'raw data Crude oil'!O2004</f>
        <v>69.39</v>
      </c>
      <c r="P2003">
        <f>'raw data Crude oil'!P2004</f>
        <v>69.05</v>
      </c>
      <c r="Q2003">
        <f>'raw data Crude oil'!Q2004</f>
        <v>68.8</v>
      </c>
      <c r="R2003">
        <f>'raw data Crude oil'!R2004</f>
        <v>68.62</v>
      </c>
      <c r="S2003">
        <f>'raw data Crude oil'!S2004</f>
        <v>68.48</v>
      </c>
      <c r="T2003">
        <f>'raw data Crude oil'!T2004</f>
        <v>68.34</v>
      </c>
      <c r="U2003">
        <f>'raw data Crude oil'!U2004</f>
        <v>68.2</v>
      </c>
      <c r="V2003">
        <f>'raw data Crude oil'!V2004</f>
        <v>68.06</v>
      </c>
      <c r="W2003">
        <f>'raw data Crude oil'!W2004</f>
        <v>67.91</v>
      </c>
      <c r="X2003">
        <f>'raw data Crude oil'!X2004</f>
        <v>67.77</v>
      </c>
      <c r="Y2003">
        <f>'raw data Crude oil'!Y2004</f>
        <v>67.64</v>
      </c>
      <c r="Z2003">
        <f>'raw data Crude oil'!Z2004</f>
        <v>73.513999999999996</v>
      </c>
      <c r="AA2003">
        <f>'raw data Crude oil'!AA2004</f>
        <v>73.36</v>
      </c>
      <c r="AB2003">
        <f>'raw data Crude oil'!AB2004</f>
        <v>72.628</v>
      </c>
      <c r="AC2003">
        <f>'raw data Crude oil'!AC2004</f>
        <v>72.168000000000006</v>
      </c>
      <c r="AD2003">
        <f>'raw data Crude oil'!AD2004</f>
        <v>71.903000000000006</v>
      </c>
      <c r="AE2003">
        <f>'raw data Crude oil'!AE2004</f>
        <v>71.742999999999995</v>
      </c>
      <c r="AF2003">
        <f>'raw data Crude oil'!AF2004</f>
        <v>71.629000000000005</v>
      </c>
      <c r="AG2003">
        <f>'raw data Crude oil'!AG2004</f>
        <v>71.528999999999996</v>
      </c>
      <c r="AH2003">
        <f>'raw data Crude oil'!AH2004</f>
        <v>71.438999999999993</v>
      </c>
      <c r="AI2003">
        <f>'raw data Crude oil'!AI2004</f>
        <v>71.338999999999999</v>
      </c>
      <c r="AJ2003">
        <f>'raw data Crude oil'!AJ2004</f>
        <v>71.245000000000005</v>
      </c>
      <c r="AK2003">
        <f>'raw data Crude oil'!AK2004</f>
        <v>71.174000000000007</v>
      </c>
    </row>
    <row r="2004" spans="1:37" x14ac:dyDescent="0.3">
      <c r="A2004" s="18">
        <f>'raw data Crude oil'!A2005</f>
        <v>45567</v>
      </c>
      <c r="B2004">
        <f>'raw data Crude oil'!B2005</f>
        <v>73.900000000000006</v>
      </c>
      <c r="C2004">
        <f>'raw data Crude oil'!C2005</f>
        <v>73.540000000000006</v>
      </c>
      <c r="D2004">
        <f>'raw data Crude oil'!D2005</f>
        <v>73.260000000000005</v>
      </c>
      <c r="E2004">
        <f>'raw data Crude oil'!E2005</f>
        <v>73.06</v>
      </c>
      <c r="F2004">
        <f>'raw data Crude oil'!F2005</f>
        <v>72.92</v>
      </c>
      <c r="G2004">
        <f>'raw data Crude oil'!G2005</f>
        <v>72.8</v>
      </c>
      <c r="H2004">
        <f>'raw data Crude oil'!H2005</f>
        <v>72.680000000000007</v>
      </c>
      <c r="I2004">
        <f>'raw data Crude oil'!I2005</f>
        <v>72.58</v>
      </c>
      <c r="J2004">
        <f>'raw data Crude oil'!J2005</f>
        <v>72.48</v>
      </c>
      <c r="K2004">
        <f>'raw data Crude oil'!K2005</f>
        <v>72.37</v>
      </c>
      <c r="L2004">
        <f>'raw data Crude oil'!L2005</f>
        <v>72.27</v>
      </c>
      <c r="M2004">
        <f>'raw data Crude oil'!M2005</f>
        <v>72.17</v>
      </c>
      <c r="N2004">
        <f>'raw data Crude oil'!N2005</f>
        <v>70.099999999999994</v>
      </c>
      <c r="O2004">
        <f>'raw data Crude oil'!O2005</f>
        <v>69.69</v>
      </c>
      <c r="P2004">
        <f>'raw data Crude oil'!P2005</f>
        <v>69.36</v>
      </c>
      <c r="Q2004">
        <f>'raw data Crude oil'!Q2005</f>
        <v>69.08</v>
      </c>
      <c r="R2004">
        <f>'raw data Crude oil'!R2005</f>
        <v>68.86</v>
      </c>
      <c r="S2004">
        <f>'raw data Crude oil'!S2005</f>
        <v>68.69</v>
      </c>
      <c r="T2004">
        <f>'raw data Crude oil'!T2005</f>
        <v>68.540000000000006</v>
      </c>
      <c r="U2004">
        <f>'raw data Crude oil'!U2005</f>
        <v>68.38</v>
      </c>
      <c r="V2004">
        <f>'raw data Crude oil'!V2005</f>
        <v>68.22</v>
      </c>
      <c r="W2004">
        <f>'raw data Crude oil'!W2005</f>
        <v>68.06</v>
      </c>
      <c r="X2004">
        <f>'raw data Crude oil'!X2005</f>
        <v>67.91</v>
      </c>
      <c r="Y2004">
        <f>'raw data Crude oil'!Y2005</f>
        <v>67.77</v>
      </c>
      <c r="Z2004">
        <f>'raw data Crude oil'!Z2005</f>
        <v>73.459000000000003</v>
      </c>
      <c r="AA2004">
        <f>'raw data Crude oil'!AA2005</f>
        <v>72.804000000000002</v>
      </c>
      <c r="AB2004">
        <f>'raw data Crude oil'!AB2005</f>
        <v>72.296999999999997</v>
      </c>
      <c r="AC2004">
        <f>'raw data Crude oil'!AC2005</f>
        <v>72.034000000000006</v>
      </c>
      <c r="AD2004">
        <f>'raw data Crude oil'!AD2005</f>
        <v>71.852999999999994</v>
      </c>
      <c r="AE2004">
        <f>'raw data Crude oil'!AE2005</f>
        <v>71.733000000000004</v>
      </c>
      <c r="AF2004">
        <f>'raw data Crude oil'!AF2005</f>
        <v>71.614999999999995</v>
      </c>
      <c r="AG2004">
        <f>'raw data Crude oil'!AG2005</f>
        <v>71.515000000000001</v>
      </c>
      <c r="AH2004">
        <f>'raw data Crude oil'!AH2005</f>
        <v>71.415000000000006</v>
      </c>
      <c r="AI2004">
        <f>'raw data Crude oil'!AI2005</f>
        <v>71.316000000000003</v>
      </c>
      <c r="AJ2004">
        <f>'raw data Crude oil'!AJ2005</f>
        <v>71.224999999999994</v>
      </c>
      <c r="AK2004">
        <f>'raw data Crude oil'!AK2005</f>
        <v>71.135999999999996</v>
      </c>
    </row>
    <row r="2005" spans="1:37" x14ac:dyDescent="0.3">
      <c r="A2005" s="18">
        <f>'raw data Crude oil'!A2006</f>
        <v>45568</v>
      </c>
      <c r="B2005">
        <f>'raw data Crude oil'!B2006</f>
        <v>77.62</v>
      </c>
      <c r="C2005">
        <f>'raw data Crude oil'!C2006</f>
        <v>77.11</v>
      </c>
      <c r="D2005">
        <f>'raw data Crude oil'!D2006</f>
        <v>76.7</v>
      </c>
      <c r="E2005">
        <f>'raw data Crude oil'!E2006</f>
        <v>76.38</v>
      </c>
      <c r="F2005">
        <f>'raw data Crude oil'!F2006</f>
        <v>76.14</v>
      </c>
      <c r="G2005">
        <f>'raw data Crude oil'!G2006</f>
        <v>75.930000000000007</v>
      </c>
      <c r="H2005">
        <f>'raw data Crude oil'!H2006</f>
        <v>75.73</v>
      </c>
      <c r="I2005">
        <f>'raw data Crude oil'!I2006</f>
        <v>75.540000000000006</v>
      </c>
      <c r="J2005">
        <f>'raw data Crude oil'!J2006</f>
        <v>75.349999999999994</v>
      </c>
      <c r="K2005">
        <f>'raw data Crude oil'!K2006</f>
        <v>75.17</v>
      </c>
      <c r="L2005">
        <f>'raw data Crude oil'!L2006</f>
        <v>74.989999999999995</v>
      </c>
      <c r="M2005">
        <f>'raw data Crude oil'!M2006</f>
        <v>74.81</v>
      </c>
      <c r="N2005">
        <f>'raw data Crude oil'!N2006</f>
        <v>73.709999999999994</v>
      </c>
      <c r="O2005">
        <f>'raw data Crude oil'!O2006</f>
        <v>73.17</v>
      </c>
      <c r="P2005">
        <f>'raw data Crude oil'!P2006</f>
        <v>72.73</v>
      </c>
      <c r="Q2005">
        <f>'raw data Crude oil'!Q2006</f>
        <v>72.33</v>
      </c>
      <c r="R2005">
        <f>'raw data Crude oil'!R2006</f>
        <v>72</v>
      </c>
      <c r="S2005">
        <f>'raw data Crude oil'!S2006</f>
        <v>71.75</v>
      </c>
      <c r="T2005">
        <f>'raw data Crude oil'!T2006</f>
        <v>71.5</v>
      </c>
      <c r="U2005">
        <f>'raw data Crude oil'!U2006</f>
        <v>71.239999999999995</v>
      </c>
      <c r="V2005">
        <f>'raw data Crude oil'!V2006</f>
        <v>70.989999999999995</v>
      </c>
      <c r="W2005">
        <f>'raw data Crude oil'!W2006</f>
        <v>70.739999999999995</v>
      </c>
      <c r="X2005">
        <f>'raw data Crude oil'!X2006</f>
        <v>70.53</v>
      </c>
      <c r="Y2005">
        <f>'raw data Crude oil'!Y2006</f>
        <v>70.31</v>
      </c>
      <c r="Z2005">
        <f>'raw data Crude oil'!Z2006</f>
        <v>76.646000000000001</v>
      </c>
      <c r="AA2005">
        <f>'raw data Crude oil'!AA2006</f>
        <v>76.221999999999994</v>
      </c>
      <c r="AB2005">
        <f>'raw data Crude oil'!AB2006</f>
        <v>75.695999999999998</v>
      </c>
      <c r="AC2005">
        <f>'raw data Crude oil'!AC2006</f>
        <v>75.355999999999995</v>
      </c>
      <c r="AD2005">
        <f>'raw data Crude oil'!AD2006</f>
        <v>75.099999999999994</v>
      </c>
      <c r="AE2005">
        <f>'raw data Crude oil'!AE2006</f>
        <v>74.902000000000001</v>
      </c>
      <c r="AF2005">
        <f>'raw data Crude oil'!AF2006</f>
        <v>74.712999999999994</v>
      </c>
      <c r="AG2005">
        <f>'raw data Crude oil'!AG2006</f>
        <v>74.543000000000006</v>
      </c>
      <c r="AH2005">
        <f>'raw data Crude oil'!AH2006</f>
        <v>74.363</v>
      </c>
      <c r="AI2005">
        <f>'raw data Crude oil'!AI2006</f>
        <v>74.191999999999993</v>
      </c>
      <c r="AJ2005">
        <f>'raw data Crude oil'!AJ2006</f>
        <v>74.010999999999996</v>
      </c>
      <c r="AK2005">
        <f>'raw data Crude oil'!AK2006</f>
        <v>73.832999999999998</v>
      </c>
    </row>
    <row r="2006" spans="1:37" x14ac:dyDescent="0.3">
      <c r="A2006" s="18">
        <f>'raw data Crude oil'!A2007</f>
        <v>45569</v>
      </c>
      <c r="B2006">
        <f>'raw data Crude oil'!B2007</f>
        <v>78.05</v>
      </c>
      <c r="C2006">
        <f>'raw data Crude oil'!C2007</f>
        <v>77.430000000000007</v>
      </c>
      <c r="D2006">
        <f>'raw data Crude oil'!D2007</f>
        <v>76.89</v>
      </c>
      <c r="E2006">
        <f>'raw data Crude oil'!E2007</f>
        <v>76.47</v>
      </c>
      <c r="F2006">
        <f>'raw data Crude oil'!F2007</f>
        <v>76.14</v>
      </c>
      <c r="G2006">
        <f>'raw data Crude oil'!G2007</f>
        <v>75.86</v>
      </c>
      <c r="H2006">
        <f>'raw data Crude oil'!H2007</f>
        <v>75.599999999999994</v>
      </c>
      <c r="I2006">
        <f>'raw data Crude oil'!I2007</f>
        <v>75.37</v>
      </c>
      <c r="J2006">
        <f>'raw data Crude oil'!J2007</f>
        <v>75.150000000000006</v>
      </c>
      <c r="K2006">
        <f>'raw data Crude oil'!K2007</f>
        <v>74.94</v>
      </c>
      <c r="L2006">
        <f>'raw data Crude oil'!L2007</f>
        <v>74.739999999999995</v>
      </c>
      <c r="M2006">
        <f>'raw data Crude oil'!M2007</f>
        <v>74.56</v>
      </c>
      <c r="N2006">
        <f>'raw data Crude oil'!N2007</f>
        <v>74.38</v>
      </c>
      <c r="O2006">
        <f>'raw data Crude oil'!O2007</f>
        <v>73.680000000000007</v>
      </c>
      <c r="P2006">
        <f>'raw data Crude oil'!P2007</f>
        <v>73.099999999999994</v>
      </c>
      <c r="Q2006">
        <f>'raw data Crude oil'!Q2007</f>
        <v>72.569999999999993</v>
      </c>
      <c r="R2006">
        <f>'raw data Crude oil'!R2007</f>
        <v>72.12</v>
      </c>
      <c r="S2006">
        <f>'raw data Crude oil'!S2007</f>
        <v>71.760000000000005</v>
      </c>
      <c r="T2006">
        <f>'raw data Crude oil'!T2007</f>
        <v>71.430000000000007</v>
      </c>
      <c r="U2006">
        <f>'raw data Crude oil'!U2007</f>
        <v>71.12</v>
      </c>
      <c r="V2006">
        <f>'raw data Crude oil'!V2007</f>
        <v>70.81</v>
      </c>
      <c r="W2006">
        <f>'raw data Crude oil'!W2007</f>
        <v>70.52</v>
      </c>
      <c r="X2006">
        <f>'raw data Crude oil'!X2007</f>
        <v>70.260000000000005</v>
      </c>
      <c r="Y2006">
        <f>'raw data Crude oil'!Y2007</f>
        <v>70.03</v>
      </c>
      <c r="Z2006">
        <f>'raw data Crude oil'!Z2007</f>
        <v>76.584000000000003</v>
      </c>
      <c r="AA2006">
        <f>'raw data Crude oil'!AA2007</f>
        <v>76.081000000000003</v>
      </c>
      <c r="AB2006">
        <f>'raw data Crude oil'!AB2007</f>
        <v>75.563999999999993</v>
      </c>
      <c r="AC2006">
        <f>'raw data Crude oil'!AC2007</f>
        <v>75.2</v>
      </c>
      <c r="AD2006">
        <f>'raw data Crude oil'!AD2007</f>
        <v>74.899000000000001</v>
      </c>
      <c r="AE2006">
        <f>'raw data Crude oil'!AE2007</f>
        <v>74.668000000000006</v>
      </c>
      <c r="AF2006">
        <f>'raw data Crude oil'!AF2007</f>
        <v>74.454999999999998</v>
      </c>
      <c r="AG2006">
        <f>'raw data Crude oil'!AG2007</f>
        <v>74.275000000000006</v>
      </c>
      <c r="AH2006">
        <f>'raw data Crude oil'!AH2007</f>
        <v>74.094999999999999</v>
      </c>
      <c r="AI2006">
        <f>'raw data Crude oil'!AI2007</f>
        <v>73.900999999999996</v>
      </c>
      <c r="AJ2006">
        <f>'raw data Crude oil'!AJ2007</f>
        <v>73.710999999999999</v>
      </c>
      <c r="AK2006">
        <f>'raw data Crude oil'!AK2007</f>
        <v>73.531999999999996</v>
      </c>
    </row>
    <row r="2007" spans="1:37" x14ac:dyDescent="0.3">
      <c r="A2007" s="18">
        <f>'raw data Crude oil'!A2008</f>
        <v>45572</v>
      </c>
      <c r="B2007">
        <f>'raw data Crude oil'!B2008</f>
        <v>80.930000000000007</v>
      </c>
      <c r="C2007">
        <f>'raw data Crude oil'!C2008</f>
        <v>80.349999999999994</v>
      </c>
      <c r="D2007">
        <f>'raw data Crude oil'!D2008</f>
        <v>79.819999999999993</v>
      </c>
      <c r="E2007">
        <f>'raw data Crude oil'!E2008</f>
        <v>79.37</v>
      </c>
      <c r="F2007">
        <f>'raw data Crude oil'!F2008</f>
        <v>78.98</v>
      </c>
      <c r="G2007">
        <f>'raw data Crude oil'!G2008</f>
        <v>78.63</v>
      </c>
      <c r="H2007">
        <f>'raw data Crude oil'!H2008</f>
        <v>78.3</v>
      </c>
      <c r="I2007">
        <f>'raw data Crude oil'!I2008</f>
        <v>77.989999999999995</v>
      </c>
      <c r="J2007">
        <f>'raw data Crude oil'!J2008</f>
        <v>77.69</v>
      </c>
      <c r="K2007">
        <f>'raw data Crude oil'!K2008</f>
        <v>77.39</v>
      </c>
      <c r="L2007">
        <f>'raw data Crude oil'!L2008</f>
        <v>77.11</v>
      </c>
      <c r="M2007">
        <f>'raw data Crude oil'!M2008</f>
        <v>76.849999999999994</v>
      </c>
      <c r="N2007">
        <f>'raw data Crude oil'!N2008</f>
        <v>77.14</v>
      </c>
      <c r="O2007">
        <f>'raw data Crude oil'!O2008</f>
        <v>76.47</v>
      </c>
      <c r="P2007">
        <f>'raw data Crude oil'!P2008</f>
        <v>75.88</v>
      </c>
      <c r="Q2007">
        <f>'raw data Crude oil'!Q2008</f>
        <v>75.349999999999994</v>
      </c>
      <c r="R2007">
        <f>'raw data Crude oil'!R2008</f>
        <v>74.89</v>
      </c>
      <c r="S2007">
        <f>'raw data Crude oil'!S2008</f>
        <v>74.48</v>
      </c>
      <c r="T2007">
        <f>'raw data Crude oil'!T2008</f>
        <v>74.09</v>
      </c>
      <c r="U2007">
        <f>'raw data Crude oil'!U2008</f>
        <v>73.709999999999994</v>
      </c>
      <c r="V2007">
        <f>'raw data Crude oil'!V2008</f>
        <v>73.33</v>
      </c>
      <c r="W2007">
        <f>'raw data Crude oil'!W2008</f>
        <v>72.95</v>
      </c>
      <c r="X2007">
        <f>'raw data Crude oil'!X2008</f>
        <v>72.61</v>
      </c>
      <c r="Y2007">
        <f>'raw data Crude oil'!Y2008</f>
        <v>72.290000000000006</v>
      </c>
      <c r="Z2007">
        <f>'raw data Crude oil'!Z2008</f>
        <v>79.055999999999997</v>
      </c>
      <c r="AA2007">
        <f>'raw data Crude oil'!AA2008</f>
        <v>79.185000000000002</v>
      </c>
      <c r="AB2007">
        <f>'raw data Crude oil'!AB2008</f>
        <v>78.599000000000004</v>
      </c>
      <c r="AC2007">
        <f>'raw data Crude oil'!AC2008</f>
        <v>78.162999999999997</v>
      </c>
      <c r="AD2007">
        <f>'raw data Crude oil'!AD2008</f>
        <v>77.787999999999997</v>
      </c>
      <c r="AE2007">
        <f>'raw data Crude oil'!AE2008</f>
        <v>77.489000000000004</v>
      </c>
      <c r="AF2007">
        <f>'raw data Crude oil'!AF2008</f>
        <v>77.209999999999994</v>
      </c>
      <c r="AG2007">
        <f>'raw data Crude oil'!AG2008</f>
        <v>76.930999999999997</v>
      </c>
      <c r="AH2007">
        <f>'raw data Crude oil'!AH2008</f>
        <v>76.661000000000001</v>
      </c>
      <c r="AI2007">
        <f>'raw data Crude oil'!AI2008</f>
        <v>76.388000000000005</v>
      </c>
      <c r="AJ2007">
        <f>'raw data Crude oil'!AJ2008</f>
        <v>76.108000000000004</v>
      </c>
      <c r="AK2007">
        <f>'raw data Crude oil'!AK2008</f>
        <v>75.849000000000004</v>
      </c>
    </row>
    <row r="2008" spans="1:37" x14ac:dyDescent="0.3">
      <c r="A2008" s="18">
        <f>'raw data Crude oil'!A2009</f>
        <v>45573</v>
      </c>
      <c r="B2008">
        <f>'raw data Crude oil'!B2009</f>
        <v>77.180000000000007</v>
      </c>
      <c r="C2008">
        <f>'raw data Crude oil'!C2009</f>
        <v>76.790000000000006</v>
      </c>
      <c r="D2008">
        <f>'raw data Crude oil'!D2009</f>
        <v>76.42</v>
      </c>
      <c r="E2008">
        <f>'raw data Crude oil'!E2009</f>
        <v>76.14</v>
      </c>
      <c r="F2008">
        <f>'raw data Crude oil'!F2009</f>
        <v>75.92</v>
      </c>
      <c r="G2008">
        <f>'raw data Crude oil'!G2009</f>
        <v>75.73</v>
      </c>
      <c r="H2008">
        <f>'raw data Crude oil'!H2009</f>
        <v>75.55</v>
      </c>
      <c r="I2008">
        <f>'raw data Crude oil'!I2009</f>
        <v>75.38</v>
      </c>
      <c r="J2008">
        <f>'raw data Crude oil'!J2009</f>
        <v>75.209999999999994</v>
      </c>
      <c r="K2008">
        <f>'raw data Crude oil'!K2009</f>
        <v>75.03</v>
      </c>
      <c r="L2008">
        <f>'raw data Crude oil'!L2009</f>
        <v>74.86</v>
      </c>
      <c r="M2008">
        <f>'raw data Crude oil'!M2009</f>
        <v>74.69</v>
      </c>
      <c r="N2008">
        <f>'raw data Crude oil'!N2009</f>
        <v>73.569999999999993</v>
      </c>
      <c r="O2008">
        <f>'raw data Crude oil'!O2009</f>
        <v>72.98</v>
      </c>
      <c r="P2008">
        <f>'raw data Crude oil'!P2009</f>
        <v>72.540000000000006</v>
      </c>
      <c r="Q2008">
        <f>'raw data Crude oil'!Q2009</f>
        <v>72.17</v>
      </c>
      <c r="R2008">
        <f>'raw data Crude oil'!R2009</f>
        <v>71.87</v>
      </c>
      <c r="S2008">
        <f>'raw data Crude oil'!S2009</f>
        <v>71.61</v>
      </c>
      <c r="T2008">
        <f>'raw data Crude oil'!T2009</f>
        <v>71.37</v>
      </c>
      <c r="U2008">
        <f>'raw data Crude oil'!U2009</f>
        <v>71.150000000000006</v>
      </c>
      <c r="V2008">
        <f>'raw data Crude oil'!V2009</f>
        <v>70.91</v>
      </c>
      <c r="W2008">
        <f>'raw data Crude oil'!W2009</f>
        <v>70.680000000000007</v>
      </c>
      <c r="X2008">
        <f>'raw data Crude oil'!X2009</f>
        <v>70.45</v>
      </c>
      <c r="Y2008">
        <f>'raw data Crude oil'!Y2009</f>
        <v>70.239999999999995</v>
      </c>
      <c r="Z2008">
        <f>'raw data Crude oil'!Z2009</f>
        <v>76.519000000000005</v>
      </c>
      <c r="AA2008">
        <f>'raw data Crude oil'!AA2009</f>
        <v>75.820999999999998</v>
      </c>
      <c r="AB2008">
        <f>'raw data Crude oil'!AB2009</f>
        <v>75.332999999999998</v>
      </c>
      <c r="AC2008">
        <f>'raw data Crude oil'!AC2009</f>
        <v>75.021000000000001</v>
      </c>
      <c r="AD2008">
        <f>'raw data Crude oil'!AD2009</f>
        <v>74.756</v>
      </c>
      <c r="AE2008">
        <f>'raw data Crude oil'!AE2009</f>
        <v>74.596000000000004</v>
      </c>
      <c r="AF2008">
        <f>'raw data Crude oil'!AF2009</f>
        <v>74.451999999999998</v>
      </c>
      <c r="AG2008">
        <f>'raw data Crude oil'!AG2009</f>
        <v>74.307000000000002</v>
      </c>
      <c r="AH2008">
        <f>'raw data Crude oil'!AH2009</f>
        <v>74.161000000000001</v>
      </c>
      <c r="AI2008">
        <f>'raw data Crude oil'!AI2009</f>
        <v>74.003</v>
      </c>
      <c r="AJ2008">
        <f>'raw data Crude oil'!AJ2009</f>
        <v>73.852000000000004</v>
      </c>
      <c r="AK2008">
        <f>'raw data Crude oil'!AK2009</f>
        <v>73.683000000000007</v>
      </c>
    </row>
    <row r="2009" spans="1:37" x14ac:dyDescent="0.3">
      <c r="A2009" s="18">
        <f>'raw data Crude oil'!A2010</f>
        <v>45574</v>
      </c>
      <c r="B2009">
        <f>'raw data Crude oil'!B2010</f>
        <v>76.58</v>
      </c>
      <c r="C2009">
        <f>'raw data Crude oil'!C2010</f>
        <v>76.13</v>
      </c>
      <c r="D2009">
        <f>'raw data Crude oil'!D2010</f>
        <v>75.73</v>
      </c>
      <c r="E2009">
        <f>'raw data Crude oil'!E2010</f>
        <v>75.42</v>
      </c>
      <c r="F2009">
        <f>'raw data Crude oil'!F2010</f>
        <v>75.17</v>
      </c>
      <c r="G2009">
        <f>'raw data Crude oil'!G2010</f>
        <v>74.97</v>
      </c>
      <c r="H2009">
        <f>'raw data Crude oil'!H2010</f>
        <v>74.78</v>
      </c>
      <c r="I2009">
        <f>'raw data Crude oil'!I2010</f>
        <v>74.599999999999994</v>
      </c>
      <c r="J2009">
        <f>'raw data Crude oil'!J2010</f>
        <v>74.42</v>
      </c>
      <c r="K2009">
        <f>'raw data Crude oil'!K2010</f>
        <v>74.239999999999995</v>
      </c>
      <c r="L2009">
        <f>'raw data Crude oil'!L2010</f>
        <v>74.069999999999993</v>
      </c>
      <c r="M2009">
        <f>'raw data Crude oil'!M2010</f>
        <v>73.900000000000006</v>
      </c>
      <c r="N2009">
        <f>'raw data Crude oil'!N2010</f>
        <v>73.239999999999995</v>
      </c>
      <c r="O2009">
        <f>'raw data Crude oil'!O2010</f>
        <v>72.59</v>
      </c>
      <c r="P2009">
        <f>'raw data Crude oil'!P2010</f>
        <v>72.069999999999993</v>
      </c>
      <c r="Q2009">
        <f>'raw data Crude oil'!Q2010</f>
        <v>71.62</v>
      </c>
      <c r="R2009">
        <f>'raw data Crude oil'!R2010</f>
        <v>71.27</v>
      </c>
      <c r="S2009">
        <f>'raw data Crude oil'!S2010</f>
        <v>70.98</v>
      </c>
      <c r="T2009">
        <f>'raw data Crude oil'!T2010</f>
        <v>70.73</v>
      </c>
      <c r="U2009">
        <f>'raw data Crude oil'!U2010</f>
        <v>70.5</v>
      </c>
      <c r="V2009">
        <f>'raw data Crude oil'!V2010</f>
        <v>70.260000000000005</v>
      </c>
      <c r="W2009">
        <f>'raw data Crude oil'!W2010</f>
        <v>70.02</v>
      </c>
      <c r="X2009">
        <f>'raw data Crude oil'!X2010</f>
        <v>69.8</v>
      </c>
      <c r="Y2009">
        <f>'raw data Crude oil'!Y2010</f>
        <v>69.599999999999994</v>
      </c>
      <c r="Z2009">
        <f>'raw data Crude oil'!Z2010</f>
        <v>76.168000000000006</v>
      </c>
      <c r="AA2009">
        <f>'raw data Crude oil'!AA2010</f>
        <v>75.191000000000003</v>
      </c>
      <c r="AB2009">
        <f>'raw data Crude oil'!AB2010</f>
        <v>74.685000000000002</v>
      </c>
      <c r="AC2009">
        <f>'raw data Crude oil'!AC2010</f>
        <v>74.322000000000003</v>
      </c>
      <c r="AD2009">
        <f>'raw data Crude oil'!AD2010</f>
        <v>74.027000000000001</v>
      </c>
      <c r="AE2009">
        <f>'raw data Crude oil'!AE2010</f>
        <v>73.852000000000004</v>
      </c>
      <c r="AF2009">
        <f>'raw data Crude oil'!AF2010</f>
        <v>73.691000000000003</v>
      </c>
      <c r="AG2009">
        <f>'raw data Crude oil'!AG2010</f>
        <v>73.552000000000007</v>
      </c>
      <c r="AH2009">
        <f>'raw data Crude oil'!AH2010</f>
        <v>73.411000000000001</v>
      </c>
      <c r="AI2009">
        <f>'raw data Crude oil'!AI2010</f>
        <v>73.263000000000005</v>
      </c>
      <c r="AJ2009">
        <f>'raw data Crude oil'!AJ2010</f>
        <v>73.102000000000004</v>
      </c>
      <c r="AK2009">
        <f>'raw data Crude oil'!AK2010</f>
        <v>72.942999999999998</v>
      </c>
    </row>
    <row r="2010" spans="1:37" x14ac:dyDescent="0.3">
      <c r="A2010" s="18">
        <f>'raw data Crude oil'!A2011</f>
        <v>45575</v>
      </c>
      <c r="B2010">
        <f>'raw data Crude oil'!B2011</f>
        <v>79.400000000000006</v>
      </c>
      <c r="C2010">
        <f>'raw data Crude oil'!C2011</f>
        <v>78.86</v>
      </c>
      <c r="D2010">
        <f>'raw data Crude oil'!D2011</f>
        <v>78.349999999999994</v>
      </c>
      <c r="E2010">
        <f>'raw data Crude oil'!E2011</f>
        <v>77.94</v>
      </c>
      <c r="F2010">
        <f>'raw data Crude oil'!F2011</f>
        <v>77.58</v>
      </c>
      <c r="G2010">
        <f>'raw data Crude oil'!G2011</f>
        <v>77.27</v>
      </c>
      <c r="H2010">
        <f>'raw data Crude oil'!H2011</f>
        <v>76.97</v>
      </c>
      <c r="I2010">
        <f>'raw data Crude oil'!I2011</f>
        <v>76.69</v>
      </c>
      <c r="J2010">
        <f>'raw data Crude oil'!J2011</f>
        <v>76.41</v>
      </c>
      <c r="K2010">
        <f>'raw data Crude oil'!K2011</f>
        <v>76.14</v>
      </c>
      <c r="L2010">
        <f>'raw data Crude oil'!L2011</f>
        <v>75.87</v>
      </c>
      <c r="M2010">
        <f>'raw data Crude oil'!M2011</f>
        <v>75.63</v>
      </c>
      <c r="N2010">
        <f>'raw data Crude oil'!N2011</f>
        <v>75.849999999999994</v>
      </c>
      <c r="O2010">
        <f>'raw data Crude oil'!O2011</f>
        <v>75.11</v>
      </c>
      <c r="P2010">
        <f>'raw data Crude oil'!P2011</f>
        <v>74.53</v>
      </c>
      <c r="Q2010">
        <f>'raw data Crude oil'!Q2011</f>
        <v>74.010000000000005</v>
      </c>
      <c r="R2010">
        <f>'raw data Crude oil'!R2011</f>
        <v>73.569999999999993</v>
      </c>
      <c r="S2010">
        <f>'raw data Crude oil'!S2011</f>
        <v>73.180000000000007</v>
      </c>
      <c r="T2010">
        <f>'raw data Crude oil'!T2011</f>
        <v>72.83</v>
      </c>
      <c r="U2010">
        <f>'raw data Crude oil'!U2011</f>
        <v>72.5</v>
      </c>
      <c r="V2010">
        <f>'raw data Crude oil'!V2011</f>
        <v>72.16</v>
      </c>
      <c r="W2010">
        <f>'raw data Crude oil'!W2011</f>
        <v>71.819999999999993</v>
      </c>
      <c r="X2010">
        <f>'raw data Crude oil'!X2011</f>
        <v>71.52</v>
      </c>
      <c r="Y2010">
        <f>'raw data Crude oil'!Y2011</f>
        <v>71.23</v>
      </c>
      <c r="Z2010">
        <f>'raw data Crude oil'!Z2011</f>
        <v>77.933000000000007</v>
      </c>
      <c r="AA2010">
        <f>'raw data Crude oil'!AA2011</f>
        <v>77.745999999999995</v>
      </c>
      <c r="AB2010">
        <f>'raw data Crude oil'!AB2011</f>
        <v>77.215999999999994</v>
      </c>
      <c r="AC2010">
        <f>'raw data Crude oil'!AC2011</f>
        <v>76.804000000000002</v>
      </c>
      <c r="AD2010">
        <f>'raw data Crude oil'!AD2011</f>
        <v>76.424999999999997</v>
      </c>
      <c r="AE2010">
        <f>'raw data Crude oil'!AE2011</f>
        <v>76.156000000000006</v>
      </c>
      <c r="AF2010">
        <f>'raw data Crude oil'!AF2011</f>
        <v>75.906999999999996</v>
      </c>
      <c r="AG2010">
        <f>'raw data Crude oil'!AG2011</f>
        <v>75.677000000000007</v>
      </c>
      <c r="AH2010">
        <f>'raw data Crude oil'!AH2011</f>
        <v>75.427000000000007</v>
      </c>
      <c r="AI2010">
        <f>'raw data Crude oil'!AI2011</f>
        <v>75.168000000000006</v>
      </c>
      <c r="AJ2010">
        <f>'raw data Crude oil'!AJ2011</f>
        <v>74.909000000000006</v>
      </c>
      <c r="AK2010">
        <f>'raw data Crude oil'!AK2011</f>
        <v>74.668999999999997</v>
      </c>
    </row>
    <row r="2011" spans="1:37" x14ac:dyDescent="0.3">
      <c r="A2011" s="18">
        <f>'raw data Crude oil'!A2012</f>
        <v>45576</v>
      </c>
      <c r="B2011">
        <f>'raw data Crude oil'!B2012</f>
        <v>79.040000000000006</v>
      </c>
      <c r="C2011">
        <f>'raw data Crude oil'!C2012</f>
        <v>78.599999999999994</v>
      </c>
      <c r="D2011">
        <f>'raw data Crude oil'!D2012</f>
        <v>78.150000000000006</v>
      </c>
      <c r="E2011">
        <f>'raw data Crude oil'!E2012</f>
        <v>77.78</v>
      </c>
      <c r="F2011">
        <f>'raw data Crude oil'!F2012</f>
        <v>77.459999999999994</v>
      </c>
      <c r="G2011">
        <f>'raw data Crude oil'!G2012</f>
        <v>77.17</v>
      </c>
      <c r="H2011">
        <f>'raw data Crude oil'!H2012</f>
        <v>76.89</v>
      </c>
      <c r="I2011">
        <f>'raw data Crude oil'!I2012</f>
        <v>76.63</v>
      </c>
      <c r="J2011">
        <f>'raw data Crude oil'!J2012</f>
        <v>76.37</v>
      </c>
      <c r="K2011">
        <f>'raw data Crude oil'!K2012</f>
        <v>76.12</v>
      </c>
      <c r="L2011">
        <f>'raw data Crude oil'!L2012</f>
        <v>75.87</v>
      </c>
      <c r="M2011">
        <f>'raw data Crude oil'!M2012</f>
        <v>75.64</v>
      </c>
      <c r="N2011">
        <f>'raw data Crude oil'!N2012</f>
        <v>75.56</v>
      </c>
      <c r="O2011">
        <f>'raw data Crude oil'!O2012</f>
        <v>74.849999999999994</v>
      </c>
      <c r="P2011">
        <f>'raw data Crude oil'!P2012</f>
        <v>74.31</v>
      </c>
      <c r="Q2011">
        <f>'raw data Crude oil'!Q2012</f>
        <v>73.84</v>
      </c>
      <c r="R2011">
        <f>'raw data Crude oil'!R2012</f>
        <v>73.430000000000007</v>
      </c>
      <c r="S2011">
        <f>'raw data Crude oil'!S2012</f>
        <v>73.069999999999993</v>
      </c>
      <c r="T2011">
        <f>'raw data Crude oil'!T2012</f>
        <v>72.739999999999995</v>
      </c>
      <c r="U2011">
        <f>'raw data Crude oil'!U2012</f>
        <v>72.430000000000007</v>
      </c>
      <c r="V2011">
        <f>'raw data Crude oil'!V2012</f>
        <v>72.11</v>
      </c>
      <c r="W2011">
        <f>'raw data Crude oil'!W2012</f>
        <v>71.8</v>
      </c>
      <c r="X2011">
        <f>'raw data Crude oil'!X2012</f>
        <v>71.510000000000005</v>
      </c>
      <c r="Y2011">
        <f>'raw data Crude oil'!Y2012</f>
        <v>71.23</v>
      </c>
      <c r="Z2011">
        <f>'raw data Crude oil'!Z2012</f>
        <v>77.772999999999996</v>
      </c>
      <c r="AA2011">
        <f>'raw data Crude oil'!AA2012</f>
        <v>77.528999999999996</v>
      </c>
      <c r="AB2011">
        <f>'raw data Crude oil'!AB2012</f>
        <v>76.977000000000004</v>
      </c>
      <c r="AC2011">
        <f>'raw data Crude oil'!AC2012</f>
        <v>76.575000000000003</v>
      </c>
      <c r="AD2011">
        <f>'raw data Crude oil'!AD2012</f>
        <v>76.222999999999999</v>
      </c>
      <c r="AE2011">
        <f>'raw data Crude oil'!AE2012</f>
        <v>75.966999999999999</v>
      </c>
      <c r="AF2011">
        <f>'raw data Crude oil'!AF2012</f>
        <v>75.727999999999994</v>
      </c>
      <c r="AG2011">
        <f>'raw data Crude oil'!AG2012</f>
        <v>75.498000000000005</v>
      </c>
      <c r="AH2011">
        <f>'raw data Crude oil'!AH2012</f>
        <v>75.272000000000006</v>
      </c>
      <c r="AI2011">
        <f>'raw data Crude oil'!AI2012</f>
        <v>75.049000000000007</v>
      </c>
      <c r="AJ2011">
        <f>'raw data Crude oil'!AJ2012</f>
        <v>74.828999999999994</v>
      </c>
      <c r="AK2011">
        <f>'raw data Crude oil'!AK2012</f>
        <v>74.61</v>
      </c>
    </row>
    <row r="2012" spans="1:37" x14ac:dyDescent="0.3">
      <c r="A2012" s="18">
        <f>'raw data Crude oil'!A2013</f>
        <v>45579</v>
      </c>
      <c r="B2012">
        <f>'raw data Crude oil'!B2013</f>
        <v>77.459999999999994</v>
      </c>
      <c r="C2012">
        <f>'raw data Crude oil'!C2013</f>
        <v>77.09</v>
      </c>
      <c r="D2012">
        <f>'raw data Crude oil'!D2013</f>
        <v>76.72</v>
      </c>
      <c r="E2012">
        <f>'raw data Crude oil'!E2013</f>
        <v>76.42</v>
      </c>
      <c r="F2012">
        <f>'raw data Crude oil'!F2013</f>
        <v>76.17</v>
      </c>
      <c r="G2012">
        <f>'raw data Crude oil'!G2013</f>
        <v>75.930000000000007</v>
      </c>
      <c r="H2012">
        <f>'raw data Crude oil'!H2013</f>
        <v>75.709999999999994</v>
      </c>
      <c r="I2012">
        <f>'raw data Crude oil'!I2013</f>
        <v>75.5</v>
      </c>
      <c r="J2012">
        <f>'raw data Crude oil'!J2013</f>
        <v>75.290000000000006</v>
      </c>
      <c r="K2012">
        <f>'raw data Crude oil'!K2013</f>
        <v>75.08</v>
      </c>
      <c r="L2012">
        <f>'raw data Crude oil'!L2013</f>
        <v>74.87</v>
      </c>
      <c r="M2012">
        <f>'raw data Crude oil'!M2013</f>
        <v>74.680000000000007</v>
      </c>
      <c r="N2012">
        <f>'raw data Crude oil'!N2013</f>
        <v>73.83</v>
      </c>
      <c r="O2012">
        <f>'raw data Crude oil'!O2013</f>
        <v>73.239999999999995</v>
      </c>
      <c r="P2012">
        <f>'raw data Crude oil'!P2013</f>
        <v>72.81</v>
      </c>
      <c r="Q2012">
        <f>'raw data Crude oil'!Q2013</f>
        <v>72.430000000000007</v>
      </c>
      <c r="R2012">
        <f>'raw data Crude oil'!R2013</f>
        <v>72.099999999999994</v>
      </c>
      <c r="S2012">
        <f>'raw data Crude oil'!S2013</f>
        <v>71.81</v>
      </c>
      <c r="T2012">
        <f>'raw data Crude oil'!T2013</f>
        <v>71.55</v>
      </c>
      <c r="U2012">
        <f>'raw data Crude oil'!U2013</f>
        <v>71.3</v>
      </c>
      <c r="V2012">
        <f>'raw data Crude oil'!V2013</f>
        <v>71.040000000000006</v>
      </c>
      <c r="W2012">
        <f>'raw data Crude oil'!W2013</f>
        <v>70.78</v>
      </c>
      <c r="X2012">
        <f>'raw data Crude oil'!X2013</f>
        <v>70.540000000000006</v>
      </c>
      <c r="Y2012">
        <f>'raw data Crude oil'!Y2013</f>
        <v>70.319999999999993</v>
      </c>
      <c r="Z2012">
        <f>'raw data Crude oil'!Z2013</f>
        <v>76.891999999999996</v>
      </c>
      <c r="AA2012">
        <f>'raw data Crude oil'!AA2013</f>
        <v>76.117000000000004</v>
      </c>
      <c r="AB2012">
        <f>'raw data Crude oil'!AB2013</f>
        <v>75.611999999999995</v>
      </c>
      <c r="AC2012">
        <f>'raw data Crude oil'!AC2013</f>
        <v>75.241</v>
      </c>
      <c r="AD2012">
        <f>'raw data Crude oil'!AD2013</f>
        <v>74.947999999999993</v>
      </c>
      <c r="AE2012">
        <f>'raw data Crude oil'!AE2013</f>
        <v>74.754999999999995</v>
      </c>
      <c r="AF2012">
        <f>'raw data Crude oil'!AF2013</f>
        <v>74.564999999999998</v>
      </c>
      <c r="AG2012">
        <f>'raw data Crude oil'!AG2013</f>
        <v>74.400000000000006</v>
      </c>
      <c r="AH2012">
        <f>'raw data Crude oil'!AH2013</f>
        <v>74.23</v>
      </c>
      <c r="AI2012">
        <f>'raw data Crude oil'!AI2013</f>
        <v>74.061000000000007</v>
      </c>
      <c r="AJ2012">
        <f>'raw data Crude oil'!AJ2013</f>
        <v>73.881</v>
      </c>
      <c r="AK2012">
        <f>'raw data Crude oil'!AK2013</f>
        <v>73.691999999999993</v>
      </c>
    </row>
    <row r="2013" spans="1:37" x14ac:dyDescent="0.3">
      <c r="A2013" s="18">
        <f>'raw data Crude oil'!A2014</f>
        <v>45580</v>
      </c>
      <c r="B2013">
        <f>'raw data Crude oil'!B2014</f>
        <v>74.25</v>
      </c>
      <c r="C2013">
        <f>'raw data Crude oil'!C2014</f>
        <v>73.88</v>
      </c>
      <c r="D2013">
        <f>'raw data Crude oil'!D2014</f>
        <v>73.55</v>
      </c>
      <c r="E2013">
        <f>'raw data Crude oil'!E2014</f>
        <v>73.3</v>
      </c>
      <c r="F2013">
        <f>'raw data Crude oil'!F2014</f>
        <v>73.09</v>
      </c>
      <c r="G2013">
        <f>'raw data Crude oil'!G2014</f>
        <v>72.92</v>
      </c>
      <c r="H2013">
        <f>'raw data Crude oil'!H2014</f>
        <v>72.75</v>
      </c>
      <c r="I2013">
        <f>'raw data Crude oil'!I2014</f>
        <v>72.599999999999994</v>
      </c>
      <c r="J2013">
        <f>'raw data Crude oil'!J2014</f>
        <v>72.459999999999994</v>
      </c>
      <c r="K2013">
        <f>'raw data Crude oil'!K2014</f>
        <v>72.31</v>
      </c>
      <c r="L2013">
        <f>'raw data Crude oil'!L2014</f>
        <v>72.17</v>
      </c>
      <c r="M2013">
        <f>'raw data Crude oil'!M2014</f>
        <v>72.040000000000006</v>
      </c>
      <c r="N2013">
        <f>'raw data Crude oil'!N2014</f>
        <v>70.58</v>
      </c>
      <c r="O2013">
        <f>'raw data Crude oil'!O2014</f>
        <v>70.010000000000005</v>
      </c>
      <c r="P2013">
        <f>'raw data Crude oil'!P2014</f>
        <v>69.64</v>
      </c>
      <c r="Q2013">
        <f>'raw data Crude oil'!Q2014</f>
        <v>69.31</v>
      </c>
      <c r="R2013">
        <f>'raw data Crude oil'!R2014</f>
        <v>69.05</v>
      </c>
      <c r="S2013">
        <f>'raw data Crude oil'!S2014</f>
        <v>68.83</v>
      </c>
      <c r="T2013">
        <f>'raw data Crude oil'!T2014</f>
        <v>68.64</v>
      </c>
      <c r="U2013">
        <f>'raw data Crude oil'!U2014</f>
        <v>68.45</v>
      </c>
      <c r="V2013">
        <f>'raw data Crude oil'!V2014</f>
        <v>68.260000000000005</v>
      </c>
      <c r="W2013">
        <f>'raw data Crude oil'!W2014</f>
        <v>68.06</v>
      </c>
      <c r="X2013">
        <f>'raw data Crude oil'!X2014</f>
        <v>67.88</v>
      </c>
      <c r="Y2013">
        <f>'raw data Crude oil'!Y2014</f>
        <v>67.72</v>
      </c>
      <c r="Z2013">
        <f>'raw data Crude oil'!Z2014</f>
        <v>75.216999999999999</v>
      </c>
      <c r="AA2013">
        <f>'raw data Crude oil'!AA2014</f>
        <v>72.974000000000004</v>
      </c>
      <c r="AB2013">
        <f>'raw data Crude oil'!AB2014</f>
        <v>72.521000000000001</v>
      </c>
      <c r="AC2013">
        <f>'raw data Crude oil'!AC2014</f>
        <v>72.200999999999993</v>
      </c>
      <c r="AD2013">
        <f>'raw data Crude oil'!AD2014</f>
        <v>71.956999999999994</v>
      </c>
      <c r="AE2013">
        <f>'raw data Crude oil'!AE2014</f>
        <v>71.822000000000003</v>
      </c>
      <c r="AF2013">
        <f>'raw data Crude oil'!AF2014</f>
        <v>71.692999999999998</v>
      </c>
      <c r="AG2013">
        <f>'raw data Crude oil'!AG2014</f>
        <v>71.573999999999998</v>
      </c>
      <c r="AH2013">
        <f>'raw data Crude oil'!AH2014</f>
        <v>71.453000000000003</v>
      </c>
      <c r="AI2013">
        <f>'raw data Crude oil'!AI2014</f>
        <v>71.323999999999998</v>
      </c>
      <c r="AJ2013">
        <f>'raw data Crude oil'!AJ2014</f>
        <v>71.194000000000003</v>
      </c>
      <c r="AK2013">
        <f>'raw data Crude oil'!AK2014</f>
        <v>71.064999999999998</v>
      </c>
    </row>
    <row r="2014" spans="1:37" x14ac:dyDescent="0.3">
      <c r="A2014" s="18">
        <f>'raw data Crude oil'!A2015</f>
        <v>45581</v>
      </c>
      <c r="B2014">
        <f>'raw data Crude oil'!B2015</f>
        <v>74.22</v>
      </c>
      <c r="C2014">
        <f>'raw data Crude oil'!C2015</f>
        <v>73.790000000000006</v>
      </c>
      <c r="D2014">
        <f>'raw data Crude oil'!D2015</f>
        <v>73.400000000000006</v>
      </c>
      <c r="E2014">
        <f>'raw data Crude oil'!E2015</f>
        <v>73.12</v>
      </c>
      <c r="F2014">
        <f>'raw data Crude oil'!F2015</f>
        <v>72.89</v>
      </c>
      <c r="G2014">
        <f>'raw data Crude oil'!G2015</f>
        <v>72.69</v>
      </c>
      <c r="H2014">
        <f>'raw data Crude oil'!H2015</f>
        <v>72.510000000000005</v>
      </c>
      <c r="I2014">
        <f>'raw data Crude oil'!I2015</f>
        <v>72.34</v>
      </c>
      <c r="J2014">
        <f>'raw data Crude oil'!J2015</f>
        <v>72.17</v>
      </c>
      <c r="K2014">
        <f>'raw data Crude oil'!K2015</f>
        <v>72.010000000000005</v>
      </c>
      <c r="L2014">
        <f>'raw data Crude oil'!L2015</f>
        <v>71.849999999999994</v>
      </c>
      <c r="M2014">
        <f>'raw data Crude oil'!M2015</f>
        <v>71.7</v>
      </c>
      <c r="N2014">
        <f>'raw data Crude oil'!N2015</f>
        <v>70.39</v>
      </c>
      <c r="O2014">
        <f>'raw data Crude oil'!O2015</f>
        <v>69.819999999999993</v>
      </c>
      <c r="P2014">
        <f>'raw data Crude oil'!P2015</f>
        <v>69.430000000000007</v>
      </c>
      <c r="Q2014">
        <f>'raw data Crude oil'!Q2015</f>
        <v>69.099999999999994</v>
      </c>
      <c r="R2014">
        <f>'raw data Crude oil'!R2015</f>
        <v>68.81</v>
      </c>
      <c r="S2014">
        <f>'raw data Crude oil'!S2015</f>
        <v>68.569999999999993</v>
      </c>
      <c r="T2014">
        <f>'raw data Crude oil'!T2015</f>
        <v>68.36</v>
      </c>
      <c r="U2014">
        <f>'raw data Crude oil'!U2015</f>
        <v>68.16</v>
      </c>
      <c r="V2014">
        <f>'raw data Crude oil'!V2015</f>
        <v>67.94</v>
      </c>
      <c r="W2014">
        <f>'raw data Crude oil'!W2015</f>
        <v>67.73</v>
      </c>
      <c r="X2014">
        <f>'raw data Crude oil'!X2015</f>
        <v>67.53</v>
      </c>
      <c r="Y2014">
        <f>'raw data Crude oil'!Y2015</f>
        <v>67.349999999999994</v>
      </c>
      <c r="Z2014">
        <f>'raw data Crude oil'!Z2015</f>
        <v>75.085999999999999</v>
      </c>
      <c r="AA2014">
        <f>'raw data Crude oil'!AA2015</f>
        <v>72.760999999999996</v>
      </c>
      <c r="AB2014">
        <f>'raw data Crude oil'!AB2015</f>
        <v>72.317999999999998</v>
      </c>
      <c r="AC2014">
        <f>'raw data Crude oil'!AC2015</f>
        <v>71.97</v>
      </c>
      <c r="AD2014">
        <f>'raw data Crude oil'!AD2015</f>
        <v>71.691000000000003</v>
      </c>
      <c r="AE2014">
        <f>'raw data Crude oil'!AE2015</f>
        <v>71.540999999999997</v>
      </c>
      <c r="AF2014">
        <f>'raw data Crude oil'!AF2015</f>
        <v>71.402000000000001</v>
      </c>
      <c r="AG2014">
        <f>'raw data Crude oil'!AG2015</f>
        <v>71.272000000000006</v>
      </c>
      <c r="AH2014">
        <f>'raw data Crude oil'!AH2015</f>
        <v>71.141999999999996</v>
      </c>
      <c r="AI2014">
        <f>'raw data Crude oil'!AI2015</f>
        <v>71.013000000000005</v>
      </c>
      <c r="AJ2014">
        <f>'raw data Crude oil'!AJ2015</f>
        <v>70.863</v>
      </c>
      <c r="AK2014">
        <f>'raw data Crude oil'!AK2015</f>
        <v>70.713999999999999</v>
      </c>
    </row>
    <row r="2015" spans="1:37" x14ac:dyDescent="0.3">
      <c r="A2015" s="18">
        <f>'raw data Crude oil'!A2016</f>
        <v>45582</v>
      </c>
      <c r="B2015">
        <f>'raw data Crude oil'!B2016</f>
        <v>74.45</v>
      </c>
      <c r="C2015">
        <f>'raw data Crude oil'!C2016</f>
        <v>73.98</v>
      </c>
      <c r="D2015">
        <f>'raw data Crude oil'!D2016</f>
        <v>73.59</v>
      </c>
      <c r="E2015">
        <f>'raw data Crude oil'!E2016</f>
        <v>73.31</v>
      </c>
      <c r="F2015">
        <f>'raw data Crude oil'!F2016</f>
        <v>73.09</v>
      </c>
      <c r="G2015">
        <f>'raw data Crude oil'!G2016</f>
        <v>72.91</v>
      </c>
      <c r="H2015">
        <f>'raw data Crude oil'!H2016</f>
        <v>72.75</v>
      </c>
      <c r="I2015">
        <f>'raw data Crude oil'!I2016</f>
        <v>72.599999999999994</v>
      </c>
      <c r="J2015">
        <f>'raw data Crude oil'!J2016</f>
        <v>72.44</v>
      </c>
      <c r="K2015">
        <f>'raw data Crude oil'!K2016</f>
        <v>72.290000000000006</v>
      </c>
      <c r="L2015">
        <f>'raw data Crude oil'!L2016</f>
        <v>72.150000000000006</v>
      </c>
      <c r="M2015">
        <f>'raw data Crude oil'!M2016</f>
        <v>72.010000000000005</v>
      </c>
      <c r="N2015">
        <f>'raw data Crude oil'!N2016</f>
        <v>70.67</v>
      </c>
      <c r="O2015">
        <f>'raw data Crude oil'!O2016</f>
        <v>70.09</v>
      </c>
      <c r="P2015">
        <f>'raw data Crude oil'!P2016</f>
        <v>69.64</v>
      </c>
      <c r="Q2015">
        <f>'raw data Crude oil'!Q2016</f>
        <v>69.3</v>
      </c>
      <c r="R2015">
        <f>'raw data Crude oil'!R2016</f>
        <v>69.03</v>
      </c>
      <c r="S2015">
        <f>'raw data Crude oil'!S2016</f>
        <v>68.8</v>
      </c>
      <c r="T2015">
        <f>'raw data Crude oil'!T2016</f>
        <v>68.61</v>
      </c>
      <c r="U2015">
        <f>'raw data Crude oil'!U2016</f>
        <v>68.430000000000007</v>
      </c>
      <c r="V2015">
        <f>'raw data Crude oil'!V2016</f>
        <v>68.23</v>
      </c>
      <c r="W2015">
        <f>'raw data Crude oil'!W2016</f>
        <v>68.02</v>
      </c>
      <c r="X2015">
        <f>'raw data Crude oil'!X2016</f>
        <v>67.83</v>
      </c>
      <c r="Y2015">
        <f>'raw data Crude oil'!Y2016</f>
        <v>67.650000000000006</v>
      </c>
      <c r="Z2015">
        <f>'raw data Crude oil'!Z2016</f>
        <v>75.165999999999997</v>
      </c>
      <c r="AA2015">
        <f>'raw data Crude oil'!AA2016</f>
        <v>72.92</v>
      </c>
      <c r="AB2015">
        <f>'raw data Crude oil'!AB2016</f>
        <v>72.468999999999994</v>
      </c>
      <c r="AC2015">
        <f>'raw data Crude oil'!AC2016</f>
        <v>72.134</v>
      </c>
      <c r="AD2015">
        <f>'raw data Crude oil'!AD2016</f>
        <v>71.875</v>
      </c>
      <c r="AE2015">
        <f>'raw data Crude oil'!AE2016</f>
        <v>71.725999999999999</v>
      </c>
      <c r="AF2015">
        <f>'raw data Crude oil'!AF2016</f>
        <v>71.602999999999994</v>
      </c>
      <c r="AG2015">
        <f>'raw data Crude oil'!AG2016</f>
        <v>71.492999999999995</v>
      </c>
      <c r="AH2015">
        <f>'raw data Crude oil'!AH2016</f>
        <v>71.373000000000005</v>
      </c>
      <c r="AI2015">
        <f>'raw data Crude oil'!AI2016</f>
        <v>71.254000000000005</v>
      </c>
      <c r="AJ2015">
        <f>'raw data Crude oil'!AJ2016</f>
        <v>71.132999999999996</v>
      </c>
      <c r="AK2015">
        <f>'raw data Crude oil'!AK2016</f>
        <v>71.013999999999996</v>
      </c>
    </row>
    <row r="2016" spans="1:37" x14ac:dyDescent="0.3">
      <c r="A2016" s="18">
        <f>'raw data Crude oil'!A2017</f>
        <v>45583</v>
      </c>
      <c r="B2016">
        <f>'raw data Crude oil'!B2017</f>
        <v>73.06</v>
      </c>
      <c r="C2016">
        <f>'raw data Crude oil'!C2017</f>
        <v>72.680000000000007</v>
      </c>
      <c r="D2016">
        <f>'raw data Crude oil'!D2017</f>
        <v>72.34</v>
      </c>
      <c r="E2016">
        <f>'raw data Crude oil'!E2017</f>
        <v>72.11</v>
      </c>
      <c r="F2016">
        <f>'raw data Crude oil'!F2017</f>
        <v>71.930000000000007</v>
      </c>
      <c r="G2016">
        <f>'raw data Crude oil'!G2017</f>
        <v>71.790000000000006</v>
      </c>
      <c r="H2016">
        <f>'raw data Crude oil'!H2017</f>
        <v>71.67</v>
      </c>
      <c r="I2016">
        <f>'raw data Crude oil'!I2017</f>
        <v>71.56</v>
      </c>
      <c r="J2016">
        <f>'raw data Crude oil'!J2017</f>
        <v>71.44</v>
      </c>
      <c r="K2016">
        <f>'raw data Crude oil'!K2017</f>
        <v>71.319999999999993</v>
      </c>
      <c r="L2016">
        <f>'raw data Crude oil'!L2017</f>
        <v>71.19</v>
      </c>
      <c r="M2016">
        <f>'raw data Crude oil'!M2017</f>
        <v>71.08</v>
      </c>
      <c r="N2016">
        <f>'raw data Crude oil'!N2017</f>
        <v>69.22</v>
      </c>
      <c r="O2016">
        <f>'raw data Crude oil'!O2017</f>
        <v>68.69</v>
      </c>
      <c r="P2016">
        <f>'raw data Crude oil'!P2017</f>
        <v>68.290000000000006</v>
      </c>
      <c r="Q2016">
        <f>'raw data Crude oil'!Q2017</f>
        <v>68</v>
      </c>
      <c r="R2016">
        <f>'raw data Crude oil'!R2017</f>
        <v>67.77</v>
      </c>
      <c r="S2016">
        <f>'raw data Crude oil'!S2017</f>
        <v>67.59</v>
      </c>
      <c r="T2016">
        <f>'raw data Crude oil'!T2017</f>
        <v>67.44</v>
      </c>
      <c r="U2016">
        <f>'raw data Crude oil'!U2017</f>
        <v>67.3</v>
      </c>
      <c r="V2016">
        <f>'raw data Crude oil'!V2017</f>
        <v>67.14</v>
      </c>
      <c r="W2016">
        <f>'raw data Crude oil'!W2017</f>
        <v>66.989999999999995</v>
      </c>
      <c r="X2016">
        <f>'raw data Crude oil'!X2017</f>
        <v>66.83</v>
      </c>
      <c r="Y2016">
        <f>'raw data Crude oil'!Y2017</f>
        <v>66.69</v>
      </c>
      <c r="Z2016">
        <f>'raw data Crude oil'!Z2017</f>
        <v>74.757000000000005</v>
      </c>
      <c r="AA2016">
        <f>'raw data Crude oil'!AA2017</f>
        <v>71.679000000000002</v>
      </c>
      <c r="AB2016">
        <f>'raw data Crude oil'!AB2017</f>
        <v>71.253</v>
      </c>
      <c r="AC2016">
        <f>'raw data Crude oil'!AC2017</f>
        <v>70.921999999999997</v>
      </c>
      <c r="AD2016">
        <f>'raw data Crude oil'!AD2017</f>
        <v>70.697999999999993</v>
      </c>
      <c r="AE2016">
        <f>'raw data Crude oil'!AE2017</f>
        <v>70.593999999999994</v>
      </c>
      <c r="AF2016">
        <f>'raw data Crude oil'!AF2017</f>
        <v>70.513000000000005</v>
      </c>
      <c r="AG2016">
        <f>'raw data Crude oil'!AG2017</f>
        <v>70.44</v>
      </c>
      <c r="AH2016">
        <f>'raw data Crude oil'!AH2017</f>
        <v>70.349000000000004</v>
      </c>
      <c r="AI2016">
        <f>'raw data Crude oil'!AI2017</f>
        <v>70.263999999999996</v>
      </c>
      <c r="AJ2016">
        <f>'raw data Crude oil'!AJ2017</f>
        <v>70.165000000000006</v>
      </c>
      <c r="AK2016">
        <f>'raw data Crude oil'!AK2017</f>
        <v>70.055000000000007</v>
      </c>
    </row>
    <row r="2017" spans="1:37" x14ac:dyDescent="0.3">
      <c r="A2017" s="18">
        <f>'raw data Crude oil'!A2018</f>
        <v>45586</v>
      </c>
      <c r="B2017">
        <f>'raw data Crude oil'!B2018</f>
        <v>74.290000000000006</v>
      </c>
      <c r="C2017">
        <f>'raw data Crude oil'!C2018</f>
        <v>73.92</v>
      </c>
      <c r="D2017">
        <f>'raw data Crude oil'!D2018</f>
        <v>73.55</v>
      </c>
      <c r="E2017">
        <f>'raw data Crude oil'!E2018</f>
        <v>73.28</v>
      </c>
      <c r="F2017">
        <f>'raw data Crude oil'!F2018</f>
        <v>73.069999999999993</v>
      </c>
      <c r="G2017">
        <f>'raw data Crude oil'!G2018</f>
        <v>72.900000000000006</v>
      </c>
      <c r="H2017">
        <f>'raw data Crude oil'!H2018</f>
        <v>72.75</v>
      </c>
      <c r="I2017">
        <f>'raw data Crude oil'!I2018</f>
        <v>72.61</v>
      </c>
      <c r="J2017">
        <f>'raw data Crude oil'!J2018</f>
        <v>72.459999999999994</v>
      </c>
      <c r="K2017">
        <f>'raw data Crude oil'!K2018</f>
        <v>72.31</v>
      </c>
      <c r="L2017">
        <f>'raw data Crude oil'!L2018</f>
        <v>72.16</v>
      </c>
      <c r="M2017">
        <f>'raw data Crude oil'!M2018</f>
        <v>72.02</v>
      </c>
      <c r="N2017">
        <f>'raw data Crude oil'!N2018</f>
        <v>70.56</v>
      </c>
      <c r="O2017">
        <f>'raw data Crude oil'!O2018</f>
        <v>70.040000000000006</v>
      </c>
      <c r="P2017">
        <f>'raw data Crude oil'!P2018</f>
        <v>69.599999999999994</v>
      </c>
      <c r="Q2017">
        <f>'raw data Crude oil'!Q2018</f>
        <v>69.260000000000005</v>
      </c>
      <c r="R2017">
        <f>'raw data Crude oil'!R2018</f>
        <v>68.989999999999995</v>
      </c>
      <c r="S2017">
        <f>'raw data Crude oil'!S2018</f>
        <v>68.77</v>
      </c>
      <c r="T2017">
        <f>'raw data Crude oil'!T2018</f>
        <v>68.58</v>
      </c>
      <c r="U2017">
        <f>'raw data Crude oil'!U2018</f>
        <v>68.41</v>
      </c>
      <c r="V2017">
        <f>'raw data Crude oil'!V2018</f>
        <v>68.22</v>
      </c>
      <c r="W2017">
        <f>'raw data Crude oil'!W2018</f>
        <v>68.02</v>
      </c>
      <c r="X2017">
        <f>'raw data Crude oil'!X2018</f>
        <v>67.84</v>
      </c>
      <c r="Y2017">
        <f>'raw data Crude oil'!Y2018</f>
        <v>67.67</v>
      </c>
      <c r="Z2017">
        <f>'raw data Crude oil'!Z2018</f>
        <v>75.165999999999997</v>
      </c>
      <c r="AA2017">
        <f>'raw data Crude oil'!AA2018</f>
        <v>72.808999999999997</v>
      </c>
      <c r="AB2017">
        <f>'raw data Crude oil'!AB2018</f>
        <v>72.429000000000002</v>
      </c>
      <c r="AC2017">
        <f>'raw data Crude oil'!AC2018</f>
        <v>72.069999999999993</v>
      </c>
      <c r="AD2017">
        <f>'raw data Crude oil'!AD2018</f>
        <v>71.841999999999999</v>
      </c>
      <c r="AE2017">
        <f>'raw data Crude oil'!AE2018</f>
        <v>71.722999999999999</v>
      </c>
      <c r="AF2017">
        <f>'raw data Crude oil'!AF2018</f>
        <v>71.602999999999994</v>
      </c>
      <c r="AG2017">
        <f>'raw data Crude oil'!AG2018</f>
        <v>71.483000000000004</v>
      </c>
      <c r="AH2017">
        <f>'raw data Crude oil'!AH2018</f>
        <v>71.363</v>
      </c>
      <c r="AI2017">
        <f>'raw data Crude oil'!AI2018</f>
        <v>71.233000000000004</v>
      </c>
      <c r="AJ2017">
        <f>'raw data Crude oil'!AJ2018</f>
        <v>71.093000000000004</v>
      </c>
      <c r="AK2017">
        <f>'raw data Crude oil'!AK2018</f>
        <v>70.963999999999999</v>
      </c>
    </row>
    <row r="2018" spans="1:37" x14ac:dyDescent="0.3">
      <c r="A2018" s="18">
        <f>'raw data Crude oil'!A2019</f>
        <v>45587</v>
      </c>
      <c r="B2018">
        <f>'raw data Crude oil'!B2019</f>
        <v>76.040000000000006</v>
      </c>
      <c r="C2018">
        <f>'raw data Crude oil'!C2019</f>
        <v>75.62</v>
      </c>
      <c r="D2018">
        <f>'raw data Crude oil'!D2019</f>
        <v>75.180000000000007</v>
      </c>
      <c r="E2018">
        <f>'raw data Crude oil'!E2019</f>
        <v>74.86</v>
      </c>
      <c r="F2018">
        <f>'raw data Crude oil'!F2019</f>
        <v>74.599999999999994</v>
      </c>
      <c r="G2018">
        <f>'raw data Crude oil'!G2019</f>
        <v>74.400000000000006</v>
      </c>
      <c r="H2018">
        <f>'raw data Crude oil'!H2019</f>
        <v>74.22</v>
      </c>
      <c r="I2018">
        <f>'raw data Crude oil'!I2019</f>
        <v>74.040000000000006</v>
      </c>
      <c r="J2018">
        <f>'raw data Crude oil'!J2019</f>
        <v>73.849999999999994</v>
      </c>
      <c r="K2018">
        <f>'raw data Crude oil'!K2019</f>
        <v>73.67</v>
      </c>
      <c r="L2018">
        <f>'raw data Crude oil'!L2019</f>
        <v>73.48</v>
      </c>
      <c r="M2018">
        <f>'raw data Crude oil'!M2019</f>
        <v>73.31</v>
      </c>
      <c r="N2018">
        <f>'raw data Crude oil'!N2019</f>
        <v>72.09</v>
      </c>
      <c r="O2018">
        <f>'raw data Crude oil'!O2019</f>
        <v>71.739999999999995</v>
      </c>
      <c r="P2018">
        <f>'raw data Crude oil'!P2019</f>
        <v>71.31</v>
      </c>
      <c r="Q2018">
        <f>'raw data Crude oil'!Q2019</f>
        <v>70.94</v>
      </c>
      <c r="R2018">
        <f>'raw data Crude oil'!R2019</f>
        <v>70.63</v>
      </c>
      <c r="S2018">
        <f>'raw data Crude oil'!S2019</f>
        <v>70.38</v>
      </c>
      <c r="T2018">
        <f>'raw data Crude oil'!T2019</f>
        <v>70.16</v>
      </c>
      <c r="U2018">
        <f>'raw data Crude oil'!U2019</f>
        <v>69.94</v>
      </c>
      <c r="V2018">
        <f>'raw data Crude oil'!V2019</f>
        <v>69.72</v>
      </c>
      <c r="W2018">
        <f>'raw data Crude oil'!W2019</f>
        <v>69.489999999999995</v>
      </c>
      <c r="X2018">
        <f>'raw data Crude oil'!X2019</f>
        <v>69.25</v>
      </c>
      <c r="Y2018">
        <f>'raw data Crude oil'!Y2019</f>
        <v>69.05</v>
      </c>
      <c r="Z2018">
        <f>'raw data Crude oil'!Z2019</f>
        <v>75.561999999999998</v>
      </c>
      <c r="AA2018">
        <f>'raw data Crude oil'!AA2019</f>
        <v>74.319000000000003</v>
      </c>
      <c r="AB2018">
        <f>'raw data Crude oil'!AB2019</f>
        <v>73.98</v>
      </c>
      <c r="AC2018">
        <f>'raw data Crude oil'!AC2019</f>
        <v>73.608000000000004</v>
      </c>
      <c r="AD2018">
        <f>'raw data Crude oil'!AD2019</f>
        <v>73.34</v>
      </c>
      <c r="AE2018">
        <f>'raw data Crude oil'!AE2019</f>
        <v>73.191000000000003</v>
      </c>
      <c r="AF2018">
        <f>'raw data Crude oil'!AF2019</f>
        <v>73.052999999999997</v>
      </c>
      <c r="AG2018">
        <f>'raw data Crude oil'!AG2019</f>
        <v>72.906999999999996</v>
      </c>
      <c r="AH2018">
        <f>'raw data Crude oil'!AH2019</f>
        <v>72.760999999999996</v>
      </c>
      <c r="AI2018">
        <f>'raw data Crude oil'!AI2019</f>
        <v>72.611999999999995</v>
      </c>
      <c r="AJ2018">
        <f>'raw data Crude oil'!AJ2019</f>
        <v>72.441999999999993</v>
      </c>
      <c r="AK2018">
        <f>'raw data Crude oil'!AK2019</f>
        <v>72.283000000000001</v>
      </c>
    </row>
    <row r="2019" spans="1:37" x14ac:dyDescent="0.3">
      <c r="A2019" s="18">
        <f>'raw data Crude oil'!A2020</f>
        <v>45588</v>
      </c>
      <c r="B2019">
        <f>'raw data Crude oil'!B2020</f>
        <v>74.959999999999994</v>
      </c>
      <c r="C2019">
        <f>'raw data Crude oil'!C2020</f>
        <v>74.56</v>
      </c>
      <c r="D2019">
        <f>'raw data Crude oil'!D2020</f>
        <v>74.16</v>
      </c>
      <c r="E2019">
        <f>'raw data Crude oil'!E2020</f>
        <v>73.88</v>
      </c>
      <c r="F2019">
        <f>'raw data Crude oil'!F2020</f>
        <v>73.66</v>
      </c>
      <c r="G2019">
        <f>'raw data Crude oil'!G2020</f>
        <v>73.489999999999995</v>
      </c>
      <c r="H2019">
        <f>'raw data Crude oil'!H2020</f>
        <v>73.33</v>
      </c>
      <c r="I2019">
        <f>'raw data Crude oil'!I2020</f>
        <v>73.17</v>
      </c>
      <c r="J2019">
        <f>'raw data Crude oil'!J2020</f>
        <v>73</v>
      </c>
      <c r="K2019">
        <f>'raw data Crude oil'!K2020</f>
        <v>72.81</v>
      </c>
      <c r="L2019">
        <f>'raw data Crude oil'!L2020</f>
        <v>72.63</v>
      </c>
      <c r="M2019">
        <f>'raw data Crude oil'!M2020</f>
        <v>72.459999999999994</v>
      </c>
      <c r="N2019">
        <f>'raw data Crude oil'!N2020</f>
        <v>70.77</v>
      </c>
      <c r="O2019">
        <f>'raw data Crude oil'!O2020</f>
        <v>70.37</v>
      </c>
      <c r="P2019">
        <f>'raw data Crude oil'!P2020</f>
        <v>70.02</v>
      </c>
      <c r="Q2019">
        <f>'raw data Crude oil'!Q2020</f>
        <v>69.73</v>
      </c>
      <c r="R2019">
        <f>'raw data Crude oil'!R2020</f>
        <v>69.5</v>
      </c>
      <c r="S2019">
        <f>'raw data Crude oil'!S2020</f>
        <v>69.3</v>
      </c>
      <c r="T2019">
        <f>'raw data Crude oil'!T2020</f>
        <v>69.11</v>
      </c>
      <c r="U2019">
        <f>'raw data Crude oil'!U2020</f>
        <v>68.900000000000006</v>
      </c>
      <c r="V2019">
        <f>'raw data Crude oil'!V2020</f>
        <v>68.67</v>
      </c>
      <c r="W2019">
        <f>'raw data Crude oil'!W2020</f>
        <v>68.459999999999994</v>
      </c>
      <c r="X2019">
        <f>'raw data Crude oil'!X2020</f>
        <v>68.260000000000005</v>
      </c>
      <c r="Y2019">
        <f>'raw data Crude oil'!Y2020</f>
        <v>68.09</v>
      </c>
      <c r="Z2019">
        <f>'raw data Crude oil'!Z2020</f>
        <v>75.301000000000002</v>
      </c>
      <c r="AA2019">
        <f>'raw data Crude oil'!AA2020</f>
        <v>73.116</v>
      </c>
      <c r="AB2019">
        <f>'raw data Crude oil'!AB2020</f>
        <v>72.856999999999999</v>
      </c>
      <c r="AC2019">
        <f>'raw data Crude oil'!AC2020</f>
        <v>72.486999999999995</v>
      </c>
      <c r="AD2019">
        <f>'raw data Crude oil'!AD2020</f>
        <v>72.257000000000005</v>
      </c>
      <c r="AE2019">
        <f>'raw data Crude oil'!AE2020</f>
        <v>72.138999999999996</v>
      </c>
      <c r="AF2019">
        <f>'raw data Crude oil'!AF2020</f>
        <v>72.046999999999997</v>
      </c>
      <c r="AG2019">
        <f>'raw data Crude oil'!AG2020</f>
        <v>71.936999999999998</v>
      </c>
      <c r="AH2019">
        <f>'raw data Crude oil'!AH2020</f>
        <v>71.816000000000003</v>
      </c>
      <c r="AI2019">
        <f>'raw data Crude oil'!AI2020</f>
        <v>71.671999999999997</v>
      </c>
      <c r="AJ2019">
        <f>'raw data Crude oil'!AJ2020</f>
        <v>71.522000000000006</v>
      </c>
      <c r="AK2019">
        <f>'raw data Crude oil'!AK2020</f>
        <v>71.373000000000005</v>
      </c>
    </row>
    <row r="2020" spans="1:37" x14ac:dyDescent="0.3">
      <c r="A2020" s="18">
        <f>'raw data Crude oil'!A2021</f>
        <v>45589</v>
      </c>
      <c r="B2020">
        <f>'raw data Crude oil'!B2021</f>
        <v>74.38</v>
      </c>
      <c r="C2020">
        <f>'raw data Crude oil'!C2021</f>
        <v>74.03</v>
      </c>
      <c r="D2020">
        <f>'raw data Crude oil'!D2021</f>
        <v>73.66</v>
      </c>
      <c r="E2020">
        <f>'raw data Crude oil'!E2021</f>
        <v>73.39</v>
      </c>
      <c r="F2020">
        <f>'raw data Crude oil'!F2021</f>
        <v>73.19</v>
      </c>
      <c r="G2020">
        <f>'raw data Crude oil'!G2021</f>
        <v>73.03</v>
      </c>
      <c r="H2020">
        <f>'raw data Crude oil'!H2021</f>
        <v>72.900000000000006</v>
      </c>
      <c r="I2020">
        <f>'raw data Crude oil'!I2021</f>
        <v>72.760000000000005</v>
      </c>
      <c r="J2020">
        <f>'raw data Crude oil'!J2021</f>
        <v>72.61</v>
      </c>
      <c r="K2020">
        <f>'raw data Crude oil'!K2021</f>
        <v>72.45</v>
      </c>
      <c r="L2020">
        <f>'raw data Crude oil'!L2021</f>
        <v>72.290000000000006</v>
      </c>
      <c r="M2020">
        <f>'raw data Crude oil'!M2021</f>
        <v>72.13</v>
      </c>
      <c r="N2020">
        <f>'raw data Crude oil'!N2021</f>
        <v>70.19</v>
      </c>
      <c r="O2020">
        <f>'raw data Crude oil'!O2021</f>
        <v>69.84</v>
      </c>
      <c r="P2020">
        <f>'raw data Crude oil'!P2021</f>
        <v>69.52</v>
      </c>
      <c r="Q2020">
        <f>'raw data Crude oil'!Q2021</f>
        <v>69.260000000000005</v>
      </c>
      <c r="R2020">
        <f>'raw data Crude oil'!R2021</f>
        <v>69.06</v>
      </c>
      <c r="S2020">
        <f>'raw data Crude oil'!S2021</f>
        <v>68.89</v>
      </c>
      <c r="T2020">
        <f>'raw data Crude oil'!T2021</f>
        <v>68.72</v>
      </c>
      <c r="U2020">
        <f>'raw data Crude oil'!U2021</f>
        <v>68.53</v>
      </c>
      <c r="V2020">
        <f>'raw data Crude oil'!V2021</f>
        <v>68.34</v>
      </c>
      <c r="W2020">
        <f>'raw data Crude oil'!W2021</f>
        <v>68.14</v>
      </c>
      <c r="X2020">
        <f>'raw data Crude oil'!X2021</f>
        <v>67.959999999999994</v>
      </c>
      <c r="Y2020">
        <f>'raw data Crude oil'!Y2021</f>
        <v>67.81</v>
      </c>
      <c r="Z2020">
        <f>'raw data Crude oil'!Z2021</f>
        <v>75.269000000000005</v>
      </c>
      <c r="AA2020">
        <f>'raw data Crude oil'!AA2021</f>
        <v>72.751999999999995</v>
      </c>
      <c r="AB2020">
        <f>'raw data Crude oil'!AB2021</f>
        <v>72.513999999999996</v>
      </c>
      <c r="AC2020">
        <f>'raw data Crude oil'!AC2021</f>
        <v>72.081000000000003</v>
      </c>
      <c r="AD2020">
        <f>'raw data Crude oil'!AD2021</f>
        <v>71.841999999999999</v>
      </c>
      <c r="AE2020">
        <f>'raw data Crude oil'!AE2021</f>
        <v>71.724000000000004</v>
      </c>
      <c r="AF2020">
        <f>'raw data Crude oil'!AF2021</f>
        <v>71.617999999999995</v>
      </c>
      <c r="AG2020">
        <f>'raw data Crude oil'!AG2021</f>
        <v>71.513000000000005</v>
      </c>
      <c r="AH2020">
        <f>'raw data Crude oil'!AH2021</f>
        <v>71.391999999999996</v>
      </c>
      <c r="AI2020">
        <f>'raw data Crude oil'!AI2021</f>
        <v>71.263000000000005</v>
      </c>
      <c r="AJ2020">
        <f>'raw data Crude oil'!AJ2021</f>
        <v>71.132000000000005</v>
      </c>
      <c r="AK2020">
        <f>'raw data Crude oil'!AK2021</f>
        <v>70.983999999999995</v>
      </c>
    </row>
    <row r="2021" spans="1:37" x14ac:dyDescent="0.3">
      <c r="A2021" s="18">
        <f>'raw data Crude oil'!A2022</f>
        <v>45590</v>
      </c>
      <c r="B2021">
        <f>'raw data Crude oil'!B2022</f>
        <v>76.05</v>
      </c>
      <c r="C2021">
        <f>'raw data Crude oil'!C2022</f>
        <v>75.63</v>
      </c>
      <c r="D2021">
        <f>'raw data Crude oil'!D2022</f>
        <v>75.209999999999994</v>
      </c>
      <c r="E2021">
        <f>'raw data Crude oil'!E2022</f>
        <v>74.900000000000006</v>
      </c>
      <c r="F2021">
        <f>'raw data Crude oil'!F2022</f>
        <v>74.67</v>
      </c>
      <c r="G2021">
        <f>'raw data Crude oil'!G2022</f>
        <v>74.489999999999995</v>
      </c>
      <c r="H2021">
        <f>'raw data Crude oil'!H2022</f>
        <v>74.319999999999993</v>
      </c>
      <c r="I2021">
        <f>'raw data Crude oil'!I2022</f>
        <v>74.14</v>
      </c>
      <c r="J2021">
        <f>'raw data Crude oil'!J2022</f>
        <v>73.95</v>
      </c>
      <c r="K2021">
        <f>'raw data Crude oil'!K2022</f>
        <v>73.760000000000005</v>
      </c>
      <c r="L2021">
        <f>'raw data Crude oil'!L2022</f>
        <v>73.55</v>
      </c>
      <c r="M2021">
        <f>'raw data Crude oil'!M2022</f>
        <v>73.37</v>
      </c>
      <c r="N2021">
        <f>'raw data Crude oil'!N2022</f>
        <v>71.78</v>
      </c>
      <c r="O2021">
        <f>'raw data Crude oil'!O2022</f>
        <v>71.349999999999994</v>
      </c>
      <c r="P2021">
        <f>'raw data Crude oil'!P2022</f>
        <v>70.98</v>
      </c>
      <c r="Q2021">
        <f>'raw data Crude oil'!Q2022</f>
        <v>70.69</v>
      </c>
      <c r="R2021">
        <f>'raw data Crude oil'!R2022</f>
        <v>70.459999999999994</v>
      </c>
      <c r="S2021">
        <f>'raw data Crude oil'!S2022</f>
        <v>70.27</v>
      </c>
      <c r="T2021">
        <f>'raw data Crude oil'!T2022</f>
        <v>70.069999999999993</v>
      </c>
      <c r="U2021">
        <f>'raw data Crude oil'!U2022</f>
        <v>69.86</v>
      </c>
      <c r="V2021">
        <f>'raw data Crude oil'!V2022</f>
        <v>69.63</v>
      </c>
      <c r="W2021">
        <f>'raw data Crude oil'!W2022</f>
        <v>69.41</v>
      </c>
      <c r="X2021">
        <f>'raw data Crude oil'!X2022</f>
        <v>69.19</v>
      </c>
      <c r="Y2021">
        <f>'raw data Crude oil'!Y2022</f>
        <v>69.010000000000005</v>
      </c>
      <c r="Z2021">
        <f>'raw data Crude oil'!Z2022</f>
        <v>75.457999999999998</v>
      </c>
      <c r="AA2021">
        <f>'raw data Crude oil'!AA2022</f>
        <v>74.305000000000007</v>
      </c>
      <c r="AB2021">
        <f>'raw data Crude oil'!AB2022</f>
        <v>74.075000000000003</v>
      </c>
      <c r="AC2021">
        <f>'raw data Crude oil'!AC2022</f>
        <v>73.614999999999995</v>
      </c>
      <c r="AD2021">
        <f>'raw data Crude oil'!AD2022</f>
        <v>73.343999999999994</v>
      </c>
      <c r="AE2021">
        <f>'raw data Crude oil'!AE2022</f>
        <v>73.171999999999997</v>
      </c>
      <c r="AF2021">
        <f>'raw data Crude oil'!AF2022</f>
        <v>73.031000000000006</v>
      </c>
      <c r="AG2021">
        <f>'raw data Crude oil'!AG2022</f>
        <v>72.881</v>
      </c>
      <c r="AH2021">
        <f>'raw data Crude oil'!AH2022</f>
        <v>72.721000000000004</v>
      </c>
      <c r="AI2021">
        <f>'raw data Crude oil'!AI2022</f>
        <v>72.551000000000002</v>
      </c>
      <c r="AJ2021">
        <f>'raw data Crude oil'!AJ2022</f>
        <v>72.370999999999995</v>
      </c>
      <c r="AK2021">
        <f>'raw data Crude oil'!AK2022</f>
        <v>72.201999999999998</v>
      </c>
    </row>
    <row r="2022" spans="1:37" x14ac:dyDescent="0.3">
      <c r="A2022" s="18">
        <f>'raw data Crude oil'!A2023</f>
        <v>45593</v>
      </c>
      <c r="B2022">
        <f>'raw data Crude oil'!B2023</f>
        <v>71.42</v>
      </c>
      <c r="C2022">
        <f>'raw data Crude oil'!C2023</f>
        <v>71</v>
      </c>
      <c r="D2022">
        <f>'raw data Crude oil'!D2023</f>
        <v>70.66</v>
      </c>
      <c r="E2022">
        <f>'raw data Crude oil'!E2023</f>
        <v>70.45</v>
      </c>
      <c r="F2022">
        <f>'raw data Crude oil'!F2023</f>
        <v>70.33</v>
      </c>
      <c r="G2022">
        <f>'raw data Crude oil'!G2023</f>
        <v>70.25</v>
      </c>
      <c r="H2022">
        <f>'raw data Crude oil'!H2023</f>
        <v>70.19</v>
      </c>
      <c r="I2022">
        <f>'raw data Crude oil'!I2023</f>
        <v>70.12</v>
      </c>
      <c r="J2022">
        <f>'raw data Crude oil'!J2023</f>
        <v>70.03</v>
      </c>
      <c r="K2022">
        <f>'raw data Crude oil'!K2023</f>
        <v>69.92</v>
      </c>
      <c r="L2022">
        <f>'raw data Crude oil'!L2023</f>
        <v>69.81</v>
      </c>
      <c r="M2022">
        <f>'raw data Crude oil'!M2023</f>
        <v>69.7</v>
      </c>
      <c r="N2022">
        <f>'raw data Crude oil'!N2023</f>
        <v>67.38</v>
      </c>
      <c r="O2022">
        <f>'raw data Crude oil'!O2023</f>
        <v>66.98</v>
      </c>
      <c r="P2022">
        <f>'raw data Crude oil'!P2023</f>
        <v>66.67</v>
      </c>
      <c r="Q2022">
        <f>'raw data Crude oil'!Q2023</f>
        <v>66.44</v>
      </c>
      <c r="R2022">
        <f>'raw data Crude oil'!R2023</f>
        <v>66.3</v>
      </c>
      <c r="S2022">
        <f>'raw data Crude oil'!S2023</f>
        <v>66.2</v>
      </c>
      <c r="T2022">
        <f>'raw data Crude oil'!T2023</f>
        <v>66.099999999999994</v>
      </c>
      <c r="U2022">
        <f>'raw data Crude oil'!U2023</f>
        <v>65.989999999999995</v>
      </c>
      <c r="V2022">
        <f>'raw data Crude oil'!V2023</f>
        <v>65.86</v>
      </c>
      <c r="W2022">
        <f>'raw data Crude oil'!W2023</f>
        <v>65.72</v>
      </c>
      <c r="X2022">
        <f>'raw data Crude oil'!X2023</f>
        <v>65.59</v>
      </c>
      <c r="Y2022">
        <f>'raw data Crude oil'!Y2023</f>
        <v>65.489999999999995</v>
      </c>
      <c r="Z2022">
        <f>'raw data Crude oil'!Z2023</f>
        <v>74.899000000000001</v>
      </c>
      <c r="AA2022">
        <f>'raw data Crude oil'!AA2023</f>
        <v>69.900999999999996</v>
      </c>
      <c r="AB2022">
        <f>'raw data Crude oil'!AB2023</f>
        <v>69.72</v>
      </c>
      <c r="AC2022">
        <f>'raw data Crude oil'!AC2023</f>
        <v>69.325000000000003</v>
      </c>
      <c r="AD2022">
        <f>'raw data Crude oil'!AD2023</f>
        <v>69.120999999999995</v>
      </c>
      <c r="AE2022">
        <f>'raw data Crude oil'!AE2023</f>
        <v>69.037000000000006</v>
      </c>
      <c r="AF2022">
        <f>'raw data Crude oil'!AF2023</f>
        <v>68.966999999999999</v>
      </c>
      <c r="AG2022">
        <f>'raw data Crude oil'!AG2023</f>
        <v>68.897000000000006</v>
      </c>
      <c r="AH2022">
        <f>'raw data Crude oil'!AH2023</f>
        <v>68.816000000000003</v>
      </c>
      <c r="AI2022">
        <f>'raw data Crude oil'!AI2023</f>
        <v>68.754999999999995</v>
      </c>
      <c r="AJ2022">
        <f>'raw data Crude oil'!AJ2023</f>
        <v>68.665000000000006</v>
      </c>
      <c r="AK2022">
        <f>'raw data Crude oil'!AK2023</f>
        <v>68.564999999999998</v>
      </c>
    </row>
    <row r="2023" spans="1:37" x14ac:dyDescent="0.3">
      <c r="A2023" s="18">
        <f>'raw data Crude oil'!A2024</f>
        <v>45594</v>
      </c>
      <c r="B2023">
        <f>'raw data Crude oil'!B2024</f>
        <v>71.12</v>
      </c>
      <c r="C2023">
        <f>'raw data Crude oil'!C2024</f>
        <v>70.73</v>
      </c>
      <c r="D2023">
        <f>'raw data Crude oil'!D2024</f>
        <v>70.39</v>
      </c>
      <c r="E2023">
        <f>'raw data Crude oil'!E2024</f>
        <v>70.19</v>
      </c>
      <c r="F2023">
        <f>'raw data Crude oil'!F2024</f>
        <v>70.08</v>
      </c>
      <c r="G2023">
        <f>'raw data Crude oil'!G2024</f>
        <v>70.03</v>
      </c>
      <c r="H2023">
        <f>'raw data Crude oil'!H2024</f>
        <v>69.989999999999995</v>
      </c>
      <c r="I2023">
        <f>'raw data Crude oil'!I2024</f>
        <v>69.92</v>
      </c>
      <c r="J2023">
        <f>'raw data Crude oil'!J2024</f>
        <v>69.84</v>
      </c>
      <c r="K2023">
        <f>'raw data Crude oil'!K2024</f>
        <v>69.75</v>
      </c>
      <c r="L2023">
        <f>'raw data Crude oil'!L2024</f>
        <v>69.650000000000006</v>
      </c>
      <c r="M2023">
        <f>'raw data Crude oil'!M2024</f>
        <v>69.56</v>
      </c>
      <c r="N2023">
        <f>'raw data Crude oil'!N2024</f>
        <v>67.209999999999994</v>
      </c>
      <c r="O2023">
        <f>'raw data Crude oil'!O2024</f>
        <v>66.81</v>
      </c>
      <c r="P2023">
        <f>'raw data Crude oil'!P2024</f>
        <v>66.489999999999995</v>
      </c>
      <c r="Q2023">
        <f>'raw data Crude oil'!Q2024</f>
        <v>66.260000000000005</v>
      </c>
      <c r="R2023">
        <f>'raw data Crude oil'!R2024</f>
        <v>66.12</v>
      </c>
      <c r="S2023">
        <f>'raw data Crude oil'!S2024</f>
        <v>66.02</v>
      </c>
      <c r="T2023">
        <f>'raw data Crude oil'!T2024</f>
        <v>65.92</v>
      </c>
      <c r="U2023">
        <f>'raw data Crude oil'!U2024</f>
        <v>65.8</v>
      </c>
      <c r="V2023">
        <f>'raw data Crude oil'!V2024</f>
        <v>65.680000000000007</v>
      </c>
      <c r="W2023">
        <f>'raw data Crude oil'!W2024</f>
        <v>65.56</v>
      </c>
      <c r="X2023">
        <f>'raw data Crude oil'!X2024</f>
        <v>65.44</v>
      </c>
      <c r="Y2023">
        <f>'raw data Crude oil'!Y2024</f>
        <v>65.34</v>
      </c>
      <c r="Z2023">
        <f>'raw data Crude oil'!Z2024</f>
        <v>74.861999999999995</v>
      </c>
      <c r="AA2023">
        <f>'raw data Crude oil'!AA2024</f>
        <v>69.67</v>
      </c>
      <c r="AB2023">
        <f>'raw data Crude oil'!AB2024</f>
        <v>69.525999999999996</v>
      </c>
      <c r="AC2023">
        <f>'raw data Crude oil'!AC2024</f>
        <v>69.078999999999994</v>
      </c>
      <c r="AD2023">
        <f>'raw data Crude oil'!AD2024</f>
        <v>68.909000000000006</v>
      </c>
      <c r="AE2023">
        <f>'raw data Crude oil'!AE2024</f>
        <v>68.837999999999994</v>
      </c>
      <c r="AF2023">
        <f>'raw data Crude oil'!AF2024</f>
        <v>68.766999999999996</v>
      </c>
      <c r="AG2023">
        <f>'raw data Crude oil'!AG2024</f>
        <v>68.686000000000007</v>
      </c>
      <c r="AH2023">
        <f>'raw data Crude oil'!AH2024</f>
        <v>68.596000000000004</v>
      </c>
      <c r="AI2023">
        <f>'raw data Crude oil'!AI2024</f>
        <v>68.525999999999996</v>
      </c>
      <c r="AJ2023">
        <f>'raw data Crude oil'!AJ2024</f>
        <v>68.456000000000003</v>
      </c>
      <c r="AK2023">
        <f>'raw data Crude oil'!AK2024</f>
        <v>68.385999999999996</v>
      </c>
    </row>
    <row r="2024" spans="1:37" x14ac:dyDescent="0.3">
      <c r="A2024" s="18">
        <f>'raw data Crude oil'!A2025</f>
        <v>45595</v>
      </c>
      <c r="B2024">
        <f>'raw data Crude oil'!B2025</f>
        <v>72.55</v>
      </c>
      <c r="C2024">
        <f>'raw data Crude oil'!C2025</f>
        <v>72.16</v>
      </c>
      <c r="D2024">
        <f>'raw data Crude oil'!D2025</f>
        <v>71.790000000000006</v>
      </c>
      <c r="E2024">
        <f>'raw data Crude oil'!E2025</f>
        <v>71.55</v>
      </c>
      <c r="F2024">
        <f>'raw data Crude oil'!F2025</f>
        <v>71.400000000000006</v>
      </c>
      <c r="G2024">
        <f>'raw data Crude oil'!G2025</f>
        <v>71.31</v>
      </c>
      <c r="H2024">
        <f>'raw data Crude oil'!H2025</f>
        <v>71.22</v>
      </c>
      <c r="I2024">
        <f>'raw data Crude oil'!I2025</f>
        <v>71.13</v>
      </c>
      <c r="J2024">
        <f>'raw data Crude oil'!J2025</f>
        <v>71.02</v>
      </c>
      <c r="K2024">
        <f>'raw data Crude oil'!K2025</f>
        <v>70.91</v>
      </c>
      <c r="L2024">
        <f>'raw data Crude oil'!L2025</f>
        <v>70.790000000000006</v>
      </c>
      <c r="M2024">
        <f>'raw data Crude oil'!M2025</f>
        <v>70.67</v>
      </c>
      <c r="N2024">
        <f>'raw data Crude oil'!N2025</f>
        <v>68.61</v>
      </c>
      <c r="O2024">
        <f>'raw data Crude oil'!O2025</f>
        <v>68.180000000000007</v>
      </c>
      <c r="P2024">
        <f>'raw data Crude oil'!P2025</f>
        <v>67.819999999999993</v>
      </c>
      <c r="Q2024">
        <f>'raw data Crude oil'!Q2025</f>
        <v>67.569999999999993</v>
      </c>
      <c r="R2024">
        <f>'raw data Crude oil'!R2025</f>
        <v>67.400000000000006</v>
      </c>
      <c r="S2024">
        <f>'raw data Crude oil'!S2025</f>
        <v>67.27</v>
      </c>
      <c r="T2024">
        <f>'raw data Crude oil'!T2025</f>
        <v>67.150000000000006</v>
      </c>
      <c r="U2024">
        <f>'raw data Crude oil'!U2025</f>
        <v>67.010000000000005</v>
      </c>
      <c r="V2024">
        <f>'raw data Crude oil'!V2025</f>
        <v>66.86</v>
      </c>
      <c r="W2024">
        <f>'raw data Crude oil'!W2025</f>
        <v>66.709999999999994</v>
      </c>
      <c r="X2024">
        <f>'raw data Crude oil'!X2025</f>
        <v>66.58</v>
      </c>
      <c r="Y2024">
        <f>'raw data Crude oil'!Y2025</f>
        <v>66.459999999999994</v>
      </c>
      <c r="Z2024">
        <f>'raw data Crude oil'!Z2025</f>
        <v>74.94</v>
      </c>
      <c r="AA2024">
        <f>'raw data Crude oil'!AA2025</f>
        <v>71.028999999999996</v>
      </c>
      <c r="AB2024">
        <f>'raw data Crude oil'!AB2025</f>
        <v>70.912000000000006</v>
      </c>
      <c r="AC2024">
        <f>'raw data Crude oil'!AC2025</f>
        <v>70.445999999999998</v>
      </c>
      <c r="AD2024">
        <f>'raw data Crude oil'!AD2025</f>
        <v>70.239999999999995</v>
      </c>
      <c r="AE2024">
        <f>'raw data Crude oil'!AE2025</f>
        <v>70.138999999999996</v>
      </c>
      <c r="AF2024">
        <f>'raw data Crude oil'!AF2025</f>
        <v>70.040999999999997</v>
      </c>
      <c r="AG2024">
        <f>'raw data Crude oil'!AG2025</f>
        <v>69.944999999999993</v>
      </c>
      <c r="AH2024">
        <f>'raw data Crude oil'!AH2025</f>
        <v>69.834999999999994</v>
      </c>
      <c r="AI2024">
        <f>'raw data Crude oil'!AI2025</f>
        <v>69.734999999999999</v>
      </c>
      <c r="AJ2024">
        <f>'raw data Crude oil'!AJ2025</f>
        <v>69.634</v>
      </c>
      <c r="AK2024">
        <f>'raw data Crude oil'!AK2025</f>
        <v>69.525000000000006</v>
      </c>
    </row>
    <row r="2025" spans="1:37" x14ac:dyDescent="0.3">
      <c r="A2025" s="18">
        <f>'raw data Crude oil'!A2026</f>
        <v>45596</v>
      </c>
      <c r="B2025">
        <f>'raw data Crude oil'!B2026</f>
        <v>73.16</v>
      </c>
      <c r="C2025">
        <f>'raw data Crude oil'!C2026</f>
        <v>72.81</v>
      </c>
      <c r="D2025">
        <f>'raw data Crude oil'!D2026</f>
        <v>72.45</v>
      </c>
      <c r="E2025">
        <f>'raw data Crude oil'!E2026</f>
        <v>72.2</v>
      </c>
      <c r="F2025">
        <f>'raw data Crude oil'!F2026</f>
        <v>72.040000000000006</v>
      </c>
      <c r="G2025">
        <f>'raw data Crude oil'!G2026</f>
        <v>71.92</v>
      </c>
      <c r="H2025">
        <f>'raw data Crude oil'!H2026</f>
        <v>71.8</v>
      </c>
      <c r="I2025">
        <f>'raw data Crude oil'!I2026</f>
        <v>71.67</v>
      </c>
      <c r="J2025">
        <f>'raw data Crude oil'!J2026</f>
        <v>71.53</v>
      </c>
      <c r="K2025">
        <f>'raw data Crude oil'!K2026</f>
        <v>71.38</v>
      </c>
      <c r="L2025">
        <f>'raw data Crude oil'!L2026</f>
        <v>71.22</v>
      </c>
      <c r="M2025">
        <f>'raw data Crude oil'!M2026</f>
        <v>71.08</v>
      </c>
      <c r="N2025">
        <f>'raw data Crude oil'!N2026</f>
        <v>69.260000000000005</v>
      </c>
      <c r="O2025">
        <f>'raw data Crude oil'!O2026</f>
        <v>68.81</v>
      </c>
      <c r="P2025">
        <f>'raw data Crude oil'!P2026</f>
        <v>68.45</v>
      </c>
      <c r="Q2025">
        <f>'raw data Crude oil'!Q2026</f>
        <v>68.19</v>
      </c>
      <c r="R2025">
        <f>'raw data Crude oil'!R2026</f>
        <v>68.010000000000005</v>
      </c>
      <c r="S2025">
        <f>'raw data Crude oil'!S2026</f>
        <v>67.86</v>
      </c>
      <c r="T2025">
        <f>'raw data Crude oil'!T2026</f>
        <v>67.7</v>
      </c>
      <c r="U2025">
        <f>'raw data Crude oil'!U2026</f>
        <v>67.53</v>
      </c>
      <c r="V2025">
        <f>'raw data Crude oil'!V2026</f>
        <v>67.34</v>
      </c>
      <c r="W2025">
        <f>'raw data Crude oil'!W2026</f>
        <v>67.17</v>
      </c>
      <c r="X2025">
        <f>'raw data Crude oil'!X2026</f>
        <v>66.989999999999995</v>
      </c>
      <c r="Y2025">
        <f>'raw data Crude oil'!Y2026</f>
        <v>66.84</v>
      </c>
      <c r="Z2025">
        <f>'raw data Crude oil'!Z2026</f>
        <v>74.94</v>
      </c>
      <c r="AA2025">
        <f>'raw data Crude oil'!AA2026</f>
        <v>71.692999999999998</v>
      </c>
      <c r="AB2025">
        <f>'raw data Crude oil'!AB2026</f>
        <v>71.516000000000005</v>
      </c>
      <c r="AC2025">
        <f>'raw data Crude oil'!AC2026</f>
        <v>71.093000000000004</v>
      </c>
      <c r="AD2025">
        <f>'raw data Crude oil'!AD2026</f>
        <v>70.882000000000005</v>
      </c>
      <c r="AE2025">
        <f>'raw data Crude oil'!AE2026</f>
        <v>70.763999999999996</v>
      </c>
      <c r="AF2025">
        <f>'raw data Crude oil'!AF2026</f>
        <v>70.644000000000005</v>
      </c>
      <c r="AG2025">
        <f>'raw data Crude oil'!AG2026</f>
        <v>70.513999999999996</v>
      </c>
      <c r="AH2025">
        <f>'raw data Crude oil'!AH2026</f>
        <v>70.373000000000005</v>
      </c>
      <c r="AI2025">
        <f>'raw data Crude oil'!AI2026</f>
        <v>70.233000000000004</v>
      </c>
      <c r="AJ2025">
        <f>'raw data Crude oil'!AJ2026</f>
        <v>70.082999999999998</v>
      </c>
      <c r="AK2025">
        <f>'raw data Crude oil'!AK2026</f>
        <v>69.953999999999994</v>
      </c>
    </row>
    <row r="2026" spans="1:37" x14ac:dyDescent="0.3">
      <c r="A2026" s="18">
        <f>'raw data Crude oil'!A2027</f>
        <v>45597</v>
      </c>
      <c r="B2026">
        <f>'raw data Crude oil'!B2027</f>
        <v>73.099999999999994</v>
      </c>
      <c r="C2026">
        <f>'raw data Crude oil'!C2027</f>
        <v>72.73</v>
      </c>
      <c r="D2026">
        <f>'raw data Crude oil'!D2027</f>
        <v>72.489999999999995</v>
      </c>
      <c r="E2026">
        <f>'raw data Crude oil'!E2027</f>
        <v>72.33</v>
      </c>
      <c r="F2026">
        <f>'raw data Crude oil'!F2027</f>
        <v>72.209999999999994</v>
      </c>
      <c r="G2026">
        <f>'raw data Crude oil'!G2027</f>
        <v>72.08</v>
      </c>
      <c r="H2026">
        <f>'raw data Crude oil'!H2027</f>
        <v>71.95</v>
      </c>
      <c r="I2026">
        <f>'raw data Crude oil'!I2027</f>
        <v>71.8</v>
      </c>
      <c r="J2026">
        <f>'raw data Crude oil'!J2027</f>
        <v>71.650000000000006</v>
      </c>
      <c r="K2026">
        <f>'raw data Crude oil'!K2027</f>
        <v>71.489999999999995</v>
      </c>
      <c r="L2026">
        <f>'raw data Crude oil'!L2027</f>
        <v>71.34</v>
      </c>
      <c r="M2026">
        <f>'raw data Crude oil'!M2027</f>
        <v>71.2</v>
      </c>
      <c r="N2026">
        <f>'raw data Crude oil'!N2027</f>
        <v>69.489999999999995</v>
      </c>
      <c r="O2026">
        <f>'raw data Crude oil'!O2027</f>
        <v>69.08</v>
      </c>
      <c r="P2026">
        <f>'raw data Crude oil'!P2027</f>
        <v>68.760000000000005</v>
      </c>
      <c r="Q2026">
        <f>'raw data Crude oil'!Q2027</f>
        <v>68.52</v>
      </c>
      <c r="R2026">
        <f>'raw data Crude oil'!R2027</f>
        <v>68.349999999999994</v>
      </c>
      <c r="S2026">
        <f>'raw data Crude oil'!S2027</f>
        <v>68.2</v>
      </c>
      <c r="T2026">
        <f>'raw data Crude oil'!T2027</f>
        <v>68.040000000000006</v>
      </c>
      <c r="U2026">
        <f>'raw data Crude oil'!U2027</f>
        <v>67.87</v>
      </c>
      <c r="V2026">
        <f>'raw data Crude oil'!V2027</f>
        <v>67.69</v>
      </c>
      <c r="W2026">
        <f>'raw data Crude oil'!W2027</f>
        <v>67.489999999999995</v>
      </c>
      <c r="X2026">
        <f>'raw data Crude oil'!X2027</f>
        <v>67.319999999999993</v>
      </c>
      <c r="Y2026">
        <f>'raw data Crude oil'!Y2027</f>
        <v>67.150000000000006</v>
      </c>
      <c r="Z2026">
        <f>'raw data Crude oil'!Z2027</f>
        <v>74.94</v>
      </c>
      <c r="AA2026">
        <f>'raw data Crude oil'!AA2027</f>
        <v>72.206999999999994</v>
      </c>
      <c r="AB2026">
        <f>'raw data Crude oil'!AB2027</f>
        <v>71.908000000000001</v>
      </c>
      <c r="AC2026">
        <f>'raw data Crude oil'!AC2027</f>
        <v>71.436999999999998</v>
      </c>
      <c r="AD2026">
        <f>'raw data Crude oil'!AD2027</f>
        <v>71.203999999999994</v>
      </c>
      <c r="AE2026">
        <f>'raw data Crude oil'!AE2027</f>
        <v>71.073999999999998</v>
      </c>
      <c r="AF2026">
        <f>'raw data Crude oil'!AF2027</f>
        <v>70.944000000000003</v>
      </c>
      <c r="AG2026">
        <f>'raw data Crude oil'!AG2027</f>
        <v>70.802999999999997</v>
      </c>
      <c r="AH2026">
        <f>'raw data Crude oil'!AH2027</f>
        <v>70.653000000000006</v>
      </c>
      <c r="AI2026">
        <f>'raw data Crude oil'!AI2027</f>
        <v>70.503</v>
      </c>
      <c r="AJ2026">
        <f>'raw data Crude oil'!AJ2027</f>
        <v>70.343000000000004</v>
      </c>
      <c r="AK2026">
        <f>'raw data Crude oil'!AK2027</f>
        <v>70.194000000000003</v>
      </c>
    </row>
    <row r="2027" spans="1:37" x14ac:dyDescent="0.3">
      <c r="A2027" s="18">
        <f>'raw data Crude oil'!A2028</f>
        <v>45600</v>
      </c>
      <c r="B2027">
        <f>'raw data Crude oil'!B2028</f>
        <v>75.08</v>
      </c>
      <c r="C2027">
        <f>'raw data Crude oil'!C2028</f>
        <v>74.66</v>
      </c>
      <c r="D2027">
        <f>'raw data Crude oil'!D2028</f>
        <v>74.349999999999994</v>
      </c>
      <c r="E2027">
        <f>'raw data Crude oil'!E2028</f>
        <v>74.11</v>
      </c>
      <c r="F2027">
        <f>'raw data Crude oil'!F2028</f>
        <v>73.91</v>
      </c>
      <c r="G2027">
        <f>'raw data Crude oil'!G2028</f>
        <v>73.709999999999994</v>
      </c>
      <c r="H2027">
        <f>'raw data Crude oil'!H2028</f>
        <v>73.5</v>
      </c>
      <c r="I2027">
        <f>'raw data Crude oil'!I2028</f>
        <v>73.290000000000006</v>
      </c>
      <c r="J2027">
        <f>'raw data Crude oil'!J2028</f>
        <v>73.06</v>
      </c>
      <c r="K2027">
        <f>'raw data Crude oil'!K2028</f>
        <v>72.83</v>
      </c>
      <c r="L2027">
        <f>'raw data Crude oil'!L2028</f>
        <v>72.61</v>
      </c>
      <c r="M2027">
        <f>'raw data Crude oil'!M2028</f>
        <v>72.41</v>
      </c>
      <c r="N2027">
        <f>'raw data Crude oil'!N2028</f>
        <v>71.47</v>
      </c>
      <c r="O2027">
        <f>'raw data Crude oil'!O2028</f>
        <v>71.03</v>
      </c>
      <c r="P2027">
        <f>'raw data Crude oil'!P2028</f>
        <v>70.66</v>
      </c>
      <c r="Q2027">
        <f>'raw data Crude oil'!Q2028</f>
        <v>70.36</v>
      </c>
      <c r="R2027">
        <f>'raw data Crude oil'!R2028</f>
        <v>70.11</v>
      </c>
      <c r="S2027">
        <f>'raw data Crude oil'!S2028</f>
        <v>69.88</v>
      </c>
      <c r="T2027">
        <f>'raw data Crude oil'!T2028</f>
        <v>69.64</v>
      </c>
      <c r="U2027">
        <f>'raw data Crude oil'!U2028</f>
        <v>69.39</v>
      </c>
      <c r="V2027">
        <f>'raw data Crude oil'!V2028</f>
        <v>69.13</v>
      </c>
      <c r="W2027">
        <f>'raw data Crude oil'!W2028</f>
        <v>68.89</v>
      </c>
      <c r="X2027">
        <f>'raw data Crude oil'!X2028</f>
        <v>68.64</v>
      </c>
      <c r="Y2027">
        <f>'raw data Crude oil'!Y2028</f>
        <v>68.42</v>
      </c>
      <c r="Z2027">
        <f>'raw data Crude oil'!Z2028</f>
        <v>74.052999999999997</v>
      </c>
      <c r="AA2027">
        <f>'raw data Crude oil'!AA2028</f>
        <v>73.915000000000006</v>
      </c>
      <c r="AB2027">
        <f>'raw data Crude oil'!AB2028</f>
        <v>73.366</v>
      </c>
      <c r="AC2027">
        <f>'raw data Crude oil'!AC2028</f>
        <v>73.052999999999997</v>
      </c>
      <c r="AD2027">
        <f>'raw data Crude oil'!AD2028</f>
        <v>72.834999999999994</v>
      </c>
      <c r="AE2027">
        <f>'raw data Crude oil'!AE2028</f>
        <v>72.63</v>
      </c>
      <c r="AF2027">
        <f>'raw data Crude oil'!AF2028</f>
        <v>72.415000000000006</v>
      </c>
      <c r="AG2027">
        <f>'raw data Crude oil'!AG2028</f>
        <v>72.188999999999993</v>
      </c>
      <c r="AH2027">
        <f>'raw data Crude oil'!AH2028</f>
        <v>71.959999999999994</v>
      </c>
      <c r="AI2027">
        <f>'raw data Crude oil'!AI2028</f>
        <v>71.739999999999995</v>
      </c>
      <c r="AJ2027">
        <f>'raw data Crude oil'!AJ2028</f>
        <v>71.540999999999997</v>
      </c>
      <c r="AK2027">
        <f>'raw data Crude oil'!AK2028</f>
        <v>71.33</v>
      </c>
    </row>
    <row r="2028" spans="1:37" x14ac:dyDescent="0.3">
      <c r="A2028" s="18">
        <f>'raw data Crude oil'!A2029</f>
        <v>45601</v>
      </c>
      <c r="B2028">
        <f>'raw data Crude oil'!B2029</f>
        <v>75.53</v>
      </c>
      <c r="C2028">
        <f>'raw data Crude oil'!C2029</f>
        <v>75.14</v>
      </c>
      <c r="D2028">
        <f>'raw data Crude oil'!D2029</f>
        <v>74.819999999999993</v>
      </c>
      <c r="E2028">
        <f>'raw data Crude oil'!E2029</f>
        <v>74.569999999999993</v>
      </c>
      <c r="F2028">
        <f>'raw data Crude oil'!F2029</f>
        <v>74.36</v>
      </c>
      <c r="G2028">
        <f>'raw data Crude oil'!G2029</f>
        <v>74.150000000000006</v>
      </c>
      <c r="H2028">
        <f>'raw data Crude oil'!H2029</f>
        <v>73.94</v>
      </c>
      <c r="I2028">
        <f>'raw data Crude oil'!I2029</f>
        <v>73.7</v>
      </c>
      <c r="J2028">
        <f>'raw data Crude oil'!J2029</f>
        <v>73.459999999999994</v>
      </c>
      <c r="K2028">
        <f>'raw data Crude oil'!K2029</f>
        <v>73.22</v>
      </c>
      <c r="L2028">
        <f>'raw data Crude oil'!L2029</f>
        <v>72.98</v>
      </c>
      <c r="M2028">
        <f>'raw data Crude oil'!M2029</f>
        <v>72.760000000000005</v>
      </c>
      <c r="N2028">
        <f>'raw data Crude oil'!N2029</f>
        <v>71.989999999999995</v>
      </c>
      <c r="O2028">
        <f>'raw data Crude oil'!O2029</f>
        <v>71.56</v>
      </c>
      <c r="P2028">
        <f>'raw data Crude oil'!P2029</f>
        <v>71.180000000000007</v>
      </c>
      <c r="Q2028">
        <f>'raw data Crude oil'!Q2029</f>
        <v>70.849999999999994</v>
      </c>
      <c r="R2028">
        <f>'raw data Crude oil'!R2029</f>
        <v>70.569999999999993</v>
      </c>
      <c r="S2028">
        <f>'raw data Crude oil'!S2029</f>
        <v>70.3</v>
      </c>
      <c r="T2028">
        <f>'raw data Crude oil'!T2029</f>
        <v>70.040000000000006</v>
      </c>
      <c r="U2028">
        <f>'raw data Crude oil'!U2029</f>
        <v>69.77</v>
      </c>
      <c r="V2028">
        <f>'raw data Crude oil'!V2029</f>
        <v>69.48</v>
      </c>
      <c r="W2028">
        <f>'raw data Crude oil'!W2029</f>
        <v>69.209999999999994</v>
      </c>
      <c r="X2028">
        <f>'raw data Crude oil'!X2029</f>
        <v>68.95</v>
      </c>
      <c r="Y2028">
        <f>'raw data Crude oil'!Y2029</f>
        <v>68.7</v>
      </c>
      <c r="Z2028">
        <f>'raw data Crude oil'!Z2029</f>
        <v>74.483000000000004</v>
      </c>
      <c r="AA2028">
        <f>'raw data Crude oil'!AA2029</f>
        <v>74.465000000000003</v>
      </c>
      <c r="AB2028">
        <f>'raw data Crude oil'!AB2029</f>
        <v>73.873999999999995</v>
      </c>
      <c r="AC2028">
        <f>'raw data Crude oil'!AC2029</f>
        <v>73.555000000000007</v>
      </c>
      <c r="AD2028">
        <f>'raw data Crude oil'!AD2029</f>
        <v>73.325000000000003</v>
      </c>
      <c r="AE2028">
        <f>'raw data Crude oil'!AE2029</f>
        <v>73.105000000000004</v>
      </c>
      <c r="AF2028">
        <f>'raw data Crude oil'!AF2029</f>
        <v>72.879000000000005</v>
      </c>
      <c r="AG2028">
        <f>'raw data Crude oil'!AG2029</f>
        <v>72.649000000000001</v>
      </c>
      <c r="AH2028">
        <f>'raw data Crude oil'!AH2029</f>
        <v>72.41</v>
      </c>
      <c r="AI2028">
        <f>'raw data Crude oil'!AI2029</f>
        <v>72.168999999999997</v>
      </c>
      <c r="AJ2028">
        <f>'raw data Crude oil'!AJ2029</f>
        <v>71.930000000000007</v>
      </c>
      <c r="AK2028">
        <f>'raw data Crude oil'!AK2029</f>
        <v>71.709999999999994</v>
      </c>
    </row>
    <row r="2029" spans="1:37" x14ac:dyDescent="0.3">
      <c r="A2029" s="18">
        <f>'raw data Crude oil'!A2030</f>
        <v>45602</v>
      </c>
      <c r="B2029">
        <f>'raw data Crude oil'!B2030</f>
        <v>74.92</v>
      </c>
      <c r="C2029">
        <f>'raw data Crude oil'!C2030</f>
        <v>74.569999999999993</v>
      </c>
      <c r="D2029">
        <f>'raw data Crude oil'!D2030</f>
        <v>74.290000000000006</v>
      </c>
      <c r="E2029">
        <f>'raw data Crude oil'!E2030</f>
        <v>74.069999999999993</v>
      </c>
      <c r="F2029">
        <f>'raw data Crude oil'!F2030</f>
        <v>73.900000000000006</v>
      </c>
      <c r="G2029">
        <f>'raw data Crude oil'!G2030</f>
        <v>73.73</v>
      </c>
      <c r="H2029">
        <f>'raw data Crude oil'!H2030</f>
        <v>73.540000000000006</v>
      </c>
      <c r="I2029">
        <f>'raw data Crude oil'!I2030</f>
        <v>73.349999999999994</v>
      </c>
      <c r="J2029">
        <f>'raw data Crude oil'!J2030</f>
        <v>73.13</v>
      </c>
      <c r="K2029">
        <f>'raw data Crude oil'!K2030</f>
        <v>72.92</v>
      </c>
      <c r="L2029">
        <f>'raw data Crude oil'!L2030</f>
        <v>72.709999999999994</v>
      </c>
      <c r="M2029">
        <f>'raw data Crude oil'!M2030</f>
        <v>72.5</v>
      </c>
      <c r="N2029">
        <f>'raw data Crude oil'!N2030</f>
        <v>71.69</v>
      </c>
      <c r="O2029">
        <f>'raw data Crude oil'!O2030</f>
        <v>71.239999999999995</v>
      </c>
      <c r="P2029">
        <f>'raw data Crude oil'!P2030</f>
        <v>70.84</v>
      </c>
      <c r="Q2029">
        <f>'raw data Crude oil'!Q2030</f>
        <v>70.510000000000005</v>
      </c>
      <c r="R2029">
        <f>'raw data Crude oil'!R2030</f>
        <v>70.25</v>
      </c>
      <c r="S2029">
        <f>'raw data Crude oil'!S2030</f>
        <v>70.02</v>
      </c>
      <c r="T2029">
        <f>'raw data Crude oil'!T2030</f>
        <v>69.790000000000006</v>
      </c>
      <c r="U2029">
        <f>'raw data Crude oil'!U2030</f>
        <v>69.540000000000006</v>
      </c>
      <c r="V2029">
        <f>'raw data Crude oil'!V2030</f>
        <v>69.290000000000006</v>
      </c>
      <c r="W2029">
        <f>'raw data Crude oil'!W2030</f>
        <v>69.040000000000006</v>
      </c>
      <c r="X2029">
        <f>'raw data Crude oil'!X2030</f>
        <v>68.8</v>
      </c>
      <c r="Y2029">
        <f>'raw data Crude oil'!Y2030</f>
        <v>68.58</v>
      </c>
      <c r="Z2029">
        <f>'raw data Crude oil'!Z2030</f>
        <v>73.867999999999995</v>
      </c>
      <c r="AA2029">
        <f>'raw data Crude oil'!AA2030</f>
        <v>73.783000000000001</v>
      </c>
      <c r="AB2029">
        <f>'raw data Crude oil'!AB2030</f>
        <v>73.239000000000004</v>
      </c>
      <c r="AC2029">
        <f>'raw data Crude oil'!AC2030</f>
        <v>72.941999999999993</v>
      </c>
      <c r="AD2029">
        <f>'raw data Crude oil'!AD2030</f>
        <v>72.762</v>
      </c>
      <c r="AE2029">
        <f>'raw data Crude oil'!AE2030</f>
        <v>72.590999999999994</v>
      </c>
      <c r="AF2029">
        <f>'raw data Crude oil'!AF2030</f>
        <v>72.400999999999996</v>
      </c>
      <c r="AG2029">
        <f>'raw data Crude oil'!AG2030</f>
        <v>72.209999999999994</v>
      </c>
      <c r="AH2029">
        <f>'raw data Crude oil'!AH2030</f>
        <v>72.010999999999996</v>
      </c>
      <c r="AI2029">
        <f>'raw data Crude oil'!AI2030</f>
        <v>71.81</v>
      </c>
      <c r="AJ2029">
        <f>'raw data Crude oil'!AJ2030</f>
        <v>71.599999999999994</v>
      </c>
      <c r="AK2029">
        <f>'raw data Crude oil'!AK2030</f>
        <v>71.38</v>
      </c>
    </row>
    <row r="2030" spans="1:37" x14ac:dyDescent="0.3">
      <c r="A2030" s="18">
        <f>'raw data Crude oil'!A2031</f>
        <v>45603</v>
      </c>
      <c r="B2030">
        <f>'raw data Crude oil'!B2031</f>
        <v>75.63</v>
      </c>
      <c r="C2030">
        <f>'raw data Crude oil'!C2031</f>
        <v>75.260000000000005</v>
      </c>
      <c r="D2030">
        <f>'raw data Crude oil'!D2031</f>
        <v>74.959999999999994</v>
      </c>
      <c r="E2030">
        <f>'raw data Crude oil'!E2031</f>
        <v>74.72</v>
      </c>
      <c r="F2030">
        <f>'raw data Crude oil'!F2031</f>
        <v>74.53</v>
      </c>
      <c r="G2030">
        <f>'raw data Crude oil'!G2031</f>
        <v>74.34</v>
      </c>
      <c r="H2030">
        <f>'raw data Crude oil'!H2031</f>
        <v>74.14</v>
      </c>
      <c r="I2030">
        <f>'raw data Crude oil'!I2031</f>
        <v>73.930000000000007</v>
      </c>
      <c r="J2030">
        <f>'raw data Crude oil'!J2031</f>
        <v>73.709999999999994</v>
      </c>
      <c r="K2030">
        <f>'raw data Crude oil'!K2031</f>
        <v>73.48</v>
      </c>
      <c r="L2030">
        <f>'raw data Crude oil'!L2031</f>
        <v>73.260000000000005</v>
      </c>
      <c r="M2030">
        <f>'raw data Crude oil'!M2031</f>
        <v>73.05</v>
      </c>
      <c r="N2030">
        <f>'raw data Crude oil'!N2031</f>
        <v>72.36</v>
      </c>
      <c r="O2030">
        <f>'raw data Crude oil'!O2031</f>
        <v>71.959999999999994</v>
      </c>
      <c r="P2030">
        <f>'raw data Crude oil'!P2031</f>
        <v>71.569999999999993</v>
      </c>
      <c r="Q2030">
        <f>'raw data Crude oil'!Q2031</f>
        <v>71.25</v>
      </c>
      <c r="R2030">
        <f>'raw data Crude oil'!R2031</f>
        <v>70.989999999999995</v>
      </c>
      <c r="S2030">
        <f>'raw data Crude oil'!S2031</f>
        <v>70.739999999999995</v>
      </c>
      <c r="T2030">
        <f>'raw data Crude oil'!T2031</f>
        <v>70.489999999999995</v>
      </c>
      <c r="U2030">
        <f>'raw data Crude oil'!U2031</f>
        <v>70.239999999999995</v>
      </c>
      <c r="V2030">
        <f>'raw data Crude oil'!V2031</f>
        <v>69.98</v>
      </c>
      <c r="W2030">
        <f>'raw data Crude oil'!W2031</f>
        <v>69.73</v>
      </c>
      <c r="X2030">
        <f>'raw data Crude oil'!X2031</f>
        <v>69.48</v>
      </c>
      <c r="Y2030">
        <f>'raw data Crude oil'!Y2031</f>
        <v>69.25</v>
      </c>
      <c r="Z2030">
        <f>'raw data Crude oil'!Z2031</f>
        <v>74.400999999999996</v>
      </c>
      <c r="AA2030">
        <f>'raw data Crude oil'!AA2031</f>
        <v>74.406000000000006</v>
      </c>
      <c r="AB2030">
        <f>'raw data Crude oil'!AB2031</f>
        <v>73.938999999999993</v>
      </c>
      <c r="AC2030">
        <f>'raw data Crude oil'!AC2031</f>
        <v>73.641000000000005</v>
      </c>
      <c r="AD2030">
        <f>'raw data Crude oil'!AD2031</f>
        <v>73.430999999999997</v>
      </c>
      <c r="AE2030">
        <f>'raw data Crude oil'!AE2031</f>
        <v>73.234999999999999</v>
      </c>
      <c r="AF2030">
        <f>'raw data Crude oil'!AF2031</f>
        <v>73.040000000000006</v>
      </c>
      <c r="AG2030">
        <f>'raw data Crude oil'!AG2031</f>
        <v>72.83</v>
      </c>
      <c r="AH2030">
        <f>'raw data Crude oil'!AH2031</f>
        <v>72.61</v>
      </c>
      <c r="AI2030">
        <f>'raw data Crude oil'!AI2031</f>
        <v>72.37</v>
      </c>
      <c r="AJ2030">
        <f>'raw data Crude oil'!AJ2031</f>
        <v>72.150000000000006</v>
      </c>
      <c r="AK2030">
        <f>'raw data Crude oil'!AK2031</f>
        <v>71.930000000000007</v>
      </c>
    </row>
    <row r="2031" spans="1:37" x14ac:dyDescent="0.3">
      <c r="A2031" s="18">
        <f>'raw data Crude oil'!A2032</f>
        <v>45604</v>
      </c>
      <c r="B2031">
        <f>'raw data Crude oil'!B2032</f>
        <v>73.87</v>
      </c>
      <c r="C2031">
        <f>'raw data Crude oil'!C2032</f>
        <v>73.61</v>
      </c>
      <c r="D2031">
        <f>'raw data Crude oil'!D2032</f>
        <v>73.39</v>
      </c>
      <c r="E2031">
        <f>'raw data Crude oil'!E2032</f>
        <v>73.209999999999994</v>
      </c>
      <c r="F2031">
        <f>'raw data Crude oil'!F2032</f>
        <v>73.08</v>
      </c>
      <c r="G2031">
        <f>'raw data Crude oil'!G2032</f>
        <v>72.959999999999994</v>
      </c>
      <c r="H2031">
        <f>'raw data Crude oil'!H2032</f>
        <v>72.819999999999993</v>
      </c>
      <c r="I2031">
        <f>'raw data Crude oil'!I2032</f>
        <v>72.67</v>
      </c>
      <c r="J2031">
        <f>'raw data Crude oil'!J2032</f>
        <v>72.5</v>
      </c>
      <c r="K2031">
        <f>'raw data Crude oil'!K2032</f>
        <v>72.319999999999993</v>
      </c>
      <c r="L2031">
        <f>'raw data Crude oil'!L2032</f>
        <v>72.14</v>
      </c>
      <c r="M2031">
        <f>'raw data Crude oil'!M2032</f>
        <v>71.97</v>
      </c>
      <c r="N2031">
        <f>'raw data Crude oil'!N2032</f>
        <v>70.38</v>
      </c>
      <c r="O2031">
        <f>'raw data Crude oil'!O2032</f>
        <v>70.11</v>
      </c>
      <c r="P2031">
        <f>'raw data Crude oil'!P2032</f>
        <v>69.849999999999994</v>
      </c>
      <c r="Q2031">
        <f>'raw data Crude oil'!Q2032</f>
        <v>69.63</v>
      </c>
      <c r="R2031">
        <f>'raw data Crude oil'!R2032</f>
        <v>69.45</v>
      </c>
      <c r="S2031">
        <f>'raw data Crude oil'!S2032</f>
        <v>69.290000000000006</v>
      </c>
      <c r="T2031">
        <f>'raw data Crude oil'!T2032</f>
        <v>69.12</v>
      </c>
      <c r="U2031">
        <f>'raw data Crude oil'!U2032</f>
        <v>68.930000000000007</v>
      </c>
      <c r="V2031">
        <f>'raw data Crude oil'!V2032</f>
        <v>68.73</v>
      </c>
      <c r="W2031">
        <f>'raw data Crude oil'!W2032</f>
        <v>68.52</v>
      </c>
      <c r="X2031">
        <f>'raw data Crude oil'!X2032</f>
        <v>68.319999999999993</v>
      </c>
      <c r="Y2031">
        <f>'raw data Crude oil'!Y2032</f>
        <v>68.13</v>
      </c>
      <c r="Z2031">
        <f>'raw data Crude oil'!Z2032</f>
        <v>73.192999999999998</v>
      </c>
      <c r="AA2031">
        <f>'raw data Crude oil'!AA2032</f>
        <v>72.677000000000007</v>
      </c>
      <c r="AB2031">
        <f>'raw data Crude oil'!AB2032</f>
        <v>72.337000000000003</v>
      </c>
      <c r="AC2031">
        <f>'raw data Crude oil'!AC2032</f>
        <v>72.075999999999993</v>
      </c>
      <c r="AD2031">
        <f>'raw data Crude oil'!AD2032</f>
        <v>71.906000000000006</v>
      </c>
      <c r="AE2031">
        <f>'raw data Crude oil'!AE2032</f>
        <v>71.775999999999996</v>
      </c>
      <c r="AF2031">
        <f>'raw data Crude oil'!AF2032</f>
        <v>71.634</v>
      </c>
      <c r="AG2031">
        <f>'raw data Crude oil'!AG2032</f>
        <v>71.486999999999995</v>
      </c>
      <c r="AH2031">
        <f>'raw data Crude oil'!AH2032</f>
        <v>71.346999999999994</v>
      </c>
      <c r="AI2031">
        <f>'raw data Crude oil'!AI2032</f>
        <v>71.176000000000002</v>
      </c>
      <c r="AJ2031">
        <f>'raw data Crude oil'!AJ2032</f>
        <v>71.022000000000006</v>
      </c>
      <c r="AK2031">
        <f>'raw data Crude oil'!AK2032</f>
        <v>70.852000000000004</v>
      </c>
    </row>
    <row r="2032" spans="1:37" x14ac:dyDescent="0.3">
      <c r="A2032" s="18">
        <f>'raw data Crude oil'!A2033</f>
        <v>45607</v>
      </c>
      <c r="B2032">
        <f>'raw data Crude oil'!B2033</f>
        <v>71.83</v>
      </c>
      <c r="C2032">
        <f>'raw data Crude oil'!C2033</f>
        <v>71.650000000000006</v>
      </c>
      <c r="D2032">
        <f>'raw data Crude oil'!D2033</f>
        <v>71.489999999999995</v>
      </c>
      <c r="E2032">
        <f>'raw data Crude oil'!E2033</f>
        <v>71.38</v>
      </c>
      <c r="F2032">
        <f>'raw data Crude oil'!F2033</f>
        <v>71.3</v>
      </c>
      <c r="G2032">
        <f>'raw data Crude oil'!G2033</f>
        <v>71.22</v>
      </c>
      <c r="H2032">
        <f>'raw data Crude oil'!H2033</f>
        <v>71.12</v>
      </c>
      <c r="I2032">
        <f>'raw data Crude oil'!I2033</f>
        <v>71.010000000000005</v>
      </c>
      <c r="J2032">
        <f>'raw data Crude oil'!J2033</f>
        <v>70.88</v>
      </c>
      <c r="K2032">
        <f>'raw data Crude oil'!K2033</f>
        <v>70.739999999999995</v>
      </c>
      <c r="L2032">
        <f>'raw data Crude oil'!L2033</f>
        <v>70.61</v>
      </c>
      <c r="M2032">
        <f>'raw data Crude oil'!M2033</f>
        <v>70.48</v>
      </c>
      <c r="N2032">
        <f>'raw data Crude oil'!N2033</f>
        <v>68.040000000000006</v>
      </c>
      <c r="O2032">
        <f>'raw data Crude oil'!O2033</f>
        <v>67.92</v>
      </c>
      <c r="P2032">
        <f>'raw data Crude oil'!P2033</f>
        <v>67.75</v>
      </c>
      <c r="Q2032">
        <f>'raw data Crude oil'!Q2033</f>
        <v>67.61</v>
      </c>
      <c r="R2032">
        <f>'raw data Crude oil'!R2033</f>
        <v>67.510000000000005</v>
      </c>
      <c r="S2032">
        <f>'raw data Crude oil'!S2033</f>
        <v>67.41</v>
      </c>
      <c r="T2032">
        <f>'raw data Crude oil'!T2033</f>
        <v>67.3</v>
      </c>
      <c r="U2032">
        <f>'raw data Crude oil'!U2033</f>
        <v>67.17</v>
      </c>
      <c r="V2032">
        <f>'raw data Crude oil'!V2033</f>
        <v>67.02</v>
      </c>
      <c r="W2032">
        <f>'raw data Crude oil'!W2033</f>
        <v>66.86</v>
      </c>
      <c r="X2032">
        <f>'raw data Crude oil'!X2033</f>
        <v>66.7</v>
      </c>
      <c r="Y2032">
        <f>'raw data Crude oil'!Y2033</f>
        <v>66.55</v>
      </c>
      <c r="Z2032">
        <f>'raw data Crude oil'!Z2033</f>
        <v>71.884</v>
      </c>
      <c r="AA2032">
        <f>'raw data Crude oil'!AA2033</f>
        <v>70.674999999999997</v>
      </c>
      <c r="AB2032">
        <f>'raw data Crude oil'!AB2033</f>
        <v>70.442999999999998</v>
      </c>
      <c r="AC2032">
        <f>'raw data Crude oil'!AC2033</f>
        <v>70.256</v>
      </c>
      <c r="AD2032">
        <f>'raw data Crude oil'!AD2033</f>
        <v>70.159000000000006</v>
      </c>
      <c r="AE2032">
        <f>'raw data Crude oil'!AE2033</f>
        <v>70.078000000000003</v>
      </c>
      <c r="AF2032">
        <f>'raw data Crude oil'!AF2033</f>
        <v>69.988</v>
      </c>
      <c r="AG2032">
        <f>'raw data Crude oil'!AG2033</f>
        <v>69.884</v>
      </c>
      <c r="AH2032">
        <f>'raw data Crude oil'!AH2033</f>
        <v>69.774000000000001</v>
      </c>
      <c r="AI2032">
        <f>'raw data Crude oil'!AI2033</f>
        <v>69.623999999999995</v>
      </c>
      <c r="AJ2032">
        <f>'raw data Crude oil'!AJ2033</f>
        <v>69.483999999999995</v>
      </c>
      <c r="AK2032">
        <f>'raw data Crude oil'!AK2033</f>
        <v>69.352999999999994</v>
      </c>
    </row>
    <row r="2033" spans="1:37" x14ac:dyDescent="0.3">
      <c r="A2033" s="18">
        <f>'raw data Crude oil'!A2034</f>
        <v>45608</v>
      </c>
      <c r="B2033">
        <f>'raw data Crude oil'!B2034</f>
        <v>71.89</v>
      </c>
      <c r="C2033">
        <f>'raw data Crude oil'!C2034</f>
        <v>71.650000000000006</v>
      </c>
      <c r="D2033">
        <f>'raw data Crude oil'!D2034</f>
        <v>71.45</v>
      </c>
      <c r="E2033">
        <f>'raw data Crude oil'!E2034</f>
        <v>71.31</v>
      </c>
      <c r="F2033">
        <f>'raw data Crude oil'!F2034</f>
        <v>71.209999999999994</v>
      </c>
      <c r="G2033">
        <f>'raw data Crude oil'!G2034</f>
        <v>71.11</v>
      </c>
      <c r="H2033">
        <f>'raw data Crude oil'!H2034</f>
        <v>71</v>
      </c>
      <c r="I2033">
        <f>'raw data Crude oil'!I2034</f>
        <v>70.88</v>
      </c>
      <c r="J2033">
        <f>'raw data Crude oil'!J2034</f>
        <v>70.739999999999995</v>
      </c>
      <c r="K2033">
        <f>'raw data Crude oil'!K2034</f>
        <v>70.599999999999994</v>
      </c>
      <c r="L2033">
        <f>'raw data Crude oil'!L2034</f>
        <v>70.459999999999994</v>
      </c>
      <c r="M2033">
        <f>'raw data Crude oil'!M2034</f>
        <v>70.33</v>
      </c>
      <c r="N2033">
        <f>'raw data Crude oil'!N2034</f>
        <v>68.12</v>
      </c>
      <c r="O2033">
        <f>'raw data Crude oil'!O2034</f>
        <v>67.97</v>
      </c>
      <c r="P2033">
        <f>'raw data Crude oil'!P2034</f>
        <v>67.77</v>
      </c>
      <c r="Q2033">
        <f>'raw data Crude oil'!Q2034</f>
        <v>67.61</v>
      </c>
      <c r="R2033">
        <f>'raw data Crude oil'!R2034</f>
        <v>67.48</v>
      </c>
      <c r="S2033">
        <f>'raw data Crude oil'!S2034</f>
        <v>67.36</v>
      </c>
      <c r="T2033">
        <f>'raw data Crude oil'!T2034</f>
        <v>67.239999999999995</v>
      </c>
      <c r="U2033">
        <f>'raw data Crude oil'!U2034</f>
        <v>67.099999999999994</v>
      </c>
      <c r="V2033">
        <f>'raw data Crude oil'!V2034</f>
        <v>66.94</v>
      </c>
      <c r="W2033">
        <f>'raw data Crude oil'!W2034</f>
        <v>66.78</v>
      </c>
      <c r="X2033">
        <f>'raw data Crude oil'!X2034</f>
        <v>66.61</v>
      </c>
      <c r="Y2033">
        <f>'raw data Crude oil'!Y2034</f>
        <v>66.459999999999994</v>
      </c>
      <c r="Z2033">
        <f>'raw data Crude oil'!Z2034</f>
        <v>71.91</v>
      </c>
      <c r="AA2033">
        <f>'raw data Crude oil'!AA2034</f>
        <v>70.751000000000005</v>
      </c>
      <c r="AB2033">
        <f>'raw data Crude oil'!AB2034</f>
        <v>70.468000000000004</v>
      </c>
      <c r="AC2033">
        <f>'raw data Crude oil'!AC2034</f>
        <v>70.257999999999996</v>
      </c>
      <c r="AD2033">
        <f>'raw data Crude oil'!AD2034</f>
        <v>70.138000000000005</v>
      </c>
      <c r="AE2033">
        <f>'raw data Crude oil'!AE2034</f>
        <v>70.034999999999997</v>
      </c>
      <c r="AF2033">
        <f>'raw data Crude oil'!AF2034</f>
        <v>69.924999999999997</v>
      </c>
      <c r="AG2033">
        <f>'raw data Crude oil'!AG2034</f>
        <v>69.813000000000002</v>
      </c>
      <c r="AH2033">
        <f>'raw data Crude oil'!AH2034</f>
        <v>69.674000000000007</v>
      </c>
      <c r="AI2033">
        <f>'raw data Crude oil'!AI2034</f>
        <v>69.543000000000006</v>
      </c>
      <c r="AJ2033">
        <f>'raw data Crude oil'!AJ2034</f>
        <v>69.414000000000001</v>
      </c>
      <c r="AK2033">
        <f>'raw data Crude oil'!AK2034</f>
        <v>69.283000000000001</v>
      </c>
    </row>
    <row r="2034" spans="1:37" x14ac:dyDescent="0.3">
      <c r="A2034" s="18">
        <f>'raw data Crude oil'!A2035</f>
        <v>45609</v>
      </c>
      <c r="B2034">
        <f>'raw data Crude oil'!B2035</f>
        <v>72.28</v>
      </c>
      <c r="C2034">
        <f>'raw data Crude oil'!C2035</f>
        <v>71.98</v>
      </c>
      <c r="D2034">
        <f>'raw data Crude oil'!D2035</f>
        <v>71.739999999999995</v>
      </c>
      <c r="E2034">
        <f>'raw data Crude oil'!E2035</f>
        <v>71.569999999999993</v>
      </c>
      <c r="F2034">
        <f>'raw data Crude oil'!F2035</f>
        <v>71.44</v>
      </c>
      <c r="G2034">
        <f>'raw data Crude oil'!G2035</f>
        <v>71.319999999999993</v>
      </c>
      <c r="H2034">
        <f>'raw data Crude oil'!H2035</f>
        <v>71.19</v>
      </c>
      <c r="I2034">
        <f>'raw data Crude oil'!I2035</f>
        <v>71.040000000000006</v>
      </c>
      <c r="J2034">
        <f>'raw data Crude oil'!J2035</f>
        <v>70.89</v>
      </c>
      <c r="K2034">
        <f>'raw data Crude oil'!K2035</f>
        <v>70.73</v>
      </c>
      <c r="L2034">
        <f>'raw data Crude oil'!L2035</f>
        <v>70.569999999999993</v>
      </c>
      <c r="M2034">
        <f>'raw data Crude oil'!M2035</f>
        <v>70.430000000000007</v>
      </c>
      <c r="N2034">
        <f>'raw data Crude oil'!N2035</f>
        <v>68.430000000000007</v>
      </c>
      <c r="O2034">
        <f>'raw data Crude oil'!O2035</f>
        <v>68.260000000000005</v>
      </c>
      <c r="P2034">
        <f>'raw data Crude oil'!P2035</f>
        <v>68.010000000000005</v>
      </c>
      <c r="Q2034">
        <f>'raw data Crude oil'!Q2035</f>
        <v>67.819999999999993</v>
      </c>
      <c r="R2034">
        <f>'raw data Crude oil'!R2035</f>
        <v>67.67</v>
      </c>
      <c r="S2034">
        <f>'raw data Crude oil'!S2035</f>
        <v>67.53</v>
      </c>
      <c r="T2034">
        <f>'raw data Crude oil'!T2035</f>
        <v>67.38</v>
      </c>
      <c r="U2034">
        <f>'raw data Crude oil'!U2035</f>
        <v>67.22</v>
      </c>
      <c r="V2034">
        <f>'raw data Crude oil'!V2035</f>
        <v>67.040000000000006</v>
      </c>
      <c r="W2034">
        <f>'raw data Crude oil'!W2035</f>
        <v>66.849999999999994</v>
      </c>
      <c r="X2034">
        <f>'raw data Crude oil'!X2035</f>
        <v>66.66</v>
      </c>
      <c r="Y2034">
        <f>'raw data Crude oil'!Y2035</f>
        <v>66.510000000000005</v>
      </c>
      <c r="Z2034">
        <f>'raw data Crude oil'!Z2035</f>
        <v>72.113</v>
      </c>
      <c r="AA2034">
        <f>'raw data Crude oil'!AA2035</f>
        <v>71.137</v>
      </c>
      <c r="AB2034">
        <f>'raw data Crude oil'!AB2035</f>
        <v>70.837000000000003</v>
      </c>
      <c r="AC2034">
        <f>'raw data Crude oil'!AC2035</f>
        <v>70.608999999999995</v>
      </c>
      <c r="AD2034">
        <f>'raw data Crude oil'!AD2035</f>
        <v>70.444000000000003</v>
      </c>
      <c r="AE2034">
        <f>'raw data Crude oil'!AE2035</f>
        <v>70.313999999999993</v>
      </c>
      <c r="AF2034">
        <f>'raw data Crude oil'!AF2035</f>
        <v>70.173000000000002</v>
      </c>
      <c r="AG2034">
        <f>'raw data Crude oil'!AG2035</f>
        <v>70.033000000000001</v>
      </c>
      <c r="AH2034">
        <f>'raw data Crude oil'!AH2035</f>
        <v>69.882999999999996</v>
      </c>
      <c r="AI2034">
        <f>'raw data Crude oil'!AI2035</f>
        <v>69.721999999999994</v>
      </c>
      <c r="AJ2034">
        <f>'raw data Crude oil'!AJ2035</f>
        <v>69.573999999999998</v>
      </c>
      <c r="AK2034">
        <f>'raw data Crude oil'!AK2035</f>
        <v>69.423000000000002</v>
      </c>
    </row>
    <row r="2035" spans="1:37" x14ac:dyDescent="0.3">
      <c r="A2035" s="18">
        <f>'raw data Crude oil'!A2036</f>
        <v>45610</v>
      </c>
      <c r="B2035">
        <f>'raw data Crude oil'!B2036</f>
        <v>72.56</v>
      </c>
      <c r="C2035">
        <f>'raw data Crude oil'!C2036</f>
        <v>72.239999999999995</v>
      </c>
      <c r="D2035">
        <f>'raw data Crude oil'!D2036</f>
        <v>71.989999999999995</v>
      </c>
      <c r="E2035">
        <f>'raw data Crude oil'!E2036</f>
        <v>71.81</v>
      </c>
      <c r="F2035">
        <f>'raw data Crude oil'!F2036</f>
        <v>71.66</v>
      </c>
      <c r="G2035">
        <f>'raw data Crude oil'!G2036</f>
        <v>71.52</v>
      </c>
      <c r="H2035">
        <f>'raw data Crude oil'!H2036</f>
        <v>71.37</v>
      </c>
      <c r="I2035">
        <f>'raw data Crude oil'!I2036</f>
        <v>71.22</v>
      </c>
      <c r="J2035">
        <f>'raw data Crude oil'!J2036</f>
        <v>71.05</v>
      </c>
      <c r="K2035">
        <f>'raw data Crude oil'!K2036</f>
        <v>70.88</v>
      </c>
      <c r="L2035">
        <f>'raw data Crude oil'!L2036</f>
        <v>70.709999999999994</v>
      </c>
      <c r="M2035">
        <f>'raw data Crude oil'!M2036</f>
        <v>70.55</v>
      </c>
      <c r="N2035">
        <f>'raw data Crude oil'!N2036</f>
        <v>68.7</v>
      </c>
      <c r="O2035">
        <f>'raw data Crude oil'!O2036</f>
        <v>68.53</v>
      </c>
      <c r="P2035">
        <f>'raw data Crude oil'!P2036</f>
        <v>68.260000000000005</v>
      </c>
      <c r="Q2035">
        <f>'raw data Crude oil'!Q2036</f>
        <v>68.03</v>
      </c>
      <c r="R2035">
        <f>'raw data Crude oil'!R2036</f>
        <v>67.849999999999994</v>
      </c>
      <c r="S2035">
        <f>'raw data Crude oil'!S2036</f>
        <v>67.72</v>
      </c>
      <c r="T2035">
        <f>'raw data Crude oil'!T2036</f>
        <v>67.56</v>
      </c>
      <c r="U2035">
        <f>'raw data Crude oil'!U2036</f>
        <v>67.38</v>
      </c>
      <c r="V2035">
        <f>'raw data Crude oil'!V2036</f>
        <v>67.19</v>
      </c>
      <c r="W2035">
        <f>'raw data Crude oil'!W2036</f>
        <v>66.989999999999995</v>
      </c>
      <c r="X2035">
        <f>'raw data Crude oil'!X2036</f>
        <v>66.790000000000006</v>
      </c>
      <c r="Y2035">
        <f>'raw data Crude oil'!Y2036</f>
        <v>66.61</v>
      </c>
      <c r="Z2035">
        <f>'raw data Crude oil'!Z2036</f>
        <v>72.296000000000006</v>
      </c>
      <c r="AA2035">
        <f>'raw data Crude oil'!AA2036</f>
        <v>71.415000000000006</v>
      </c>
      <c r="AB2035">
        <f>'raw data Crude oil'!AB2036</f>
        <v>71.117000000000004</v>
      </c>
      <c r="AC2035">
        <f>'raw data Crude oil'!AC2036</f>
        <v>70.846999999999994</v>
      </c>
      <c r="AD2035">
        <f>'raw data Crude oil'!AD2036</f>
        <v>70.662999999999997</v>
      </c>
      <c r="AE2035">
        <f>'raw data Crude oil'!AE2036</f>
        <v>70.531999999999996</v>
      </c>
      <c r="AF2035">
        <f>'raw data Crude oil'!AF2036</f>
        <v>70.382999999999996</v>
      </c>
      <c r="AG2035">
        <f>'raw data Crude oil'!AG2036</f>
        <v>70.231999999999999</v>
      </c>
      <c r="AH2035">
        <f>'raw data Crude oil'!AH2036</f>
        <v>70.072999999999993</v>
      </c>
      <c r="AI2035">
        <f>'raw data Crude oil'!AI2036</f>
        <v>69.902000000000001</v>
      </c>
      <c r="AJ2035">
        <f>'raw data Crude oil'!AJ2036</f>
        <v>69.742999999999995</v>
      </c>
      <c r="AK2035">
        <f>'raw data Crude oil'!AK2036</f>
        <v>69.582999999999998</v>
      </c>
    </row>
    <row r="2036" spans="1:37" x14ac:dyDescent="0.3">
      <c r="A2036" s="18">
        <f>'raw data Crude oil'!A2037</f>
        <v>45611</v>
      </c>
      <c r="B2036">
        <f>'raw data Crude oil'!B2037</f>
        <v>71.040000000000006</v>
      </c>
      <c r="C2036">
        <f>'raw data Crude oil'!C2037</f>
        <v>70.78</v>
      </c>
      <c r="D2036">
        <f>'raw data Crude oil'!D2037</f>
        <v>70.569999999999993</v>
      </c>
      <c r="E2036">
        <f>'raw data Crude oil'!E2037</f>
        <v>70.430000000000007</v>
      </c>
      <c r="F2036">
        <f>'raw data Crude oil'!F2037</f>
        <v>70.31</v>
      </c>
      <c r="G2036">
        <f>'raw data Crude oil'!G2037</f>
        <v>70.19</v>
      </c>
      <c r="H2036">
        <f>'raw data Crude oil'!H2037</f>
        <v>70.06</v>
      </c>
      <c r="I2036">
        <f>'raw data Crude oil'!I2037</f>
        <v>69.92</v>
      </c>
      <c r="J2036">
        <f>'raw data Crude oil'!J2037</f>
        <v>69.77</v>
      </c>
      <c r="K2036">
        <f>'raw data Crude oil'!K2037</f>
        <v>69.62</v>
      </c>
      <c r="L2036">
        <f>'raw data Crude oil'!L2037</f>
        <v>69.47</v>
      </c>
      <c r="M2036">
        <f>'raw data Crude oil'!M2037</f>
        <v>69.34</v>
      </c>
      <c r="N2036">
        <f>'raw data Crude oil'!N2037</f>
        <v>67.02</v>
      </c>
      <c r="O2036">
        <f>'raw data Crude oil'!O2037</f>
        <v>66.92</v>
      </c>
      <c r="P2036">
        <f>'raw data Crude oil'!P2037</f>
        <v>66.72</v>
      </c>
      <c r="Q2036">
        <f>'raw data Crude oil'!Q2037</f>
        <v>66.55</v>
      </c>
      <c r="R2036">
        <f>'raw data Crude oil'!R2037</f>
        <v>66.430000000000007</v>
      </c>
      <c r="S2036">
        <f>'raw data Crude oil'!S2037</f>
        <v>66.33</v>
      </c>
      <c r="T2036">
        <f>'raw data Crude oil'!T2037</f>
        <v>66.209999999999994</v>
      </c>
      <c r="U2036">
        <f>'raw data Crude oil'!U2037</f>
        <v>66.06</v>
      </c>
      <c r="V2036">
        <f>'raw data Crude oil'!V2037</f>
        <v>65.89</v>
      </c>
      <c r="W2036">
        <f>'raw data Crude oil'!W2037</f>
        <v>65.72</v>
      </c>
      <c r="X2036">
        <f>'raw data Crude oil'!X2037</f>
        <v>65.540000000000006</v>
      </c>
      <c r="Y2036">
        <f>'raw data Crude oil'!Y2037</f>
        <v>65.38</v>
      </c>
      <c r="Z2036">
        <f>'raw data Crude oil'!Z2037</f>
        <v>71.563000000000002</v>
      </c>
      <c r="AA2036">
        <f>'raw data Crude oil'!AA2037</f>
        <v>69.944000000000003</v>
      </c>
      <c r="AB2036">
        <f>'raw data Crude oil'!AB2037</f>
        <v>69.694000000000003</v>
      </c>
      <c r="AC2036">
        <f>'raw data Crude oil'!AC2037</f>
        <v>69.444000000000003</v>
      </c>
      <c r="AD2036">
        <f>'raw data Crude oil'!AD2037</f>
        <v>69.293999999999997</v>
      </c>
      <c r="AE2036">
        <f>'raw data Crude oil'!AE2037</f>
        <v>69.174000000000007</v>
      </c>
      <c r="AF2036">
        <f>'raw data Crude oil'!AF2037</f>
        <v>69.043999999999997</v>
      </c>
      <c r="AG2036">
        <f>'raw data Crude oil'!AG2037</f>
        <v>68.903000000000006</v>
      </c>
      <c r="AH2036">
        <f>'raw data Crude oil'!AH2037</f>
        <v>68.753</v>
      </c>
      <c r="AI2036">
        <f>'raw data Crude oil'!AI2037</f>
        <v>68.602999999999994</v>
      </c>
      <c r="AJ2036">
        <f>'raw data Crude oil'!AJ2037</f>
        <v>68.453999999999994</v>
      </c>
      <c r="AK2036">
        <f>'raw data Crude oil'!AK2037</f>
        <v>68.322999999999993</v>
      </c>
    </row>
    <row r="2037" spans="1:37" x14ac:dyDescent="0.3">
      <c r="A2037" s="18">
        <f>'raw data Crude oil'!A2038</f>
        <v>45614</v>
      </c>
      <c r="B2037">
        <f>'raw data Crude oil'!B2038</f>
        <v>73.3</v>
      </c>
      <c r="C2037">
        <f>'raw data Crude oil'!C2038</f>
        <v>73.010000000000005</v>
      </c>
      <c r="D2037">
        <f>'raw data Crude oil'!D2038</f>
        <v>72.77</v>
      </c>
      <c r="E2037">
        <f>'raw data Crude oil'!E2038</f>
        <v>72.599999999999994</v>
      </c>
      <c r="F2037">
        <f>'raw data Crude oil'!F2038</f>
        <v>72.45</v>
      </c>
      <c r="G2037">
        <f>'raw data Crude oil'!G2038</f>
        <v>72.3</v>
      </c>
      <c r="H2037">
        <f>'raw data Crude oil'!H2038</f>
        <v>72.150000000000006</v>
      </c>
      <c r="I2037">
        <f>'raw data Crude oil'!I2038</f>
        <v>71.98</v>
      </c>
      <c r="J2037">
        <f>'raw data Crude oil'!J2038</f>
        <v>71.8</v>
      </c>
      <c r="K2037">
        <f>'raw data Crude oil'!K2038</f>
        <v>71.61</v>
      </c>
      <c r="L2037">
        <f>'raw data Crude oil'!L2038</f>
        <v>71.430000000000007</v>
      </c>
      <c r="M2037">
        <f>'raw data Crude oil'!M2038</f>
        <v>71.27</v>
      </c>
      <c r="N2037">
        <f>'raw data Crude oil'!N2038</f>
        <v>69.16</v>
      </c>
      <c r="O2037">
        <f>'raw data Crude oil'!O2038</f>
        <v>69.17</v>
      </c>
      <c r="P2037">
        <f>'raw data Crude oil'!P2038</f>
        <v>68.989999999999995</v>
      </c>
      <c r="Q2037">
        <f>'raw data Crude oil'!Q2038</f>
        <v>68.8</v>
      </c>
      <c r="R2037">
        <f>'raw data Crude oil'!R2038</f>
        <v>68.64</v>
      </c>
      <c r="S2037">
        <f>'raw data Crude oil'!S2038</f>
        <v>68.5</v>
      </c>
      <c r="T2037">
        <f>'raw data Crude oil'!T2038</f>
        <v>68.349999999999994</v>
      </c>
      <c r="U2037">
        <f>'raw data Crude oil'!U2038</f>
        <v>68.17</v>
      </c>
      <c r="V2037">
        <f>'raw data Crude oil'!V2038</f>
        <v>67.98</v>
      </c>
      <c r="W2037">
        <f>'raw data Crude oil'!W2038</f>
        <v>67.790000000000006</v>
      </c>
      <c r="X2037">
        <f>'raw data Crude oil'!X2038</f>
        <v>67.569999999999993</v>
      </c>
      <c r="Y2037">
        <f>'raw data Crude oil'!Y2038</f>
        <v>67.37</v>
      </c>
      <c r="Z2037">
        <f>'raw data Crude oil'!Z2038</f>
        <v>72.504999999999995</v>
      </c>
      <c r="AA2037">
        <f>'raw data Crude oil'!AA2038</f>
        <v>72.069000000000003</v>
      </c>
      <c r="AB2037">
        <f>'raw data Crude oil'!AB2038</f>
        <v>71.808999999999997</v>
      </c>
      <c r="AC2037">
        <f>'raw data Crude oil'!AC2038</f>
        <v>71.58</v>
      </c>
      <c r="AD2037">
        <f>'raw data Crude oil'!AD2038</f>
        <v>71.412999999999997</v>
      </c>
      <c r="AE2037">
        <f>'raw data Crude oil'!AE2038</f>
        <v>71.278000000000006</v>
      </c>
      <c r="AF2037">
        <f>'raw data Crude oil'!AF2038</f>
        <v>71.137</v>
      </c>
      <c r="AG2037">
        <f>'raw data Crude oil'!AG2038</f>
        <v>70.971000000000004</v>
      </c>
      <c r="AH2037">
        <f>'raw data Crude oil'!AH2038</f>
        <v>70.792000000000002</v>
      </c>
      <c r="AI2037">
        <f>'raw data Crude oil'!AI2038</f>
        <v>70.600999999999999</v>
      </c>
      <c r="AJ2037">
        <f>'raw data Crude oil'!AJ2038</f>
        <v>70.423000000000002</v>
      </c>
      <c r="AK2037">
        <f>'raw data Crude oil'!AK2038</f>
        <v>70.251999999999995</v>
      </c>
    </row>
    <row r="2038" spans="1:37" x14ac:dyDescent="0.3">
      <c r="A2038" s="18">
        <f>'raw data Crude oil'!A2039</f>
        <v>45615</v>
      </c>
      <c r="B2038">
        <f>'raw data Crude oil'!B2039</f>
        <v>73.31</v>
      </c>
      <c r="C2038">
        <f>'raw data Crude oil'!C2039</f>
        <v>72.989999999999995</v>
      </c>
      <c r="D2038">
        <f>'raw data Crude oil'!D2039</f>
        <v>72.760000000000005</v>
      </c>
      <c r="E2038">
        <f>'raw data Crude oil'!E2039</f>
        <v>72.59</v>
      </c>
      <c r="F2038">
        <f>'raw data Crude oil'!F2039</f>
        <v>72.459999999999994</v>
      </c>
      <c r="G2038">
        <f>'raw data Crude oil'!G2039</f>
        <v>72.33</v>
      </c>
      <c r="H2038">
        <f>'raw data Crude oil'!H2039</f>
        <v>72.2</v>
      </c>
      <c r="I2038">
        <f>'raw data Crude oil'!I2039</f>
        <v>72.040000000000006</v>
      </c>
      <c r="J2038">
        <f>'raw data Crude oil'!J2039</f>
        <v>71.87</v>
      </c>
      <c r="K2038">
        <f>'raw data Crude oil'!K2039</f>
        <v>71.7</v>
      </c>
      <c r="L2038">
        <f>'raw data Crude oil'!L2039</f>
        <v>71.540000000000006</v>
      </c>
      <c r="M2038">
        <f>'raw data Crude oil'!M2039</f>
        <v>71.39</v>
      </c>
      <c r="N2038">
        <f>'raw data Crude oil'!N2039</f>
        <v>69.39</v>
      </c>
      <c r="O2038">
        <f>'raw data Crude oil'!O2039</f>
        <v>69.239999999999995</v>
      </c>
      <c r="P2038">
        <f>'raw data Crude oil'!P2039</f>
        <v>69.02</v>
      </c>
      <c r="Q2038">
        <f>'raw data Crude oil'!Q2039</f>
        <v>68.819999999999993</v>
      </c>
      <c r="R2038">
        <f>'raw data Crude oil'!R2039</f>
        <v>68.680000000000007</v>
      </c>
      <c r="S2038">
        <f>'raw data Crude oil'!S2039</f>
        <v>68.56</v>
      </c>
      <c r="T2038">
        <f>'raw data Crude oil'!T2039</f>
        <v>68.430000000000007</v>
      </c>
      <c r="U2038">
        <f>'raw data Crude oil'!U2039</f>
        <v>68.27</v>
      </c>
      <c r="V2038">
        <f>'raw data Crude oil'!V2039</f>
        <v>68.09</v>
      </c>
      <c r="W2038">
        <f>'raw data Crude oil'!W2039</f>
        <v>67.91</v>
      </c>
      <c r="X2038">
        <f>'raw data Crude oil'!X2039</f>
        <v>67.709999999999994</v>
      </c>
      <c r="Y2038">
        <f>'raw data Crude oil'!Y2039</f>
        <v>67.53</v>
      </c>
      <c r="Z2038">
        <f>'raw data Crude oil'!Z2039</f>
        <v>72.513999999999996</v>
      </c>
      <c r="AA2038">
        <f>'raw data Crude oil'!AA2039</f>
        <v>72.117999999999995</v>
      </c>
      <c r="AB2038">
        <f>'raw data Crude oil'!AB2039</f>
        <v>71.856999999999999</v>
      </c>
      <c r="AC2038">
        <f>'raw data Crude oil'!AC2039</f>
        <v>71.608000000000004</v>
      </c>
      <c r="AD2038">
        <f>'raw data Crude oil'!AD2039</f>
        <v>71.447999999999993</v>
      </c>
      <c r="AE2038">
        <f>'raw data Crude oil'!AE2039</f>
        <v>71.323999999999998</v>
      </c>
      <c r="AF2038">
        <f>'raw data Crude oil'!AF2039</f>
        <v>71.183000000000007</v>
      </c>
      <c r="AG2038">
        <f>'raw data Crude oil'!AG2039</f>
        <v>71.022000000000006</v>
      </c>
      <c r="AH2038">
        <f>'raw data Crude oil'!AH2039</f>
        <v>70.863</v>
      </c>
      <c r="AI2038">
        <f>'raw data Crude oil'!AI2039</f>
        <v>70.691999999999993</v>
      </c>
      <c r="AJ2038">
        <f>'raw data Crude oil'!AJ2039</f>
        <v>70.533000000000001</v>
      </c>
      <c r="AK2038">
        <f>'raw data Crude oil'!AK2039</f>
        <v>70.382999999999996</v>
      </c>
    </row>
    <row r="2039" spans="1:37" x14ac:dyDescent="0.3">
      <c r="A2039" s="18">
        <f>'raw data Crude oil'!A2040</f>
        <v>45616</v>
      </c>
      <c r="B2039">
        <f>'raw data Crude oil'!B2040</f>
        <v>72.81</v>
      </c>
      <c r="C2039">
        <f>'raw data Crude oil'!C2040</f>
        <v>72.489999999999995</v>
      </c>
      <c r="D2039">
        <f>'raw data Crude oil'!D2040</f>
        <v>72.260000000000005</v>
      </c>
      <c r="E2039">
        <f>'raw data Crude oil'!E2040</f>
        <v>72.099999999999994</v>
      </c>
      <c r="F2039">
        <f>'raw data Crude oil'!F2040</f>
        <v>71.97</v>
      </c>
      <c r="G2039">
        <f>'raw data Crude oil'!G2040</f>
        <v>71.849999999999994</v>
      </c>
      <c r="H2039">
        <f>'raw data Crude oil'!H2040</f>
        <v>71.709999999999994</v>
      </c>
      <c r="I2039">
        <f>'raw data Crude oil'!I2040</f>
        <v>71.569999999999993</v>
      </c>
      <c r="J2039">
        <f>'raw data Crude oil'!J2040</f>
        <v>71.41</v>
      </c>
      <c r="K2039">
        <f>'raw data Crude oil'!K2040</f>
        <v>71.239999999999995</v>
      </c>
      <c r="L2039">
        <f>'raw data Crude oil'!L2040</f>
        <v>71.069999999999993</v>
      </c>
      <c r="M2039">
        <f>'raw data Crude oil'!M2040</f>
        <v>70.92</v>
      </c>
      <c r="N2039">
        <f>'raw data Crude oil'!N2040</f>
        <v>68.87</v>
      </c>
      <c r="O2039">
        <f>'raw data Crude oil'!O2040</f>
        <v>68.75</v>
      </c>
      <c r="P2039">
        <f>'raw data Crude oil'!P2040</f>
        <v>68.52</v>
      </c>
      <c r="Q2039">
        <f>'raw data Crude oil'!Q2040</f>
        <v>68.34</v>
      </c>
      <c r="R2039">
        <f>'raw data Crude oil'!R2040</f>
        <v>68.2</v>
      </c>
      <c r="S2039">
        <f>'raw data Crude oil'!S2040</f>
        <v>68.09</v>
      </c>
      <c r="T2039">
        <f>'raw data Crude oil'!T2040</f>
        <v>67.97</v>
      </c>
      <c r="U2039">
        <f>'raw data Crude oil'!U2040</f>
        <v>67.83</v>
      </c>
      <c r="V2039">
        <f>'raw data Crude oil'!V2040</f>
        <v>67.67</v>
      </c>
      <c r="W2039">
        <f>'raw data Crude oil'!W2040</f>
        <v>67.489999999999995</v>
      </c>
      <c r="X2039">
        <f>'raw data Crude oil'!X2040</f>
        <v>67.290000000000006</v>
      </c>
      <c r="Y2039">
        <f>'raw data Crude oil'!Y2040</f>
        <v>67.13</v>
      </c>
      <c r="Z2039">
        <f>'raw data Crude oil'!Z2040</f>
        <v>72.391000000000005</v>
      </c>
      <c r="AA2039">
        <f>'raw data Crude oil'!AA2040</f>
        <v>71.652000000000001</v>
      </c>
      <c r="AB2039">
        <f>'raw data Crude oil'!AB2040</f>
        <v>71.382999999999996</v>
      </c>
      <c r="AC2039">
        <f>'raw data Crude oil'!AC2040</f>
        <v>71.132999999999996</v>
      </c>
      <c r="AD2039">
        <f>'raw data Crude oil'!AD2040</f>
        <v>70.959000000000003</v>
      </c>
      <c r="AE2039">
        <f>'raw data Crude oil'!AE2040</f>
        <v>70.822999999999993</v>
      </c>
      <c r="AF2039">
        <f>'raw data Crude oil'!AF2040</f>
        <v>70.688000000000002</v>
      </c>
      <c r="AG2039">
        <f>'raw data Crude oil'!AG2040</f>
        <v>70.537000000000006</v>
      </c>
      <c r="AH2039">
        <f>'raw data Crude oil'!AH2040</f>
        <v>70.382999999999996</v>
      </c>
      <c r="AI2039">
        <f>'raw data Crude oil'!AI2040</f>
        <v>70.224000000000004</v>
      </c>
      <c r="AJ2039">
        <f>'raw data Crude oil'!AJ2040</f>
        <v>70.06</v>
      </c>
      <c r="AK2039">
        <f>'raw data Crude oil'!AK2040</f>
        <v>69.903000000000006</v>
      </c>
    </row>
    <row r="2040" spans="1:37" x14ac:dyDescent="0.3">
      <c r="A2040" s="18">
        <f>'raw data Crude oil'!A2041</f>
        <v>45617</v>
      </c>
      <c r="B2040">
        <f>'raw data Crude oil'!B2041</f>
        <v>74.23</v>
      </c>
      <c r="C2040">
        <f>'raw data Crude oil'!C2041</f>
        <v>73.77</v>
      </c>
      <c r="D2040">
        <f>'raw data Crude oil'!D2041</f>
        <v>73.44</v>
      </c>
      <c r="E2040">
        <f>'raw data Crude oil'!E2041</f>
        <v>73.19</v>
      </c>
      <c r="F2040">
        <f>'raw data Crude oil'!F2041</f>
        <v>73</v>
      </c>
      <c r="G2040">
        <f>'raw data Crude oil'!G2041</f>
        <v>72.819999999999993</v>
      </c>
      <c r="H2040">
        <f>'raw data Crude oil'!H2041</f>
        <v>72.63</v>
      </c>
      <c r="I2040">
        <f>'raw data Crude oil'!I2041</f>
        <v>72.430000000000007</v>
      </c>
      <c r="J2040">
        <f>'raw data Crude oil'!J2041</f>
        <v>72.22</v>
      </c>
      <c r="K2040">
        <f>'raw data Crude oil'!K2041</f>
        <v>72.010000000000005</v>
      </c>
      <c r="L2040">
        <f>'raw data Crude oil'!L2041</f>
        <v>71.81</v>
      </c>
      <c r="M2040">
        <f>'raw data Crude oil'!M2041</f>
        <v>71.63</v>
      </c>
      <c r="N2040">
        <f>'raw data Crude oil'!N2041</f>
        <v>70.099999999999994</v>
      </c>
      <c r="O2040">
        <f>'raw data Crude oil'!O2041</f>
        <v>69.77</v>
      </c>
      <c r="P2040">
        <f>'raw data Crude oil'!P2041</f>
        <v>69.47</v>
      </c>
      <c r="Q2040">
        <f>'raw data Crude oil'!Q2041</f>
        <v>69.25</v>
      </c>
      <c r="R2040">
        <f>'raw data Crude oil'!R2041</f>
        <v>69.08</v>
      </c>
      <c r="S2040">
        <f>'raw data Crude oil'!S2041</f>
        <v>68.900000000000006</v>
      </c>
      <c r="T2040">
        <f>'raw data Crude oil'!T2041</f>
        <v>68.7</v>
      </c>
      <c r="U2040">
        <f>'raw data Crude oil'!U2041</f>
        <v>68.489999999999995</v>
      </c>
      <c r="V2040">
        <f>'raw data Crude oil'!V2041</f>
        <v>68.260000000000005</v>
      </c>
      <c r="W2040">
        <f>'raw data Crude oil'!W2041</f>
        <v>68.03</v>
      </c>
      <c r="X2040">
        <f>'raw data Crude oil'!X2041</f>
        <v>67.81</v>
      </c>
      <c r="Y2040">
        <f>'raw data Crude oil'!Y2041</f>
        <v>67.61</v>
      </c>
      <c r="Z2040">
        <f>'raw data Crude oil'!Z2041</f>
        <v>72.87</v>
      </c>
      <c r="AA2040">
        <f>'raw data Crude oil'!AA2041</f>
        <v>73.088999999999999</v>
      </c>
      <c r="AB2040">
        <f>'raw data Crude oil'!AB2041</f>
        <v>72.709000000000003</v>
      </c>
      <c r="AC2040">
        <f>'raw data Crude oil'!AC2041</f>
        <v>72.320999999999998</v>
      </c>
      <c r="AD2040">
        <f>'raw data Crude oil'!AD2041</f>
        <v>72.085999999999999</v>
      </c>
      <c r="AE2040">
        <f>'raw data Crude oil'!AE2041</f>
        <v>71.893000000000001</v>
      </c>
      <c r="AF2040">
        <f>'raw data Crude oil'!AF2041</f>
        <v>71.691000000000003</v>
      </c>
      <c r="AG2040">
        <f>'raw data Crude oil'!AG2041</f>
        <v>71.48</v>
      </c>
      <c r="AH2040">
        <f>'raw data Crude oil'!AH2041</f>
        <v>71.271000000000001</v>
      </c>
      <c r="AI2040">
        <f>'raw data Crude oil'!AI2041</f>
        <v>71.06</v>
      </c>
      <c r="AJ2040">
        <f>'raw data Crude oil'!AJ2041</f>
        <v>70.861999999999995</v>
      </c>
      <c r="AK2040">
        <f>'raw data Crude oil'!AK2041</f>
        <v>70.680999999999997</v>
      </c>
    </row>
    <row r="2041" spans="1:37" x14ac:dyDescent="0.3">
      <c r="A2041" s="18">
        <f>'raw data Crude oil'!A2042</f>
        <v>45618</v>
      </c>
      <c r="B2041">
        <f>'raw data Crude oil'!B2042</f>
        <v>75.17</v>
      </c>
      <c r="C2041">
        <f>'raw data Crude oil'!C2042</f>
        <v>74.63</v>
      </c>
      <c r="D2041">
        <f>'raw data Crude oil'!D2042</f>
        <v>74.23</v>
      </c>
      <c r="E2041">
        <f>'raw data Crude oil'!E2042</f>
        <v>73.959999999999994</v>
      </c>
      <c r="F2041">
        <f>'raw data Crude oil'!F2042</f>
        <v>73.75</v>
      </c>
      <c r="G2041">
        <f>'raw data Crude oil'!G2042</f>
        <v>73.55</v>
      </c>
      <c r="H2041">
        <f>'raw data Crude oil'!H2042</f>
        <v>73.349999999999994</v>
      </c>
      <c r="I2041">
        <f>'raw data Crude oil'!I2042</f>
        <v>73.13</v>
      </c>
      <c r="J2041">
        <f>'raw data Crude oil'!J2042</f>
        <v>72.91</v>
      </c>
      <c r="K2041">
        <f>'raw data Crude oil'!K2042</f>
        <v>72.69</v>
      </c>
      <c r="L2041">
        <f>'raw data Crude oil'!L2042</f>
        <v>72.48</v>
      </c>
      <c r="M2041">
        <f>'raw data Crude oil'!M2042</f>
        <v>72.28</v>
      </c>
      <c r="N2041">
        <f>'raw data Crude oil'!N2042</f>
        <v>71.239999999999995</v>
      </c>
      <c r="O2041">
        <f>'raw data Crude oil'!O2042</f>
        <v>70.77</v>
      </c>
      <c r="P2041">
        <f>'raw data Crude oil'!P2042</f>
        <v>70.400000000000006</v>
      </c>
      <c r="Q2041">
        <f>'raw data Crude oil'!Q2042</f>
        <v>70.150000000000006</v>
      </c>
      <c r="R2041">
        <f>'raw data Crude oil'!R2042</f>
        <v>69.95</v>
      </c>
      <c r="S2041">
        <f>'raw data Crude oil'!S2042</f>
        <v>69.75</v>
      </c>
      <c r="T2041">
        <f>'raw data Crude oil'!T2042</f>
        <v>69.53</v>
      </c>
      <c r="U2041">
        <f>'raw data Crude oil'!U2042</f>
        <v>69.3</v>
      </c>
      <c r="V2041">
        <f>'raw data Crude oil'!V2042</f>
        <v>69.05</v>
      </c>
      <c r="W2041">
        <f>'raw data Crude oil'!W2042</f>
        <v>68.8</v>
      </c>
      <c r="X2041">
        <f>'raw data Crude oil'!X2042</f>
        <v>68.569999999999993</v>
      </c>
      <c r="Y2041">
        <f>'raw data Crude oil'!Y2042</f>
        <v>68.34</v>
      </c>
      <c r="Z2041">
        <f>'raw data Crude oil'!Z2042</f>
        <v>73.075999999999993</v>
      </c>
      <c r="AA2041">
        <f>'raw data Crude oil'!AA2042</f>
        <v>73.852999999999994</v>
      </c>
      <c r="AB2041">
        <f>'raw data Crude oil'!AB2042</f>
        <v>73.483000000000004</v>
      </c>
      <c r="AC2041">
        <f>'raw data Crude oil'!AC2042</f>
        <v>73.08</v>
      </c>
      <c r="AD2041">
        <f>'raw data Crude oil'!AD2042</f>
        <v>72.828000000000003</v>
      </c>
      <c r="AE2041">
        <f>'raw data Crude oil'!AE2042</f>
        <v>72.634</v>
      </c>
      <c r="AF2041">
        <f>'raw data Crude oil'!AF2042</f>
        <v>72.430000000000007</v>
      </c>
      <c r="AG2041">
        <f>'raw data Crude oil'!AG2042</f>
        <v>72.209999999999994</v>
      </c>
      <c r="AH2041">
        <f>'raw data Crude oil'!AH2042</f>
        <v>71.989999999999995</v>
      </c>
      <c r="AI2041">
        <f>'raw data Crude oil'!AI2042</f>
        <v>71.77</v>
      </c>
      <c r="AJ2041">
        <f>'raw data Crude oil'!AJ2042</f>
        <v>71.561000000000007</v>
      </c>
      <c r="AK2041">
        <f>'raw data Crude oil'!AK2042</f>
        <v>71.36</v>
      </c>
    </row>
    <row r="2042" spans="1:37" x14ac:dyDescent="0.3">
      <c r="A2042" s="18">
        <f>'raw data Crude oil'!A2043</f>
        <v>45621</v>
      </c>
      <c r="B2042">
        <f>'raw data Crude oil'!B2043</f>
        <v>73.010000000000005</v>
      </c>
      <c r="C2042">
        <f>'raw data Crude oil'!C2043</f>
        <v>72.48</v>
      </c>
      <c r="D2042">
        <f>'raw data Crude oil'!D2043</f>
        <v>72.14</v>
      </c>
      <c r="E2042">
        <f>'raw data Crude oil'!E2043</f>
        <v>71.92</v>
      </c>
      <c r="F2042">
        <f>'raw data Crude oil'!F2043</f>
        <v>71.760000000000005</v>
      </c>
      <c r="G2042">
        <f>'raw data Crude oil'!G2043</f>
        <v>71.599999999999994</v>
      </c>
      <c r="H2042">
        <f>'raw data Crude oil'!H2043</f>
        <v>71.44</v>
      </c>
      <c r="I2042">
        <f>'raw data Crude oil'!I2043</f>
        <v>71.260000000000005</v>
      </c>
      <c r="J2042">
        <f>'raw data Crude oil'!J2043</f>
        <v>71.069999999999993</v>
      </c>
      <c r="K2042">
        <f>'raw data Crude oil'!K2043</f>
        <v>70.88</v>
      </c>
      <c r="L2042">
        <f>'raw data Crude oil'!L2043</f>
        <v>70.7</v>
      </c>
      <c r="M2042">
        <f>'raw data Crude oil'!M2043</f>
        <v>70.540000000000006</v>
      </c>
      <c r="N2042">
        <f>'raw data Crude oil'!N2043</f>
        <v>68.94</v>
      </c>
      <c r="O2042">
        <f>'raw data Crude oil'!O2043</f>
        <v>68.58</v>
      </c>
      <c r="P2042">
        <f>'raw data Crude oil'!P2043</f>
        <v>68.31</v>
      </c>
      <c r="Q2042">
        <f>'raw data Crude oil'!Q2043</f>
        <v>68.13</v>
      </c>
      <c r="R2042">
        <f>'raw data Crude oil'!R2043</f>
        <v>67.989999999999995</v>
      </c>
      <c r="S2042">
        <f>'raw data Crude oil'!S2043</f>
        <v>67.83</v>
      </c>
      <c r="T2042">
        <f>'raw data Crude oil'!T2043</f>
        <v>67.650000000000006</v>
      </c>
      <c r="U2042">
        <f>'raw data Crude oil'!U2043</f>
        <v>67.45</v>
      </c>
      <c r="V2042">
        <f>'raw data Crude oil'!V2043</f>
        <v>67.239999999999995</v>
      </c>
      <c r="W2042">
        <f>'raw data Crude oil'!W2043</f>
        <v>67.02</v>
      </c>
      <c r="X2042">
        <f>'raw data Crude oil'!X2043</f>
        <v>66.819999999999993</v>
      </c>
      <c r="Y2042">
        <f>'raw data Crude oil'!Y2043</f>
        <v>66.62</v>
      </c>
      <c r="Z2042">
        <f>'raw data Crude oil'!Z2043</f>
        <v>72.644000000000005</v>
      </c>
      <c r="AA2042">
        <f>'raw data Crude oil'!AA2043</f>
        <v>71.825000000000003</v>
      </c>
      <c r="AB2042">
        <f>'raw data Crude oil'!AB2043</f>
        <v>71.463999999999999</v>
      </c>
      <c r="AC2042">
        <f>'raw data Crude oil'!AC2043</f>
        <v>71.061999999999998</v>
      </c>
      <c r="AD2042">
        <f>'raw data Crude oil'!AD2043</f>
        <v>70.831999999999994</v>
      </c>
      <c r="AE2042">
        <f>'raw data Crude oil'!AE2043</f>
        <v>70.652000000000001</v>
      </c>
      <c r="AF2042">
        <f>'raw data Crude oil'!AF2043</f>
        <v>70.481999999999999</v>
      </c>
      <c r="AG2042">
        <f>'raw data Crude oil'!AG2043</f>
        <v>70.290999999999997</v>
      </c>
      <c r="AH2042">
        <f>'raw data Crude oil'!AH2043</f>
        <v>70.091999999999999</v>
      </c>
      <c r="AI2042">
        <f>'raw data Crude oil'!AI2043</f>
        <v>69.900999999999996</v>
      </c>
      <c r="AJ2042">
        <f>'raw data Crude oil'!AJ2043</f>
        <v>69.722999999999999</v>
      </c>
      <c r="AK2042">
        <f>'raw data Crude oil'!AK2043</f>
        <v>69.552000000000007</v>
      </c>
    </row>
    <row r="2043" spans="1:37" x14ac:dyDescent="0.3">
      <c r="A2043" s="18">
        <f>'raw data Crude oil'!A2044</f>
        <v>45622</v>
      </c>
      <c r="B2043">
        <f>'raw data Crude oil'!B2044</f>
        <v>72.81</v>
      </c>
      <c r="C2043">
        <f>'raw data Crude oil'!C2044</f>
        <v>72.319999999999993</v>
      </c>
      <c r="D2043">
        <f>'raw data Crude oil'!D2044</f>
        <v>72.010000000000005</v>
      </c>
      <c r="E2043">
        <f>'raw data Crude oil'!E2044</f>
        <v>71.790000000000006</v>
      </c>
      <c r="F2043">
        <f>'raw data Crude oil'!F2044</f>
        <v>71.63</v>
      </c>
      <c r="G2043">
        <f>'raw data Crude oil'!G2044</f>
        <v>71.48</v>
      </c>
      <c r="H2043">
        <f>'raw data Crude oil'!H2044</f>
        <v>71.33</v>
      </c>
      <c r="I2043">
        <f>'raw data Crude oil'!I2044</f>
        <v>71.16</v>
      </c>
      <c r="J2043">
        <f>'raw data Crude oil'!J2044</f>
        <v>70.98</v>
      </c>
      <c r="K2043">
        <f>'raw data Crude oil'!K2044</f>
        <v>70.81</v>
      </c>
      <c r="L2043">
        <f>'raw data Crude oil'!L2044</f>
        <v>70.650000000000006</v>
      </c>
      <c r="M2043">
        <f>'raw data Crude oil'!M2044</f>
        <v>70.52</v>
      </c>
      <c r="N2043">
        <f>'raw data Crude oil'!N2044</f>
        <v>68.77</v>
      </c>
      <c r="O2043">
        <f>'raw data Crude oil'!O2044</f>
        <v>68.44</v>
      </c>
      <c r="P2043">
        <f>'raw data Crude oil'!P2044</f>
        <v>68.2</v>
      </c>
      <c r="Q2043">
        <f>'raw data Crude oil'!Q2044</f>
        <v>68.03</v>
      </c>
      <c r="R2043">
        <f>'raw data Crude oil'!R2044</f>
        <v>67.900000000000006</v>
      </c>
      <c r="S2043">
        <f>'raw data Crude oil'!S2044</f>
        <v>67.75</v>
      </c>
      <c r="T2043">
        <f>'raw data Crude oil'!T2044</f>
        <v>67.58</v>
      </c>
      <c r="U2043">
        <f>'raw data Crude oil'!U2044</f>
        <v>67.400000000000006</v>
      </c>
      <c r="V2043">
        <f>'raw data Crude oil'!V2044</f>
        <v>67.19</v>
      </c>
      <c r="W2043">
        <f>'raw data Crude oil'!W2044</f>
        <v>66.989999999999995</v>
      </c>
      <c r="X2043">
        <f>'raw data Crude oil'!X2044</f>
        <v>66.8</v>
      </c>
      <c r="Y2043">
        <f>'raw data Crude oil'!Y2044</f>
        <v>66.64</v>
      </c>
      <c r="Z2043">
        <f>'raw data Crude oil'!Z2044</f>
        <v>72.626000000000005</v>
      </c>
      <c r="AA2043">
        <f>'raw data Crude oil'!AA2044</f>
        <v>71.718000000000004</v>
      </c>
      <c r="AB2043">
        <f>'raw data Crude oil'!AB2044</f>
        <v>71.347999999999999</v>
      </c>
      <c r="AC2043">
        <f>'raw data Crude oil'!AC2044</f>
        <v>70.944999999999993</v>
      </c>
      <c r="AD2043">
        <f>'raw data Crude oil'!AD2044</f>
        <v>70.724999999999994</v>
      </c>
      <c r="AE2043">
        <f>'raw data Crude oil'!AE2044</f>
        <v>70.575000000000003</v>
      </c>
      <c r="AF2043">
        <f>'raw data Crude oil'!AF2044</f>
        <v>70.424999999999997</v>
      </c>
      <c r="AG2043">
        <f>'raw data Crude oil'!AG2044</f>
        <v>70.245000000000005</v>
      </c>
      <c r="AH2043">
        <f>'raw data Crude oil'!AH2044</f>
        <v>70.063000000000002</v>
      </c>
      <c r="AI2043">
        <f>'raw data Crude oil'!AI2044</f>
        <v>69.891999999999996</v>
      </c>
      <c r="AJ2043">
        <f>'raw data Crude oil'!AJ2044</f>
        <v>69.733999999999995</v>
      </c>
      <c r="AK2043">
        <f>'raw data Crude oil'!AK2044</f>
        <v>69.593000000000004</v>
      </c>
    </row>
    <row r="2044" spans="1:37" x14ac:dyDescent="0.3">
      <c r="A2044" s="18">
        <f>'raw data Crude oil'!A2045</f>
        <v>45623</v>
      </c>
      <c r="B2044">
        <f>'raw data Crude oil'!B2045</f>
        <v>72.83</v>
      </c>
      <c r="C2044">
        <f>'raw data Crude oil'!C2045</f>
        <v>72.3</v>
      </c>
      <c r="D2044">
        <f>'raw data Crude oil'!D2045</f>
        <v>71.930000000000007</v>
      </c>
      <c r="E2044">
        <f>'raw data Crude oil'!E2045</f>
        <v>71.67</v>
      </c>
      <c r="F2044">
        <f>'raw data Crude oil'!F2045</f>
        <v>71.48</v>
      </c>
      <c r="G2044">
        <f>'raw data Crude oil'!G2045</f>
        <v>71.31</v>
      </c>
      <c r="H2044">
        <f>'raw data Crude oil'!H2045</f>
        <v>71.14</v>
      </c>
      <c r="I2044">
        <f>'raw data Crude oil'!I2045</f>
        <v>70.959999999999994</v>
      </c>
      <c r="J2044">
        <f>'raw data Crude oil'!J2045</f>
        <v>70.77</v>
      </c>
      <c r="K2044">
        <f>'raw data Crude oil'!K2045</f>
        <v>70.59</v>
      </c>
      <c r="L2044">
        <f>'raw data Crude oil'!L2045</f>
        <v>70.44</v>
      </c>
      <c r="M2044">
        <f>'raw data Crude oil'!M2045</f>
        <v>70.3</v>
      </c>
      <c r="N2044">
        <f>'raw data Crude oil'!N2045</f>
        <v>68.72</v>
      </c>
      <c r="O2044">
        <f>'raw data Crude oil'!O2045</f>
        <v>68.349999999999994</v>
      </c>
      <c r="P2044">
        <f>'raw data Crude oil'!P2045</f>
        <v>68.069999999999993</v>
      </c>
      <c r="Q2044">
        <f>'raw data Crude oil'!Q2045</f>
        <v>67.87</v>
      </c>
      <c r="R2044">
        <f>'raw data Crude oil'!R2045</f>
        <v>67.709999999999994</v>
      </c>
      <c r="S2044">
        <f>'raw data Crude oil'!S2045</f>
        <v>67.540000000000006</v>
      </c>
      <c r="T2044">
        <f>'raw data Crude oil'!T2045</f>
        <v>67.349999999999994</v>
      </c>
      <c r="U2044">
        <f>'raw data Crude oil'!U2045</f>
        <v>67.16</v>
      </c>
      <c r="V2044">
        <f>'raw data Crude oil'!V2045</f>
        <v>66.959999999999994</v>
      </c>
      <c r="W2044">
        <f>'raw data Crude oil'!W2045</f>
        <v>66.760000000000005</v>
      </c>
      <c r="X2044">
        <f>'raw data Crude oil'!X2045</f>
        <v>66.569999999999993</v>
      </c>
      <c r="Y2044">
        <f>'raw data Crude oil'!Y2045</f>
        <v>66.41</v>
      </c>
      <c r="Z2044">
        <f>'raw data Crude oil'!Z2045</f>
        <v>72.616</v>
      </c>
      <c r="AA2044">
        <f>'raw data Crude oil'!AA2045</f>
        <v>71.734999999999999</v>
      </c>
      <c r="AB2044">
        <f>'raw data Crude oil'!AB2045</f>
        <v>71.317999999999998</v>
      </c>
      <c r="AC2044">
        <f>'raw data Crude oil'!AC2045</f>
        <v>70.911000000000001</v>
      </c>
      <c r="AD2044">
        <f>'raw data Crude oil'!AD2045</f>
        <v>70.664000000000001</v>
      </c>
      <c r="AE2044">
        <f>'raw data Crude oil'!AE2045</f>
        <v>70.474000000000004</v>
      </c>
      <c r="AF2044">
        <f>'raw data Crude oil'!AF2045</f>
        <v>70.281000000000006</v>
      </c>
      <c r="AG2044">
        <f>'raw data Crude oil'!AG2045</f>
        <v>70.081000000000003</v>
      </c>
      <c r="AH2044">
        <f>'raw data Crude oil'!AH2045</f>
        <v>69.882000000000005</v>
      </c>
      <c r="AI2044">
        <f>'raw data Crude oil'!AI2045</f>
        <v>69.692999999999998</v>
      </c>
      <c r="AJ2044">
        <f>'raw data Crude oil'!AJ2045</f>
        <v>69.524000000000001</v>
      </c>
      <c r="AK2044">
        <f>'raw data Crude oil'!AK2045</f>
        <v>69.373000000000005</v>
      </c>
    </row>
    <row r="2045" spans="1:37" x14ac:dyDescent="0.3">
      <c r="A2045" s="18">
        <f>'raw data Crude oil'!A2046</f>
        <v>45624</v>
      </c>
      <c r="B2045">
        <f>'raw data Crude oil'!B2046</f>
        <v>73.28</v>
      </c>
      <c r="C2045">
        <f>'raw data Crude oil'!C2046</f>
        <v>72.78</v>
      </c>
      <c r="D2045">
        <f>'raw data Crude oil'!D2046</f>
        <v>72.41</v>
      </c>
      <c r="E2045">
        <f>'raw data Crude oil'!E2046</f>
        <v>72.150000000000006</v>
      </c>
      <c r="F2045">
        <f>'raw data Crude oil'!F2046</f>
        <v>71.959999999999994</v>
      </c>
      <c r="G2045">
        <f>'raw data Crude oil'!G2046</f>
        <v>71.8</v>
      </c>
      <c r="H2045">
        <f>'raw data Crude oil'!H2046</f>
        <v>71.63</v>
      </c>
      <c r="I2045">
        <f>'raw data Crude oil'!I2046</f>
        <v>71.45</v>
      </c>
      <c r="J2045">
        <f>'raw data Crude oil'!J2046</f>
        <v>71.260000000000005</v>
      </c>
      <c r="K2045">
        <f>'raw data Crude oil'!K2046</f>
        <v>71.069999999999993</v>
      </c>
      <c r="L2045">
        <f>'raw data Crude oil'!L2046</f>
        <v>70.900000000000006</v>
      </c>
      <c r="M2045">
        <f>'raw data Crude oil'!M2046</f>
        <v>70.760000000000005</v>
      </c>
      <c r="N2045">
        <f>'raw data Crude oil'!N2046</f>
        <v>68.72</v>
      </c>
      <c r="O2045">
        <f>'raw data Crude oil'!O2046</f>
        <v>68.349999999999994</v>
      </c>
      <c r="P2045">
        <f>'raw data Crude oil'!P2046</f>
        <v>68.069999999999993</v>
      </c>
      <c r="Q2045">
        <f>'raw data Crude oil'!Q2046</f>
        <v>67.87</v>
      </c>
      <c r="R2045">
        <f>'raw data Crude oil'!R2046</f>
        <v>67.709999999999994</v>
      </c>
      <c r="S2045">
        <f>'raw data Crude oil'!S2046</f>
        <v>67.540000000000006</v>
      </c>
      <c r="T2045">
        <f>'raw data Crude oil'!T2046</f>
        <v>67.349999999999994</v>
      </c>
      <c r="U2045">
        <f>'raw data Crude oil'!U2046</f>
        <v>67.16</v>
      </c>
      <c r="V2045">
        <f>'raw data Crude oil'!V2046</f>
        <v>66.959999999999994</v>
      </c>
      <c r="W2045">
        <f>'raw data Crude oil'!W2046</f>
        <v>66.760000000000005</v>
      </c>
      <c r="X2045">
        <f>'raw data Crude oil'!X2046</f>
        <v>66.569999999999993</v>
      </c>
      <c r="Y2045">
        <f>'raw data Crude oil'!Y2046</f>
        <v>66.41</v>
      </c>
      <c r="Z2045">
        <f>'raw data Crude oil'!Z2046</f>
        <v>72.631</v>
      </c>
      <c r="AA2045">
        <f>'raw data Crude oil'!AA2046</f>
        <v>72.284999999999997</v>
      </c>
      <c r="AB2045">
        <f>'raw data Crude oil'!AB2046</f>
        <v>71.852999999999994</v>
      </c>
      <c r="AC2045">
        <f>'raw data Crude oil'!AC2046</f>
        <v>71.421000000000006</v>
      </c>
      <c r="AD2045">
        <f>'raw data Crude oil'!AD2046</f>
        <v>71.162000000000006</v>
      </c>
      <c r="AE2045">
        <f>'raw data Crude oil'!AE2046</f>
        <v>70.962000000000003</v>
      </c>
      <c r="AF2045">
        <f>'raw data Crude oil'!AF2046</f>
        <v>70.772000000000006</v>
      </c>
      <c r="AG2045">
        <f>'raw data Crude oil'!AG2046</f>
        <v>70.570999999999998</v>
      </c>
      <c r="AH2045">
        <f>'raw data Crude oil'!AH2046</f>
        <v>70.367000000000004</v>
      </c>
      <c r="AI2045">
        <f>'raw data Crude oil'!AI2046</f>
        <v>70.162999999999997</v>
      </c>
      <c r="AJ2045">
        <f>'raw data Crude oil'!AJ2046</f>
        <v>69.978999999999999</v>
      </c>
      <c r="AK2045">
        <f>'raw data Crude oil'!AK2046</f>
        <v>69.828000000000003</v>
      </c>
    </row>
    <row r="2046" spans="1:37" x14ac:dyDescent="0.3">
      <c r="A2046" s="18">
        <f>'raw data Crude oil'!A2047</f>
        <v>45625</v>
      </c>
      <c r="B2046">
        <f>'raw data Crude oil'!B2047</f>
        <v>72.94</v>
      </c>
      <c r="C2046">
        <f>'raw data Crude oil'!C2047</f>
        <v>71.84</v>
      </c>
      <c r="D2046">
        <f>'raw data Crude oil'!D2047</f>
        <v>71.5</v>
      </c>
      <c r="E2046">
        <f>'raw data Crude oil'!E2047</f>
        <v>71.260000000000005</v>
      </c>
      <c r="F2046">
        <f>'raw data Crude oil'!F2047</f>
        <v>71.08</v>
      </c>
      <c r="G2046">
        <f>'raw data Crude oil'!G2047</f>
        <v>70.930000000000007</v>
      </c>
      <c r="H2046">
        <f>'raw data Crude oil'!H2047</f>
        <v>70.77</v>
      </c>
      <c r="I2046">
        <f>'raw data Crude oil'!I2047</f>
        <v>70.599999999999994</v>
      </c>
      <c r="J2046">
        <f>'raw data Crude oil'!J2047</f>
        <v>70.42</v>
      </c>
      <c r="K2046">
        <f>'raw data Crude oil'!K2047</f>
        <v>70.25</v>
      </c>
      <c r="L2046">
        <f>'raw data Crude oil'!L2047</f>
        <v>70.09</v>
      </c>
      <c r="M2046">
        <f>'raw data Crude oil'!M2047</f>
        <v>69.95</v>
      </c>
      <c r="N2046">
        <f>'raw data Crude oil'!N2047</f>
        <v>68</v>
      </c>
      <c r="O2046">
        <f>'raw data Crude oil'!O2047</f>
        <v>67.72</v>
      </c>
      <c r="P2046">
        <f>'raw data Crude oil'!P2047</f>
        <v>67.48</v>
      </c>
      <c r="Q2046">
        <f>'raw data Crude oil'!Q2047</f>
        <v>67.31</v>
      </c>
      <c r="R2046">
        <f>'raw data Crude oil'!R2047</f>
        <v>67.17</v>
      </c>
      <c r="S2046">
        <f>'raw data Crude oil'!S2047</f>
        <v>67.03</v>
      </c>
      <c r="T2046">
        <f>'raw data Crude oil'!T2047</f>
        <v>66.87</v>
      </c>
      <c r="U2046">
        <f>'raw data Crude oil'!U2047</f>
        <v>66.7</v>
      </c>
      <c r="V2046">
        <f>'raw data Crude oil'!V2047</f>
        <v>66.5</v>
      </c>
      <c r="W2046">
        <f>'raw data Crude oil'!W2047</f>
        <v>66.3</v>
      </c>
      <c r="X2046">
        <f>'raw data Crude oil'!X2047</f>
        <v>66.12</v>
      </c>
      <c r="Y2046">
        <f>'raw data Crude oil'!Y2047</f>
        <v>65.95</v>
      </c>
      <c r="Z2046">
        <f>'raw data Crude oil'!Z2047</f>
        <v>72.585999999999999</v>
      </c>
      <c r="AA2046">
        <f>'raw data Crude oil'!AA2047</f>
        <v>71.322000000000003</v>
      </c>
      <c r="AB2046">
        <f>'raw data Crude oil'!AB2047</f>
        <v>70.942999999999998</v>
      </c>
      <c r="AC2046">
        <f>'raw data Crude oil'!AC2047</f>
        <v>70.524000000000001</v>
      </c>
      <c r="AD2046">
        <f>'raw data Crude oil'!AD2047</f>
        <v>70.283000000000001</v>
      </c>
      <c r="AE2046">
        <f>'raw data Crude oil'!AE2047</f>
        <v>70.102000000000004</v>
      </c>
      <c r="AF2046">
        <f>'raw data Crude oil'!AF2047</f>
        <v>69.921999999999997</v>
      </c>
      <c r="AG2046">
        <f>'raw data Crude oil'!AG2047</f>
        <v>69.721999999999994</v>
      </c>
      <c r="AH2046">
        <f>'raw data Crude oil'!AH2047</f>
        <v>69.522000000000006</v>
      </c>
      <c r="AI2046">
        <f>'raw data Crude oil'!AI2047</f>
        <v>69.331999999999994</v>
      </c>
      <c r="AJ2046">
        <f>'raw data Crude oil'!AJ2047</f>
        <v>69.17</v>
      </c>
      <c r="AK2046">
        <f>'raw data Crude oil'!AK2047</f>
        <v>69.018000000000001</v>
      </c>
    </row>
    <row r="2047" spans="1:37" x14ac:dyDescent="0.3">
      <c r="A2047" s="18">
        <f>'raw data Crude oil'!A2048</f>
        <v>45628</v>
      </c>
      <c r="B2047">
        <f>'raw data Crude oil'!B2048</f>
        <v>71.83</v>
      </c>
      <c r="C2047">
        <f>'raw data Crude oil'!C2048</f>
        <v>71.540000000000006</v>
      </c>
      <c r="D2047">
        <f>'raw data Crude oil'!D2048</f>
        <v>71.31</v>
      </c>
      <c r="E2047">
        <f>'raw data Crude oil'!E2048</f>
        <v>71.14</v>
      </c>
      <c r="F2047">
        <f>'raw data Crude oil'!F2048</f>
        <v>70.989999999999995</v>
      </c>
      <c r="G2047">
        <f>'raw data Crude oil'!G2048</f>
        <v>70.84</v>
      </c>
      <c r="H2047">
        <f>'raw data Crude oil'!H2048</f>
        <v>70.67</v>
      </c>
      <c r="I2047">
        <f>'raw data Crude oil'!I2048</f>
        <v>70.5</v>
      </c>
      <c r="J2047">
        <f>'raw data Crude oil'!J2048</f>
        <v>70.33</v>
      </c>
      <c r="K2047">
        <f>'raw data Crude oil'!K2048</f>
        <v>70.17</v>
      </c>
      <c r="L2047">
        <f>'raw data Crude oil'!L2048</f>
        <v>70.03</v>
      </c>
      <c r="M2047">
        <f>'raw data Crude oil'!M2048</f>
        <v>69.86</v>
      </c>
      <c r="N2047">
        <f>'raw data Crude oil'!N2048</f>
        <v>68.099999999999994</v>
      </c>
      <c r="O2047">
        <f>'raw data Crude oil'!O2048</f>
        <v>67.84</v>
      </c>
      <c r="P2047">
        <f>'raw data Crude oil'!P2048</f>
        <v>67.599999999999994</v>
      </c>
      <c r="Q2047">
        <f>'raw data Crude oil'!Q2048</f>
        <v>67.430000000000007</v>
      </c>
      <c r="R2047">
        <f>'raw data Crude oil'!R2048</f>
        <v>67.28</v>
      </c>
      <c r="S2047">
        <f>'raw data Crude oil'!S2048</f>
        <v>67.13</v>
      </c>
      <c r="T2047">
        <f>'raw data Crude oil'!T2048</f>
        <v>66.959999999999994</v>
      </c>
      <c r="U2047">
        <f>'raw data Crude oil'!U2048</f>
        <v>66.78</v>
      </c>
      <c r="V2047">
        <f>'raw data Crude oil'!V2048</f>
        <v>66.59</v>
      </c>
      <c r="W2047">
        <f>'raw data Crude oil'!W2048</f>
        <v>66.39</v>
      </c>
      <c r="X2047">
        <f>'raw data Crude oil'!X2048</f>
        <v>66.209999999999994</v>
      </c>
      <c r="Y2047">
        <f>'raw data Crude oil'!Y2048</f>
        <v>66.040000000000006</v>
      </c>
      <c r="Z2047">
        <f>'raw data Crude oil'!Z2048</f>
        <v>72.617999999999995</v>
      </c>
      <c r="AA2047">
        <f>'raw data Crude oil'!AA2048</f>
        <v>71.394999999999996</v>
      </c>
      <c r="AB2047">
        <f>'raw data Crude oil'!AB2048</f>
        <v>70.98</v>
      </c>
      <c r="AC2047">
        <f>'raw data Crude oil'!AC2048</f>
        <v>70.546999999999997</v>
      </c>
      <c r="AD2047">
        <f>'raw data Crude oil'!AD2048</f>
        <v>70.313000000000002</v>
      </c>
      <c r="AE2047">
        <f>'raw data Crude oil'!AE2048</f>
        <v>70.132999999999996</v>
      </c>
      <c r="AF2047">
        <f>'raw data Crude oil'!AF2048</f>
        <v>69.956000000000003</v>
      </c>
      <c r="AG2047">
        <f>'raw data Crude oil'!AG2048</f>
        <v>69.768000000000001</v>
      </c>
      <c r="AH2047">
        <f>'raw data Crude oil'!AH2048</f>
        <v>69.582999999999998</v>
      </c>
      <c r="AI2047">
        <f>'raw data Crude oil'!AI2048</f>
        <v>69.391999999999996</v>
      </c>
      <c r="AJ2047">
        <f>'raw data Crude oil'!AJ2048</f>
        <v>69.224000000000004</v>
      </c>
      <c r="AK2047">
        <f>'raw data Crude oil'!AK2048</f>
        <v>69.072999999999993</v>
      </c>
    </row>
    <row r="2048" spans="1:37" x14ac:dyDescent="0.3">
      <c r="A2048" s="18">
        <f>'raw data Crude oil'!A2049</f>
        <v>45629</v>
      </c>
      <c r="B2048">
        <f>'raw data Crude oil'!B2049</f>
        <v>73.62</v>
      </c>
      <c r="C2048">
        <f>'raw data Crude oil'!C2049</f>
        <v>73.2</v>
      </c>
      <c r="D2048">
        <f>'raw data Crude oil'!D2049</f>
        <v>72.91</v>
      </c>
      <c r="E2048">
        <f>'raw data Crude oil'!E2049</f>
        <v>72.680000000000007</v>
      </c>
      <c r="F2048">
        <f>'raw data Crude oil'!F2049</f>
        <v>72.489999999999995</v>
      </c>
      <c r="G2048">
        <f>'raw data Crude oil'!G2049</f>
        <v>72.31</v>
      </c>
      <c r="H2048">
        <f>'raw data Crude oil'!H2049</f>
        <v>72.099999999999994</v>
      </c>
      <c r="I2048">
        <f>'raw data Crude oil'!I2049</f>
        <v>71.91</v>
      </c>
      <c r="J2048">
        <f>'raw data Crude oil'!J2049</f>
        <v>71.709999999999994</v>
      </c>
      <c r="K2048">
        <f>'raw data Crude oil'!K2049</f>
        <v>71.53</v>
      </c>
      <c r="L2048">
        <f>'raw data Crude oil'!L2049</f>
        <v>71.37</v>
      </c>
      <c r="M2048">
        <f>'raw data Crude oil'!M2049</f>
        <v>71.180000000000007</v>
      </c>
      <c r="N2048">
        <f>'raw data Crude oil'!N2049</f>
        <v>69.94</v>
      </c>
      <c r="O2048">
        <f>'raw data Crude oil'!O2049</f>
        <v>69.540000000000006</v>
      </c>
      <c r="P2048">
        <f>'raw data Crude oil'!P2049</f>
        <v>69.239999999999995</v>
      </c>
      <c r="Q2048">
        <f>'raw data Crude oil'!Q2049</f>
        <v>69</v>
      </c>
      <c r="R2048">
        <f>'raw data Crude oil'!R2049</f>
        <v>68.819999999999993</v>
      </c>
      <c r="S2048">
        <f>'raw data Crude oil'!S2049</f>
        <v>68.64</v>
      </c>
      <c r="T2048">
        <f>'raw data Crude oil'!T2049</f>
        <v>68.44</v>
      </c>
      <c r="U2048">
        <f>'raw data Crude oil'!U2049</f>
        <v>68.22</v>
      </c>
      <c r="V2048">
        <f>'raw data Crude oil'!V2049</f>
        <v>67.989999999999995</v>
      </c>
      <c r="W2048">
        <f>'raw data Crude oil'!W2049</f>
        <v>67.760000000000005</v>
      </c>
      <c r="X2048">
        <f>'raw data Crude oil'!X2049</f>
        <v>67.56</v>
      </c>
      <c r="Y2048">
        <f>'raw data Crude oil'!Y2049</f>
        <v>67.37</v>
      </c>
      <c r="Z2048">
        <f>'raw data Crude oil'!Z2049</f>
        <v>73.028000000000006</v>
      </c>
      <c r="AA2048">
        <f>'raw data Crude oil'!AA2049</f>
        <v>72.727000000000004</v>
      </c>
      <c r="AB2048">
        <f>'raw data Crude oil'!AB2049</f>
        <v>72.269000000000005</v>
      </c>
      <c r="AC2048">
        <f>'raw data Crude oil'!AC2049</f>
        <v>71.980999999999995</v>
      </c>
      <c r="AD2048">
        <f>'raw data Crude oil'!AD2049</f>
        <v>71.756</v>
      </c>
      <c r="AE2048">
        <f>'raw data Crude oil'!AE2049</f>
        <v>71.55</v>
      </c>
      <c r="AF2048">
        <f>'raw data Crude oil'!AF2049</f>
        <v>71.325999999999993</v>
      </c>
      <c r="AG2048">
        <f>'raw data Crude oil'!AG2049</f>
        <v>71.105999999999995</v>
      </c>
      <c r="AH2048">
        <f>'raw data Crude oil'!AH2049</f>
        <v>70.896000000000001</v>
      </c>
      <c r="AI2048">
        <f>'raw data Crude oil'!AI2049</f>
        <v>70.692999999999998</v>
      </c>
      <c r="AJ2048">
        <f>'raw data Crude oil'!AJ2049</f>
        <v>70.512</v>
      </c>
      <c r="AK2048">
        <f>'raw data Crude oil'!AK2049</f>
        <v>70.320999999999998</v>
      </c>
    </row>
    <row r="2049" spans="1:37" x14ac:dyDescent="0.3">
      <c r="A2049" s="18">
        <f>'raw data Crude oil'!A2050</f>
        <v>45630</v>
      </c>
      <c r="B2049">
        <f>'raw data Crude oil'!B2050</f>
        <v>72.31</v>
      </c>
      <c r="C2049">
        <f>'raw data Crude oil'!C2050</f>
        <v>71.930000000000007</v>
      </c>
      <c r="D2049">
        <f>'raw data Crude oil'!D2050</f>
        <v>71.66</v>
      </c>
      <c r="E2049">
        <f>'raw data Crude oil'!E2050</f>
        <v>71.459999999999994</v>
      </c>
      <c r="F2049">
        <f>'raw data Crude oil'!F2050</f>
        <v>71.28</v>
      </c>
      <c r="G2049">
        <f>'raw data Crude oil'!G2050</f>
        <v>71.11</v>
      </c>
      <c r="H2049">
        <f>'raw data Crude oil'!H2050</f>
        <v>70.92</v>
      </c>
      <c r="I2049">
        <f>'raw data Crude oil'!I2050</f>
        <v>70.73</v>
      </c>
      <c r="J2049">
        <f>'raw data Crude oil'!J2050</f>
        <v>70.540000000000006</v>
      </c>
      <c r="K2049">
        <f>'raw data Crude oil'!K2050</f>
        <v>70.38</v>
      </c>
      <c r="L2049">
        <f>'raw data Crude oil'!L2050</f>
        <v>70.23</v>
      </c>
      <c r="M2049">
        <f>'raw data Crude oil'!M2050</f>
        <v>70.06</v>
      </c>
      <c r="N2049">
        <f>'raw data Crude oil'!N2050</f>
        <v>68.540000000000006</v>
      </c>
      <c r="O2049">
        <f>'raw data Crude oil'!O2050</f>
        <v>68.19</v>
      </c>
      <c r="P2049">
        <f>'raw data Crude oil'!P2050</f>
        <v>67.95</v>
      </c>
      <c r="Q2049">
        <f>'raw data Crude oil'!Q2050</f>
        <v>67.739999999999995</v>
      </c>
      <c r="R2049">
        <f>'raw data Crude oil'!R2050</f>
        <v>67.569999999999993</v>
      </c>
      <c r="S2049">
        <f>'raw data Crude oil'!S2050</f>
        <v>67.400000000000006</v>
      </c>
      <c r="T2049">
        <f>'raw data Crude oil'!T2050</f>
        <v>67.209999999999994</v>
      </c>
      <c r="U2049">
        <f>'raw data Crude oil'!U2050</f>
        <v>67</v>
      </c>
      <c r="V2049">
        <f>'raw data Crude oil'!V2050</f>
        <v>66.790000000000006</v>
      </c>
      <c r="W2049">
        <f>'raw data Crude oil'!W2050</f>
        <v>66.58</v>
      </c>
      <c r="X2049">
        <f>'raw data Crude oil'!X2050</f>
        <v>66.37</v>
      </c>
      <c r="Y2049">
        <f>'raw data Crude oil'!Y2050</f>
        <v>66.19</v>
      </c>
      <c r="Z2049">
        <f>'raw data Crude oil'!Z2050</f>
        <v>72.037999999999997</v>
      </c>
      <c r="AA2049">
        <f>'raw data Crude oil'!AA2050</f>
        <v>71.546999999999997</v>
      </c>
      <c r="AB2049">
        <f>'raw data Crude oil'!AB2050</f>
        <v>71.090999999999994</v>
      </c>
      <c r="AC2049">
        <f>'raw data Crude oil'!AC2050</f>
        <v>70.811000000000007</v>
      </c>
      <c r="AD2049">
        <f>'raw data Crude oil'!AD2050</f>
        <v>70.590999999999994</v>
      </c>
      <c r="AE2049">
        <f>'raw data Crude oil'!AE2050</f>
        <v>70.370999999999995</v>
      </c>
      <c r="AF2049">
        <f>'raw data Crude oil'!AF2050</f>
        <v>70.150999999999996</v>
      </c>
      <c r="AG2049">
        <f>'raw data Crude oil'!AG2050</f>
        <v>69.930000000000007</v>
      </c>
      <c r="AH2049">
        <f>'raw data Crude oil'!AH2050</f>
        <v>69.727000000000004</v>
      </c>
      <c r="AI2049">
        <f>'raw data Crude oil'!AI2050</f>
        <v>69.543000000000006</v>
      </c>
      <c r="AJ2049">
        <f>'raw data Crude oil'!AJ2050</f>
        <v>69.373000000000005</v>
      </c>
      <c r="AK2049">
        <f>'raw data Crude oil'!AK2050</f>
        <v>69.201999999999998</v>
      </c>
    </row>
    <row r="2050" spans="1:37" x14ac:dyDescent="0.3">
      <c r="A2050" s="18">
        <f>'raw data Crude oil'!A2051</f>
        <v>45631</v>
      </c>
      <c r="B2050">
        <f>'raw data Crude oil'!B2051</f>
        <v>72.09</v>
      </c>
      <c r="C2050">
        <f>'raw data Crude oil'!C2051</f>
        <v>71.680000000000007</v>
      </c>
      <c r="D2050">
        <f>'raw data Crude oil'!D2051</f>
        <v>71.39</v>
      </c>
      <c r="E2050">
        <f>'raw data Crude oil'!E2051</f>
        <v>71.180000000000007</v>
      </c>
      <c r="F2050">
        <f>'raw data Crude oil'!F2051</f>
        <v>71.02</v>
      </c>
      <c r="G2050">
        <f>'raw data Crude oil'!G2051</f>
        <v>70.849999999999994</v>
      </c>
      <c r="H2050">
        <f>'raw data Crude oil'!H2051</f>
        <v>70.67</v>
      </c>
      <c r="I2050">
        <f>'raw data Crude oil'!I2051</f>
        <v>70.489999999999995</v>
      </c>
      <c r="J2050">
        <f>'raw data Crude oil'!J2051</f>
        <v>70.31</v>
      </c>
      <c r="K2050">
        <f>'raw data Crude oil'!K2051</f>
        <v>70.14</v>
      </c>
      <c r="L2050">
        <f>'raw data Crude oil'!L2051</f>
        <v>70</v>
      </c>
      <c r="M2050">
        <f>'raw data Crude oil'!M2051</f>
        <v>69.83</v>
      </c>
      <c r="N2050">
        <f>'raw data Crude oil'!N2051</f>
        <v>68.3</v>
      </c>
      <c r="O2050">
        <f>'raw data Crude oil'!O2051</f>
        <v>67.959999999999994</v>
      </c>
      <c r="P2050">
        <f>'raw data Crude oil'!P2051</f>
        <v>67.72</v>
      </c>
      <c r="Q2050">
        <f>'raw data Crude oil'!Q2051</f>
        <v>67.52</v>
      </c>
      <c r="R2050">
        <f>'raw data Crude oil'!R2051</f>
        <v>67.37</v>
      </c>
      <c r="S2050">
        <f>'raw data Crude oil'!S2051</f>
        <v>67.22</v>
      </c>
      <c r="T2050">
        <f>'raw data Crude oil'!T2051</f>
        <v>67.040000000000006</v>
      </c>
      <c r="U2050">
        <f>'raw data Crude oil'!U2051</f>
        <v>66.84</v>
      </c>
      <c r="V2050">
        <f>'raw data Crude oil'!V2051</f>
        <v>66.63</v>
      </c>
      <c r="W2050">
        <f>'raw data Crude oil'!W2051</f>
        <v>66.41</v>
      </c>
      <c r="X2050">
        <f>'raw data Crude oil'!X2051</f>
        <v>66.22</v>
      </c>
      <c r="Y2050">
        <f>'raw data Crude oil'!Y2051</f>
        <v>66.03</v>
      </c>
      <c r="Z2050">
        <f>'raw data Crude oil'!Z2051</f>
        <v>71.861000000000004</v>
      </c>
      <c r="AA2050">
        <f>'raw data Crude oil'!AA2051</f>
        <v>71.290999999999997</v>
      </c>
      <c r="AB2050">
        <f>'raw data Crude oil'!AB2051</f>
        <v>70.849999999999994</v>
      </c>
      <c r="AC2050">
        <f>'raw data Crude oil'!AC2051</f>
        <v>70.557000000000002</v>
      </c>
      <c r="AD2050">
        <f>'raw data Crude oil'!AD2051</f>
        <v>70.337000000000003</v>
      </c>
      <c r="AE2050">
        <f>'raw data Crude oil'!AE2051</f>
        <v>70.114000000000004</v>
      </c>
      <c r="AF2050">
        <f>'raw data Crude oil'!AF2051</f>
        <v>69.891000000000005</v>
      </c>
      <c r="AG2050">
        <f>'raw data Crude oil'!AG2051</f>
        <v>69.682000000000002</v>
      </c>
      <c r="AH2050">
        <f>'raw data Crude oil'!AH2051</f>
        <v>69.481999999999999</v>
      </c>
      <c r="AI2050">
        <f>'raw data Crude oil'!AI2051</f>
        <v>69.293999999999997</v>
      </c>
      <c r="AJ2050">
        <f>'raw data Crude oil'!AJ2051</f>
        <v>69.113</v>
      </c>
      <c r="AK2050">
        <f>'raw data Crude oil'!AK2051</f>
        <v>68.941999999999993</v>
      </c>
    </row>
    <row r="2051" spans="1:37" x14ac:dyDescent="0.3">
      <c r="A2051" s="18">
        <f>'raw data Crude oil'!A2052</f>
        <v>45632</v>
      </c>
      <c r="B2051">
        <f>'raw data Crude oil'!B2052</f>
        <v>71.12</v>
      </c>
      <c r="C2051">
        <f>'raw data Crude oil'!C2052</f>
        <v>70.8</v>
      </c>
      <c r="D2051">
        <f>'raw data Crude oil'!D2052</f>
        <v>70.569999999999993</v>
      </c>
      <c r="E2051">
        <f>'raw data Crude oil'!E2052</f>
        <v>70.42</v>
      </c>
      <c r="F2051">
        <f>'raw data Crude oil'!F2052</f>
        <v>70.3</v>
      </c>
      <c r="G2051">
        <f>'raw data Crude oil'!G2052</f>
        <v>70.17</v>
      </c>
      <c r="H2051">
        <f>'raw data Crude oil'!H2052</f>
        <v>70.03</v>
      </c>
      <c r="I2051">
        <f>'raw data Crude oil'!I2052</f>
        <v>69.88</v>
      </c>
      <c r="J2051">
        <f>'raw data Crude oil'!J2052</f>
        <v>69.73</v>
      </c>
      <c r="K2051">
        <f>'raw data Crude oil'!K2052</f>
        <v>69.599999999999994</v>
      </c>
      <c r="L2051">
        <f>'raw data Crude oil'!L2052</f>
        <v>69.489999999999995</v>
      </c>
      <c r="M2051">
        <f>'raw data Crude oil'!M2052</f>
        <v>69.349999999999994</v>
      </c>
      <c r="N2051">
        <f>'raw data Crude oil'!N2052</f>
        <v>67.2</v>
      </c>
      <c r="O2051">
        <f>'raw data Crude oil'!O2052</f>
        <v>66.98</v>
      </c>
      <c r="P2051">
        <f>'raw data Crude oil'!P2052</f>
        <v>66.819999999999993</v>
      </c>
      <c r="Q2051">
        <f>'raw data Crude oil'!Q2052</f>
        <v>66.7</v>
      </c>
      <c r="R2051">
        <f>'raw data Crude oil'!R2052</f>
        <v>66.62</v>
      </c>
      <c r="S2051">
        <f>'raw data Crude oil'!S2052</f>
        <v>66.52</v>
      </c>
      <c r="T2051">
        <f>'raw data Crude oil'!T2052</f>
        <v>66.39</v>
      </c>
      <c r="U2051">
        <f>'raw data Crude oil'!U2052</f>
        <v>66.239999999999995</v>
      </c>
      <c r="V2051">
        <f>'raw data Crude oil'!V2052</f>
        <v>66.069999999999993</v>
      </c>
      <c r="W2051">
        <f>'raw data Crude oil'!W2052</f>
        <v>65.900000000000006</v>
      </c>
      <c r="X2051">
        <f>'raw data Crude oil'!X2052</f>
        <v>65.73</v>
      </c>
      <c r="Y2051">
        <f>'raw data Crude oil'!Y2052</f>
        <v>65.569999999999993</v>
      </c>
      <c r="Z2051">
        <f>'raw data Crude oil'!Z2052</f>
        <v>71.23</v>
      </c>
      <c r="AA2051">
        <f>'raw data Crude oil'!AA2052</f>
        <v>70.534999999999997</v>
      </c>
      <c r="AB2051">
        <f>'raw data Crude oil'!AB2052</f>
        <v>70.123999999999995</v>
      </c>
      <c r="AC2051">
        <f>'raw data Crude oil'!AC2052</f>
        <v>69.864000000000004</v>
      </c>
      <c r="AD2051">
        <f>'raw data Crude oil'!AD2052</f>
        <v>69.683999999999997</v>
      </c>
      <c r="AE2051">
        <f>'raw data Crude oil'!AE2052</f>
        <v>69.504000000000005</v>
      </c>
      <c r="AF2051">
        <f>'raw data Crude oil'!AF2052</f>
        <v>69.322999999999993</v>
      </c>
      <c r="AG2051">
        <f>'raw data Crude oil'!AG2052</f>
        <v>69.143000000000001</v>
      </c>
      <c r="AH2051">
        <f>'raw data Crude oil'!AH2052</f>
        <v>68.963999999999999</v>
      </c>
      <c r="AI2051">
        <f>'raw data Crude oil'!AI2052</f>
        <v>68.805000000000007</v>
      </c>
      <c r="AJ2051">
        <f>'raw data Crude oil'!AJ2052</f>
        <v>68.674000000000007</v>
      </c>
      <c r="AK2051">
        <f>'raw data Crude oil'!AK2052</f>
        <v>68.533000000000001</v>
      </c>
    </row>
    <row r="2052" spans="1:37" x14ac:dyDescent="0.3">
      <c r="A2052" s="18">
        <f>'raw data Crude oil'!A2053</f>
        <v>45635</v>
      </c>
      <c r="B2052">
        <f>'raw data Crude oil'!B2053</f>
        <v>72.14</v>
      </c>
      <c r="C2052">
        <f>'raw data Crude oil'!C2053</f>
        <v>71.84</v>
      </c>
      <c r="D2052">
        <f>'raw data Crude oil'!D2053</f>
        <v>71.599999999999994</v>
      </c>
      <c r="E2052">
        <f>'raw data Crude oil'!E2053</f>
        <v>71.44</v>
      </c>
      <c r="F2052">
        <f>'raw data Crude oil'!F2053</f>
        <v>71.31</v>
      </c>
      <c r="G2052">
        <f>'raw data Crude oil'!G2053</f>
        <v>71.17</v>
      </c>
      <c r="H2052">
        <f>'raw data Crude oil'!H2053</f>
        <v>71.010000000000005</v>
      </c>
      <c r="I2052">
        <f>'raw data Crude oil'!I2053</f>
        <v>70.849999999999994</v>
      </c>
      <c r="J2052">
        <f>'raw data Crude oil'!J2053</f>
        <v>70.680000000000007</v>
      </c>
      <c r="K2052">
        <f>'raw data Crude oil'!K2053</f>
        <v>70.53</v>
      </c>
      <c r="L2052">
        <f>'raw data Crude oil'!L2053</f>
        <v>70.400000000000006</v>
      </c>
      <c r="M2052">
        <f>'raw data Crude oil'!M2053</f>
        <v>70.25</v>
      </c>
      <c r="N2052">
        <f>'raw data Crude oil'!N2053</f>
        <v>68.37</v>
      </c>
      <c r="O2052">
        <f>'raw data Crude oil'!O2053</f>
        <v>68.09</v>
      </c>
      <c r="P2052">
        <f>'raw data Crude oil'!P2053</f>
        <v>67.900000000000006</v>
      </c>
      <c r="Q2052">
        <f>'raw data Crude oil'!Q2053</f>
        <v>67.75</v>
      </c>
      <c r="R2052">
        <f>'raw data Crude oil'!R2053</f>
        <v>67.64</v>
      </c>
      <c r="S2052">
        <f>'raw data Crude oil'!S2053</f>
        <v>67.52</v>
      </c>
      <c r="T2052">
        <f>'raw data Crude oil'!T2053</f>
        <v>67.38</v>
      </c>
      <c r="U2052">
        <f>'raw data Crude oil'!U2053</f>
        <v>67.22</v>
      </c>
      <c r="V2052">
        <f>'raw data Crude oil'!V2053</f>
        <v>67.040000000000006</v>
      </c>
      <c r="W2052">
        <f>'raw data Crude oil'!W2053</f>
        <v>66.849999999999994</v>
      </c>
      <c r="X2052">
        <f>'raw data Crude oil'!X2053</f>
        <v>66.680000000000007</v>
      </c>
      <c r="Y2052">
        <f>'raw data Crude oil'!Y2053</f>
        <v>66.510000000000005</v>
      </c>
      <c r="Z2052">
        <f>'raw data Crude oil'!Z2053</f>
        <v>71.882999999999996</v>
      </c>
      <c r="AA2052">
        <f>'raw data Crude oil'!AA2053</f>
        <v>71.472999999999999</v>
      </c>
      <c r="AB2052">
        <f>'raw data Crude oil'!AB2053</f>
        <v>71.096999999999994</v>
      </c>
      <c r="AC2052">
        <f>'raw data Crude oil'!AC2053</f>
        <v>70.834000000000003</v>
      </c>
      <c r="AD2052">
        <f>'raw data Crude oil'!AD2053</f>
        <v>70.632999999999996</v>
      </c>
      <c r="AE2052">
        <f>'raw data Crude oil'!AE2053</f>
        <v>70.442999999999998</v>
      </c>
      <c r="AF2052">
        <f>'raw data Crude oil'!AF2053</f>
        <v>70.251999999999995</v>
      </c>
      <c r="AG2052">
        <f>'raw data Crude oil'!AG2053</f>
        <v>70.058000000000007</v>
      </c>
      <c r="AH2052">
        <f>'raw data Crude oil'!AH2053</f>
        <v>69.878</v>
      </c>
      <c r="AI2052">
        <f>'raw data Crude oil'!AI2053</f>
        <v>69.703999999999994</v>
      </c>
      <c r="AJ2052">
        <f>'raw data Crude oil'!AJ2053</f>
        <v>69.543000000000006</v>
      </c>
      <c r="AK2052">
        <f>'raw data Crude oil'!AK2053</f>
        <v>69.373000000000005</v>
      </c>
    </row>
    <row r="2053" spans="1:37" x14ac:dyDescent="0.3">
      <c r="A2053" s="18">
        <f>'raw data Crude oil'!A2054</f>
        <v>45636</v>
      </c>
      <c r="B2053">
        <f>'raw data Crude oil'!B2054</f>
        <v>72.19</v>
      </c>
      <c r="C2053">
        <f>'raw data Crude oil'!C2054</f>
        <v>71.900000000000006</v>
      </c>
      <c r="D2053">
        <f>'raw data Crude oil'!D2054</f>
        <v>71.66</v>
      </c>
      <c r="E2053">
        <f>'raw data Crude oil'!E2054</f>
        <v>71.5</v>
      </c>
      <c r="F2053">
        <f>'raw data Crude oil'!F2054</f>
        <v>71.36</v>
      </c>
      <c r="G2053">
        <f>'raw data Crude oil'!G2054</f>
        <v>71.22</v>
      </c>
      <c r="H2053">
        <f>'raw data Crude oil'!H2054</f>
        <v>71.05</v>
      </c>
      <c r="I2053">
        <f>'raw data Crude oil'!I2054</f>
        <v>70.88</v>
      </c>
      <c r="J2053">
        <f>'raw data Crude oil'!J2054</f>
        <v>70.709999999999994</v>
      </c>
      <c r="K2053">
        <f>'raw data Crude oil'!K2054</f>
        <v>70.55</v>
      </c>
      <c r="L2053">
        <f>'raw data Crude oil'!L2054</f>
        <v>70.41</v>
      </c>
      <c r="M2053">
        <f>'raw data Crude oil'!M2054</f>
        <v>70.25</v>
      </c>
      <c r="N2053">
        <f>'raw data Crude oil'!N2054</f>
        <v>68.59</v>
      </c>
      <c r="O2053">
        <f>'raw data Crude oil'!O2054</f>
        <v>68.27</v>
      </c>
      <c r="P2053">
        <f>'raw data Crude oil'!P2054</f>
        <v>68.05</v>
      </c>
      <c r="Q2053">
        <f>'raw data Crude oil'!Q2054</f>
        <v>67.900000000000006</v>
      </c>
      <c r="R2053">
        <f>'raw data Crude oil'!R2054</f>
        <v>67.78</v>
      </c>
      <c r="S2053">
        <f>'raw data Crude oil'!S2054</f>
        <v>67.66</v>
      </c>
      <c r="T2053">
        <f>'raw data Crude oil'!T2054</f>
        <v>67.510000000000005</v>
      </c>
      <c r="U2053">
        <f>'raw data Crude oil'!U2054</f>
        <v>67.34</v>
      </c>
      <c r="V2053">
        <f>'raw data Crude oil'!V2054</f>
        <v>67.150000000000006</v>
      </c>
      <c r="W2053">
        <f>'raw data Crude oil'!W2054</f>
        <v>66.95</v>
      </c>
      <c r="X2053">
        <f>'raw data Crude oil'!X2054</f>
        <v>66.760000000000005</v>
      </c>
      <c r="Y2053">
        <f>'raw data Crude oil'!Y2054</f>
        <v>66.58</v>
      </c>
      <c r="Z2053">
        <f>'raw data Crude oil'!Z2054</f>
        <v>71.950999999999993</v>
      </c>
      <c r="AA2053">
        <f>'raw data Crude oil'!AA2054</f>
        <v>71.561999999999998</v>
      </c>
      <c r="AB2053">
        <f>'raw data Crude oil'!AB2054</f>
        <v>71.194000000000003</v>
      </c>
      <c r="AC2053">
        <f>'raw data Crude oil'!AC2054</f>
        <v>70.942999999999998</v>
      </c>
      <c r="AD2053">
        <f>'raw data Crude oil'!AD2054</f>
        <v>70.730999999999995</v>
      </c>
      <c r="AE2053">
        <f>'raw data Crude oil'!AE2054</f>
        <v>70.540999999999997</v>
      </c>
      <c r="AF2053">
        <f>'raw data Crude oil'!AF2054</f>
        <v>70.331000000000003</v>
      </c>
      <c r="AG2053">
        <f>'raw data Crude oil'!AG2054</f>
        <v>70.123000000000005</v>
      </c>
      <c r="AH2053">
        <f>'raw data Crude oil'!AH2054</f>
        <v>69.921999999999997</v>
      </c>
      <c r="AI2053">
        <f>'raw data Crude oil'!AI2054</f>
        <v>69.744</v>
      </c>
      <c r="AJ2053">
        <f>'raw data Crude oil'!AJ2054</f>
        <v>69.572999999999993</v>
      </c>
      <c r="AK2053">
        <f>'raw data Crude oil'!AK2054</f>
        <v>69.372</v>
      </c>
    </row>
    <row r="2054" spans="1:37" x14ac:dyDescent="0.3">
      <c r="A2054" s="18">
        <f>'raw data Crude oil'!A2055</f>
        <v>45637</v>
      </c>
      <c r="B2054">
        <f>'raw data Crude oil'!B2055</f>
        <v>73.52</v>
      </c>
      <c r="C2054">
        <f>'raw data Crude oil'!C2055</f>
        <v>73.14</v>
      </c>
      <c r="D2054">
        <f>'raw data Crude oil'!D2055</f>
        <v>72.81</v>
      </c>
      <c r="E2054">
        <f>'raw data Crude oil'!E2055</f>
        <v>72.569999999999993</v>
      </c>
      <c r="F2054">
        <f>'raw data Crude oil'!F2055</f>
        <v>72.37</v>
      </c>
      <c r="G2054">
        <f>'raw data Crude oil'!G2055</f>
        <v>72.17</v>
      </c>
      <c r="H2054">
        <f>'raw data Crude oil'!H2055</f>
        <v>71.959999999999994</v>
      </c>
      <c r="I2054">
        <f>'raw data Crude oil'!I2055</f>
        <v>71.739999999999995</v>
      </c>
      <c r="J2054">
        <f>'raw data Crude oil'!J2055</f>
        <v>71.53</v>
      </c>
      <c r="K2054">
        <f>'raw data Crude oil'!K2055</f>
        <v>71.33</v>
      </c>
      <c r="L2054">
        <f>'raw data Crude oil'!L2055</f>
        <v>71.150000000000006</v>
      </c>
      <c r="M2054">
        <f>'raw data Crude oil'!M2055</f>
        <v>70.95</v>
      </c>
      <c r="N2054">
        <f>'raw data Crude oil'!N2055</f>
        <v>70.290000000000006</v>
      </c>
      <c r="O2054">
        <f>'raw data Crude oil'!O2055</f>
        <v>69.87</v>
      </c>
      <c r="P2054">
        <f>'raw data Crude oil'!P2055</f>
        <v>69.52</v>
      </c>
      <c r="Q2054">
        <f>'raw data Crude oil'!Q2055</f>
        <v>69.260000000000005</v>
      </c>
      <c r="R2054">
        <f>'raw data Crude oil'!R2055</f>
        <v>69.05</v>
      </c>
      <c r="S2054">
        <f>'raw data Crude oil'!S2055</f>
        <v>68.84</v>
      </c>
      <c r="T2054">
        <f>'raw data Crude oil'!T2055</f>
        <v>68.63</v>
      </c>
      <c r="U2054">
        <f>'raw data Crude oil'!U2055</f>
        <v>68.400000000000006</v>
      </c>
      <c r="V2054">
        <f>'raw data Crude oil'!V2055</f>
        <v>68.150000000000006</v>
      </c>
      <c r="W2054">
        <f>'raw data Crude oil'!W2055</f>
        <v>67.900000000000006</v>
      </c>
      <c r="X2054">
        <f>'raw data Crude oil'!X2055</f>
        <v>67.680000000000007</v>
      </c>
      <c r="Y2054">
        <f>'raw data Crude oil'!Y2055</f>
        <v>67.459999999999994</v>
      </c>
      <c r="Z2054">
        <f>'raw data Crude oil'!Z2055</f>
        <v>72.801000000000002</v>
      </c>
      <c r="AA2054">
        <f>'raw data Crude oil'!AA2055</f>
        <v>72.828000000000003</v>
      </c>
      <c r="AB2054">
        <f>'raw data Crude oil'!AB2055</f>
        <v>72.397000000000006</v>
      </c>
      <c r="AC2054">
        <f>'raw data Crude oil'!AC2055</f>
        <v>72.061999999999998</v>
      </c>
      <c r="AD2054">
        <f>'raw data Crude oil'!AD2055</f>
        <v>71.790000000000006</v>
      </c>
      <c r="AE2054">
        <f>'raw data Crude oil'!AE2055</f>
        <v>71.540000000000006</v>
      </c>
      <c r="AF2054">
        <f>'raw data Crude oil'!AF2055</f>
        <v>71.287000000000006</v>
      </c>
      <c r="AG2054">
        <f>'raw data Crude oil'!AG2055</f>
        <v>71.037999999999997</v>
      </c>
      <c r="AH2054">
        <f>'raw data Crude oil'!AH2055</f>
        <v>70.796999999999997</v>
      </c>
      <c r="AI2054">
        <f>'raw data Crude oil'!AI2055</f>
        <v>70.558999999999997</v>
      </c>
      <c r="AJ2054">
        <f>'raw data Crude oil'!AJ2055</f>
        <v>70.340999999999994</v>
      </c>
      <c r="AK2054">
        <f>'raw data Crude oil'!AK2055</f>
        <v>70.116</v>
      </c>
    </row>
    <row r="2055" spans="1:37" x14ac:dyDescent="0.3">
      <c r="A2055" s="18">
        <f>'raw data Crude oil'!A2056</f>
        <v>45638</v>
      </c>
      <c r="B2055">
        <f>'raw data Crude oil'!B2056</f>
        <v>73.41</v>
      </c>
      <c r="C2055">
        <f>'raw data Crude oil'!C2056</f>
        <v>73.08</v>
      </c>
      <c r="D2055">
        <f>'raw data Crude oil'!D2056</f>
        <v>72.790000000000006</v>
      </c>
      <c r="E2055">
        <f>'raw data Crude oil'!E2056</f>
        <v>72.58</v>
      </c>
      <c r="F2055">
        <f>'raw data Crude oil'!F2056</f>
        <v>72.39</v>
      </c>
      <c r="G2055">
        <f>'raw data Crude oil'!G2056</f>
        <v>72.2</v>
      </c>
      <c r="H2055">
        <f>'raw data Crude oil'!H2056</f>
        <v>72</v>
      </c>
      <c r="I2055">
        <f>'raw data Crude oil'!I2056</f>
        <v>71.790000000000006</v>
      </c>
      <c r="J2055">
        <f>'raw data Crude oil'!J2056</f>
        <v>71.58</v>
      </c>
      <c r="K2055">
        <f>'raw data Crude oil'!K2056</f>
        <v>71.39</v>
      </c>
      <c r="L2055">
        <f>'raw data Crude oil'!L2056</f>
        <v>71.22</v>
      </c>
      <c r="M2055">
        <f>'raw data Crude oil'!M2056</f>
        <v>71.03</v>
      </c>
      <c r="N2055">
        <f>'raw data Crude oil'!N2056</f>
        <v>70.02</v>
      </c>
      <c r="O2055">
        <f>'raw data Crude oil'!O2056</f>
        <v>69.66</v>
      </c>
      <c r="P2055">
        <f>'raw data Crude oil'!P2056</f>
        <v>69.349999999999994</v>
      </c>
      <c r="Q2055">
        <f>'raw data Crude oil'!Q2056</f>
        <v>69.14</v>
      </c>
      <c r="R2055">
        <f>'raw data Crude oil'!R2056</f>
        <v>68.98</v>
      </c>
      <c r="S2055">
        <f>'raw data Crude oil'!S2056</f>
        <v>68.8</v>
      </c>
      <c r="T2055">
        <f>'raw data Crude oil'!T2056</f>
        <v>68.61</v>
      </c>
      <c r="U2055">
        <f>'raw data Crude oil'!U2056</f>
        <v>68.400000000000006</v>
      </c>
      <c r="V2055">
        <f>'raw data Crude oil'!V2056</f>
        <v>68.180000000000007</v>
      </c>
      <c r="W2055">
        <f>'raw data Crude oil'!W2056</f>
        <v>67.94</v>
      </c>
      <c r="X2055">
        <f>'raw data Crude oil'!X2056</f>
        <v>67.709999999999994</v>
      </c>
      <c r="Y2055">
        <f>'raw data Crude oil'!Y2056</f>
        <v>67.510000000000005</v>
      </c>
      <c r="Z2055">
        <f>'raw data Crude oil'!Z2056</f>
        <v>72.831999999999994</v>
      </c>
      <c r="AA2055">
        <f>'raw data Crude oil'!AA2056</f>
        <v>72.846999999999994</v>
      </c>
      <c r="AB2055">
        <f>'raw data Crude oil'!AB2056</f>
        <v>72.427000000000007</v>
      </c>
      <c r="AC2055">
        <f>'raw data Crude oil'!AC2056</f>
        <v>72.105999999999995</v>
      </c>
      <c r="AD2055">
        <f>'raw data Crude oil'!AD2056</f>
        <v>71.838999999999999</v>
      </c>
      <c r="AE2055">
        <f>'raw data Crude oil'!AE2056</f>
        <v>71.596999999999994</v>
      </c>
      <c r="AF2055">
        <f>'raw data Crude oil'!AF2056</f>
        <v>71.353999999999999</v>
      </c>
      <c r="AG2055">
        <f>'raw data Crude oil'!AG2056</f>
        <v>71.111000000000004</v>
      </c>
      <c r="AH2055">
        <f>'raw data Crude oil'!AH2056</f>
        <v>70.891000000000005</v>
      </c>
      <c r="AI2055">
        <f>'raw data Crude oil'!AI2056</f>
        <v>70.691999999999993</v>
      </c>
      <c r="AJ2055">
        <f>'raw data Crude oil'!AJ2056</f>
        <v>70.492000000000004</v>
      </c>
      <c r="AK2055">
        <f>'raw data Crude oil'!AK2056</f>
        <v>70.281000000000006</v>
      </c>
    </row>
    <row r="2056" spans="1:37" x14ac:dyDescent="0.3">
      <c r="A2056" s="18">
        <f>'raw data Crude oil'!A2057</f>
        <v>45639</v>
      </c>
      <c r="B2056">
        <f>'raw data Crude oil'!B2057</f>
        <v>74.489999999999995</v>
      </c>
      <c r="C2056">
        <f>'raw data Crude oil'!C2057</f>
        <v>74.09</v>
      </c>
      <c r="D2056">
        <f>'raw data Crude oil'!D2057</f>
        <v>73.75</v>
      </c>
      <c r="E2056">
        <f>'raw data Crude oil'!E2057</f>
        <v>73.48</v>
      </c>
      <c r="F2056">
        <f>'raw data Crude oil'!F2057</f>
        <v>73.25</v>
      </c>
      <c r="G2056">
        <f>'raw data Crude oil'!G2057</f>
        <v>73.02</v>
      </c>
      <c r="H2056">
        <f>'raw data Crude oil'!H2057</f>
        <v>72.78</v>
      </c>
      <c r="I2056">
        <f>'raw data Crude oil'!I2057</f>
        <v>72.540000000000006</v>
      </c>
      <c r="J2056">
        <f>'raw data Crude oil'!J2057</f>
        <v>72.31</v>
      </c>
      <c r="K2056">
        <f>'raw data Crude oil'!K2057</f>
        <v>72.09</v>
      </c>
      <c r="L2056">
        <f>'raw data Crude oil'!L2057</f>
        <v>71.89</v>
      </c>
      <c r="M2056">
        <f>'raw data Crude oil'!M2057</f>
        <v>71.67</v>
      </c>
      <c r="N2056">
        <f>'raw data Crude oil'!N2057</f>
        <v>71.290000000000006</v>
      </c>
      <c r="O2056">
        <f>'raw data Crude oil'!O2057</f>
        <v>70.819999999999993</v>
      </c>
      <c r="P2056">
        <f>'raw data Crude oil'!P2057</f>
        <v>70.39</v>
      </c>
      <c r="Q2056">
        <f>'raw data Crude oil'!Q2057</f>
        <v>70.09</v>
      </c>
      <c r="R2056">
        <f>'raw data Crude oil'!R2057</f>
        <v>69.87</v>
      </c>
      <c r="S2056">
        <f>'raw data Crude oil'!S2057</f>
        <v>69.650000000000006</v>
      </c>
      <c r="T2056">
        <f>'raw data Crude oil'!T2057</f>
        <v>69.41</v>
      </c>
      <c r="U2056">
        <f>'raw data Crude oil'!U2057</f>
        <v>69.16</v>
      </c>
      <c r="V2056">
        <f>'raw data Crude oil'!V2057</f>
        <v>68.900000000000006</v>
      </c>
      <c r="W2056">
        <f>'raw data Crude oil'!W2057</f>
        <v>68.64</v>
      </c>
      <c r="X2056">
        <f>'raw data Crude oil'!X2057</f>
        <v>68.400000000000006</v>
      </c>
      <c r="Y2056">
        <f>'raw data Crude oil'!Y2057</f>
        <v>68.16</v>
      </c>
      <c r="Z2056">
        <f>'raw data Crude oil'!Z2057</f>
        <v>73.388000000000005</v>
      </c>
      <c r="AA2056">
        <f>'raw data Crude oil'!AA2057</f>
        <v>73.869</v>
      </c>
      <c r="AB2056">
        <f>'raw data Crude oil'!AB2057</f>
        <v>73.411000000000001</v>
      </c>
      <c r="AC2056">
        <f>'raw data Crude oil'!AC2057</f>
        <v>73.049000000000007</v>
      </c>
      <c r="AD2056">
        <f>'raw data Crude oil'!AD2057</f>
        <v>72.747</v>
      </c>
      <c r="AE2056">
        <f>'raw data Crude oil'!AE2057</f>
        <v>72.474000000000004</v>
      </c>
      <c r="AF2056">
        <f>'raw data Crude oil'!AF2057</f>
        <v>72.201999999999998</v>
      </c>
      <c r="AG2056">
        <f>'raw data Crude oil'!AG2057</f>
        <v>71.930000000000007</v>
      </c>
      <c r="AH2056">
        <f>'raw data Crude oil'!AH2057</f>
        <v>71.677000000000007</v>
      </c>
      <c r="AI2056">
        <f>'raw data Crude oil'!AI2057</f>
        <v>71.441000000000003</v>
      </c>
      <c r="AJ2056">
        <f>'raw data Crude oil'!AJ2057</f>
        <v>71.209999999999994</v>
      </c>
      <c r="AK2056">
        <f>'raw data Crude oil'!AK2057</f>
        <v>70.97</v>
      </c>
    </row>
    <row r="2057" spans="1:37" x14ac:dyDescent="0.3">
      <c r="A2057" s="18">
        <f>'raw data Crude oil'!A2058</f>
        <v>45642</v>
      </c>
      <c r="B2057">
        <f>'raw data Crude oil'!B2058</f>
        <v>73.91</v>
      </c>
      <c r="C2057">
        <f>'raw data Crude oil'!C2058</f>
        <v>73.52</v>
      </c>
      <c r="D2057">
        <f>'raw data Crude oil'!D2058</f>
        <v>73.2</v>
      </c>
      <c r="E2057">
        <f>'raw data Crude oil'!E2058</f>
        <v>72.930000000000007</v>
      </c>
      <c r="F2057">
        <f>'raw data Crude oil'!F2058</f>
        <v>72.7</v>
      </c>
      <c r="G2057">
        <f>'raw data Crude oil'!G2058</f>
        <v>72.47</v>
      </c>
      <c r="H2057">
        <f>'raw data Crude oil'!H2058</f>
        <v>72.25</v>
      </c>
      <c r="I2057">
        <f>'raw data Crude oil'!I2058</f>
        <v>72.02</v>
      </c>
      <c r="J2057">
        <f>'raw data Crude oil'!J2058</f>
        <v>71.8</v>
      </c>
      <c r="K2057">
        <f>'raw data Crude oil'!K2058</f>
        <v>71.599999999999994</v>
      </c>
      <c r="L2057">
        <f>'raw data Crude oil'!L2058</f>
        <v>71.42</v>
      </c>
      <c r="M2057">
        <f>'raw data Crude oil'!M2058</f>
        <v>71.22</v>
      </c>
      <c r="N2057">
        <f>'raw data Crude oil'!N2058</f>
        <v>70.709999999999994</v>
      </c>
      <c r="O2057">
        <f>'raw data Crude oil'!O2058</f>
        <v>70.290000000000006</v>
      </c>
      <c r="P2057">
        <f>'raw data Crude oil'!P2058</f>
        <v>69.88</v>
      </c>
      <c r="Q2057">
        <f>'raw data Crude oil'!Q2058</f>
        <v>69.569999999999993</v>
      </c>
      <c r="R2057">
        <f>'raw data Crude oil'!R2058</f>
        <v>69.34</v>
      </c>
      <c r="S2057">
        <f>'raw data Crude oil'!S2058</f>
        <v>69.13</v>
      </c>
      <c r="T2057">
        <f>'raw data Crude oil'!T2058</f>
        <v>68.91</v>
      </c>
      <c r="U2057">
        <f>'raw data Crude oil'!U2058</f>
        <v>68.66</v>
      </c>
      <c r="V2057">
        <f>'raw data Crude oil'!V2058</f>
        <v>68.41</v>
      </c>
      <c r="W2057">
        <f>'raw data Crude oil'!W2058</f>
        <v>68.150000000000006</v>
      </c>
      <c r="X2057">
        <f>'raw data Crude oil'!X2058</f>
        <v>67.92</v>
      </c>
      <c r="Y2057">
        <f>'raw data Crude oil'!Y2058</f>
        <v>67.709999999999994</v>
      </c>
      <c r="Z2057">
        <f>'raw data Crude oil'!Z2058</f>
        <v>73.161000000000001</v>
      </c>
      <c r="AA2057">
        <f>'raw data Crude oil'!AA2058</f>
        <v>73.405000000000001</v>
      </c>
      <c r="AB2057">
        <f>'raw data Crude oil'!AB2058</f>
        <v>72.936999999999998</v>
      </c>
      <c r="AC2057">
        <f>'raw data Crude oil'!AC2058</f>
        <v>72.569000000000003</v>
      </c>
      <c r="AD2057">
        <f>'raw data Crude oil'!AD2058</f>
        <v>72.254999999999995</v>
      </c>
      <c r="AE2057">
        <f>'raw data Crude oil'!AE2058</f>
        <v>71.971000000000004</v>
      </c>
      <c r="AF2057">
        <f>'raw data Crude oil'!AF2058</f>
        <v>71.694000000000003</v>
      </c>
      <c r="AG2057">
        <f>'raw data Crude oil'!AG2058</f>
        <v>71.433000000000007</v>
      </c>
      <c r="AH2057">
        <f>'raw data Crude oil'!AH2058</f>
        <v>71.17</v>
      </c>
      <c r="AI2057">
        <f>'raw data Crude oil'!AI2058</f>
        <v>70.941999999999993</v>
      </c>
      <c r="AJ2057">
        <f>'raw data Crude oil'!AJ2058</f>
        <v>70.730999999999995</v>
      </c>
      <c r="AK2057">
        <f>'raw data Crude oil'!AK2058</f>
        <v>70.510000000000005</v>
      </c>
    </row>
    <row r="2058" spans="1:37" x14ac:dyDescent="0.3">
      <c r="A2058" s="18">
        <f>'raw data Crude oil'!A2059</f>
        <v>45643</v>
      </c>
      <c r="B2058">
        <f>'raw data Crude oil'!B2059</f>
        <v>73.19</v>
      </c>
      <c r="C2058">
        <f>'raw data Crude oil'!C2059</f>
        <v>72.849999999999994</v>
      </c>
      <c r="D2058">
        <f>'raw data Crude oil'!D2059</f>
        <v>72.56</v>
      </c>
      <c r="E2058">
        <f>'raw data Crude oil'!E2059</f>
        <v>72.31</v>
      </c>
      <c r="F2058">
        <f>'raw data Crude oil'!F2059</f>
        <v>72.09</v>
      </c>
      <c r="G2058">
        <f>'raw data Crude oil'!G2059</f>
        <v>71.87</v>
      </c>
      <c r="H2058">
        <f>'raw data Crude oil'!H2059</f>
        <v>71.650000000000006</v>
      </c>
      <c r="I2058">
        <f>'raw data Crude oil'!I2059</f>
        <v>71.430000000000007</v>
      </c>
      <c r="J2058">
        <f>'raw data Crude oil'!J2059</f>
        <v>71.209999999999994</v>
      </c>
      <c r="K2058">
        <f>'raw data Crude oil'!K2059</f>
        <v>71.010000000000005</v>
      </c>
      <c r="L2058">
        <f>'raw data Crude oil'!L2059</f>
        <v>70.819999999999993</v>
      </c>
      <c r="M2058">
        <f>'raw data Crude oil'!M2059</f>
        <v>70.61</v>
      </c>
      <c r="N2058">
        <f>'raw data Crude oil'!N2059</f>
        <v>70.08</v>
      </c>
      <c r="O2058">
        <f>'raw data Crude oil'!O2059</f>
        <v>69.650000000000006</v>
      </c>
      <c r="P2058">
        <f>'raw data Crude oil'!P2059</f>
        <v>69.260000000000005</v>
      </c>
      <c r="Q2058">
        <f>'raw data Crude oil'!Q2059</f>
        <v>68.97</v>
      </c>
      <c r="R2058">
        <f>'raw data Crude oil'!R2059</f>
        <v>68.760000000000005</v>
      </c>
      <c r="S2058">
        <f>'raw data Crude oil'!S2059</f>
        <v>68.55</v>
      </c>
      <c r="T2058">
        <f>'raw data Crude oil'!T2059</f>
        <v>68.34</v>
      </c>
      <c r="U2058">
        <f>'raw data Crude oil'!U2059</f>
        <v>68.099999999999994</v>
      </c>
      <c r="V2058">
        <f>'raw data Crude oil'!V2059</f>
        <v>67.849999999999994</v>
      </c>
      <c r="W2058">
        <f>'raw data Crude oil'!W2059</f>
        <v>67.59</v>
      </c>
      <c r="X2058">
        <f>'raw data Crude oil'!X2059</f>
        <v>67.349999999999994</v>
      </c>
      <c r="Y2058">
        <f>'raw data Crude oil'!Y2059</f>
        <v>67.13</v>
      </c>
      <c r="Z2058">
        <f>'raw data Crude oil'!Z2059</f>
        <v>72.866</v>
      </c>
      <c r="AA2058">
        <f>'raw data Crude oil'!AA2059</f>
        <v>72.747</v>
      </c>
      <c r="AB2058">
        <f>'raw data Crude oil'!AB2059</f>
        <v>72.293000000000006</v>
      </c>
      <c r="AC2058">
        <f>'raw data Crude oil'!AC2059</f>
        <v>71.915000000000006</v>
      </c>
      <c r="AD2058">
        <f>'raw data Crude oil'!AD2059</f>
        <v>71.594999999999999</v>
      </c>
      <c r="AE2058">
        <f>'raw data Crude oil'!AE2059</f>
        <v>71.3</v>
      </c>
      <c r="AF2058">
        <f>'raw data Crude oil'!AF2059</f>
        <v>71.025000000000006</v>
      </c>
      <c r="AG2058">
        <f>'raw data Crude oil'!AG2059</f>
        <v>70.760000000000005</v>
      </c>
      <c r="AH2058">
        <f>'raw data Crude oil'!AH2059</f>
        <v>70.510000000000005</v>
      </c>
      <c r="AI2058">
        <f>'raw data Crude oil'!AI2059</f>
        <v>70.290999999999997</v>
      </c>
      <c r="AJ2058">
        <f>'raw data Crude oil'!AJ2059</f>
        <v>70.100999999999999</v>
      </c>
      <c r="AK2058">
        <f>'raw data Crude oil'!AK2059</f>
        <v>69.888999999999996</v>
      </c>
    </row>
    <row r="2059" spans="1:37" x14ac:dyDescent="0.3">
      <c r="A2059" s="18">
        <f>'raw data Crude oil'!A2060</f>
        <v>45644</v>
      </c>
      <c r="B2059">
        <f>'raw data Crude oil'!B2060</f>
        <v>73.39</v>
      </c>
      <c r="C2059">
        <f>'raw data Crude oil'!C2060</f>
        <v>73</v>
      </c>
      <c r="D2059">
        <f>'raw data Crude oil'!D2060</f>
        <v>72.67</v>
      </c>
      <c r="E2059">
        <f>'raw data Crude oil'!E2060</f>
        <v>72.39</v>
      </c>
      <c r="F2059">
        <f>'raw data Crude oil'!F2060</f>
        <v>72.13</v>
      </c>
      <c r="G2059">
        <f>'raw data Crude oil'!G2060</f>
        <v>71.89</v>
      </c>
      <c r="H2059">
        <f>'raw data Crude oil'!H2060</f>
        <v>71.64</v>
      </c>
      <c r="I2059">
        <f>'raw data Crude oil'!I2060</f>
        <v>71.39</v>
      </c>
      <c r="J2059">
        <f>'raw data Crude oil'!J2060</f>
        <v>71.16</v>
      </c>
      <c r="K2059">
        <f>'raw data Crude oil'!K2060</f>
        <v>70.930000000000007</v>
      </c>
      <c r="L2059">
        <f>'raw data Crude oil'!L2060</f>
        <v>70.72</v>
      </c>
      <c r="M2059">
        <f>'raw data Crude oil'!M2060</f>
        <v>70.489999999999995</v>
      </c>
      <c r="N2059">
        <f>'raw data Crude oil'!N2060</f>
        <v>70.58</v>
      </c>
      <c r="O2059">
        <f>'raw data Crude oil'!O2060</f>
        <v>70.02</v>
      </c>
      <c r="P2059">
        <f>'raw data Crude oil'!P2060</f>
        <v>69.569999999999993</v>
      </c>
      <c r="Q2059">
        <f>'raw data Crude oil'!Q2060</f>
        <v>69.209999999999994</v>
      </c>
      <c r="R2059">
        <f>'raw data Crude oil'!R2060</f>
        <v>68.930000000000007</v>
      </c>
      <c r="S2059">
        <f>'raw data Crude oil'!S2060</f>
        <v>68.680000000000007</v>
      </c>
      <c r="T2059">
        <f>'raw data Crude oil'!T2060</f>
        <v>68.42</v>
      </c>
      <c r="U2059">
        <f>'raw data Crude oil'!U2060</f>
        <v>68.16</v>
      </c>
      <c r="V2059">
        <f>'raw data Crude oil'!V2060</f>
        <v>67.88</v>
      </c>
      <c r="W2059">
        <f>'raw data Crude oil'!W2060</f>
        <v>67.599999999999994</v>
      </c>
      <c r="X2059">
        <f>'raw data Crude oil'!X2060</f>
        <v>67.34</v>
      </c>
      <c r="Y2059">
        <f>'raw data Crude oil'!Y2060</f>
        <v>67.11</v>
      </c>
      <c r="Z2059">
        <f>'raw data Crude oil'!Z2060</f>
        <v>72.980999999999995</v>
      </c>
      <c r="AA2059">
        <f>'raw data Crude oil'!AA2060</f>
        <v>72.885000000000005</v>
      </c>
      <c r="AB2059">
        <f>'raw data Crude oil'!AB2060</f>
        <v>72.415999999999997</v>
      </c>
      <c r="AC2059">
        <f>'raw data Crude oil'!AC2060</f>
        <v>72.018000000000001</v>
      </c>
      <c r="AD2059">
        <f>'raw data Crude oil'!AD2060</f>
        <v>71.679000000000002</v>
      </c>
      <c r="AE2059">
        <f>'raw data Crude oil'!AE2060</f>
        <v>71.369</v>
      </c>
      <c r="AF2059">
        <f>'raw data Crude oil'!AF2060</f>
        <v>71.072999999999993</v>
      </c>
      <c r="AG2059">
        <f>'raw data Crude oil'!AG2060</f>
        <v>70.790000000000006</v>
      </c>
      <c r="AH2059">
        <f>'raw data Crude oil'!AH2060</f>
        <v>70.519000000000005</v>
      </c>
      <c r="AI2059">
        <f>'raw data Crude oil'!AI2060</f>
        <v>70.27</v>
      </c>
      <c r="AJ2059">
        <f>'raw data Crude oil'!AJ2060</f>
        <v>70.02</v>
      </c>
      <c r="AK2059">
        <f>'raw data Crude oil'!AK2060</f>
        <v>69.760000000000005</v>
      </c>
    </row>
    <row r="2060" spans="1:37" x14ac:dyDescent="0.3">
      <c r="A2060" s="18">
        <f>'raw data Crude oil'!A2061</f>
        <v>45645</v>
      </c>
      <c r="B2060">
        <f>'raw data Crude oil'!B2061</f>
        <v>72.88</v>
      </c>
      <c r="C2060">
        <f>'raw data Crude oil'!C2061</f>
        <v>72.45</v>
      </c>
      <c r="D2060">
        <f>'raw data Crude oil'!D2061</f>
        <v>72.08</v>
      </c>
      <c r="E2060">
        <f>'raw data Crude oil'!E2061</f>
        <v>71.78</v>
      </c>
      <c r="F2060">
        <f>'raw data Crude oil'!F2061</f>
        <v>71.5</v>
      </c>
      <c r="G2060">
        <f>'raw data Crude oil'!G2061</f>
        <v>71.239999999999995</v>
      </c>
      <c r="H2060">
        <f>'raw data Crude oil'!H2061</f>
        <v>70.98</v>
      </c>
      <c r="I2060">
        <f>'raw data Crude oil'!I2061</f>
        <v>70.72</v>
      </c>
      <c r="J2060">
        <f>'raw data Crude oil'!J2061</f>
        <v>70.47</v>
      </c>
      <c r="K2060">
        <f>'raw data Crude oil'!K2061</f>
        <v>70.239999999999995</v>
      </c>
      <c r="L2060">
        <f>'raw data Crude oil'!L2061</f>
        <v>70.03</v>
      </c>
      <c r="M2060">
        <f>'raw data Crude oil'!M2061</f>
        <v>69.81</v>
      </c>
      <c r="N2060">
        <f>'raw data Crude oil'!N2061</f>
        <v>69.91</v>
      </c>
      <c r="O2060">
        <f>'raw data Crude oil'!O2061</f>
        <v>69.38</v>
      </c>
      <c r="P2060">
        <f>'raw data Crude oil'!P2061</f>
        <v>68.95</v>
      </c>
      <c r="Q2060">
        <f>'raw data Crude oil'!Q2061</f>
        <v>68.599999999999994</v>
      </c>
      <c r="R2060">
        <f>'raw data Crude oil'!R2061</f>
        <v>68.31</v>
      </c>
      <c r="S2060">
        <f>'raw data Crude oil'!S2061</f>
        <v>68.05</v>
      </c>
      <c r="T2060">
        <f>'raw data Crude oil'!T2061</f>
        <v>67.790000000000006</v>
      </c>
      <c r="U2060">
        <f>'raw data Crude oil'!U2061</f>
        <v>67.5</v>
      </c>
      <c r="V2060">
        <f>'raw data Crude oil'!V2061</f>
        <v>67.209999999999994</v>
      </c>
      <c r="W2060">
        <f>'raw data Crude oil'!W2061</f>
        <v>66.91</v>
      </c>
      <c r="X2060">
        <f>'raw data Crude oil'!X2061</f>
        <v>66.650000000000006</v>
      </c>
      <c r="Y2060">
        <f>'raw data Crude oil'!Y2061</f>
        <v>66.39</v>
      </c>
      <c r="Z2060">
        <f>'raw data Crude oil'!Z2061</f>
        <v>72.760999999999996</v>
      </c>
      <c r="AA2060">
        <f>'raw data Crude oil'!AA2061</f>
        <v>72.353999999999999</v>
      </c>
      <c r="AB2060">
        <f>'raw data Crude oil'!AB2061</f>
        <v>71.864999999999995</v>
      </c>
      <c r="AC2060">
        <f>'raw data Crude oil'!AC2061</f>
        <v>71.447000000000003</v>
      </c>
      <c r="AD2060">
        <f>'raw data Crude oil'!AD2061</f>
        <v>71.087999999999994</v>
      </c>
      <c r="AE2060">
        <f>'raw data Crude oil'!AE2061</f>
        <v>70.757999999999996</v>
      </c>
      <c r="AF2060">
        <f>'raw data Crude oil'!AF2061</f>
        <v>70.438000000000002</v>
      </c>
      <c r="AG2060">
        <f>'raw data Crude oil'!AG2061</f>
        <v>70.129000000000005</v>
      </c>
      <c r="AH2060">
        <f>'raw data Crude oil'!AH2061</f>
        <v>69.849000000000004</v>
      </c>
      <c r="AI2060">
        <f>'raw data Crude oil'!AI2061</f>
        <v>69.599999999999994</v>
      </c>
      <c r="AJ2060">
        <f>'raw data Crude oil'!AJ2061</f>
        <v>69.349999999999994</v>
      </c>
      <c r="AK2060">
        <f>'raw data Crude oil'!AK2061</f>
        <v>69.099999999999994</v>
      </c>
    </row>
    <row r="2061" spans="1:37" x14ac:dyDescent="0.3">
      <c r="A2061" s="18">
        <f>'raw data Crude oil'!A2062</f>
        <v>45646</v>
      </c>
      <c r="B2061">
        <f>'raw data Crude oil'!B2062</f>
        <v>72.94</v>
      </c>
      <c r="C2061">
        <f>'raw data Crude oil'!C2062</f>
        <v>72.56</v>
      </c>
      <c r="D2061">
        <f>'raw data Crude oil'!D2062</f>
        <v>72.180000000000007</v>
      </c>
      <c r="E2061">
        <f>'raw data Crude oil'!E2062</f>
        <v>71.87</v>
      </c>
      <c r="F2061">
        <f>'raw data Crude oil'!F2062</f>
        <v>71.599999999999994</v>
      </c>
      <c r="G2061">
        <f>'raw data Crude oil'!G2062</f>
        <v>71.34</v>
      </c>
      <c r="H2061">
        <f>'raw data Crude oil'!H2062</f>
        <v>71.08</v>
      </c>
      <c r="I2061">
        <f>'raw data Crude oil'!I2062</f>
        <v>70.83</v>
      </c>
      <c r="J2061">
        <f>'raw data Crude oil'!J2062</f>
        <v>70.59</v>
      </c>
      <c r="K2061">
        <f>'raw data Crude oil'!K2062</f>
        <v>70.36</v>
      </c>
      <c r="L2061">
        <f>'raw data Crude oil'!L2062</f>
        <v>70.16</v>
      </c>
      <c r="M2061">
        <f>'raw data Crude oil'!M2062</f>
        <v>69.94</v>
      </c>
      <c r="N2061">
        <f>'raw data Crude oil'!N2062</f>
        <v>69.459999999999994</v>
      </c>
      <c r="O2061">
        <f>'raw data Crude oil'!O2062</f>
        <v>69.02</v>
      </c>
      <c r="P2061">
        <f>'raw data Crude oil'!P2062</f>
        <v>68.66</v>
      </c>
      <c r="Q2061">
        <f>'raw data Crude oil'!Q2062</f>
        <v>68.37</v>
      </c>
      <c r="R2061">
        <f>'raw data Crude oil'!R2062</f>
        <v>68.12</v>
      </c>
      <c r="S2061">
        <f>'raw data Crude oil'!S2062</f>
        <v>67.86</v>
      </c>
      <c r="T2061">
        <f>'raw data Crude oil'!T2062</f>
        <v>67.58</v>
      </c>
      <c r="U2061">
        <f>'raw data Crude oil'!U2062</f>
        <v>67.28</v>
      </c>
      <c r="V2061">
        <f>'raw data Crude oil'!V2062</f>
        <v>66.98</v>
      </c>
      <c r="W2061">
        <f>'raw data Crude oil'!W2062</f>
        <v>66.72</v>
      </c>
      <c r="X2061">
        <f>'raw data Crude oil'!X2062</f>
        <v>66.489999999999995</v>
      </c>
      <c r="Y2061">
        <f>'raw data Crude oil'!Y2062</f>
        <v>66.239999999999995</v>
      </c>
      <c r="Z2061">
        <f>'raw data Crude oil'!Z2062</f>
        <v>72.8</v>
      </c>
      <c r="AA2061">
        <f>'raw data Crude oil'!AA2062</f>
        <v>72.513000000000005</v>
      </c>
      <c r="AB2061">
        <f>'raw data Crude oil'!AB2062</f>
        <v>72.055000000000007</v>
      </c>
      <c r="AC2061">
        <f>'raw data Crude oil'!AC2062</f>
        <v>71.606999999999999</v>
      </c>
      <c r="AD2061">
        <f>'raw data Crude oil'!AD2062</f>
        <v>71.238</v>
      </c>
      <c r="AE2061">
        <f>'raw data Crude oil'!AE2062</f>
        <v>70.908000000000001</v>
      </c>
      <c r="AF2061">
        <f>'raw data Crude oil'!AF2062</f>
        <v>70.587999999999994</v>
      </c>
      <c r="AG2061">
        <f>'raw data Crude oil'!AG2062</f>
        <v>70.290000000000006</v>
      </c>
      <c r="AH2061">
        <f>'raw data Crude oil'!AH2062</f>
        <v>70.009</v>
      </c>
      <c r="AI2061">
        <f>'raw data Crude oil'!AI2062</f>
        <v>69.760999999999996</v>
      </c>
      <c r="AJ2061">
        <f>'raw data Crude oil'!AJ2062</f>
        <v>69.540000000000006</v>
      </c>
      <c r="AK2061">
        <f>'raw data Crude oil'!AK2062</f>
        <v>69.3</v>
      </c>
    </row>
    <row r="2062" spans="1:37" x14ac:dyDescent="0.3">
      <c r="A2062" s="18">
        <f>'raw data Crude oil'!A2063</f>
        <v>45649</v>
      </c>
      <c r="B2062">
        <f>'raw data Crude oil'!B2063</f>
        <v>72.63</v>
      </c>
      <c r="C2062">
        <f>'raw data Crude oil'!C2063</f>
        <v>72.319999999999993</v>
      </c>
      <c r="D2062">
        <f>'raw data Crude oil'!D2063</f>
        <v>71.989999999999995</v>
      </c>
      <c r="E2062">
        <f>'raw data Crude oil'!E2063</f>
        <v>71.7</v>
      </c>
      <c r="F2062">
        <f>'raw data Crude oil'!F2063</f>
        <v>71.44</v>
      </c>
      <c r="G2062">
        <f>'raw data Crude oil'!G2063</f>
        <v>71.2</v>
      </c>
      <c r="H2062">
        <f>'raw data Crude oil'!H2063</f>
        <v>70.959999999999994</v>
      </c>
      <c r="I2062">
        <f>'raw data Crude oil'!I2063</f>
        <v>70.72</v>
      </c>
      <c r="J2062">
        <f>'raw data Crude oil'!J2063</f>
        <v>70.489999999999995</v>
      </c>
      <c r="K2062">
        <f>'raw data Crude oil'!K2063</f>
        <v>70.27</v>
      </c>
      <c r="L2062">
        <f>'raw data Crude oil'!L2063</f>
        <v>70.069999999999993</v>
      </c>
      <c r="M2062">
        <f>'raw data Crude oil'!M2063</f>
        <v>69.86</v>
      </c>
      <c r="N2062">
        <f>'raw data Crude oil'!N2063</f>
        <v>69.239999999999995</v>
      </c>
      <c r="O2062">
        <f>'raw data Crude oil'!O2063</f>
        <v>68.81</v>
      </c>
      <c r="P2062">
        <f>'raw data Crude oil'!P2063</f>
        <v>68.47</v>
      </c>
      <c r="Q2062">
        <f>'raw data Crude oil'!Q2063</f>
        <v>68.2</v>
      </c>
      <c r="R2062">
        <f>'raw data Crude oil'!R2063</f>
        <v>67.959999999999994</v>
      </c>
      <c r="S2062">
        <f>'raw data Crude oil'!S2063</f>
        <v>67.709999999999994</v>
      </c>
      <c r="T2062">
        <f>'raw data Crude oil'!T2063</f>
        <v>67.45</v>
      </c>
      <c r="U2062">
        <f>'raw data Crude oil'!U2063</f>
        <v>67.180000000000007</v>
      </c>
      <c r="V2062">
        <f>'raw data Crude oil'!V2063</f>
        <v>66.900000000000006</v>
      </c>
      <c r="W2062">
        <f>'raw data Crude oil'!W2063</f>
        <v>66.650000000000006</v>
      </c>
      <c r="X2062">
        <f>'raw data Crude oil'!X2063</f>
        <v>66.41</v>
      </c>
      <c r="Y2062">
        <f>'raw data Crude oil'!Y2063</f>
        <v>66.17</v>
      </c>
      <c r="Z2062">
        <f>'raw data Crude oil'!Z2063</f>
        <v>72.766999999999996</v>
      </c>
      <c r="AA2062">
        <f>'raw data Crude oil'!AA2063</f>
        <v>72.317999999999998</v>
      </c>
      <c r="AB2062">
        <f>'raw data Crude oil'!AB2063</f>
        <v>71.876000000000005</v>
      </c>
      <c r="AC2062">
        <f>'raw data Crude oil'!AC2063</f>
        <v>71.436000000000007</v>
      </c>
      <c r="AD2062">
        <f>'raw data Crude oil'!AD2063</f>
        <v>71.075999999999993</v>
      </c>
      <c r="AE2062">
        <f>'raw data Crude oil'!AE2063</f>
        <v>70.763000000000005</v>
      </c>
      <c r="AF2062">
        <f>'raw data Crude oil'!AF2063</f>
        <v>70.459000000000003</v>
      </c>
      <c r="AG2062">
        <f>'raw data Crude oil'!AG2063</f>
        <v>70.174999999999997</v>
      </c>
      <c r="AH2062">
        <f>'raw data Crude oil'!AH2063</f>
        <v>69.915000000000006</v>
      </c>
      <c r="AI2062">
        <f>'raw data Crude oil'!AI2063</f>
        <v>69.671000000000006</v>
      </c>
      <c r="AJ2062">
        <f>'raw data Crude oil'!AJ2063</f>
        <v>69.430999999999997</v>
      </c>
      <c r="AK2062">
        <f>'raw data Crude oil'!AK2063</f>
        <v>69.180999999999997</v>
      </c>
    </row>
    <row r="2063" spans="1:37" x14ac:dyDescent="0.3">
      <c r="A2063" s="18">
        <f>'raw data Crude oil'!A2064</f>
        <v>45650</v>
      </c>
      <c r="B2063">
        <f>'raw data Crude oil'!B2064</f>
        <v>73.58</v>
      </c>
      <c r="C2063">
        <f>'raw data Crude oil'!C2064</f>
        <v>73.17</v>
      </c>
      <c r="D2063">
        <f>'raw data Crude oil'!D2064</f>
        <v>72.77</v>
      </c>
      <c r="E2063">
        <f>'raw data Crude oil'!E2064</f>
        <v>72.44</v>
      </c>
      <c r="F2063">
        <f>'raw data Crude oil'!F2064</f>
        <v>72.150000000000006</v>
      </c>
      <c r="G2063">
        <f>'raw data Crude oil'!G2064</f>
        <v>71.89</v>
      </c>
      <c r="H2063">
        <f>'raw data Crude oil'!H2064</f>
        <v>71.63</v>
      </c>
      <c r="I2063">
        <f>'raw data Crude oil'!I2064</f>
        <v>71.37</v>
      </c>
      <c r="J2063">
        <f>'raw data Crude oil'!J2064</f>
        <v>71.13</v>
      </c>
      <c r="K2063">
        <f>'raw data Crude oil'!K2064</f>
        <v>70.900000000000006</v>
      </c>
      <c r="L2063">
        <f>'raw data Crude oil'!L2064</f>
        <v>70.69</v>
      </c>
      <c r="M2063">
        <f>'raw data Crude oil'!M2064</f>
        <v>70.47</v>
      </c>
      <c r="N2063">
        <f>'raw data Crude oil'!N2064</f>
        <v>70.099999999999994</v>
      </c>
      <c r="O2063">
        <f>'raw data Crude oil'!O2064</f>
        <v>69.64</v>
      </c>
      <c r="P2063">
        <f>'raw data Crude oil'!P2064</f>
        <v>69.27</v>
      </c>
      <c r="Q2063">
        <f>'raw data Crude oil'!Q2064</f>
        <v>68.97</v>
      </c>
      <c r="R2063">
        <f>'raw data Crude oil'!R2064</f>
        <v>68.7</v>
      </c>
      <c r="S2063">
        <f>'raw data Crude oil'!S2064</f>
        <v>68.430000000000007</v>
      </c>
      <c r="T2063">
        <f>'raw data Crude oil'!T2064</f>
        <v>68.14</v>
      </c>
      <c r="U2063">
        <f>'raw data Crude oil'!U2064</f>
        <v>67.84</v>
      </c>
      <c r="V2063">
        <f>'raw data Crude oil'!V2064</f>
        <v>67.55</v>
      </c>
      <c r="W2063">
        <f>'raw data Crude oil'!W2064</f>
        <v>67.28</v>
      </c>
      <c r="X2063">
        <f>'raw data Crude oil'!X2064</f>
        <v>67.02</v>
      </c>
      <c r="Y2063">
        <f>'raw data Crude oil'!Y2064</f>
        <v>66.77</v>
      </c>
      <c r="Z2063">
        <f>'raw data Crude oil'!Z2064</f>
        <v>72.950999999999993</v>
      </c>
      <c r="AA2063">
        <f>'raw data Crude oil'!AA2064</f>
        <v>73.156999999999996</v>
      </c>
      <c r="AB2063">
        <f>'raw data Crude oil'!AB2064</f>
        <v>72.694000000000003</v>
      </c>
      <c r="AC2063">
        <f>'raw data Crude oil'!AC2064</f>
        <v>72.227000000000004</v>
      </c>
      <c r="AD2063">
        <f>'raw data Crude oil'!AD2064</f>
        <v>71.837999999999994</v>
      </c>
      <c r="AE2063">
        <f>'raw data Crude oil'!AE2064</f>
        <v>71.507999999999996</v>
      </c>
      <c r="AF2063">
        <f>'raw data Crude oil'!AF2064</f>
        <v>71.177999999999997</v>
      </c>
      <c r="AG2063">
        <f>'raw data Crude oil'!AG2064</f>
        <v>70.89</v>
      </c>
      <c r="AH2063">
        <f>'raw data Crude oil'!AH2064</f>
        <v>70.619</v>
      </c>
      <c r="AI2063">
        <f>'raw data Crude oil'!AI2064</f>
        <v>70.358000000000004</v>
      </c>
      <c r="AJ2063">
        <f>'raw data Crude oil'!AJ2064</f>
        <v>70.11</v>
      </c>
      <c r="AK2063">
        <f>'raw data Crude oil'!AK2064</f>
        <v>69.86</v>
      </c>
    </row>
    <row r="2064" spans="1:37" x14ac:dyDescent="0.3">
      <c r="A2064" s="18">
        <f>'raw data Crude oil'!A2065</f>
        <v>45652</v>
      </c>
      <c r="B2064">
        <f>'raw data Crude oil'!B2065</f>
        <v>73.260000000000005</v>
      </c>
      <c r="C2064">
        <f>'raw data Crude oil'!C2065</f>
        <v>72.849999999999994</v>
      </c>
      <c r="D2064">
        <f>'raw data Crude oil'!D2065</f>
        <v>72.430000000000007</v>
      </c>
      <c r="E2064">
        <f>'raw data Crude oil'!E2065</f>
        <v>72.09</v>
      </c>
      <c r="F2064">
        <f>'raw data Crude oil'!F2065</f>
        <v>71.8</v>
      </c>
      <c r="G2064">
        <f>'raw data Crude oil'!G2065</f>
        <v>71.53</v>
      </c>
      <c r="H2064">
        <f>'raw data Crude oil'!H2065</f>
        <v>71.27</v>
      </c>
      <c r="I2064">
        <f>'raw data Crude oil'!I2065</f>
        <v>71.02</v>
      </c>
      <c r="J2064">
        <f>'raw data Crude oil'!J2065</f>
        <v>70.78</v>
      </c>
      <c r="K2064">
        <f>'raw data Crude oil'!K2065</f>
        <v>70.55</v>
      </c>
      <c r="L2064">
        <f>'raw data Crude oil'!L2065</f>
        <v>70.34</v>
      </c>
      <c r="M2064">
        <f>'raw data Crude oil'!M2065</f>
        <v>70.12</v>
      </c>
      <c r="N2064">
        <f>'raw data Crude oil'!N2065</f>
        <v>69.62</v>
      </c>
      <c r="O2064">
        <f>'raw data Crude oil'!O2065</f>
        <v>69.23</v>
      </c>
      <c r="P2064">
        <f>'raw data Crude oil'!P2065</f>
        <v>68.91</v>
      </c>
      <c r="Q2064">
        <f>'raw data Crude oil'!Q2065</f>
        <v>68.63</v>
      </c>
      <c r="R2064">
        <f>'raw data Crude oil'!R2065</f>
        <v>68.36</v>
      </c>
      <c r="S2064">
        <f>'raw data Crude oil'!S2065</f>
        <v>68.11</v>
      </c>
      <c r="T2064">
        <f>'raw data Crude oil'!T2065</f>
        <v>67.819999999999993</v>
      </c>
      <c r="U2064">
        <f>'raw data Crude oil'!U2065</f>
        <v>67.52</v>
      </c>
      <c r="V2064">
        <f>'raw data Crude oil'!V2065</f>
        <v>67.23</v>
      </c>
      <c r="W2064">
        <f>'raw data Crude oil'!W2065</f>
        <v>66.959999999999994</v>
      </c>
      <c r="X2064">
        <f>'raw data Crude oil'!X2065</f>
        <v>66.709999999999994</v>
      </c>
      <c r="Y2064">
        <f>'raw data Crude oil'!Y2065</f>
        <v>66.459999999999994</v>
      </c>
      <c r="Z2064">
        <f>'raw data Crude oil'!Z2065</f>
        <v>72.956999999999994</v>
      </c>
      <c r="AA2064">
        <f>'raw data Crude oil'!AA2065</f>
        <v>72.866</v>
      </c>
      <c r="AB2064">
        <f>'raw data Crude oil'!AB2065</f>
        <v>72.366</v>
      </c>
      <c r="AC2064">
        <f>'raw data Crude oil'!AC2065</f>
        <v>71.885999999999996</v>
      </c>
      <c r="AD2064">
        <f>'raw data Crude oil'!AD2065</f>
        <v>71.486999999999995</v>
      </c>
      <c r="AE2064">
        <f>'raw data Crude oil'!AE2065</f>
        <v>71.144000000000005</v>
      </c>
      <c r="AF2064">
        <f>'raw data Crude oil'!AF2065</f>
        <v>70.813000000000002</v>
      </c>
      <c r="AG2064">
        <f>'raw data Crude oil'!AG2065</f>
        <v>70.52</v>
      </c>
      <c r="AH2064">
        <f>'raw data Crude oil'!AH2065</f>
        <v>70.248999999999995</v>
      </c>
      <c r="AI2064">
        <f>'raw data Crude oil'!AI2065</f>
        <v>69.989999999999995</v>
      </c>
      <c r="AJ2064">
        <f>'raw data Crude oil'!AJ2065</f>
        <v>69.73</v>
      </c>
      <c r="AK2064">
        <f>'raw data Crude oil'!AK2065</f>
        <v>69.459999999999994</v>
      </c>
    </row>
    <row r="2065" spans="1:37" x14ac:dyDescent="0.3">
      <c r="A2065" s="18">
        <f>'raw data Crude oil'!A2066</f>
        <v>45653</v>
      </c>
      <c r="B2065">
        <f>'raw data Crude oil'!B2066</f>
        <v>74.17</v>
      </c>
      <c r="C2065">
        <f>'raw data Crude oil'!C2066</f>
        <v>73.790000000000006</v>
      </c>
      <c r="D2065">
        <f>'raw data Crude oil'!D2066</f>
        <v>73.31</v>
      </c>
      <c r="E2065">
        <f>'raw data Crude oil'!E2066</f>
        <v>72.930000000000007</v>
      </c>
      <c r="F2065">
        <f>'raw data Crude oil'!F2066</f>
        <v>72.61</v>
      </c>
      <c r="G2065">
        <f>'raw data Crude oil'!G2066</f>
        <v>72.3</v>
      </c>
      <c r="H2065">
        <f>'raw data Crude oil'!H2066</f>
        <v>71.989999999999995</v>
      </c>
      <c r="I2065">
        <f>'raw data Crude oil'!I2066</f>
        <v>71.7</v>
      </c>
      <c r="J2065">
        <f>'raw data Crude oil'!J2066</f>
        <v>71.41</v>
      </c>
      <c r="K2065">
        <f>'raw data Crude oil'!K2066</f>
        <v>71.14</v>
      </c>
      <c r="L2065">
        <f>'raw data Crude oil'!L2066</f>
        <v>70.89</v>
      </c>
      <c r="M2065">
        <f>'raw data Crude oil'!M2066</f>
        <v>70.63</v>
      </c>
      <c r="N2065">
        <f>'raw data Crude oil'!N2066</f>
        <v>70.599999999999994</v>
      </c>
      <c r="O2065">
        <f>'raw data Crude oil'!O2066</f>
        <v>70.180000000000007</v>
      </c>
      <c r="P2065">
        <f>'raw data Crude oil'!P2066</f>
        <v>69.81</v>
      </c>
      <c r="Q2065">
        <f>'raw data Crude oil'!Q2066</f>
        <v>69.47</v>
      </c>
      <c r="R2065">
        <f>'raw data Crude oil'!R2066</f>
        <v>69.16</v>
      </c>
      <c r="S2065">
        <f>'raw data Crude oil'!S2066</f>
        <v>68.849999999999994</v>
      </c>
      <c r="T2065">
        <f>'raw data Crude oil'!T2066</f>
        <v>68.53</v>
      </c>
      <c r="U2065">
        <f>'raw data Crude oil'!U2066</f>
        <v>68.2</v>
      </c>
      <c r="V2065">
        <f>'raw data Crude oil'!V2066</f>
        <v>67.87</v>
      </c>
      <c r="W2065">
        <f>'raw data Crude oil'!W2066</f>
        <v>67.56</v>
      </c>
      <c r="X2065">
        <f>'raw data Crude oil'!X2066</f>
        <v>67.28</v>
      </c>
      <c r="Y2065">
        <f>'raw data Crude oil'!Y2066</f>
        <v>66.97</v>
      </c>
      <c r="Z2065">
        <f>'raw data Crude oil'!Z2066</f>
        <v>73.105000000000004</v>
      </c>
      <c r="AA2065">
        <f>'raw data Crude oil'!AA2066</f>
        <v>73.778000000000006</v>
      </c>
      <c r="AB2065">
        <f>'raw data Crude oil'!AB2066</f>
        <v>73.201999999999998</v>
      </c>
      <c r="AC2065">
        <f>'raw data Crude oil'!AC2066</f>
        <v>72.682000000000002</v>
      </c>
      <c r="AD2065">
        <f>'raw data Crude oil'!AD2066</f>
        <v>72.236999999999995</v>
      </c>
      <c r="AE2065">
        <f>'raw data Crude oil'!AE2066</f>
        <v>71.855999999999995</v>
      </c>
      <c r="AF2065">
        <f>'raw data Crude oil'!AF2066</f>
        <v>71.474999999999994</v>
      </c>
      <c r="AG2065">
        <f>'raw data Crude oil'!AG2066</f>
        <v>71.137</v>
      </c>
      <c r="AH2065">
        <f>'raw data Crude oil'!AH2066</f>
        <v>70.816999999999993</v>
      </c>
      <c r="AI2065">
        <f>'raw data Crude oil'!AI2066</f>
        <v>70.519000000000005</v>
      </c>
      <c r="AJ2065">
        <f>'raw data Crude oil'!AJ2066</f>
        <v>70.239000000000004</v>
      </c>
      <c r="AK2065">
        <f>'raw data Crude oil'!AK2066</f>
        <v>69.968999999999994</v>
      </c>
    </row>
    <row r="2066" spans="1:37" x14ac:dyDescent="0.3">
      <c r="A2066" s="18">
        <f>'raw data Crude oil'!A2067</f>
        <v>45656</v>
      </c>
      <c r="B2066">
        <f>'raw data Crude oil'!B2067</f>
        <v>74.39</v>
      </c>
      <c r="C2066">
        <f>'raw data Crude oil'!C2067</f>
        <v>73.989999999999995</v>
      </c>
      <c r="D2066">
        <f>'raw data Crude oil'!D2067</f>
        <v>73.569999999999993</v>
      </c>
      <c r="E2066">
        <f>'raw data Crude oil'!E2067</f>
        <v>73.22</v>
      </c>
      <c r="F2066">
        <f>'raw data Crude oil'!F2067</f>
        <v>72.91</v>
      </c>
      <c r="G2066">
        <f>'raw data Crude oil'!G2067</f>
        <v>72.61</v>
      </c>
      <c r="H2066">
        <f>'raw data Crude oil'!H2067</f>
        <v>72.3</v>
      </c>
      <c r="I2066">
        <f>'raw data Crude oil'!I2067</f>
        <v>72.010000000000005</v>
      </c>
      <c r="J2066">
        <f>'raw data Crude oil'!J2067</f>
        <v>71.72</v>
      </c>
      <c r="K2066">
        <f>'raw data Crude oil'!K2067</f>
        <v>71.459999999999994</v>
      </c>
      <c r="L2066">
        <f>'raw data Crude oil'!L2067</f>
        <v>71.209999999999994</v>
      </c>
      <c r="M2066">
        <f>'raw data Crude oil'!M2067</f>
        <v>70.959999999999994</v>
      </c>
      <c r="N2066">
        <f>'raw data Crude oil'!N2067</f>
        <v>70.989999999999995</v>
      </c>
      <c r="O2066">
        <f>'raw data Crude oil'!O2067</f>
        <v>70.53</v>
      </c>
      <c r="P2066">
        <f>'raw data Crude oil'!P2067</f>
        <v>70.16</v>
      </c>
      <c r="Q2066">
        <f>'raw data Crude oil'!Q2067</f>
        <v>69.819999999999993</v>
      </c>
      <c r="R2066">
        <f>'raw data Crude oil'!R2067</f>
        <v>69.5</v>
      </c>
      <c r="S2066">
        <f>'raw data Crude oil'!S2067</f>
        <v>69.180000000000007</v>
      </c>
      <c r="T2066">
        <f>'raw data Crude oil'!T2067</f>
        <v>68.849999999999994</v>
      </c>
      <c r="U2066">
        <f>'raw data Crude oil'!U2067</f>
        <v>68.52</v>
      </c>
      <c r="V2066">
        <f>'raw data Crude oil'!V2067</f>
        <v>68.19</v>
      </c>
      <c r="W2066">
        <f>'raw data Crude oil'!W2067</f>
        <v>67.88</v>
      </c>
      <c r="X2066">
        <f>'raw data Crude oil'!X2067</f>
        <v>67.599999999999994</v>
      </c>
      <c r="Y2066">
        <f>'raw data Crude oil'!Y2067</f>
        <v>67.3</v>
      </c>
      <c r="Z2066">
        <f>'raw data Crude oil'!Z2067</f>
        <v>73.167000000000002</v>
      </c>
      <c r="AA2066">
        <f>'raw data Crude oil'!AA2067</f>
        <v>74.037000000000006</v>
      </c>
      <c r="AB2066">
        <f>'raw data Crude oil'!AB2067</f>
        <v>73.399000000000001</v>
      </c>
      <c r="AC2066">
        <f>'raw data Crude oil'!AC2067</f>
        <v>72.885000000000005</v>
      </c>
      <c r="AD2066">
        <f>'raw data Crude oil'!AD2067</f>
        <v>72.448999999999998</v>
      </c>
      <c r="AE2066">
        <f>'raw data Crude oil'!AE2067</f>
        <v>72.084000000000003</v>
      </c>
      <c r="AF2066">
        <f>'raw data Crude oil'!AF2067</f>
        <v>71.721000000000004</v>
      </c>
      <c r="AG2066">
        <f>'raw data Crude oil'!AG2067</f>
        <v>71.376999999999995</v>
      </c>
      <c r="AH2066">
        <f>'raw data Crude oil'!AH2067</f>
        <v>71.048000000000002</v>
      </c>
      <c r="AI2066">
        <f>'raw data Crude oil'!AI2067</f>
        <v>70.739000000000004</v>
      </c>
      <c r="AJ2066">
        <f>'raw data Crude oil'!AJ2067</f>
        <v>70.459000000000003</v>
      </c>
      <c r="AK2066">
        <f>'raw data Crude oil'!AK2067</f>
        <v>70.177999999999997</v>
      </c>
    </row>
    <row r="2067" spans="1:37" x14ac:dyDescent="0.3">
      <c r="A2067" s="18">
        <f>'raw data Crude oil'!A2068</f>
        <v>45657</v>
      </c>
      <c r="B2067">
        <f>'raw data Crude oil'!B2068</f>
        <v>74.64</v>
      </c>
      <c r="C2067">
        <f>'raw data Crude oil'!C2068</f>
        <v>74.239999999999995</v>
      </c>
      <c r="D2067">
        <f>'raw data Crude oil'!D2068</f>
        <v>73.88</v>
      </c>
      <c r="E2067">
        <f>'raw data Crude oil'!E2068</f>
        <v>73.56</v>
      </c>
      <c r="F2067">
        <f>'raw data Crude oil'!F2068</f>
        <v>73.25</v>
      </c>
      <c r="G2067">
        <f>'raw data Crude oil'!G2068</f>
        <v>72.94</v>
      </c>
      <c r="H2067">
        <f>'raw data Crude oil'!H2068</f>
        <v>72.63</v>
      </c>
      <c r="I2067">
        <f>'raw data Crude oil'!I2068</f>
        <v>72.34</v>
      </c>
      <c r="J2067">
        <f>'raw data Crude oil'!J2068</f>
        <v>72.069999999999993</v>
      </c>
      <c r="K2067">
        <f>'raw data Crude oil'!K2068</f>
        <v>71.81</v>
      </c>
      <c r="L2067">
        <f>'raw data Crude oil'!L2068</f>
        <v>71.540000000000006</v>
      </c>
      <c r="M2067">
        <f>'raw data Crude oil'!M2068</f>
        <v>71.290000000000006</v>
      </c>
      <c r="N2067">
        <f>'raw data Crude oil'!N2068</f>
        <v>71.72</v>
      </c>
      <c r="O2067">
        <f>'raw data Crude oil'!O2068</f>
        <v>71.25</v>
      </c>
      <c r="P2067">
        <f>'raw data Crude oil'!P2068</f>
        <v>70.86</v>
      </c>
      <c r="Q2067">
        <f>'raw data Crude oil'!Q2068</f>
        <v>70.5</v>
      </c>
      <c r="R2067">
        <f>'raw data Crude oil'!R2068</f>
        <v>70.17</v>
      </c>
      <c r="S2067">
        <f>'raw data Crude oil'!S2068</f>
        <v>69.84</v>
      </c>
      <c r="T2067">
        <f>'raw data Crude oil'!T2068</f>
        <v>69.489999999999995</v>
      </c>
      <c r="U2067">
        <f>'raw data Crude oil'!U2068</f>
        <v>69.150000000000006</v>
      </c>
      <c r="V2067">
        <f>'raw data Crude oil'!V2068</f>
        <v>68.81</v>
      </c>
      <c r="W2067">
        <f>'raw data Crude oil'!W2068</f>
        <v>68.5</v>
      </c>
      <c r="X2067">
        <f>'raw data Crude oil'!X2068</f>
        <v>68.19</v>
      </c>
      <c r="Y2067">
        <f>'raw data Crude oil'!Y2068</f>
        <v>67.88</v>
      </c>
      <c r="Z2067">
        <f>'raw data Crude oil'!Z2068</f>
        <v>73.233999999999995</v>
      </c>
      <c r="AA2067">
        <f>'raw data Crude oil'!AA2068</f>
        <v>74.8</v>
      </c>
      <c r="AB2067">
        <f>'raw data Crude oil'!AB2068</f>
        <v>74.091999999999999</v>
      </c>
      <c r="AC2067">
        <f>'raw data Crude oil'!AC2068</f>
        <v>73.540000000000006</v>
      </c>
      <c r="AD2067">
        <f>'raw data Crude oil'!AD2068</f>
        <v>73.075999999999993</v>
      </c>
      <c r="AE2067">
        <f>'raw data Crude oil'!AE2068</f>
        <v>72.697000000000003</v>
      </c>
      <c r="AF2067">
        <f>'raw data Crude oil'!AF2068</f>
        <v>72.344999999999999</v>
      </c>
      <c r="AG2067">
        <f>'raw data Crude oil'!AG2068</f>
        <v>71.997</v>
      </c>
      <c r="AH2067">
        <f>'raw data Crude oil'!AH2068</f>
        <v>71.656999999999996</v>
      </c>
      <c r="AI2067">
        <f>'raw data Crude oil'!AI2068</f>
        <v>71.346000000000004</v>
      </c>
      <c r="AJ2067">
        <f>'raw data Crude oil'!AJ2068</f>
        <v>71.058000000000007</v>
      </c>
      <c r="AK2067">
        <f>'raw data Crude oil'!AK2068</f>
        <v>70.768000000000001</v>
      </c>
    </row>
    <row r="2068" spans="1:37" x14ac:dyDescent="0.3">
      <c r="A2068" s="18">
        <f>'raw data Crude oil'!A2069</f>
        <v>45659</v>
      </c>
      <c r="B2068">
        <f>'raw data Crude oil'!B2069</f>
        <v>75.930000000000007</v>
      </c>
      <c r="C2068">
        <f>'raw data Crude oil'!C2069</f>
        <v>75.44</v>
      </c>
      <c r="D2068">
        <f>'raw data Crude oil'!D2069</f>
        <v>75.010000000000005</v>
      </c>
      <c r="E2068">
        <f>'raw data Crude oil'!E2069</f>
        <v>74.64</v>
      </c>
      <c r="F2068">
        <f>'raw data Crude oil'!F2069</f>
        <v>74.27</v>
      </c>
      <c r="G2068">
        <f>'raw data Crude oil'!G2069</f>
        <v>73.900000000000006</v>
      </c>
      <c r="H2068">
        <f>'raw data Crude oil'!H2069</f>
        <v>73.55</v>
      </c>
      <c r="I2068">
        <f>'raw data Crude oil'!I2069</f>
        <v>73.22</v>
      </c>
      <c r="J2068">
        <f>'raw data Crude oil'!J2069</f>
        <v>72.900000000000006</v>
      </c>
      <c r="K2068">
        <f>'raw data Crude oil'!K2069</f>
        <v>72.61</v>
      </c>
      <c r="L2068">
        <f>'raw data Crude oil'!L2069</f>
        <v>72.319999999999993</v>
      </c>
      <c r="M2068">
        <f>'raw data Crude oil'!M2069</f>
        <v>72.040000000000006</v>
      </c>
      <c r="N2068">
        <f>'raw data Crude oil'!N2069</f>
        <v>73.13</v>
      </c>
      <c r="O2068">
        <f>'raw data Crude oil'!O2069</f>
        <v>72.5</v>
      </c>
      <c r="P2068">
        <f>'raw data Crude oil'!P2069</f>
        <v>72.010000000000005</v>
      </c>
      <c r="Q2068">
        <f>'raw data Crude oil'!Q2069</f>
        <v>71.599999999999994</v>
      </c>
      <c r="R2068">
        <f>'raw data Crude oil'!R2069</f>
        <v>71.209999999999994</v>
      </c>
      <c r="S2068">
        <f>'raw data Crude oil'!S2069</f>
        <v>70.83</v>
      </c>
      <c r="T2068">
        <f>'raw data Crude oil'!T2069</f>
        <v>70.430000000000007</v>
      </c>
      <c r="U2068">
        <f>'raw data Crude oil'!U2069</f>
        <v>70.03</v>
      </c>
      <c r="V2068">
        <f>'raw data Crude oil'!V2069</f>
        <v>69.64</v>
      </c>
      <c r="W2068">
        <f>'raw data Crude oil'!W2069</f>
        <v>69.28</v>
      </c>
      <c r="X2068">
        <f>'raw data Crude oil'!X2069</f>
        <v>68.95</v>
      </c>
      <c r="Y2068">
        <f>'raw data Crude oil'!Y2069</f>
        <v>68.61</v>
      </c>
      <c r="Z2068">
        <f>'raw data Crude oil'!Z2069</f>
        <v>73.233999999999995</v>
      </c>
      <c r="AA2068">
        <f>'raw data Crude oil'!AA2069</f>
        <v>76.23</v>
      </c>
      <c r="AB2068">
        <f>'raw data Crude oil'!AB2069</f>
        <v>75.478999999999999</v>
      </c>
      <c r="AC2068">
        <f>'raw data Crude oil'!AC2069</f>
        <v>74.841999999999999</v>
      </c>
      <c r="AD2068">
        <f>'raw data Crude oil'!AD2069</f>
        <v>74.302000000000007</v>
      </c>
      <c r="AE2068">
        <f>'raw data Crude oil'!AE2069</f>
        <v>73.832999999999998</v>
      </c>
      <c r="AF2068">
        <f>'raw data Crude oil'!AF2069</f>
        <v>73.403000000000006</v>
      </c>
      <c r="AG2068">
        <f>'raw data Crude oil'!AG2069</f>
        <v>73.006</v>
      </c>
      <c r="AH2068">
        <f>'raw data Crude oil'!AH2069</f>
        <v>72.625</v>
      </c>
      <c r="AI2068">
        <f>'raw data Crude oil'!AI2069</f>
        <v>72.266999999999996</v>
      </c>
      <c r="AJ2068">
        <f>'raw data Crude oil'!AJ2069</f>
        <v>71.936999999999998</v>
      </c>
      <c r="AK2068">
        <f>'raw data Crude oil'!AK2069</f>
        <v>71.605999999999995</v>
      </c>
    </row>
    <row r="2069" spans="1:37" x14ac:dyDescent="0.3">
      <c r="A2069" s="18">
        <f>'raw data Crude oil'!A2070</f>
        <v>45660</v>
      </c>
      <c r="B2069">
        <f>'raw data Crude oil'!B2070</f>
        <v>76.510000000000005</v>
      </c>
      <c r="C2069">
        <f>'raw data Crude oil'!C2070</f>
        <v>75.930000000000007</v>
      </c>
      <c r="D2069">
        <f>'raw data Crude oil'!D2070</f>
        <v>75.47</v>
      </c>
      <c r="E2069">
        <f>'raw data Crude oil'!E2070</f>
        <v>75.069999999999993</v>
      </c>
      <c r="F2069">
        <f>'raw data Crude oil'!F2070</f>
        <v>74.69</v>
      </c>
      <c r="G2069">
        <f>'raw data Crude oil'!G2070</f>
        <v>74.319999999999993</v>
      </c>
      <c r="H2069">
        <f>'raw data Crude oil'!H2070</f>
        <v>73.959999999999994</v>
      </c>
      <c r="I2069">
        <f>'raw data Crude oil'!I2070</f>
        <v>73.61</v>
      </c>
      <c r="J2069">
        <f>'raw data Crude oil'!J2070</f>
        <v>73.28</v>
      </c>
      <c r="K2069">
        <f>'raw data Crude oil'!K2070</f>
        <v>72.97</v>
      </c>
      <c r="L2069">
        <f>'raw data Crude oil'!L2070</f>
        <v>72.650000000000006</v>
      </c>
      <c r="M2069">
        <f>'raw data Crude oil'!M2070</f>
        <v>72.349999999999994</v>
      </c>
      <c r="N2069">
        <f>'raw data Crude oil'!N2070</f>
        <v>73.959999999999994</v>
      </c>
      <c r="O2069">
        <f>'raw data Crude oil'!O2070</f>
        <v>73.209999999999994</v>
      </c>
      <c r="P2069">
        <f>'raw data Crude oil'!P2070</f>
        <v>72.650000000000006</v>
      </c>
      <c r="Q2069">
        <f>'raw data Crude oil'!Q2070</f>
        <v>72.19</v>
      </c>
      <c r="R2069">
        <f>'raw data Crude oil'!R2070</f>
        <v>71.78</v>
      </c>
      <c r="S2069">
        <f>'raw data Crude oil'!S2070</f>
        <v>71.38</v>
      </c>
      <c r="T2069">
        <f>'raw data Crude oil'!T2070</f>
        <v>70.97</v>
      </c>
      <c r="U2069">
        <f>'raw data Crude oil'!U2070</f>
        <v>70.55</v>
      </c>
      <c r="V2069">
        <f>'raw data Crude oil'!V2070</f>
        <v>70.14</v>
      </c>
      <c r="W2069">
        <f>'raw data Crude oil'!W2070</f>
        <v>69.77</v>
      </c>
      <c r="X2069">
        <f>'raw data Crude oil'!X2070</f>
        <v>69.39</v>
      </c>
      <c r="Y2069">
        <f>'raw data Crude oil'!Y2070</f>
        <v>69.02</v>
      </c>
      <c r="Z2069">
        <f>'raw data Crude oil'!Z2070</f>
        <v>76.73</v>
      </c>
      <c r="AA2069">
        <f>'raw data Crude oil'!AA2070</f>
        <v>75.947000000000003</v>
      </c>
      <c r="AB2069">
        <f>'raw data Crude oil'!AB2070</f>
        <v>75.281000000000006</v>
      </c>
      <c r="AC2069">
        <f>'raw data Crude oil'!AC2070</f>
        <v>74.715999999999994</v>
      </c>
      <c r="AD2069">
        <f>'raw data Crude oil'!AD2070</f>
        <v>74.25</v>
      </c>
      <c r="AE2069">
        <f>'raw data Crude oil'!AE2070</f>
        <v>73.819999999999993</v>
      </c>
      <c r="AF2069">
        <f>'raw data Crude oil'!AF2070</f>
        <v>73.394999999999996</v>
      </c>
      <c r="AG2069">
        <f>'raw data Crude oil'!AG2070</f>
        <v>72.994</v>
      </c>
      <c r="AH2069">
        <f>'raw data Crude oil'!AH2070</f>
        <v>72.605999999999995</v>
      </c>
      <c r="AI2069">
        <f>'raw data Crude oil'!AI2070</f>
        <v>72.245999999999995</v>
      </c>
      <c r="AJ2069">
        <f>'raw data Crude oil'!AJ2070</f>
        <v>71.905000000000001</v>
      </c>
      <c r="AK2069">
        <f>'raw data Crude oil'!AK2070</f>
        <v>71.578000000000003</v>
      </c>
    </row>
    <row r="2070" spans="1:37" x14ac:dyDescent="0.3">
      <c r="A2070" s="18">
        <f>'raw data Crude oil'!A2071</f>
        <v>45663</v>
      </c>
      <c r="B2070">
        <f>'raw data Crude oil'!B2071</f>
        <v>76.3</v>
      </c>
      <c r="C2070">
        <f>'raw data Crude oil'!C2071</f>
        <v>75.709999999999994</v>
      </c>
      <c r="D2070">
        <f>'raw data Crude oil'!D2071</f>
        <v>75.239999999999995</v>
      </c>
      <c r="E2070">
        <f>'raw data Crude oil'!E2071</f>
        <v>74.86</v>
      </c>
      <c r="F2070">
        <f>'raw data Crude oil'!F2071</f>
        <v>74.510000000000005</v>
      </c>
      <c r="G2070">
        <f>'raw data Crude oil'!G2071</f>
        <v>74.16</v>
      </c>
      <c r="H2070">
        <f>'raw data Crude oil'!H2071</f>
        <v>73.819999999999993</v>
      </c>
      <c r="I2070">
        <f>'raw data Crude oil'!I2071</f>
        <v>73.489999999999995</v>
      </c>
      <c r="J2070">
        <f>'raw data Crude oil'!J2071</f>
        <v>73.180000000000007</v>
      </c>
      <c r="K2070">
        <f>'raw data Crude oil'!K2071</f>
        <v>72.89</v>
      </c>
      <c r="L2070">
        <f>'raw data Crude oil'!L2071</f>
        <v>72.599999999999994</v>
      </c>
      <c r="M2070">
        <f>'raw data Crude oil'!M2071</f>
        <v>72.319999999999993</v>
      </c>
      <c r="N2070">
        <f>'raw data Crude oil'!N2071</f>
        <v>73.56</v>
      </c>
      <c r="O2070">
        <f>'raw data Crude oil'!O2071</f>
        <v>72.92</v>
      </c>
      <c r="P2070">
        <f>'raw data Crude oil'!P2071</f>
        <v>72.400000000000006</v>
      </c>
      <c r="Q2070">
        <f>'raw data Crude oil'!Q2071</f>
        <v>71.989999999999995</v>
      </c>
      <c r="R2070">
        <f>'raw data Crude oil'!R2071</f>
        <v>71.63</v>
      </c>
      <c r="S2070">
        <f>'raw data Crude oil'!S2071</f>
        <v>71.27</v>
      </c>
      <c r="T2070">
        <f>'raw data Crude oil'!T2071</f>
        <v>70.89</v>
      </c>
      <c r="U2070">
        <f>'raw data Crude oil'!U2071</f>
        <v>70.5</v>
      </c>
      <c r="V2070">
        <f>'raw data Crude oil'!V2071</f>
        <v>70.11</v>
      </c>
      <c r="W2070">
        <f>'raw data Crude oil'!W2071</f>
        <v>69.75</v>
      </c>
      <c r="X2070">
        <f>'raw data Crude oil'!X2071</f>
        <v>69.42</v>
      </c>
      <c r="Y2070">
        <f>'raw data Crude oil'!Y2071</f>
        <v>69.08</v>
      </c>
      <c r="Z2070">
        <f>'raw data Crude oil'!Z2071</f>
        <v>76.463999999999999</v>
      </c>
      <c r="AA2070">
        <f>'raw data Crude oil'!AA2071</f>
        <v>75.679000000000002</v>
      </c>
      <c r="AB2070">
        <f>'raw data Crude oil'!AB2071</f>
        <v>75.001999999999995</v>
      </c>
      <c r="AC2070">
        <f>'raw data Crude oil'!AC2071</f>
        <v>74.442999999999998</v>
      </c>
      <c r="AD2070">
        <f>'raw data Crude oil'!AD2071</f>
        <v>73.992000000000004</v>
      </c>
      <c r="AE2070">
        <f>'raw data Crude oil'!AE2071</f>
        <v>73.581999999999994</v>
      </c>
      <c r="AF2070">
        <f>'raw data Crude oil'!AF2071</f>
        <v>73.191000000000003</v>
      </c>
      <c r="AG2070">
        <f>'raw data Crude oil'!AG2071</f>
        <v>72.83</v>
      </c>
      <c r="AH2070">
        <f>'raw data Crude oil'!AH2071</f>
        <v>72.489000000000004</v>
      </c>
      <c r="AI2070">
        <f>'raw data Crude oil'!AI2071</f>
        <v>72.167000000000002</v>
      </c>
      <c r="AJ2070">
        <f>'raw data Crude oil'!AJ2071</f>
        <v>71.846000000000004</v>
      </c>
      <c r="AK2070">
        <f>'raw data Crude oil'!AK2071</f>
        <v>71.537999999999997</v>
      </c>
    </row>
    <row r="2071" spans="1:37" x14ac:dyDescent="0.3">
      <c r="A2071" s="18">
        <f>'raw data Crude oil'!A2072</f>
        <v>45664</v>
      </c>
      <c r="B2071">
        <f>'raw data Crude oil'!B2072</f>
        <v>77.05</v>
      </c>
      <c r="C2071">
        <f>'raw data Crude oil'!C2072</f>
        <v>76.400000000000006</v>
      </c>
      <c r="D2071">
        <f>'raw data Crude oil'!D2072</f>
        <v>75.87</v>
      </c>
      <c r="E2071">
        <f>'raw data Crude oil'!E2072</f>
        <v>75.45</v>
      </c>
      <c r="F2071">
        <f>'raw data Crude oil'!F2072</f>
        <v>75.06</v>
      </c>
      <c r="G2071">
        <f>'raw data Crude oil'!G2072</f>
        <v>74.67</v>
      </c>
      <c r="H2071">
        <f>'raw data Crude oil'!H2072</f>
        <v>74.3</v>
      </c>
      <c r="I2071">
        <f>'raw data Crude oil'!I2072</f>
        <v>73.94</v>
      </c>
      <c r="J2071">
        <f>'raw data Crude oil'!J2072</f>
        <v>73.599999999999994</v>
      </c>
      <c r="K2071">
        <f>'raw data Crude oil'!K2072</f>
        <v>73.28</v>
      </c>
      <c r="L2071">
        <f>'raw data Crude oil'!L2072</f>
        <v>72.959999999999994</v>
      </c>
      <c r="M2071">
        <f>'raw data Crude oil'!M2072</f>
        <v>72.67</v>
      </c>
      <c r="N2071">
        <f>'raw data Crude oil'!N2072</f>
        <v>74.25</v>
      </c>
      <c r="O2071">
        <f>'raw data Crude oil'!O2072</f>
        <v>73.569999999999993</v>
      </c>
      <c r="P2071">
        <f>'raw data Crude oil'!P2072</f>
        <v>73.010000000000005</v>
      </c>
      <c r="Q2071">
        <f>'raw data Crude oil'!Q2072</f>
        <v>72.56</v>
      </c>
      <c r="R2071">
        <f>'raw data Crude oil'!R2072</f>
        <v>72.16</v>
      </c>
      <c r="S2071">
        <f>'raw data Crude oil'!S2072</f>
        <v>71.77</v>
      </c>
      <c r="T2071">
        <f>'raw data Crude oil'!T2072</f>
        <v>71.349999999999994</v>
      </c>
      <c r="U2071">
        <f>'raw data Crude oil'!U2072</f>
        <v>70.930000000000007</v>
      </c>
      <c r="V2071">
        <f>'raw data Crude oil'!V2072</f>
        <v>70.5</v>
      </c>
      <c r="W2071">
        <f>'raw data Crude oil'!W2072</f>
        <v>70.099999999999994</v>
      </c>
      <c r="X2071">
        <f>'raw data Crude oil'!X2072</f>
        <v>69.73</v>
      </c>
      <c r="Y2071">
        <f>'raw data Crude oil'!Y2072</f>
        <v>69.349999999999994</v>
      </c>
      <c r="Z2071">
        <f>'raw data Crude oil'!Z2072</f>
        <v>76.911000000000001</v>
      </c>
      <c r="AA2071">
        <f>'raw data Crude oil'!AA2072</f>
        <v>76.241</v>
      </c>
      <c r="AB2071">
        <f>'raw data Crude oil'!AB2072</f>
        <v>75.557000000000002</v>
      </c>
      <c r="AC2071">
        <f>'raw data Crude oil'!AC2072</f>
        <v>74.980999999999995</v>
      </c>
      <c r="AD2071">
        <f>'raw data Crude oil'!AD2072</f>
        <v>74.512</v>
      </c>
      <c r="AE2071">
        <f>'raw data Crude oil'!AE2072</f>
        <v>74.072000000000003</v>
      </c>
      <c r="AF2071">
        <f>'raw data Crude oil'!AF2072</f>
        <v>73.649000000000001</v>
      </c>
      <c r="AG2071">
        <f>'raw data Crude oil'!AG2072</f>
        <v>73.254999999999995</v>
      </c>
      <c r="AH2071">
        <f>'raw data Crude oil'!AH2072</f>
        <v>72.875</v>
      </c>
      <c r="AI2071">
        <f>'raw data Crude oil'!AI2072</f>
        <v>72.516000000000005</v>
      </c>
      <c r="AJ2071">
        <f>'raw data Crude oil'!AJ2072</f>
        <v>72.165999999999997</v>
      </c>
      <c r="AK2071">
        <f>'raw data Crude oil'!AK2072</f>
        <v>71.837000000000003</v>
      </c>
    </row>
    <row r="2072" spans="1:37" x14ac:dyDescent="0.3">
      <c r="A2072" s="18">
        <f>'raw data Crude oil'!A2073</f>
        <v>45665</v>
      </c>
      <c r="B2072">
        <f>'raw data Crude oil'!B2073</f>
        <v>76.16</v>
      </c>
      <c r="C2072">
        <f>'raw data Crude oil'!C2073</f>
        <v>75.58</v>
      </c>
      <c r="D2072">
        <f>'raw data Crude oil'!D2073</f>
        <v>75.11</v>
      </c>
      <c r="E2072">
        <f>'raw data Crude oil'!E2073</f>
        <v>74.72</v>
      </c>
      <c r="F2072">
        <f>'raw data Crude oil'!F2073</f>
        <v>74.36</v>
      </c>
      <c r="G2072">
        <f>'raw data Crude oil'!G2073</f>
        <v>74</v>
      </c>
      <c r="H2072">
        <f>'raw data Crude oil'!H2073</f>
        <v>73.650000000000006</v>
      </c>
      <c r="I2072">
        <f>'raw data Crude oil'!I2073</f>
        <v>73.31</v>
      </c>
      <c r="J2072">
        <f>'raw data Crude oil'!J2073</f>
        <v>72.989999999999995</v>
      </c>
      <c r="K2072">
        <f>'raw data Crude oil'!K2073</f>
        <v>72.69</v>
      </c>
      <c r="L2072">
        <f>'raw data Crude oil'!L2073</f>
        <v>72.400000000000006</v>
      </c>
      <c r="M2072">
        <f>'raw data Crude oil'!M2073</f>
        <v>72.12</v>
      </c>
      <c r="N2072">
        <f>'raw data Crude oil'!N2073</f>
        <v>73.319999999999993</v>
      </c>
      <c r="O2072">
        <f>'raw data Crude oil'!O2073</f>
        <v>72.67</v>
      </c>
      <c r="P2072">
        <f>'raw data Crude oil'!P2073</f>
        <v>72.16</v>
      </c>
      <c r="Q2072">
        <f>'raw data Crude oil'!Q2073</f>
        <v>71.760000000000005</v>
      </c>
      <c r="R2072">
        <f>'raw data Crude oil'!R2073</f>
        <v>71.400000000000006</v>
      </c>
      <c r="S2072">
        <f>'raw data Crude oil'!S2073</f>
        <v>71.03</v>
      </c>
      <c r="T2072">
        <f>'raw data Crude oil'!T2073</f>
        <v>70.650000000000006</v>
      </c>
      <c r="U2072">
        <f>'raw data Crude oil'!U2073</f>
        <v>70.25</v>
      </c>
      <c r="V2072">
        <f>'raw data Crude oil'!V2073</f>
        <v>69.849999999999994</v>
      </c>
      <c r="W2072">
        <f>'raw data Crude oil'!W2073</f>
        <v>69.48</v>
      </c>
      <c r="X2072">
        <f>'raw data Crude oil'!X2073</f>
        <v>69.12</v>
      </c>
      <c r="Y2072">
        <f>'raw data Crude oil'!Y2073</f>
        <v>68.77</v>
      </c>
      <c r="Z2072">
        <f>'raw data Crude oil'!Z2073</f>
        <v>76.185000000000002</v>
      </c>
      <c r="AA2072">
        <f>'raw data Crude oil'!AA2073</f>
        <v>75.325999999999993</v>
      </c>
      <c r="AB2072">
        <f>'raw data Crude oil'!AB2073</f>
        <v>74.695999999999998</v>
      </c>
      <c r="AC2072">
        <f>'raw data Crude oil'!AC2073</f>
        <v>74.174999999999997</v>
      </c>
      <c r="AD2072">
        <f>'raw data Crude oil'!AD2073</f>
        <v>73.724000000000004</v>
      </c>
      <c r="AE2072">
        <f>'raw data Crude oil'!AE2073</f>
        <v>73.293000000000006</v>
      </c>
      <c r="AF2072">
        <f>'raw data Crude oil'!AF2073</f>
        <v>72.891999999999996</v>
      </c>
      <c r="AG2072">
        <f>'raw data Crude oil'!AG2073</f>
        <v>72.531000000000006</v>
      </c>
      <c r="AH2072">
        <f>'raw data Crude oil'!AH2073</f>
        <v>72.171999999999997</v>
      </c>
      <c r="AI2072">
        <f>'raw data Crude oil'!AI2073</f>
        <v>71.850999999999999</v>
      </c>
      <c r="AJ2072">
        <f>'raw data Crude oil'!AJ2073</f>
        <v>71.551000000000002</v>
      </c>
      <c r="AK2072">
        <f>'raw data Crude oil'!AK2073</f>
        <v>71.23</v>
      </c>
    </row>
    <row r="2073" spans="1:37" x14ac:dyDescent="0.3">
      <c r="A2073" s="18">
        <f>'raw data Crude oil'!A2074</f>
        <v>45666</v>
      </c>
      <c r="B2073">
        <f>'raw data Crude oil'!B2074</f>
        <v>76.92</v>
      </c>
      <c r="C2073">
        <f>'raw data Crude oil'!C2074</f>
        <v>76.25</v>
      </c>
      <c r="D2073">
        <f>'raw data Crude oil'!D2074</f>
        <v>75.709999999999994</v>
      </c>
      <c r="E2073">
        <f>'raw data Crude oil'!E2074</f>
        <v>75.260000000000005</v>
      </c>
      <c r="F2073">
        <f>'raw data Crude oil'!F2074</f>
        <v>74.849999999999994</v>
      </c>
      <c r="G2073">
        <f>'raw data Crude oil'!G2074</f>
        <v>74.459999999999994</v>
      </c>
      <c r="H2073">
        <f>'raw data Crude oil'!H2074</f>
        <v>74.069999999999993</v>
      </c>
      <c r="I2073">
        <f>'raw data Crude oil'!I2074</f>
        <v>73.709999999999994</v>
      </c>
      <c r="J2073">
        <f>'raw data Crude oil'!J2074</f>
        <v>73.36</v>
      </c>
      <c r="K2073">
        <f>'raw data Crude oil'!K2074</f>
        <v>73.03</v>
      </c>
      <c r="L2073">
        <f>'raw data Crude oil'!L2074</f>
        <v>72.709999999999994</v>
      </c>
      <c r="M2073">
        <f>'raw data Crude oil'!M2074</f>
        <v>72.41</v>
      </c>
      <c r="N2073">
        <f>'raw data Crude oil'!N2074</f>
        <v>73.92</v>
      </c>
      <c r="O2073">
        <f>'raw data Crude oil'!O2074</f>
        <v>73.239999999999995</v>
      </c>
      <c r="P2073">
        <f>'raw data Crude oil'!P2074</f>
        <v>72.7</v>
      </c>
      <c r="Q2073">
        <f>'raw data Crude oil'!Q2074</f>
        <v>72.260000000000005</v>
      </c>
      <c r="R2073">
        <f>'raw data Crude oil'!R2074</f>
        <v>71.86</v>
      </c>
      <c r="S2073">
        <f>'raw data Crude oil'!S2074</f>
        <v>71.45</v>
      </c>
      <c r="T2073">
        <f>'raw data Crude oil'!T2074</f>
        <v>71.03</v>
      </c>
      <c r="U2073">
        <f>'raw data Crude oil'!U2074</f>
        <v>70.61</v>
      </c>
      <c r="V2073">
        <f>'raw data Crude oil'!V2074</f>
        <v>70.19</v>
      </c>
      <c r="W2073">
        <f>'raw data Crude oil'!W2074</f>
        <v>69.790000000000006</v>
      </c>
      <c r="X2073">
        <f>'raw data Crude oil'!X2074</f>
        <v>69.42</v>
      </c>
      <c r="Y2073">
        <f>'raw data Crude oil'!Y2074</f>
        <v>69.05</v>
      </c>
      <c r="Z2073">
        <f>'raw data Crude oil'!Z2074</f>
        <v>76.828000000000003</v>
      </c>
      <c r="AA2073">
        <f>'raw data Crude oil'!AA2074</f>
        <v>76.119</v>
      </c>
      <c r="AB2073">
        <f>'raw data Crude oil'!AB2074</f>
        <v>75.421999999999997</v>
      </c>
      <c r="AC2073">
        <f>'raw data Crude oil'!AC2074</f>
        <v>74.83</v>
      </c>
      <c r="AD2073">
        <f>'raw data Crude oil'!AD2074</f>
        <v>74.311999999999998</v>
      </c>
      <c r="AE2073">
        <f>'raw data Crude oil'!AE2074</f>
        <v>73.850999999999999</v>
      </c>
      <c r="AF2073">
        <f>'raw data Crude oil'!AF2074</f>
        <v>73.414000000000001</v>
      </c>
      <c r="AG2073">
        <f>'raw data Crude oil'!AG2074</f>
        <v>73.028000000000006</v>
      </c>
      <c r="AH2073">
        <f>'raw data Crude oil'!AH2074</f>
        <v>72.650000000000006</v>
      </c>
      <c r="AI2073">
        <f>'raw data Crude oil'!AI2074</f>
        <v>72.281000000000006</v>
      </c>
      <c r="AJ2073">
        <f>'raw data Crude oil'!AJ2074</f>
        <v>71.92</v>
      </c>
      <c r="AK2073">
        <f>'raw data Crude oil'!AK2074</f>
        <v>71.605999999999995</v>
      </c>
    </row>
    <row r="2074" spans="1:37" x14ac:dyDescent="0.3">
      <c r="A2074" s="18">
        <f>'raw data Crude oil'!A2075</f>
        <v>45667</v>
      </c>
      <c r="B2074">
        <f>'raw data Crude oil'!B2075</f>
        <v>79.760000000000005</v>
      </c>
      <c r="C2074">
        <f>'raw data Crude oil'!C2075</f>
        <v>78.849999999999994</v>
      </c>
      <c r="D2074">
        <f>'raw data Crude oil'!D2075</f>
        <v>78.06</v>
      </c>
      <c r="E2074">
        <f>'raw data Crude oil'!E2075</f>
        <v>77.37</v>
      </c>
      <c r="F2074">
        <f>'raw data Crude oil'!F2075</f>
        <v>76.75</v>
      </c>
      <c r="G2074">
        <f>'raw data Crude oil'!G2075</f>
        <v>76.17</v>
      </c>
      <c r="H2074">
        <f>'raw data Crude oil'!H2075</f>
        <v>75.64</v>
      </c>
      <c r="I2074">
        <f>'raw data Crude oil'!I2075</f>
        <v>75.14</v>
      </c>
      <c r="J2074">
        <f>'raw data Crude oil'!J2075</f>
        <v>74.69</v>
      </c>
      <c r="K2074">
        <f>'raw data Crude oil'!K2075</f>
        <v>74.27</v>
      </c>
      <c r="L2074">
        <f>'raw data Crude oil'!L2075</f>
        <v>73.87</v>
      </c>
      <c r="M2074">
        <f>'raw data Crude oil'!M2075</f>
        <v>73.5</v>
      </c>
      <c r="N2074">
        <f>'raw data Crude oil'!N2075</f>
        <v>76.569999999999993</v>
      </c>
      <c r="O2074">
        <f>'raw data Crude oil'!O2075</f>
        <v>75.75</v>
      </c>
      <c r="P2074">
        <f>'raw data Crude oil'!P2075</f>
        <v>75</v>
      </c>
      <c r="Q2074">
        <f>'raw data Crude oil'!Q2075</f>
        <v>74.33</v>
      </c>
      <c r="R2074">
        <f>'raw data Crude oil'!R2075</f>
        <v>73.709999999999994</v>
      </c>
      <c r="S2074">
        <f>'raw data Crude oil'!S2075</f>
        <v>73.11</v>
      </c>
      <c r="T2074">
        <f>'raw data Crude oil'!T2075</f>
        <v>72.52</v>
      </c>
      <c r="U2074">
        <f>'raw data Crude oil'!U2075</f>
        <v>71.95</v>
      </c>
      <c r="V2074">
        <f>'raw data Crude oil'!V2075</f>
        <v>71.39</v>
      </c>
      <c r="W2074">
        <f>'raw data Crude oil'!W2075</f>
        <v>70.88</v>
      </c>
      <c r="X2074">
        <f>'raw data Crude oil'!X2075</f>
        <v>70.41</v>
      </c>
      <c r="Y2074">
        <f>'raw data Crude oil'!Y2075</f>
        <v>69.959999999999994</v>
      </c>
      <c r="Z2074">
        <f>'raw data Crude oil'!Z2075</f>
        <v>78.8</v>
      </c>
      <c r="AA2074">
        <f>'raw data Crude oil'!AA2075</f>
        <v>78.950999999999993</v>
      </c>
      <c r="AB2074">
        <f>'raw data Crude oil'!AB2075</f>
        <v>77.986000000000004</v>
      </c>
      <c r="AC2074">
        <f>'raw data Crude oil'!AC2075</f>
        <v>77.141999999999996</v>
      </c>
      <c r="AD2074">
        <f>'raw data Crude oil'!AD2075</f>
        <v>76.393000000000001</v>
      </c>
      <c r="AE2074">
        <f>'raw data Crude oil'!AE2075</f>
        <v>75.724999999999994</v>
      </c>
      <c r="AF2074">
        <f>'raw data Crude oil'!AF2075</f>
        <v>75.128</v>
      </c>
      <c r="AG2074">
        <f>'raw data Crude oil'!AG2075</f>
        <v>74.588999999999999</v>
      </c>
      <c r="AH2074">
        <f>'raw data Crude oil'!AH2075</f>
        <v>74.100999999999999</v>
      </c>
      <c r="AI2074">
        <f>'raw data Crude oil'!AI2075</f>
        <v>73.662999999999997</v>
      </c>
      <c r="AJ2074">
        <f>'raw data Crude oil'!AJ2075</f>
        <v>73.231999999999999</v>
      </c>
      <c r="AK2074">
        <f>'raw data Crude oil'!AK2075</f>
        <v>72.819999999999993</v>
      </c>
    </row>
    <row r="2075" spans="1:37" x14ac:dyDescent="0.3">
      <c r="A2075" s="18">
        <f>'raw data Crude oil'!A2076</f>
        <v>45670</v>
      </c>
      <c r="B2075">
        <f>'raw data Crude oil'!B2076</f>
        <v>81.010000000000005</v>
      </c>
      <c r="C2075">
        <f>'raw data Crude oil'!C2076</f>
        <v>79.650000000000006</v>
      </c>
      <c r="D2075">
        <f>'raw data Crude oil'!D2076</f>
        <v>78.52</v>
      </c>
      <c r="E2075">
        <f>'raw data Crude oil'!E2076</f>
        <v>77.59</v>
      </c>
      <c r="F2075">
        <f>'raw data Crude oil'!F2076</f>
        <v>76.8</v>
      </c>
      <c r="G2075">
        <f>'raw data Crude oil'!G2076</f>
        <v>76.11</v>
      </c>
      <c r="H2075">
        <f>'raw data Crude oil'!H2076</f>
        <v>75.48</v>
      </c>
      <c r="I2075">
        <f>'raw data Crude oil'!I2076</f>
        <v>74.91</v>
      </c>
      <c r="J2075">
        <f>'raw data Crude oil'!J2076</f>
        <v>74.400000000000006</v>
      </c>
      <c r="K2075">
        <f>'raw data Crude oil'!K2076</f>
        <v>73.94</v>
      </c>
      <c r="L2075">
        <f>'raw data Crude oil'!L2076</f>
        <v>73.52</v>
      </c>
      <c r="M2075">
        <f>'raw data Crude oil'!M2076</f>
        <v>73.13</v>
      </c>
      <c r="N2075">
        <f>'raw data Crude oil'!N2076</f>
        <v>78.819999999999993</v>
      </c>
      <c r="O2075">
        <f>'raw data Crude oil'!O2076</f>
        <v>77.3</v>
      </c>
      <c r="P2075">
        <f>'raw data Crude oil'!P2076</f>
        <v>75.900000000000006</v>
      </c>
      <c r="Q2075">
        <f>'raw data Crude oil'!Q2076</f>
        <v>74.77</v>
      </c>
      <c r="R2075">
        <f>'raw data Crude oil'!R2076</f>
        <v>73.83</v>
      </c>
      <c r="S2075">
        <f>'raw data Crude oil'!S2076</f>
        <v>73</v>
      </c>
      <c r="T2075">
        <f>'raw data Crude oil'!T2076</f>
        <v>72.260000000000005</v>
      </c>
      <c r="U2075">
        <f>'raw data Crude oil'!U2076</f>
        <v>71.59</v>
      </c>
      <c r="V2075">
        <f>'raw data Crude oil'!V2076</f>
        <v>70.97</v>
      </c>
      <c r="W2075">
        <f>'raw data Crude oil'!W2076</f>
        <v>70.44</v>
      </c>
      <c r="X2075">
        <f>'raw data Crude oil'!X2076</f>
        <v>69.959999999999994</v>
      </c>
      <c r="Y2075">
        <f>'raw data Crude oil'!Y2076</f>
        <v>69.5</v>
      </c>
      <c r="Z2075">
        <f>'raw data Crude oil'!Z2076</f>
        <v>79.92</v>
      </c>
      <c r="AA2075">
        <f>'raw data Crude oil'!AA2076</f>
        <v>80.114000000000004</v>
      </c>
      <c r="AB2075">
        <f>'raw data Crude oil'!AB2076</f>
        <v>78.736000000000004</v>
      </c>
      <c r="AC2075">
        <f>'raw data Crude oil'!AC2076</f>
        <v>77.549000000000007</v>
      </c>
      <c r="AD2075">
        <f>'raw data Crude oil'!AD2076</f>
        <v>76.619</v>
      </c>
      <c r="AE2075">
        <f>'raw data Crude oil'!AE2076</f>
        <v>75.825000000000003</v>
      </c>
      <c r="AF2075">
        <f>'raw data Crude oil'!AF2076</f>
        <v>75.125</v>
      </c>
      <c r="AG2075">
        <f>'raw data Crude oil'!AG2076</f>
        <v>74.510000000000005</v>
      </c>
      <c r="AH2075">
        <f>'raw data Crude oil'!AH2076</f>
        <v>73.948999999999998</v>
      </c>
      <c r="AI2075">
        <f>'raw data Crude oil'!AI2076</f>
        <v>73.477000000000004</v>
      </c>
      <c r="AJ2075">
        <f>'raw data Crude oil'!AJ2076</f>
        <v>73.025999999999996</v>
      </c>
      <c r="AK2075">
        <f>'raw data Crude oil'!AK2076</f>
        <v>72.603999999999999</v>
      </c>
    </row>
    <row r="2076" spans="1:37" x14ac:dyDescent="0.3">
      <c r="A2076" s="18">
        <f>'raw data Crude oil'!A2077</f>
        <v>45671</v>
      </c>
      <c r="B2076">
        <f>'raw data Crude oil'!B2077</f>
        <v>79.92</v>
      </c>
      <c r="C2076">
        <f>'raw data Crude oil'!C2077</f>
        <v>78.88</v>
      </c>
      <c r="D2076">
        <f>'raw data Crude oil'!D2077</f>
        <v>77.930000000000007</v>
      </c>
      <c r="E2076">
        <f>'raw data Crude oil'!E2077</f>
        <v>77.13</v>
      </c>
      <c r="F2076">
        <f>'raw data Crude oil'!F2077</f>
        <v>76.459999999999994</v>
      </c>
      <c r="G2076">
        <f>'raw data Crude oil'!G2077</f>
        <v>75.88</v>
      </c>
      <c r="H2076">
        <f>'raw data Crude oil'!H2077</f>
        <v>75.34</v>
      </c>
      <c r="I2076">
        <f>'raw data Crude oil'!I2077</f>
        <v>74.849999999999994</v>
      </c>
      <c r="J2076">
        <f>'raw data Crude oil'!J2077</f>
        <v>74.400000000000006</v>
      </c>
      <c r="K2076">
        <f>'raw data Crude oil'!K2077</f>
        <v>73.989999999999995</v>
      </c>
      <c r="L2076">
        <f>'raw data Crude oil'!L2077</f>
        <v>73.599999999999994</v>
      </c>
      <c r="M2076">
        <f>'raw data Crude oil'!M2077</f>
        <v>73.260000000000005</v>
      </c>
      <c r="N2076">
        <f>'raw data Crude oil'!N2077</f>
        <v>77.5</v>
      </c>
      <c r="O2076">
        <f>'raw data Crude oil'!O2077</f>
        <v>76.37</v>
      </c>
      <c r="P2076">
        <f>'raw data Crude oil'!P2077</f>
        <v>75.25</v>
      </c>
      <c r="Q2076">
        <f>'raw data Crude oil'!Q2077</f>
        <v>74.319999999999993</v>
      </c>
      <c r="R2076">
        <f>'raw data Crude oil'!R2077</f>
        <v>73.55</v>
      </c>
      <c r="S2076">
        <f>'raw data Crude oil'!S2077</f>
        <v>72.849999999999994</v>
      </c>
      <c r="T2076">
        <f>'raw data Crude oil'!T2077</f>
        <v>72.209999999999994</v>
      </c>
      <c r="U2076">
        <f>'raw data Crude oil'!U2077</f>
        <v>71.63</v>
      </c>
      <c r="V2076">
        <f>'raw data Crude oil'!V2077</f>
        <v>71.08</v>
      </c>
      <c r="W2076">
        <f>'raw data Crude oil'!W2077</f>
        <v>70.599999999999994</v>
      </c>
      <c r="X2076">
        <f>'raw data Crude oil'!X2077</f>
        <v>70.17</v>
      </c>
      <c r="Y2076">
        <f>'raw data Crude oil'!Y2077</f>
        <v>69.760000000000005</v>
      </c>
      <c r="Z2076">
        <f>'raw data Crude oil'!Z2077</f>
        <v>79.855000000000004</v>
      </c>
      <c r="AA2076">
        <f>'raw data Crude oil'!AA2077</f>
        <v>79.488</v>
      </c>
      <c r="AB2076">
        <f>'raw data Crude oil'!AB2077</f>
        <v>78.100999999999999</v>
      </c>
      <c r="AC2076">
        <f>'raw data Crude oil'!AC2077</f>
        <v>76.962000000000003</v>
      </c>
      <c r="AD2076">
        <f>'raw data Crude oil'!AD2077</f>
        <v>76.108000000000004</v>
      </c>
      <c r="AE2076">
        <f>'raw data Crude oil'!AE2077</f>
        <v>75.388000000000005</v>
      </c>
      <c r="AF2076">
        <f>'raw data Crude oil'!AF2077</f>
        <v>74.753</v>
      </c>
      <c r="AG2076">
        <f>'raw data Crude oil'!AG2077</f>
        <v>74.231999999999999</v>
      </c>
      <c r="AH2076">
        <f>'raw data Crude oil'!AH2077</f>
        <v>73.748000000000005</v>
      </c>
      <c r="AI2076">
        <f>'raw data Crude oil'!AI2077</f>
        <v>73.302999999999997</v>
      </c>
      <c r="AJ2076">
        <f>'raw data Crude oil'!AJ2077</f>
        <v>72.893000000000001</v>
      </c>
      <c r="AK2076">
        <f>'raw data Crude oil'!AK2077</f>
        <v>72.518000000000001</v>
      </c>
    </row>
    <row r="2077" spans="1:37" x14ac:dyDescent="0.3">
      <c r="A2077" s="18">
        <f>'raw data Crude oil'!A2078</f>
        <v>45672</v>
      </c>
      <c r="B2077">
        <f>'raw data Crude oil'!B2078</f>
        <v>82.03</v>
      </c>
      <c r="C2077">
        <f>'raw data Crude oil'!C2078</f>
        <v>80.66</v>
      </c>
      <c r="D2077">
        <f>'raw data Crude oil'!D2078</f>
        <v>79.48</v>
      </c>
      <c r="E2077">
        <f>'raw data Crude oil'!E2078</f>
        <v>78.5</v>
      </c>
      <c r="F2077">
        <f>'raw data Crude oil'!F2078</f>
        <v>77.69</v>
      </c>
      <c r="G2077">
        <f>'raw data Crude oil'!G2078</f>
        <v>76.98</v>
      </c>
      <c r="H2077">
        <f>'raw data Crude oil'!H2078</f>
        <v>76.34</v>
      </c>
      <c r="I2077">
        <f>'raw data Crude oil'!I2078</f>
        <v>75.760000000000005</v>
      </c>
      <c r="J2077">
        <f>'raw data Crude oil'!J2078</f>
        <v>75.239999999999995</v>
      </c>
      <c r="K2077">
        <f>'raw data Crude oil'!K2078</f>
        <v>74.760000000000005</v>
      </c>
      <c r="L2077">
        <f>'raw data Crude oil'!L2078</f>
        <v>74.33</v>
      </c>
      <c r="M2077">
        <f>'raw data Crude oil'!M2078</f>
        <v>73.930000000000007</v>
      </c>
      <c r="N2077">
        <f>'raw data Crude oil'!N2078</f>
        <v>80.040000000000006</v>
      </c>
      <c r="O2077">
        <f>'raw data Crude oil'!O2078</f>
        <v>78.709999999999994</v>
      </c>
      <c r="P2077">
        <f>'raw data Crude oil'!P2078</f>
        <v>77.239999999999995</v>
      </c>
      <c r="Q2077">
        <f>'raw data Crude oil'!Q2078</f>
        <v>76.02</v>
      </c>
      <c r="R2077">
        <f>'raw data Crude oil'!R2078</f>
        <v>75.02</v>
      </c>
      <c r="S2077">
        <f>'raw data Crude oil'!S2078</f>
        <v>74.16</v>
      </c>
      <c r="T2077">
        <f>'raw data Crude oil'!T2078</f>
        <v>73.37</v>
      </c>
      <c r="U2077">
        <f>'raw data Crude oil'!U2078</f>
        <v>72.66</v>
      </c>
      <c r="V2077">
        <f>'raw data Crude oil'!V2078</f>
        <v>72.010000000000005</v>
      </c>
      <c r="W2077">
        <f>'raw data Crude oil'!W2078</f>
        <v>71.44</v>
      </c>
      <c r="X2077">
        <f>'raw data Crude oil'!X2078</f>
        <v>70.930000000000007</v>
      </c>
      <c r="Y2077">
        <f>'raw data Crude oil'!Y2078</f>
        <v>70.459999999999994</v>
      </c>
      <c r="Z2077">
        <f>'raw data Crude oil'!Z2078</f>
        <v>80.884</v>
      </c>
      <c r="AA2077">
        <f>'raw data Crude oil'!AA2078</f>
        <v>81.313000000000002</v>
      </c>
      <c r="AB2077">
        <f>'raw data Crude oil'!AB2078</f>
        <v>79.792000000000002</v>
      </c>
      <c r="AC2077">
        <f>'raw data Crude oil'!AC2078</f>
        <v>78.528000000000006</v>
      </c>
      <c r="AD2077">
        <f>'raw data Crude oil'!AD2078</f>
        <v>77.575000000000003</v>
      </c>
      <c r="AE2077">
        <f>'raw data Crude oil'!AE2078</f>
        <v>76.772000000000006</v>
      </c>
      <c r="AF2077">
        <f>'raw data Crude oil'!AF2078</f>
        <v>76.081999999999994</v>
      </c>
      <c r="AG2077">
        <f>'raw data Crude oil'!AG2078</f>
        <v>75.492000000000004</v>
      </c>
      <c r="AH2077">
        <f>'raw data Crude oil'!AH2078</f>
        <v>74.941999999999993</v>
      </c>
      <c r="AI2077">
        <f>'raw data Crude oil'!AI2078</f>
        <v>74.438000000000002</v>
      </c>
      <c r="AJ2077">
        <f>'raw data Crude oil'!AJ2078</f>
        <v>73.992000000000004</v>
      </c>
      <c r="AK2077">
        <f>'raw data Crude oil'!AK2078</f>
        <v>73.561999999999998</v>
      </c>
    </row>
    <row r="2078" spans="1:37" x14ac:dyDescent="0.3">
      <c r="A2078" s="18">
        <f>'raw data Crude oil'!A2079</f>
        <v>45673</v>
      </c>
      <c r="B2078">
        <f>'raw data Crude oil'!B2079</f>
        <v>81.290000000000006</v>
      </c>
      <c r="C2078">
        <f>'raw data Crude oil'!C2079</f>
        <v>79.91</v>
      </c>
      <c r="D2078">
        <f>'raw data Crude oil'!D2079</f>
        <v>78.72</v>
      </c>
      <c r="E2078">
        <f>'raw data Crude oil'!E2079</f>
        <v>77.739999999999995</v>
      </c>
      <c r="F2078">
        <f>'raw data Crude oil'!F2079</f>
        <v>76.94</v>
      </c>
      <c r="G2078">
        <f>'raw data Crude oil'!G2079</f>
        <v>76.239999999999995</v>
      </c>
      <c r="H2078">
        <f>'raw data Crude oil'!H2079</f>
        <v>75.61</v>
      </c>
      <c r="I2078">
        <f>'raw data Crude oil'!I2079</f>
        <v>75.040000000000006</v>
      </c>
      <c r="J2078">
        <f>'raw data Crude oil'!J2079</f>
        <v>74.510000000000005</v>
      </c>
      <c r="K2078">
        <f>'raw data Crude oil'!K2079</f>
        <v>74.040000000000006</v>
      </c>
      <c r="L2078">
        <f>'raw data Crude oil'!L2079</f>
        <v>73.61</v>
      </c>
      <c r="M2078">
        <f>'raw data Crude oil'!M2079</f>
        <v>73.23</v>
      </c>
      <c r="N2078">
        <f>'raw data Crude oil'!N2079</f>
        <v>78.680000000000007</v>
      </c>
      <c r="O2078">
        <f>'raw data Crude oil'!O2079</f>
        <v>77.849999999999994</v>
      </c>
      <c r="P2078">
        <f>'raw data Crude oil'!P2079</f>
        <v>76.459999999999994</v>
      </c>
      <c r="Q2078">
        <f>'raw data Crude oil'!Q2079</f>
        <v>75.260000000000005</v>
      </c>
      <c r="R2078">
        <f>'raw data Crude oil'!R2079</f>
        <v>74.27</v>
      </c>
      <c r="S2078">
        <f>'raw data Crude oil'!S2079</f>
        <v>73.44</v>
      </c>
      <c r="T2078">
        <f>'raw data Crude oil'!T2079</f>
        <v>72.67</v>
      </c>
      <c r="U2078">
        <f>'raw data Crude oil'!U2079</f>
        <v>71.959999999999994</v>
      </c>
      <c r="V2078">
        <f>'raw data Crude oil'!V2079</f>
        <v>71.3</v>
      </c>
      <c r="W2078">
        <f>'raw data Crude oil'!W2079</f>
        <v>70.73</v>
      </c>
      <c r="X2078">
        <f>'raw data Crude oil'!X2079</f>
        <v>70.22</v>
      </c>
      <c r="Y2078">
        <f>'raw data Crude oil'!Y2079</f>
        <v>69.760000000000005</v>
      </c>
      <c r="Z2078">
        <f>'raw data Crude oil'!Z2079</f>
        <v>81.063000000000002</v>
      </c>
      <c r="AA2078">
        <f>'raw data Crude oil'!AA2079</f>
        <v>80.984999999999999</v>
      </c>
      <c r="AB2078">
        <f>'raw data Crude oil'!AB2079</f>
        <v>79.210999999999999</v>
      </c>
      <c r="AC2078">
        <f>'raw data Crude oil'!AC2079</f>
        <v>77.846999999999994</v>
      </c>
      <c r="AD2078">
        <f>'raw data Crude oil'!AD2079</f>
        <v>76.847999999999999</v>
      </c>
      <c r="AE2078">
        <f>'raw data Crude oil'!AE2079</f>
        <v>76.055000000000007</v>
      </c>
      <c r="AF2078">
        <f>'raw data Crude oil'!AF2079</f>
        <v>75.344999999999999</v>
      </c>
      <c r="AG2078">
        <f>'raw data Crude oil'!AG2079</f>
        <v>74.745000000000005</v>
      </c>
      <c r="AH2078">
        <f>'raw data Crude oil'!AH2079</f>
        <v>74.194000000000003</v>
      </c>
      <c r="AI2078">
        <f>'raw data Crude oil'!AI2079</f>
        <v>73.700999999999993</v>
      </c>
      <c r="AJ2078">
        <f>'raw data Crude oil'!AJ2079</f>
        <v>73.251000000000005</v>
      </c>
      <c r="AK2078">
        <f>'raw data Crude oil'!AK2079</f>
        <v>72.840999999999994</v>
      </c>
    </row>
    <row r="2079" spans="1:37" x14ac:dyDescent="0.3">
      <c r="A2079" s="18">
        <f>'raw data Crude oil'!A2080</f>
        <v>45674</v>
      </c>
      <c r="B2079">
        <f>'raw data Crude oil'!B2080</f>
        <v>80.790000000000006</v>
      </c>
      <c r="C2079">
        <f>'raw data Crude oil'!C2080</f>
        <v>79.569999999999993</v>
      </c>
      <c r="D2079">
        <f>'raw data Crude oil'!D2080</f>
        <v>78.430000000000007</v>
      </c>
      <c r="E2079">
        <f>'raw data Crude oil'!E2080</f>
        <v>77.45</v>
      </c>
      <c r="F2079">
        <f>'raw data Crude oil'!F2080</f>
        <v>76.66</v>
      </c>
      <c r="G2079">
        <f>'raw data Crude oil'!G2080</f>
        <v>75.98</v>
      </c>
      <c r="H2079">
        <f>'raw data Crude oil'!H2080</f>
        <v>75.349999999999994</v>
      </c>
      <c r="I2079">
        <f>'raw data Crude oil'!I2080</f>
        <v>74.790000000000006</v>
      </c>
      <c r="J2079">
        <f>'raw data Crude oil'!J2080</f>
        <v>74.260000000000005</v>
      </c>
      <c r="K2079">
        <f>'raw data Crude oil'!K2080</f>
        <v>73.8</v>
      </c>
      <c r="L2079">
        <f>'raw data Crude oil'!L2080</f>
        <v>73.38</v>
      </c>
      <c r="M2079">
        <f>'raw data Crude oil'!M2080</f>
        <v>73</v>
      </c>
      <c r="N2079">
        <f>'raw data Crude oil'!N2080</f>
        <v>77.88</v>
      </c>
      <c r="O2079">
        <f>'raw data Crude oil'!O2080</f>
        <v>77.39</v>
      </c>
      <c r="P2079">
        <f>'raw data Crude oil'!P2080</f>
        <v>76.16</v>
      </c>
      <c r="Q2079">
        <f>'raw data Crude oil'!Q2080</f>
        <v>75.05</v>
      </c>
      <c r="R2079">
        <f>'raw data Crude oil'!R2080</f>
        <v>74.08</v>
      </c>
      <c r="S2079">
        <f>'raw data Crude oil'!S2080</f>
        <v>73.239999999999995</v>
      </c>
      <c r="T2079">
        <f>'raw data Crude oil'!T2080</f>
        <v>72.48</v>
      </c>
      <c r="U2079">
        <f>'raw data Crude oil'!U2080</f>
        <v>71.78</v>
      </c>
      <c r="V2079">
        <f>'raw data Crude oil'!V2080</f>
        <v>71.12</v>
      </c>
      <c r="W2079">
        <f>'raw data Crude oil'!W2080</f>
        <v>70.540000000000006</v>
      </c>
      <c r="X2079">
        <f>'raw data Crude oil'!X2080</f>
        <v>70.040000000000006</v>
      </c>
      <c r="Y2079">
        <f>'raw data Crude oil'!Y2080</f>
        <v>69.59</v>
      </c>
      <c r="Z2079">
        <f>'raw data Crude oil'!Z2080</f>
        <v>81.066999999999993</v>
      </c>
      <c r="AA2079">
        <f>'raw data Crude oil'!AA2080</f>
        <v>80.781000000000006</v>
      </c>
      <c r="AB2079">
        <f>'raw data Crude oil'!AB2080</f>
        <v>78.878</v>
      </c>
      <c r="AC2079">
        <f>'raw data Crude oil'!AC2080</f>
        <v>77.534000000000006</v>
      </c>
      <c r="AD2079">
        <f>'raw data Crude oil'!AD2080</f>
        <v>76.569999999999993</v>
      </c>
      <c r="AE2079">
        <f>'raw data Crude oil'!AE2080</f>
        <v>75.796000000000006</v>
      </c>
      <c r="AF2079">
        <f>'raw data Crude oil'!AF2080</f>
        <v>75.096000000000004</v>
      </c>
      <c r="AG2079">
        <f>'raw data Crude oil'!AG2080</f>
        <v>74.504999999999995</v>
      </c>
      <c r="AH2079">
        <f>'raw data Crude oil'!AH2080</f>
        <v>73.959000000000003</v>
      </c>
      <c r="AI2079">
        <f>'raw data Crude oil'!AI2080</f>
        <v>73.451999999999998</v>
      </c>
      <c r="AJ2079">
        <f>'raw data Crude oil'!AJ2080</f>
        <v>73.001000000000005</v>
      </c>
      <c r="AK2079">
        <f>'raw data Crude oil'!AK2080</f>
        <v>72.591999999999999</v>
      </c>
    </row>
    <row r="2080" spans="1:37" x14ac:dyDescent="0.3">
      <c r="A2080" s="18">
        <f>'raw data Crude oil'!A2081</f>
        <v>45677</v>
      </c>
      <c r="B2080">
        <f>'raw data Crude oil'!B2081</f>
        <v>80.150000000000006</v>
      </c>
      <c r="C2080">
        <f>'raw data Crude oil'!C2081</f>
        <v>79.099999999999994</v>
      </c>
      <c r="D2080">
        <f>'raw data Crude oil'!D2081</f>
        <v>78.13</v>
      </c>
      <c r="E2080">
        <f>'raw data Crude oil'!E2081</f>
        <v>77.260000000000005</v>
      </c>
      <c r="F2080">
        <f>'raw data Crude oil'!F2081</f>
        <v>76.540000000000006</v>
      </c>
      <c r="G2080">
        <f>'raw data Crude oil'!G2081</f>
        <v>75.91</v>
      </c>
      <c r="H2080">
        <f>'raw data Crude oil'!H2081</f>
        <v>75.33</v>
      </c>
      <c r="I2080">
        <f>'raw data Crude oil'!I2081</f>
        <v>74.81</v>
      </c>
      <c r="J2080">
        <f>'raw data Crude oil'!J2081</f>
        <v>74.33</v>
      </c>
      <c r="K2080">
        <f>'raw data Crude oil'!K2081</f>
        <v>73.900000000000006</v>
      </c>
      <c r="L2080">
        <f>'raw data Crude oil'!L2081</f>
        <v>73.510000000000005</v>
      </c>
      <c r="M2080">
        <f>'raw data Crude oil'!M2081</f>
        <v>73.16</v>
      </c>
      <c r="N2080">
        <f>'raw data Crude oil'!N2081</f>
        <v>77.88</v>
      </c>
      <c r="O2080">
        <f>'raw data Crude oil'!O2081</f>
        <v>77.39</v>
      </c>
      <c r="P2080">
        <f>'raw data Crude oil'!P2081</f>
        <v>76.16</v>
      </c>
      <c r="Q2080">
        <f>'raw data Crude oil'!Q2081</f>
        <v>75.05</v>
      </c>
      <c r="R2080">
        <f>'raw data Crude oil'!R2081</f>
        <v>74.08</v>
      </c>
      <c r="S2080">
        <f>'raw data Crude oil'!S2081</f>
        <v>73.239999999999995</v>
      </c>
      <c r="T2080">
        <f>'raw data Crude oil'!T2081</f>
        <v>72.48</v>
      </c>
      <c r="U2080">
        <f>'raw data Crude oil'!U2081</f>
        <v>71.78</v>
      </c>
      <c r="V2080">
        <f>'raw data Crude oil'!V2081</f>
        <v>71.12</v>
      </c>
      <c r="W2080">
        <f>'raw data Crude oil'!W2081</f>
        <v>70.540000000000006</v>
      </c>
      <c r="X2080">
        <f>'raw data Crude oil'!X2081</f>
        <v>70.040000000000006</v>
      </c>
      <c r="Y2080">
        <f>'raw data Crude oil'!Y2081</f>
        <v>69.59</v>
      </c>
      <c r="Z2080">
        <f>'raw data Crude oil'!Z2081</f>
        <v>81.048000000000002</v>
      </c>
      <c r="AA2080">
        <f>'raw data Crude oil'!AA2081</f>
        <v>80.632000000000005</v>
      </c>
      <c r="AB2080">
        <f>'raw data Crude oil'!AB2081</f>
        <v>78.56</v>
      </c>
      <c r="AC2080">
        <f>'raw data Crude oil'!AC2081</f>
        <v>77.281000000000006</v>
      </c>
      <c r="AD2080">
        <f>'raw data Crude oil'!AD2081</f>
        <v>76.400999999999996</v>
      </c>
      <c r="AE2080">
        <f>'raw data Crude oil'!AE2081</f>
        <v>75.671999999999997</v>
      </c>
      <c r="AF2080">
        <f>'raw data Crude oil'!AF2081</f>
        <v>75.016999999999996</v>
      </c>
      <c r="AG2080">
        <f>'raw data Crude oil'!AG2081</f>
        <v>74.456999999999994</v>
      </c>
      <c r="AH2080">
        <f>'raw data Crude oil'!AH2081</f>
        <v>73.94</v>
      </c>
      <c r="AI2080">
        <f>'raw data Crude oil'!AI2081</f>
        <v>73.472999999999999</v>
      </c>
      <c r="AJ2080">
        <f>'raw data Crude oil'!AJ2081</f>
        <v>73.052999999999997</v>
      </c>
      <c r="AK2080">
        <f>'raw data Crude oil'!AK2081</f>
        <v>72.674000000000007</v>
      </c>
    </row>
    <row r="2081" spans="1:37" x14ac:dyDescent="0.3">
      <c r="A2081" s="18">
        <f>'raw data Crude oil'!A2082</f>
        <v>45678</v>
      </c>
      <c r="B2081">
        <f>'raw data Crude oil'!B2082</f>
        <v>79.290000000000006</v>
      </c>
      <c r="C2081">
        <f>'raw data Crude oil'!C2082</f>
        <v>78.400000000000006</v>
      </c>
      <c r="D2081">
        <f>'raw data Crude oil'!D2082</f>
        <v>77.58</v>
      </c>
      <c r="E2081">
        <f>'raw data Crude oil'!E2082</f>
        <v>76.81</v>
      </c>
      <c r="F2081">
        <f>'raw data Crude oil'!F2082</f>
        <v>76.16</v>
      </c>
      <c r="G2081">
        <f>'raw data Crude oil'!G2082</f>
        <v>75.58</v>
      </c>
      <c r="H2081">
        <f>'raw data Crude oil'!H2082</f>
        <v>75.040000000000006</v>
      </c>
      <c r="I2081">
        <f>'raw data Crude oil'!I2082</f>
        <v>74.540000000000006</v>
      </c>
      <c r="J2081">
        <f>'raw data Crude oil'!J2082</f>
        <v>74.069999999999993</v>
      </c>
      <c r="K2081">
        <f>'raw data Crude oil'!K2082</f>
        <v>73.650000000000006</v>
      </c>
      <c r="L2081">
        <f>'raw data Crude oil'!L2082</f>
        <v>73.260000000000005</v>
      </c>
      <c r="M2081">
        <f>'raw data Crude oil'!M2082</f>
        <v>72.91</v>
      </c>
      <c r="N2081">
        <f>'raw data Crude oil'!N2082</f>
        <v>75.89</v>
      </c>
      <c r="O2081">
        <f>'raw data Crude oil'!O2082</f>
        <v>75.83</v>
      </c>
      <c r="P2081">
        <f>'raw data Crude oil'!P2082</f>
        <v>75</v>
      </c>
      <c r="Q2081">
        <f>'raw data Crude oil'!Q2082</f>
        <v>74.16</v>
      </c>
      <c r="R2081">
        <f>'raw data Crude oil'!R2082</f>
        <v>73.36</v>
      </c>
      <c r="S2081">
        <f>'raw data Crude oil'!S2082</f>
        <v>72.66</v>
      </c>
      <c r="T2081">
        <f>'raw data Crude oil'!T2082</f>
        <v>72</v>
      </c>
      <c r="U2081">
        <f>'raw data Crude oil'!U2082</f>
        <v>71.39</v>
      </c>
      <c r="V2081">
        <f>'raw data Crude oil'!V2082</f>
        <v>70.81</v>
      </c>
      <c r="W2081">
        <f>'raw data Crude oil'!W2082</f>
        <v>70.31</v>
      </c>
      <c r="X2081">
        <f>'raw data Crude oil'!X2082</f>
        <v>69.849999999999994</v>
      </c>
      <c r="Y2081">
        <f>'raw data Crude oil'!Y2082</f>
        <v>69.430000000000007</v>
      </c>
      <c r="Z2081">
        <f>'raw data Crude oil'!Z2082</f>
        <v>80.7</v>
      </c>
      <c r="AA2081">
        <f>'raw data Crude oil'!AA2082</f>
        <v>79.826999999999998</v>
      </c>
      <c r="AB2081">
        <f>'raw data Crude oil'!AB2082</f>
        <v>77.795000000000002</v>
      </c>
      <c r="AC2081">
        <f>'raw data Crude oil'!AC2082</f>
        <v>76.676000000000002</v>
      </c>
      <c r="AD2081">
        <f>'raw data Crude oil'!AD2082</f>
        <v>75.936000000000007</v>
      </c>
      <c r="AE2081">
        <f>'raw data Crude oil'!AE2082</f>
        <v>75.283000000000001</v>
      </c>
      <c r="AF2081">
        <f>'raw data Crude oil'!AF2082</f>
        <v>74.680999999999997</v>
      </c>
      <c r="AG2081">
        <f>'raw data Crude oil'!AG2082</f>
        <v>74.144999999999996</v>
      </c>
      <c r="AH2081">
        <f>'raw data Crude oil'!AH2082</f>
        <v>73.638000000000005</v>
      </c>
      <c r="AI2081">
        <f>'raw data Crude oil'!AI2082</f>
        <v>73.177999999999997</v>
      </c>
      <c r="AJ2081">
        <f>'raw data Crude oil'!AJ2082</f>
        <v>72.748000000000005</v>
      </c>
      <c r="AK2081">
        <f>'raw data Crude oil'!AK2082</f>
        <v>72.349000000000004</v>
      </c>
    </row>
    <row r="2082" spans="1:37" x14ac:dyDescent="0.3">
      <c r="A2082" s="18">
        <f>'raw data Crude oil'!A2083</f>
        <v>45679</v>
      </c>
      <c r="B2082">
        <f>'raw data Crude oil'!B2083</f>
        <v>79</v>
      </c>
      <c r="C2082">
        <f>'raw data Crude oil'!C2083</f>
        <v>78.150000000000006</v>
      </c>
      <c r="D2082">
        <f>'raw data Crude oil'!D2083</f>
        <v>77.37</v>
      </c>
      <c r="E2082">
        <f>'raw data Crude oil'!E2083</f>
        <v>76.67</v>
      </c>
      <c r="F2082">
        <f>'raw data Crude oil'!F2083</f>
        <v>76.069999999999993</v>
      </c>
      <c r="G2082">
        <f>'raw data Crude oil'!G2083</f>
        <v>75.53</v>
      </c>
      <c r="H2082">
        <f>'raw data Crude oil'!H2083</f>
        <v>75.03</v>
      </c>
      <c r="I2082">
        <f>'raw data Crude oil'!I2083</f>
        <v>74.56</v>
      </c>
      <c r="J2082">
        <f>'raw data Crude oil'!J2083</f>
        <v>74.12</v>
      </c>
      <c r="K2082">
        <f>'raw data Crude oil'!K2083</f>
        <v>73.709999999999994</v>
      </c>
      <c r="L2082">
        <f>'raw data Crude oil'!L2083</f>
        <v>73.33</v>
      </c>
      <c r="M2082">
        <f>'raw data Crude oil'!M2083</f>
        <v>72.98</v>
      </c>
      <c r="N2082">
        <f>'raw data Crude oil'!N2083</f>
        <v>75.44</v>
      </c>
      <c r="O2082">
        <f>'raw data Crude oil'!O2083</f>
        <v>74.69</v>
      </c>
      <c r="P2082">
        <f>'raw data Crude oil'!P2083</f>
        <v>73.98</v>
      </c>
      <c r="Q2082">
        <f>'raw data Crude oil'!Q2083</f>
        <v>73.27</v>
      </c>
      <c r="R2082">
        <f>'raw data Crude oil'!R2083</f>
        <v>72.63</v>
      </c>
      <c r="S2082">
        <f>'raw data Crude oil'!S2083</f>
        <v>72.02</v>
      </c>
      <c r="T2082">
        <f>'raw data Crude oil'!T2083</f>
        <v>71.459999999999994</v>
      </c>
      <c r="U2082">
        <f>'raw data Crude oil'!U2083</f>
        <v>70.92</v>
      </c>
      <c r="V2082">
        <f>'raw data Crude oil'!V2083</f>
        <v>70.430000000000007</v>
      </c>
      <c r="W2082">
        <f>'raw data Crude oil'!W2083</f>
        <v>69.98</v>
      </c>
      <c r="X2082">
        <f>'raw data Crude oil'!X2083</f>
        <v>69.569999999999993</v>
      </c>
      <c r="Y2082">
        <f>'raw data Crude oil'!Y2083</f>
        <v>69.2</v>
      </c>
      <c r="Z2082">
        <f>'raw data Crude oil'!Z2083</f>
        <v>80.745999999999995</v>
      </c>
      <c r="AA2082">
        <f>'raw data Crude oil'!AA2083</f>
        <v>79.781000000000006</v>
      </c>
      <c r="AB2082">
        <f>'raw data Crude oil'!AB2083</f>
        <v>77.677000000000007</v>
      </c>
      <c r="AC2082">
        <f>'raw data Crude oil'!AC2083</f>
        <v>76.602999999999994</v>
      </c>
      <c r="AD2082">
        <f>'raw data Crude oil'!AD2083</f>
        <v>75.864999999999995</v>
      </c>
      <c r="AE2082">
        <f>'raw data Crude oil'!AE2083</f>
        <v>75.225999999999999</v>
      </c>
      <c r="AF2082">
        <f>'raw data Crude oil'!AF2083</f>
        <v>74.650000000000006</v>
      </c>
      <c r="AG2082">
        <f>'raw data Crude oil'!AG2083</f>
        <v>74.168999999999997</v>
      </c>
      <c r="AH2082">
        <f>'raw data Crude oil'!AH2083</f>
        <v>73.710999999999999</v>
      </c>
      <c r="AI2082">
        <f>'raw data Crude oil'!AI2083</f>
        <v>73.272999999999996</v>
      </c>
      <c r="AJ2082">
        <f>'raw data Crude oil'!AJ2083</f>
        <v>72.873000000000005</v>
      </c>
      <c r="AK2082">
        <f>'raw data Crude oil'!AK2083</f>
        <v>72.504000000000005</v>
      </c>
    </row>
    <row r="2083" spans="1:37" x14ac:dyDescent="0.3">
      <c r="A2083" s="18">
        <f>'raw data Crude oil'!A2084</f>
        <v>45680</v>
      </c>
      <c r="B2083">
        <f>'raw data Crude oil'!B2084</f>
        <v>78.290000000000006</v>
      </c>
      <c r="C2083">
        <f>'raw data Crude oil'!C2084</f>
        <v>77.56</v>
      </c>
      <c r="D2083">
        <f>'raw data Crude oil'!D2084</f>
        <v>76.91</v>
      </c>
      <c r="E2083">
        <f>'raw data Crude oil'!E2084</f>
        <v>76.290000000000006</v>
      </c>
      <c r="F2083">
        <f>'raw data Crude oil'!F2084</f>
        <v>75.75</v>
      </c>
      <c r="G2083">
        <f>'raw data Crude oil'!G2084</f>
        <v>75.260000000000005</v>
      </c>
      <c r="H2083">
        <f>'raw data Crude oil'!H2084</f>
        <v>74.790000000000006</v>
      </c>
      <c r="I2083">
        <f>'raw data Crude oil'!I2084</f>
        <v>74.36</v>
      </c>
      <c r="J2083">
        <f>'raw data Crude oil'!J2084</f>
        <v>73.95</v>
      </c>
      <c r="K2083">
        <f>'raw data Crude oil'!K2084</f>
        <v>73.56</v>
      </c>
      <c r="L2083">
        <f>'raw data Crude oil'!L2084</f>
        <v>73.19</v>
      </c>
      <c r="M2083">
        <f>'raw data Crude oil'!M2084</f>
        <v>72.86</v>
      </c>
      <c r="N2083">
        <f>'raw data Crude oil'!N2084</f>
        <v>74.62</v>
      </c>
      <c r="O2083">
        <f>'raw data Crude oil'!O2084</f>
        <v>74.02</v>
      </c>
      <c r="P2083">
        <f>'raw data Crude oil'!P2084</f>
        <v>73.44</v>
      </c>
      <c r="Q2083">
        <f>'raw data Crude oil'!Q2084</f>
        <v>72.87</v>
      </c>
      <c r="R2083">
        <f>'raw data Crude oil'!R2084</f>
        <v>72.3</v>
      </c>
      <c r="S2083">
        <f>'raw data Crude oil'!S2084</f>
        <v>71.739999999999995</v>
      </c>
      <c r="T2083">
        <f>'raw data Crude oil'!T2084</f>
        <v>71.209999999999994</v>
      </c>
      <c r="U2083">
        <f>'raw data Crude oil'!U2084</f>
        <v>70.69</v>
      </c>
      <c r="V2083">
        <f>'raw data Crude oil'!V2084</f>
        <v>70.22</v>
      </c>
      <c r="W2083">
        <f>'raw data Crude oil'!W2084</f>
        <v>69.78</v>
      </c>
      <c r="X2083">
        <f>'raw data Crude oil'!X2084</f>
        <v>69.38</v>
      </c>
      <c r="Y2083">
        <f>'raw data Crude oil'!Y2084</f>
        <v>69.02</v>
      </c>
      <c r="Z2083">
        <f>'raw data Crude oil'!Z2084</f>
        <v>80.650999999999996</v>
      </c>
      <c r="AA2083">
        <f>'raw data Crude oil'!AA2084</f>
        <v>79.647999999999996</v>
      </c>
      <c r="AB2083">
        <f>'raw data Crude oil'!AB2084</f>
        <v>77.37</v>
      </c>
      <c r="AC2083">
        <f>'raw data Crude oil'!AC2084</f>
        <v>76.378</v>
      </c>
      <c r="AD2083">
        <f>'raw data Crude oil'!AD2084</f>
        <v>75.683999999999997</v>
      </c>
      <c r="AE2083">
        <f>'raw data Crude oil'!AE2084</f>
        <v>75.073999999999998</v>
      </c>
      <c r="AF2083">
        <f>'raw data Crude oil'!AF2084</f>
        <v>74.521000000000001</v>
      </c>
      <c r="AG2083">
        <f>'raw data Crude oil'!AG2084</f>
        <v>74.05</v>
      </c>
      <c r="AH2083">
        <f>'raw data Crude oil'!AH2084</f>
        <v>73.602000000000004</v>
      </c>
      <c r="AI2083">
        <f>'raw data Crude oil'!AI2084</f>
        <v>73.183999999999997</v>
      </c>
      <c r="AJ2083">
        <f>'raw data Crude oil'!AJ2084</f>
        <v>72.784000000000006</v>
      </c>
      <c r="AK2083">
        <f>'raw data Crude oil'!AK2084</f>
        <v>72.424999999999997</v>
      </c>
    </row>
    <row r="2084" spans="1:37" x14ac:dyDescent="0.3">
      <c r="A2084" s="18">
        <f>'raw data Crude oil'!A2085</f>
        <v>45681</v>
      </c>
      <c r="B2084">
        <f>'raw data Crude oil'!B2085</f>
        <v>78.5</v>
      </c>
      <c r="C2084">
        <f>'raw data Crude oil'!C2085</f>
        <v>77.55</v>
      </c>
      <c r="D2084">
        <f>'raw data Crude oil'!D2085</f>
        <v>76.790000000000006</v>
      </c>
      <c r="E2084">
        <f>'raw data Crude oil'!E2085</f>
        <v>76.13</v>
      </c>
      <c r="F2084">
        <f>'raw data Crude oil'!F2085</f>
        <v>75.56</v>
      </c>
      <c r="G2084">
        <f>'raw data Crude oil'!G2085</f>
        <v>75.05</v>
      </c>
      <c r="H2084">
        <f>'raw data Crude oil'!H2085</f>
        <v>74.569999999999993</v>
      </c>
      <c r="I2084">
        <f>'raw data Crude oil'!I2085</f>
        <v>74.12</v>
      </c>
      <c r="J2084">
        <f>'raw data Crude oil'!J2085</f>
        <v>73.7</v>
      </c>
      <c r="K2084">
        <f>'raw data Crude oil'!K2085</f>
        <v>73.31</v>
      </c>
      <c r="L2084">
        <f>'raw data Crude oil'!L2085</f>
        <v>72.94</v>
      </c>
      <c r="M2084">
        <f>'raw data Crude oil'!M2085</f>
        <v>72.61</v>
      </c>
      <c r="N2084">
        <f>'raw data Crude oil'!N2085</f>
        <v>74.66</v>
      </c>
      <c r="O2084">
        <f>'raw data Crude oil'!O2085</f>
        <v>73.959999999999994</v>
      </c>
      <c r="P2084">
        <f>'raw data Crude oil'!P2085</f>
        <v>73.31</v>
      </c>
      <c r="Q2084">
        <f>'raw data Crude oil'!Q2085</f>
        <v>72.680000000000007</v>
      </c>
      <c r="R2084">
        <f>'raw data Crude oil'!R2085</f>
        <v>72.09</v>
      </c>
      <c r="S2084">
        <f>'raw data Crude oil'!S2085</f>
        <v>71.52</v>
      </c>
      <c r="T2084">
        <f>'raw data Crude oil'!T2085</f>
        <v>70.97</v>
      </c>
      <c r="U2084">
        <f>'raw data Crude oil'!U2085</f>
        <v>70.44</v>
      </c>
      <c r="V2084">
        <f>'raw data Crude oil'!V2085</f>
        <v>69.959999999999994</v>
      </c>
      <c r="W2084">
        <f>'raw data Crude oil'!W2085</f>
        <v>69.52</v>
      </c>
      <c r="X2084">
        <f>'raw data Crude oil'!X2085</f>
        <v>69.12</v>
      </c>
      <c r="Y2084">
        <f>'raw data Crude oil'!Y2085</f>
        <v>68.760000000000005</v>
      </c>
      <c r="Z2084">
        <f>'raw data Crude oil'!Z2085</f>
        <v>80.635000000000005</v>
      </c>
      <c r="AA2084">
        <f>'raw data Crude oil'!AA2085</f>
        <v>79.706999999999994</v>
      </c>
      <c r="AB2084">
        <f>'raw data Crude oil'!AB2085</f>
        <v>77.254000000000005</v>
      </c>
      <c r="AC2084">
        <f>'raw data Crude oil'!AC2085</f>
        <v>76.257999999999996</v>
      </c>
      <c r="AD2084">
        <f>'raw data Crude oil'!AD2085</f>
        <v>75.554000000000002</v>
      </c>
      <c r="AE2084">
        <f>'raw data Crude oil'!AE2085</f>
        <v>74.912000000000006</v>
      </c>
      <c r="AF2084">
        <f>'raw data Crude oil'!AF2085</f>
        <v>74.344999999999999</v>
      </c>
      <c r="AG2084">
        <f>'raw data Crude oil'!AG2085</f>
        <v>73.855000000000004</v>
      </c>
      <c r="AH2084">
        <f>'raw data Crude oil'!AH2085</f>
        <v>73.397000000000006</v>
      </c>
      <c r="AI2084">
        <f>'raw data Crude oil'!AI2085</f>
        <v>72.974000000000004</v>
      </c>
      <c r="AJ2084">
        <f>'raw data Crude oil'!AJ2085</f>
        <v>72.584000000000003</v>
      </c>
      <c r="AK2084">
        <f>'raw data Crude oil'!AK2085</f>
        <v>72.213999999999999</v>
      </c>
    </row>
    <row r="2085" spans="1:37" x14ac:dyDescent="0.3">
      <c r="A2085" s="18">
        <f>'raw data Crude oil'!A2086</f>
        <v>45684</v>
      </c>
      <c r="B2085">
        <f>'raw data Crude oil'!B2086</f>
        <v>77.08</v>
      </c>
      <c r="C2085">
        <f>'raw data Crude oil'!C2086</f>
        <v>76.180000000000007</v>
      </c>
      <c r="D2085">
        <f>'raw data Crude oil'!D2086</f>
        <v>75.42</v>
      </c>
      <c r="E2085">
        <f>'raw data Crude oil'!E2086</f>
        <v>74.760000000000005</v>
      </c>
      <c r="F2085">
        <f>'raw data Crude oil'!F2086</f>
        <v>74.209999999999994</v>
      </c>
      <c r="G2085">
        <f>'raw data Crude oil'!G2086</f>
        <v>73.73</v>
      </c>
      <c r="H2085">
        <f>'raw data Crude oil'!H2086</f>
        <v>73.28</v>
      </c>
      <c r="I2085">
        <f>'raw data Crude oil'!I2086</f>
        <v>72.86</v>
      </c>
      <c r="J2085">
        <f>'raw data Crude oil'!J2086</f>
        <v>72.47</v>
      </c>
      <c r="K2085">
        <f>'raw data Crude oil'!K2086</f>
        <v>72.12</v>
      </c>
      <c r="L2085">
        <f>'raw data Crude oil'!L2086</f>
        <v>71.790000000000006</v>
      </c>
      <c r="M2085">
        <f>'raw data Crude oil'!M2086</f>
        <v>71.489999999999995</v>
      </c>
      <c r="N2085">
        <f>'raw data Crude oil'!N2086</f>
        <v>73.17</v>
      </c>
      <c r="O2085">
        <f>'raw data Crude oil'!O2086</f>
        <v>72.5</v>
      </c>
      <c r="P2085">
        <f>'raw data Crude oil'!P2086</f>
        <v>71.87</v>
      </c>
      <c r="Q2085">
        <f>'raw data Crude oil'!Q2086</f>
        <v>71.28</v>
      </c>
      <c r="R2085">
        <f>'raw data Crude oil'!R2086</f>
        <v>70.73</v>
      </c>
      <c r="S2085">
        <f>'raw data Crude oil'!S2086</f>
        <v>70.209999999999994</v>
      </c>
      <c r="T2085">
        <f>'raw data Crude oil'!T2086</f>
        <v>69.709999999999994</v>
      </c>
      <c r="U2085">
        <f>'raw data Crude oil'!U2086</f>
        <v>69.22</v>
      </c>
      <c r="V2085">
        <f>'raw data Crude oil'!V2086</f>
        <v>68.790000000000006</v>
      </c>
      <c r="W2085">
        <f>'raw data Crude oil'!W2086</f>
        <v>68.38</v>
      </c>
      <c r="X2085">
        <f>'raw data Crude oil'!X2086</f>
        <v>68.02</v>
      </c>
      <c r="Y2085">
        <f>'raw data Crude oil'!Y2086</f>
        <v>67.69</v>
      </c>
      <c r="Z2085">
        <f>'raw data Crude oil'!Z2086</f>
        <v>80.483999999999995</v>
      </c>
      <c r="AA2085">
        <f>'raw data Crude oil'!AA2086</f>
        <v>78.611999999999995</v>
      </c>
      <c r="AB2085">
        <f>'raw data Crude oil'!AB2086</f>
        <v>76.001999999999995</v>
      </c>
      <c r="AC2085">
        <f>'raw data Crude oil'!AC2086</f>
        <v>74.951999999999998</v>
      </c>
      <c r="AD2085">
        <f>'raw data Crude oil'!AD2086</f>
        <v>74.222999999999999</v>
      </c>
      <c r="AE2085">
        <f>'raw data Crude oil'!AE2086</f>
        <v>73.563999999999993</v>
      </c>
      <c r="AF2085">
        <f>'raw data Crude oil'!AF2086</f>
        <v>72.971999999999994</v>
      </c>
      <c r="AG2085">
        <f>'raw data Crude oil'!AG2086</f>
        <v>72.491</v>
      </c>
      <c r="AH2085">
        <f>'raw data Crude oil'!AH2086</f>
        <v>72.043999999999997</v>
      </c>
      <c r="AI2085">
        <f>'raw data Crude oil'!AI2086</f>
        <v>71.665999999999997</v>
      </c>
      <c r="AJ2085">
        <f>'raw data Crude oil'!AJ2086</f>
        <v>71.314999999999998</v>
      </c>
      <c r="AK2085">
        <f>'raw data Crude oil'!AK2086</f>
        <v>70.986000000000004</v>
      </c>
    </row>
    <row r="2086" spans="1:37" x14ac:dyDescent="0.3">
      <c r="A2086" s="18">
        <f>'raw data Crude oil'!A2087</f>
        <v>45685</v>
      </c>
      <c r="B2086">
        <f>'raw data Crude oil'!B2087</f>
        <v>77.489999999999995</v>
      </c>
      <c r="C2086">
        <f>'raw data Crude oil'!C2087</f>
        <v>76.489999999999995</v>
      </c>
      <c r="D2086">
        <f>'raw data Crude oil'!D2087</f>
        <v>75.599999999999994</v>
      </c>
      <c r="E2086">
        <f>'raw data Crude oil'!E2087</f>
        <v>74.83</v>
      </c>
      <c r="F2086">
        <f>'raw data Crude oil'!F2087</f>
        <v>74.19</v>
      </c>
      <c r="G2086">
        <f>'raw data Crude oil'!G2087</f>
        <v>73.650000000000006</v>
      </c>
      <c r="H2086">
        <f>'raw data Crude oil'!H2087</f>
        <v>73.16</v>
      </c>
      <c r="I2086">
        <f>'raw data Crude oil'!I2087</f>
        <v>72.709999999999994</v>
      </c>
      <c r="J2086">
        <f>'raw data Crude oil'!J2087</f>
        <v>72.3</v>
      </c>
      <c r="K2086">
        <f>'raw data Crude oil'!K2087</f>
        <v>71.930000000000007</v>
      </c>
      <c r="L2086">
        <f>'raw data Crude oil'!L2087</f>
        <v>71.58</v>
      </c>
      <c r="M2086">
        <f>'raw data Crude oil'!M2087</f>
        <v>71.260000000000005</v>
      </c>
      <c r="N2086">
        <f>'raw data Crude oil'!N2087</f>
        <v>73.77</v>
      </c>
      <c r="O2086">
        <f>'raw data Crude oil'!O2087</f>
        <v>72.94</v>
      </c>
      <c r="P2086">
        <f>'raw data Crude oil'!P2087</f>
        <v>72.14</v>
      </c>
      <c r="Q2086">
        <f>'raw data Crude oil'!Q2087</f>
        <v>71.42</v>
      </c>
      <c r="R2086">
        <f>'raw data Crude oil'!R2087</f>
        <v>70.8</v>
      </c>
      <c r="S2086">
        <f>'raw data Crude oil'!S2087</f>
        <v>70.209999999999994</v>
      </c>
      <c r="T2086">
        <f>'raw data Crude oil'!T2087</f>
        <v>69.66</v>
      </c>
      <c r="U2086">
        <f>'raw data Crude oil'!U2087</f>
        <v>69.14</v>
      </c>
      <c r="V2086">
        <f>'raw data Crude oil'!V2087</f>
        <v>68.67</v>
      </c>
      <c r="W2086">
        <f>'raw data Crude oil'!W2087</f>
        <v>68.260000000000005</v>
      </c>
      <c r="X2086">
        <f>'raw data Crude oil'!X2087</f>
        <v>67.88</v>
      </c>
      <c r="Y2086">
        <f>'raw data Crude oil'!Y2087</f>
        <v>67.540000000000006</v>
      </c>
      <c r="Z2086">
        <f>'raw data Crude oil'!Z2087</f>
        <v>80.483999999999995</v>
      </c>
      <c r="AA2086">
        <f>'raw data Crude oil'!AA2087</f>
        <v>78.685000000000002</v>
      </c>
      <c r="AB2086">
        <f>'raw data Crude oil'!AB2087</f>
        <v>76.028999999999996</v>
      </c>
      <c r="AC2086">
        <f>'raw data Crude oil'!AC2087</f>
        <v>74.953000000000003</v>
      </c>
      <c r="AD2086">
        <f>'raw data Crude oil'!AD2087</f>
        <v>74.194999999999993</v>
      </c>
      <c r="AE2086">
        <f>'raw data Crude oil'!AE2087</f>
        <v>73.506</v>
      </c>
      <c r="AF2086">
        <f>'raw data Crude oil'!AF2087</f>
        <v>72.89</v>
      </c>
      <c r="AG2086">
        <f>'raw data Crude oil'!AG2087</f>
        <v>72.38</v>
      </c>
      <c r="AH2086">
        <f>'raw data Crude oil'!AH2087</f>
        <v>71.897999999999996</v>
      </c>
      <c r="AI2086">
        <f>'raw data Crude oil'!AI2087</f>
        <v>71.5</v>
      </c>
      <c r="AJ2086">
        <f>'raw data Crude oil'!AJ2087</f>
        <v>71.129000000000005</v>
      </c>
      <c r="AK2086">
        <f>'raw data Crude oil'!AK2087</f>
        <v>70.790000000000006</v>
      </c>
    </row>
    <row r="2087" spans="1:37" x14ac:dyDescent="0.3">
      <c r="A2087" s="18">
        <f>'raw data Crude oil'!A2088</f>
        <v>45686</v>
      </c>
      <c r="B2087">
        <f>'raw data Crude oil'!B2088</f>
        <v>76.58</v>
      </c>
      <c r="C2087">
        <f>'raw data Crude oil'!C2088</f>
        <v>75.61</v>
      </c>
      <c r="D2087">
        <f>'raw data Crude oil'!D2088</f>
        <v>74.8</v>
      </c>
      <c r="E2087">
        <f>'raw data Crude oil'!E2088</f>
        <v>74.099999999999994</v>
      </c>
      <c r="F2087">
        <f>'raw data Crude oil'!F2088</f>
        <v>73.540000000000006</v>
      </c>
      <c r="G2087">
        <f>'raw data Crude oil'!G2088</f>
        <v>73.05</v>
      </c>
      <c r="H2087">
        <f>'raw data Crude oil'!H2088</f>
        <v>72.61</v>
      </c>
      <c r="I2087">
        <f>'raw data Crude oil'!I2088</f>
        <v>72.19</v>
      </c>
      <c r="J2087">
        <f>'raw data Crude oil'!J2088</f>
        <v>71.8</v>
      </c>
      <c r="K2087">
        <f>'raw data Crude oil'!K2088</f>
        <v>71.44</v>
      </c>
      <c r="L2087">
        <f>'raw data Crude oil'!L2088</f>
        <v>71.11</v>
      </c>
      <c r="M2087">
        <f>'raw data Crude oil'!M2088</f>
        <v>70.81</v>
      </c>
      <c r="N2087">
        <f>'raw data Crude oil'!N2088</f>
        <v>72.62</v>
      </c>
      <c r="O2087">
        <f>'raw data Crude oil'!O2088</f>
        <v>71.98</v>
      </c>
      <c r="P2087">
        <f>'raw data Crude oil'!P2088</f>
        <v>71.319999999999993</v>
      </c>
      <c r="Q2087">
        <f>'raw data Crude oil'!Q2088</f>
        <v>70.680000000000007</v>
      </c>
      <c r="R2087">
        <f>'raw data Crude oil'!R2088</f>
        <v>70.12</v>
      </c>
      <c r="S2087">
        <f>'raw data Crude oil'!S2088</f>
        <v>69.59</v>
      </c>
      <c r="T2087">
        <f>'raw data Crude oil'!T2088</f>
        <v>69.069999999999993</v>
      </c>
      <c r="U2087">
        <f>'raw data Crude oil'!U2088</f>
        <v>68.58</v>
      </c>
      <c r="V2087">
        <f>'raw data Crude oil'!V2088</f>
        <v>68.13</v>
      </c>
      <c r="W2087">
        <f>'raw data Crude oil'!W2088</f>
        <v>67.72</v>
      </c>
      <c r="X2087">
        <f>'raw data Crude oil'!X2088</f>
        <v>67.36</v>
      </c>
      <c r="Y2087">
        <f>'raw data Crude oil'!Y2088</f>
        <v>67.03</v>
      </c>
      <c r="Z2087">
        <f>'raw data Crude oil'!Z2088</f>
        <v>80.44</v>
      </c>
      <c r="AA2087">
        <f>'raw data Crude oil'!AA2088</f>
        <v>77.790000000000006</v>
      </c>
      <c r="AB2087">
        <f>'raw data Crude oil'!AB2088</f>
        <v>75.227000000000004</v>
      </c>
      <c r="AC2087">
        <f>'raw data Crude oil'!AC2088</f>
        <v>74.213999999999999</v>
      </c>
      <c r="AD2087">
        <f>'raw data Crude oil'!AD2088</f>
        <v>73.488</v>
      </c>
      <c r="AE2087">
        <f>'raw data Crude oil'!AE2088</f>
        <v>72.841999999999999</v>
      </c>
      <c r="AF2087">
        <f>'raw data Crude oil'!AF2088</f>
        <v>72.262</v>
      </c>
      <c r="AG2087">
        <f>'raw data Crude oil'!AG2088</f>
        <v>71.781000000000006</v>
      </c>
      <c r="AH2087">
        <f>'raw data Crude oil'!AH2088</f>
        <v>71.341999999999999</v>
      </c>
      <c r="AI2087">
        <f>'raw data Crude oil'!AI2088</f>
        <v>70.960999999999999</v>
      </c>
      <c r="AJ2087">
        <f>'raw data Crude oil'!AJ2088</f>
        <v>70.61</v>
      </c>
      <c r="AK2087">
        <f>'raw data Crude oil'!AK2088</f>
        <v>70.290999999999997</v>
      </c>
    </row>
    <row r="2088" spans="1:37" x14ac:dyDescent="0.3">
      <c r="A2088" s="18">
        <f>'raw data Crude oil'!A2089</f>
        <v>45687</v>
      </c>
      <c r="B2088">
        <f>'raw data Crude oil'!B2089</f>
        <v>76.87</v>
      </c>
      <c r="C2088">
        <f>'raw data Crude oil'!C2089</f>
        <v>75.89</v>
      </c>
      <c r="D2088">
        <f>'raw data Crude oil'!D2089</f>
        <v>75.12</v>
      </c>
      <c r="E2088">
        <f>'raw data Crude oil'!E2089</f>
        <v>74.44</v>
      </c>
      <c r="F2088">
        <f>'raw data Crude oil'!F2089</f>
        <v>73.87</v>
      </c>
      <c r="G2088">
        <f>'raw data Crude oil'!G2089</f>
        <v>73.37</v>
      </c>
      <c r="H2088">
        <f>'raw data Crude oil'!H2089</f>
        <v>72.91</v>
      </c>
      <c r="I2088">
        <f>'raw data Crude oil'!I2089</f>
        <v>72.47</v>
      </c>
      <c r="J2088">
        <f>'raw data Crude oil'!J2089</f>
        <v>72.06</v>
      </c>
      <c r="K2088">
        <f>'raw data Crude oil'!K2089</f>
        <v>71.67</v>
      </c>
      <c r="L2088">
        <f>'raw data Crude oil'!L2089</f>
        <v>71.319999999999993</v>
      </c>
      <c r="M2088">
        <f>'raw data Crude oil'!M2089</f>
        <v>71</v>
      </c>
      <c r="N2088">
        <f>'raw data Crude oil'!N2089</f>
        <v>72.73</v>
      </c>
      <c r="O2088">
        <f>'raw data Crude oil'!O2089</f>
        <v>72.180000000000007</v>
      </c>
      <c r="P2088">
        <f>'raw data Crude oil'!P2089</f>
        <v>71.61</v>
      </c>
      <c r="Q2088">
        <f>'raw data Crude oil'!Q2089</f>
        <v>71</v>
      </c>
      <c r="R2088">
        <f>'raw data Crude oil'!R2089</f>
        <v>70.45</v>
      </c>
      <c r="S2088">
        <f>'raw data Crude oil'!S2089</f>
        <v>69.91</v>
      </c>
      <c r="T2088">
        <f>'raw data Crude oil'!T2089</f>
        <v>69.38</v>
      </c>
      <c r="U2088">
        <f>'raw data Crude oil'!U2089</f>
        <v>68.87</v>
      </c>
      <c r="V2088">
        <f>'raw data Crude oil'!V2089</f>
        <v>68.400000000000006</v>
      </c>
      <c r="W2088">
        <f>'raw data Crude oil'!W2089</f>
        <v>67.97</v>
      </c>
      <c r="X2088">
        <f>'raw data Crude oil'!X2089</f>
        <v>67.59</v>
      </c>
      <c r="Y2088">
        <f>'raw data Crude oil'!Y2089</f>
        <v>67.25</v>
      </c>
      <c r="Z2088">
        <f>'raw data Crude oil'!Z2089</f>
        <v>80.316999999999993</v>
      </c>
      <c r="AA2088">
        <f>'raw data Crude oil'!AA2089</f>
        <v>78.039000000000001</v>
      </c>
      <c r="AB2088">
        <f>'raw data Crude oil'!AB2089</f>
        <v>75.537999999999997</v>
      </c>
      <c r="AC2088">
        <f>'raw data Crude oil'!AC2089</f>
        <v>74.540999999999997</v>
      </c>
      <c r="AD2088">
        <f>'raw data Crude oil'!AD2089</f>
        <v>73.822000000000003</v>
      </c>
      <c r="AE2088">
        <f>'raw data Crude oil'!AE2089</f>
        <v>73.183000000000007</v>
      </c>
      <c r="AF2088">
        <f>'raw data Crude oil'!AF2089</f>
        <v>72.605999999999995</v>
      </c>
      <c r="AG2088">
        <f>'raw data Crude oil'!AG2089</f>
        <v>72.114999999999995</v>
      </c>
      <c r="AH2088">
        <f>'raw data Crude oil'!AH2089</f>
        <v>71.652000000000001</v>
      </c>
      <c r="AI2088">
        <f>'raw data Crude oil'!AI2089</f>
        <v>71.231999999999999</v>
      </c>
      <c r="AJ2088">
        <f>'raw data Crude oil'!AJ2089</f>
        <v>70.858000000000004</v>
      </c>
      <c r="AK2088">
        <f>'raw data Crude oil'!AK2089</f>
        <v>70.519000000000005</v>
      </c>
    </row>
    <row r="2089" spans="1:37" x14ac:dyDescent="0.3">
      <c r="A2089" s="18">
        <f>'raw data Crude oil'!A2090</f>
        <v>45688</v>
      </c>
      <c r="B2089">
        <f>'raw data Crude oil'!B2090</f>
        <v>76.760000000000005</v>
      </c>
      <c r="C2089">
        <f>'raw data Crude oil'!C2090</f>
        <v>75.67</v>
      </c>
      <c r="D2089">
        <f>'raw data Crude oil'!D2090</f>
        <v>74.92</v>
      </c>
      <c r="E2089">
        <f>'raw data Crude oil'!E2090</f>
        <v>74.239999999999995</v>
      </c>
      <c r="F2089">
        <f>'raw data Crude oil'!F2090</f>
        <v>73.67</v>
      </c>
      <c r="G2089">
        <f>'raw data Crude oil'!G2090</f>
        <v>73.17</v>
      </c>
      <c r="H2089">
        <f>'raw data Crude oil'!H2090</f>
        <v>72.709999999999994</v>
      </c>
      <c r="I2089">
        <f>'raw data Crude oil'!I2090</f>
        <v>72.27</v>
      </c>
      <c r="J2089">
        <f>'raw data Crude oil'!J2090</f>
        <v>71.86</v>
      </c>
      <c r="K2089">
        <f>'raw data Crude oil'!K2090</f>
        <v>71.48</v>
      </c>
      <c r="L2089">
        <f>'raw data Crude oil'!L2090</f>
        <v>71.13</v>
      </c>
      <c r="M2089">
        <f>'raw data Crude oil'!M2090</f>
        <v>70.819999999999993</v>
      </c>
      <c r="N2089">
        <f>'raw data Crude oil'!N2090</f>
        <v>72.53</v>
      </c>
      <c r="O2089">
        <f>'raw data Crude oil'!O2090</f>
        <v>71.98</v>
      </c>
      <c r="P2089">
        <f>'raw data Crude oil'!P2090</f>
        <v>71.38</v>
      </c>
      <c r="Q2089">
        <f>'raw data Crude oil'!Q2090</f>
        <v>70.78</v>
      </c>
      <c r="R2089">
        <f>'raw data Crude oil'!R2090</f>
        <v>70.209999999999994</v>
      </c>
      <c r="S2089">
        <f>'raw data Crude oil'!S2090</f>
        <v>69.66</v>
      </c>
      <c r="T2089">
        <f>'raw data Crude oil'!T2090</f>
        <v>69.13</v>
      </c>
      <c r="U2089">
        <f>'raw data Crude oil'!U2090</f>
        <v>68.63</v>
      </c>
      <c r="V2089">
        <f>'raw data Crude oil'!V2090</f>
        <v>68.17</v>
      </c>
      <c r="W2089">
        <f>'raw data Crude oil'!W2090</f>
        <v>67.760000000000005</v>
      </c>
      <c r="X2089">
        <f>'raw data Crude oil'!X2090</f>
        <v>67.38</v>
      </c>
      <c r="Y2089">
        <f>'raw data Crude oil'!Y2090</f>
        <v>67.05</v>
      </c>
      <c r="Z2089">
        <f>'raw data Crude oil'!Z2090</f>
        <v>80.41</v>
      </c>
      <c r="AA2089">
        <f>'raw data Crude oil'!AA2090</f>
        <v>77.902000000000001</v>
      </c>
      <c r="AB2089">
        <f>'raw data Crude oil'!AB2090</f>
        <v>75.397999999999996</v>
      </c>
      <c r="AC2089">
        <f>'raw data Crude oil'!AC2090</f>
        <v>74.399000000000001</v>
      </c>
      <c r="AD2089">
        <f>'raw data Crude oil'!AD2090</f>
        <v>73.662000000000006</v>
      </c>
      <c r="AE2089">
        <f>'raw data Crude oil'!AE2090</f>
        <v>73.022999999999996</v>
      </c>
      <c r="AF2089">
        <f>'raw data Crude oil'!AF2090</f>
        <v>72.445999999999998</v>
      </c>
      <c r="AG2089">
        <f>'raw data Crude oil'!AG2090</f>
        <v>71.95</v>
      </c>
      <c r="AH2089">
        <f>'raw data Crude oil'!AH2090</f>
        <v>71.477999999999994</v>
      </c>
      <c r="AI2089">
        <f>'raw data Crude oil'!AI2090</f>
        <v>71.06</v>
      </c>
      <c r="AJ2089">
        <f>'raw data Crude oil'!AJ2090</f>
        <v>70.680000000000007</v>
      </c>
      <c r="AK2089">
        <f>'raw data Crude oil'!AK2090</f>
        <v>70.350999999999999</v>
      </c>
    </row>
    <row r="2090" spans="1:37" x14ac:dyDescent="0.3">
      <c r="A2090" s="18">
        <f>'raw data Crude oil'!A2091</f>
        <v>45691</v>
      </c>
      <c r="B2090">
        <f>'raw data Crude oil'!B2091</f>
        <v>75.959999999999994</v>
      </c>
      <c r="C2090">
        <f>'raw data Crude oil'!C2091</f>
        <v>75.14</v>
      </c>
      <c r="D2090">
        <f>'raw data Crude oil'!D2091</f>
        <v>74.41</v>
      </c>
      <c r="E2090">
        <f>'raw data Crude oil'!E2091</f>
        <v>73.790000000000006</v>
      </c>
      <c r="F2090">
        <f>'raw data Crude oil'!F2091</f>
        <v>73.260000000000005</v>
      </c>
      <c r="G2090">
        <f>'raw data Crude oil'!G2091</f>
        <v>72.77</v>
      </c>
      <c r="H2090">
        <f>'raw data Crude oil'!H2091</f>
        <v>72.31</v>
      </c>
      <c r="I2090">
        <f>'raw data Crude oil'!I2091</f>
        <v>71.87</v>
      </c>
      <c r="J2090">
        <f>'raw data Crude oil'!J2091</f>
        <v>71.47</v>
      </c>
      <c r="K2090">
        <f>'raw data Crude oil'!K2091</f>
        <v>71.11</v>
      </c>
      <c r="L2090">
        <f>'raw data Crude oil'!L2091</f>
        <v>70.790000000000006</v>
      </c>
      <c r="M2090">
        <f>'raw data Crude oil'!M2091</f>
        <v>70.52</v>
      </c>
      <c r="N2090">
        <f>'raw data Crude oil'!N2091</f>
        <v>73.16</v>
      </c>
      <c r="O2090">
        <f>'raw data Crude oil'!O2091</f>
        <v>72.39</v>
      </c>
      <c r="P2090">
        <f>'raw data Crude oil'!P2091</f>
        <v>71.64</v>
      </c>
      <c r="Q2090">
        <f>'raw data Crude oil'!Q2091</f>
        <v>70.94</v>
      </c>
      <c r="R2090">
        <f>'raw data Crude oil'!R2091</f>
        <v>70.319999999999993</v>
      </c>
      <c r="S2090">
        <f>'raw data Crude oil'!S2091</f>
        <v>69.73</v>
      </c>
      <c r="T2090">
        <f>'raw data Crude oil'!T2091</f>
        <v>69.17</v>
      </c>
      <c r="U2090">
        <f>'raw data Crude oil'!U2091</f>
        <v>68.64</v>
      </c>
      <c r="V2090">
        <f>'raw data Crude oil'!V2091</f>
        <v>68.17</v>
      </c>
      <c r="W2090">
        <f>'raw data Crude oil'!W2091</f>
        <v>67.75</v>
      </c>
      <c r="X2090">
        <f>'raw data Crude oil'!X2091</f>
        <v>67.37</v>
      </c>
      <c r="Y2090">
        <f>'raw data Crude oil'!Y2091</f>
        <v>67.03</v>
      </c>
      <c r="Z2090">
        <f>'raw data Crude oil'!Z2091</f>
        <v>80.41</v>
      </c>
      <c r="AA2090">
        <f>'raw data Crude oil'!AA2091</f>
        <v>78.042000000000002</v>
      </c>
      <c r="AB2090">
        <f>'raw data Crude oil'!AB2091</f>
        <v>75.438000000000002</v>
      </c>
      <c r="AC2090">
        <f>'raw data Crude oil'!AC2091</f>
        <v>74.477000000000004</v>
      </c>
      <c r="AD2090">
        <f>'raw data Crude oil'!AD2091</f>
        <v>73.727999999999994</v>
      </c>
      <c r="AE2090">
        <f>'raw data Crude oil'!AE2091</f>
        <v>73.052000000000007</v>
      </c>
      <c r="AF2090">
        <f>'raw data Crude oil'!AF2091</f>
        <v>72.447000000000003</v>
      </c>
      <c r="AG2090">
        <f>'raw data Crude oil'!AG2091</f>
        <v>71.923000000000002</v>
      </c>
      <c r="AH2090">
        <f>'raw data Crude oil'!AH2091</f>
        <v>71.438999999999993</v>
      </c>
      <c r="AI2090">
        <f>'raw data Crude oil'!AI2091</f>
        <v>70.998999999999995</v>
      </c>
      <c r="AJ2090">
        <f>'raw data Crude oil'!AJ2091</f>
        <v>70.608999999999995</v>
      </c>
      <c r="AK2090">
        <f>'raw data Crude oil'!AK2091</f>
        <v>70.265000000000001</v>
      </c>
    </row>
    <row r="2091" spans="1:37" x14ac:dyDescent="0.3">
      <c r="A2091" s="18">
        <f>'raw data Crude oil'!A2092</f>
        <v>45692</v>
      </c>
      <c r="B2091">
        <f>'raw data Crude oil'!B2092</f>
        <v>76.2</v>
      </c>
      <c r="C2091">
        <f>'raw data Crude oil'!C2092</f>
        <v>75.56</v>
      </c>
      <c r="D2091">
        <f>'raw data Crude oil'!D2092</f>
        <v>74.92</v>
      </c>
      <c r="E2091">
        <f>'raw data Crude oil'!E2092</f>
        <v>74.33</v>
      </c>
      <c r="F2091">
        <f>'raw data Crude oil'!F2092</f>
        <v>73.8</v>
      </c>
      <c r="G2091">
        <f>'raw data Crude oil'!G2092</f>
        <v>73.319999999999993</v>
      </c>
      <c r="H2091">
        <f>'raw data Crude oil'!H2092</f>
        <v>72.87</v>
      </c>
      <c r="I2091">
        <f>'raw data Crude oil'!I2092</f>
        <v>72.44</v>
      </c>
      <c r="J2091">
        <f>'raw data Crude oil'!J2092</f>
        <v>72.05</v>
      </c>
      <c r="K2091">
        <f>'raw data Crude oil'!K2092</f>
        <v>71.69</v>
      </c>
      <c r="L2091">
        <f>'raw data Crude oil'!L2092</f>
        <v>71.37</v>
      </c>
      <c r="M2091">
        <f>'raw data Crude oil'!M2092</f>
        <v>71.099999999999994</v>
      </c>
      <c r="N2091">
        <f>'raw data Crude oil'!N2092</f>
        <v>72.7</v>
      </c>
      <c r="O2091">
        <f>'raw data Crude oil'!O2092</f>
        <v>72.34</v>
      </c>
      <c r="P2091">
        <f>'raw data Crude oil'!P2092</f>
        <v>71.87</v>
      </c>
      <c r="Q2091">
        <f>'raw data Crude oil'!Q2092</f>
        <v>71.34</v>
      </c>
      <c r="R2091">
        <f>'raw data Crude oil'!R2092</f>
        <v>70.790000000000006</v>
      </c>
      <c r="S2091">
        <f>'raw data Crude oil'!S2092</f>
        <v>70.23</v>
      </c>
      <c r="T2091">
        <f>'raw data Crude oil'!T2092</f>
        <v>69.7</v>
      </c>
      <c r="U2091">
        <f>'raw data Crude oil'!U2092</f>
        <v>69.19</v>
      </c>
      <c r="V2091">
        <f>'raw data Crude oil'!V2092</f>
        <v>68.73</v>
      </c>
      <c r="W2091">
        <f>'raw data Crude oil'!W2092</f>
        <v>68.319999999999993</v>
      </c>
      <c r="X2091">
        <f>'raw data Crude oil'!X2092</f>
        <v>67.92</v>
      </c>
      <c r="Y2091">
        <f>'raw data Crude oil'!Y2092</f>
        <v>67.58</v>
      </c>
      <c r="Z2091">
        <f>'raw data Crude oil'!Z2092</f>
        <v>78.417000000000002</v>
      </c>
      <c r="AA2091">
        <f>'raw data Crude oil'!AA2092</f>
        <v>75.864999999999995</v>
      </c>
      <c r="AB2091">
        <f>'raw data Crude oil'!AB2092</f>
        <v>75.012</v>
      </c>
      <c r="AC2091">
        <f>'raw data Crude oil'!AC2092</f>
        <v>74.251000000000005</v>
      </c>
      <c r="AD2091">
        <f>'raw data Crude oil'!AD2092</f>
        <v>73.581000000000003</v>
      </c>
      <c r="AE2091">
        <f>'raw data Crude oil'!AE2092</f>
        <v>72.974000000000004</v>
      </c>
      <c r="AF2091">
        <f>'raw data Crude oil'!AF2092</f>
        <v>72.463999999999999</v>
      </c>
      <c r="AG2091">
        <f>'raw data Crude oil'!AG2092</f>
        <v>71.992000000000004</v>
      </c>
      <c r="AH2091">
        <f>'raw data Crude oil'!AH2092</f>
        <v>71.573999999999998</v>
      </c>
      <c r="AI2091">
        <f>'raw data Crude oil'!AI2092</f>
        <v>71.194000000000003</v>
      </c>
      <c r="AJ2091">
        <f>'raw data Crude oil'!AJ2092</f>
        <v>70.849999999999994</v>
      </c>
      <c r="AK2091">
        <f>'raw data Crude oil'!AK2092</f>
        <v>70.587999999999994</v>
      </c>
    </row>
    <row r="2092" spans="1:37" x14ac:dyDescent="0.3">
      <c r="A2092" s="18">
        <f>'raw data Crude oil'!A2093</f>
        <v>45693</v>
      </c>
      <c r="B2092">
        <f>'raw data Crude oil'!B2093</f>
        <v>74.61</v>
      </c>
      <c r="C2092">
        <f>'raw data Crude oil'!C2093</f>
        <v>74.09</v>
      </c>
      <c r="D2092">
        <f>'raw data Crude oil'!D2093</f>
        <v>73.540000000000006</v>
      </c>
      <c r="E2092">
        <f>'raw data Crude oil'!E2093</f>
        <v>73.02</v>
      </c>
      <c r="F2092">
        <f>'raw data Crude oil'!F2093</f>
        <v>72.540000000000006</v>
      </c>
      <c r="G2092">
        <f>'raw data Crude oil'!G2093</f>
        <v>72.099999999999994</v>
      </c>
      <c r="H2092">
        <f>'raw data Crude oil'!H2093</f>
        <v>71.69</v>
      </c>
      <c r="I2092">
        <f>'raw data Crude oil'!I2093</f>
        <v>71.319999999999993</v>
      </c>
      <c r="J2092">
        <f>'raw data Crude oil'!J2093</f>
        <v>70.98</v>
      </c>
      <c r="K2092">
        <f>'raw data Crude oil'!K2093</f>
        <v>70.66</v>
      </c>
      <c r="L2092">
        <f>'raw data Crude oil'!L2093</f>
        <v>70.37</v>
      </c>
      <c r="M2092">
        <f>'raw data Crude oil'!M2093</f>
        <v>70.13</v>
      </c>
      <c r="N2092">
        <f>'raw data Crude oil'!N2093</f>
        <v>71.03</v>
      </c>
      <c r="O2092">
        <f>'raw data Crude oil'!O2093</f>
        <v>70.739999999999995</v>
      </c>
      <c r="P2092">
        <f>'raw data Crude oil'!P2093</f>
        <v>70.34</v>
      </c>
      <c r="Q2092">
        <f>'raw data Crude oil'!Q2093</f>
        <v>69.89</v>
      </c>
      <c r="R2092">
        <f>'raw data Crude oil'!R2093</f>
        <v>69.42</v>
      </c>
      <c r="S2092">
        <f>'raw data Crude oil'!S2093</f>
        <v>68.94</v>
      </c>
      <c r="T2092">
        <f>'raw data Crude oil'!T2093</f>
        <v>68.459999999999994</v>
      </c>
      <c r="U2092">
        <f>'raw data Crude oil'!U2093</f>
        <v>68</v>
      </c>
      <c r="V2092">
        <f>'raw data Crude oil'!V2093</f>
        <v>67.599999999999994</v>
      </c>
      <c r="W2092">
        <f>'raw data Crude oil'!W2093</f>
        <v>67.23</v>
      </c>
      <c r="X2092">
        <f>'raw data Crude oil'!X2093</f>
        <v>66.89</v>
      </c>
      <c r="Y2092">
        <f>'raw data Crude oil'!Y2093</f>
        <v>66.59</v>
      </c>
      <c r="Z2092">
        <f>'raw data Crude oil'!Z2093</f>
        <v>77.242000000000004</v>
      </c>
      <c r="AA2092">
        <f>'raw data Crude oil'!AA2093</f>
        <v>74.504000000000005</v>
      </c>
      <c r="AB2092">
        <f>'raw data Crude oil'!AB2093</f>
        <v>73.704999999999998</v>
      </c>
      <c r="AC2092">
        <f>'raw data Crude oil'!AC2093</f>
        <v>72.988</v>
      </c>
      <c r="AD2092">
        <f>'raw data Crude oil'!AD2093</f>
        <v>72.34</v>
      </c>
      <c r="AE2092">
        <f>'raw data Crude oil'!AE2093</f>
        <v>71.769000000000005</v>
      </c>
      <c r="AF2092">
        <f>'raw data Crude oil'!AF2093</f>
        <v>71.302000000000007</v>
      </c>
      <c r="AG2092">
        <f>'raw data Crude oil'!AG2093</f>
        <v>70.885000000000005</v>
      </c>
      <c r="AH2092">
        <f>'raw data Crude oil'!AH2093</f>
        <v>70.516000000000005</v>
      </c>
      <c r="AI2092">
        <f>'raw data Crude oil'!AI2093</f>
        <v>70.176000000000002</v>
      </c>
      <c r="AJ2092">
        <f>'raw data Crude oil'!AJ2093</f>
        <v>69.867999999999995</v>
      </c>
      <c r="AK2092">
        <f>'raw data Crude oil'!AK2093</f>
        <v>69.62</v>
      </c>
    </row>
    <row r="2093" spans="1:37" x14ac:dyDescent="0.3">
      <c r="A2093" s="18">
        <f>'raw data Crude oil'!A2094</f>
        <v>45694</v>
      </c>
      <c r="B2093">
        <f>'raw data Crude oil'!B2094</f>
        <v>74.290000000000006</v>
      </c>
      <c r="C2093">
        <f>'raw data Crude oil'!C2094</f>
        <v>73.84</v>
      </c>
      <c r="D2093">
        <f>'raw data Crude oil'!D2094</f>
        <v>73.39</v>
      </c>
      <c r="E2093">
        <f>'raw data Crude oil'!E2094</f>
        <v>72.95</v>
      </c>
      <c r="F2093">
        <f>'raw data Crude oil'!F2094</f>
        <v>72.52</v>
      </c>
      <c r="G2093">
        <f>'raw data Crude oil'!G2094</f>
        <v>72.11</v>
      </c>
      <c r="H2093">
        <f>'raw data Crude oil'!H2094</f>
        <v>71.739999999999995</v>
      </c>
      <c r="I2093">
        <f>'raw data Crude oil'!I2094</f>
        <v>71.39</v>
      </c>
      <c r="J2093">
        <f>'raw data Crude oil'!J2094</f>
        <v>71.08</v>
      </c>
      <c r="K2093">
        <f>'raw data Crude oil'!K2094</f>
        <v>70.78</v>
      </c>
      <c r="L2093">
        <f>'raw data Crude oil'!L2094</f>
        <v>70.5</v>
      </c>
      <c r="M2093">
        <f>'raw data Crude oil'!M2094</f>
        <v>70.27</v>
      </c>
      <c r="N2093">
        <f>'raw data Crude oil'!N2094</f>
        <v>70.61</v>
      </c>
      <c r="O2093">
        <f>'raw data Crude oil'!O2094</f>
        <v>70.37</v>
      </c>
      <c r="P2093">
        <f>'raw data Crude oil'!P2094</f>
        <v>70.069999999999993</v>
      </c>
      <c r="Q2093">
        <f>'raw data Crude oil'!Q2094</f>
        <v>69.72</v>
      </c>
      <c r="R2093">
        <f>'raw data Crude oil'!R2094</f>
        <v>69.349999999999994</v>
      </c>
      <c r="S2093">
        <f>'raw data Crude oil'!S2094</f>
        <v>68.94</v>
      </c>
      <c r="T2093">
        <f>'raw data Crude oil'!T2094</f>
        <v>68.510000000000005</v>
      </c>
      <c r="U2093">
        <f>'raw data Crude oil'!U2094</f>
        <v>68.09</v>
      </c>
      <c r="V2093">
        <f>'raw data Crude oil'!V2094</f>
        <v>67.7</v>
      </c>
      <c r="W2093">
        <f>'raw data Crude oil'!W2094</f>
        <v>67.36</v>
      </c>
      <c r="X2093">
        <f>'raw data Crude oil'!X2094</f>
        <v>67.03</v>
      </c>
      <c r="Y2093">
        <f>'raw data Crude oil'!Y2094</f>
        <v>66.739999999999995</v>
      </c>
      <c r="Z2093">
        <f>'raw data Crude oil'!Z2094</f>
        <v>77.186000000000007</v>
      </c>
      <c r="AA2093">
        <f>'raw data Crude oil'!AA2094</f>
        <v>74.36</v>
      </c>
      <c r="AB2093">
        <f>'raw data Crude oil'!AB2094</f>
        <v>73.63</v>
      </c>
      <c r="AC2093">
        <f>'raw data Crude oil'!AC2094</f>
        <v>72.98</v>
      </c>
      <c r="AD2093">
        <f>'raw data Crude oil'!AD2094</f>
        <v>72.364999999999995</v>
      </c>
      <c r="AE2093">
        <f>'raw data Crude oil'!AE2094</f>
        <v>71.823999999999998</v>
      </c>
      <c r="AF2093">
        <f>'raw data Crude oil'!AF2094</f>
        <v>71.393000000000001</v>
      </c>
      <c r="AG2093">
        <f>'raw data Crude oil'!AG2094</f>
        <v>71.006</v>
      </c>
      <c r="AH2093">
        <f>'raw data Crude oil'!AH2094</f>
        <v>70.647000000000006</v>
      </c>
      <c r="AI2093">
        <f>'raw data Crude oil'!AI2094</f>
        <v>70.325999999999993</v>
      </c>
      <c r="AJ2093">
        <f>'raw data Crude oil'!AJ2094</f>
        <v>70.019000000000005</v>
      </c>
      <c r="AK2093">
        <f>'raw data Crude oil'!AK2094</f>
        <v>69.78</v>
      </c>
    </row>
    <row r="2094" spans="1:37" x14ac:dyDescent="0.3">
      <c r="A2094" s="18">
        <f>'raw data Crude oil'!A2095</f>
        <v>45695</v>
      </c>
      <c r="B2094">
        <f>'raw data Crude oil'!B2095</f>
        <v>74.66</v>
      </c>
      <c r="C2094">
        <f>'raw data Crude oil'!C2095</f>
        <v>74.260000000000005</v>
      </c>
      <c r="D2094">
        <f>'raw data Crude oil'!D2095</f>
        <v>73.83</v>
      </c>
      <c r="E2094">
        <f>'raw data Crude oil'!E2095</f>
        <v>73.41</v>
      </c>
      <c r="F2094">
        <f>'raw data Crude oil'!F2095</f>
        <v>72.989999999999995</v>
      </c>
      <c r="G2094">
        <f>'raw data Crude oil'!G2095</f>
        <v>72.569999999999993</v>
      </c>
      <c r="H2094">
        <f>'raw data Crude oil'!H2095</f>
        <v>72.19</v>
      </c>
      <c r="I2094">
        <f>'raw data Crude oil'!I2095</f>
        <v>71.84</v>
      </c>
      <c r="J2094">
        <f>'raw data Crude oil'!J2095</f>
        <v>71.510000000000005</v>
      </c>
      <c r="K2094">
        <f>'raw data Crude oil'!K2095</f>
        <v>71.2</v>
      </c>
      <c r="L2094">
        <f>'raw data Crude oil'!L2095</f>
        <v>70.91</v>
      </c>
      <c r="M2094">
        <f>'raw data Crude oil'!M2095</f>
        <v>70.67</v>
      </c>
      <c r="N2094">
        <f>'raw data Crude oil'!N2095</f>
        <v>71</v>
      </c>
      <c r="O2094">
        <f>'raw data Crude oil'!O2095</f>
        <v>70.739999999999995</v>
      </c>
      <c r="P2094">
        <f>'raw data Crude oil'!P2095</f>
        <v>70.42</v>
      </c>
      <c r="Q2094">
        <f>'raw data Crude oil'!Q2095</f>
        <v>70.069999999999993</v>
      </c>
      <c r="R2094">
        <f>'raw data Crude oil'!R2095</f>
        <v>69.7</v>
      </c>
      <c r="S2094">
        <f>'raw data Crude oil'!S2095</f>
        <v>69.290000000000006</v>
      </c>
      <c r="T2094">
        <f>'raw data Crude oil'!T2095</f>
        <v>68.86</v>
      </c>
      <c r="U2094">
        <f>'raw data Crude oil'!U2095</f>
        <v>68.44</v>
      </c>
      <c r="V2094">
        <f>'raw data Crude oil'!V2095</f>
        <v>68.05</v>
      </c>
      <c r="W2094">
        <f>'raw data Crude oil'!W2095</f>
        <v>67.7</v>
      </c>
      <c r="X2094">
        <f>'raw data Crude oil'!X2095</f>
        <v>67.38</v>
      </c>
      <c r="Y2094">
        <f>'raw data Crude oil'!Y2095</f>
        <v>67.069999999999993</v>
      </c>
      <c r="Z2094">
        <f>'raw data Crude oil'!Z2095</f>
        <v>77.527000000000001</v>
      </c>
      <c r="AA2094">
        <f>'raw data Crude oil'!AA2095</f>
        <v>74.86</v>
      </c>
      <c r="AB2094">
        <f>'raw data Crude oil'!AB2095</f>
        <v>74.186999999999998</v>
      </c>
      <c r="AC2094">
        <f>'raw data Crude oil'!AC2095</f>
        <v>73.540000000000006</v>
      </c>
      <c r="AD2094">
        <f>'raw data Crude oil'!AD2095</f>
        <v>72.918999999999997</v>
      </c>
      <c r="AE2094">
        <f>'raw data Crude oil'!AE2095</f>
        <v>72.376000000000005</v>
      </c>
      <c r="AF2094">
        <f>'raw data Crude oil'!AF2095</f>
        <v>71.936000000000007</v>
      </c>
      <c r="AG2094">
        <f>'raw data Crude oil'!AG2095</f>
        <v>71.546000000000006</v>
      </c>
      <c r="AH2094">
        <f>'raw data Crude oil'!AH2095</f>
        <v>71.185000000000002</v>
      </c>
      <c r="AI2094">
        <f>'raw data Crude oil'!AI2095</f>
        <v>70.843999999999994</v>
      </c>
      <c r="AJ2094">
        <f>'raw data Crude oil'!AJ2095</f>
        <v>70.525999999999996</v>
      </c>
      <c r="AK2094">
        <f>'raw data Crude oil'!AK2095</f>
        <v>70.248000000000005</v>
      </c>
    </row>
    <row r="2095" spans="1:37" x14ac:dyDescent="0.3">
      <c r="A2095" s="18">
        <f>'raw data Crude oil'!A2096</f>
        <v>45698</v>
      </c>
      <c r="B2095">
        <f>'raw data Crude oil'!B2096</f>
        <v>75.87</v>
      </c>
      <c r="C2095">
        <f>'raw data Crude oil'!C2096</f>
        <v>75.430000000000007</v>
      </c>
      <c r="D2095">
        <f>'raw data Crude oil'!D2096</f>
        <v>74.959999999999994</v>
      </c>
      <c r="E2095">
        <f>'raw data Crude oil'!E2096</f>
        <v>74.489999999999995</v>
      </c>
      <c r="F2095">
        <f>'raw data Crude oil'!F2096</f>
        <v>74.02</v>
      </c>
      <c r="G2095">
        <f>'raw data Crude oil'!G2096</f>
        <v>73.56</v>
      </c>
      <c r="H2095">
        <f>'raw data Crude oil'!H2096</f>
        <v>73.12</v>
      </c>
      <c r="I2095">
        <f>'raw data Crude oil'!I2096</f>
        <v>72.709999999999994</v>
      </c>
      <c r="J2095">
        <f>'raw data Crude oil'!J2096</f>
        <v>72.33</v>
      </c>
      <c r="K2095">
        <f>'raw data Crude oil'!K2096</f>
        <v>71.98</v>
      </c>
      <c r="L2095">
        <f>'raw data Crude oil'!L2096</f>
        <v>71.67</v>
      </c>
      <c r="M2095">
        <f>'raw data Crude oil'!M2096</f>
        <v>71.39</v>
      </c>
      <c r="N2095">
        <f>'raw data Crude oil'!N2096</f>
        <v>72.319999999999993</v>
      </c>
      <c r="O2095">
        <f>'raw data Crude oil'!O2096</f>
        <v>72.010000000000005</v>
      </c>
      <c r="P2095">
        <f>'raw data Crude oil'!P2096</f>
        <v>71.650000000000006</v>
      </c>
      <c r="Q2095">
        <f>'raw data Crude oil'!Q2096</f>
        <v>71.260000000000005</v>
      </c>
      <c r="R2095">
        <f>'raw data Crude oil'!R2096</f>
        <v>70.849999999999994</v>
      </c>
      <c r="S2095">
        <f>'raw data Crude oil'!S2096</f>
        <v>70.400000000000006</v>
      </c>
      <c r="T2095">
        <f>'raw data Crude oil'!T2096</f>
        <v>69.91</v>
      </c>
      <c r="U2095">
        <f>'raw data Crude oil'!U2096</f>
        <v>69.430000000000007</v>
      </c>
      <c r="V2095">
        <f>'raw data Crude oil'!V2096</f>
        <v>69</v>
      </c>
      <c r="W2095">
        <f>'raw data Crude oil'!W2096</f>
        <v>68.599999999999994</v>
      </c>
      <c r="X2095">
        <f>'raw data Crude oil'!X2096</f>
        <v>68.22</v>
      </c>
      <c r="Y2095">
        <f>'raw data Crude oil'!Y2096</f>
        <v>67.89</v>
      </c>
      <c r="Z2095">
        <f>'raw data Crude oil'!Z2096</f>
        <v>78.25</v>
      </c>
      <c r="AA2095">
        <f>'raw data Crude oil'!AA2096</f>
        <v>75.847999999999999</v>
      </c>
      <c r="AB2095">
        <f>'raw data Crude oil'!AB2096</f>
        <v>75.168000000000006</v>
      </c>
      <c r="AC2095">
        <f>'raw data Crude oil'!AC2096</f>
        <v>74.504000000000005</v>
      </c>
      <c r="AD2095">
        <f>'raw data Crude oil'!AD2096</f>
        <v>73.847999999999999</v>
      </c>
      <c r="AE2095">
        <f>'raw data Crude oil'!AE2096</f>
        <v>73.283000000000001</v>
      </c>
      <c r="AF2095">
        <f>'raw data Crude oil'!AF2096</f>
        <v>72.805000000000007</v>
      </c>
      <c r="AG2095">
        <f>'raw data Crude oil'!AG2096</f>
        <v>72.358000000000004</v>
      </c>
      <c r="AH2095">
        <f>'raw data Crude oil'!AH2096</f>
        <v>71.954999999999998</v>
      </c>
      <c r="AI2095">
        <f>'raw data Crude oil'!AI2096</f>
        <v>71.584999999999994</v>
      </c>
      <c r="AJ2095">
        <f>'raw data Crude oil'!AJ2096</f>
        <v>71.234999999999999</v>
      </c>
      <c r="AK2095">
        <f>'raw data Crude oil'!AK2096</f>
        <v>70.948999999999998</v>
      </c>
    </row>
    <row r="2096" spans="1:37" x14ac:dyDescent="0.3">
      <c r="A2096" s="18">
        <f>'raw data Crude oil'!A2097</f>
        <v>45699</v>
      </c>
      <c r="B2096">
        <f>'raw data Crude oil'!B2097</f>
        <v>77</v>
      </c>
      <c r="C2096">
        <f>'raw data Crude oil'!C2097</f>
        <v>76.62</v>
      </c>
      <c r="D2096">
        <f>'raw data Crude oil'!D2097</f>
        <v>76.150000000000006</v>
      </c>
      <c r="E2096">
        <f>'raw data Crude oil'!E2097</f>
        <v>75.67</v>
      </c>
      <c r="F2096">
        <f>'raw data Crude oil'!F2097</f>
        <v>75.180000000000007</v>
      </c>
      <c r="G2096">
        <f>'raw data Crude oil'!G2097</f>
        <v>74.69</v>
      </c>
      <c r="H2096">
        <f>'raw data Crude oil'!H2097</f>
        <v>74.239999999999995</v>
      </c>
      <c r="I2096">
        <f>'raw data Crude oil'!I2097</f>
        <v>73.819999999999993</v>
      </c>
      <c r="J2096">
        <f>'raw data Crude oil'!J2097</f>
        <v>73.44</v>
      </c>
      <c r="K2096">
        <f>'raw data Crude oil'!K2097</f>
        <v>73.09</v>
      </c>
      <c r="L2096">
        <f>'raw data Crude oil'!L2097</f>
        <v>72.760000000000005</v>
      </c>
      <c r="M2096">
        <f>'raw data Crude oil'!M2097</f>
        <v>72.47</v>
      </c>
      <c r="N2096">
        <f>'raw data Crude oil'!N2097</f>
        <v>73.319999999999993</v>
      </c>
      <c r="O2096">
        <f>'raw data Crude oil'!O2097</f>
        <v>73.08</v>
      </c>
      <c r="P2096">
        <f>'raw data Crude oil'!P2097</f>
        <v>72.760000000000005</v>
      </c>
      <c r="Q2096">
        <f>'raw data Crude oil'!Q2097</f>
        <v>72.39</v>
      </c>
      <c r="R2096">
        <f>'raw data Crude oil'!R2097</f>
        <v>71.98</v>
      </c>
      <c r="S2096">
        <f>'raw data Crude oil'!S2097</f>
        <v>71.52</v>
      </c>
      <c r="T2096">
        <f>'raw data Crude oil'!T2097</f>
        <v>71.02</v>
      </c>
      <c r="U2096">
        <f>'raw data Crude oil'!U2097</f>
        <v>70.53</v>
      </c>
      <c r="V2096">
        <f>'raw data Crude oil'!V2097</f>
        <v>70.08</v>
      </c>
      <c r="W2096">
        <f>'raw data Crude oil'!W2097</f>
        <v>69.67</v>
      </c>
      <c r="X2096">
        <f>'raw data Crude oil'!X2097</f>
        <v>69.290000000000006</v>
      </c>
      <c r="Y2096">
        <f>'raw data Crude oil'!Y2097</f>
        <v>68.94</v>
      </c>
      <c r="Z2096">
        <f>'raw data Crude oil'!Z2097</f>
        <v>79.070999999999998</v>
      </c>
      <c r="AA2096">
        <f>'raw data Crude oil'!AA2097</f>
        <v>76.947999999999993</v>
      </c>
      <c r="AB2096">
        <f>'raw data Crude oil'!AB2097</f>
        <v>76.277000000000001</v>
      </c>
      <c r="AC2096">
        <f>'raw data Crude oil'!AC2097</f>
        <v>75.596999999999994</v>
      </c>
      <c r="AD2096">
        <f>'raw data Crude oil'!AD2097</f>
        <v>74.912999999999997</v>
      </c>
      <c r="AE2096">
        <f>'raw data Crude oil'!AE2097</f>
        <v>74.320999999999998</v>
      </c>
      <c r="AF2096">
        <f>'raw data Crude oil'!AF2097</f>
        <v>73.819999999999993</v>
      </c>
      <c r="AG2096">
        <f>'raw data Crude oil'!AG2097</f>
        <v>73.363</v>
      </c>
      <c r="AH2096">
        <f>'raw data Crude oil'!AH2097</f>
        <v>72.965000000000003</v>
      </c>
      <c r="AI2096">
        <f>'raw data Crude oil'!AI2097</f>
        <v>72.584999999999994</v>
      </c>
      <c r="AJ2096">
        <f>'raw data Crude oil'!AJ2097</f>
        <v>72.224999999999994</v>
      </c>
      <c r="AK2096">
        <f>'raw data Crude oil'!AK2097</f>
        <v>71.908000000000001</v>
      </c>
    </row>
    <row r="2097" spans="1:37" x14ac:dyDescent="0.3">
      <c r="A2097" s="18">
        <f>'raw data Crude oil'!A2098</f>
        <v>45700</v>
      </c>
      <c r="B2097">
        <f>'raw data Crude oil'!B2098</f>
        <v>75.180000000000007</v>
      </c>
      <c r="C2097">
        <f>'raw data Crude oil'!C2098</f>
        <v>74.87</v>
      </c>
      <c r="D2097">
        <f>'raw data Crude oil'!D2098</f>
        <v>74.489999999999995</v>
      </c>
      <c r="E2097">
        <f>'raw data Crude oil'!E2098</f>
        <v>74.08</v>
      </c>
      <c r="F2097">
        <f>'raw data Crude oil'!F2098</f>
        <v>73.650000000000006</v>
      </c>
      <c r="G2097">
        <f>'raw data Crude oil'!G2098</f>
        <v>73.209999999999994</v>
      </c>
      <c r="H2097">
        <f>'raw data Crude oil'!H2098</f>
        <v>72.8</v>
      </c>
      <c r="I2097">
        <f>'raw data Crude oil'!I2098</f>
        <v>72.430000000000007</v>
      </c>
      <c r="J2097">
        <f>'raw data Crude oil'!J2098</f>
        <v>72.08</v>
      </c>
      <c r="K2097">
        <f>'raw data Crude oil'!K2098</f>
        <v>71.75</v>
      </c>
      <c r="L2097">
        <f>'raw data Crude oil'!L2098</f>
        <v>71.459999999999994</v>
      </c>
      <c r="M2097">
        <f>'raw data Crude oil'!M2098</f>
        <v>71.209999999999994</v>
      </c>
      <c r="N2097">
        <f>'raw data Crude oil'!N2098</f>
        <v>71.37</v>
      </c>
      <c r="O2097">
        <f>'raw data Crude oil'!O2098</f>
        <v>71.239999999999995</v>
      </c>
      <c r="P2097">
        <f>'raw data Crude oil'!P2098</f>
        <v>71.02</v>
      </c>
      <c r="Q2097">
        <f>'raw data Crude oil'!Q2098</f>
        <v>70.73</v>
      </c>
      <c r="R2097">
        <f>'raw data Crude oil'!R2098</f>
        <v>70.39</v>
      </c>
      <c r="S2097">
        <f>'raw data Crude oil'!S2098</f>
        <v>69.98</v>
      </c>
      <c r="T2097">
        <f>'raw data Crude oil'!T2098</f>
        <v>69.53</v>
      </c>
      <c r="U2097">
        <f>'raw data Crude oil'!U2098</f>
        <v>69.09</v>
      </c>
      <c r="V2097">
        <f>'raw data Crude oil'!V2098</f>
        <v>68.69</v>
      </c>
      <c r="W2097">
        <f>'raw data Crude oil'!W2098</f>
        <v>68.319999999999993</v>
      </c>
      <c r="X2097">
        <f>'raw data Crude oil'!X2098</f>
        <v>67.97</v>
      </c>
      <c r="Y2097">
        <f>'raw data Crude oil'!Y2098</f>
        <v>67.680000000000007</v>
      </c>
      <c r="Z2097">
        <f>'raw data Crude oil'!Z2098</f>
        <v>77.944000000000003</v>
      </c>
      <c r="AA2097">
        <f>'raw data Crude oil'!AA2098</f>
        <v>75.081999999999994</v>
      </c>
      <c r="AB2097">
        <f>'raw data Crude oil'!AB2098</f>
        <v>74.510000000000005</v>
      </c>
      <c r="AC2097">
        <f>'raw data Crude oil'!AC2098</f>
        <v>73.933999999999997</v>
      </c>
      <c r="AD2097">
        <f>'raw data Crude oil'!AD2098</f>
        <v>73.344999999999999</v>
      </c>
      <c r="AE2097">
        <f>'raw data Crude oil'!AE2098</f>
        <v>72.811999999999998</v>
      </c>
      <c r="AF2097">
        <f>'raw data Crude oil'!AF2098</f>
        <v>72.361999999999995</v>
      </c>
      <c r="AG2097">
        <f>'raw data Crude oil'!AG2098</f>
        <v>71.953999999999994</v>
      </c>
      <c r="AH2097">
        <f>'raw data Crude oil'!AH2098</f>
        <v>71.575999999999993</v>
      </c>
      <c r="AI2097">
        <f>'raw data Crude oil'!AI2098</f>
        <v>71.215999999999994</v>
      </c>
      <c r="AJ2097">
        <f>'raw data Crude oil'!AJ2098</f>
        <v>70.887</v>
      </c>
      <c r="AK2097">
        <f>'raw data Crude oil'!AK2098</f>
        <v>70.63</v>
      </c>
    </row>
    <row r="2098" spans="1:37" x14ac:dyDescent="0.3">
      <c r="A2098" s="18">
        <f>'raw data Crude oil'!A2099</f>
        <v>45701</v>
      </c>
      <c r="B2098">
        <f>'raw data Crude oil'!B2099</f>
        <v>75.02</v>
      </c>
      <c r="C2098">
        <f>'raw data Crude oil'!C2099</f>
        <v>74.66</v>
      </c>
      <c r="D2098">
        <f>'raw data Crude oil'!D2099</f>
        <v>74.25</v>
      </c>
      <c r="E2098">
        <f>'raw data Crude oil'!E2099</f>
        <v>73.83</v>
      </c>
      <c r="F2098">
        <f>'raw data Crude oil'!F2099</f>
        <v>73.41</v>
      </c>
      <c r="G2098">
        <f>'raw data Crude oil'!G2099</f>
        <v>72.98</v>
      </c>
      <c r="H2098">
        <f>'raw data Crude oil'!H2099</f>
        <v>72.58</v>
      </c>
      <c r="I2098">
        <f>'raw data Crude oil'!I2099</f>
        <v>72.22</v>
      </c>
      <c r="J2098">
        <f>'raw data Crude oil'!J2099</f>
        <v>71.88</v>
      </c>
      <c r="K2098">
        <f>'raw data Crude oil'!K2099</f>
        <v>71.55</v>
      </c>
      <c r="L2098">
        <f>'raw data Crude oil'!L2099</f>
        <v>71.260000000000005</v>
      </c>
      <c r="M2098">
        <f>'raw data Crude oil'!M2099</f>
        <v>71.010000000000005</v>
      </c>
      <c r="N2098">
        <f>'raw data Crude oil'!N2099</f>
        <v>71.290000000000006</v>
      </c>
      <c r="O2098">
        <f>'raw data Crude oil'!O2099</f>
        <v>71.14</v>
      </c>
      <c r="P2098">
        <f>'raw data Crude oil'!P2099</f>
        <v>70.88</v>
      </c>
      <c r="Q2098">
        <f>'raw data Crude oil'!Q2099</f>
        <v>70.569999999999993</v>
      </c>
      <c r="R2098">
        <f>'raw data Crude oil'!R2099</f>
        <v>70.209999999999994</v>
      </c>
      <c r="S2098">
        <f>'raw data Crude oil'!S2099</f>
        <v>69.8</v>
      </c>
      <c r="T2098">
        <f>'raw data Crude oil'!T2099</f>
        <v>69.37</v>
      </c>
      <c r="U2098">
        <f>'raw data Crude oil'!U2099</f>
        <v>68.94</v>
      </c>
      <c r="V2098">
        <f>'raw data Crude oil'!V2099</f>
        <v>68.55</v>
      </c>
      <c r="W2098">
        <f>'raw data Crude oil'!W2099</f>
        <v>68.19</v>
      </c>
      <c r="X2098">
        <f>'raw data Crude oil'!X2099</f>
        <v>67.849999999999994</v>
      </c>
      <c r="Y2098">
        <f>'raw data Crude oil'!Y2099</f>
        <v>67.540000000000006</v>
      </c>
      <c r="Z2098">
        <f>'raw data Crude oil'!Z2099</f>
        <v>77.682000000000002</v>
      </c>
      <c r="AA2098">
        <f>'raw data Crude oil'!AA2099</f>
        <v>74.69</v>
      </c>
      <c r="AB2098">
        <f>'raw data Crude oil'!AB2099</f>
        <v>74.14</v>
      </c>
      <c r="AC2098">
        <f>'raw data Crude oil'!AC2099</f>
        <v>73.61</v>
      </c>
      <c r="AD2098">
        <f>'raw data Crude oil'!AD2099</f>
        <v>73.066999999999993</v>
      </c>
      <c r="AE2098">
        <f>'raw data Crude oil'!AE2099</f>
        <v>72.557000000000002</v>
      </c>
      <c r="AF2098">
        <f>'raw data Crude oil'!AF2099</f>
        <v>72.126999999999995</v>
      </c>
      <c r="AG2098">
        <f>'raw data Crude oil'!AG2099</f>
        <v>71.728999999999999</v>
      </c>
      <c r="AH2098">
        <f>'raw data Crude oil'!AH2099</f>
        <v>71.36</v>
      </c>
      <c r="AI2098">
        <f>'raw data Crude oil'!AI2099</f>
        <v>71</v>
      </c>
      <c r="AJ2098">
        <f>'raw data Crude oil'!AJ2099</f>
        <v>70.671000000000006</v>
      </c>
      <c r="AK2098">
        <f>'raw data Crude oil'!AK2099</f>
        <v>70.403000000000006</v>
      </c>
    </row>
    <row r="2099" spans="1:37" x14ac:dyDescent="0.3">
      <c r="A2099" s="18">
        <f>'raw data Crude oil'!A2100</f>
        <v>45702</v>
      </c>
      <c r="B2099">
        <f>'raw data Crude oil'!B2100</f>
        <v>74.739999999999995</v>
      </c>
      <c r="C2099">
        <f>'raw data Crude oil'!C2100</f>
        <v>74.459999999999994</v>
      </c>
      <c r="D2099">
        <f>'raw data Crude oil'!D2100</f>
        <v>74.09</v>
      </c>
      <c r="E2099">
        <f>'raw data Crude oil'!E2100</f>
        <v>73.7</v>
      </c>
      <c r="F2099">
        <f>'raw data Crude oil'!F2100</f>
        <v>73.31</v>
      </c>
      <c r="G2099">
        <f>'raw data Crude oil'!G2100</f>
        <v>72.91</v>
      </c>
      <c r="H2099">
        <f>'raw data Crude oil'!H2100</f>
        <v>72.53</v>
      </c>
      <c r="I2099">
        <f>'raw data Crude oil'!I2100</f>
        <v>72.180000000000007</v>
      </c>
      <c r="J2099">
        <f>'raw data Crude oil'!J2100</f>
        <v>71.87</v>
      </c>
      <c r="K2099">
        <f>'raw data Crude oil'!K2100</f>
        <v>71.56</v>
      </c>
      <c r="L2099">
        <f>'raw data Crude oil'!L2100</f>
        <v>71.28</v>
      </c>
      <c r="M2099">
        <f>'raw data Crude oil'!M2100</f>
        <v>71.040000000000006</v>
      </c>
      <c r="N2099">
        <f>'raw data Crude oil'!N2100</f>
        <v>70.739999999999995</v>
      </c>
      <c r="O2099">
        <f>'raw data Crude oil'!O2100</f>
        <v>70.709999999999994</v>
      </c>
      <c r="P2099">
        <f>'raw data Crude oil'!P2100</f>
        <v>70.56</v>
      </c>
      <c r="Q2099">
        <f>'raw data Crude oil'!Q2100</f>
        <v>70.34</v>
      </c>
      <c r="R2099">
        <f>'raw data Crude oil'!R2100</f>
        <v>70.03</v>
      </c>
      <c r="S2099">
        <f>'raw data Crude oil'!S2100</f>
        <v>69.650000000000006</v>
      </c>
      <c r="T2099">
        <f>'raw data Crude oil'!T2100</f>
        <v>69.25</v>
      </c>
      <c r="U2099">
        <f>'raw data Crude oil'!U2100</f>
        <v>68.849999999999994</v>
      </c>
      <c r="V2099">
        <f>'raw data Crude oil'!V2100</f>
        <v>68.489999999999995</v>
      </c>
      <c r="W2099">
        <f>'raw data Crude oil'!W2100</f>
        <v>68.150000000000006</v>
      </c>
      <c r="X2099">
        <f>'raw data Crude oil'!X2100</f>
        <v>67.83</v>
      </c>
      <c r="Y2099">
        <f>'raw data Crude oil'!Y2100</f>
        <v>67.540000000000006</v>
      </c>
      <c r="Z2099">
        <f>'raw data Crude oil'!Z2100</f>
        <v>77.620999999999995</v>
      </c>
      <c r="AA2099">
        <f>'raw data Crude oil'!AA2100</f>
        <v>74.721999999999994</v>
      </c>
      <c r="AB2099">
        <f>'raw data Crude oil'!AB2100</f>
        <v>74.141000000000005</v>
      </c>
      <c r="AC2099">
        <f>'raw data Crude oil'!AC2100</f>
        <v>73.572000000000003</v>
      </c>
      <c r="AD2099">
        <f>'raw data Crude oil'!AD2100</f>
        <v>73.027000000000001</v>
      </c>
      <c r="AE2099">
        <f>'raw data Crude oil'!AE2100</f>
        <v>72.513000000000005</v>
      </c>
      <c r="AF2099">
        <f>'raw data Crude oil'!AF2100</f>
        <v>72.099999999999994</v>
      </c>
      <c r="AG2099">
        <f>'raw data Crude oil'!AG2100</f>
        <v>71.736999999999995</v>
      </c>
      <c r="AH2099">
        <f>'raw data Crude oil'!AH2100</f>
        <v>71.408000000000001</v>
      </c>
      <c r="AI2099">
        <f>'raw data Crude oil'!AI2100</f>
        <v>71.067999999999998</v>
      </c>
      <c r="AJ2099">
        <f>'raw data Crude oil'!AJ2100</f>
        <v>70.745000000000005</v>
      </c>
      <c r="AK2099">
        <f>'raw data Crude oil'!AK2100</f>
        <v>70.501999999999995</v>
      </c>
    </row>
    <row r="2100" spans="1:37" x14ac:dyDescent="0.3">
      <c r="A2100" s="18">
        <f>'raw data Crude oil'!A2101</f>
        <v>45705</v>
      </c>
      <c r="B2100">
        <f>'raw data Crude oil'!B2101</f>
        <v>75.22</v>
      </c>
      <c r="C2100">
        <f>'raw data Crude oil'!C2101</f>
        <v>74.930000000000007</v>
      </c>
      <c r="D2100">
        <f>'raw data Crude oil'!D2101</f>
        <v>74.55</v>
      </c>
      <c r="E2100">
        <f>'raw data Crude oil'!E2101</f>
        <v>74.150000000000006</v>
      </c>
      <c r="F2100">
        <f>'raw data Crude oil'!F2101</f>
        <v>73.739999999999995</v>
      </c>
      <c r="G2100">
        <f>'raw data Crude oil'!G2101</f>
        <v>73.319999999999993</v>
      </c>
      <c r="H2100">
        <f>'raw data Crude oil'!H2101</f>
        <v>72.92</v>
      </c>
      <c r="I2100">
        <f>'raw data Crude oil'!I2101</f>
        <v>72.55</v>
      </c>
      <c r="J2100">
        <f>'raw data Crude oil'!J2101</f>
        <v>72.209999999999994</v>
      </c>
      <c r="K2100">
        <f>'raw data Crude oil'!K2101</f>
        <v>71.89</v>
      </c>
      <c r="L2100">
        <f>'raw data Crude oil'!L2101</f>
        <v>71.599999999999994</v>
      </c>
      <c r="M2100">
        <f>'raw data Crude oil'!M2101</f>
        <v>71.349999999999994</v>
      </c>
      <c r="N2100">
        <f>'raw data Crude oil'!N2101</f>
        <v>70.739999999999995</v>
      </c>
      <c r="O2100">
        <f>'raw data Crude oil'!O2101</f>
        <v>70.709999999999994</v>
      </c>
      <c r="P2100">
        <f>'raw data Crude oil'!P2101</f>
        <v>70.56</v>
      </c>
      <c r="Q2100">
        <f>'raw data Crude oil'!Q2101</f>
        <v>70.34</v>
      </c>
      <c r="R2100">
        <f>'raw data Crude oil'!R2101</f>
        <v>70.03</v>
      </c>
      <c r="S2100">
        <f>'raw data Crude oil'!S2101</f>
        <v>69.650000000000006</v>
      </c>
      <c r="T2100">
        <f>'raw data Crude oil'!T2101</f>
        <v>69.25</v>
      </c>
      <c r="U2100">
        <f>'raw data Crude oil'!U2101</f>
        <v>68.849999999999994</v>
      </c>
      <c r="V2100">
        <f>'raw data Crude oil'!V2101</f>
        <v>68.489999999999995</v>
      </c>
      <c r="W2100">
        <f>'raw data Crude oil'!W2101</f>
        <v>68.150000000000006</v>
      </c>
      <c r="X2100">
        <f>'raw data Crude oil'!X2101</f>
        <v>67.83</v>
      </c>
      <c r="Y2100">
        <f>'raw data Crude oil'!Y2101</f>
        <v>67.540000000000006</v>
      </c>
      <c r="Z2100">
        <f>'raw data Crude oil'!Z2101</f>
        <v>77.853999999999999</v>
      </c>
      <c r="AA2100">
        <f>'raw data Crude oil'!AA2101</f>
        <v>75.212000000000003</v>
      </c>
      <c r="AB2100">
        <f>'raw data Crude oil'!AB2101</f>
        <v>74.668999999999997</v>
      </c>
      <c r="AC2100">
        <f>'raw data Crude oil'!AC2101</f>
        <v>74.119</v>
      </c>
      <c r="AD2100">
        <f>'raw data Crude oil'!AD2101</f>
        <v>73.569000000000003</v>
      </c>
      <c r="AE2100">
        <f>'raw data Crude oil'!AE2101</f>
        <v>73.034000000000006</v>
      </c>
      <c r="AF2100">
        <f>'raw data Crude oil'!AF2101</f>
        <v>72.591999999999999</v>
      </c>
      <c r="AG2100">
        <f>'raw data Crude oil'!AG2101</f>
        <v>72.185000000000002</v>
      </c>
      <c r="AH2100">
        <f>'raw data Crude oil'!AH2101</f>
        <v>71.816000000000003</v>
      </c>
      <c r="AI2100">
        <f>'raw data Crude oil'!AI2101</f>
        <v>71.465999999999994</v>
      </c>
      <c r="AJ2100">
        <f>'raw data Crude oil'!AJ2101</f>
        <v>71.137</v>
      </c>
      <c r="AK2100">
        <f>'raw data Crude oil'!AK2101</f>
        <v>70.88</v>
      </c>
    </row>
    <row r="2101" spans="1:37" x14ac:dyDescent="0.3">
      <c r="A2101" s="18">
        <f>'raw data Crude oil'!A2102</f>
        <v>45706</v>
      </c>
      <c r="B2101">
        <f>'raw data Crude oil'!B2102</f>
        <v>75.84</v>
      </c>
      <c r="C2101">
        <f>'raw data Crude oil'!C2102</f>
        <v>75.430000000000007</v>
      </c>
      <c r="D2101">
        <f>'raw data Crude oil'!D2102</f>
        <v>74.989999999999995</v>
      </c>
      <c r="E2101">
        <f>'raw data Crude oil'!E2102</f>
        <v>74.56</v>
      </c>
      <c r="F2101">
        <f>'raw data Crude oil'!F2102</f>
        <v>74.11</v>
      </c>
      <c r="G2101">
        <f>'raw data Crude oil'!G2102</f>
        <v>73.66</v>
      </c>
      <c r="H2101">
        <f>'raw data Crude oil'!H2102</f>
        <v>73.23</v>
      </c>
      <c r="I2101">
        <f>'raw data Crude oil'!I2102</f>
        <v>72.84</v>
      </c>
      <c r="J2101">
        <f>'raw data Crude oil'!J2102</f>
        <v>72.47</v>
      </c>
      <c r="K2101">
        <f>'raw data Crude oil'!K2102</f>
        <v>72.14</v>
      </c>
      <c r="L2101">
        <f>'raw data Crude oil'!L2102</f>
        <v>71.83</v>
      </c>
      <c r="M2101">
        <f>'raw data Crude oil'!M2102</f>
        <v>71.56</v>
      </c>
      <c r="N2101">
        <f>'raw data Crude oil'!N2102</f>
        <v>71.849999999999994</v>
      </c>
      <c r="O2101">
        <f>'raw data Crude oil'!O2102</f>
        <v>71.83</v>
      </c>
      <c r="P2101">
        <f>'raw data Crude oil'!P2102</f>
        <v>71.58</v>
      </c>
      <c r="Q2101">
        <f>'raw data Crude oil'!Q2102</f>
        <v>71.260000000000005</v>
      </c>
      <c r="R2101">
        <f>'raw data Crude oil'!R2102</f>
        <v>70.87</v>
      </c>
      <c r="S2101">
        <f>'raw data Crude oil'!S2102</f>
        <v>70.430000000000007</v>
      </c>
      <c r="T2101">
        <f>'raw data Crude oil'!T2102</f>
        <v>69.97</v>
      </c>
      <c r="U2101">
        <f>'raw data Crude oil'!U2102</f>
        <v>69.5</v>
      </c>
      <c r="V2101">
        <f>'raw data Crude oil'!V2102</f>
        <v>69.08</v>
      </c>
      <c r="W2101">
        <f>'raw data Crude oil'!W2102</f>
        <v>68.7</v>
      </c>
      <c r="X2101">
        <f>'raw data Crude oil'!X2102</f>
        <v>68.349999999999994</v>
      </c>
      <c r="Y2101">
        <f>'raw data Crude oil'!Y2102</f>
        <v>68.040000000000006</v>
      </c>
      <c r="Z2101">
        <f>'raw data Crude oil'!Z2102</f>
        <v>78.116</v>
      </c>
      <c r="AA2101">
        <f>'raw data Crude oil'!AA2102</f>
        <v>75.828999999999994</v>
      </c>
      <c r="AB2101">
        <f>'raw data Crude oil'!AB2102</f>
        <v>75.245000000000005</v>
      </c>
      <c r="AC2101">
        <f>'raw data Crude oil'!AC2102</f>
        <v>74.664000000000001</v>
      </c>
      <c r="AD2101">
        <f>'raw data Crude oil'!AD2102</f>
        <v>74.064999999999998</v>
      </c>
      <c r="AE2101">
        <f>'raw data Crude oil'!AE2102</f>
        <v>73.495999999999995</v>
      </c>
      <c r="AF2101">
        <f>'raw data Crude oil'!AF2102</f>
        <v>73.016000000000005</v>
      </c>
      <c r="AG2101">
        <f>'raw data Crude oil'!AG2102</f>
        <v>72.567999999999998</v>
      </c>
      <c r="AH2101">
        <f>'raw data Crude oil'!AH2102</f>
        <v>72.171000000000006</v>
      </c>
      <c r="AI2101">
        <f>'raw data Crude oil'!AI2102</f>
        <v>71.790000000000006</v>
      </c>
      <c r="AJ2101">
        <f>'raw data Crude oil'!AJ2102</f>
        <v>71.45</v>
      </c>
      <c r="AK2101">
        <f>'raw data Crude oil'!AK2102</f>
        <v>71.176000000000002</v>
      </c>
    </row>
    <row r="2102" spans="1:37" x14ac:dyDescent="0.3">
      <c r="A2102" s="18">
        <f>'raw data Crude oil'!A2103</f>
        <v>45707</v>
      </c>
      <c r="B2102">
        <f>'raw data Crude oil'!B2103</f>
        <v>76.040000000000006</v>
      </c>
      <c r="C2102">
        <f>'raw data Crude oil'!C2103</f>
        <v>75.67</v>
      </c>
      <c r="D2102">
        <f>'raw data Crude oil'!D2103</f>
        <v>75.239999999999995</v>
      </c>
      <c r="E2102">
        <f>'raw data Crude oil'!E2103</f>
        <v>74.8</v>
      </c>
      <c r="F2102">
        <f>'raw data Crude oil'!F2103</f>
        <v>74.349999999999994</v>
      </c>
      <c r="G2102">
        <f>'raw data Crude oil'!G2103</f>
        <v>73.900000000000006</v>
      </c>
      <c r="H2102">
        <f>'raw data Crude oil'!H2103</f>
        <v>73.48</v>
      </c>
      <c r="I2102">
        <f>'raw data Crude oil'!I2103</f>
        <v>73.09</v>
      </c>
      <c r="J2102">
        <f>'raw data Crude oil'!J2103</f>
        <v>72.73</v>
      </c>
      <c r="K2102">
        <f>'raw data Crude oil'!K2103</f>
        <v>72.39</v>
      </c>
      <c r="L2102">
        <f>'raw data Crude oil'!L2103</f>
        <v>72.069999999999993</v>
      </c>
      <c r="M2102">
        <f>'raw data Crude oil'!M2103</f>
        <v>71.8</v>
      </c>
      <c r="N2102">
        <f>'raw data Crude oil'!N2103</f>
        <v>72.25</v>
      </c>
      <c r="O2102">
        <f>'raw data Crude oil'!O2103</f>
        <v>72.099999999999994</v>
      </c>
      <c r="P2102">
        <f>'raw data Crude oil'!P2103</f>
        <v>71.849999999999994</v>
      </c>
      <c r="Q2102">
        <f>'raw data Crude oil'!Q2103</f>
        <v>71.510000000000005</v>
      </c>
      <c r="R2102">
        <f>'raw data Crude oil'!R2103</f>
        <v>71.12</v>
      </c>
      <c r="S2102">
        <f>'raw data Crude oil'!S2103</f>
        <v>70.680000000000007</v>
      </c>
      <c r="T2102">
        <f>'raw data Crude oil'!T2103</f>
        <v>70.209999999999994</v>
      </c>
      <c r="U2102">
        <f>'raw data Crude oil'!U2103</f>
        <v>69.75</v>
      </c>
      <c r="V2102">
        <f>'raw data Crude oil'!V2103</f>
        <v>69.34</v>
      </c>
      <c r="W2102">
        <f>'raw data Crude oil'!W2103</f>
        <v>68.97</v>
      </c>
      <c r="X2102">
        <f>'raw data Crude oil'!X2103</f>
        <v>68.61</v>
      </c>
      <c r="Y2102">
        <f>'raw data Crude oil'!Y2103</f>
        <v>68.27</v>
      </c>
      <c r="Z2102">
        <f>'raw data Crude oil'!Z2103</f>
        <v>78.391999999999996</v>
      </c>
      <c r="AA2102">
        <f>'raw data Crude oil'!AA2103</f>
        <v>76.317999999999998</v>
      </c>
      <c r="AB2102">
        <f>'raw data Crude oil'!AB2103</f>
        <v>75.629000000000005</v>
      </c>
      <c r="AC2102">
        <f>'raw data Crude oil'!AC2103</f>
        <v>74.968999999999994</v>
      </c>
      <c r="AD2102">
        <f>'raw data Crude oil'!AD2103</f>
        <v>74.349000000000004</v>
      </c>
      <c r="AE2102">
        <f>'raw data Crude oil'!AE2103</f>
        <v>73.777000000000001</v>
      </c>
      <c r="AF2102">
        <f>'raw data Crude oil'!AF2103</f>
        <v>73.286000000000001</v>
      </c>
      <c r="AG2102">
        <f>'raw data Crude oil'!AG2103</f>
        <v>72.838999999999999</v>
      </c>
      <c r="AH2102">
        <f>'raw data Crude oil'!AH2103</f>
        <v>72.454999999999998</v>
      </c>
      <c r="AI2102">
        <f>'raw data Crude oil'!AI2103</f>
        <v>72.093999999999994</v>
      </c>
      <c r="AJ2102">
        <f>'raw data Crude oil'!AJ2103</f>
        <v>71.745000000000005</v>
      </c>
      <c r="AK2102">
        <f>'raw data Crude oil'!AK2103</f>
        <v>71.472999999999999</v>
      </c>
    </row>
    <row r="2103" spans="1:37" x14ac:dyDescent="0.3">
      <c r="A2103" s="18">
        <f>'raw data Crude oil'!A2104</f>
        <v>45708</v>
      </c>
      <c r="B2103">
        <f>'raw data Crude oil'!B2104</f>
        <v>76.48</v>
      </c>
      <c r="C2103">
        <f>'raw data Crude oil'!C2104</f>
        <v>76.05</v>
      </c>
      <c r="D2103">
        <f>'raw data Crude oil'!D2104</f>
        <v>75.61</v>
      </c>
      <c r="E2103">
        <f>'raw data Crude oil'!E2104</f>
        <v>75.19</v>
      </c>
      <c r="F2103">
        <f>'raw data Crude oil'!F2104</f>
        <v>74.75</v>
      </c>
      <c r="G2103">
        <f>'raw data Crude oil'!G2104</f>
        <v>74.3</v>
      </c>
      <c r="H2103">
        <f>'raw data Crude oil'!H2104</f>
        <v>73.87</v>
      </c>
      <c r="I2103">
        <f>'raw data Crude oil'!I2104</f>
        <v>73.47</v>
      </c>
      <c r="J2103">
        <f>'raw data Crude oil'!J2104</f>
        <v>73.11</v>
      </c>
      <c r="K2103">
        <f>'raw data Crude oil'!K2104</f>
        <v>72.77</v>
      </c>
      <c r="L2103">
        <f>'raw data Crude oil'!L2104</f>
        <v>72.45</v>
      </c>
      <c r="M2103">
        <f>'raw data Crude oil'!M2104</f>
        <v>72.17</v>
      </c>
      <c r="N2103">
        <f>'raw data Crude oil'!N2104</f>
        <v>72.569999999999993</v>
      </c>
      <c r="O2103">
        <f>'raw data Crude oil'!O2104</f>
        <v>72.48</v>
      </c>
      <c r="P2103">
        <f>'raw data Crude oil'!P2104</f>
        <v>72.290000000000006</v>
      </c>
      <c r="Q2103">
        <f>'raw data Crude oil'!Q2104</f>
        <v>71.97</v>
      </c>
      <c r="R2103">
        <f>'raw data Crude oil'!R2104</f>
        <v>71.569999999999993</v>
      </c>
      <c r="S2103">
        <f>'raw data Crude oil'!S2104</f>
        <v>71.12</v>
      </c>
      <c r="T2103">
        <f>'raw data Crude oil'!T2104</f>
        <v>70.650000000000006</v>
      </c>
      <c r="U2103">
        <f>'raw data Crude oil'!U2104</f>
        <v>70.180000000000007</v>
      </c>
      <c r="V2103">
        <f>'raw data Crude oil'!V2104</f>
        <v>69.760000000000005</v>
      </c>
      <c r="W2103">
        <f>'raw data Crude oil'!W2104</f>
        <v>69.38</v>
      </c>
      <c r="X2103">
        <f>'raw data Crude oil'!X2104</f>
        <v>69.02</v>
      </c>
      <c r="Y2103">
        <f>'raw data Crude oil'!Y2104</f>
        <v>68.7</v>
      </c>
      <c r="Z2103">
        <f>'raw data Crude oil'!Z2104</f>
        <v>78.477999999999994</v>
      </c>
      <c r="AA2103">
        <f>'raw data Crude oil'!AA2104</f>
        <v>76.745000000000005</v>
      </c>
      <c r="AB2103">
        <f>'raw data Crude oil'!AB2104</f>
        <v>75.989999999999995</v>
      </c>
      <c r="AC2103">
        <f>'raw data Crude oil'!AC2104</f>
        <v>75.325000000000003</v>
      </c>
      <c r="AD2103">
        <f>'raw data Crude oil'!AD2104</f>
        <v>74.709000000000003</v>
      </c>
      <c r="AE2103">
        <f>'raw data Crude oil'!AE2104</f>
        <v>74.128</v>
      </c>
      <c r="AF2103">
        <f>'raw data Crude oil'!AF2104</f>
        <v>73.641999999999996</v>
      </c>
      <c r="AG2103">
        <f>'raw data Crude oil'!AG2104</f>
        <v>73.194000000000003</v>
      </c>
      <c r="AH2103">
        <f>'raw data Crude oil'!AH2104</f>
        <v>72.784999999999997</v>
      </c>
      <c r="AI2103">
        <f>'raw data Crude oil'!AI2104</f>
        <v>72.403999999999996</v>
      </c>
      <c r="AJ2103">
        <f>'raw data Crude oil'!AJ2104</f>
        <v>72.034999999999997</v>
      </c>
      <c r="AK2103">
        <f>'raw data Crude oil'!AK2104</f>
        <v>71.738</v>
      </c>
    </row>
    <row r="2104" spans="1:37" x14ac:dyDescent="0.3">
      <c r="A2104" s="18">
        <f>'raw data Crude oil'!A2105</f>
        <v>45709</v>
      </c>
      <c r="B2104">
        <f>'raw data Crude oil'!B2105</f>
        <v>74.430000000000007</v>
      </c>
      <c r="C2104">
        <f>'raw data Crude oil'!C2105</f>
        <v>74.05</v>
      </c>
      <c r="D2104">
        <f>'raw data Crude oil'!D2105</f>
        <v>73.680000000000007</v>
      </c>
      <c r="E2104">
        <f>'raw data Crude oil'!E2105</f>
        <v>73.3</v>
      </c>
      <c r="F2104">
        <f>'raw data Crude oil'!F2105</f>
        <v>72.91</v>
      </c>
      <c r="G2104">
        <f>'raw data Crude oil'!G2105</f>
        <v>72.510000000000005</v>
      </c>
      <c r="H2104">
        <f>'raw data Crude oil'!H2105</f>
        <v>72.13</v>
      </c>
      <c r="I2104">
        <f>'raw data Crude oil'!I2105</f>
        <v>71.78</v>
      </c>
      <c r="J2104">
        <f>'raw data Crude oil'!J2105</f>
        <v>71.459999999999994</v>
      </c>
      <c r="K2104">
        <f>'raw data Crude oil'!K2105</f>
        <v>71.16</v>
      </c>
      <c r="L2104">
        <f>'raw data Crude oil'!L2105</f>
        <v>70.88</v>
      </c>
      <c r="M2104">
        <f>'raw data Crude oil'!M2105</f>
        <v>70.64</v>
      </c>
      <c r="N2104">
        <f>'raw data Crude oil'!N2105</f>
        <v>70.400000000000006</v>
      </c>
      <c r="O2104">
        <f>'raw data Crude oil'!O2105</f>
        <v>70.22</v>
      </c>
      <c r="P2104">
        <f>'raw data Crude oil'!P2105</f>
        <v>69.95</v>
      </c>
      <c r="Q2104">
        <f>'raw data Crude oil'!Q2105</f>
        <v>69.61</v>
      </c>
      <c r="R2104">
        <f>'raw data Crude oil'!R2105</f>
        <v>69.2</v>
      </c>
      <c r="S2104">
        <f>'raw data Crude oil'!S2105</f>
        <v>68.78</v>
      </c>
      <c r="T2104">
        <f>'raw data Crude oil'!T2105</f>
        <v>68.36</v>
      </c>
      <c r="U2104">
        <f>'raw data Crude oil'!U2105</f>
        <v>67.989999999999995</v>
      </c>
      <c r="V2104">
        <f>'raw data Crude oil'!V2105</f>
        <v>67.66</v>
      </c>
      <c r="W2104">
        <f>'raw data Crude oil'!W2105</f>
        <v>67.34</v>
      </c>
      <c r="X2104">
        <f>'raw data Crude oil'!X2105</f>
        <v>67.069999999999993</v>
      </c>
      <c r="Y2104">
        <f>'raw data Crude oil'!Y2105</f>
        <v>66.83</v>
      </c>
      <c r="Z2104">
        <f>'raw data Crude oil'!Z2105</f>
        <v>77.960999999999999</v>
      </c>
      <c r="AA2104">
        <f>'raw data Crude oil'!AA2105</f>
        <v>74.790000000000006</v>
      </c>
      <c r="AB2104">
        <f>'raw data Crude oil'!AB2105</f>
        <v>74.087000000000003</v>
      </c>
      <c r="AC2104">
        <f>'raw data Crude oil'!AC2105</f>
        <v>73.436999999999998</v>
      </c>
      <c r="AD2104">
        <f>'raw data Crude oil'!AD2105</f>
        <v>72.832999999999998</v>
      </c>
      <c r="AE2104">
        <f>'raw data Crude oil'!AE2105</f>
        <v>72.298000000000002</v>
      </c>
      <c r="AF2104">
        <f>'raw data Crude oil'!AF2105</f>
        <v>71.858000000000004</v>
      </c>
      <c r="AG2104">
        <f>'raw data Crude oil'!AG2105</f>
        <v>71.457999999999998</v>
      </c>
      <c r="AH2104">
        <f>'raw data Crude oil'!AH2105</f>
        <v>71.091999999999999</v>
      </c>
      <c r="AI2104">
        <f>'raw data Crude oil'!AI2105</f>
        <v>70.751999999999995</v>
      </c>
      <c r="AJ2104">
        <f>'raw data Crude oil'!AJ2105</f>
        <v>70.438000000000002</v>
      </c>
      <c r="AK2104">
        <f>'raw data Crude oil'!AK2105</f>
        <v>70.19</v>
      </c>
    </row>
    <row r="2105" spans="1:37" x14ac:dyDescent="0.3">
      <c r="A2105" s="18">
        <f>'raw data Crude oil'!A2106</f>
        <v>45712</v>
      </c>
      <c r="B2105">
        <f>'raw data Crude oil'!B2106</f>
        <v>74.78</v>
      </c>
      <c r="C2105">
        <f>'raw data Crude oil'!C2106</f>
        <v>74.31</v>
      </c>
      <c r="D2105">
        <f>'raw data Crude oil'!D2106</f>
        <v>73.89</v>
      </c>
      <c r="E2105">
        <f>'raw data Crude oil'!E2106</f>
        <v>73.489999999999995</v>
      </c>
      <c r="F2105">
        <f>'raw data Crude oil'!F2106</f>
        <v>73.069999999999993</v>
      </c>
      <c r="G2105">
        <f>'raw data Crude oil'!G2106</f>
        <v>72.66</v>
      </c>
      <c r="H2105">
        <f>'raw data Crude oil'!H2106</f>
        <v>72.260000000000005</v>
      </c>
      <c r="I2105">
        <f>'raw data Crude oil'!I2106</f>
        <v>71.900000000000006</v>
      </c>
      <c r="J2105">
        <f>'raw data Crude oil'!J2106</f>
        <v>71.56</v>
      </c>
      <c r="K2105">
        <f>'raw data Crude oil'!K2106</f>
        <v>71.25</v>
      </c>
      <c r="L2105">
        <f>'raw data Crude oil'!L2106</f>
        <v>70.959999999999994</v>
      </c>
      <c r="M2105">
        <f>'raw data Crude oil'!M2106</f>
        <v>70.72</v>
      </c>
      <c r="N2105">
        <f>'raw data Crude oil'!N2106</f>
        <v>70.7</v>
      </c>
      <c r="O2105">
        <f>'raw data Crude oil'!O2106</f>
        <v>70.45</v>
      </c>
      <c r="P2105">
        <f>'raw data Crude oil'!P2106</f>
        <v>70.13</v>
      </c>
      <c r="Q2105">
        <f>'raw data Crude oil'!Q2106</f>
        <v>69.760000000000005</v>
      </c>
      <c r="R2105">
        <f>'raw data Crude oil'!R2106</f>
        <v>69.34</v>
      </c>
      <c r="S2105">
        <f>'raw data Crude oil'!S2106</f>
        <v>68.900000000000006</v>
      </c>
      <c r="T2105">
        <f>'raw data Crude oil'!T2106</f>
        <v>68.47</v>
      </c>
      <c r="U2105">
        <f>'raw data Crude oil'!U2106</f>
        <v>68.09</v>
      </c>
      <c r="V2105">
        <f>'raw data Crude oil'!V2106</f>
        <v>67.75</v>
      </c>
      <c r="W2105">
        <f>'raw data Crude oil'!W2106</f>
        <v>67.44</v>
      </c>
      <c r="X2105">
        <f>'raw data Crude oil'!X2106</f>
        <v>67.150000000000006</v>
      </c>
      <c r="Y2105">
        <f>'raw data Crude oil'!Y2106</f>
        <v>66.900000000000006</v>
      </c>
      <c r="Z2105">
        <f>'raw data Crude oil'!Z2106</f>
        <v>78.003</v>
      </c>
      <c r="AA2105">
        <f>'raw data Crude oil'!AA2106</f>
        <v>74.962000000000003</v>
      </c>
      <c r="AB2105">
        <f>'raw data Crude oil'!AB2106</f>
        <v>74.320999999999998</v>
      </c>
      <c r="AC2105">
        <f>'raw data Crude oil'!AC2106</f>
        <v>73.671000000000006</v>
      </c>
      <c r="AD2105">
        <f>'raw data Crude oil'!AD2106</f>
        <v>73.042000000000002</v>
      </c>
      <c r="AE2105">
        <f>'raw data Crude oil'!AE2106</f>
        <v>72.491</v>
      </c>
      <c r="AF2105">
        <f>'raw data Crude oil'!AF2106</f>
        <v>72.022999999999996</v>
      </c>
      <c r="AG2105">
        <f>'raw data Crude oil'!AG2106</f>
        <v>71.605000000000004</v>
      </c>
      <c r="AH2105">
        <f>'raw data Crude oil'!AH2106</f>
        <v>71.227000000000004</v>
      </c>
      <c r="AI2105">
        <f>'raw data Crude oil'!AI2106</f>
        <v>70.876000000000005</v>
      </c>
      <c r="AJ2105">
        <f>'raw data Crude oil'!AJ2106</f>
        <v>70.558000000000007</v>
      </c>
      <c r="AK2105">
        <f>'raw data Crude oil'!AK2106</f>
        <v>70.3</v>
      </c>
    </row>
    <row r="2106" spans="1:37" x14ac:dyDescent="0.3">
      <c r="A2106" s="18">
        <f>'raw data Crude oil'!A2107</f>
        <v>45713</v>
      </c>
      <c r="B2106">
        <f>'raw data Crude oil'!B2107</f>
        <v>73.02</v>
      </c>
      <c r="C2106">
        <f>'raw data Crude oil'!C2107</f>
        <v>72.5</v>
      </c>
      <c r="D2106">
        <f>'raw data Crude oil'!D2107</f>
        <v>72.09</v>
      </c>
      <c r="E2106">
        <f>'raw data Crude oil'!E2107</f>
        <v>71.709999999999994</v>
      </c>
      <c r="F2106">
        <f>'raw data Crude oil'!F2107</f>
        <v>71.319999999999993</v>
      </c>
      <c r="G2106">
        <f>'raw data Crude oil'!G2107</f>
        <v>70.94</v>
      </c>
      <c r="H2106">
        <f>'raw data Crude oil'!H2107</f>
        <v>70.569999999999993</v>
      </c>
      <c r="I2106">
        <f>'raw data Crude oil'!I2107</f>
        <v>70.23</v>
      </c>
      <c r="J2106">
        <f>'raw data Crude oil'!J2107</f>
        <v>69.930000000000007</v>
      </c>
      <c r="K2106">
        <f>'raw data Crude oil'!K2107</f>
        <v>69.66</v>
      </c>
      <c r="L2106">
        <f>'raw data Crude oil'!L2107</f>
        <v>69.42</v>
      </c>
      <c r="M2106">
        <f>'raw data Crude oil'!M2107</f>
        <v>69.209999999999994</v>
      </c>
      <c r="N2106">
        <f>'raw data Crude oil'!N2107</f>
        <v>68.930000000000007</v>
      </c>
      <c r="O2106">
        <f>'raw data Crude oil'!O2107</f>
        <v>68.69</v>
      </c>
      <c r="P2106">
        <f>'raw data Crude oil'!P2107</f>
        <v>68.39</v>
      </c>
      <c r="Q2106">
        <f>'raw data Crude oil'!Q2107</f>
        <v>68.040000000000006</v>
      </c>
      <c r="R2106">
        <f>'raw data Crude oil'!R2107</f>
        <v>67.650000000000006</v>
      </c>
      <c r="S2106">
        <f>'raw data Crude oil'!S2107</f>
        <v>67.23</v>
      </c>
      <c r="T2106">
        <f>'raw data Crude oil'!T2107</f>
        <v>66.819999999999993</v>
      </c>
      <c r="U2106">
        <f>'raw data Crude oil'!U2107</f>
        <v>66.48</v>
      </c>
      <c r="V2106">
        <f>'raw data Crude oil'!V2107</f>
        <v>66.17</v>
      </c>
      <c r="W2106">
        <f>'raw data Crude oil'!W2107</f>
        <v>65.88</v>
      </c>
      <c r="X2106">
        <f>'raw data Crude oil'!X2107</f>
        <v>65.650000000000006</v>
      </c>
      <c r="Y2106">
        <f>'raw data Crude oil'!Y2107</f>
        <v>65.44</v>
      </c>
      <c r="Z2106">
        <f>'raw data Crude oil'!Z2107</f>
        <v>77.78</v>
      </c>
      <c r="AA2106">
        <f>'raw data Crude oil'!AA2107</f>
        <v>73.31</v>
      </c>
      <c r="AB2106">
        <f>'raw data Crude oil'!AB2107</f>
        <v>72.685000000000002</v>
      </c>
      <c r="AC2106">
        <f>'raw data Crude oil'!AC2107</f>
        <v>72.021000000000001</v>
      </c>
      <c r="AD2106">
        <f>'raw data Crude oil'!AD2107</f>
        <v>71.391999999999996</v>
      </c>
      <c r="AE2106">
        <f>'raw data Crude oil'!AE2107</f>
        <v>70.832999999999998</v>
      </c>
      <c r="AF2106">
        <f>'raw data Crude oil'!AF2107</f>
        <v>70.388000000000005</v>
      </c>
      <c r="AG2106">
        <f>'raw data Crude oil'!AG2107</f>
        <v>69.989999999999995</v>
      </c>
      <c r="AH2106">
        <f>'raw data Crude oil'!AH2107</f>
        <v>69.647000000000006</v>
      </c>
      <c r="AI2106">
        <f>'raw data Crude oil'!AI2107</f>
        <v>69.326999999999998</v>
      </c>
      <c r="AJ2106">
        <f>'raw data Crude oil'!AJ2107</f>
        <v>69.021000000000001</v>
      </c>
      <c r="AK2106">
        <f>'raw data Crude oil'!AK2107</f>
        <v>68.790999999999997</v>
      </c>
    </row>
    <row r="2107" spans="1:37" x14ac:dyDescent="0.3">
      <c r="A2107" s="18">
        <f>'raw data Crude oil'!A2108</f>
        <v>45714</v>
      </c>
      <c r="B2107">
        <f>'raw data Crude oil'!B2108</f>
        <v>72.53</v>
      </c>
      <c r="C2107">
        <f>'raw data Crude oil'!C2108</f>
        <v>72.069999999999993</v>
      </c>
      <c r="D2107">
        <f>'raw data Crude oil'!D2108</f>
        <v>71.61</v>
      </c>
      <c r="E2107">
        <f>'raw data Crude oil'!E2108</f>
        <v>71.19</v>
      </c>
      <c r="F2107">
        <f>'raw data Crude oil'!F2108</f>
        <v>70.78</v>
      </c>
      <c r="G2107">
        <f>'raw data Crude oil'!G2108</f>
        <v>70.37</v>
      </c>
      <c r="H2107">
        <f>'raw data Crude oil'!H2108</f>
        <v>69.989999999999995</v>
      </c>
      <c r="I2107">
        <f>'raw data Crude oil'!I2108</f>
        <v>69.650000000000006</v>
      </c>
      <c r="J2107">
        <f>'raw data Crude oil'!J2108</f>
        <v>69.34</v>
      </c>
      <c r="K2107">
        <f>'raw data Crude oil'!K2108</f>
        <v>69.069999999999993</v>
      </c>
      <c r="L2107">
        <f>'raw data Crude oil'!L2108</f>
        <v>68.84</v>
      </c>
      <c r="M2107">
        <f>'raw data Crude oil'!M2108</f>
        <v>68.650000000000006</v>
      </c>
      <c r="N2107">
        <f>'raw data Crude oil'!N2108</f>
        <v>68.62</v>
      </c>
      <c r="O2107">
        <f>'raw data Crude oil'!O2108</f>
        <v>68.3</v>
      </c>
      <c r="P2107">
        <f>'raw data Crude oil'!P2108</f>
        <v>67.95</v>
      </c>
      <c r="Q2107">
        <f>'raw data Crude oil'!Q2108</f>
        <v>67.56</v>
      </c>
      <c r="R2107">
        <f>'raw data Crude oil'!R2108</f>
        <v>67.14</v>
      </c>
      <c r="S2107">
        <f>'raw data Crude oil'!S2108</f>
        <v>66.7</v>
      </c>
      <c r="T2107">
        <f>'raw data Crude oil'!T2108</f>
        <v>66.28</v>
      </c>
      <c r="U2107">
        <f>'raw data Crude oil'!U2108</f>
        <v>65.92</v>
      </c>
      <c r="V2107">
        <f>'raw data Crude oil'!V2108</f>
        <v>65.61</v>
      </c>
      <c r="W2107">
        <f>'raw data Crude oil'!W2108</f>
        <v>65.33</v>
      </c>
      <c r="X2107">
        <f>'raw data Crude oil'!X2108</f>
        <v>65.09</v>
      </c>
      <c r="Y2107">
        <f>'raw data Crude oil'!Y2108</f>
        <v>64.89</v>
      </c>
      <c r="Z2107">
        <f>'raw data Crude oil'!Z2108</f>
        <v>77.778999999999996</v>
      </c>
      <c r="AA2107">
        <f>'raw data Crude oil'!AA2108</f>
        <v>72.988</v>
      </c>
      <c r="AB2107">
        <f>'raw data Crude oil'!AB2108</f>
        <v>72.3</v>
      </c>
      <c r="AC2107">
        <f>'raw data Crude oil'!AC2108</f>
        <v>71.600999999999999</v>
      </c>
      <c r="AD2107">
        <f>'raw data Crude oil'!AD2108</f>
        <v>70.92</v>
      </c>
      <c r="AE2107">
        <f>'raw data Crude oil'!AE2108</f>
        <v>70.322999999999993</v>
      </c>
      <c r="AF2107">
        <f>'raw data Crude oil'!AF2108</f>
        <v>69.853999999999999</v>
      </c>
      <c r="AG2107">
        <f>'raw data Crude oil'!AG2108</f>
        <v>69.436000000000007</v>
      </c>
      <c r="AH2107">
        <f>'raw data Crude oil'!AH2108</f>
        <v>69.075999999999993</v>
      </c>
      <c r="AI2107">
        <f>'raw data Crude oil'!AI2108</f>
        <v>68.757000000000005</v>
      </c>
      <c r="AJ2107">
        <f>'raw data Crude oil'!AJ2108</f>
        <v>68.475999999999999</v>
      </c>
      <c r="AK2107">
        <f>'raw data Crude oil'!AK2108</f>
        <v>68.242000000000004</v>
      </c>
    </row>
    <row r="2108" spans="1:37" x14ac:dyDescent="0.3">
      <c r="A2108" s="18">
        <f>'raw data Crude oil'!A2109</f>
        <v>45715</v>
      </c>
      <c r="B2108">
        <f>'raw data Crude oil'!B2109</f>
        <v>74.040000000000006</v>
      </c>
      <c r="C2108">
        <f>'raw data Crude oil'!C2109</f>
        <v>73.569999999999993</v>
      </c>
      <c r="D2108">
        <f>'raw data Crude oil'!D2109</f>
        <v>73.06</v>
      </c>
      <c r="E2108">
        <f>'raw data Crude oil'!E2109</f>
        <v>72.569999999999993</v>
      </c>
      <c r="F2108">
        <f>'raw data Crude oil'!F2109</f>
        <v>72.09</v>
      </c>
      <c r="G2108">
        <f>'raw data Crude oil'!G2109</f>
        <v>71.62</v>
      </c>
      <c r="H2108">
        <f>'raw data Crude oil'!H2109</f>
        <v>71.19</v>
      </c>
      <c r="I2108">
        <f>'raw data Crude oil'!I2109</f>
        <v>70.8</v>
      </c>
      <c r="J2108">
        <f>'raw data Crude oil'!J2109</f>
        <v>70.459999999999994</v>
      </c>
      <c r="K2108">
        <f>'raw data Crude oil'!K2109</f>
        <v>70.150000000000006</v>
      </c>
      <c r="L2108">
        <f>'raw data Crude oil'!L2109</f>
        <v>69.88</v>
      </c>
      <c r="M2108">
        <f>'raw data Crude oil'!M2109</f>
        <v>69.650000000000006</v>
      </c>
      <c r="N2108">
        <f>'raw data Crude oil'!N2109</f>
        <v>70.349999999999994</v>
      </c>
      <c r="O2108">
        <f>'raw data Crude oil'!O2109</f>
        <v>69.95</v>
      </c>
      <c r="P2108">
        <f>'raw data Crude oil'!P2109</f>
        <v>69.5</v>
      </c>
      <c r="Q2108">
        <f>'raw data Crude oil'!Q2109</f>
        <v>69.02</v>
      </c>
      <c r="R2108">
        <f>'raw data Crude oil'!R2109</f>
        <v>68.510000000000005</v>
      </c>
      <c r="S2108">
        <f>'raw data Crude oil'!S2109</f>
        <v>67.989999999999995</v>
      </c>
      <c r="T2108">
        <f>'raw data Crude oil'!T2109</f>
        <v>67.5</v>
      </c>
      <c r="U2108">
        <f>'raw data Crude oil'!U2109</f>
        <v>67.08</v>
      </c>
      <c r="V2108">
        <f>'raw data Crude oil'!V2109</f>
        <v>66.709999999999994</v>
      </c>
      <c r="W2108">
        <f>'raw data Crude oil'!W2109</f>
        <v>66.38</v>
      </c>
      <c r="X2108">
        <f>'raw data Crude oil'!X2109</f>
        <v>66.099999999999994</v>
      </c>
      <c r="Y2108">
        <f>'raw data Crude oil'!Y2109</f>
        <v>65.86</v>
      </c>
      <c r="Z2108">
        <f>'raw data Crude oil'!Z2109</f>
        <v>77.888999999999996</v>
      </c>
      <c r="AA2108">
        <f>'raw data Crude oil'!AA2109</f>
        <v>74.522999999999996</v>
      </c>
      <c r="AB2108">
        <f>'raw data Crude oil'!AB2109</f>
        <v>73.8</v>
      </c>
      <c r="AC2108">
        <f>'raw data Crude oil'!AC2109</f>
        <v>73.040000000000006</v>
      </c>
      <c r="AD2108">
        <f>'raw data Crude oil'!AD2109</f>
        <v>72.313000000000002</v>
      </c>
      <c r="AE2108">
        <f>'raw data Crude oil'!AE2109</f>
        <v>71.661000000000001</v>
      </c>
      <c r="AF2108">
        <f>'raw data Crude oil'!AF2109</f>
        <v>71.141000000000005</v>
      </c>
      <c r="AG2108">
        <f>'raw data Crude oil'!AG2109</f>
        <v>70.665000000000006</v>
      </c>
      <c r="AH2108">
        <f>'raw data Crude oil'!AH2109</f>
        <v>70.257000000000005</v>
      </c>
      <c r="AI2108">
        <f>'raw data Crude oil'!AI2109</f>
        <v>69.887</v>
      </c>
      <c r="AJ2108">
        <f>'raw data Crude oil'!AJ2109</f>
        <v>69.569000000000003</v>
      </c>
      <c r="AK2108">
        <f>'raw data Crude oil'!AK2109</f>
        <v>69.319999999999993</v>
      </c>
    </row>
    <row r="2109" spans="1:37" x14ac:dyDescent="0.3">
      <c r="A2109" s="18">
        <f>'raw data Crude oil'!A2110</f>
        <v>45716</v>
      </c>
      <c r="B2109">
        <f>'raw data Crude oil'!B2110</f>
        <v>73.180000000000007</v>
      </c>
      <c r="C2109">
        <f>'raw data Crude oil'!C2110</f>
        <v>72.81</v>
      </c>
      <c r="D2109">
        <f>'raw data Crude oil'!D2110</f>
        <v>72.28</v>
      </c>
      <c r="E2109">
        <f>'raw data Crude oil'!E2110</f>
        <v>71.790000000000006</v>
      </c>
      <c r="F2109">
        <f>'raw data Crude oil'!F2110</f>
        <v>71.3</v>
      </c>
      <c r="G2109">
        <f>'raw data Crude oil'!G2110</f>
        <v>70.849999999999994</v>
      </c>
      <c r="H2109">
        <f>'raw data Crude oil'!H2110</f>
        <v>70.430000000000007</v>
      </c>
      <c r="I2109">
        <f>'raw data Crude oil'!I2110</f>
        <v>70.05</v>
      </c>
      <c r="J2109">
        <f>'raw data Crude oil'!J2110</f>
        <v>69.72</v>
      </c>
      <c r="K2109">
        <f>'raw data Crude oil'!K2110</f>
        <v>69.430000000000007</v>
      </c>
      <c r="L2109">
        <f>'raw data Crude oil'!L2110</f>
        <v>69.17</v>
      </c>
      <c r="M2109">
        <f>'raw data Crude oil'!M2110</f>
        <v>68.95</v>
      </c>
      <c r="N2109">
        <f>'raw data Crude oil'!N2110</f>
        <v>69.760000000000005</v>
      </c>
      <c r="O2109">
        <f>'raw data Crude oil'!O2110</f>
        <v>69.34</v>
      </c>
      <c r="P2109">
        <f>'raw data Crude oil'!P2110</f>
        <v>68.87</v>
      </c>
      <c r="Q2109">
        <f>'raw data Crude oil'!Q2110</f>
        <v>68.38</v>
      </c>
      <c r="R2109">
        <f>'raw data Crude oil'!R2110</f>
        <v>67.86</v>
      </c>
      <c r="S2109">
        <f>'raw data Crude oil'!S2110</f>
        <v>67.34</v>
      </c>
      <c r="T2109">
        <f>'raw data Crude oil'!T2110</f>
        <v>66.849999999999994</v>
      </c>
      <c r="U2109">
        <f>'raw data Crude oil'!U2110</f>
        <v>66.430000000000007</v>
      </c>
      <c r="V2109">
        <f>'raw data Crude oil'!V2110</f>
        <v>66.06</v>
      </c>
      <c r="W2109">
        <f>'raw data Crude oil'!W2110</f>
        <v>65.73</v>
      </c>
      <c r="X2109">
        <f>'raw data Crude oil'!X2110</f>
        <v>65.45</v>
      </c>
      <c r="Y2109">
        <f>'raw data Crude oil'!Y2110</f>
        <v>65.23</v>
      </c>
      <c r="Z2109">
        <f>'raw data Crude oil'!Z2110</f>
        <v>77.92</v>
      </c>
      <c r="AA2109">
        <f>'raw data Crude oil'!AA2110</f>
        <v>73.605000000000004</v>
      </c>
      <c r="AB2109">
        <f>'raw data Crude oil'!AB2110</f>
        <v>72.918999999999997</v>
      </c>
      <c r="AC2109">
        <f>'raw data Crude oil'!AC2110</f>
        <v>72.197999999999993</v>
      </c>
      <c r="AD2109">
        <f>'raw data Crude oil'!AD2110</f>
        <v>71.488</v>
      </c>
      <c r="AE2109">
        <f>'raw data Crude oil'!AE2110</f>
        <v>70.846000000000004</v>
      </c>
      <c r="AF2109">
        <f>'raw data Crude oil'!AF2110</f>
        <v>70.326999999999998</v>
      </c>
      <c r="AG2109">
        <f>'raw data Crude oil'!AG2110</f>
        <v>69.869</v>
      </c>
      <c r="AH2109">
        <f>'raw data Crude oil'!AH2110</f>
        <v>69.477000000000004</v>
      </c>
      <c r="AI2109">
        <f>'raw data Crude oil'!AI2110</f>
        <v>69.117000000000004</v>
      </c>
      <c r="AJ2109">
        <f>'raw data Crude oil'!AJ2110</f>
        <v>68.81</v>
      </c>
      <c r="AK2109">
        <f>'raw data Crude oil'!AK2110</f>
        <v>68.555000000000007</v>
      </c>
    </row>
    <row r="2110" spans="1:37" x14ac:dyDescent="0.3">
      <c r="A2110" s="18">
        <f>'raw data Crude oil'!A2111</f>
        <v>45719</v>
      </c>
      <c r="B2110">
        <f>'raw data Crude oil'!B2111</f>
        <v>71.62</v>
      </c>
      <c r="C2110">
        <f>'raw data Crude oil'!C2111</f>
        <v>71.16</v>
      </c>
      <c r="D2110">
        <f>'raw data Crude oil'!D2111</f>
        <v>70.760000000000005</v>
      </c>
      <c r="E2110">
        <f>'raw data Crude oil'!E2111</f>
        <v>70.36</v>
      </c>
      <c r="F2110">
        <f>'raw data Crude oil'!F2111</f>
        <v>69.98</v>
      </c>
      <c r="G2110">
        <f>'raw data Crude oil'!G2111</f>
        <v>69.63</v>
      </c>
      <c r="H2110">
        <f>'raw data Crude oil'!H2111</f>
        <v>69.31</v>
      </c>
      <c r="I2110">
        <f>'raw data Crude oil'!I2111</f>
        <v>69.02</v>
      </c>
      <c r="J2110">
        <f>'raw data Crude oil'!J2111</f>
        <v>68.77</v>
      </c>
      <c r="K2110">
        <f>'raw data Crude oil'!K2111</f>
        <v>68.540000000000006</v>
      </c>
      <c r="L2110">
        <f>'raw data Crude oil'!L2111</f>
        <v>68.349999999999994</v>
      </c>
      <c r="M2110">
        <f>'raw data Crude oil'!M2111</f>
        <v>68.19</v>
      </c>
      <c r="N2110">
        <f>'raw data Crude oil'!N2111</f>
        <v>68.37</v>
      </c>
      <c r="O2110">
        <f>'raw data Crude oil'!O2111</f>
        <v>68.06</v>
      </c>
      <c r="P2110">
        <f>'raw data Crude oil'!P2111</f>
        <v>67.680000000000007</v>
      </c>
      <c r="Q2110">
        <f>'raw data Crude oil'!Q2111</f>
        <v>67.28</v>
      </c>
      <c r="R2110">
        <f>'raw data Crude oil'!R2111</f>
        <v>66.849999999999994</v>
      </c>
      <c r="S2110">
        <f>'raw data Crude oil'!S2111</f>
        <v>66.42</v>
      </c>
      <c r="T2110">
        <f>'raw data Crude oil'!T2111</f>
        <v>66</v>
      </c>
      <c r="U2110">
        <f>'raw data Crude oil'!U2111</f>
        <v>65.63</v>
      </c>
      <c r="V2110">
        <f>'raw data Crude oil'!V2111</f>
        <v>65.319999999999993</v>
      </c>
      <c r="W2110">
        <f>'raw data Crude oil'!W2111</f>
        <v>65.03</v>
      </c>
      <c r="X2110">
        <f>'raw data Crude oil'!X2111</f>
        <v>64.8</v>
      </c>
      <c r="Y2110">
        <f>'raw data Crude oil'!Y2111</f>
        <v>64.599999999999994</v>
      </c>
      <c r="Z2110">
        <f>'raw data Crude oil'!Z2111</f>
        <v>77.92</v>
      </c>
      <c r="AA2110">
        <f>'raw data Crude oil'!AA2111</f>
        <v>72.031999999999996</v>
      </c>
      <c r="AB2110">
        <f>'raw data Crude oil'!AB2111</f>
        <v>71.468000000000004</v>
      </c>
      <c r="AC2110">
        <f>'raw data Crude oil'!AC2111</f>
        <v>70.867999999999995</v>
      </c>
      <c r="AD2110">
        <f>'raw data Crude oil'!AD2111</f>
        <v>70.287999999999997</v>
      </c>
      <c r="AE2110">
        <f>'raw data Crude oil'!AE2111</f>
        <v>69.753</v>
      </c>
      <c r="AF2110">
        <f>'raw data Crude oil'!AF2111</f>
        <v>69.322999999999993</v>
      </c>
      <c r="AG2110">
        <f>'raw data Crude oil'!AG2111</f>
        <v>68.94</v>
      </c>
      <c r="AH2110">
        <f>'raw data Crude oil'!AH2111</f>
        <v>68.602000000000004</v>
      </c>
      <c r="AI2110">
        <f>'raw data Crude oil'!AI2111</f>
        <v>68.31</v>
      </c>
      <c r="AJ2110">
        <f>'raw data Crude oil'!AJ2111</f>
        <v>68.058999999999997</v>
      </c>
      <c r="AK2110">
        <f>'raw data Crude oil'!AK2111</f>
        <v>67.872</v>
      </c>
    </row>
    <row r="2111" spans="1:37" x14ac:dyDescent="0.3">
      <c r="A2111" s="18">
        <f>'raw data Crude oil'!A2112</f>
        <v>45720</v>
      </c>
      <c r="B2111">
        <f>'raw data Crude oil'!B2112</f>
        <v>71.040000000000006</v>
      </c>
      <c r="C2111">
        <f>'raw data Crude oil'!C2112</f>
        <v>70.56</v>
      </c>
      <c r="D2111">
        <f>'raw data Crude oil'!D2112</f>
        <v>70.16</v>
      </c>
      <c r="E2111">
        <f>'raw data Crude oil'!E2112</f>
        <v>69.78</v>
      </c>
      <c r="F2111">
        <f>'raw data Crude oil'!F2112</f>
        <v>69.430000000000007</v>
      </c>
      <c r="G2111">
        <f>'raw data Crude oil'!G2112</f>
        <v>69.12</v>
      </c>
      <c r="H2111">
        <f>'raw data Crude oil'!H2112</f>
        <v>68.84</v>
      </c>
      <c r="I2111">
        <f>'raw data Crude oil'!I2112</f>
        <v>68.599999999999994</v>
      </c>
      <c r="J2111">
        <f>'raw data Crude oil'!J2112</f>
        <v>68.38</v>
      </c>
      <c r="K2111">
        <f>'raw data Crude oil'!K2112</f>
        <v>68.19</v>
      </c>
      <c r="L2111">
        <f>'raw data Crude oil'!L2112</f>
        <v>68.040000000000006</v>
      </c>
      <c r="M2111">
        <f>'raw data Crude oil'!M2112</f>
        <v>67.900000000000006</v>
      </c>
      <c r="N2111">
        <f>'raw data Crude oil'!N2112</f>
        <v>68.260000000000005</v>
      </c>
      <c r="O2111">
        <f>'raw data Crude oil'!O2112</f>
        <v>67.7</v>
      </c>
      <c r="P2111">
        <f>'raw data Crude oil'!P2112</f>
        <v>67.2</v>
      </c>
      <c r="Q2111">
        <f>'raw data Crude oil'!Q2112</f>
        <v>66.75</v>
      </c>
      <c r="R2111">
        <f>'raw data Crude oil'!R2112</f>
        <v>66.33</v>
      </c>
      <c r="S2111">
        <f>'raw data Crude oil'!S2112</f>
        <v>65.930000000000007</v>
      </c>
      <c r="T2111">
        <f>'raw data Crude oil'!T2112</f>
        <v>65.56</v>
      </c>
      <c r="U2111">
        <f>'raw data Crude oil'!U2112</f>
        <v>65.239999999999995</v>
      </c>
      <c r="V2111">
        <f>'raw data Crude oil'!V2112</f>
        <v>64.959999999999994</v>
      </c>
      <c r="W2111">
        <f>'raw data Crude oil'!W2112</f>
        <v>64.709999999999994</v>
      </c>
      <c r="X2111">
        <f>'raw data Crude oil'!X2112</f>
        <v>64.510000000000005</v>
      </c>
      <c r="Y2111">
        <f>'raw data Crude oil'!Y2112</f>
        <v>64.349999999999994</v>
      </c>
      <c r="Z2111">
        <f>'raw data Crude oil'!Z2112</f>
        <v>71.284000000000006</v>
      </c>
      <c r="AA2111">
        <f>'raw data Crude oil'!AA2112</f>
        <v>70.811000000000007</v>
      </c>
      <c r="AB2111">
        <f>'raw data Crude oil'!AB2112</f>
        <v>70.281000000000006</v>
      </c>
      <c r="AC2111">
        <f>'raw data Crude oil'!AC2112</f>
        <v>69.777000000000001</v>
      </c>
      <c r="AD2111">
        <f>'raw data Crude oil'!AD2112</f>
        <v>69.307000000000002</v>
      </c>
      <c r="AE2111">
        <f>'raw data Crude oil'!AE2112</f>
        <v>68.915999999999997</v>
      </c>
      <c r="AF2111">
        <f>'raw data Crude oil'!AF2112</f>
        <v>68.558000000000007</v>
      </c>
      <c r="AG2111">
        <f>'raw data Crude oil'!AG2112</f>
        <v>68.265000000000001</v>
      </c>
      <c r="AH2111">
        <f>'raw data Crude oil'!AH2112</f>
        <v>68.004999999999995</v>
      </c>
      <c r="AI2111">
        <f>'raw data Crude oil'!AI2112</f>
        <v>67.771000000000001</v>
      </c>
      <c r="AJ2111">
        <f>'raw data Crude oil'!AJ2112</f>
        <v>67.613</v>
      </c>
      <c r="AK2111">
        <f>'raw data Crude oil'!AK2112</f>
        <v>67.454999999999998</v>
      </c>
    </row>
    <row r="2112" spans="1:37" x14ac:dyDescent="0.3">
      <c r="A2112" s="18">
        <f>'raw data Crude oil'!A2113</f>
        <v>45721</v>
      </c>
      <c r="B2112">
        <f>'raw data Crude oil'!B2113</f>
        <v>69.3</v>
      </c>
      <c r="C2112">
        <f>'raw data Crude oil'!C2113</f>
        <v>68.900000000000006</v>
      </c>
      <c r="D2112">
        <f>'raw data Crude oil'!D2113</f>
        <v>68.56</v>
      </c>
      <c r="E2112">
        <f>'raw data Crude oil'!E2113</f>
        <v>68.22</v>
      </c>
      <c r="F2112">
        <f>'raw data Crude oil'!F2113</f>
        <v>67.900000000000006</v>
      </c>
      <c r="G2112">
        <f>'raw data Crude oil'!G2113</f>
        <v>67.62</v>
      </c>
      <c r="H2112">
        <f>'raw data Crude oil'!H2113</f>
        <v>67.38</v>
      </c>
      <c r="I2112">
        <f>'raw data Crude oil'!I2113</f>
        <v>67.180000000000007</v>
      </c>
      <c r="J2112">
        <f>'raw data Crude oil'!J2113</f>
        <v>67</v>
      </c>
      <c r="K2112">
        <f>'raw data Crude oil'!K2113</f>
        <v>66.84</v>
      </c>
      <c r="L2112">
        <f>'raw data Crude oil'!L2113</f>
        <v>66.7</v>
      </c>
      <c r="M2112">
        <f>'raw data Crude oil'!M2113</f>
        <v>66.58</v>
      </c>
      <c r="N2112">
        <f>'raw data Crude oil'!N2113</f>
        <v>66.31</v>
      </c>
      <c r="O2112">
        <f>'raw data Crude oil'!O2113</f>
        <v>65.91</v>
      </c>
      <c r="P2112">
        <f>'raw data Crude oil'!P2113</f>
        <v>65.52</v>
      </c>
      <c r="Q2112">
        <f>'raw data Crude oil'!Q2113</f>
        <v>65.150000000000006</v>
      </c>
      <c r="R2112">
        <f>'raw data Crude oil'!R2113</f>
        <v>64.790000000000006</v>
      </c>
      <c r="S2112">
        <f>'raw data Crude oil'!S2113</f>
        <v>64.44</v>
      </c>
      <c r="T2112">
        <f>'raw data Crude oil'!T2113</f>
        <v>64.11</v>
      </c>
      <c r="U2112">
        <f>'raw data Crude oil'!U2113</f>
        <v>63.83</v>
      </c>
      <c r="V2112">
        <f>'raw data Crude oil'!V2113</f>
        <v>63.58</v>
      </c>
      <c r="W2112">
        <f>'raw data Crude oil'!W2113</f>
        <v>63.36</v>
      </c>
      <c r="X2112">
        <f>'raw data Crude oil'!X2113</f>
        <v>63.18</v>
      </c>
      <c r="Y2112">
        <f>'raw data Crude oil'!Y2113</f>
        <v>63.05</v>
      </c>
      <c r="Z2112">
        <f>'raw data Crude oil'!Z2113</f>
        <v>70.263999999999996</v>
      </c>
      <c r="AA2112">
        <f>'raw data Crude oil'!AA2113</f>
        <v>69.459999999999994</v>
      </c>
      <c r="AB2112">
        <f>'raw data Crude oil'!AB2113</f>
        <v>68.86</v>
      </c>
      <c r="AC2112">
        <f>'raw data Crude oil'!AC2113</f>
        <v>68.33</v>
      </c>
      <c r="AD2112">
        <f>'raw data Crude oil'!AD2113</f>
        <v>67.855999999999995</v>
      </c>
      <c r="AE2112">
        <f>'raw data Crude oil'!AE2113</f>
        <v>67.475999999999999</v>
      </c>
      <c r="AF2112">
        <f>'raw data Crude oil'!AF2113</f>
        <v>67.146000000000001</v>
      </c>
      <c r="AG2112">
        <f>'raw data Crude oil'!AG2113</f>
        <v>66.885999999999996</v>
      </c>
      <c r="AH2112">
        <f>'raw data Crude oil'!AH2113</f>
        <v>66.646000000000001</v>
      </c>
      <c r="AI2112">
        <f>'raw data Crude oil'!AI2113</f>
        <v>66.436000000000007</v>
      </c>
      <c r="AJ2112">
        <f>'raw data Crude oil'!AJ2113</f>
        <v>66.274000000000001</v>
      </c>
      <c r="AK2112">
        <f>'raw data Crude oil'!AK2113</f>
        <v>66.135999999999996</v>
      </c>
    </row>
    <row r="2113" spans="1:37" x14ac:dyDescent="0.3">
      <c r="A2113" s="18">
        <f>'raw data Crude oil'!A2114</f>
        <v>45722</v>
      </c>
      <c r="B2113">
        <f>'raw data Crude oil'!B2114</f>
        <v>69.459999999999994</v>
      </c>
      <c r="C2113">
        <f>'raw data Crude oil'!C2114</f>
        <v>68.98</v>
      </c>
      <c r="D2113">
        <f>'raw data Crude oil'!D2114</f>
        <v>68.58</v>
      </c>
      <c r="E2113">
        <f>'raw data Crude oil'!E2114</f>
        <v>68.2</v>
      </c>
      <c r="F2113">
        <f>'raw data Crude oil'!F2114</f>
        <v>67.849999999999994</v>
      </c>
      <c r="G2113">
        <f>'raw data Crude oil'!G2114</f>
        <v>67.55</v>
      </c>
      <c r="H2113">
        <f>'raw data Crude oil'!H2114</f>
        <v>67.290000000000006</v>
      </c>
      <c r="I2113">
        <f>'raw data Crude oil'!I2114</f>
        <v>67.069999999999993</v>
      </c>
      <c r="J2113">
        <f>'raw data Crude oil'!J2114</f>
        <v>66.87</v>
      </c>
      <c r="K2113">
        <f>'raw data Crude oil'!K2114</f>
        <v>66.69</v>
      </c>
      <c r="L2113">
        <f>'raw data Crude oil'!L2114</f>
        <v>66.55</v>
      </c>
      <c r="M2113">
        <f>'raw data Crude oil'!M2114</f>
        <v>66.430000000000007</v>
      </c>
      <c r="N2113">
        <f>'raw data Crude oil'!N2114</f>
        <v>66.36</v>
      </c>
      <c r="O2113">
        <f>'raw data Crude oil'!O2114</f>
        <v>66</v>
      </c>
      <c r="P2113">
        <f>'raw data Crude oil'!P2114</f>
        <v>65.59</v>
      </c>
      <c r="Q2113">
        <f>'raw data Crude oil'!Q2114</f>
        <v>65.19</v>
      </c>
      <c r="R2113">
        <f>'raw data Crude oil'!R2114</f>
        <v>64.790000000000006</v>
      </c>
      <c r="S2113">
        <f>'raw data Crude oil'!S2114</f>
        <v>64.41</v>
      </c>
      <c r="T2113">
        <f>'raw data Crude oil'!T2114</f>
        <v>64.06</v>
      </c>
      <c r="U2113">
        <f>'raw data Crude oil'!U2114</f>
        <v>63.75</v>
      </c>
      <c r="V2113">
        <f>'raw data Crude oil'!V2114</f>
        <v>63.5</v>
      </c>
      <c r="W2113">
        <f>'raw data Crude oil'!W2114</f>
        <v>63.27</v>
      </c>
      <c r="X2113">
        <f>'raw data Crude oil'!X2114</f>
        <v>63.08</v>
      </c>
      <c r="Y2113">
        <f>'raw data Crude oil'!Y2114</f>
        <v>62.93</v>
      </c>
      <c r="Z2113">
        <f>'raw data Crude oil'!Z2114</f>
        <v>70.5</v>
      </c>
      <c r="AA2113">
        <f>'raw data Crude oil'!AA2114</f>
        <v>69.741</v>
      </c>
      <c r="AB2113">
        <f>'raw data Crude oil'!AB2114</f>
        <v>69.051000000000002</v>
      </c>
      <c r="AC2113">
        <f>'raw data Crude oil'!AC2114</f>
        <v>68.411000000000001</v>
      </c>
      <c r="AD2113">
        <f>'raw data Crude oil'!AD2114</f>
        <v>67.861000000000004</v>
      </c>
      <c r="AE2113">
        <f>'raw data Crude oil'!AE2114</f>
        <v>67.441000000000003</v>
      </c>
      <c r="AF2113">
        <f>'raw data Crude oil'!AF2114</f>
        <v>67.081000000000003</v>
      </c>
      <c r="AG2113">
        <f>'raw data Crude oil'!AG2114</f>
        <v>66.792000000000002</v>
      </c>
      <c r="AH2113">
        <f>'raw data Crude oil'!AH2114</f>
        <v>66.542000000000002</v>
      </c>
      <c r="AI2113">
        <f>'raw data Crude oil'!AI2114</f>
        <v>66.316999999999993</v>
      </c>
      <c r="AJ2113">
        <f>'raw data Crude oil'!AJ2114</f>
        <v>66.134</v>
      </c>
      <c r="AK2113">
        <f>'raw data Crude oil'!AK2114</f>
        <v>65.989999999999995</v>
      </c>
    </row>
    <row r="2114" spans="1:37" x14ac:dyDescent="0.3">
      <c r="A2114" s="18">
        <f>'raw data Crude oil'!A2115</f>
        <v>45723</v>
      </c>
      <c r="B2114">
        <f>'raw data Crude oil'!B2115</f>
        <v>70.36</v>
      </c>
      <c r="C2114">
        <f>'raw data Crude oil'!C2115</f>
        <v>69.88</v>
      </c>
      <c r="D2114">
        <f>'raw data Crude oil'!D2115</f>
        <v>69.45</v>
      </c>
      <c r="E2114">
        <f>'raw data Crude oil'!E2115</f>
        <v>69.05</v>
      </c>
      <c r="F2114">
        <f>'raw data Crude oil'!F2115</f>
        <v>68.69</v>
      </c>
      <c r="G2114">
        <f>'raw data Crude oil'!G2115</f>
        <v>68.37</v>
      </c>
      <c r="H2114">
        <f>'raw data Crude oil'!H2115</f>
        <v>68.099999999999994</v>
      </c>
      <c r="I2114">
        <f>'raw data Crude oil'!I2115</f>
        <v>67.88</v>
      </c>
      <c r="J2114">
        <f>'raw data Crude oil'!J2115</f>
        <v>67.680000000000007</v>
      </c>
      <c r="K2114">
        <f>'raw data Crude oil'!K2115</f>
        <v>67.5</v>
      </c>
      <c r="L2114">
        <f>'raw data Crude oil'!L2115</f>
        <v>67.349999999999994</v>
      </c>
      <c r="M2114">
        <f>'raw data Crude oil'!M2115</f>
        <v>67.22</v>
      </c>
      <c r="N2114">
        <f>'raw data Crude oil'!N2115</f>
        <v>67.040000000000006</v>
      </c>
      <c r="O2114">
        <f>'raw data Crude oil'!O2115</f>
        <v>66.75</v>
      </c>
      <c r="P2114">
        <f>'raw data Crude oil'!P2115</f>
        <v>66.36</v>
      </c>
      <c r="Q2114">
        <f>'raw data Crude oil'!Q2115</f>
        <v>65.959999999999994</v>
      </c>
      <c r="R2114">
        <f>'raw data Crude oil'!R2115</f>
        <v>65.55</v>
      </c>
      <c r="S2114">
        <f>'raw data Crude oil'!S2115</f>
        <v>65.16</v>
      </c>
      <c r="T2114">
        <f>'raw data Crude oil'!T2115</f>
        <v>64.790000000000006</v>
      </c>
      <c r="U2114">
        <f>'raw data Crude oil'!U2115</f>
        <v>64.48</v>
      </c>
      <c r="V2114">
        <f>'raw data Crude oil'!V2115</f>
        <v>64.22</v>
      </c>
      <c r="W2114">
        <f>'raw data Crude oil'!W2115</f>
        <v>63.98</v>
      </c>
      <c r="X2114">
        <f>'raw data Crude oil'!X2115</f>
        <v>63.79</v>
      </c>
      <c r="Y2114">
        <f>'raw data Crude oil'!Y2115</f>
        <v>63.63</v>
      </c>
      <c r="Z2114">
        <f>'raw data Crude oil'!Z2115</f>
        <v>71.278999999999996</v>
      </c>
      <c r="AA2114">
        <f>'raw data Crude oil'!AA2115</f>
        <v>70.712000000000003</v>
      </c>
      <c r="AB2114">
        <f>'raw data Crude oil'!AB2115</f>
        <v>69.941999999999993</v>
      </c>
      <c r="AC2114">
        <f>'raw data Crude oil'!AC2115</f>
        <v>69.259</v>
      </c>
      <c r="AD2114">
        <f>'raw data Crude oil'!AD2115</f>
        <v>68.671999999999997</v>
      </c>
      <c r="AE2114">
        <f>'raw data Crude oil'!AE2115</f>
        <v>68.231999999999999</v>
      </c>
      <c r="AF2114">
        <f>'raw data Crude oil'!AF2115</f>
        <v>67.852000000000004</v>
      </c>
      <c r="AG2114">
        <f>'raw data Crude oil'!AG2115</f>
        <v>67.552000000000007</v>
      </c>
      <c r="AH2114">
        <f>'raw data Crude oil'!AH2115</f>
        <v>67.302000000000007</v>
      </c>
      <c r="AI2114">
        <f>'raw data Crude oil'!AI2115</f>
        <v>67.072999999999993</v>
      </c>
      <c r="AJ2114">
        <f>'raw data Crude oil'!AJ2115</f>
        <v>66.884</v>
      </c>
      <c r="AK2114">
        <f>'raw data Crude oil'!AK2115</f>
        <v>66.765000000000001</v>
      </c>
    </row>
    <row r="2115" spans="1:37" x14ac:dyDescent="0.3">
      <c r="A2115" s="18">
        <f>'raw data Crude oil'!A2116</f>
        <v>45726</v>
      </c>
      <c r="B2115">
        <f>'raw data Crude oil'!B2116</f>
        <v>69.28</v>
      </c>
      <c r="C2115">
        <f>'raw data Crude oil'!C2116</f>
        <v>68.790000000000006</v>
      </c>
      <c r="D2115">
        <f>'raw data Crude oil'!D2116</f>
        <v>68.33</v>
      </c>
      <c r="E2115">
        <f>'raw data Crude oil'!E2116</f>
        <v>67.91</v>
      </c>
      <c r="F2115">
        <f>'raw data Crude oil'!F2116</f>
        <v>67.540000000000006</v>
      </c>
      <c r="G2115">
        <f>'raw data Crude oil'!G2116</f>
        <v>67.209999999999994</v>
      </c>
      <c r="H2115">
        <f>'raw data Crude oil'!H2116</f>
        <v>66.94</v>
      </c>
      <c r="I2115">
        <f>'raw data Crude oil'!I2116</f>
        <v>66.709999999999994</v>
      </c>
      <c r="J2115">
        <f>'raw data Crude oil'!J2116</f>
        <v>66.5</v>
      </c>
      <c r="K2115">
        <f>'raw data Crude oil'!K2116</f>
        <v>66.319999999999993</v>
      </c>
      <c r="L2115">
        <f>'raw data Crude oil'!L2116</f>
        <v>66.180000000000007</v>
      </c>
      <c r="M2115">
        <f>'raw data Crude oil'!M2116</f>
        <v>66.069999999999993</v>
      </c>
      <c r="N2115">
        <f>'raw data Crude oil'!N2116</f>
        <v>66.03</v>
      </c>
      <c r="O2115">
        <f>'raw data Crude oil'!O2116</f>
        <v>65.680000000000007</v>
      </c>
      <c r="P2115">
        <f>'raw data Crude oil'!P2116</f>
        <v>65.27</v>
      </c>
      <c r="Q2115">
        <f>'raw data Crude oil'!Q2116</f>
        <v>64.849999999999994</v>
      </c>
      <c r="R2115">
        <f>'raw data Crude oil'!R2116</f>
        <v>64.44</v>
      </c>
      <c r="S2115">
        <f>'raw data Crude oil'!S2116</f>
        <v>64.040000000000006</v>
      </c>
      <c r="T2115">
        <f>'raw data Crude oil'!T2116</f>
        <v>63.67</v>
      </c>
      <c r="U2115">
        <f>'raw data Crude oil'!U2116</f>
        <v>63.36</v>
      </c>
      <c r="V2115">
        <f>'raw data Crude oil'!V2116</f>
        <v>63.09</v>
      </c>
      <c r="W2115">
        <f>'raw data Crude oil'!W2116</f>
        <v>62.85</v>
      </c>
      <c r="X2115">
        <f>'raw data Crude oil'!X2116</f>
        <v>62.66</v>
      </c>
      <c r="Y2115">
        <f>'raw data Crude oil'!Y2116</f>
        <v>62.52</v>
      </c>
      <c r="Z2115">
        <f>'raw data Crude oil'!Z2116</f>
        <v>70.587999999999994</v>
      </c>
      <c r="AA2115">
        <f>'raw data Crude oil'!AA2116</f>
        <v>69.763000000000005</v>
      </c>
      <c r="AB2115">
        <f>'raw data Crude oil'!AB2116</f>
        <v>68.974000000000004</v>
      </c>
      <c r="AC2115">
        <f>'raw data Crude oil'!AC2116</f>
        <v>68.293999999999997</v>
      </c>
      <c r="AD2115">
        <f>'raw data Crude oil'!AD2116</f>
        <v>67.694000000000003</v>
      </c>
      <c r="AE2115">
        <f>'raw data Crude oil'!AE2116</f>
        <v>67.244</v>
      </c>
      <c r="AF2115">
        <f>'raw data Crude oil'!AF2116</f>
        <v>66.838999999999999</v>
      </c>
      <c r="AG2115">
        <f>'raw data Crude oil'!AG2116</f>
        <v>66.5</v>
      </c>
      <c r="AH2115">
        <f>'raw data Crude oil'!AH2116</f>
        <v>66.2</v>
      </c>
      <c r="AI2115">
        <f>'raw data Crude oil'!AI2116</f>
        <v>65.926000000000002</v>
      </c>
      <c r="AJ2115">
        <f>'raw data Crude oil'!AJ2116</f>
        <v>65.736999999999995</v>
      </c>
      <c r="AK2115">
        <f>'raw data Crude oil'!AK2116</f>
        <v>65.617999999999995</v>
      </c>
    </row>
    <row r="2116" spans="1:37" x14ac:dyDescent="0.3">
      <c r="A2116" s="18">
        <f>'raw data Crude oil'!A2117</f>
        <v>45727</v>
      </c>
      <c r="B2116">
        <f>'raw data Crude oil'!B2117</f>
        <v>69.56</v>
      </c>
      <c r="C2116">
        <f>'raw data Crude oil'!C2117</f>
        <v>69.05</v>
      </c>
      <c r="D2116">
        <f>'raw data Crude oil'!D2117</f>
        <v>68.569999999999993</v>
      </c>
      <c r="E2116">
        <f>'raw data Crude oil'!E2117</f>
        <v>68.13</v>
      </c>
      <c r="F2116">
        <f>'raw data Crude oil'!F2117</f>
        <v>67.739999999999995</v>
      </c>
      <c r="G2116">
        <f>'raw data Crude oil'!G2117</f>
        <v>67.41</v>
      </c>
      <c r="H2116">
        <f>'raw data Crude oil'!H2117</f>
        <v>67.13</v>
      </c>
      <c r="I2116">
        <f>'raw data Crude oil'!I2117</f>
        <v>66.900000000000006</v>
      </c>
      <c r="J2116">
        <f>'raw data Crude oil'!J2117</f>
        <v>66.69</v>
      </c>
      <c r="K2116">
        <f>'raw data Crude oil'!K2117</f>
        <v>66.5</v>
      </c>
      <c r="L2116">
        <f>'raw data Crude oil'!L2117</f>
        <v>66.349999999999994</v>
      </c>
      <c r="M2116">
        <f>'raw data Crude oil'!M2117</f>
        <v>66.22</v>
      </c>
      <c r="N2116">
        <f>'raw data Crude oil'!N2117</f>
        <v>66.25</v>
      </c>
      <c r="O2116">
        <f>'raw data Crude oil'!O2117</f>
        <v>65.930000000000007</v>
      </c>
      <c r="P2116">
        <f>'raw data Crude oil'!P2117</f>
        <v>65.53</v>
      </c>
      <c r="Q2116">
        <f>'raw data Crude oil'!Q2117</f>
        <v>65.11</v>
      </c>
      <c r="R2116">
        <f>'raw data Crude oil'!R2117</f>
        <v>64.69</v>
      </c>
      <c r="S2116">
        <f>'raw data Crude oil'!S2117</f>
        <v>64.27</v>
      </c>
      <c r="T2116">
        <f>'raw data Crude oil'!T2117</f>
        <v>63.88</v>
      </c>
      <c r="U2116">
        <f>'raw data Crude oil'!U2117</f>
        <v>63.55</v>
      </c>
      <c r="V2116">
        <f>'raw data Crude oil'!V2117</f>
        <v>63.27</v>
      </c>
      <c r="W2116">
        <f>'raw data Crude oil'!W2117</f>
        <v>63.02</v>
      </c>
      <c r="X2116">
        <f>'raw data Crude oil'!X2117</f>
        <v>62.81</v>
      </c>
      <c r="Y2116">
        <f>'raw data Crude oil'!Y2117</f>
        <v>62.66</v>
      </c>
      <c r="Z2116">
        <f>'raw data Crude oil'!Z2117</f>
        <v>70.683000000000007</v>
      </c>
      <c r="AA2116">
        <f>'raw data Crude oil'!AA2117</f>
        <v>69.927000000000007</v>
      </c>
      <c r="AB2116">
        <f>'raw data Crude oil'!AB2117</f>
        <v>69.167000000000002</v>
      </c>
      <c r="AC2116">
        <f>'raw data Crude oil'!AC2117</f>
        <v>68.480999999999995</v>
      </c>
      <c r="AD2116">
        <f>'raw data Crude oil'!AD2117</f>
        <v>67.881</v>
      </c>
      <c r="AE2116">
        <f>'raw data Crude oil'!AE2117</f>
        <v>67.432000000000002</v>
      </c>
      <c r="AF2116">
        <f>'raw data Crude oil'!AF2117</f>
        <v>67.034999999999997</v>
      </c>
      <c r="AG2116">
        <f>'raw data Crude oil'!AG2117</f>
        <v>66.69</v>
      </c>
      <c r="AH2116">
        <f>'raw data Crude oil'!AH2117</f>
        <v>66.38</v>
      </c>
      <c r="AI2116">
        <f>'raw data Crude oil'!AI2117</f>
        <v>66.094999999999999</v>
      </c>
      <c r="AJ2116">
        <f>'raw data Crude oil'!AJ2117</f>
        <v>65.914000000000001</v>
      </c>
      <c r="AK2116">
        <f>'raw data Crude oil'!AK2117</f>
        <v>65.784999999999997</v>
      </c>
    </row>
    <row r="2117" spans="1:37" x14ac:dyDescent="0.3">
      <c r="A2117" s="18">
        <f>'raw data Crude oil'!A2118</f>
        <v>45728</v>
      </c>
      <c r="B2117">
        <f>'raw data Crude oil'!B2118</f>
        <v>70.95</v>
      </c>
      <c r="C2117">
        <f>'raw data Crude oil'!C2118</f>
        <v>70.45</v>
      </c>
      <c r="D2117">
        <f>'raw data Crude oil'!D2118</f>
        <v>69.959999999999994</v>
      </c>
      <c r="E2117">
        <f>'raw data Crude oil'!E2118</f>
        <v>69.52</v>
      </c>
      <c r="F2117">
        <f>'raw data Crude oil'!F2118</f>
        <v>69.11</v>
      </c>
      <c r="G2117">
        <f>'raw data Crude oil'!G2118</f>
        <v>68.75</v>
      </c>
      <c r="H2117">
        <f>'raw data Crude oil'!H2118</f>
        <v>68.45</v>
      </c>
      <c r="I2117">
        <f>'raw data Crude oil'!I2118</f>
        <v>68.2</v>
      </c>
      <c r="J2117">
        <f>'raw data Crude oil'!J2118</f>
        <v>67.97</v>
      </c>
      <c r="K2117">
        <f>'raw data Crude oil'!K2118</f>
        <v>67.77</v>
      </c>
      <c r="L2117">
        <f>'raw data Crude oil'!L2118</f>
        <v>67.599999999999994</v>
      </c>
      <c r="M2117">
        <f>'raw data Crude oil'!M2118</f>
        <v>67.459999999999994</v>
      </c>
      <c r="N2117">
        <f>'raw data Crude oil'!N2118</f>
        <v>67.680000000000007</v>
      </c>
      <c r="O2117">
        <f>'raw data Crude oil'!O2118</f>
        <v>67.38</v>
      </c>
      <c r="P2117">
        <f>'raw data Crude oil'!P2118</f>
        <v>66.97</v>
      </c>
      <c r="Q2117">
        <f>'raw data Crude oil'!Q2118</f>
        <v>66.52</v>
      </c>
      <c r="R2117">
        <f>'raw data Crude oil'!R2118</f>
        <v>66.06</v>
      </c>
      <c r="S2117">
        <f>'raw data Crude oil'!S2118</f>
        <v>65.61</v>
      </c>
      <c r="T2117">
        <f>'raw data Crude oil'!T2118</f>
        <v>65.19</v>
      </c>
      <c r="U2117">
        <f>'raw data Crude oil'!U2118</f>
        <v>64.84</v>
      </c>
      <c r="V2117">
        <f>'raw data Crude oil'!V2118</f>
        <v>64.540000000000006</v>
      </c>
      <c r="W2117">
        <f>'raw data Crude oil'!W2118</f>
        <v>64.28</v>
      </c>
      <c r="X2117">
        <f>'raw data Crude oil'!X2118</f>
        <v>64.069999999999993</v>
      </c>
      <c r="Y2117">
        <f>'raw data Crude oil'!Y2118</f>
        <v>63.9</v>
      </c>
      <c r="Z2117">
        <f>'raw data Crude oil'!Z2118</f>
        <v>71.527000000000001</v>
      </c>
      <c r="AA2117">
        <f>'raw data Crude oil'!AA2118</f>
        <v>71.284999999999997</v>
      </c>
      <c r="AB2117">
        <f>'raw data Crude oil'!AB2118</f>
        <v>70.498000000000005</v>
      </c>
      <c r="AC2117">
        <f>'raw data Crude oil'!AC2118</f>
        <v>69.8</v>
      </c>
      <c r="AD2117">
        <f>'raw data Crude oil'!AD2118</f>
        <v>69.201999999999998</v>
      </c>
      <c r="AE2117">
        <f>'raw data Crude oil'!AE2118</f>
        <v>68.745999999999995</v>
      </c>
      <c r="AF2117">
        <f>'raw data Crude oil'!AF2118</f>
        <v>68.340999999999994</v>
      </c>
      <c r="AG2117">
        <f>'raw data Crude oil'!AG2118</f>
        <v>67.989999999999995</v>
      </c>
      <c r="AH2117">
        <f>'raw data Crude oil'!AH2118</f>
        <v>67.659000000000006</v>
      </c>
      <c r="AI2117">
        <f>'raw data Crude oil'!AI2118</f>
        <v>67.356999999999999</v>
      </c>
      <c r="AJ2117">
        <f>'raw data Crude oil'!AJ2118</f>
        <v>67.183000000000007</v>
      </c>
      <c r="AK2117">
        <f>'raw data Crude oil'!AK2118</f>
        <v>67.024000000000001</v>
      </c>
    </row>
    <row r="2118" spans="1:37" x14ac:dyDescent="0.3">
      <c r="A2118" s="18">
        <f>'raw data Crude oil'!A2119</f>
        <v>45729</v>
      </c>
      <c r="B2118">
        <f>'raw data Crude oil'!B2119</f>
        <v>69.88</v>
      </c>
      <c r="C2118">
        <f>'raw data Crude oil'!C2119</f>
        <v>69.400000000000006</v>
      </c>
      <c r="D2118">
        <f>'raw data Crude oil'!D2119</f>
        <v>68.94</v>
      </c>
      <c r="E2118">
        <f>'raw data Crude oil'!E2119</f>
        <v>68.52</v>
      </c>
      <c r="F2118">
        <f>'raw data Crude oil'!F2119</f>
        <v>68.14</v>
      </c>
      <c r="G2118">
        <f>'raw data Crude oil'!G2119</f>
        <v>67.81</v>
      </c>
      <c r="H2118">
        <f>'raw data Crude oil'!H2119</f>
        <v>67.540000000000006</v>
      </c>
      <c r="I2118">
        <f>'raw data Crude oil'!I2119</f>
        <v>67.31</v>
      </c>
      <c r="J2118">
        <f>'raw data Crude oil'!J2119</f>
        <v>67.099999999999994</v>
      </c>
      <c r="K2118">
        <f>'raw data Crude oil'!K2119</f>
        <v>66.92</v>
      </c>
      <c r="L2118">
        <f>'raw data Crude oil'!L2119</f>
        <v>66.77</v>
      </c>
      <c r="M2118">
        <f>'raw data Crude oil'!M2119</f>
        <v>66.650000000000006</v>
      </c>
      <c r="N2118">
        <f>'raw data Crude oil'!N2119</f>
        <v>66.55</v>
      </c>
      <c r="O2118">
        <f>'raw data Crude oil'!O2119</f>
        <v>66.27</v>
      </c>
      <c r="P2118">
        <f>'raw data Crude oil'!P2119</f>
        <v>65.89</v>
      </c>
      <c r="Q2118">
        <f>'raw data Crude oil'!Q2119</f>
        <v>65.48</v>
      </c>
      <c r="R2118">
        <f>'raw data Crude oil'!R2119</f>
        <v>65.06</v>
      </c>
      <c r="S2118">
        <f>'raw data Crude oil'!S2119</f>
        <v>64.64</v>
      </c>
      <c r="T2118">
        <f>'raw data Crude oil'!T2119</f>
        <v>64.25</v>
      </c>
      <c r="U2118">
        <f>'raw data Crude oil'!U2119</f>
        <v>63.93</v>
      </c>
      <c r="V2118">
        <f>'raw data Crude oil'!V2119</f>
        <v>63.66</v>
      </c>
      <c r="W2118">
        <f>'raw data Crude oil'!W2119</f>
        <v>63.42</v>
      </c>
      <c r="X2118">
        <f>'raw data Crude oil'!X2119</f>
        <v>63.23</v>
      </c>
      <c r="Y2118">
        <f>'raw data Crude oil'!Y2119</f>
        <v>63.09</v>
      </c>
      <c r="Z2118">
        <f>'raw data Crude oil'!Z2119</f>
        <v>71.001000000000005</v>
      </c>
      <c r="AA2118">
        <f>'raw data Crude oil'!AA2119</f>
        <v>70.307000000000002</v>
      </c>
      <c r="AB2118">
        <f>'raw data Crude oil'!AB2119</f>
        <v>69.516000000000005</v>
      </c>
      <c r="AC2118">
        <f>'raw data Crude oil'!AC2119</f>
        <v>68.826999999999998</v>
      </c>
      <c r="AD2118">
        <f>'raw data Crude oil'!AD2119</f>
        <v>68.260999999999996</v>
      </c>
      <c r="AE2118">
        <f>'raw data Crude oil'!AE2119</f>
        <v>67.811999999999998</v>
      </c>
      <c r="AF2118">
        <f>'raw data Crude oil'!AF2119</f>
        <v>67.42</v>
      </c>
      <c r="AG2118">
        <f>'raw data Crude oil'!AG2119</f>
        <v>67.066000000000003</v>
      </c>
      <c r="AH2118">
        <f>'raw data Crude oil'!AH2119</f>
        <v>66.756</v>
      </c>
      <c r="AI2118">
        <f>'raw data Crude oil'!AI2119</f>
        <v>66.465999999999994</v>
      </c>
      <c r="AJ2118">
        <f>'raw data Crude oil'!AJ2119</f>
        <v>66.293999999999997</v>
      </c>
      <c r="AK2118">
        <f>'raw data Crude oil'!AK2119</f>
        <v>66.146000000000001</v>
      </c>
    </row>
    <row r="2119" spans="1:37" x14ac:dyDescent="0.3">
      <c r="A2119" s="18">
        <f>'raw data Crude oil'!A2120</f>
        <v>45730</v>
      </c>
      <c r="B2119">
        <f>'raw data Crude oil'!B2120</f>
        <v>70.58</v>
      </c>
      <c r="C2119">
        <f>'raw data Crude oil'!C2120</f>
        <v>70.06</v>
      </c>
      <c r="D2119">
        <f>'raw data Crude oil'!D2120</f>
        <v>69.55</v>
      </c>
      <c r="E2119">
        <f>'raw data Crude oil'!E2120</f>
        <v>69.099999999999994</v>
      </c>
      <c r="F2119">
        <f>'raw data Crude oil'!F2120</f>
        <v>68.69</v>
      </c>
      <c r="G2119">
        <f>'raw data Crude oil'!G2120</f>
        <v>68.34</v>
      </c>
      <c r="H2119">
        <f>'raw data Crude oil'!H2120</f>
        <v>68.05</v>
      </c>
      <c r="I2119">
        <f>'raw data Crude oil'!I2120</f>
        <v>67.81</v>
      </c>
      <c r="J2119">
        <f>'raw data Crude oil'!J2120</f>
        <v>67.58</v>
      </c>
      <c r="K2119">
        <f>'raw data Crude oil'!K2120</f>
        <v>67.38</v>
      </c>
      <c r="L2119">
        <f>'raw data Crude oil'!L2120</f>
        <v>67.22</v>
      </c>
      <c r="M2119">
        <f>'raw data Crude oil'!M2120</f>
        <v>67.09</v>
      </c>
      <c r="N2119">
        <f>'raw data Crude oil'!N2120</f>
        <v>67.180000000000007</v>
      </c>
      <c r="O2119">
        <f>'raw data Crude oil'!O2120</f>
        <v>66.91</v>
      </c>
      <c r="P2119">
        <f>'raw data Crude oil'!P2120</f>
        <v>66.52</v>
      </c>
      <c r="Q2119">
        <f>'raw data Crude oil'!Q2120</f>
        <v>66.08</v>
      </c>
      <c r="R2119">
        <f>'raw data Crude oil'!R2120</f>
        <v>65.62</v>
      </c>
      <c r="S2119">
        <f>'raw data Crude oil'!S2120</f>
        <v>65.180000000000007</v>
      </c>
      <c r="T2119">
        <f>'raw data Crude oil'!T2120</f>
        <v>64.78</v>
      </c>
      <c r="U2119">
        <f>'raw data Crude oil'!U2120</f>
        <v>64.45</v>
      </c>
      <c r="V2119">
        <f>'raw data Crude oil'!V2120</f>
        <v>64.17</v>
      </c>
      <c r="W2119">
        <f>'raw data Crude oil'!W2120</f>
        <v>63.93</v>
      </c>
      <c r="X2119">
        <f>'raw data Crude oil'!X2120</f>
        <v>63.73</v>
      </c>
      <c r="Y2119">
        <f>'raw data Crude oil'!Y2120</f>
        <v>63.58</v>
      </c>
      <c r="Z2119">
        <f>'raw data Crude oil'!Z2120</f>
        <v>71.451999999999998</v>
      </c>
      <c r="AA2119">
        <f>'raw data Crude oil'!AA2120</f>
        <v>71.117999999999995</v>
      </c>
      <c r="AB2119">
        <f>'raw data Crude oil'!AB2120</f>
        <v>70.23</v>
      </c>
      <c r="AC2119">
        <f>'raw data Crude oil'!AC2120</f>
        <v>69.477999999999994</v>
      </c>
      <c r="AD2119">
        <f>'raw data Crude oil'!AD2120</f>
        <v>68.856999999999999</v>
      </c>
      <c r="AE2119">
        <f>'raw data Crude oil'!AE2120</f>
        <v>68.382999999999996</v>
      </c>
      <c r="AF2119">
        <f>'raw data Crude oil'!AF2120</f>
        <v>67.965999999999994</v>
      </c>
      <c r="AG2119">
        <f>'raw data Crude oil'!AG2120</f>
        <v>67.614999999999995</v>
      </c>
      <c r="AH2119">
        <f>'raw data Crude oil'!AH2120</f>
        <v>67.281999999999996</v>
      </c>
      <c r="AI2119">
        <f>'raw data Crude oil'!AI2120</f>
        <v>66.966999999999999</v>
      </c>
      <c r="AJ2119">
        <f>'raw data Crude oil'!AJ2120</f>
        <v>66.784000000000006</v>
      </c>
      <c r="AK2119">
        <f>'raw data Crude oil'!AK2120</f>
        <v>66.635999999999996</v>
      </c>
    </row>
    <row r="2120" spans="1:37" x14ac:dyDescent="0.3">
      <c r="A2120" s="18">
        <f>'raw data Crude oil'!A2121</f>
        <v>45733</v>
      </c>
      <c r="B2120">
        <f>'raw data Crude oil'!B2121</f>
        <v>71.069999999999993</v>
      </c>
      <c r="C2120">
        <f>'raw data Crude oil'!C2121</f>
        <v>70.599999999999994</v>
      </c>
      <c r="D2120">
        <f>'raw data Crude oil'!D2121</f>
        <v>70.12</v>
      </c>
      <c r="E2120">
        <f>'raw data Crude oil'!E2121</f>
        <v>69.67</v>
      </c>
      <c r="F2120">
        <f>'raw data Crude oil'!F2121</f>
        <v>69.25</v>
      </c>
      <c r="G2120">
        <f>'raw data Crude oil'!G2121</f>
        <v>68.89</v>
      </c>
      <c r="H2120">
        <f>'raw data Crude oil'!H2121</f>
        <v>68.58</v>
      </c>
      <c r="I2120">
        <f>'raw data Crude oil'!I2121</f>
        <v>68.33</v>
      </c>
      <c r="J2120">
        <f>'raw data Crude oil'!J2121</f>
        <v>68.09</v>
      </c>
      <c r="K2120">
        <f>'raw data Crude oil'!K2121</f>
        <v>67.88</v>
      </c>
      <c r="L2120">
        <f>'raw data Crude oil'!L2121</f>
        <v>67.709999999999994</v>
      </c>
      <c r="M2120">
        <f>'raw data Crude oil'!M2121</f>
        <v>67.569999999999993</v>
      </c>
      <c r="N2120">
        <f>'raw data Crude oil'!N2121</f>
        <v>67.58</v>
      </c>
      <c r="O2120">
        <f>'raw data Crude oil'!O2121</f>
        <v>67.37</v>
      </c>
      <c r="P2120">
        <f>'raw data Crude oil'!P2121</f>
        <v>67.03</v>
      </c>
      <c r="Q2120">
        <f>'raw data Crude oil'!Q2121</f>
        <v>66.63</v>
      </c>
      <c r="R2120">
        <f>'raw data Crude oil'!R2121</f>
        <v>66.17</v>
      </c>
      <c r="S2120">
        <f>'raw data Crude oil'!S2121</f>
        <v>65.72</v>
      </c>
      <c r="T2120">
        <f>'raw data Crude oil'!T2121</f>
        <v>65.319999999999993</v>
      </c>
      <c r="U2120">
        <f>'raw data Crude oil'!U2121</f>
        <v>64.989999999999995</v>
      </c>
      <c r="V2120">
        <f>'raw data Crude oil'!V2121</f>
        <v>64.7</v>
      </c>
      <c r="W2120">
        <f>'raw data Crude oil'!W2121</f>
        <v>64.44</v>
      </c>
      <c r="X2120">
        <f>'raw data Crude oil'!X2121</f>
        <v>64.23</v>
      </c>
      <c r="Y2120">
        <f>'raw data Crude oil'!Y2121</f>
        <v>64.06</v>
      </c>
      <c r="Z2120">
        <f>'raw data Crude oil'!Z2121</f>
        <v>71.792000000000002</v>
      </c>
      <c r="AA2120">
        <f>'raw data Crude oil'!AA2121</f>
        <v>71.760000000000005</v>
      </c>
      <c r="AB2120">
        <f>'raw data Crude oil'!AB2121</f>
        <v>70.87</v>
      </c>
      <c r="AC2120">
        <f>'raw data Crude oil'!AC2121</f>
        <v>70.11</v>
      </c>
      <c r="AD2120">
        <f>'raw data Crude oil'!AD2121</f>
        <v>69.474000000000004</v>
      </c>
      <c r="AE2120">
        <f>'raw data Crude oil'!AE2121</f>
        <v>68.984999999999999</v>
      </c>
      <c r="AF2120">
        <f>'raw data Crude oil'!AF2121</f>
        <v>68.554000000000002</v>
      </c>
      <c r="AG2120">
        <f>'raw data Crude oil'!AG2121</f>
        <v>68.185000000000002</v>
      </c>
      <c r="AH2120">
        <f>'raw data Crude oil'!AH2121</f>
        <v>67.83</v>
      </c>
      <c r="AI2120">
        <f>'raw data Crude oil'!AI2121</f>
        <v>67.518000000000001</v>
      </c>
      <c r="AJ2120">
        <f>'raw data Crude oil'!AJ2121</f>
        <v>67.307000000000002</v>
      </c>
      <c r="AK2120">
        <f>'raw data Crude oil'!AK2121</f>
        <v>67.134</v>
      </c>
    </row>
    <row r="2121" spans="1:37" x14ac:dyDescent="0.3">
      <c r="A2121" s="18">
        <f>'raw data Crude oil'!A2122</f>
        <v>45734</v>
      </c>
      <c r="B2121">
        <f>'raw data Crude oil'!B2122</f>
        <v>70.56</v>
      </c>
      <c r="C2121">
        <f>'raw data Crude oil'!C2122</f>
        <v>70.12</v>
      </c>
      <c r="D2121">
        <f>'raw data Crude oil'!D2122</f>
        <v>69.7</v>
      </c>
      <c r="E2121">
        <f>'raw data Crude oil'!E2122</f>
        <v>69.27</v>
      </c>
      <c r="F2121">
        <f>'raw data Crude oil'!F2122</f>
        <v>68.87</v>
      </c>
      <c r="G2121">
        <f>'raw data Crude oil'!G2122</f>
        <v>68.52</v>
      </c>
      <c r="H2121">
        <f>'raw data Crude oil'!H2122</f>
        <v>68.239999999999995</v>
      </c>
      <c r="I2121">
        <f>'raw data Crude oil'!I2122</f>
        <v>68</v>
      </c>
      <c r="J2121">
        <f>'raw data Crude oil'!J2122</f>
        <v>67.78</v>
      </c>
      <c r="K2121">
        <f>'raw data Crude oil'!K2122</f>
        <v>67.59</v>
      </c>
      <c r="L2121">
        <f>'raw data Crude oil'!L2122</f>
        <v>67.44</v>
      </c>
      <c r="M2121">
        <f>'raw data Crude oil'!M2122</f>
        <v>67.31</v>
      </c>
      <c r="N2121">
        <f>'raw data Crude oil'!N2122</f>
        <v>66.900000000000006</v>
      </c>
      <c r="O2121">
        <f>'raw data Crude oil'!O2122</f>
        <v>66.75</v>
      </c>
      <c r="P2121">
        <f>'raw data Crude oil'!P2122</f>
        <v>66.48</v>
      </c>
      <c r="Q2121">
        <f>'raw data Crude oil'!Q2122</f>
        <v>66.13</v>
      </c>
      <c r="R2121">
        <f>'raw data Crude oil'!R2122</f>
        <v>65.72</v>
      </c>
      <c r="S2121">
        <f>'raw data Crude oil'!S2122</f>
        <v>65.3</v>
      </c>
      <c r="T2121">
        <f>'raw data Crude oil'!T2122</f>
        <v>64.92</v>
      </c>
      <c r="U2121">
        <f>'raw data Crude oil'!U2122</f>
        <v>64.599999999999994</v>
      </c>
      <c r="V2121">
        <f>'raw data Crude oil'!V2122</f>
        <v>64.34</v>
      </c>
      <c r="W2121">
        <f>'raw data Crude oil'!W2122</f>
        <v>64.11</v>
      </c>
      <c r="X2121">
        <f>'raw data Crude oil'!X2122</f>
        <v>63.91</v>
      </c>
      <c r="Y2121">
        <f>'raw data Crude oil'!Y2122</f>
        <v>63.76</v>
      </c>
      <c r="Z2121">
        <f>'raw data Crude oil'!Z2122</f>
        <v>71.650999999999996</v>
      </c>
      <c r="AA2121">
        <f>'raw data Crude oil'!AA2122</f>
        <v>71.320999999999998</v>
      </c>
      <c r="AB2121">
        <f>'raw data Crude oil'!AB2122</f>
        <v>70.480999999999995</v>
      </c>
      <c r="AC2121">
        <f>'raw data Crude oil'!AC2122</f>
        <v>69.760999999999996</v>
      </c>
      <c r="AD2121">
        <f>'raw data Crude oil'!AD2122</f>
        <v>69.16</v>
      </c>
      <c r="AE2121">
        <f>'raw data Crude oil'!AE2122</f>
        <v>68.698999999999998</v>
      </c>
      <c r="AF2121">
        <f>'raw data Crude oil'!AF2122</f>
        <v>68.278999999999996</v>
      </c>
      <c r="AG2121">
        <f>'raw data Crude oil'!AG2122</f>
        <v>67.926000000000002</v>
      </c>
      <c r="AH2121">
        <f>'raw data Crude oil'!AH2122</f>
        <v>67.594999999999999</v>
      </c>
      <c r="AI2121">
        <f>'raw data Crude oil'!AI2122</f>
        <v>67.278000000000006</v>
      </c>
      <c r="AJ2121">
        <f>'raw data Crude oil'!AJ2122</f>
        <v>67.073999999999998</v>
      </c>
      <c r="AK2121">
        <f>'raw data Crude oil'!AK2122</f>
        <v>66.906000000000006</v>
      </c>
    </row>
    <row r="2122" spans="1:37" x14ac:dyDescent="0.3">
      <c r="A2122" s="18">
        <f>'raw data Crude oil'!A2123</f>
        <v>45735</v>
      </c>
      <c r="B2122">
        <f>'raw data Crude oil'!B2123</f>
        <v>70.78</v>
      </c>
      <c r="C2122">
        <f>'raw data Crude oil'!C2123</f>
        <v>70.319999999999993</v>
      </c>
      <c r="D2122">
        <f>'raw data Crude oil'!D2123</f>
        <v>69.87</v>
      </c>
      <c r="E2122">
        <f>'raw data Crude oil'!E2123</f>
        <v>69.430000000000007</v>
      </c>
      <c r="F2122">
        <f>'raw data Crude oil'!F2123</f>
        <v>69.02</v>
      </c>
      <c r="G2122">
        <f>'raw data Crude oil'!G2123</f>
        <v>68.66</v>
      </c>
      <c r="H2122">
        <f>'raw data Crude oil'!H2123</f>
        <v>68.37</v>
      </c>
      <c r="I2122">
        <f>'raw data Crude oil'!I2123</f>
        <v>68.13</v>
      </c>
      <c r="J2122">
        <f>'raw data Crude oil'!J2123</f>
        <v>67.91</v>
      </c>
      <c r="K2122">
        <f>'raw data Crude oil'!K2123</f>
        <v>67.709999999999994</v>
      </c>
      <c r="L2122">
        <f>'raw data Crude oil'!L2123</f>
        <v>67.55</v>
      </c>
      <c r="M2122">
        <f>'raw data Crude oil'!M2123</f>
        <v>67.42</v>
      </c>
      <c r="N2122">
        <f>'raw data Crude oil'!N2123</f>
        <v>67.16</v>
      </c>
      <c r="O2122">
        <f>'raw data Crude oil'!O2123</f>
        <v>66.91</v>
      </c>
      <c r="P2122">
        <f>'raw data Crude oil'!P2123</f>
        <v>66.62</v>
      </c>
      <c r="Q2122">
        <f>'raw data Crude oil'!Q2123</f>
        <v>66.260000000000005</v>
      </c>
      <c r="R2122">
        <f>'raw data Crude oil'!R2123</f>
        <v>65.83</v>
      </c>
      <c r="S2122">
        <f>'raw data Crude oil'!S2123</f>
        <v>65.400000000000006</v>
      </c>
      <c r="T2122">
        <f>'raw data Crude oil'!T2123</f>
        <v>65.010000000000005</v>
      </c>
      <c r="U2122">
        <f>'raw data Crude oil'!U2123</f>
        <v>64.69</v>
      </c>
      <c r="V2122">
        <f>'raw data Crude oil'!V2123</f>
        <v>64.42</v>
      </c>
      <c r="W2122">
        <f>'raw data Crude oil'!W2123</f>
        <v>64.17</v>
      </c>
      <c r="X2122">
        <f>'raw data Crude oil'!X2123</f>
        <v>63.98</v>
      </c>
      <c r="Y2122">
        <f>'raw data Crude oil'!Y2123</f>
        <v>63.83</v>
      </c>
      <c r="Z2122">
        <f>'raw data Crude oil'!Z2123</f>
        <v>71.83</v>
      </c>
      <c r="AA2122">
        <f>'raw data Crude oil'!AA2123</f>
        <v>71.683999999999997</v>
      </c>
      <c r="AB2122">
        <f>'raw data Crude oil'!AB2123</f>
        <v>70.885000000000005</v>
      </c>
      <c r="AC2122">
        <f>'raw data Crude oil'!AC2123</f>
        <v>70.174999999999997</v>
      </c>
      <c r="AD2122">
        <f>'raw data Crude oil'!AD2123</f>
        <v>69.569000000000003</v>
      </c>
      <c r="AE2122">
        <f>'raw data Crude oil'!AE2123</f>
        <v>69.075999999999993</v>
      </c>
      <c r="AF2122">
        <f>'raw data Crude oil'!AF2123</f>
        <v>68.638999999999996</v>
      </c>
      <c r="AG2122">
        <f>'raw data Crude oil'!AG2123</f>
        <v>68.260000000000005</v>
      </c>
      <c r="AH2122">
        <f>'raw data Crude oil'!AH2123</f>
        <v>67.91</v>
      </c>
      <c r="AI2122">
        <f>'raw data Crude oil'!AI2123</f>
        <v>67.584000000000003</v>
      </c>
      <c r="AJ2122">
        <f>'raw data Crude oil'!AJ2123</f>
        <v>67.343999999999994</v>
      </c>
      <c r="AK2122">
        <f>'raw data Crude oil'!AK2123</f>
        <v>67.165999999999997</v>
      </c>
    </row>
    <row r="2123" spans="1:37" x14ac:dyDescent="0.3">
      <c r="A2123" s="18">
        <f>'raw data Crude oil'!A2124</f>
        <v>45736</v>
      </c>
      <c r="B2123">
        <f>'raw data Crude oil'!B2124</f>
        <v>72</v>
      </c>
      <c r="C2123">
        <f>'raw data Crude oil'!C2124</f>
        <v>71.47</v>
      </c>
      <c r="D2123">
        <f>'raw data Crude oil'!D2124</f>
        <v>70.959999999999994</v>
      </c>
      <c r="E2123">
        <f>'raw data Crude oil'!E2124</f>
        <v>70.47</v>
      </c>
      <c r="F2123">
        <f>'raw data Crude oil'!F2124</f>
        <v>70.02</v>
      </c>
      <c r="G2123">
        <f>'raw data Crude oil'!G2124</f>
        <v>69.63</v>
      </c>
      <c r="H2123">
        <f>'raw data Crude oil'!H2124</f>
        <v>69.3</v>
      </c>
      <c r="I2123">
        <f>'raw data Crude oil'!I2124</f>
        <v>69.03</v>
      </c>
      <c r="J2123">
        <f>'raw data Crude oil'!J2124</f>
        <v>68.78</v>
      </c>
      <c r="K2123">
        <f>'raw data Crude oil'!K2124</f>
        <v>68.56</v>
      </c>
      <c r="L2123">
        <f>'raw data Crude oil'!L2124</f>
        <v>68.38</v>
      </c>
      <c r="M2123">
        <f>'raw data Crude oil'!M2124</f>
        <v>68.23</v>
      </c>
      <c r="N2123">
        <f>'raw data Crude oil'!N2124</f>
        <v>68.260000000000005</v>
      </c>
      <c r="O2123">
        <f>'raw data Crude oil'!O2124</f>
        <v>68.069999999999993</v>
      </c>
      <c r="P2123">
        <f>'raw data Crude oil'!P2124</f>
        <v>67.7</v>
      </c>
      <c r="Q2123">
        <f>'raw data Crude oil'!Q2124</f>
        <v>67.290000000000006</v>
      </c>
      <c r="R2123">
        <f>'raw data Crude oil'!R2124</f>
        <v>66.83</v>
      </c>
      <c r="S2123">
        <f>'raw data Crude oil'!S2124</f>
        <v>66.37</v>
      </c>
      <c r="T2123">
        <f>'raw data Crude oil'!T2124</f>
        <v>65.95</v>
      </c>
      <c r="U2123">
        <f>'raw data Crude oil'!U2124</f>
        <v>65.59</v>
      </c>
      <c r="V2123">
        <f>'raw data Crude oil'!V2124</f>
        <v>65.290000000000006</v>
      </c>
      <c r="W2123">
        <f>'raw data Crude oil'!W2124</f>
        <v>65.02</v>
      </c>
      <c r="X2123">
        <f>'raw data Crude oil'!X2124</f>
        <v>64.8</v>
      </c>
      <c r="Y2123">
        <f>'raw data Crude oil'!Y2124</f>
        <v>64.63</v>
      </c>
      <c r="Z2123">
        <f>'raw data Crude oil'!Z2124</f>
        <v>72.316999999999993</v>
      </c>
      <c r="AA2123">
        <f>'raw data Crude oil'!AA2124</f>
        <v>73.275999999999996</v>
      </c>
      <c r="AB2123">
        <f>'raw data Crude oil'!AB2124</f>
        <v>72.328000000000003</v>
      </c>
      <c r="AC2123">
        <f>'raw data Crude oil'!AC2124</f>
        <v>71.459000000000003</v>
      </c>
      <c r="AD2123">
        <f>'raw data Crude oil'!AD2124</f>
        <v>70.753</v>
      </c>
      <c r="AE2123">
        <f>'raw data Crude oil'!AE2124</f>
        <v>70.218999999999994</v>
      </c>
      <c r="AF2123">
        <f>'raw data Crude oil'!AF2124</f>
        <v>69.748000000000005</v>
      </c>
      <c r="AG2123">
        <f>'raw data Crude oil'!AG2124</f>
        <v>69.33</v>
      </c>
      <c r="AH2123">
        <f>'raw data Crude oil'!AH2124</f>
        <v>68.936000000000007</v>
      </c>
      <c r="AI2123">
        <f>'raw data Crude oil'!AI2124</f>
        <v>68.563999999999993</v>
      </c>
      <c r="AJ2123">
        <f>'raw data Crude oil'!AJ2124</f>
        <v>68.293000000000006</v>
      </c>
      <c r="AK2123">
        <f>'raw data Crude oil'!AK2124</f>
        <v>68.073999999999998</v>
      </c>
    </row>
    <row r="2124" spans="1:37" x14ac:dyDescent="0.3">
      <c r="A2124" s="18">
        <f>'raw data Crude oil'!A2125</f>
        <v>45737</v>
      </c>
      <c r="B2124">
        <f>'raw data Crude oil'!B2125</f>
        <v>72.16</v>
      </c>
      <c r="C2124">
        <f>'raw data Crude oil'!C2125</f>
        <v>71.61</v>
      </c>
      <c r="D2124">
        <f>'raw data Crude oil'!D2125</f>
        <v>71.08</v>
      </c>
      <c r="E2124">
        <f>'raw data Crude oil'!E2125</f>
        <v>70.569999999999993</v>
      </c>
      <c r="F2124">
        <f>'raw data Crude oil'!F2125</f>
        <v>70.099999999999994</v>
      </c>
      <c r="G2124">
        <f>'raw data Crude oil'!G2125</f>
        <v>69.69</v>
      </c>
      <c r="H2124">
        <f>'raw data Crude oil'!H2125</f>
        <v>69.34</v>
      </c>
      <c r="I2124">
        <f>'raw data Crude oil'!I2125</f>
        <v>69.05</v>
      </c>
      <c r="J2124">
        <f>'raw data Crude oil'!J2125</f>
        <v>68.78</v>
      </c>
      <c r="K2124">
        <f>'raw data Crude oil'!K2125</f>
        <v>68.540000000000006</v>
      </c>
      <c r="L2124">
        <f>'raw data Crude oil'!L2125</f>
        <v>68.349999999999994</v>
      </c>
      <c r="M2124">
        <f>'raw data Crude oil'!M2125</f>
        <v>68.19</v>
      </c>
      <c r="N2124">
        <f>'raw data Crude oil'!N2125</f>
        <v>68.28</v>
      </c>
      <c r="O2124">
        <f>'raw data Crude oil'!O2125</f>
        <v>67.89</v>
      </c>
      <c r="P2124">
        <f>'raw data Crude oil'!P2125</f>
        <v>67.459999999999994</v>
      </c>
      <c r="Q2124">
        <f>'raw data Crude oil'!Q2125</f>
        <v>66.98</v>
      </c>
      <c r="R2124">
        <f>'raw data Crude oil'!R2125</f>
        <v>66.5</v>
      </c>
      <c r="S2124">
        <f>'raw data Crude oil'!S2125</f>
        <v>66.040000000000006</v>
      </c>
      <c r="T2124">
        <f>'raw data Crude oil'!T2125</f>
        <v>65.67</v>
      </c>
      <c r="U2124">
        <f>'raw data Crude oil'!U2125</f>
        <v>65.33</v>
      </c>
      <c r="V2124">
        <f>'raw data Crude oil'!V2125</f>
        <v>65.040000000000006</v>
      </c>
      <c r="W2124">
        <f>'raw data Crude oil'!W2125</f>
        <v>64.81</v>
      </c>
      <c r="X2124">
        <f>'raw data Crude oil'!X2125</f>
        <v>64.62</v>
      </c>
      <c r="Y2124">
        <f>'raw data Crude oil'!Y2125</f>
        <v>64.459999999999994</v>
      </c>
      <c r="Z2124">
        <f>'raw data Crude oil'!Z2125</f>
        <v>72.266999999999996</v>
      </c>
      <c r="AA2124">
        <f>'raw data Crude oil'!AA2125</f>
        <v>73.11</v>
      </c>
      <c r="AB2124">
        <f>'raw data Crude oil'!AB2125</f>
        <v>72.287000000000006</v>
      </c>
      <c r="AC2124">
        <f>'raw data Crude oil'!AC2125</f>
        <v>71.438000000000002</v>
      </c>
      <c r="AD2124">
        <f>'raw data Crude oil'!AD2125</f>
        <v>70.747</v>
      </c>
      <c r="AE2124">
        <f>'raw data Crude oil'!AE2125</f>
        <v>70.207999999999998</v>
      </c>
      <c r="AF2124">
        <f>'raw data Crude oil'!AF2125</f>
        <v>69.742000000000004</v>
      </c>
      <c r="AG2124">
        <f>'raw data Crude oil'!AG2125</f>
        <v>69.322999999999993</v>
      </c>
      <c r="AH2124">
        <f>'raw data Crude oil'!AH2125</f>
        <v>68.923000000000002</v>
      </c>
      <c r="AI2124">
        <f>'raw data Crude oil'!AI2125</f>
        <v>68.555000000000007</v>
      </c>
      <c r="AJ2124">
        <f>'raw data Crude oil'!AJ2125</f>
        <v>68.262</v>
      </c>
      <c r="AK2124">
        <f>'raw data Crude oil'!AK2125</f>
        <v>68.034000000000006</v>
      </c>
    </row>
    <row r="2125" spans="1:37" x14ac:dyDescent="0.3">
      <c r="A2125" s="18">
        <f>'raw data Crude oil'!A2126</f>
        <v>45740</v>
      </c>
      <c r="B2125">
        <f>'raw data Crude oil'!B2126</f>
        <v>73</v>
      </c>
      <c r="C2125">
        <f>'raw data Crude oil'!C2126</f>
        <v>72.37</v>
      </c>
      <c r="D2125">
        <f>'raw data Crude oil'!D2126</f>
        <v>71.8</v>
      </c>
      <c r="E2125">
        <f>'raw data Crude oil'!E2126</f>
        <v>71.27</v>
      </c>
      <c r="F2125">
        <f>'raw data Crude oil'!F2126</f>
        <v>70.760000000000005</v>
      </c>
      <c r="G2125">
        <f>'raw data Crude oil'!G2126</f>
        <v>70.31</v>
      </c>
      <c r="H2125">
        <f>'raw data Crude oil'!H2126</f>
        <v>69.930000000000007</v>
      </c>
      <c r="I2125">
        <f>'raw data Crude oil'!I2126</f>
        <v>69.61</v>
      </c>
      <c r="J2125">
        <f>'raw data Crude oil'!J2126</f>
        <v>69.319999999999993</v>
      </c>
      <c r="K2125">
        <f>'raw data Crude oil'!K2126</f>
        <v>69.06</v>
      </c>
      <c r="L2125">
        <f>'raw data Crude oil'!L2126</f>
        <v>68.849999999999994</v>
      </c>
      <c r="M2125">
        <f>'raw data Crude oil'!M2126</f>
        <v>68.67</v>
      </c>
      <c r="N2125">
        <f>'raw data Crude oil'!N2126</f>
        <v>69.11</v>
      </c>
      <c r="O2125">
        <f>'raw data Crude oil'!O2126</f>
        <v>68.66</v>
      </c>
      <c r="P2125">
        <f>'raw data Crude oil'!P2126</f>
        <v>68.209999999999994</v>
      </c>
      <c r="Q2125">
        <f>'raw data Crude oil'!Q2126</f>
        <v>67.72</v>
      </c>
      <c r="R2125">
        <f>'raw data Crude oil'!R2126</f>
        <v>67.19</v>
      </c>
      <c r="S2125">
        <f>'raw data Crude oil'!S2126</f>
        <v>66.7</v>
      </c>
      <c r="T2125">
        <f>'raw data Crude oil'!T2126</f>
        <v>66.28</v>
      </c>
      <c r="U2125">
        <f>'raw data Crude oil'!U2126</f>
        <v>65.91</v>
      </c>
      <c r="V2125">
        <f>'raw data Crude oil'!V2126</f>
        <v>65.59</v>
      </c>
      <c r="W2125">
        <f>'raw data Crude oil'!W2126</f>
        <v>65.33</v>
      </c>
      <c r="X2125">
        <f>'raw data Crude oil'!X2126</f>
        <v>65.12</v>
      </c>
      <c r="Y2125">
        <f>'raw data Crude oil'!Y2126</f>
        <v>64.95</v>
      </c>
      <c r="Z2125">
        <f>'raw data Crude oil'!Z2126</f>
        <v>72.388999999999996</v>
      </c>
      <c r="AA2125">
        <f>'raw data Crude oil'!AA2126</f>
        <v>73.813999999999993</v>
      </c>
      <c r="AB2125">
        <f>'raw data Crude oil'!AB2126</f>
        <v>73.016000000000005</v>
      </c>
      <c r="AC2125">
        <f>'raw data Crude oil'!AC2126</f>
        <v>72.155000000000001</v>
      </c>
      <c r="AD2125">
        <f>'raw data Crude oil'!AD2126</f>
        <v>71.436999999999998</v>
      </c>
      <c r="AE2125">
        <f>'raw data Crude oil'!AE2126</f>
        <v>70.858999999999995</v>
      </c>
      <c r="AF2125">
        <f>'raw data Crude oil'!AF2126</f>
        <v>70.349999999999994</v>
      </c>
      <c r="AG2125">
        <f>'raw data Crude oil'!AG2126</f>
        <v>69.91</v>
      </c>
      <c r="AH2125">
        <f>'raw data Crude oil'!AH2126</f>
        <v>69.497</v>
      </c>
      <c r="AI2125">
        <f>'raw data Crude oil'!AI2126</f>
        <v>69.103999999999999</v>
      </c>
      <c r="AJ2125">
        <f>'raw data Crude oil'!AJ2126</f>
        <v>68.801000000000002</v>
      </c>
      <c r="AK2125">
        <f>'raw data Crude oil'!AK2126</f>
        <v>68.552999999999997</v>
      </c>
    </row>
    <row r="2126" spans="1:37" x14ac:dyDescent="0.3">
      <c r="A2126" s="18">
        <f>'raw data Crude oil'!A2127</f>
        <v>45741</v>
      </c>
      <c r="B2126">
        <f>'raw data Crude oil'!B2127</f>
        <v>73.02</v>
      </c>
      <c r="C2126">
        <f>'raw data Crude oil'!C2127</f>
        <v>72.39</v>
      </c>
      <c r="D2126">
        <f>'raw data Crude oil'!D2127</f>
        <v>71.819999999999993</v>
      </c>
      <c r="E2126">
        <f>'raw data Crude oil'!E2127</f>
        <v>71.290000000000006</v>
      </c>
      <c r="F2126">
        <f>'raw data Crude oil'!F2127</f>
        <v>70.77</v>
      </c>
      <c r="G2126">
        <f>'raw data Crude oil'!G2127</f>
        <v>70.31</v>
      </c>
      <c r="H2126">
        <f>'raw data Crude oil'!H2127</f>
        <v>69.930000000000007</v>
      </c>
      <c r="I2126">
        <f>'raw data Crude oil'!I2127</f>
        <v>69.61</v>
      </c>
      <c r="J2126">
        <f>'raw data Crude oil'!J2127</f>
        <v>69.319999999999993</v>
      </c>
      <c r="K2126">
        <f>'raw data Crude oil'!K2127</f>
        <v>69.06</v>
      </c>
      <c r="L2126">
        <f>'raw data Crude oil'!L2127</f>
        <v>68.849999999999994</v>
      </c>
      <c r="M2126">
        <f>'raw data Crude oil'!M2127</f>
        <v>68.67</v>
      </c>
      <c r="N2126">
        <f>'raw data Crude oil'!N2127</f>
        <v>69</v>
      </c>
      <c r="O2126">
        <f>'raw data Crude oil'!O2127</f>
        <v>68.599999999999994</v>
      </c>
      <c r="P2126">
        <f>'raw data Crude oil'!P2127</f>
        <v>68.17</v>
      </c>
      <c r="Q2126">
        <f>'raw data Crude oil'!Q2127</f>
        <v>67.680000000000007</v>
      </c>
      <c r="R2126">
        <f>'raw data Crude oil'!R2127</f>
        <v>67.17</v>
      </c>
      <c r="S2126">
        <f>'raw data Crude oil'!S2127</f>
        <v>66.680000000000007</v>
      </c>
      <c r="T2126">
        <f>'raw data Crude oil'!T2127</f>
        <v>66.27</v>
      </c>
      <c r="U2126">
        <f>'raw data Crude oil'!U2127</f>
        <v>65.91</v>
      </c>
      <c r="V2126">
        <f>'raw data Crude oil'!V2127</f>
        <v>65.59</v>
      </c>
      <c r="W2126">
        <f>'raw data Crude oil'!W2127</f>
        <v>65.34</v>
      </c>
      <c r="X2126">
        <f>'raw data Crude oil'!X2127</f>
        <v>65.13</v>
      </c>
      <c r="Y2126">
        <f>'raw data Crude oil'!Y2127</f>
        <v>64.959999999999994</v>
      </c>
      <c r="Z2126">
        <f>'raw data Crude oil'!Z2127</f>
        <v>72.394999999999996</v>
      </c>
      <c r="AA2126">
        <f>'raw data Crude oil'!AA2127</f>
        <v>73.795000000000002</v>
      </c>
      <c r="AB2126">
        <f>'raw data Crude oil'!AB2127</f>
        <v>73.036000000000001</v>
      </c>
      <c r="AC2126">
        <f>'raw data Crude oil'!AC2127</f>
        <v>72.174999999999997</v>
      </c>
      <c r="AD2126">
        <f>'raw data Crude oil'!AD2127</f>
        <v>71.453000000000003</v>
      </c>
      <c r="AE2126">
        <f>'raw data Crude oil'!AE2127</f>
        <v>70.861999999999995</v>
      </c>
      <c r="AF2126">
        <f>'raw data Crude oil'!AF2127</f>
        <v>70.341999999999999</v>
      </c>
      <c r="AG2126">
        <f>'raw data Crude oil'!AG2127</f>
        <v>69.918999999999997</v>
      </c>
      <c r="AH2126">
        <f>'raw data Crude oil'!AH2127</f>
        <v>69.516999999999996</v>
      </c>
      <c r="AI2126">
        <f>'raw data Crude oil'!AI2127</f>
        <v>69.138000000000005</v>
      </c>
      <c r="AJ2126">
        <f>'raw data Crude oil'!AJ2127</f>
        <v>68.825999999999993</v>
      </c>
      <c r="AK2126">
        <f>'raw data Crude oil'!AK2127</f>
        <v>68.563000000000002</v>
      </c>
    </row>
    <row r="2127" spans="1:37" x14ac:dyDescent="0.3">
      <c r="A2127" s="18">
        <f>'raw data Crude oil'!A2128</f>
        <v>45742</v>
      </c>
      <c r="B2127">
        <f>'raw data Crude oil'!B2128</f>
        <v>73.790000000000006</v>
      </c>
      <c r="C2127">
        <f>'raw data Crude oil'!C2128</f>
        <v>73.06</v>
      </c>
      <c r="D2127">
        <f>'raw data Crude oil'!D2128</f>
        <v>72.44</v>
      </c>
      <c r="E2127">
        <f>'raw data Crude oil'!E2128</f>
        <v>71.86</v>
      </c>
      <c r="F2127">
        <f>'raw data Crude oil'!F2128</f>
        <v>71.33</v>
      </c>
      <c r="G2127">
        <f>'raw data Crude oil'!G2128</f>
        <v>70.849999999999994</v>
      </c>
      <c r="H2127">
        <f>'raw data Crude oil'!H2128</f>
        <v>70.45</v>
      </c>
      <c r="I2127">
        <f>'raw data Crude oil'!I2128</f>
        <v>70.11</v>
      </c>
      <c r="J2127">
        <f>'raw data Crude oil'!J2128</f>
        <v>69.81</v>
      </c>
      <c r="K2127">
        <f>'raw data Crude oil'!K2128</f>
        <v>69.53</v>
      </c>
      <c r="L2127">
        <f>'raw data Crude oil'!L2128</f>
        <v>69.31</v>
      </c>
      <c r="M2127">
        <f>'raw data Crude oil'!M2128</f>
        <v>69.12</v>
      </c>
      <c r="N2127">
        <f>'raw data Crude oil'!N2128</f>
        <v>69.650000000000006</v>
      </c>
      <c r="O2127">
        <f>'raw data Crude oil'!O2128</f>
        <v>69.209999999999994</v>
      </c>
      <c r="P2127">
        <f>'raw data Crude oil'!P2128</f>
        <v>68.73</v>
      </c>
      <c r="Q2127">
        <f>'raw data Crude oil'!Q2128</f>
        <v>68.2</v>
      </c>
      <c r="R2127">
        <f>'raw data Crude oil'!R2128</f>
        <v>67.680000000000007</v>
      </c>
      <c r="S2127">
        <f>'raw data Crude oil'!S2128</f>
        <v>67.17</v>
      </c>
      <c r="T2127">
        <f>'raw data Crude oil'!T2128</f>
        <v>66.75</v>
      </c>
      <c r="U2127">
        <f>'raw data Crude oil'!U2128</f>
        <v>66.36</v>
      </c>
      <c r="V2127">
        <f>'raw data Crude oil'!V2128</f>
        <v>66.03</v>
      </c>
      <c r="W2127">
        <f>'raw data Crude oil'!W2128</f>
        <v>65.760000000000005</v>
      </c>
      <c r="X2127">
        <f>'raw data Crude oil'!X2128</f>
        <v>65.540000000000006</v>
      </c>
      <c r="Y2127">
        <f>'raw data Crude oil'!Y2128</f>
        <v>65.36</v>
      </c>
      <c r="Z2127">
        <f>'raw data Crude oil'!Z2128</f>
        <v>72.474000000000004</v>
      </c>
      <c r="AA2127">
        <f>'raw data Crude oil'!AA2128</f>
        <v>74.340999999999994</v>
      </c>
      <c r="AB2127">
        <f>'raw data Crude oil'!AB2128</f>
        <v>73.561999999999998</v>
      </c>
      <c r="AC2127">
        <f>'raw data Crude oil'!AC2128</f>
        <v>72.683000000000007</v>
      </c>
      <c r="AD2127">
        <f>'raw data Crude oil'!AD2128</f>
        <v>71.962000000000003</v>
      </c>
      <c r="AE2127">
        <f>'raw data Crude oil'!AE2128</f>
        <v>71.340999999999994</v>
      </c>
      <c r="AF2127">
        <f>'raw data Crude oil'!AF2128</f>
        <v>70.801000000000002</v>
      </c>
      <c r="AG2127">
        <f>'raw data Crude oil'!AG2128</f>
        <v>70.355000000000004</v>
      </c>
      <c r="AH2127">
        <f>'raw data Crude oil'!AH2128</f>
        <v>69.944000000000003</v>
      </c>
      <c r="AI2127">
        <f>'raw data Crude oil'!AI2128</f>
        <v>69.548000000000002</v>
      </c>
      <c r="AJ2127">
        <f>'raw data Crude oil'!AJ2128</f>
        <v>69.241</v>
      </c>
      <c r="AK2127">
        <f>'raw data Crude oil'!AK2128</f>
        <v>68.983000000000004</v>
      </c>
    </row>
    <row r="2128" spans="1:37" x14ac:dyDescent="0.3">
      <c r="A2128" s="18">
        <f>'raw data Crude oil'!A2129</f>
        <v>45743</v>
      </c>
      <c r="B2128">
        <f>'raw data Crude oil'!B2129</f>
        <v>74.03</v>
      </c>
      <c r="C2128">
        <f>'raw data Crude oil'!C2129</f>
        <v>73.34</v>
      </c>
      <c r="D2128">
        <f>'raw data Crude oil'!D2129</f>
        <v>72.680000000000007</v>
      </c>
      <c r="E2128">
        <f>'raw data Crude oil'!E2129</f>
        <v>72.09</v>
      </c>
      <c r="F2128">
        <f>'raw data Crude oil'!F2129</f>
        <v>71.56</v>
      </c>
      <c r="G2128">
        <f>'raw data Crude oil'!G2129</f>
        <v>71.099999999999994</v>
      </c>
      <c r="H2128">
        <f>'raw data Crude oil'!H2129</f>
        <v>70.709999999999994</v>
      </c>
      <c r="I2128">
        <f>'raw data Crude oil'!I2129</f>
        <v>70.39</v>
      </c>
      <c r="J2128">
        <f>'raw data Crude oil'!J2129</f>
        <v>70.09</v>
      </c>
      <c r="K2128">
        <f>'raw data Crude oil'!K2129</f>
        <v>69.819999999999993</v>
      </c>
      <c r="L2128">
        <f>'raw data Crude oil'!L2129</f>
        <v>69.599999999999994</v>
      </c>
      <c r="M2128">
        <f>'raw data Crude oil'!M2129</f>
        <v>69.42</v>
      </c>
      <c r="N2128">
        <f>'raw data Crude oil'!N2129</f>
        <v>69.92</v>
      </c>
      <c r="O2128">
        <f>'raw data Crude oil'!O2129</f>
        <v>69.489999999999995</v>
      </c>
      <c r="P2128">
        <f>'raw data Crude oil'!P2129</f>
        <v>69</v>
      </c>
      <c r="Q2128">
        <f>'raw data Crude oil'!Q2129</f>
        <v>68.47</v>
      </c>
      <c r="R2128">
        <f>'raw data Crude oil'!R2129</f>
        <v>67.95</v>
      </c>
      <c r="S2128">
        <f>'raw data Crude oil'!S2129</f>
        <v>67.45</v>
      </c>
      <c r="T2128">
        <f>'raw data Crude oil'!T2129</f>
        <v>67.040000000000006</v>
      </c>
      <c r="U2128">
        <f>'raw data Crude oil'!U2129</f>
        <v>66.66</v>
      </c>
      <c r="V2128">
        <f>'raw data Crude oil'!V2129</f>
        <v>66.34</v>
      </c>
      <c r="W2128">
        <f>'raw data Crude oil'!W2129</f>
        <v>66.069999999999993</v>
      </c>
      <c r="X2128">
        <f>'raw data Crude oil'!X2129</f>
        <v>65.849999999999994</v>
      </c>
      <c r="Y2128">
        <f>'raw data Crude oil'!Y2129</f>
        <v>65.67</v>
      </c>
      <c r="Z2128">
        <f>'raw data Crude oil'!Z2129</f>
        <v>72.468999999999994</v>
      </c>
      <c r="AA2128">
        <f>'raw data Crude oil'!AA2129</f>
        <v>74.629000000000005</v>
      </c>
      <c r="AB2128">
        <f>'raw data Crude oil'!AB2129</f>
        <v>73.855999999999995</v>
      </c>
      <c r="AC2128">
        <f>'raw data Crude oil'!AC2129</f>
        <v>72.947999999999993</v>
      </c>
      <c r="AD2128">
        <f>'raw data Crude oil'!AD2129</f>
        <v>72.195999999999998</v>
      </c>
      <c r="AE2128">
        <f>'raw data Crude oil'!AE2129</f>
        <v>71.585999999999999</v>
      </c>
      <c r="AF2128">
        <f>'raw data Crude oil'!AF2129</f>
        <v>71.064999999999998</v>
      </c>
      <c r="AG2128">
        <f>'raw data Crude oil'!AG2129</f>
        <v>70.632999999999996</v>
      </c>
      <c r="AH2128">
        <f>'raw data Crude oil'!AH2129</f>
        <v>70.251999999999995</v>
      </c>
      <c r="AI2128">
        <f>'raw data Crude oil'!AI2129</f>
        <v>69.875</v>
      </c>
      <c r="AJ2128">
        <f>'raw data Crude oil'!AJ2129</f>
        <v>69.591999999999999</v>
      </c>
      <c r="AK2128">
        <f>'raw data Crude oil'!AK2129</f>
        <v>69.343000000000004</v>
      </c>
    </row>
    <row r="2129" spans="1:37" x14ac:dyDescent="0.3">
      <c r="A2129" s="18">
        <f>'raw data Crude oil'!A2130</f>
        <v>45744</v>
      </c>
      <c r="B2129">
        <f>'raw data Crude oil'!B2130</f>
        <v>73.63</v>
      </c>
      <c r="C2129">
        <f>'raw data Crude oil'!C2130</f>
        <v>72.760000000000005</v>
      </c>
      <c r="D2129">
        <f>'raw data Crude oil'!D2130</f>
        <v>72.02</v>
      </c>
      <c r="E2129">
        <f>'raw data Crude oil'!E2130</f>
        <v>71.38</v>
      </c>
      <c r="F2129">
        <f>'raw data Crude oil'!F2130</f>
        <v>70.819999999999993</v>
      </c>
      <c r="G2129">
        <f>'raw data Crude oil'!G2130</f>
        <v>70.349999999999994</v>
      </c>
      <c r="H2129">
        <f>'raw data Crude oil'!H2130</f>
        <v>69.95</v>
      </c>
      <c r="I2129">
        <f>'raw data Crude oil'!I2130</f>
        <v>69.62</v>
      </c>
      <c r="J2129">
        <f>'raw data Crude oil'!J2130</f>
        <v>69.31</v>
      </c>
      <c r="K2129">
        <f>'raw data Crude oil'!K2130</f>
        <v>69.040000000000006</v>
      </c>
      <c r="L2129">
        <f>'raw data Crude oil'!L2130</f>
        <v>68.819999999999993</v>
      </c>
      <c r="M2129">
        <f>'raw data Crude oil'!M2130</f>
        <v>68.63</v>
      </c>
      <c r="N2129">
        <f>'raw data Crude oil'!N2130</f>
        <v>69.36</v>
      </c>
      <c r="O2129">
        <f>'raw data Crude oil'!O2130</f>
        <v>68.900000000000006</v>
      </c>
      <c r="P2129">
        <f>'raw data Crude oil'!P2130</f>
        <v>68.349999999999994</v>
      </c>
      <c r="Q2129">
        <f>'raw data Crude oil'!Q2130</f>
        <v>67.78</v>
      </c>
      <c r="R2129">
        <f>'raw data Crude oil'!R2130</f>
        <v>67.23</v>
      </c>
      <c r="S2129">
        <f>'raw data Crude oil'!S2130</f>
        <v>66.72</v>
      </c>
      <c r="T2129">
        <f>'raw data Crude oil'!T2130</f>
        <v>66.290000000000006</v>
      </c>
      <c r="U2129">
        <f>'raw data Crude oil'!U2130</f>
        <v>65.92</v>
      </c>
      <c r="V2129">
        <f>'raw data Crude oil'!V2130</f>
        <v>65.59</v>
      </c>
      <c r="W2129">
        <f>'raw data Crude oil'!W2130</f>
        <v>65.319999999999993</v>
      </c>
      <c r="X2129">
        <f>'raw data Crude oil'!X2130</f>
        <v>65.099999999999994</v>
      </c>
      <c r="Y2129">
        <f>'raw data Crude oil'!Y2130</f>
        <v>64.930000000000007</v>
      </c>
      <c r="Z2129">
        <f>'raw data Crude oil'!Z2130</f>
        <v>72.488</v>
      </c>
      <c r="AA2129">
        <f>'raw data Crude oil'!AA2130</f>
        <v>73.989999999999995</v>
      </c>
      <c r="AB2129">
        <f>'raw data Crude oil'!AB2130</f>
        <v>73.281000000000006</v>
      </c>
      <c r="AC2129">
        <f>'raw data Crude oil'!AC2130</f>
        <v>72.308000000000007</v>
      </c>
      <c r="AD2129">
        <f>'raw data Crude oil'!AD2130</f>
        <v>71.488</v>
      </c>
      <c r="AE2129">
        <f>'raw data Crude oil'!AE2130</f>
        <v>70.852999999999994</v>
      </c>
      <c r="AF2129">
        <f>'raw data Crude oil'!AF2130</f>
        <v>70.314999999999998</v>
      </c>
      <c r="AG2129">
        <f>'raw data Crude oil'!AG2130</f>
        <v>69.876999999999995</v>
      </c>
      <c r="AH2129">
        <f>'raw data Crude oil'!AH2130</f>
        <v>69.466999999999999</v>
      </c>
      <c r="AI2129">
        <f>'raw data Crude oil'!AI2130</f>
        <v>69.069999999999993</v>
      </c>
      <c r="AJ2129">
        <f>'raw data Crude oil'!AJ2130</f>
        <v>68.790999999999997</v>
      </c>
      <c r="AK2129">
        <f>'raw data Crude oil'!AK2130</f>
        <v>68.543000000000006</v>
      </c>
    </row>
    <row r="2130" spans="1:37" x14ac:dyDescent="0.3">
      <c r="A2130" s="18">
        <f>'raw data Crude oil'!A2131</f>
        <v>45747</v>
      </c>
      <c r="B2130">
        <f>'raw data Crude oil'!B2131</f>
        <v>74.739999999999995</v>
      </c>
      <c r="C2130">
        <f>'raw data Crude oil'!C2131</f>
        <v>74.77</v>
      </c>
      <c r="D2130">
        <f>'raw data Crude oil'!D2131</f>
        <v>73.97</v>
      </c>
      <c r="E2130">
        <f>'raw data Crude oil'!E2131</f>
        <v>73.25</v>
      </c>
      <c r="F2130">
        <f>'raw data Crude oil'!F2131</f>
        <v>72.599999999999994</v>
      </c>
      <c r="G2130">
        <f>'raw data Crude oil'!G2131</f>
        <v>72.040000000000006</v>
      </c>
      <c r="H2130">
        <f>'raw data Crude oil'!H2131</f>
        <v>71.55</v>
      </c>
      <c r="I2130">
        <f>'raw data Crude oil'!I2131</f>
        <v>71.14</v>
      </c>
      <c r="J2130">
        <f>'raw data Crude oil'!J2131</f>
        <v>70.77</v>
      </c>
      <c r="K2130">
        <f>'raw data Crude oil'!K2131</f>
        <v>70.44</v>
      </c>
      <c r="L2130">
        <f>'raw data Crude oil'!L2131</f>
        <v>70.16</v>
      </c>
      <c r="M2130">
        <f>'raw data Crude oil'!M2131</f>
        <v>69.92</v>
      </c>
      <c r="N2130">
        <f>'raw data Crude oil'!N2131</f>
        <v>71.48</v>
      </c>
      <c r="O2130">
        <f>'raw data Crude oil'!O2131</f>
        <v>70.95</v>
      </c>
      <c r="P2130">
        <f>'raw data Crude oil'!P2131</f>
        <v>70.319999999999993</v>
      </c>
      <c r="Q2130">
        <f>'raw data Crude oil'!Q2131</f>
        <v>69.650000000000006</v>
      </c>
      <c r="R2130">
        <f>'raw data Crude oil'!R2131</f>
        <v>68.989999999999995</v>
      </c>
      <c r="S2130">
        <f>'raw data Crude oil'!S2131</f>
        <v>68.39</v>
      </c>
      <c r="T2130">
        <f>'raw data Crude oil'!T2131</f>
        <v>67.88</v>
      </c>
      <c r="U2130">
        <f>'raw data Crude oil'!U2131</f>
        <v>67.42</v>
      </c>
      <c r="V2130">
        <f>'raw data Crude oil'!V2131</f>
        <v>67.02</v>
      </c>
      <c r="W2130">
        <f>'raw data Crude oil'!W2131</f>
        <v>66.680000000000007</v>
      </c>
      <c r="X2130">
        <f>'raw data Crude oil'!X2131</f>
        <v>66.400000000000006</v>
      </c>
      <c r="Y2130">
        <f>'raw data Crude oil'!Y2131</f>
        <v>66.16</v>
      </c>
      <c r="Z2130">
        <f>'raw data Crude oil'!Z2131</f>
        <v>72.488</v>
      </c>
      <c r="AA2130">
        <f>'raw data Crude oil'!AA2131</f>
        <v>76.031999999999996</v>
      </c>
      <c r="AB2130">
        <f>'raw data Crude oil'!AB2131</f>
        <v>75.206999999999994</v>
      </c>
      <c r="AC2130">
        <f>'raw data Crude oil'!AC2131</f>
        <v>74.186999999999998</v>
      </c>
      <c r="AD2130">
        <f>'raw data Crude oil'!AD2131</f>
        <v>73.298000000000002</v>
      </c>
      <c r="AE2130">
        <f>'raw data Crude oil'!AE2131</f>
        <v>72.572999999999993</v>
      </c>
      <c r="AF2130">
        <f>'raw data Crude oil'!AF2131</f>
        <v>71.956999999999994</v>
      </c>
      <c r="AG2130">
        <f>'raw data Crude oil'!AG2131</f>
        <v>71.435000000000002</v>
      </c>
      <c r="AH2130">
        <f>'raw data Crude oil'!AH2131</f>
        <v>70.963999999999999</v>
      </c>
      <c r="AI2130">
        <f>'raw data Crude oil'!AI2131</f>
        <v>70.504999999999995</v>
      </c>
      <c r="AJ2130">
        <f>'raw data Crude oil'!AJ2131</f>
        <v>70.150000000000006</v>
      </c>
      <c r="AK2130">
        <f>'raw data Crude oil'!AK2131</f>
        <v>69.850999999999999</v>
      </c>
    </row>
    <row r="2131" spans="1:37" x14ac:dyDescent="0.3">
      <c r="A2131" s="18">
        <f>'raw data Crude oil'!A2132</f>
        <v>45748</v>
      </c>
      <c r="B2131">
        <f>'raw data Crude oil'!B2132</f>
        <v>74.489999999999995</v>
      </c>
      <c r="C2131">
        <f>'raw data Crude oil'!C2132</f>
        <v>73.75</v>
      </c>
      <c r="D2131">
        <f>'raw data Crude oil'!D2132</f>
        <v>73.08</v>
      </c>
      <c r="E2131">
        <f>'raw data Crude oil'!E2132</f>
        <v>72.489999999999995</v>
      </c>
      <c r="F2131">
        <f>'raw data Crude oil'!F2132</f>
        <v>71.98</v>
      </c>
      <c r="G2131">
        <f>'raw data Crude oil'!G2132</f>
        <v>71.540000000000006</v>
      </c>
      <c r="H2131">
        <f>'raw data Crude oil'!H2132</f>
        <v>71.17</v>
      </c>
      <c r="I2131">
        <f>'raw data Crude oil'!I2132</f>
        <v>70.83</v>
      </c>
      <c r="J2131">
        <f>'raw data Crude oil'!J2132</f>
        <v>70.510000000000005</v>
      </c>
      <c r="K2131">
        <f>'raw data Crude oil'!K2132</f>
        <v>70.25</v>
      </c>
      <c r="L2131">
        <f>'raw data Crude oil'!L2132</f>
        <v>70.03</v>
      </c>
      <c r="M2131">
        <f>'raw data Crude oil'!M2132</f>
        <v>69.84</v>
      </c>
      <c r="N2131">
        <f>'raw data Crude oil'!N2132</f>
        <v>71.2</v>
      </c>
      <c r="O2131">
        <f>'raw data Crude oil'!O2132</f>
        <v>70.739999999999995</v>
      </c>
      <c r="P2131">
        <f>'raw data Crude oil'!P2132</f>
        <v>70.180000000000007</v>
      </c>
      <c r="Q2131">
        <f>'raw data Crude oil'!Q2132</f>
        <v>69.58</v>
      </c>
      <c r="R2131">
        <f>'raw data Crude oil'!R2132</f>
        <v>68.97</v>
      </c>
      <c r="S2131">
        <f>'raw data Crude oil'!S2132</f>
        <v>68.400000000000006</v>
      </c>
      <c r="T2131">
        <f>'raw data Crude oil'!T2132</f>
        <v>67.91</v>
      </c>
      <c r="U2131">
        <f>'raw data Crude oil'!U2132</f>
        <v>67.489999999999995</v>
      </c>
      <c r="V2131">
        <f>'raw data Crude oil'!V2132</f>
        <v>67.12</v>
      </c>
      <c r="W2131">
        <f>'raw data Crude oil'!W2132</f>
        <v>66.8</v>
      </c>
      <c r="X2131">
        <f>'raw data Crude oil'!X2132</f>
        <v>66.53</v>
      </c>
      <c r="Y2131">
        <f>'raw data Crude oil'!Y2132</f>
        <v>66.31</v>
      </c>
      <c r="Z2131">
        <f>'raw data Crude oil'!Z2132</f>
        <v>72.488</v>
      </c>
      <c r="AA2131">
        <f>'raw data Crude oil'!AA2132</f>
        <v>76.096999999999994</v>
      </c>
      <c r="AB2131">
        <f>'raw data Crude oil'!AB2132</f>
        <v>75.213999999999999</v>
      </c>
      <c r="AC2131">
        <f>'raw data Crude oil'!AC2132</f>
        <v>74.201999999999998</v>
      </c>
      <c r="AD2131">
        <f>'raw data Crude oil'!AD2132</f>
        <v>73.328999999999994</v>
      </c>
      <c r="AE2131">
        <f>'raw data Crude oil'!AE2132</f>
        <v>72.620999999999995</v>
      </c>
      <c r="AF2131">
        <f>'raw data Crude oil'!AF2132</f>
        <v>72.016999999999996</v>
      </c>
      <c r="AG2131">
        <f>'raw data Crude oil'!AG2132</f>
        <v>71.522999999999996</v>
      </c>
      <c r="AH2131">
        <f>'raw data Crude oil'!AH2132</f>
        <v>71.072000000000003</v>
      </c>
      <c r="AI2131">
        <f>'raw data Crude oil'!AI2132</f>
        <v>70.649000000000001</v>
      </c>
      <c r="AJ2131">
        <f>'raw data Crude oil'!AJ2132</f>
        <v>70.319999999999993</v>
      </c>
      <c r="AK2131">
        <f>'raw data Crude oil'!AK2132</f>
        <v>70.031000000000006</v>
      </c>
    </row>
    <row r="2132" spans="1:37" x14ac:dyDescent="0.3">
      <c r="A2132" s="18">
        <f>'raw data Crude oil'!A2133</f>
        <v>45749</v>
      </c>
      <c r="B2132">
        <f>'raw data Crude oil'!B2133</f>
        <v>74.95</v>
      </c>
      <c r="C2132">
        <f>'raw data Crude oil'!C2133</f>
        <v>74.14</v>
      </c>
      <c r="D2132">
        <f>'raw data Crude oil'!D2133</f>
        <v>73.41</v>
      </c>
      <c r="E2132">
        <f>'raw data Crude oil'!E2133</f>
        <v>72.790000000000006</v>
      </c>
      <c r="F2132">
        <f>'raw data Crude oil'!F2133</f>
        <v>72.260000000000005</v>
      </c>
      <c r="G2132">
        <f>'raw data Crude oil'!G2133</f>
        <v>71.81</v>
      </c>
      <c r="H2132">
        <f>'raw data Crude oil'!H2133</f>
        <v>71.42</v>
      </c>
      <c r="I2132">
        <f>'raw data Crude oil'!I2133</f>
        <v>71.069999999999993</v>
      </c>
      <c r="J2132">
        <f>'raw data Crude oil'!J2133</f>
        <v>70.75</v>
      </c>
      <c r="K2132">
        <f>'raw data Crude oil'!K2133</f>
        <v>70.48</v>
      </c>
      <c r="L2132">
        <f>'raw data Crude oil'!L2133</f>
        <v>70.239999999999995</v>
      </c>
      <c r="M2132">
        <f>'raw data Crude oil'!M2133</f>
        <v>70.05</v>
      </c>
      <c r="N2132">
        <f>'raw data Crude oil'!N2133</f>
        <v>71.709999999999994</v>
      </c>
      <c r="O2132">
        <f>'raw data Crude oil'!O2133</f>
        <v>71.23</v>
      </c>
      <c r="P2132">
        <f>'raw data Crude oil'!P2133</f>
        <v>70.61</v>
      </c>
      <c r="Q2132">
        <f>'raw data Crude oil'!Q2133</f>
        <v>69.959999999999994</v>
      </c>
      <c r="R2132">
        <f>'raw data Crude oil'!R2133</f>
        <v>69.31</v>
      </c>
      <c r="S2132">
        <f>'raw data Crude oil'!S2133</f>
        <v>68.72</v>
      </c>
      <c r="T2132">
        <f>'raw data Crude oil'!T2133</f>
        <v>68.2</v>
      </c>
      <c r="U2132">
        <f>'raw data Crude oil'!U2133</f>
        <v>67.75</v>
      </c>
      <c r="V2132">
        <f>'raw data Crude oil'!V2133</f>
        <v>67.36</v>
      </c>
      <c r="W2132">
        <f>'raw data Crude oil'!W2133</f>
        <v>67.02</v>
      </c>
      <c r="X2132">
        <f>'raw data Crude oil'!X2133</f>
        <v>66.739999999999995</v>
      </c>
      <c r="Y2132">
        <f>'raw data Crude oil'!Y2133</f>
        <v>66.510000000000005</v>
      </c>
      <c r="Z2132">
        <f>'raw data Crude oil'!Z2133</f>
        <v>76.617999999999995</v>
      </c>
      <c r="AA2132">
        <f>'raw data Crude oil'!AA2133</f>
        <v>75.558000000000007</v>
      </c>
      <c r="AB2132">
        <f>'raw data Crude oil'!AB2133</f>
        <v>74.524000000000001</v>
      </c>
      <c r="AC2132">
        <f>'raw data Crude oil'!AC2133</f>
        <v>73.631</v>
      </c>
      <c r="AD2132">
        <f>'raw data Crude oil'!AD2133</f>
        <v>72.899000000000001</v>
      </c>
      <c r="AE2132">
        <f>'raw data Crude oil'!AE2133</f>
        <v>72.287999999999997</v>
      </c>
      <c r="AF2132">
        <f>'raw data Crude oil'!AF2133</f>
        <v>71.784000000000006</v>
      </c>
      <c r="AG2132">
        <f>'raw data Crude oil'!AG2133</f>
        <v>71.334000000000003</v>
      </c>
      <c r="AH2132">
        <f>'raw data Crude oil'!AH2133</f>
        <v>70.906999999999996</v>
      </c>
      <c r="AI2132">
        <f>'raw data Crude oil'!AI2133</f>
        <v>70.561000000000007</v>
      </c>
      <c r="AJ2132">
        <f>'raw data Crude oil'!AJ2133</f>
        <v>70.253</v>
      </c>
      <c r="AK2132">
        <f>'raw data Crude oil'!AK2133</f>
        <v>69.989000000000004</v>
      </c>
    </row>
    <row r="2133" spans="1:37" x14ac:dyDescent="0.3">
      <c r="A2133" s="18">
        <f>'raw data Crude oil'!A2134</f>
        <v>45750</v>
      </c>
      <c r="B2133">
        <f>'raw data Crude oil'!B2134</f>
        <v>70.14</v>
      </c>
      <c r="C2133">
        <f>'raw data Crude oil'!C2134</f>
        <v>69.42</v>
      </c>
      <c r="D2133">
        <f>'raw data Crude oil'!D2134</f>
        <v>68.8</v>
      </c>
      <c r="E2133">
        <f>'raw data Crude oil'!E2134</f>
        <v>68.3</v>
      </c>
      <c r="F2133">
        <f>'raw data Crude oil'!F2134</f>
        <v>67.91</v>
      </c>
      <c r="G2133">
        <f>'raw data Crude oil'!G2134</f>
        <v>67.599999999999994</v>
      </c>
      <c r="H2133">
        <f>'raw data Crude oil'!H2134</f>
        <v>67.34</v>
      </c>
      <c r="I2133">
        <f>'raw data Crude oil'!I2134</f>
        <v>67.12</v>
      </c>
      <c r="J2133">
        <f>'raw data Crude oil'!J2134</f>
        <v>66.91</v>
      </c>
      <c r="K2133">
        <f>'raw data Crude oil'!K2134</f>
        <v>66.760000000000005</v>
      </c>
      <c r="L2133">
        <f>'raw data Crude oil'!L2134</f>
        <v>66.64</v>
      </c>
      <c r="M2133">
        <f>'raw data Crude oil'!M2134</f>
        <v>66.55</v>
      </c>
      <c r="N2133">
        <f>'raw data Crude oil'!N2134</f>
        <v>66.95</v>
      </c>
      <c r="O2133">
        <f>'raw data Crude oil'!O2134</f>
        <v>66.47</v>
      </c>
      <c r="P2133">
        <f>'raw data Crude oil'!P2134</f>
        <v>65.92</v>
      </c>
      <c r="Q2133">
        <f>'raw data Crude oil'!Q2134</f>
        <v>65.38</v>
      </c>
      <c r="R2133">
        <f>'raw data Crude oil'!R2134</f>
        <v>64.86</v>
      </c>
      <c r="S2133">
        <f>'raw data Crude oil'!S2134</f>
        <v>64.400000000000006</v>
      </c>
      <c r="T2133">
        <f>'raw data Crude oil'!T2134</f>
        <v>64.03</v>
      </c>
      <c r="U2133">
        <f>'raw data Crude oil'!U2134</f>
        <v>63.71</v>
      </c>
      <c r="V2133">
        <f>'raw data Crude oil'!V2134</f>
        <v>63.44</v>
      </c>
      <c r="W2133">
        <f>'raw data Crude oil'!W2134</f>
        <v>63.23</v>
      </c>
      <c r="X2133">
        <f>'raw data Crude oil'!X2134</f>
        <v>63.07</v>
      </c>
      <c r="Y2133">
        <f>'raw data Crude oil'!Y2134</f>
        <v>62.94</v>
      </c>
      <c r="Z2133">
        <f>'raw data Crude oil'!Z2134</f>
        <v>72.703999999999994</v>
      </c>
      <c r="AA2133">
        <f>'raw data Crude oil'!AA2134</f>
        <v>70.900000000000006</v>
      </c>
      <c r="AB2133">
        <f>'raw data Crude oil'!AB2134</f>
        <v>69.968000000000004</v>
      </c>
      <c r="AC2133">
        <f>'raw data Crude oil'!AC2134</f>
        <v>69.183000000000007</v>
      </c>
      <c r="AD2133">
        <f>'raw data Crude oil'!AD2134</f>
        <v>68.552000000000007</v>
      </c>
      <c r="AE2133">
        <f>'raw data Crude oil'!AE2134</f>
        <v>68.052000000000007</v>
      </c>
      <c r="AF2133">
        <f>'raw data Crude oil'!AF2134</f>
        <v>67.662000000000006</v>
      </c>
      <c r="AG2133">
        <f>'raw data Crude oil'!AG2134</f>
        <v>67.325999999999993</v>
      </c>
      <c r="AH2133">
        <f>'raw data Crude oil'!AH2134</f>
        <v>67.025000000000006</v>
      </c>
      <c r="AI2133">
        <f>'raw data Crude oil'!AI2134</f>
        <v>66.781999999999996</v>
      </c>
      <c r="AJ2133">
        <f>'raw data Crude oil'!AJ2134</f>
        <v>66.573999999999998</v>
      </c>
      <c r="AK2133">
        <f>'raw data Crude oil'!AK2134</f>
        <v>66.405000000000001</v>
      </c>
    </row>
    <row r="2134" spans="1:37" x14ac:dyDescent="0.3">
      <c r="A2134" s="18">
        <f>'raw data Crude oil'!A2135</f>
        <v>45751</v>
      </c>
      <c r="B2134">
        <f>'raw data Crude oil'!B2135</f>
        <v>65.58</v>
      </c>
      <c r="C2134">
        <f>'raw data Crude oil'!C2135</f>
        <v>64.95</v>
      </c>
      <c r="D2134">
        <f>'raw data Crude oil'!D2135</f>
        <v>64.47</v>
      </c>
      <c r="E2134">
        <f>'raw data Crude oil'!E2135</f>
        <v>64.11</v>
      </c>
      <c r="F2134">
        <f>'raw data Crude oil'!F2135</f>
        <v>63.86</v>
      </c>
      <c r="G2134">
        <f>'raw data Crude oil'!G2135</f>
        <v>63.69</v>
      </c>
      <c r="H2134">
        <f>'raw data Crude oil'!H2135</f>
        <v>63.57</v>
      </c>
      <c r="I2134">
        <f>'raw data Crude oil'!I2135</f>
        <v>63.46</v>
      </c>
      <c r="J2134">
        <f>'raw data Crude oil'!J2135</f>
        <v>63.37</v>
      </c>
      <c r="K2134">
        <f>'raw data Crude oil'!K2135</f>
        <v>63.29</v>
      </c>
      <c r="L2134">
        <f>'raw data Crude oil'!L2135</f>
        <v>63.24</v>
      </c>
      <c r="M2134">
        <f>'raw data Crude oil'!M2135</f>
        <v>63.23</v>
      </c>
      <c r="N2134">
        <f>'raw data Crude oil'!N2135</f>
        <v>61.99</v>
      </c>
      <c r="O2134">
        <f>'raw data Crude oil'!O2135</f>
        <v>61.65</v>
      </c>
      <c r="P2134">
        <f>'raw data Crude oil'!P2135</f>
        <v>61.26</v>
      </c>
      <c r="Q2134">
        <f>'raw data Crude oil'!Q2135</f>
        <v>60.87</v>
      </c>
      <c r="R2134">
        <f>'raw data Crude oil'!R2135</f>
        <v>60.5</v>
      </c>
      <c r="S2134">
        <f>'raw data Crude oil'!S2135</f>
        <v>60.2</v>
      </c>
      <c r="T2134">
        <f>'raw data Crude oil'!T2135</f>
        <v>59.98</v>
      </c>
      <c r="U2134">
        <f>'raw data Crude oil'!U2135</f>
        <v>59.82</v>
      </c>
      <c r="V2134">
        <f>'raw data Crude oil'!V2135</f>
        <v>59.67</v>
      </c>
      <c r="W2134">
        <f>'raw data Crude oil'!W2135</f>
        <v>59.56</v>
      </c>
      <c r="X2134">
        <f>'raw data Crude oil'!X2135</f>
        <v>59.5</v>
      </c>
      <c r="Y2134">
        <f>'raw data Crude oil'!Y2135</f>
        <v>59.46</v>
      </c>
      <c r="Z2134">
        <f>'raw data Crude oil'!Z2135</f>
        <v>69.125</v>
      </c>
      <c r="AA2134">
        <f>'raw data Crude oil'!AA2135</f>
        <v>66.578000000000003</v>
      </c>
      <c r="AB2134">
        <f>'raw data Crude oil'!AB2135</f>
        <v>65.710999999999999</v>
      </c>
      <c r="AC2134">
        <f>'raw data Crude oil'!AC2135</f>
        <v>65.043999999999997</v>
      </c>
      <c r="AD2134">
        <f>'raw data Crude oil'!AD2135</f>
        <v>64.546999999999997</v>
      </c>
      <c r="AE2134">
        <f>'raw data Crude oil'!AE2135</f>
        <v>64.180000000000007</v>
      </c>
      <c r="AF2134">
        <f>'raw data Crude oil'!AF2135</f>
        <v>63.91</v>
      </c>
      <c r="AG2134">
        <f>'raw data Crude oil'!AG2135</f>
        <v>63.691000000000003</v>
      </c>
      <c r="AH2134">
        <f>'raw data Crude oil'!AH2135</f>
        <v>63.493000000000002</v>
      </c>
      <c r="AI2134">
        <f>'raw data Crude oil'!AI2135</f>
        <v>63.326999999999998</v>
      </c>
      <c r="AJ2134">
        <f>'raw data Crude oil'!AJ2135</f>
        <v>63.189</v>
      </c>
      <c r="AK2134">
        <f>'raw data Crude oil'!AK2135</f>
        <v>63.093000000000004</v>
      </c>
    </row>
    <row r="2135" spans="1:37" x14ac:dyDescent="0.3">
      <c r="A2135" s="18">
        <f>'raw data Crude oil'!A2136</f>
        <v>45754</v>
      </c>
      <c r="B2135">
        <f>'raw data Crude oil'!B2136</f>
        <v>64.209999999999994</v>
      </c>
      <c r="C2135">
        <f>'raw data Crude oil'!C2136</f>
        <v>63.82</v>
      </c>
      <c r="D2135">
        <f>'raw data Crude oil'!D2136</f>
        <v>63.53</v>
      </c>
      <c r="E2135">
        <f>'raw data Crude oil'!E2136</f>
        <v>63.31</v>
      </c>
      <c r="F2135">
        <f>'raw data Crude oil'!F2136</f>
        <v>63.19</v>
      </c>
      <c r="G2135">
        <f>'raw data Crude oil'!G2136</f>
        <v>63.12</v>
      </c>
      <c r="H2135">
        <f>'raw data Crude oil'!H2136</f>
        <v>63.1</v>
      </c>
      <c r="I2135">
        <f>'raw data Crude oil'!I2136</f>
        <v>63.07</v>
      </c>
      <c r="J2135">
        <f>'raw data Crude oil'!J2136</f>
        <v>63.04</v>
      </c>
      <c r="K2135">
        <f>'raw data Crude oil'!K2136</f>
        <v>63.03</v>
      </c>
      <c r="L2135">
        <f>'raw data Crude oil'!L2136</f>
        <v>63.02</v>
      </c>
      <c r="M2135">
        <f>'raw data Crude oil'!M2136</f>
        <v>63.03</v>
      </c>
      <c r="N2135">
        <f>'raw data Crude oil'!N2136</f>
        <v>60.7</v>
      </c>
      <c r="O2135">
        <f>'raw data Crude oil'!O2136</f>
        <v>60.44</v>
      </c>
      <c r="P2135">
        <f>'raw data Crude oil'!P2136</f>
        <v>60.16</v>
      </c>
      <c r="Q2135">
        <f>'raw data Crude oil'!Q2136</f>
        <v>59.89</v>
      </c>
      <c r="R2135">
        <f>'raw data Crude oil'!R2136</f>
        <v>59.65</v>
      </c>
      <c r="S2135">
        <f>'raw data Crude oil'!S2136</f>
        <v>59.49</v>
      </c>
      <c r="T2135">
        <f>'raw data Crude oil'!T2136</f>
        <v>59.4</v>
      </c>
      <c r="U2135">
        <f>'raw data Crude oil'!U2136</f>
        <v>59.35</v>
      </c>
      <c r="V2135">
        <f>'raw data Crude oil'!V2136</f>
        <v>59.28</v>
      </c>
      <c r="W2135">
        <f>'raw data Crude oil'!W2136</f>
        <v>59.24</v>
      </c>
      <c r="X2135">
        <f>'raw data Crude oil'!X2136</f>
        <v>59.22</v>
      </c>
      <c r="Y2135">
        <f>'raw data Crude oil'!Y2136</f>
        <v>59.22</v>
      </c>
      <c r="Z2135">
        <f>'raw data Crude oil'!Z2136</f>
        <v>67.150000000000006</v>
      </c>
      <c r="AA2135">
        <f>'raw data Crude oil'!AA2136</f>
        <v>64.644999999999996</v>
      </c>
      <c r="AB2135">
        <f>'raw data Crude oil'!AB2136</f>
        <v>64.191999999999993</v>
      </c>
      <c r="AC2135">
        <f>'raw data Crude oil'!AC2136</f>
        <v>63.865000000000002</v>
      </c>
      <c r="AD2135">
        <f>'raw data Crude oil'!AD2136</f>
        <v>63.645000000000003</v>
      </c>
      <c r="AE2135">
        <f>'raw data Crude oil'!AE2136</f>
        <v>63.448999999999998</v>
      </c>
      <c r="AF2135">
        <f>'raw data Crude oil'!AF2136</f>
        <v>63.279000000000003</v>
      </c>
      <c r="AG2135">
        <f>'raw data Crude oil'!AG2136</f>
        <v>63.119</v>
      </c>
      <c r="AH2135">
        <f>'raw data Crude oil'!AH2136</f>
        <v>62.959000000000003</v>
      </c>
      <c r="AI2135">
        <f>'raw data Crude oil'!AI2136</f>
        <v>62.84</v>
      </c>
      <c r="AJ2135">
        <f>'raw data Crude oil'!AJ2136</f>
        <v>62.811</v>
      </c>
      <c r="AK2135">
        <f>'raw data Crude oil'!AK2136</f>
        <v>62.786000000000001</v>
      </c>
    </row>
    <row r="2136" spans="1:37" x14ac:dyDescent="0.3">
      <c r="A2136" s="18">
        <f>'raw data Crude oil'!A2137</f>
        <v>45755</v>
      </c>
      <c r="B2136">
        <f>'raw data Crude oil'!B2137</f>
        <v>62.82</v>
      </c>
      <c r="C2136">
        <f>'raw data Crude oil'!C2137</f>
        <v>62.34</v>
      </c>
      <c r="D2136">
        <f>'raw data Crude oil'!D2137</f>
        <v>61.96</v>
      </c>
      <c r="E2136">
        <f>'raw data Crude oil'!E2137</f>
        <v>61.69</v>
      </c>
      <c r="F2136">
        <f>'raw data Crude oil'!F2137</f>
        <v>61.54</v>
      </c>
      <c r="G2136">
        <f>'raw data Crude oil'!G2137</f>
        <v>61.47</v>
      </c>
      <c r="H2136">
        <f>'raw data Crude oil'!H2137</f>
        <v>61.44</v>
      </c>
      <c r="I2136">
        <f>'raw data Crude oil'!I2137</f>
        <v>61.42</v>
      </c>
      <c r="J2136">
        <f>'raw data Crude oil'!J2137</f>
        <v>61.41</v>
      </c>
      <c r="K2136">
        <f>'raw data Crude oil'!K2137</f>
        <v>61.42</v>
      </c>
      <c r="L2136">
        <f>'raw data Crude oil'!L2137</f>
        <v>61.44</v>
      </c>
      <c r="M2136">
        <f>'raw data Crude oil'!M2137</f>
        <v>61.48</v>
      </c>
      <c r="N2136">
        <f>'raw data Crude oil'!N2137</f>
        <v>59.58</v>
      </c>
      <c r="O2136">
        <f>'raw data Crude oil'!O2137</f>
        <v>59.1</v>
      </c>
      <c r="P2136">
        <f>'raw data Crude oil'!P2137</f>
        <v>58.66</v>
      </c>
      <c r="Q2136">
        <f>'raw data Crude oil'!Q2137</f>
        <v>58.3</v>
      </c>
      <c r="R2136">
        <f>'raw data Crude oil'!R2137</f>
        <v>58.02</v>
      </c>
      <c r="S2136">
        <f>'raw data Crude oil'!S2137</f>
        <v>57.85</v>
      </c>
      <c r="T2136">
        <f>'raw data Crude oil'!T2137</f>
        <v>57.76</v>
      </c>
      <c r="U2136">
        <f>'raw data Crude oil'!U2137</f>
        <v>57.72</v>
      </c>
      <c r="V2136">
        <f>'raw data Crude oil'!V2137</f>
        <v>57.68</v>
      </c>
      <c r="W2136">
        <f>'raw data Crude oil'!W2137</f>
        <v>57.66</v>
      </c>
      <c r="X2136">
        <f>'raw data Crude oil'!X2137</f>
        <v>57.66</v>
      </c>
      <c r="Y2136">
        <f>'raw data Crude oil'!Y2137</f>
        <v>57.68</v>
      </c>
      <c r="Z2136">
        <f>'raw data Crude oil'!Z2137</f>
        <v>66.072999999999993</v>
      </c>
      <c r="AA2136">
        <f>'raw data Crude oil'!AA2137</f>
        <v>63.206000000000003</v>
      </c>
      <c r="AB2136">
        <f>'raw data Crude oil'!AB2137</f>
        <v>62.646000000000001</v>
      </c>
      <c r="AC2136">
        <f>'raw data Crude oil'!AC2137</f>
        <v>62.226999999999997</v>
      </c>
      <c r="AD2136">
        <f>'raw data Crude oil'!AD2137</f>
        <v>61.930999999999997</v>
      </c>
      <c r="AE2136">
        <f>'raw data Crude oil'!AE2137</f>
        <v>61.697000000000003</v>
      </c>
      <c r="AF2136">
        <f>'raw data Crude oil'!AF2137</f>
        <v>61.515999999999998</v>
      </c>
      <c r="AG2136">
        <f>'raw data Crude oil'!AG2137</f>
        <v>61.375999999999998</v>
      </c>
      <c r="AH2136">
        <f>'raw data Crude oil'!AH2137</f>
        <v>61.241</v>
      </c>
      <c r="AI2136">
        <f>'raw data Crude oil'!AI2137</f>
        <v>61.180999999999997</v>
      </c>
      <c r="AJ2136">
        <f>'raw data Crude oil'!AJ2137</f>
        <v>61.142000000000003</v>
      </c>
      <c r="AK2136">
        <f>'raw data Crude oil'!AK2137</f>
        <v>61.143000000000001</v>
      </c>
    </row>
    <row r="2137" spans="1:37" x14ac:dyDescent="0.3">
      <c r="A2137" s="18">
        <f>'raw data Crude oil'!A2138</f>
        <v>45756</v>
      </c>
      <c r="B2137">
        <f>'raw data Crude oil'!B2138</f>
        <v>65.48</v>
      </c>
      <c r="C2137">
        <f>'raw data Crude oil'!C2138</f>
        <v>64.88</v>
      </c>
      <c r="D2137">
        <f>'raw data Crude oil'!D2138</f>
        <v>64.39</v>
      </c>
      <c r="E2137">
        <f>'raw data Crude oil'!E2138</f>
        <v>64</v>
      </c>
      <c r="F2137">
        <f>'raw data Crude oil'!F2138</f>
        <v>63.73</v>
      </c>
      <c r="G2137">
        <f>'raw data Crude oil'!G2138</f>
        <v>63.52</v>
      </c>
      <c r="H2137">
        <f>'raw data Crude oil'!H2138</f>
        <v>63.36</v>
      </c>
      <c r="I2137">
        <f>'raw data Crude oil'!I2138</f>
        <v>63.24</v>
      </c>
      <c r="J2137">
        <f>'raw data Crude oil'!J2138</f>
        <v>63.17</v>
      </c>
      <c r="K2137">
        <f>'raw data Crude oil'!K2138</f>
        <v>63.15</v>
      </c>
      <c r="L2137">
        <f>'raw data Crude oil'!L2138</f>
        <v>63.15</v>
      </c>
      <c r="M2137">
        <f>'raw data Crude oil'!M2138</f>
        <v>63.19</v>
      </c>
      <c r="N2137">
        <f>'raw data Crude oil'!N2138</f>
        <v>62.35</v>
      </c>
      <c r="O2137">
        <f>'raw data Crude oil'!O2138</f>
        <v>61.82</v>
      </c>
      <c r="P2137">
        <f>'raw data Crude oil'!P2138</f>
        <v>61.28</v>
      </c>
      <c r="Q2137">
        <f>'raw data Crude oil'!Q2138</f>
        <v>60.81</v>
      </c>
      <c r="R2137">
        <f>'raw data Crude oil'!R2138</f>
        <v>60.4</v>
      </c>
      <c r="S2137">
        <f>'raw data Crude oil'!S2138</f>
        <v>60.09</v>
      </c>
      <c r="T2137">
        <f>'raw data Crude oil'!T2138</f>
        <v>59.89</v>
      </c>
      <c r="U2137">
        <f>'raw data Crude oil'!U2138</f>
        <v>59.74</v>
      </c>
      <c r="V2137">
        <f>'raw data Crude oil'!V2138</f>
        <v>59.63</v>
      </c>
      <c r="W2137">
        <f>'raw data Crude oil'!W2138</f>
        <v>59.55</v>
      </c>
      <c r="X2137">
        <f>'raw data Crude oil'!X2138</f>
        <v>59.51</v>
      </c>
      <c r="Y2137">
        <f>'raw data Crude oil'!Y2138</f>
        <v>59.52</v>
      </c>
      <c r="Z2137">
        <f>'raw data Crude oil'!Z2138</f>
        <v>67.650999999999996</v>
      </c>
      <c r="AA2137">
        <f>'raw data Crude oil'!AA2138</f>
        <v>65.822999999999993</v>
      </c>
      <c r="AB2137">
        <f>'raw data Crude oil'!AB2138</f>
        <v>65.126000000000005</v>
      </c>
      <c r="AC2137">
        <f>'raw data Crude oil'!AC2138</f>
        <v>64.540000000000006</v>
      </c>
      <c r="AD2137">
        <f>'raw data Crude oil'!AD2138</f>
        <v>64.099000000000004</v>
      </c>
      <c r="AE2137">
        <f>'raw data Crude oil'!AE2138</f>
        <v>63.703000000000003</v>
      </c>
      <c r="AF2137">
        <f>'raw data Crude oil'!AF2138</f>
        <v>63.384999999999998</v>
      </c>
      <c r="AG2137">
        <f>'raw data Crude oil'!AG2138</f>
        <v>63.146999999999998</v>
      </c>
      <c r="AH2137">
        <f>'raw data Crude oil'!AH2138</f>
        <v>62.945999999999998</v>
      </c>
      <c r="AI2137">
        <f>'raw data Crude oil'!AI2138</f>
        <v>62.92</v>
      </c>
      <c r="AJ2137">
        <f>'raw data Crude oil'!AJ2138</f>
        <v>62.892000000000003</v>
      </c>
      <c r="AK2137">
        <f>'raw data Crude oil'!AK2138</f>
        <v>62.902999999999999</v>
      </c>
    </row>
    <row r="2138" spans="1:37" x14ac:dyDescent="0.3">
      <c r="A2138" s="18">
        <f>'raw data Crude oil'!A2139</f>
        <v>45757</v>
      </c>
      <c r="B2138">
        <f>'raw data Crude oil'!B2139</f>
        <v>63.33</v>
      </c>
      <c r="C2138">
        <f>'raw data Crude oil'!C2139</f>
        <v>62.78</v>
      </c>
      <c r="D2138">
        <f>'raw data Crude oil'!D2139</f>
        <v>62.36</v>
      </c>
      <c r="E2138">
        <f>'raw data Crude oil'!E2139</f>
        <v>62.08</v>
      </c>
      <c r="F2138">
        <f>'raw data Crude oil'!F2139</f>
        <v>61.93</v>
      </c>
      <c r="G2138">
        <f>'raw data Crude oil'!G2139</f>
        <v>61.85</v>
      </c>
      <c r="H2138">
        <f>'raw data Crude oil'!H2139</f>
        <v>61.8</v>
      </c>
      <c r="I2138">
        <f>'raw data Crude oil'!I2139</f>
        <v>61.79</v>
      </c>
      <c r="J2138">
        <f>'raw data Crude oil'!J2139</f>
        <v>61.8</v>
      </c>
      <c r="K2138">
        <f>'raw data Crude oil'!K2139</f>
        <v>61.84</v>
      </c>
      <c r="L2138">
        <f>'raw data Crude oil'!L2139</f>
        <v>61.89</v>
      </c>
      <c r="M2138">
        <f>'raw data Crude oil'!M2139</f>
        <v>61.97</v>
      </c>
      <c r="N2138">
        <f>'raw data Crude oil'!N2139</f>
        <v>60.07</v>
      </c>
      <c r="O2138">
        <f>'raw data Crude oil'!O2139</f>
        <v>59.63</v>
      </c>
      <c r="P2138">
        <f>'raw data Crude oil'!P2139</f>
        <v>59.18</v>
      </c>
      <c r="Q2138">
        <f>'raw data Crude oil'!Q2139</f>
        <v>58.8</v>
      </c>
      <c r="R2138">
        <f>'raw data Crude oil'!R2139</f>
        <v>58.49</v>
      </c>
      <c r="S2138">
        <f>'raw data Crude oil'!S2139</f>
        <v>58.29</v>
      </c>
      <c r="T2138">
        <f>'raw data Crude oil'!T2139</f>
        <v>58.19</v>
      </c>
      <c r="U2138">
        <f>'raw data Crude oil'!U2139</f>
        <v>58.16</v>
      </c>
      <c r="V2138">
        <f>'raw data Crude oil'!V2139</f>
        <v>58.13</v>
      </c>
      <c r="W2138">
        <f>'raw data Crude oil'!W2139</f>
        <v>58.14</v>
      </c>
      <c r="X2138">
        <f>'raw data Crude oil'!X2139</f>
        <v>58.17</v>
      </c>
      <c r="Y2138">
        <f>'raw data Crude oil'!Y2139</f>
        <v>58.24</v>
      </c>
      <c r="Z2138">
        <f>'raw data Crude oil'!Z2139</f>
        <v>66.551000000000002</v>
      </c>
      <c r="AA2138">
        <f>'raw data Crude oil'!AA2139</f>
        <v>63.972999999999999</v>
      </c>
      <c r="AB2138">
        <f>'raw data Crude oil'!AB2139</f>
        <v>63.259</v>
      </c>
      <c r="AC2138">
        <f>'raw data Crude oil'!AC2139</f>
        <v>62.709000000000003</v>
      </c>
      <c r="AD2138">
        <f>'raw data Crude oil'!AD2139</f>
        <v>62.348999999999997</v>
      </c>
      <c r="AE2138">
        <f>'raw data Crude oil'!AE2139</f>
        <v>62.081000000000003</v>
      </c>
      <c r="AF2138">
        <f>'raw data Crude oil'!AF2139</f>
        <v>61.893000000000001</v>
      </c>
      <c r="AG2138">
        <f>'raw data Crude oil'!AG2139</f>
        <v>61.749000000000002</v>
      </c>
      <c r="AH2138">
        <f>'raw data Crude oil'!AH2139</f>
        <v>61.637</v>
      </c>
      <c r="AI2138">
        <f>'raw data Crude oil'!AI2139</f>
        <v>61.615000000000002</v>
      </c>
      <c r="AJ2138">
        <f>'raw data Crude oil'!AJ2139</f>
        <v>61.674999999999997</v>
      </c>
      <c r="AK2138">
        <f>'raw data Crude oil'!AK2139</f>
        <v>61.723999999999997</v>
      </c>
    </row>
    <row r="2139" spans="1:37" x14ac:dyDescent="0.3">
      <c r="A2139" s="18">
        <f>'raw data Crude oil'!A2140</f>
        <v>45758</v>
      </c>
      <c r="B2139">
        <f>'raw data Crude oil'!B2140</f>
        <v>64.760000000000005</v>
      </c>
      <c r="C2139">
        <f>'raw data Crude oil'!C2140</f>
        <v>64.010000000000005</v>
      </c>
      <c r="D2139">
        <f>'raw data Crude oil'!D2140</f>
        <v>63.42</v>
      </c>
      <c r="E2139">
        <f>'raw data Crude oil'!E2140</f>
        <v>63.02</v>
      </c>
      <c r="F2139">
        <f>'raw data Crude oil'!F2140</f>
        <v>62.77</v>
      </c>
      <c r="G2139">
        <f>'raw data Crude oil'!G2140</f>
        <v>62.61</v>
      </c>
      <c r="H2139">
        <f>'raw data Crude oil'!H2140</f>
        <v>62.5</v>
      </c>
      <c r="I2139">
        <f>'raw data Crude oil'!I2140</f>
        <v>62.44</v>
      </c>
      <c r="J2139">
        <f>'raw data Crude oil'!J2140</f>
        <v>62.41</v>
      </c>
      <c r="K2139">
        <f>'raw data Crude oil'!K2140</f>
        <v>62.43</v>
      </c>
      <c r="L2139">
        <f>'raw data Crude oil'!L2140</f>
        <v>62.46</v>
      </c>
      <c r="M2139">
        <f>'raw data Crude oil'!M2140</f>
        <v>62.52</v>
      </c>
      <c r="N2139">
        <f>'raw data Crude oil'!N2140</f>
        <v>61.5</v>
      </c>
      <c r="O2139">
        <f>'raw data Crude oil'!O2140</f>
        <v>60.9</v>
      </c>
      <c r="P2139">
        <f>'raw data Crude oil'!P2140</f>
        <v>60.34</v>
      </c>
      <c r="Q2139">
        <f>'raw data Crude oil'!Q2140</f>
        <v>59.84</v>
      </c>
      <c r="R2139">
        <f>'raw data Crude oil'!R2140</f>
        <v>59.42</v>
      </c>
      <c r="S2139">
        <f>'raw data Crude oil'!S2140</f>
        <v>59.11</v>
      </c>
      <c r="T2139">
        <f>'raw data Crude oil'!T2140</f>
        <v>58.92</v>
      </c>
      <c r="U2139">
        <f>'raw data Crude oil'!U2140</f>
        <v>58.82</v>
      </c>
      <c r="V2139">
        <f>'raw data Crude oil'!V2140</f>
        <v>58.75</v>
      </c>
      <c r="W2139">
        <f>'raw data Crude oil'!W2140</f>
        <v>58.72</v>
      </c>
      <c r="X2139">
        <f>'raw data Crude oil'!X2140</f>
        <v>58.72</v>
      </c>
      <c r="Y2139">
        <f>'raw data Crude oil'!Y2140</f>
        <v>58.74</v>
      </c>
      <c r="Z2139">
        <f>'raw data Crude oil'!Z2140</f>
        <v>67.153999999999996</v>
      </c>
      <c r="AA2139">
        <f>'raw data Crude oil'!AA2140</f>
        <v>65.162999999999997</v>
      </c>
      <c r="AB2139">
        <f>'raw data Crude oil'!AB2140</f>
        <v>64.381</v>
      </c>
      <c r="AC2139">
        <f>'raw data Crude oil'!AC2140</f>
        <v>63.738999999999997</v>
      </c>
      <c r="AD2139">
        <f>'raw data Crude oil'!AD2140</f>
        <v>63.271999999999998</v>
      </c>
      <c r="AE2139">
        <f>'raw data Crude oil'!AE2140</f>
        <v>62.936</v>
      </c>
      <c r="AF2139">
        <f>'raw data Crude oil'!AF2140</f>
        <v>62.685000000000002</v>
      </c>
      <c r="AG2139">
        <f>'raw data Crude oil'!AG2140</f>
        <v>62.494999999999997</v>
      </c>
      <c r="AH2139">
        <f>'raw data Crude oil'!AH2140</f>
        <v>62.354999999999997</v>
      </c>
      <c r="AI2139">
        <f>'raw data Crude oil'!AI2140</f>
        <v>62.311999999999998</v>
      </c>
      <c r="AJ2139">
        <f>'raw data Crude oil'!AJ2140</f>
        <v>62.344000000000001</v>
      </c>
      <c r="AK2139">
        <f>'raw data Crude oil'!AK2140</f>
        <v>62.363</v>
      </c>
    </row>
    <row r="2140" spans="1:37" x14ac:dyDescent="0.3">
      <c r="A2140" s="18">
        <f>'raw data Crude oil'!A2141</f>
        <v>45761</v>
      </c>
      <c r="B2140">
        <f>'raw data Crude oil'!B2141</f>
        <v>64.88</v>
      </c>
      <c r="C2140">
        <f>'raw data Crude oil'!C2141</f>
        <v>64.22</v>
      </c>
      <c r="D2140">
        <f>'raw data Crude oil'!D2141</f>
        <v>63.7</v>
      </c>
      <c r="E2140">
        <f>'raw data Crude oil'!E2141</f>
        <v>63.34</v>
      </c>
      <c r="F2140">
        <f>'raw data Crude oil'!F2141</f>
        <v>63.12</v>
      </c>
      <c r="G2140">
        <f>'raw data Crude oil'!G2141</f>
        <v>63</v>
      </c>
      <c r="H2140">
        <f>'raw data Crude oil'!H2141</f>
        <v>62.92</v>
      </c>
      <c r="I2140">
        <f>'raw data Crude oil'!I2141</f>
        <v>62.87</v>
      </c>
      <c r="J2140">
        <f>'raw data Crude oil'!J2141</f>
        <v>62.86</v>
      </c>
      <c r="K2140">
        <f>'raw data Crude oil'!K2141</f>
        <v>62.89</v>
      </c>
      <c r="L2140">
        <f>'raw data Crude oil'!L2141</f>
        <v>62.94</v>
      </c>
      <c r="M2140">
        <f>'raw data Crude oil'!M2141</f>
        <v>63.01</v>
      </c>
      <c r="N2140">
        <f>'raw data Crude oil'!N2141</f>
        <v>61.53</v>
      </c>
      <c r="O2140">
        <f>'raw data Crude oil'!O2141</f>
        <v>61.05</v>
      </c>
      <c r="P2140">
        <f>'raw data Crude oil'!P2141</f>
        <v>60.59</v>
      </c>
      <c r="Q2140">
        <f>'raw data Crude oil'!Q2141</f>
        <v>60.16</v>
      </c>
      <c r="R2140">
        <f>'raw data Crude oil'!R2141</f>
        <v>59.79</v>
      </c>
      <c r="S2140">
        <f>'raw data Crude oil'!S2141</f>
        <v>59.53</v>
      </c>
      <c r="T2140">
        <f>'raw data Crude oil'!T2141</f>
        <v>59.37</v>
      </c>
      <c r="U2140">
        <f>'raw data Crude oil'!U2141</f>
        <v>59.29</v>
      </c>
      <c r="V2140">
        <f>'raw data Crude oil'!V2141</f>
        <v>59.24</v>
      </c>
      <c r="W2140">
        <f>'raw data Crude oil'!W2141</f>
        <v>59.22</v>
      </c>
      <c r="X2140">
        <f>'raw data Crude oil'!X2141</f>
        <v>59.24</v>
      </c>
      <c r="Y2140">
        <f>'raw data Crude oil'!Y2141</f>
        <v>59.28</v>
      </c>
      <c r="Z2140">
        <f>'raw data Crude oil'!Z2141</f>
        <v>67.298000000000002</v>
      </c>
      <c r="AA2140">
        <f>'raw data Crude oil'!AA2141</f>
        <v>65.326999999999998</v>
      </c>
      <c r="AB2140">
        <f>'raw data Crude oil'!AB2141</f>
        <v>64.608000000000004</v>
      </c>
      <c r="AC2140">
        <f>'raw data Crude oil'!AC2141</f>
        <v>63.994999999999997</v>
      </c>
      <c r="AD2140">
        <f>'raw data Crude oil'!AD2141</f>
        <v>63.561</v>
      </c>
      <c r="AE2140">
        <f>'raw data Crude oil'!AE2141</f>
        <v>63.25</v>
      </c>
      <c r="AF2140">
        <f>'raw data Crude oil'!AF2141</f>
        <v>63.03</v>
      </c>
      <c r="AG2140">
        <f>'raw data Crude oil'!AG2141</f>
        <v>62.87</v>
      </c>
      <c r="AH2140">
        <f>'raw data Crude oil'!AH2141</f>
        <v>62.76</v>
      </c>
      <c r="AI2140">
        <f>'raw data Crude oil'!AI2141</f>
        <v>62.759</v>
      </c>
      <c r="AJ2140">
        <f>'raw data Crude oil'!AJ2141</f>
        <v>62.777000000000001</v>
      </c>
      <c r="AK2140">
        <f>'raw data Crude oil'!AK2141</f>
        <v>62.817</v>
      </c>
    </row>
    <row r="2141" spans="1:37" x14ac:dyDescent="0.3">
      <c r="A2141" s="18">
        <f>'raw data Crude oil'!A2142</f>
        <v>45762</v>
      </c>
      <c r="B2141">
        <f>'raw data Crude oil'!B2142</f>
        <v>64.67</v>
      </c>
      <c r="C2141">
        <f>'raw data Crude oil'!C2142</f>
        <v>63.88</v>
      </c>
      <c r="D2141">
        <f>'raw data Crude oil'!D2142</f>
        <v>63.31</v>
      </c>
      <c r="E2141">
        <f>'raw data Crude oil'!E2142</f>
        <v>62.92</v>
      </c>
      <c r="F2141">
        <f>'raw data Crude oil'!F2142</f>
        <v>62.68</v>
      </c>
      <c r="G2141">
        <f>'raw data Crude oil'!G2142</f>
        <v>62.55</v>
      </c>
      <c r="H2141">
        <f>'raw data Crude oil'!H2142</f>
        <v>62.46</v>
      </c>
      <c r="I2141">
        <f>'raw data Crude oil'!I2142</f>
        <v>62.41</v>
      </c>
      <c r="J2141">
        <f>'raw data Crude oil'!J2142</f>
        <v>62.4</v>
      </c>
      <c r="K2141">
        <f>'raw data Crude oil'!K2142</f>
        <v>62.43</v>
      </c>
      <c r="L2141">
        <f>'raw data Crude oil'!L2142</f>
        <v>62.48</v>
      </c>
      <c r="M2141">
        <f>'raw data Crude oil'!M2142</f>
        <v>62.56</v>
      </c>
      <c r="N2141">
        <f>'raw data Crude oil'!N2142</f>
        <v>61.33</v>
      </c>
      <c r="O2141">
        <f>'raw data Crude oil'!O2142</f>
        <v>60.75</v>
      </c>
      <c r="P2141">
        <f>'raw data Crude oil'!P2142</f>
        <v>60.22</v>
      </c>
      <c r="Q2141">
        <f>'raw data Crude oil'!Q2142</f>
        <v>59.74</v>
      </c>
      <c r="R2141">
        <f>'raw data Crude oil'!R2142</f>
        <v>59.34</v>
      </c>
      <c r="S2141">
        <f>'raw data Crude oil'!S2142</f>
        <v>59.06</v>
      </c>
      <c r="T2141">
        <f>'raw data Crude oil'!T2142</f>
        <v>58.9</v>
      </c>
      <c r="U2141">
        <f>'raw data Crude oil'!U2142</f>
        <v>58.8</v>
      </c>
      <c r="V2141">
        <f>'raw data Crude oil'!V2142</f>
        <v>58.74</v>
      </c>
      <c r="W2141">
        <f>'raw data Crude oil'!W2142</f>
        <v>58.73</v>
      </c>
      <c r="X2141">
        <f>'raw data Crude oil'!X2142</f>
        <v>58.74</v>
      </c>
      <c r="Y2141">
        <f>'raw data Crude oil'!Y2142</f>
        <v>58.78</v>
      </c>
      <c r="Z2141">
        <f>'raw data Crude oil'!Z2142</f>
        <v>67.274000000000001</v>
      </c>
      <c r="AA2141">
        <f>'raw data Crude oil'!AA2142</f>
        <v>65.179000000000002</v>
      </c>
      <c r="AB2141">
        <f>'raw data Crude oil'!AB2142</f>
        <v>64.358999999999995</v>
      </c>
      <c r="AC2141">
        <f>'raw data Crude oil'!AC2142</f>
        <v>63.7</v>
      </c>
      <c r="AD2141">
        <f>'raw data Crude oil'!AD2142</f>
        <v>63.234000000000002</v>
      </c>
      <c r="AE2141">
        <f>'raw data Crude oil'!AE2142</f>
        <v>62.914000000000001</v>
      </c>
      <c r="AF2141">
        <f>'raw data Crude oil'!AF2142</f>
        <v>62.692999999999998</v>
      </c>
      <c r="AG2141">
        <f>'raw data Crude oil'!AG2142</f>
        <v>62.523000000000003</v>
      </c>
      <c r="AH2141">
        <f>'raw data Crude oil'!AH2142</f>
        <v>62.393000000000001</v>
      </c>
      <c r="AI2141">
        <f>'raw data Crude oil'!AI2142</f>
        <v>62.365000000000002</v>
      </c>
      <c r="AJ2141">
        <f>'raw data Crude oil'!AJ2142</f>
        <v>62.387</v>
      </c>
      <c r="AK2141">
        <f>'raw data Crude oil'!AK2142</f>
        <v>62.442</v>
      </c>
    </row>
    <row r="2142" spans="1:37" x14ac:dyDescent="0.3">
      <c r="A2142" s="18">
        <f>'raw data Crude oil'!A2143</f>
        <v>45763</v>
      </c>
      <c r="B2142">
        <f>'raw data Crude oil'!B2143</f>
        <v>65.849999999999994</v>
      </c>
      <c r="C2142">
        <f>'raw data Crude oil'!C2143</f>
        <v>64.959999999999994</v>
      </c>
      <c r="D2142">
        <f>'raw data Crude oil'!D2143</f>
        <v>64.319999999999993</v>
      </c>
      <c r="E2142">
        <f>'raw data Crude oil'!E2143</f>
        <v>63.85</v>
      </c>
      <c r="F2142">
        <f>'raw data Crude oil'!F2143</f>
        <v>63.54</v>
      </c>
      <c r="G2142">
        <f>'raw data Crude oil'!G2143</f>
        <v>63.35</v>
      </c>
      <c r="H2142">
        <f>'raw data Crude oil'!H2143</f>
        <v>63.22</v>
      </c>
      <c r="I2142">
        <f>'raw data Crude oil'!I2143</f>
        <v>63.13</v>
      </c>
      <c r="J2142">
        <f>'raw data Crude oil'!J2143</f>
        <v>63.08</v>
      </c>
      <c r="K2142">
        <f>'raw data Crude oil'!K2143</f>
        <v>63.09</v>
      </c>
      <c r="L2142">
        <f>'raw data Crude oil'!L2143</f>
        <v>63.12</v>
      </c>
      <c r="M2142">
        <f>'raw data Crude oil'!M2143</f>
        <v>63.18</v>
      </c>
      <c r="N2142">
        <f>'raw data Crude oil'!N2143</f>
        <v>62.47</v>
      </c>
      <c r="O2142">
        <f>'raw data Crude oil'!O2143</f>
        <v>61.83</v>
      </c>
      <c r="P2142">
        <f>'raw data Crude oil'!P2143</f>
        <v>61.24</v>
      </c>
      <c r="Q2142">
        <f>'raw data Crude oil'!Q2143</f>
        <v>60.69</v>
      </c>
      <c r="R2142">
        <f>'raw data Crude oil'!R2143</f>
        <v>60.22</v>
      </c>
      <c r="S2142">
        <f>'raw data Crude oil'!S2143</f>
        <v>59.86</v>
      </c>
      <c r="T2142">
        <f>'raw data Crude oil'!T2143</f>
        <v>59.64</v>
      </c>
      <c r="U2142">
        <f>'raw data Crude oil'!U2143</f>
        <v>59.5</v>
      </c>
      <c r="V2142">
        <f>'raw data Crude oil'!V2143</f>
        <v>59.39</v>
      </c>
      <c r="W2142">
        <f>'raw data Crude oil'!W2143</f>
        <v>59.33</v>
      </c>
      <c r="X2142">
        <f>'raw data Crude oil'!X2143</f>
        <v>59.32</v>
      </c>
      <c r="Y2142">
        <f>'raw data Crude oil'!Y2143</f>
        <v>59.35</v>
      </c>
      <c r="Z2142">
        <f>'raw data Crude oil'!Z2143</f>
        <v>67.921999999999997</v>
      </c>
      <c r="AA2142">
        <f>'raw data Crude oil'!AA2143</f>
        <v>66.522999999999996</v>
      </c>
      <c r="AB2142">
        <f>'raw data Crude oil'!AB2143</f>
        <v>65.545000000000002</v>
      </c>
      <c r="AC2142">
        <f>'raw data Crude oil'!AC2143</f>
        <v>64.772999999999996</v>
      </c>
      <c r="AD2142">
        <f>'raw data Crude oil'!AD2143</f>
        <v>64.206999999999994</v>
      </c>
      <c r="AE2142">
        <f>'raw data Crude oil'!AE2143</f>
        <v>63.823999999999998</v>
      </c>
      <c r="AF2142">
        <f>'raw data Crude oil'!AF2143</f>
        <v>63.536000000000001</v>
      </c>
      <c r="AG2142">
        <f>'raw data Crude oil'!AG2143</f>
        <v>63.308</v>
      </c>
      <c r="AH2142">
        <f>'raw data Crude oil'!AH2143</f>
        <v>63.128</v>
      </c>
      <c r="AI2142">
        <f>'raw data Crude oil'!AI2143</f>
        <v>63.081000000000003</v>
      </c>
      <c r="AJ2142">
        <f>'raw data Crude oil'!AJ2143</f>
        <v>63.082999999999998</v>
      </c>
      <c r="AK2142">
        <f>'raw data Crude oil'!AK2143</f>
        <v>63.11</v>
      </c>
    </row>
    <row r="2143" spans="1:37" x14ac:dyDescent="0.3">
      <c r="A2143" s="18">
        <f>'raw data Crude oil'!A2144</f>
        <v>45764</v>
      </c>
      <c r="B2143">
        <f>'raw data Crude oil'!B2144</f>
        <v>67.959999999999994</v>
      </c>
      <c r="C2143">
        <f>'raw data Crude oil'!C2144</f>
        <v>67</v>
      </c>
      <c r="D2143">
        <f>'raw data Crude oil'!D2144</f>
        <v>66.33</v>
      </c>
      <c r="E2143">
        <f>'raw data Crude oil'!E2144</f>
        <v>65.849999999999994</v>
      </c>
      <c r="F2143">
        <f>'raw data Crude oil'!F2144</f>
        <v>65.510000000000005</v>
      </c>
      <c r="G2143">
        <f>'raw data Crude oil'!G2144</f>
        <v>65.28</v>
      </c>
      <c r="H2143">
        <f>'raw data Crude oil'!H2144</f>
        <v>65.11</v>
      </c>
      <c r="I2143">
        <f>'raw data Crude oil'!I2144</f>
        <v>64.97</v>
      </c>
      <c r="J2143">
        <f>'raw data Crude oil'!J2144</f>
        <v>64.89</v>
      </c>
      <c r="K2143">
        <f>'raw data Crude oil'!K2144</f>
        <v>64.87</v>
      </c>
      <c r="L2143">
        <f>'raw data Crude oil'!L2144</f>
        <v>64.86</v>
      </c>
      <c r="M2143">
        <f>'raw data Crude oil'!M2144</f>
        <v>64.89</v>
      </c>
      <c r="N2143">
        <f>'raw data Crude oil'!N2144</f>
        <v>64.680000000000007</v>
      </c>
      <c r="O2143">
        <f>'raw data Crude oil'!O2144</f>
        <v>64.010000000000005</v>
      </c>
      <c r="P2143">
        <f>'raw data Crude oil'!P2144</f>
        <v>63.34</v>
      </c>
      <c r="Q2143">
        <f>'raw data Crude oil'!Q2144</f>
        <v>62.74</v>
      </c>
      <c r="R2143">
        <f>'raw data Crude oil'!R2144</f>
        <v>62.22</v>
      </c>
      <c r="S2143">
        <f>'raw data Crude oil'!S2144</f>
        <v>61.82</v>
      </c>
      <c r="T2143">
        <f>'raw data Crude oil'!T2144</f>
        <v>61.55</v>
      </c>
      <c r="U2143">
        <f>'raw data Crude oil'!U2144</f>
        <v>61.35</v>
      </c>
      <c r="V2143">
        <f>'raw data Crude oil'!V2144</f>
        <v>61.2</v>
      </c>
      <c r="W2143">
        <f>'raw data Crude oil'!W2144</f>
        <v>61.11</v>
      </c>
      <c r="X2143">
        <f>'raw data Crude oil'!X2144</f>
        <v>61.06</v>
      </c>
      <c r="Y2143">
        <f>'raw data Crude oil'!Y2144</f>
        <v>61.04</v>
      </c>
      <c r="Z2143">
        <f>'raw data Crude oil'!Z2144</f>
        <v>68.760999999999996</v>
      </c>
      <c r="AA2143">
        <f>'raw data Crude oil'!AA2144</f>
        <v>68.59</v>
      </c>
      <c r="AB2143">
        <f>'raw data Crude oil'!AB2144</f>
        <v>67.531999999999996</v>
      </c>
      <c r="AC2143">
        <f>'raw data Crude oil'!AC2144</f>
        <v>66.77</v>
      </c>
      <c r="AD2143">
        <f>'raw data Crude oil'!AD2144</f>
        <v>66.188999999999993</v>
      </c>
      <c r="AE2143">
        <f>'raw data Crude oil'!AE2144</f>
        <v>65.769000000000005</v>
      </c>
      <c r="AF2143">
        <f>'raw data Crude oil'!AF2144</f>
        <v>65.441000000000003</v>
      </c>
      <c r="AG2143">
        <f>'raw data Crude oil'!AG2144</f>
        <v>65.182000000000002</v>
      </c>
      <c r="AH2143">
        <f>'raw data Crude oil'!AH2144</f>
        <v>64.974000000000004</v>
      </c>
      <c r="AI2143">
        <f>'raw data Crude oil'!AI2144</f>
        <v>64.89</v>
      </c>
      <c r="AJ2143">
        <f>'raw data Crude oil'!AJ2144</f>
        <v>64.846999999999994</v>
      </c>
      <c r="AK2143">
        <f>'raw data Crude oil'!AK2144</f>
        <v>64.846999999999994</v>
      </c>
    </row>
    <row r="2144" spans="1:37" x14ac:dyDescent="0.3">
      <c r="A2144" s="18">
        <f>'raw data Crude oil'!A2145</f>
        <v>45768</v>
      </c>
      <c r="B2144">
        <f>'raw data Crude oil'!B2145</f>
        <v>66.260000000000005</v>
      </c>
      <c r="C2144">
        <f>'raw data Crude oil'!C2145</f>
        <v>65.3</v>
      </c>
      <c r="D2144">
        <f>'raw data Crude oil'!D2145</f>
        <v>64.63</v>
      </c>
      <c r="E2144">
        <f>'raw data Crude oil'!E2145</f>
        <v>64.17</v>
      </c>
      <c r="F2144">
        <f>'raw data Crude oil'!F2145</f>
        <v>63.86</v>
      </c>
      <c r="G2144">
        <f>'raw data Crude oil'!G2145</f>
        <v>63.65</v>
      </c>
      <c r="H2144">
        <f>'raw data Crude oil'!H2145</f>
        <v>63.5</v>
      </c>
      <c r="I2144">
        <f>'raw data Crude oil'!I2145</f>
        <v>63.39</v>
      </c>
      <c r="J2144">
        <f>'raw data Crude oil'!J2145</f>
        <v>63.34</v>
      </c>
      <c r="K2144">
        <f>'raw data Crude oil'!K2145</f>
        <v>63.35</v>
      </c>
      <c r="L2144">
        <f>'raw data Crude oil'!L2145</f>
        <v>63.38</v>
      </c>
      <c r="M2144">
        <f>'raw data Crude oil'!M2145</f>
        <v>63.44</v>
      </c>
      <c r="N2144">
        <f>'raw data Crude oil'!N2145</f>
        <v>63.08</v>
      </c>
      <c r="O2144">
        <f>'raw data Crude oil'!O2145</f>
        <v>62.41</v>
      </c>
      <c r="P2144">
        <f>'raw data Crude oil'!P2145</f>
        <v>61.68</v>
      </c>
      <c r="Q2144">
        <f>'raw data Crude oil'!Q2145</f>
        <v>61.04</v>
      </c>
      <c r="R2144">
        <f>'raw data Crude oil'!R2145</f>
        <v>60.51</v>
      </c>
      <c r="S2144">
        <f>'raw data Crude oil'!S2145</f>
        <v>60.14</v>
      </c>
      <c r="T2144">
        <f>'raw data Crude oil'!T2145</f>
        <v>59.9</v>
      </c>
      <c r="U2144">
        <f>'raw data Crude oil'!U2145</f>
        <v>59.73</v>
      </c>
      <c r="V2144">
        <f>'raw data Crude oil'!V2145</f>
        <v>59.61</v>
      </c>
      <c r="W2144">
        <f>'raw data Crude oil'!W2145</f>
        <v>59.54</v>
      </c>
      <c r="X2144">
        <f>'raw data Crude oil'!X2145</f>
        <v>59.52</v>
      </c>
      <c r="Y2144">
        <f>'raw data Crude oil'!Y2145</f>
        <v>59.54</v>
      </c>
      <c r="Z2144">
        <f>'raw data Crude oil'!Z2145</f>
        <v>68.146000000000001</v>
      </c>
      <c r="AA2144">
        <f>'raw data Crude oil'!AA2145</f>
        <v>66.91</v>
      </c>
      <c r="AB2144">
        <f>'raw data Crude oil'!AB2145</f>
        <v>65.843000000000004</v>
      </c>
      <c r="AC2144">
        <f>'raw data Crude oil'!AC2145</f>
        <v>65.072000000000003</v>
      </c>
      <c r="AD2144">
        <f>'raw data Crude oil'!AD2145</f>
        <v>64.5</v>
      </c>
      <c r="AE2144">
        <f>'raw data Crude oil'!AE2145</f>
        <v>64.093000000000004</v>
      </c>
      <c r="AF2144">
        <f>'raw data Crude oil'!AF2145</f>
        <v>63.784999999999997</v>
      </c>
      <c r="AG2144">
        <f>'raw data Crude oil'!AG2145</f>
        <v>63.564</v>
      </c>
      <c r="AH2144">
        <f>'raw data Crude oil'!AH2145</f>
        <v>63.401000000000003</v>
      </c>
      <c r="AI2144">
        <f>'raw data Crude oil'!AI2145</f>
        <v>63.351999999999997</v>
      </c>
      <c r="AJ2144">
        <f>'raw data Crude oil'!AJ2145</f>
        <v>63.347999999999999</v>
      </c>
      <c r="AK2144">
        <f>'raw data Crude oil'!AK2145</f>
        <v>63.383000000000003</v>
      </c>
    </row>
    <row r="2145" spans="1:37" x14ac:dyDescent="0.3">
      <c r="A2145" s="18">
        <f>'raw data Crude oil'!A2146</f>
        <v>45769</v>
      </c>
      <c r="B2145">
        <f>'raw data Crude oil'!B2146</f>
        <v>67.44</v>
      </c>
      <c r="C2145">
        <f>'raw data Crude oil'!C2146</f>
        <v>66.48</v>
      </c>
      <c r="D2145">
        <f>'raw data Crude oil'!D2146</f>
        <v>65.790000000000006</v>
      </c>
      <c r="E2145">
        <f>'raw data Crude oil'!E2146</f>
        <v>65.28</v>
      </c>
      <c r="F2145">
        <f>'raw data Crude oil'!F2146</f>
        <v>64.95</v>
      </c>
      <c r="G2145">
        <f>'raw data Crude oil'!G2146</f>
        <v>64.72</v>
      </c>
      <c r="H2145">
        <f>'raw data Crude oil'!H2146</f>
        <v>64.56</v>
      </c>
      <c r="I2145">
        <f>'raw data Crude oil'!I2146</f>
        <v>64.44</v>
      </c>
      <c r="J2145">
        <f>'raw data Crude oil'!J2146</f>
        <v>64.37</v>
      </c>
      <c r="K2145">
        <f>'raw data Crude oil'!K2146</f>
        <v>64.36</v>
      </c>
      <c r="L2145">
        <f>'raw data Crude oil'!L2146</f>
        <v>64.38</v>
      </c>
      <c r="M2145">
        <f>'raw data Crude oil'!M2146</f>
        <v>64.430000000000007</v>
      </c>
      <c r="N2145">
        <f>'raw data Crude oil'!N2146</f>
        <v>64.31</v>
      </c>
      <c r="O2145">
        <f>'raw data Crude oil'!O2146</f>
        <v>63.67</v>
      </c>
      <c r="P2145">
        <f>'raw data Crude oil'!P2146</f>
        <v>62.94</v>
      </c>
      <c r="Q2145">
        <f>'raw data Crude oil'!Q2146</f>
        <v>62.28</v>
      </c>
      <c r="R2145">
        <f>'raw data Crude oil'!R2146</f>
        <v>61.74</v>
      </c>
      <c r="S2145">
        <f>'raw data Crude oil'!S2146</f>
        <v>61.34</v>
      </c>
      <c r="T2145">
        <f>'raw data Crude oil'!T2146</f>
        <v>61.07</v>
      </c>
      <c r="U2145">
        <f>'raw data Crude oil'!U2146</f>
        <v>60.89</v>
      </c>
      <c r="V2145">
        <f>'raw data Crude oil'!V2146</f>
        <v>60.74</v>
      </c>
      <c r="W2145">
        <f>'raw data Crude oil'!W2146</f>
        <v>60.64</v>
      </c>
      <c r="X2145">
        <f>'raw data Crude oil'!X2146</f>
        <v>60.6</v>
      </c>
      <c r="Y2145">
        <f>'raw data Crude oil'!Y2146</f>
        <v>60.61</v>
      </c>
      <c r="Z2145">
        <f>'raw data Crude oil'!Z2146</f>
        <v>68.414000000000001</v>
      </c>
      <c r="AA2145">
        <f>'raw data Crude oil'!AA2146</f>
        <v>67.968999999999994</v>
      </c>
      <c r="AB2145">
        <f>'raw data Crude oil'!AB2146</f>
        <v>66.879000000000005</v>
      </c>
      <c r="AC2145">
        <f>'raw data Crude oil'!AC2146</f>
        <v>66.108999999999995</v>
      </c>
      <c r="AD2145">
        <f>'raw data Crude oil'!AD2146</f>
        <v>65.552999999999997</v>
      </c>
      <c r="AE2145">
        <f>'raw data Crude oil'!AE2146</f>
        <v>65.153000000000006</v>
      </c>
      <c r="AF2145">
        <f>'raw data Crude oil'!AF2146</f>
        <v>64.847999999999999</v>
      </c>
      <c r="AG2145">
        <f>'raw data Crude oil'!AG2146</f>
        <v>64.628</v>
      </c>
      <c r="AH2145">
        <f>'raw data Crude oil'!AH2146</f>
        <v>64.447999999999993</v>
      </c>
      <c r="AI2145">
        <f>'raw data Crude oil'!AI2146</f>
        <v>64.397999999999996</v>
      </c>
      <c r="AJ2145">
        <f>'raw data Crude oil'!AJ2146</f>
        <v>64.378</v>
      </c>
      <c r="AK2145">
        <f>'raw data Crude oil'!AK2146</f>
        <v>64.391999999999996</v>
      </c>
    </row>
    <row r="2146" spans="1:37" x14ac:dyDescent="0.3">
      <c r="A2146" s="18">
        <f>'raw data Crude oil'!A2147</f>
        <v>45770</v>
      </c>
      <c r="B2146">
        <f>'raw data Crude oil'!B2147</f>
        <v>66.12</v>
      </c>
      <c r="C2146">
        <f>'raw data Crude oil'!C2147</f>
        <v>65.180000000000007</v>
      </c>
      <c r="D2146">
        <f>'raw data Crude oil'!D2147</f>
        <v>64.569999999999993</v>
      </c>
      <c r="E2146">
        <f>'raw data Crude oil'!E2147</f>
        <v>64.13</v>
      </c>
      <c r="F2146">
        <f>'raw data Crude oil'!F2147</f>
        <v>63.84</v>
      </c>
      <c r="G2146">
        <f>'raw data Crude oil'!G2147</f>
        <v>63.67</v>
      </c>
      <c r="H2146">
        <f>'raw data Crude oil'!H2147</f>
        <v>63.56</v>
      </c>
      <c r="I2146">
        <f>'raw data Crude oil'!I2147</f>
        <v>63.48</v>
      </c>
      <c r="J2146">
        <f>'raw data Crude oil'!J2147</f>
        <v>63.46</v>
      </c>
      <c r="K2146">
        <f>'raw data Crude oil'!K2147</f>
        <v>63.5</v>
      </c>
      <c r="L2146">
        <f>'raw data Crude oil'!L2147</f>
        <v>63.56</v>
      </c>
      <c r="M2146">
        <f>'raw data Crude oil'!M2147</f>
        <v>63.65</v>
      </c>
      <c r="N2146">
        <f>'raw data Crude oil'!N2147</f>
        <v>62.27</v>
      </c>
      <c r="O2146">
        <f>'raw data Crude oil'!O2147</f>
        <v>61.63</v>
      </c>
      <c r="P2146">
        <f>'raw data Crude oil'!P2147</f>
        <v>61.04</v>
      </c>
      <c r="Q2146">
        <f>'raw data Crude oil'!Q2147</f>
        <v>60.57</v>
      </c>
      <c r="R2146">
        <f>'raw data Crude oil'!R2147</f>
        <v>60.23</v>
      </c>
      <c r="S2146">
        <f>'raw data Crude oil'!S2147</f>
        <v>60.01</v>
      </c>
      <c r="T2146">
        <f>'raw data Crude oil'!T2147</f>
        <v>59.85</v>
      </c>
      <c r="U2146">
        <f>'raw data Crude oil'!U2147</f>
        <v>59.76</v>
      </c>
      <c r="V2146">
        <f>'raw data Crude oil'!V2147</f>
        <v>59.73</v>
      </c>
      <c r="W2146">
        <f>'raw data Crude oil'!W2147</f>
        <v>59.74</v>
      </c>
      <c r="X2146">
        <f>'raw data Crude oil'!X2147</f>
        <v>59.8</v>
      </c>
      <c r="Y2146">
        <f>'raw data Crude oil'!Y2147</f>
        <v>59.9</v>
      </c>
      <c r="Z2146">
        <f>'raw data Crude oil'!Z2147</f>
        <v>68.05</v>
      </c>
      <c r="AA2146">
        <f>'raw data Crude oil'!AA2147</f>
        <v>66.421999999999997</v>
      </c>
      <c r="AB2146">
        <f>'raw data Crude oil'!AB2147</f>
        <v>65.539000000000001</v>
      </c>
      <c r="AC2146">
        <f>'raw data Crude oil'!AC2147</f>
        <v>64.899000000000001</v>
      </c>
      <c r="AD2146">
        <f>'raw data Crude oil'!AD2147</f>
        <v>64.441999999999993</v>
      </c>
      <c r="AE2146">
        <f>'raw data Crude oil'!AE2147</f>
        <v>64.108999999999995</v>
      </c>
      <c r="AF2146">
        <f>'raw data Crude oil'!AF2147</f>
        <v>63.869</v>
      </c>
      <c r="AG2146">
        <f>'raw data Crude oil'!AG2147</f>
        <v>63.701000000000001</v>
      </c>
      <c r="AH2146">
        <f>'raw data Crude oil'!AH2147</f>
        <v>63.591000000000001</v>
      </c>
      <c r="AI2146">
        <f>'raw data Crude oil'!AI2147</f>
        <v>63.570999999999998</v>
      </c>
      <c r="AJ2146">
        <f>'raw data Crude oil'!AJ2147</f>
        <v>63.587000000000003</v>
      </c>
      <c r="AK2146">
        <f>'raw data Crude oil'!AK2147</f>
        <v>63.631999999999998</v>
      </c>
    </row>
    <row r="2147" spans="1:37" x14ac:dyDescent="0.3">
      <c r="A2147" s="18">
        <f>'raw data Crude oil'!A2148</f>
        <v>45771</v>
      </c>
      <c r="B2147">
        <f>'raw data Crude oil'!B2148</f>
        <v>66.55</v>
      </c>
      <c r="C2147">
        <f>'raw data Crude oil'!C2148</f>
        <v>65.650000000000006</v>
      </c>
      <c r="D2147">
        <f>'raw data Crude oil'!D2148</f>
        <v>65.099999999999994</v>
      </c>
      <c r="E2147">
        <f>'raw data Crude oil'!E2148</f>
        <v>64.709999999999994</v>
      </c>
      <c r="F2147">
        <f>'raw data Crude oil'!F2148</f>
        <v>64.45</v>
      </c>
      <c r="G2147">
        <f>'raw data Crude oil'!G2148</f>
        <v>64.290000000000006</v>
      </c>
      <c r="H2147">
        <f>'raw data Crude oil'!H2148</f>
        <v>64.17</v>
      </c>
      <c r="I2147">
        <f>'raw data Crude oil'!I2148</f>
        <v>64.099999999999994</v>
      </c>
      <c r="J2147">
        <f>'raw data Crude oil'!J2148</f>
        <v>64.08</v>
      </c>
      <c r="K2147">
        <f>'raw data Crude oil'!K2148</f>
        <v>64.12</v>
      </c>
      <c r="L2147">
        <f>'raw data Crude oil'!L2148</f>
        <v>64.180000000000007</v>
      </c>
      <c r="M2147">
        <f>'raw data Crude oil'!M2148</f>
        <v>64.27</v>
      </c>
      <c r="N2147">
        <f>'raw data Crude oil'!N2148</f>
        <v>62.79</v>
      </c>
      <c r="O2147">
        <f>'raw data Crude oil'!O2148</f>
        <v>62.14</v>
      </c>
      <c r="P2147">
        <f>'raw data Crude oil'!P2148</f>
        <v>61.57</v>
      </c>
      <c r="Q2147">
        <f>'raw data Crude oil'!Q2148</f>
        <v>61.12</v>
      </c>
      <c r="R2147">
        <f>'raw data Crude oil'!R2148</f>
        <v>60.8</v>
      </c>
      <c r="S2147">
        <f>'raw data Crude oil'!S2148</f>
        <v>60.59</v>
      </c>
      <c r="T2147">
        <f>'raw data Crude oil'!T2148</f>
        <v>60.44</v>
      </c>
      <c r="U2147">
        <f>'raw data Crude oil'!U2148</f>
        <v>60.34</v>
      </c>
      <c r="V2147">
        <f>'raw data Crude oil'!V2148</f>
        <v>60.3</v>
      </c>
      <c r="W2147">
        <f>'raw data Crude oil'!W2148</f>
        <v>60.31</v>
      </c>
      <c r="X2147">
        <f>'raw data Crude oil'!X2148</f>
        <v>60.36</v>
      </c>
      <c r="Y2147">
        <f>'raw data Crude oil'!Y2148</f>
        <v>60.45</v>
      </c>
      <c r="Z2147">
        <f>'raw data Crude oil'!Z2148</f>
        <v>68.162999999999997</v>
      </c>
      <c r="AA2147">
        <f>'raw data Crude oil'!AA2148</f>
        <v>66.745000000000005</v>
      </c>
      <c r="AB2147">
        <f>'raw data Crude oil'!AB2148</f>
        <v>65.834999999999994</v>
      </c>
      <c r="AC2147">
        <f>'raw data Crude oil'!AC2148</f>
        <v>65.265000000000001</v>
      </c>
      <c r="AD2147">
        <f>'raw data Crude oil'!AD2148</f>
        <v>64.875</v>
      </c>
      <c r="AE2147">
        <f>'raw data Crude oil'!AE2148</f>
        <v>64.584999999999994</v>
      </c>
      <c r="AF2147">
        <f>'raw data Crude oil'!AF2148</f>
        <v>64.375</v>
      </c>
      <c r="AG2147">
        <f>'raw data Crude oil'!AG2148</f>
        <v>64.227000000000004</v>
      </c>
      <c r="AH2147">
        <f>'raw data Crude oil'!AH2148</f>
        <v>64.134</v>
      </c>
      <c r="AI2147">
        <f>'raw data Crude oil'!AI2148</f>
        <v>64.143000000000001</v>
      </c>
      <c r="AJ2147">
        <f>'raw data Crude oil'!AJ2148</f>
        <v>64.185000000000002</v>
      </c>
      <c r="AK2147">
        <f>'raw data Crude oil'!AK2148</f>
        <v>64.254999999999995</v>
      </c>
    </row>
    <row r="2148" spans="1:37" x14ac:dyDescent="0.3">
      <c r="A2148" s="18">
        <f>'raw data Crude oil'!A2149</f>
        <v>45772</v>
      </c>
      <c r="B2148">
        <f>'raw data Crude oil'!B2149</f>
        <v>66.87</v>
      </c>
      <c r="C2148">
        <f>'raw data Crude oil'!C2149</f>
        <v>65.8</v>
      </c>
      <c r="D2148">
        <f>'raw data Crude oil'!D2149</f>
        <v>65.239999999999995</v>
      </c>
      <c r="E2148">
        <f>'raw data Crude oil'!E2149</f>
        <v>64.86</v>
      </c>
      <c r="F2148">
        <f>'raw data Crude oil'!F2149</f>
        <v>64.63</v>
      </c>
      <c r="G2148">
        <f>'raw data Crude oil'!G2149</f>
        <v>64.489999999999995</v>
      </c>
      <c r="H2148">
        <f>'raw data Crude oil'!H2149</f>
        <v>64.400000000000006</v>
      </c>
      <c r="I2148">
        <f>'raw data Crude oil'!I2149</f>
        <v>64.33</v>
      </c>
      <c r="J2148">
        <f>'raw data Crude oil'!J2149</f>
        <v>64.319999999999993</v>
      </c>
      <c r="K2148">
        <f>'raw data Crude oil'!K2149</f>
        <v>64.36</v>
      </c>
      <c r="L2148">
        <f>'raw data Crude oil'!L2149</f>
        <v>64.42</v>
      </c>
      <c r="M2148">
        <f>'raw data Crude oil'!M2149</f>
        <v>64.510000000000005</v>
      </c>
      <c r="N2148">
        <f>'raw data Crude oil'!N2149</f>
        <v>63.02</v>
      </c>
      <c r="O2148">
        <f>'raw data Crude oil'!O2149</f>
        <v>62.33</v>
      </c>
      <c r="P2148">
        <f>'raw data Crude oil'!P2149</f>
        <v>61.74</v>
      </c>
      <c r="Q2148">
        <f>'raw data Crude oil'!Q2149</f>
        <v>61.28</v>
      </c>
      <c r="R2148">
        <f>'raw data Crude oil'!R2149</f>
        <v>60.97</v>
      </c>
      <c r="S2148">
        <f>'raw data Crude oil'!S2149</f>
        <v>60.78</v>
      </c>
      <c r="T2148">
        <f>'raw data Crude oil'!T2149</f>
        <v>60.65</v>
      </c>
      <c r="U2148">
        <f>'raw data Crude oil'!U2149</f>
        <v>60.55</v>
      </c>
      <c r="V2148">
        <f>'raw data Crude oil'!V2149</f>
        <v>60.52</v>
      </c>
      <c r="W2148">
        <f>'raw data Crude oil'!W2149</f>
        <v>60.53</v>
      </c>
      <c r="X2148">
        <f>'raw data Crude oil'!X2149</f>
        <v>60.59</v>
      </c>
      <c r="Y2148">
        <f>'raw data Crude oil'!Y2149</f>
        <v>60.67</v>
      </c>
      <c r="Z2148">
        <f>'raw data Crude oil'!Z2149</f>
        <v>68.144999999999996</v>
      </c>
      <c r="AA2148">
        <f>'raw data Crude oil'!AA2149</f>
        <v>66.674999999999997</v>
      </c>
      <c r="AB2148">
        <f>'raw data Crude oil'!AB2149</f>
        <v>65.831999999999994</v>
      </c>
      <c r="AC2148">
        <f>'raw data Crude oil'!AC2149</f>
        <v>65.307000000000002</v>
      </c>
      <c r="AD2148">
        <f>'raw data Crude oil'!AD2149</f>
        <v>64.986999999999995</v>
      </c>
      <c r="AE2148">
        <f>'raw data Crude oil'!AE2149</f>
        <v>64.757000000000005</v>
      </c>
      <c r="AF2148">
        <f>'raw data Crude oil'!AF2149</f>
        <v>64.578000000000003</v>
      </c>
      <c r="AG2148">
        <f>'raw data Crude oil'!AG2149</f>
        <v>64.44</v>
      </c>
      <c r="AH2148">
        <f>'raw data Crude oil'!AH2149</f>
        <v>64.353999999999999</v>
      </c>
      <c r="AI2148">
        <f>'raw data Crude oil'!AI2149</f>
        <v>64.373000000000005</v>
      </c>
      <c r="AJ2148">
        <f>'raw data Crude oil'!AJ2149</f>
        <v>64.415000000000006</v>
      </c>
      <c r="AK2148">
        <f>'raw data Crude oil'!AK2149</f>
        <v>64.484999999999999</v>
      </c>
    </row>
    <row r="2149" spans="1:37" x14ac:dyDescent="0.3">
      <c r="A2149" s="18">
        <f>'raw data Crude oil'!A2150</f>
        <v>45775</v>
      </c>
      <c r="B2149">
        <f>'raw data Crude oil'!B2150</f>
        <v>65.86</v>
      </c>
      <c r="C2149">
        <f>'raw data Crude oil'!C2150</f>
        <v>64.790000000000006</v>
      </c>
      <c r="D2149">
        <f>'raw data Crude oil'!D2150</f>
        <v>64.31</v>
      </c>
      <c r="E2149">
        <f>'raw data Crude oil'!E2150</f>
        <v>64.010000000000005</v>
      </c>
      <c r="F2149">
        <f>'raw data Crude oil'!F2150</f>
        <v>63.84</v>
      </c>
      <c r="G2149">
        <f>'raw data Crude oil'!G2150</f>
        <v>63.76</v>
      </c>
      <c r="H2149">
        <f>'raw data Crude oil'!H2150</f>
        <v>63.7</v>
      </c>
      <c r="I2149">
        <f>'raw data Crude oil'!I2150</f>
        <v>63.68</v>
      </c>
      <c r="J2149">
        <f>'raw data Crude oil'!J2150</f>
        <v>63.7</v>
      </c>
      <c r="K2149">
        <f>'raw data Crude oil'!K2150</f>
        <v>63.75</v>
      </c>
      <c r="L2149">
        <f>'raw data Crude oil'!L2150</f>
        <v>63.83</v>
      </c>
      <c r="M2149">
        <f>'raw data Crude oil'!M2150</f>
        <v>63.94</v>
      </c>
      <c r="N2149">
        <f>'raw data Crude oil'!N2150</f>
        <v>62.05</v>
      </c>
      <c r="O2149">
        <f>'raw data Crude oil'!O2150</f>
        <v>61.37</v>
      </c>
      <c r="P2149">
        <f>'raw data Crude oil'!P2150</f>
        <v>60.82</v>
      </c>
      <c r="Q2149">
        <f>'raw data Crude oil'!Q2150</f>
        <v>60.43</v>
      </c>
      <c r="R2149">
        <f>'raw data Crude oil'!R2150</f>
        <v>60.16</v>
      </c>
      <c r="S2149">
        <f>'raw data Crude oil'!S2150</f>
        <v>60.01</v>
      </c>
      <c r="T2149">
        <f>'raw data Crude oil'!T2150</f>
        <v>59.93</v>
      </c>
      <c r="U2149">
        <f>'raw data Crude oil'!U2150</f>
        <v>59.87</v>
      </c>
      <c r="V2149">
        <f>'raw data Crude oil'!V2150</f>
        <v>59.87</v>
      </c>
      <c r="W2149">
        <f>'raw data Crude oil'!W2150</f>
        <v>59.91</v>
      </c>
      <c r="X2149">
        <f>'raw data Crude oil'!X2150</f>
        <v>59.98</v>
      </c>
      <c r="Y2149">
        <f>'raw data Crude oil'!Y2150</f>
        <v>60.1</v>
      </c>
      <c r="Z2149">
        <f>'raw data Crude oil'!Z2150</f>
        <v>68.058000000000007</v>
      </c>
      <c r="AA2149">
        <f>'raw data Crude oil'!AA2150</f>
        <v>65.546000000000006</v>
      </c>
      <c r="AB2149">
        <f>'raw data Crude oil'!AB2150</f>
        <v>64.745999999999995</v>
      </c>
      <c r="AC2149">
        <f>'raw data Crude oil'!AC2150</f>
        <v>64.275999999999996</v>
      </c>
      <c r="AD2149">
        <f>'raw data Crude oil'!AD2150</f>
        <v>64.016000000000005</v>
      </c>
      <c r="AE2149">
        <f>'raw data Crude oil'!AE2150</f>
        <v>63.856999999999999</v>
      </c>
      <c r="AF2149">
        <f>'raw data Crude oil'!AF2150</f>
        <v>63.747</v>
      </c>
      <c r="AG2149">
        <f>'raw data Crude oil'!AG2150</f>
        <v>63.682000000000002</v>
      </c>
      <c r="AH2149">
        <f>'raw data Crude oil'!AH2150</f>
        <v>63.637</v>
      </c>
      <c r="AI2149">
        <f>'raw data Crude oil'!AI2150</f>
        <v>63.676000000000002</v>
      </c>
      <c r="AJ2149">
        <f>'raw data Crude oil'!AJ2150</f>
        <v>63.746000000000002</v>
      </c>
      <c r="AK2149">
        <f>'raw data Crude oil'!AK2150</f>
        <v>63.854999999999997</v>
      </c>
    </row>
    <row r="2150" spans="1:37" x14ac:dyDescent="0.3">
      <c r="A2150" s="18">
        <f>'raw data Crude oil'!A2151</f>
        <v>45776</v>
      </c>
      <c r="B2150">
        <f>'raw data Crude oil'!B2151</f>
        <v>64.25</v>
      </c>
      <c r="C2150">
        <f>'raw data Crude oil'!C2151</f>
        <v>63.28</v>
      </c>
      <c r="D2150">
        <f>'raw data Crude oil'!D2151</f>
        <v>62.91</v>
      </c>
      <c r="E2150">
        <f>'raw data Crude oil'!E2151</f>
        <v>62.69</v>
      </c>
      <c r="F2150">
        <f>'raw data Crude oil'!F2151</f>
        <v>62.59</v>
      </c>
      <c r="G2150">
        <f>'raw data Crude oil'!G2151</f>
        <v>62.56</v>
      </c>
      <c r="H2150">
        <f>'raw data Crude oil'!H2151</f>
        <v>62.57</v>
      </c>
      <c r="I2150">
        <f>'raw data Crude oil'!I2151</f>
        <v>62.61</v>
      </c>
      <c r="J2150">
        <f>'raw data Crude oil'!J2151</f>
        <v>62.67</v>
      </c>
      <c r="K2150">
        <f>'raw data Crude oil'!K2151</f>
        <v>62.77</v>
      </c>
      <c r="L2150">
        <f>'raw data Crude oil'!L2151</f>
        <v>62.89</v>
      </c>
      <c r="M2150">
        <f>'raw data Crude oil'!M2151</f>
        <v>63.02</v>
      </c>
      <c r="N2150">
        <f>'raw data Crude oil'!N2151</f>
        <v>60.42</v>
      </c>
      <c r="O2150">
        <f>'raw data Crude oil'!O2151</f>
        <v>59.84</v>
      </c>
      <c r="P2150">
        <f>'raw data Crude oil'!P2151</f>
        <v>59.4</v>
      </c>
      <c r="Q2150">
        <f>'raw data Crude oil'!Q2151</f>
        <v>59.09</v>
      </c>
      <c r="R2150">
        <f>'raw data Crude oil'!R2151</f>
        <v>58.89</v>
      </c>
      <c r="S2150">
        <f>'raw data Crude oil'!S2151</f>
        <v>58.81</v>
      </c>
      <c r="T2150">
        <f>'raw data Crude oil'!T2151</f>
        <v>58.8</v>
      </c>
      <c r="U2150">
        <f>'raw data Crude oil'!U2151</f>
        <v>58.81</v>
      </c>
      <c r="V2150">
        <f>'raw data Crude oil'!V2151</f>
        <v>58.86</v>
      </c>
      <c r="W2150">
        <f>'raw data Crude oil'!W2151</f>
        <v>58.95</v>
      </c>
      <c r="X2150">
        <f>'raw data Crude oil'!X2151</f>
        <v>59.06</v>
      </c>
      <c r="Y2150">
        <f>'raw data Crude oil'!Y2151</f>
        <v>59.2</v>
      </c>
      <c r="Z2150">
        <f>'raw data Crude oil'!Z2151</f>
        <v>67.787999999999997</v>
      </c>
      <c r="AA2150">
        <f>'raw data Crude oil'!AA2151</f>
        <v>63.71</v>
      </c>
      <c r="AB2150">
        <f>'raw data Crude oil'!AB2151</f>
        <v>63.12</v>
      </c>
      <c r="AC2150">
        <f>'raw data Crude oil'!AC2151</f>
        <v>62.805999999999997</v>
      </c>
      <c r="AD2150">
        <f>'raw data Crude oil'!AD2151</f>
        <v>62.694000000000003</v>
      </c>
      <c r="AE2150">
        <f>'raw data Crude oil'!AE2151</f>
        <v>62.625</v>
      </c>
      <c r="AF2150">
        <f>'raw data Crude oil'!AF2151</f>
        <v>62.601999999999997</v>
      </c>
      <c r="AG2150">
        <f>'raw data Crude oil'!AG2151</f>
        <v>62.607999999999997</v>
      </c>
      <c r="AH2150">
        <f>'raw data Crude oil'!AH2151</f>
        <v>62.637999999999998</v>
      </c>
      <c r="AI2150">
        <f>'raw data Crude oil'!AI2151</f>
        <v>62.698</v>
      </c>
      <c r="AJ2150">
        <f>'raw data Crude oil'!AJ2151</f>
        <v>62.807000000000002</v>
      </c>
      <c r="AK2150">
        <f>'raw data Crude oil'!AK2151</f>
        <v>62.911000000000001</v>
      </c>
    </row>
    <row r="2151" spans="1:37" x14ac:dyDescent="0.3">
      <c r="A2151" s="18">
        <f>'raw data Crude oil'!A2152</f>
        <v>45777</v>
      </c>
      <c r="B2151">
        <f>'raw data Crude oil'!B2152</f>
        <v>63.12</v>
      </c>
      <c r="C2151">
        <f>'raw data Crude oil'!C2152</f>
        <v>61.06</v>
      </c>
      <c r="D2151">
        <f>'raw data Crude oil'!D2152</f>
        <v>60.67</v>
      </c>
      <c r="E2151">
        <f>'raw data Crude oil'!E2152</f>
        <v>60.43</v>
      </c>
      <c r="F2151">
        <f>'raw data Crude oil'!F2152</f>
        <v>60.32</v>
      </c>
      <c r="G2151">
        <f>'raw data Crude oil'!G2152</f>
        <v>60.31</v>
      </c>
      <c r="H2151">
        <f>'raw data Crude oil'!H2152</f>
        <v>60.32</v>
      </c>
      <c r="I2151">
        <f>'raw data Crude oil'!I2152</f>
        <v>60.38</v>
      </c>
      <c r="J2151">
        <f>'raw data Crude oil'!J2152</f>
        <v>60.47</v>
      </c>
      <c r="K2151">
        <f>'raw data Crude oil'!K2152</f>
        <v>60.59</v>
      </c>
      <c r="L2151">
        <f>'raw data Crude oil'!L2152</f>
        <v>60.73</v>
      </c>
      <c r="M2151">
        <f>'raw data Crude oil'!M2152</f>
        <v>60.88</v>
      </c>
      <c r="N2151">
        <f>'raw data Crude oil'!N2152</f>
        <v>58.21</v>
      </c>
      <c r="O2151">
        <f>'raw data Crude oil'!O2152</f>
        <v>57.62</v>
      </c>
      <c r="P2151">
        <f>'raw data Crude oil'!P2152</f>
        <v>57.19</v>
      </c>
      <c r="Q2151">
        <f>'raw data Crude oil'!Q2152</f>
        <v>56.88</v>
      </c>
      <c r="R2151">
        <f>'raw data Crude oil'!R2152</f>
        <v>56.68</v>
      </c>
      <c r="S2151">
        <f>'raw data Crude oil'!S2152</f>
        <v>56.6</v>
      </c>
      <c r="T2151">
        <f>'raw data Crude oil'!T2152</f>
        <v>56.6</v>
      </c>
      <c r="U2151">
        <f>'raw data Crude oil'!U2152</f>
        <v>56.64</v>
      </c>
      <c r="V2151">
        <f>'raw data Crude oil'!V2152</f>
        <v>56.71</v>
      </c>
      <c r="W2151">
        <f>'raw data Crude oil'!W2152</f>
        <v>56.81</v>
      </c>
      <c r="X2151">
        <f>'raw data Crude oil'!X2152</f>
        <v>56.95</v>
      </c>
      <c r="Y2151">
        <f>'raw data Crude oil'!Y2152</f>
        <v>57.11</v>
      </c>
      <c r="Z2151">
        <f>'raw data Crude oil'!Z2152</f>
        <v>67.738</v>
      </c>
      <c r="AA2151">
        <f>'raw data Crude oil'!AA2152</f>
        <v>61.374000000000002</v>
      </c>
      <c r="AB2151">
        <f>'raw data Crude oil'!AB2152</f>
        <v>60.673999999999999</v>
      </c>
      <c r="AC2151">
        <f>'raw data Crude oil'!AC2152</f>
        <v>60.35</v>
      </c>
      <c r="AD2151">
        <f>'raw data Crude oil'!AD2152</f>
        <v>60.258000000000003</v>
      </c>
      <c r="AE2151">
        <f>'raw data Crude oil'!AE2152</f>
        <v>60.213000000000001</v>
      </c>
      <c r="AF2151">
        <f>'raw data Crude oil'!AF2152</f>
        <v>60.210999999999999</v>
      </c>
      <c r="AG2151">
        <f>'raw data Crude oil'!AG2152</f>
        <v>60.244999999999997</v>
      </c>
      <c r="AH2151">
        <f>'raw data Crude oil'!AH2152</f>
        <v>60.311</v>
      </c>
      <c r="AI2151">
        <f>'raw data Crude oil'!AI2152</f>
        <v>60.406999999999996</v>
      </c>
      <c r="AJ2151">
        <f>'raw data Crude oil'!AJ2152</f>
        <v>60.558</v>
      </c>
      <c r="AK2151">
        <f>'raw data Crude oil'!AK2152</f>
        <v>60.716999999999999</v>
      </c>
    </row>
    <row r="2152" spans="1:37" x14ac:dyDescent="0.3">
      <c r="A2152" s="18">
        <f>'raw data Crude oil'!A2153</f>
        <v>45778</v>
      </c>
      <c r="B2152">
        <f>'raw data Crude oil'!B2153</f>
        <v>62.13</v>
      </c>
      <c r="C2152">
        <f>'raw data Crude oil'!C2153</f>
        <v>61.72</v>
      </c>
      <c r="D2152">
        <f>'raw data Crude oil'!D2153</f>
        <v>61.43</v>
      </c>
      <c r="E2152">
        <f>'raw data Crude oil'!E2153</f>
        <v>61.27</v>
      </c>
      <c r="F2152">
        <f>'raw data Crude oil'!F2153</f>
        <v>61.22</v>
      </c>
      <c r="G2152">
        <f>'raw data Crude oil'!G2153</f>
        <v>61.22</v>
      </c>
      <c r="H2152">
        <f>'raw data Crude oil'!H2153</f>
        <v>61.26</v>
      </c>
      <c r="I2152">
        <f>'raw data Crude oil'!I2153</f>
        <v>61.33</v>
      </c>
      <c r="J2152">
        <f>'raw data Crude oil'!J2153</f>
        <v>61.44</v>
      </c>
      <c r="K2152">
        <f>'raw data Crude oil'!K2153</f>
        <v>61.55</v>
      </c>
      <c r="L2152">
        <f>'raw data Crude oil'!L2153</f>
        <v>61.69</v>
      </c>
      <c r="M2152">
        <f>'raw data Crude oil'!M2153</f>
        <v>61.83</v>
      </c>
      <c r="N2152">
        <f>'raw data Crude oil'!N2153</f>
        <v>59.24</v>
      </c>
      <c r="O2152">
        <f>'raw data Crude oil'!O2153</f>
        <v>58.68</v>
      </c>
      <c r="P2152">
        <f>'raw data Crude oil'!P2153</f>
        <v>58.24</v>
      </c>
      <c r="Q2152">
        <f>'raw data Crude oil'!Q2153</f>
        <v>57.9</v>
      </c>
      <c r="R2152">
        <f>'raw data Crude oil'!R2153</f>
        <v>57.67</v>
      </c>
      <c r="S2152">
        <f>'raw data Crude oil'!S2153</f>
        <v>57.56</v>
      </c>
      <c r="T2152">
        <f>'raw data Crude oil'!T2153</f>
        <v>57.54</v>
      </c>
      <c r="U2152">
        <f>'raw data Crude oil'!U2153</f>
        <v>57.56</v>
      </c>
      <c r="V2152">
        <f>'raw data Crude oil'!V2153</f>
        <v>57.62</v>
      </c>
      <c r="W2152">
        <f>'raw data Crude oil'!W2153</f>
        <v>57.71</v>
      </c>
      <c r="X2152">
        <f>'raw data Crude oil'!X2153</f>
        <v>57.82</v>
      </c>
      <c r="Y2152">
        <f>'raw data Crude oil'!Y2153</f>
        <v>57.97</v>
      </c>
      <c r="Z2152">
        <f>'raw data Crude oil'!Z2153</f>
        <v>67.738</v>
      </c>
      <c r="AA2152">
        <f>'raw data Crude oil'!AA2153</f>
        <v>62.301000000000002</v>
      </c>
      <c r="AB2152">
        <f>'raw data Crude oil'!AB2153</f>
        <v>61.593000000000004</v>
      </c>
      <c r="AC2152">
        <f>'raw data Crude oil'!AC2153</f>
        <v>61.253</v>
      </c>
      <c r="AD2152">
        <f>'raw data Crude oil'!AD2153</f>
        <v>61.082999999999998</v>
      </c>
      <c r="AE2152">
        <f>'raw data Crude oil'!AE2153</f>
        <v>61.003</v>
      </c>
      <c r="AF2152">
        <f>'raw data Crude oil'!AF2153</f>
        <v>60.965000000000003</v>
      </c>
      <c r="AG2152">
        <f>'raw data Crude oil'!AG2153</f>
        <v>60.982999999999997</v>
      </c>
      <c r="AH2152">
        <f>'raw data Crude oil'!AH2153</f>
        <v>61.039000000000001</v>
      </c>
      <c r="AI2152">
        <f>'raw data Crude oil'!AI2153</f>
        <v>61.139000000000003</v>
      </c>
      <c r="AJ2152">
        <f>'raw data Crude oil'!AJ2153</f>
        <v>61.244</v>
      </c>
      <c r="AK2152">
        <f>'raw data Crude oil'!AK2153</f>
        <v>61.363</v>
      </c>
    </row>
    <row r="2153" spans="1:37" x14ac:dyDescent="0.3">
      <c r="A2153" s="18">
        <f>'raw data Crude oil'!A2154</f>
        <v>45779</v>
      </c>
      <c r="B2153">
        <f>'raw data Crude oil'!B2154</f>
        <v>61.29</v>
      </c>
      <c r="C2153">
        <f>'raw data Crude oil'!C2154</f>
        <v>60.93</v>
      </c>
      <c r="D2153">
        <f>'raw data Crude oil'!D2154</f>
        <v>60.7</v>
      </c>
      <c r="E2153">
        <f>'raw data Crude oil'!E2154</f>
        <v>60.6</v>
      </c>
      <c r="F2153">
        <f>'raw data Crude oil'!F2154</f>
        <v>60.62</v>
      </c>
      <c r="G2153">
        <f>'raw data Crude oil'!G2154</f>
        <v>60.68</v>
      </c>
      <c r="H2153">
        <f>'raw data Crude oil'!H2154</f>
        <v>60.78</v>
      </c>
      <c r="I2153">
        <f>'raw data Crude oil'!I2154</f>
        <v>60.91</v>
      </c>
      <c r="J2153">
        <f>'raw data Crude oil'!J2154</f>
        <v>61.06</v>
      </c>
      <c r="K2153">
        <f>'raw data Crude oil'!K2154</f>
        <v>61.21</v>
      </c>
      <c r="L2153">
        <f>'raw data Crude oil'!L2154</f>
        <v>61.37</v>
      </c>
      <c r="M2153">
        <f>'raw data Crude oil'!M2154</f>
        <v>61.53</v>
      </c>
      <c r="N2153">
        <f>'raw data Crude oil'!N2154</f>
        <v>58.29</v>
      </c>
      <c r="O2153">
        <f>'raw data Crude oil'!O2154</f>
        <v>57.83</v>
      </c>
      <c r="P2153">
        <f>'raw data Crude oil'!P2154</f>
        <v>57.48</v>
      </c>
      <c r="Q2153">
        <f>'raw data Crude oil'!Q2154</f>
        <v>57.21</v>
      </c>
      <c r="R2153">
        <f>'raw data Crude oil'!R2154</f>
        <v>57.05</v>
      </c>
      <c r="S2153">
        <f>'raw data Crude oil'!S2154</f>
        <v>57</v>
      </c>
      <c r="T2153">
        <f>'raw data Crude oil'!T2154</f>
        <v>57.04</v>
      </c>
      <c r="U2153">
        <f>'raw data Crude oil'!U2154</f>
        <v>57.11</v>
      </c>
      <c r="V2153">
        <f>'raw data Crude oil'!V2154</f>
        <v>57.21</v>
      </c>
      <c r="W2153">
        <f>'raw data Crude oil'!W2154</f>
        <v>57.34</v>
      </c>
      <c r="X2153">
        <f>'raw data Crude oil'!X2154</f>
        <v>57.49</v>
      </c>
      <c r="Y2153">
        <f>'raw data Crude oil'!Y2154</f>
        <v>57.66</v>
      </c>
      <c r="Z2153">
        <f>'raw data Crude oil'!Z2154</f>
        <v>61.05</v>
      </c>
      <c r="AA2153">
        <f>'raw data Crude oil'!AA2154</f>
        <v>60.488999999999997</v>
      </c>
      <c r="AB2153">
        <f>'raw data Crude oil'!AB2154</f>
        <v>60.231000000000002</v>
      </c>
      <c r="AC2153">
        <f>'raw data Crude oil'!AC2154</f>
        <v>60.110999999999997</v>
      </c>
      <c r="AD2153">
        <f>'raw data Crude oil'!AD2154</f>
        <v>60.091000000000001</v>
      </c>
      <c r="AE2153">
        <f>'raw data Crude oil'!AE2154</f>
        <v>60.112000000000002</v>
      </c>
      <c r="AF2153">
        <f>'raw data Crude oil'!AF2154</f>
        <v>60.192</v>
      </c>
      <c r="AG2153">
        <f>'raw data Crude oil'!AG2154</f>
        <v>60.292000000000002</v>
      </c>
      <c r="AH2153">
        <f>'raw data Crude oil'!AH2154</f>
        <v>60.442</v>
      </c>
      <c r="AI2153">
        <f>'raw data Crude oil'!AI2154</f>
        <v>60.612000000000002</v>
      </c>
      <c r="AJ2153">
        <f>'raw data Crude oil'!AJ2154</f>
        <v>60.780999999999999</v>
      </c>
      <c r="AK2153">
        <f>'raw data Crude oil'!AK2154</f>
        <v>60.945</v>
      </c>
    </row>
    <row r="2154" spans="1:37" x14ac:dyDescent="0.3">
      <c r="A2154" s="18">
        <f>'raw data Crude oil'!A2155</f>
        <v>45782</v>
      </c>
      <c r="B2154">
        <f>'raw data Crude oil'!B2155</f>
        <v>60.23</v>
      </c>
      <c r="C2154">
        <f>'raw data Crude oil'!C2155</f>
        <v>59.89</v>
      </c>
      <c r="D2154">
        <f>'raw data Crude oil'!D2155</f>
        <v>59.7</v>
      </c>
      <c r="E2154">
        <f>'raw data Crude oil'!E2155</f>
        <v>59.65</v>
      </c>
      <c r="F2154">
        <f>'raw data Crude oil'!F2155</f>
        <v>59.73</v>
      </c>
      <c r="G2154">
        <f>'raw data Crude oil'!G2155</f>
        <v>59.86</v>
      </c>
      <c r="H2154">
        <f>'raw data Crude oil'!H2155</f>
        <v>60.01</v>
      </c>
      <c r="I2154">
        <f>'raw data Crude oil'!I2155</f>
        <v>60.18</v>
      </c>
      <c r="J2154">
        <f>'raw data Crude oil'!J2155</f>
        <v>60.35</v>
      </c>
      <c r="K2154">
        <f>'raw data Crude oil'!K2155</f>
        <v>60.52</v>
      </c>
      <c r="L2154">
        <f>'raw data Crude oil'!L2155</f>
        <v>60.69</v>
      </c>
      <c r="M2154">
        <f>'raw data Crude oil'!M2155</f>
        <v>60.85</v>
      </c>
      <c r="N2154">
        <f>'raw data Crude oil'!N2155</f>
        <v>57.13</v>
      </c>
      <c r="O2154">
        <f>'raw data Crude oil'!O2155</f>
        <v>56.75</v>
      </c>
      <c r="P2154">
        <f>'raw data Crude oil'!P2155</f>
        <v>56.46</v>
      </c>
      <c r="Q2154">
        <f>'raw data Crude oil'!Q2155</f>
        <v>56.24</v>
      </c>
      <c r="R2154">
        <f>'raw data Crude oil'!R2155</f>
        <v>56.15</v>
      </c>
      <c r="S2154">
        <f>'raw data Crude oil'!S2155</f>
        <v>56.18</v>
      </c>
      <c r="T2154">
        <f>'raw data Crude oil'!T2155</f>
        <v>56.28</v>
      </c>
      <c r="U2154">
        <f>'raw data Crude oil'!U2155</f>
        <v>56.4</v>
      </c>
      <c r="V2154">
        <f>'raw data Crude oil'!V2155</f>
        <v>56.54</v>
      </c>
      <c r="W2154">
        <f>'raw data Crude oil'!W2155</f>
        <v>56.69</v>
      </c>
      <c r="X2154">
        <f>'raw data Crude oil'!X2155</f>
        <v>56.86</v>
      </c>
      <c r="Y2154">
        <f>'raw data Crude oil'!Y2155</f>
        <v>57.04</v>
      </c>
      <c r="Z2154">
        <f>'raw data Crude oil'!Z2155</f>
        <v>59.98</v>
      </c>
      <c r="AA2154">
        <f>'raw data Crude oil'!AA2155</f>
        <v>59.290999999999997</v>
      </c>
      <c r="AB2154">
        <f>'raw data Crude oil'!AB2155</f>
        <v>59.058</v>
      </c>
      <c r="AC2154">
        <f>'raw data Crude oil'!AC2155</f>
        <v>58.968000000000004</v>
      </c>
      <c r="AD2154">
        <f>'raw data Crude oil'!AD2155</f>
        <v>58.997999999999998</v>
      </c>
      <c r="AE2154">
        <f>'raw data Crude oil'!AE2155</f>
        <v>59.073999999999998</v>
      </c>
      <c r="AF2154">
        <f>'raw data Crude oil'!AF2155</f>
        <v>59.204000000000001</v>
      </c>
      <c r="AG2154">
        <f>'raw data Crude oil'!AG2155</f>
        <v>59.363999999999997</v>
      </c>
      <c r="AH2154">
        <f>'raw data Crude oil'!AH2155</f>
        <v>59.546999999999997</v>
      </c>
      <c r="AI2154">
        <f>'raw data Crude oil'!AI2155</f>
        <v>59.737000000000002</v>
      </c>
      <c r="AJ2154">
        <f>'raw data Crude oil'!AJ2155</f>
        <v>59.921999999999997</v>
      </c>
      <c r="AK2154">
        <f>'raw data Crude oil'!AK2155</f>
        <v>60.095999999999997</v>
      </c>
    </row>
    <row r="2155" spans="1:37" x14ac:dyDescent="0.3">
      <c r="A2155" s="18">
        <f>'raw data Crude oil'!A2156</f>
        <v>45783</v>
      </c>
      <c r="B2155">
        <f>'raw data Crude oil'!B2156</f>
        <v>62.15</v>
      </c>
      <c r="C2155">
        <f>'raw data Crude oil'!C2156</f>
        <v>61.75</v>
      </c>
      <c r="D2155">
        <f>'raw data Crude oil'!D2156</f>
        <v>61.48</v>
      </c>
      <c r="E2155">
        <f>'raw data Crude oil'!E2156</f>
        <v>61.37</v>
      </c>
      <c r="F2155">
        <f>'raw data Crude oil'!F2156</f>
        <v>61.4</v>
      </c>
      <c r="G2155">
        <f>'raw data Crude oil'!G2156</f>
        <v>61.48</v>
      </c>
      <c r="H2155">
        <f>'raw data Crude oil'!H2156</f>
        <v>61.6</v>
      </c>
      <c r="I2155">
        <f>'raw data Crude oil'!I2156</f>
        <v>61.74</v>
      </c>
      <c r="J2155">
        <f>'raw data Crude oil'!J2156</f>
        <v>61.9</v>
      </c>
      <c r="K2155">
        <f>'raw data Crude oil'!K2156</f>
        <v>62.06</v>
      </c>
      <c r="L2155">
        <f>'raw data Crude oil'!L2156</f>
        <v>62.22</v>
      </c>
      <c r="M2155">
        <f>'raw data Crude oil'!M2156</f>
        <v>62.37</v>
      </c>
      <c r="N2155">
        <f>'raw data Crude oil'!N2156</f>
        <v>59.09</v>
      </c>
      <c r="O2155">
        <f>'raw data Crude oil'!O2156</f>
        <v>58.68</v>
      </c>
      <c r="P2155">
        <f>'raw data Crude oil'!P2156</f>
        <v>58.3</v>
      </c>
      <c r="Q2155">
        <f>'raw data Crude oil'!Q2156</f>
        <v>58.02</v>
      </c>
      <c r="R2155">
        <f>'raw data Crude oil'!R2156</f>
        <v>57.88</v>
      </c>
      <c r="S2155">
        <f>'raw data Crude oil'!S2156</f>
        <v>57.87</v>
      </c>
      <c r="T2155">
        <f>'raw data Crude oil'!T2156</f>
        <v>57.95</v>
      </c>
      <c r="U2155">
        <f>'raw data Crude oil'!U2156</f>
        <v>58.05</v>
      </c>
      <c r="V2155">
        <f>'raw data Crude oil'!V2156</f>
        <v>58.18</v>
      </c>
      <c r="W2155">
        <f>'raw data Crude oil'!W2156</f>
        <v>58.32</v>
      </c>
      <c r="X2155">
        <f>'raw data Crude oil'!X2156</f>
        <v>58.48</v>
      </c>
      <c r="Y2155">
        <f>'raw data Crude oil'!Y2156</f>
        <v>58.65</v>
      </c>
      <c r="Z2155">
        <f>'raw data Crude oil'!Z2156</f>
        <v>62.209000000000003</v>
      </c>
      <c r="AA2155">
        <f>'raw data Crude oil'!AA2156</f>
        <v>61.627000000000002</v>
      </c>
      <c r="AB2155">
        <f>'raw data Crude oil'!AB2156</f>
        <v>61.22</v>
      </c>
      <c r="AC2155">
        <f>'raw data Crude oil'!AC2156</f>
        <v>61.036000000000001</v>
      </c>
      <c r="AD2155">
        <f>'raw data Crude oil'!AD2156</f>
        <v>60.996000000000002</v>
      </c>
      <c r="AE2155">
        <f>'raw data Crude oil'!AE2156</f>
        <v>61.015999999999998</v>
      </c>
      <c r="AF2155">
        <f>'raw data Crude oil'!AF2156</f>
        <v>61.085999999999999</v>
      </c>
      <c r="AG2155">
        <f>'raw data Crude oil'!AG2156</f>
        <v>61.186</v>
      </c>
      <c r="AH2155">
        <f>'raw data Crude oil'!AH2156</f>
        <v>61.347999999999999</v>
      </c>
      <c r="AI2155">
        <f>'raw data Crude oil'!AI2156</f>
        <v>61.527999999999999</v>
      </c>
      <c r="AJ2155">
        <f>'raw data Crude oil'!AJ2156</f>
        <v>61.707000000000001</v>
      </c>
      <c r="AK2155">
        <f>'raw data Crude oil'!AK2156</f>
        <v>61.856000000000002</v>
      </c>
    </row>
    <row r="2156" spans="1:37" x14ac:dyDescent="0.3">
      <c r="A2156" s="18">
        <f>'raw data Crude oil'!A2157</f>
        <v>45784</v>
      </c>
      <c r="B2156">
        <f>'raw data Crude oil'!B2157</f>
        <v>61.12</v>
      </c>
      <c r="C2156">
        <f>'raw data Crude oil'!C2157</f>
        <v>60.79</v>
      </c>
      <c r="D2156">
        <f>'raw data Crude oil'!D2157</f>
        <v>60.52</v>
      </c>
      <c r="E2156">
        <f>'raw data Crude oil'!E2157</f>
        <v>60.4</v>
      </c>
      <c r="F2156">
        <f>'raw data Crude oil'!F2157</f>
        <v>60.42</v>
      </c>
      <c r="G2156">
        <f>'raw data Crude oil'!G2157</f>
        <v>60.5</v>
      </c>
      <c r="H2156">
        <f>'raw data Crude oil'!H2157</f>
        <v>60.61</v>
      </c>
      <c r="I2156">
        <f>'raw data Crude oil'!I2157</f>
        <v>60.75</v>
      </c>
      <c r="J2156">
        <f>'raw data Crude oil'!J2157</f>
        <v>60.91</v>
      </c>
      <c r="K2156">
        <f>'raw data Crude oil'!K2157</f>
        <v>61.08</v>
      </c>
      <c r="L2156">
        <f>'raw data Crude oil'!L2157</f>
        <v>61.26</v>
      </c>
      <c r="M2156">
        <f>'raw data Crude oil'!M2157</f>
        <v>61.43</v>
      </c>
      <c r="N2156">
        <f>'raw data Crude oil'!N2157</f>
        <v>58.07</v>
      </c>
      <c r="O2156">
        <f>'raw data Crude oil'!O2157</f>
        <v>57.7</v>
      </c>
      <c r="P2156">
        <f>'raw data Crude oil'!P2157</f>
        <v>57.34</v>
      </c>
      <c r="Q2156">
        <f>'raw data Crude oil'!Q2157</f>
        <v>57.05</v>
      </c>
      <c r="R2156">
        <f>'raw data Crude oil'!R2157</f>
        <v>56.9</v>
      </c>
      <c r="S2156">
        <f>'raw data Crude oil'!S2157</f>
        <v>56.88</v>
      </c>
      <c r="T2156">
        <f>'raw data Crude oil'!T2157</f>
        <v>56.94</v>
      </c>
      <c r="U2156">
        <f>'raw data Crude oil'!U2157</f>
        <v>57.05</v>
      </c>
      <c r="V2156">
        <f>'raw data Crude oil'!V2157</f>
        <v>57.19</v>
      </c>
      <c r="W2156">
        <f>'raw data Crude oil'!W2157</f>
        <v>57.35</v>
      </c>
      <c r="X2156">
        <f>'raw data Crude oil'!X2157</f>
        <v>57.53</v>
      </c>
      <c r="Y2156">
        <f>'raw data Crude oil'!Y2157</f>
        <v>57.72</v>
      </c>
      <c r="Z2156">
        <f>'raw data Crude oil'!Z2157</f>
        <v>61.582999999999998</v>
      </c>
      <c r="AA2156">
        <f>'raw data Crude oil'!AA2157</f>
        <v>60.756999999999998</v>
      </c>
      <c r="AB2156">
        <f>'raw data Crude oil'!AB2157</f>
        <v>60.326999999999998</v>
      </c>
      <c r="AC2156">
        <f>'raw data Crude oil'!AC2157</f>
        <v>60.127000000000002</v>
      </c>
      <c r="AD2156">
        <f>'raw data Crude oil'!AD2157</f>
        <v>60.070999999999998</v>
      </c>
      <c r="AE2156">
        <f>'raw data Crude oil'!AE2157</f>
        <v>60.091000000000001</v>
      </c>
      <c r="AF2156">
        <f>'raw data Crude oil'!AF2157</f>
        <v>60.152000000000001</v>
      </c>
      <c r="AG2156">
        <f>'raw data Crude oil'!AG2157</f>
        <v>60.262</v>
      </c>
      <c r="AH2156">
        <f>'raw data Crude oil'!AH2157</f>
        <v>60.414999999999999</v>
      </c>
      <c r="AI2156">
        <f>'raw data Crude oil'!AI2157</f>
        <v>60.585999999999999</v>
      </c>
      <c r="AJ2156">
        <f>'raw data Crude oil'!AJ2157</f>
        <v>60.765000000000001</v>
      </c>
      <c r="AK2156">
        <f>'raw data Crude oil'!AK2157</f>
        <v>60.930999999999997</v>
      </c>
    </row>
    <row r="2157" spans="1:37" x14ac:dyDescent="0.3">
      <c r="A2157" s="18">
        <f>'raw data Crude oil'!A2158</f>
        <v>45785</v>
      </c>
      <c r="B2157">
        <f>'raw data Crude oil'!B2158</f>
        <v>62.84</v>
      </c>
      <c r="C2157">
        <f>'raw data Crude oil'!C2158</f>
        <v>62.45</v>
      </c>
      <c r="D2157">
        <f>'raw data Crude oil'!D2158</f>
        <v>62.12</v>
      </c>
      <c r="E2157">
        <f>'raw data Crude oil'!E2158</f>
        <v>61.95</v>
      </c>
      <c r="F2157">
        <f>'raw data Crude oil'!F2158</f>
        <v>61.9</v>
      </c>
      <c r="G2157">
        <f>'raw data Crude oil'!G2158</f>
        <v>61.9</v>
      </c>
      <c r="H2157">
        <f>'raw data Crude oil'!H2158</f>
        <v>61.96</v>
      </c>
      <c r="I2157">
        <f>'raw data Crude oil'!I2158</f>
        <v>62.05</v>
      </c>
      <c r="J2157">
        <f>'raw data Crude oil'!J2158</f>
        <v>62.17</v>
      </c>
      <c r="K2157">
        <f>'raw data Crude oil'!K2158</f>
        <v>62.3</v>
      </c>
      <c r="L2157">
        <f>'raw data Crude oil'!L2158</f>
        <v>62.46</v>
      </c>
      <c r="M2157">
        <f>'raw data Crude oil'!M2158</f>
        <v>62.61</v>
      </c>
      <c r="N2157">
        <f>'raw data Crude oil'!N2158</f>
        <v>59.91</v>
      </c>
      <c r="O2157">
        <f>'raw data Crude oil'!O2158</f>
        <v>59.52</v>
      </c>
      <c r="P2157">
        <f>'raw data Crude oil'!P2158</f>
        <v>59.09</v>
      </c>
      <c r="Q2157">
        <f>'raw data Crude oil'!Q2158</f>
        <v>58.72</v>
      </c>
      <c r="R2157">
        <f>'raw data Crude oil'!R2158</f>
        <v>58.48</v>
      </c>
      <c r="S2157">
        <f>'raw data Crude oil'!S2158</f>
        <v>58.4</v>
      </c>
      <c r="T2157">
        <f>'raw data Crude oil'!T2158</f>
        <v>58.39</v>
      </c>
      <c r="U2157">
        <f>'raw data Crude oil'!U2158</f>
        <v>58.44</v>
      </c>
      <c r="V2157">
        <f>'raw data Crude oil'!V2158</f>
        <v>58.52</v>
      </c>
      <c r="W2157">
        <f>'raw data Crude oil'!W2158</f>
        <v>58.64</v>
      </c>
      <c r="X2157">
        <f>'raw data Crude oil'!X2158</f>
        <v>58.78</v>
      </c>
      <c r="Y2157">
        <f>'raw data Crude oil'!Y2158</f>
        <v>58.95</v>
      </c>
      <c r="Z2157">
        <f>'raw data Crude oil'!Z2158</f>
        <v>63.01</v>
      </c>
      <c r="AA2157">
        <f>'raw data Crude oil'!AA2158</f>
        <v>62.56</v>
      </c>
      <c r="AB2157">
        <f>'raw data Crude oil'!AB2158</f>
        <v>62.061</v>
      </c>
      <c r="AC2157">
        <f>'raw data Crude oil'!AC2158</f>
        <v>61.81</v>
      </c>
      <c r="AD2157">
        <f>'raw data Crude oil'!AD2158</f>
        <v>61.69</v>
      </c>
      <c r="AE2157">
        <f>'raw data Crude oil'!AE2158</f>
        <v>61.649000000000001</v>
      </c>
      <c r="AF2157">
        <f>'raw data Crude oil'!AF2158</f>
        <v>61.668999999999997</v>
      </c>
      <c r="AG2157">
        <f>'raw data Crude oil'!AG2158</f>
        <v>61.716999999999999</v>
      </c>
      <c r="AH2157">
        <f>'raw data Crude oil'!AH2158</f>
        <v>61.802</v>
      </c>
      <c r="AI2157">
        <f>'raw data Crude oil'!AI2158</f>
        <v>61.938000000000002</v>
      </c>
      <c r="AJ2157">
        <f>'raw data Crude oil'!AJ2158</f>
        <v>62.106999999999999</v>
      </c>
      <c r="AK2157">
        <f>'raw data Crude oil'!AK2158</f>
        <v>62.225999999999999</v>
      </c>
    </row>
    <row r="2158" spans="1:37" x14ac:dyDescent="0.3">
      <c r="A2158" s="18">
        <f>'raw data Crude oil'!A2159</f>
        <v>45786</v>
      </c>
      <c r="B2158">
        <f>'raw data Crude oil'!B2159</f>
        <v>63.91</v>
      </c>
      <c r="C2158">
        <f>'raw data Crude oil'!C2159</f>
        <v>63.43</v>
      </c>
      <c r="D2158">
        <f>'raw data Crude oil'!D2159</f>
        <v>63.02</v>
      </c>
      <c r="E2158">
        <f>'raw data Crude oil'!E2159</f>
        <v>62.78</v>
      </c>
      <c r="F2158">
        <f>'raw data Crude oil'!F2159</f>
        <v>62.68</v>
      </c>
      <c r="G2158">
        <f>'raw data Crude oil'!G2159</f>
        <v>62.63</v>
      </c>
      <c r="H2158">
        <f>'raw data Crude oil'!H2159</f>
        <v>62.64</v>
      </c>
      <c r="I2158">
        <f>'raw data Crude oil'!I2159</f>
        <v>62.7</v>
      </c>
      <c r="J2158">
        <f>'raw data Crude oil'!J2159</f>
        <v>62.78</v>
      </c>
      <c r="K2158">
        <f>'raw data Crude oil'!K2159</f>
        <v>62.89</v>
      </c>
      <c r="L2158">
        <f>'raw data Crude oil'!L2159</f>
        <v>63.02</v>
      </c>
      <c r="M2158">
        <f>'raw data Crude oil'!M2159</f>
        <v>63.16</v>
      </c>
      <c r="N2158">
        <f>'raw data Crude oil'!N2159</f>
        <v>61.02</v>
      </c>
      <c r="O2158">
        <f>'raw data Crude oil'!O2159</f>
        <v>60.58</v>
      </c>
      <c r="P2158">
        <f>'raw data Crude oil'!P2159</f>
        <v>60.07</v>
      </c>
      <c r="Q2158">
        <f>'raw data Crude oil'!Q2159</f>
        <v>59.62</v>
      </c>
      <c r="R2158">
        <f>'raw data Crude oil'!R2159</f>
        <v>59.31</v>
      </c>
      <c r="S2158">
        <f>'raw data Crude oil'!S2159</f>
        <v>59.16</v>
      </c>
      <c r="T2158">
        <f>'raw data Crude oil'!T2159</f>
        <v>59.1</v>
      </c>
      <c r="U2158">
        <f>'raw data Crude oil'!U2159</f>
        <v>59.11</v>
      </c>
      <c r="V2158">
        <f>'raw data Crude oil'!V2159</f>
        <v>59.14</v>
      </c>
      <c r="W2158">
        <f>'raw data Crude oil'!W2159</f>
        <v>59.24</v>
      </c>
      <c r="X2158">
        <f>'raw data Crude oil'!X2159</f>
        <v>59.37</v>
      </c>
      <c r="Y2158">
        <f>'raw data Crude oil'!Y2159</f>
        <v>59.51</v>
      </c>
      <c r="Z2158">
        <f>'raw data Crude oil'!Z2159</f>
        <v>63.715000000000003</v>
      </c>
      <c r="AA2158">
        <f>'raw data Crude oil'!AA2159</f>
        <v>63.613</v>
      </c>
      <c r="AB2158">
        <f>'raw data Crude oil'!AB2159</f>
        <v>63.088000000000001</v>
      </c>
      <c r="AC2158">
        <f>'raw data Crude oil'!AC2159</f>
        <v>62.765000000000001</v>
      </c>
      <c r="AD2158">
        <f>'raw data Crude oil'!AD2159</f>
        <v>62.567999999999998</v>
      </c>
      <c r="AE2158">
        <f>'raw data Crude oil'!AE2159</f>
        <v>62.478000000000002</v>
      </c>
      <c r="AF2158">
        <f>'raw data Crude oil'!AF2159</f>
        <v>62.448</v>
      </c>
      <c r="AG2158">
        <f>'raw data Crude oil'!AG2159</f>
        <v>62.454000000000001</v>
      </c>
      <c r="AH2158">
        <f>'raw data Crude oil'!AH2159</f>
        <v>62.512</v>
      </c>
      <c r="AI2158">
        <f>'raw data Crude oil'!AI2159</f>
        <v>62.624000000000002</v>
      </c>
      <c r="AJ2158">
        <f>'raw data Crude oil'!AJ2159</f>
        <v>62.753</v>
      </c>
      <c r="AK2158">
        <f>'raw data Crude oil'!AK2159</f>
        <v>62.85</v>
      </c>
    </row>
    <row r="2159" spans="1:37" x14ac:dyDescent="0.3">
      <c r="A2159" s="18">
        <f>'raw data Crude oil'!A2160</f>
        <v>45789</v>
      </c>
      <c r="B2159">
        <f>'raw data Crude oil'!B2160</f>
        <v>64.959999999999994</v>
      </c>
      <c r="C2159">
        <f>'raw data Crude oil'!C2160</f>
        <v>64.55</v>
      </c>
      <c r="D2159">
        <f>'raw data Crude oil'!D2160</f>
        <v>64.180000000000007</v>
      </c>
      <c r="E2159">
        <f>'raw data Crude oil'!E2160</f>
        <v>63.95</v>
      </c>
      <c r="F2159">
        <f>'raw data Crude oil'!F2160</f>
        <v>63.85</v>
      </c>
      <c r="G2159">
        <f>'raw data Crude oil'!G2160</f>
        <v>63.8</v>
      </c>
      <c r="H2159">
        <f>'raw data Crude oil'!H2160</f>
        <v>63.81</v>
      </c>
      <c r="I2159">
        <f>'raw data Crude oil'!I2160</f>
        <v>63.87</v>
      </c>
      <c r="J2159">
        <f>'raw data Crude oil'!J2160</f>
        <v>63.95</v>
      </c>
      <c r="K2159">
        <f>'raw data Crude oil'!K2160</f>
        <v>64.05</v>
      </c>
      <c r="L2159">
        <f>'raw data Crude oil'!L2160</f>
        <v>64.17</v>
      </c>
      <c r="M2159">
        <f>'raw data Crude oil'!M2160</f>
        <v>64.3</v>
      </c>
      <c r="N2159">
        <f>'raw data Crude oil'!N2160</f>
        <v>61.95</v>
      </c>
      <c r="O2159">
        <f>'raw data Crude oil'!O2160</f>
        <v>61.56</v>
      </c>
      <c r="P2159">
        <f>'raw data Crude oil'!P2160</f>
        <v>61.11</v>
      </c>
      <c r="Q2159">
        <f>'raw data Crude oil'!Q2160</f>
        <v>60.7</v>
      </c>
      <c r="R2159">
        <f>'raw data Crude oil'!R2160</f>
        <v>60.41</v>
      </c>
      <c r="S2159">
        <f>'raw data Crude oil'!S2160</f>
        <v>60.26</v>
      </c>
      <c r="T2159">
        <f>'raw data Crude oil'!T2160</f>
        <v>60.2</v>
      </c>
      <c r="U2159">
        <f>'raw data Crude oil'!U2160</f>
        <v>60.21</v>
      </c>
      <c r="V2159">
        <f>'raw data Crude oil'!V2160</f>
        <v>60.26</v>
      </c>
      <c r="W2159">
        <f>'raw data Crude oil'!W2160</f>
        <v>60.34</v>
      </c>
      <c r="X2159">
        <f>'raw data Crude oil'!X2160</f>
        <v>60.45</v>
      </c>
      <c r="Y2159">
        <f>'raw data Crude oil'!Y2160</f>
        <v>60.59</v>
      </c>
      <c r="Z2159">
        <f>'raw data Crude oil'!Z2160</f>
        <v>64.445999999999998</v>
      </c>
      <c r="AA2159">
        <f>'raw data Crude oil'!AA2160</f>
        <v>64.656999999999996</v>
      </c>
      <c r="AB2159">
        <f>'raw data Crude oil'!AB2160</f>
        <v>64.16</v>
      </c>
      <c r="AC2159">
        <f>'raw data Crude oil'!AC2160</f>
        <v>63.86</v>
      </c>
      <c r="AD2159">
        <f>'raw data Crude oil'!AD2160</f>
        <v>63.66</v>
      </c>
      <c r="AE2159">
        <f>'raw data Crude oil'!AE2160</f>
        <v>63.57</v>
      </c>
      <c r="AF2159">
        <f>'raw data Crude oil'!AF2160</f>
        <v>63.548000000000002</v>
      </c>
      <c r="AG2159">
        <f>'raw data Crude oil'!AG2160</f>
        <v>63.563000000000002</v>
      </c>
      <c r="AH2159">
        <f>'raw data Crude oil'!AH2160</f>
        <v>63.604999999999997</v>
      </c>
      <c r="AI2159">
        <f>'raw data Crude oil'!AI2160</f>
        <v>63.716000000000001</v>
      </c>
      <c r="AJ2159">
        <f>'raw data Crude oil'!AJ2160</f>
        <v>63.843000000000004</v>
      </c>
      <c r="AK2159">
        <f>'raw data Crude oil'!AK2160</f>
        <v>63.929000000000002</v>
      </c>
    </row>
    <row r="2160" spans="1:37" x14ac:dyDescent="0.3">
      <c r="A2160" s="18">
        <f>'raw data Crude oil'!A2161</f>
        <v>45790</v>
      </c>
      <c r="B2160">
        <f>'raw data Crude oil'!B2161</f>
        <v>66.63</v>
      </c>
      <c r="C2160">
        <f>'raw data Crude oil'!C2161</f>
        <v>66.13</v>
      </c>
      <c r="D2160">
        <f>'raw data Crude oil'!D2161</f>
        <v>65.680000000000007</v>
      </c>
      <c r="E2160">
        <f>'raw data Crude oil'!E2161</f>
        <v>65.36</v>
      </c>
      <c r="F2160">
        <f>'raw data Crude oil'!F2161</f>
        <v>65.180000000000007</v>
      </c>
      <c r="G2160">
        <f>'raw data Crude oil'!G2161</f>
        <v>65.08</v>
      </c>
      <c r="H2160">
        <f>'raw data Crude oil'!H2161</f>
        <v>65.040000000000006</v>
      </c>
      <c r="I2160">
        <f>'raw data Crude oil'!I2161</f>
        <v>65.05</v>
      </c>
      <c r="J2160">
        <f>'raw data Crude oil'!J2161</f>
        <v>65.099999999999994</v>
      </c>
      <c r="K2160">
        <f>'raw data Crude oil'!K2161</f>
        <v>65.16</v>
      </c>
      <c r="L2160">
        <f>'raw data Crude oil'!L2161</f>
        <v>65.25</v>
      </c>
      <c r="M2160">
        <f>'raw data Crude oil'!M2161</f>
        <v>65.349999999999994</v>
      </c>
      <c r="N2160">
        <f>'raw data Crude oil'!N2161</f>
        <v>63.67</v>
      </c>
      <c r="O2160">
        <f>'raw data Crude oil'!O2161</f>
        <v>63.25</v>
      </c>
      <c r="P2160">
        <f>'raw data Crude oil'!P2161</f>
        <v>62.74</v>
      </c>
      <c r="Q2160">
        <f>'raw data Crude oil'!Q2161</f>
        <v>62.25</v>
      </c>
      <c r="R2160">
        <f>'raw data Crude oil'!R2161</f>
        <v>61.87</v>
      </c>
      <c r="S2160">
        <f>'raw data Crude oil'!S2161</f>
        <v>61.64</v>
      </c>
      <c r="T2160">
        <f>'raw data Crude oil'!T2161</f>
        <v>61.52</v>
      </c>
      <c r="U2160">
        <f>'raw data Crude oil'!U2161</f>
        <v>61.48</v>
      </c>
      <c r="V2160">
        <f>'raw data Crude oil'!V2161</f>
        <v>61.48</v>
      </c>
      <c r="W2160">
        <f>'raw data Crude oil'!W2161</f>
        <v>61.52</v>
      </c>
      <c r="X2160">
        <f>'raw data Crude oil'!X2161</f>
        <v>61.59</v>
      </c>
      <c r="Y2160">
        <f>'raw data Crude oil'!Y2161</f>
        <v>61.7</v>
      </c>
      <c r="Z2160">
        <f>'raw data Crude oil'!Z2161</f>
        <v>65.293000000000006</v>
      </c>
      <c r="AA2160">
        <f>'raw data Crude oil'!AA2161</f>
        <v>65.974000000000004</v>
      </c>
      <c r="AB2160">
        <f>'raw data Crude oil'!AB2161</f>
        <v>65.474000000000004</v>
      </c>
      <c r="AC2160">
        <f>'raw data Crude oil'!AC2161</f>
        <v>65.134</v>
      </c>
      <c r="AD2160">
        <f>'raw data Crude oil'!AD2161</f>
        <v>64.897999999999996</v>
      </c>
      <c r="AE2160">
        <f>'raw data Crude oil'!AE2161</f>
        <v>64.771000000000001</v>
      </c>
      <c r="AF2160">
        <f>'raw data Crude oil'!AF2161</f>
        <v>64.706000000000003</v>
      </c>
      <c r="AG2160">
        <f>'raw data Crude oil'!AG2161</f>
        <v>64.691000000000003</v>
      </c>
      <c r="AH2160">
        <f>'raw data Crude oil'!AH2161</f>
        <v>64.736000000000004</v>
      </c>
      <c r="AI2160">
        <f>'raw data Crude oil'!AI2161</f>
        <v>64.792000000000002</v>
      </c>
      <c r="AJ2160">
        <f>'raw data Crude oil'!AJ2161</f>
        <v>64.879000000000005</v>
      </c>
      <c r="AK2160">
        <f>'raw data Crude oil'!AK2161</f>
        <v>64.959999999999994</v>
      </c>
    </row>
    <row r="2161" spans="1:37" x14ac:dyDescent="0.3">
      <c r="A2161" s="18">
        <f>'raw data Crude oil'!A2162</f>
        <v>45791</v>
      </c>
      <c r="B2161">
        <f>'raw data Crude oil'!B2162</f>
        <v>66.09</v>
      </c>
      <c r="C2161">
        <f>'raw data Crude oil'!C2162</f>
        <v>65.58</v>
      </c>
      <c r="D2161">
        <f>'raw data Crude oil'!D2162</f>
        <v>65.14</v>
      </c>
      <c r="E2161">
        <f>'raw data Crude oil'!E2162</f>
        <v>64.84</v>
      </c>
      <c r="F2161">
        <f>'raw data Crude oil'!F2162</f>
        <v>64.680000000000007</v>
      </c>
      <c r="G2161">
        <f>'raw data Crude oil'!G2162</f>
        <v>64.599999999999994</v>
      </c>
      <c r="H2161">
        <f>'raw data Crude oil'!H2162</f>
        <v>64.59</v>
      </c>
      <c r="I2161">
        <f>'raw data Crude oil'!I2162</f>
        <v>64.62</v>
      </c>
      <c r="J2161">
        <f>'raw data Crude oil'!J2162</f>
        <v>64.680000000000007</v>
      </c>
      <c r="K2161">
        <f>'raw data Crude oil'!K2162</f>
        <v>64.75</v>
      </c>
      <c r="L2161">
        <f>'raw data Crude oil'!L2162</f>
        <v>64.83</v>
      </c>
      <c r="M2161">
        <f>'raw data Crude oil'!M2162</f>
        <v>64.92</v>
      </c>
      <c r="N2161">
        <f>'raw data Crude oil'!N2162</f>
        <v>63.15</v>
      </c>
      <c r="O2161">
        <f>'raw data Crude oil'!O2162</f>
        <v>62.68</v>
      </c>
      <c r="P2161">
        <f>'raw data Crude oil'!P2162</f>
        <v>62.14</v>
      </c>
      <c r="Q2161">
        <f>'raw data Crude oil'!Q2162</f>
        <v>61.65</v>
      </c>
      <c r="R2161">
        <f>'raw data Crude oil'!R2162</f>
        <v>61.28</v>
      </c>
      <c r="S2161">
        <f>'raw data Crude oil'!S2162</f>
        <v>61.08</v>
      </c>
      <c r="T2161">
        <f>'raw data Crude oil'!T2162</f>
        <v>60.98</v>
      </c>
      <c r="U2161">
        <f>'raw data Crude oil'!U2162</f>
        <v>60.95</v>
      </c>
      <c r="V2161">
        <f>'raw data Crude oil'!V2162</f>
        <v>60.97</v>
      </c>
      <c r="W2161">
        <f>'raw data Crude oil'!W2162</f>
        <v>61.02</v>
      </c>
      <c r="X2161">
        <f>'raw data Crude oil'!X2162</f>
        <v>61.1</v>
      </c>
      <c r="Y2161">
        <f>'raw data Crude oil'!Y2162</f>
        <v>61.2</v>
      </c>
      <c r="Z2161">
        <f>'raw data Crude oil'!Z2162</f>
        <v>64.606999999999999</v>
      </c>
      <c r="AA2161">
        <f>'raw data Crude oil'!AA2162</f>
        <v>65.031999999999996</v>
      </c>
      <c r="AB2161">
        <f>'raw data Crude oil'!AB2162</f>
        <v>64.671999999999997</v>
      </c>
      <c r="AC2161">
        <f>'raw data Crude oil'!AC2162</f>
        <v>64.402000000000001</v>
      </c>
      <c r="AD2161">
        <f>'raw data Crude oil'!AD2162</f>
        <v>64.215999999999994</v>
      </c>
      <c r="AE2161">
        <f>'raw data Crude oil'!AE2162</f>
        <v>64.153999999999996</v>
      </c>
      <c r="AF2161">
        <f>'raw data Crude oil'!AF2162</f>
        <v>64.162000000000006</v>
      </c>
      <c r="AG2161">
        <f>'raw data Crude oil'!AG2162</f>
        <v>64.201999999999998</v>
      </c>
      <c r="AH2161">
        <f>'raw data Crude oil'!AH2162</f>
        <v>64.275000000000006</v>
      </c>
      <c r="AI2161">
        <f>'raw data Crude oil'!AI2162</f>
        <v>64.326999999999998</v>
      </c>
      <c r="AJ2161">
        <f>'raw data Crude oil'!AJ2162</f>
        <v>64.399000000000001</v>
      </c>
      <c r="AK2161">
        <f>'raw data Crude oil'!AK2162</f>
        <v>64.497</v>
      </c>
    </row>
    <row r="2162" spans="1:37" x14ac:dyDescent="0.3">
      <c r="A2162" s="18">
        <f>'raw data Crude oil'!A2163</f>
        <v>45792</v>
      </c>
      <c r="B2162">
        <f>'raw data Crude oil'!B2163</f>
        <v>64.53</v>
      </c>
      <c r="C2162">
        <f>'raw data Crude oil'!C2163</f>
        <v>64.06</v>
      </c>
      <c r="D2162">
        <f>'raw data Crude oil'!D2163</f>
        <v>63.67</v>
      </c>
      <c r="E2162">
        <f>'raw data Crude oil'!E2163</f>
        <v>63.43</v>
      </c>
      <c r="F2162">
        <f>'raw data Crude oil'!F2163</f>
        <v>63.33</v>
      </c>
      <c r="G2162">
        <f>'raw data Crude oil'!G2163</f>
        <v>63.32</v>
      </c>
      <c r="H2162">
        <f>'raw data Crude oil'!H2163</f>
        <v>63.37</v>
      </c>
      <c r="I2162">
        <f>'raw data Crude oil'!I2163</f>
        <v>63.45</v>
      </c>
      <c r="J2162">
        <f>'raw data Crude oil'!J2163</f>
        <v>63.55</v>
      </c>
      <c r="K2162">
        <f>'raw data Crude oil'!K2163</f>
        <v>63.66</v>
      </c>
      <c r="L2162">
        <f>'raw data Crude oil'!L2163</f>
        <v>63.79</v>
      </c>
      <c r="M2162">
        <f>'raw data Crude oil'!M2163</f>
        <v>63.91</v>
      </c>
      <c r="N2162">
        <f>'raw data Crude oil'!N2163</f>
        <v>61.62</v>
      </c>
      <c r="O2162">
        <f>'raw data Crude oil'!O2163</f>
        <v>61.15</v>
      </c>
      <c r="P2162">
        <f>'raw data Crude oil'!P2163</f>
        <v>60.66</v>
      </c>
      <c r="Q2162">
        <f>'raw data Crude oil'!Q2163</f>
        <v>60.21</v>
      </c>
      <c r="R2162">
        <f>'raw data Crude oil'!R2163</f>
        <v>59.89</v>
      </c>
      <c r="S2162">
        <f>'raw data Crude oil'!S2163</f>
        <v>59.74</v>
      </c>
      <c r="T2162">
        <f>'raw data Crude oil'!T2163</f>
        <v>59.71</v>
      </c>
      <c r="U2162">
        <f>'raw data Crude oil'!U2163</f>
        <v>59.75</v>
      </c>
      <c r="V2162">
        <f>'raw data Crude oil'!V2163</f>
        <v>59.83</v>
      </c>
      <c r="W2162">
        <f>'raw data Crude oil'!W2163</f>
        <v>59.93</v>
      </c>
      <c r="X2162">
        <f>'raw data Crude oil'!X2163</f>
        <v>60.05</v>
      </c>
      <c r="Y2162">
        <f>'raw data Crude oil'!Y2163</f>
        <v>60.18</v>
      </c>
      <c r="Z2162">
        <f>'raw data Crude oil'!Z2163</f>
        <v>63.737000000000002</v>
      </c>
      <c r="AA2162">
        <f>'raw data Crude oil'!AA2163</f>
        <v>63.378</v>
      </c>
      <c r="AB2162">
        <f>'raw data Crude oil'!AB2163</f>
        <v>63.094999999999999</v>
      </c>
      <c r="AC2162">
        <f>'raw data Crude oil'!AC2163</f>
        <v>62.917999999999999</v>
      </c>
      <c r="AD2162">
        <f>'raw data Crude oil'!AD2163</f>
        <v>62.825000000000003</v>
      </c>
      <c r="AE2162">
        <f>'raw data Crude oil'!AE2163</f>
        <v>62.822000000000003</v>
      </c>
      <c r="AF2162">
        <f>'raw data Crude oil'!AF2163</f>
        <v>62.878999999999998</v>
      </c>
      <c r="AG2162">
        <f>'raw data Crude oil'!AG2163</f>
        <v>62.962000000000003</v>
      </c>
      <c r="AH2162">
        <f>'raw data Crude oil'!AH2163</f>
        <v>63.04</v>
      </c>
      <c r="AI2162">
        <f>'raw data Crude oil'!AI2163</f>
        <v>63.142000000000003</v>
      </c>
      <c r="AJ2162">
        <f>'raw data Crude oil'!AJ2163</f>
        <v>63.265000000000001</v>
      </c>
      <c r="AK2162">
        <f>'raw data Crude oil'!AK2163</f>
        <v>63.384</v>
      </c>
    </row>
    <row r="2163" spans="1:37" x14ac:dyDescent="0.3">
      <c r="A2163" s="18">
        <f>'raw data Crude oil'!A2164</f>
        <v>45793</v>
      </c>
      <c r="B2163">
        <f>'raw data Crude oil'!B2164</f>
        <v>65.41</v>
      </c>
      <c r="C2163">
        <f>'raw data Crude oil'!C2164</f>
        <v>64.78</v>
      </c>
      <c r="D2163">
        <f>'raw data Crude oil'!D2164</f>
        <v>64.290000000000006</v>
      </c>
      <c r="E2163">
        <f>'raw data Crude oil'!E2164</f>
        <v>63.94</v>
      </c>
      <c r="F2163">
        <f>'raw data Crude oil'!F2164</f>
        <v>63.77</v>
      </c>
      <c r="G2163">
        <f>'raw data Crude oil'!G2164</f>
        <v>63.7</v>
      </c>
      <c r="H2163">
        <f>'raw data Crude oil'!H2164</f>
        <v>63.71</v>
      </c>
      <c r="I2163">
        <f>'raw data Crude oil'!I2164</f>
        <v>63.75</v>
      </c>
      <c r="J2163">
        <f>'raw data Crude oil'!J2164</f>
        <v>63.82</v>
      </c>
      <c r="K2163">
        <f>'raw data Crude oil'!K2164</f>
        <v>63.9</v>
      </c>
      <c r="L2163">
        <f>'raw data Crude oil'!L2164</f>
        <v>64</v>
      </c>
      <c r="M2163">
        <f>'raw data Crude oil'!M2164</f>
        <v>64.09</v>
      </c>
      <c r="N2163">
        <f>'raw data Crude oil'!N2164</f>
        <v>62.49</v>
      </c>
      <c r="O2163">
        <f>'raw data Crude oil'!O2164</f>
        <v>61.97</v>
      </c>
      <c r="P2163">
        <f>'raw data Crude oil'!P2164</f>
        <v>61.4</v>
      </c>
      <c r="Q2163">
        <f>'raw data Crude oil'!Q2164</f>
        <v>60.87</v>
      </c>
      <c r="R2163">
        <f>'raw data Crude oil'!R2164</f>
        <v>60.46</v>
      </c>
      <c r="S2163">
        <f>'raw data Crude oil'!S2164</f>
        <v>60.24</v>
      </c>
      <c r="T2163">
        <f>'raw data Crude oil'!T2164</f>
        <v>60.15</v>
      </c>
      <c r="U2163">
        <f>'raw data Crude oil'!U2164</f>
        <v>60.14</v>
      </c>
      <c r="V2163">
        <f>'raw data Crude oil'!V2164</f>
        <v>60.18</v>
      </c>
      <c r="W2163">
        <f>'raw data Crude oil'!W2164</f>
        <v>60.25</v>
      </c>
      <c r="X2163">
        <f>'raw data Crude oil'!X2164</f>
        <v>60.34</v>
      </c>
      <c r="Y2163">
        <f>'raw data Crude oil'!Y2164</f>
        <v>60.45</v>
      </c>
      <c r="Z2163">
        <f>'raw data Crude oil'!Z2164</f>
        <v>64.021000000000001</v>
      </c>
      <c r="AA2163">
        <f>'raw data Crude oil'!AA2164</f>
        <v>64.072000000000003</v>
      </c>
      <c r="AB2163">
        <f>'raw data Crude oil'!AB2164</f>
        <v>63.712000000000003</v>
      </c>
      <c r="AC2163">
        <f>'raw data Crude oil'!AC2164</f>
        <v>63.442</v>
      </c>
      <c r="AD2163">
        <f>'raw data Crude oil'!AD2164</f>
        <v>63.271999999999998</v>
      </c>
      <c r="AE2163">
        <f>'raw data Crude oil'!AE2164</f>
        <v>63.192</v>
      </c>
      <c r="AF2163">
        <f>'raw data Crude oil'!AF2164</f>
        <v>63.192</v>
      </c>
      <c r="AG2163">
        <f>'raw data Crude oil'!AG2164</f>
        <v>63.241</v>
      </c>
      <c r="AH2163">
        <f>'raw data Crude oil'!AH2164</f>
        <v>63.308999999999997</v>
      </c>
      <c r="AI2163">
        <f>'raw data Crude oil'!AI2164</f>
        <v>63.39</v>
      </c>
      <c r="AJ2163">
        <f>'raw data Crude oil'!AJ2164</f>
        <v>63.488999999999997</v>
      </c>
      <c r="AK2163">
        <f>'raw data Crude oil'!AK2164</f>
        <v>63.567</v>
      </c>
    </row>
    <row r="2164" spans="1:37" x14ac:dyDescent="0.3">
      <c r="A2164" s="18">
        <f>'raw data Crude oil'!A2165</f>
        <v>45796</v>
      </c>
      <c r="B2164">
        <f>'raw data Crude oil'!B2165</f>
        <v>65.540000000000006</v>
      </c>
      <c r="C2164">
        <f>'raw data Crude oil'!C2165</f>
        <v>64.8</v>
      </c>
      <c r="D2164">
        <f>'raw data Crude oil'!D2165</f>
        <v>64.239999999999995</v>
      </c>
      <c r="E2164">
        <f>'raw data Crude oil'!E2165</f>
        <v>63.84</v>
      </c>
      <c r="F2164">
        <f>'raw data Crude oil'!F2165</f>
        <v>63.63</v>
      </c>
      <c r="G2164">
        <f>'raw data Crude oil'!G2165</f>
        <v>63.54</v>
      </c>
      <c r="H2164">
        <f>'raw data Crude oil'!H2165</f>
        <v>63.54</v>
      </c>
      <c r="I2164">
        <f>'raw data Crude oil'!I2165</f>
        <v>63.58</v>
      </c>
      <c r="J2164">
        <f>'raw data Crude oil'!J2165</f>
        <v>63.64</v>
      </c>
      <c r="K2164">
        <f>'raw data Crude oil'!K2165</f>
        <v>63.71</v>
      </c>
      <c r="L2164">
        <f>'raw data Crude oil'!L2165</f>
        <v>63.8</v>
      </c>
      <c r="M2164">
        <f>'raw data Crude oil'!M2165</f>
        <v>63.87</v>
      </c>
      <c r="N2164">
        <f>'raw data Crude oil'!N2165</f>
        <v>62.69</v>
      </c>
      <c r="O2164">
        <f>'raw data Crude oil'!O2165</f>
        <v>62.14</v>
      </c>
      <c r="P2164">
        <f>'raw data Crude oil'!P2165</f>
        <v>61.49</v>
      </c>
      <c r="Q2164">
        <f>'raw data Crude oil'!Q2165</f>
        <v>60.89</v>
      </c>
      <c r="R2164">
        <f>'raw data Crude oil'!R2165</f>
        <v>60.43</v>
      </c>
      <c r="S2164">
        <f>'raw data Crude oil'!S2165</f>
        <v>60.16</v>
      </c>
      <c r="T2164">
        <f>'raw data Crude oil'!T2165</f>
        <v>60.05</v>
      </c>
      <c r="U2164">
        <f>'raw data Crude oil'!U2165</f>
        <v>60.03</v>
      </c>
      <c r="V2164">
        <f>'raw data Crude oil'!V2165</f>
        <v>60.06</v>
      </c>
      <c r="W2164">
        <f>'raw data Crude oil'!W2165</f>
        <v>60.12</v>
      </c>
      <c r="X2164">
        <f>'raw data Crude oil'!X2165</f>
        <v>60.2</v>
      </c>
      <c r="Y2164">
        <f>'raw data Crude oil'!Y2165</f>
        <v>60.28</v>
      </c>
      <c r="Z2164">
        <f>'raw data Crude oil'!Z2165</f>
        <v>63.972000000000001</v>
      </c>
      <c r="AA2164">
        <f>'raw data Crude oil'!AA2165</f>
        <v>64.153000000000006</v>
      </c>
      <c r="AB2164">
        <f>'raw data Crude oil'!AB2165</f>
        <v>63.707999999999998</v>
      </c>
      <c r="AC2164">
        <f>'raw data Crude oil'!AC2165</f>
        <v>63.368000000000002</v>
      </c>
      <c r="AD2164">
        <f>'raw data Crude oil'!AD2165</f>
        <v>63.118000000000002</v>
      </c>
      <c r="AE2164">
        <f>'raw data Crude oil'!AE2165</f>
        <v>63.012999999999998</v>
      </c>
      <c r="AF2164">
        <f>'raw data Crude oil'!AF2165</f>
        <v>62.997</v>
      </c>
      <c r="AG2164">
        <f>'raw data Crude oil'!AG2165</f>
        <v>63.036999999999999</v>
      </c>
      <c r="AH2164">
        <f>'raw data Crude oil'!AH2165</f>
        <v>63.097999999999999</v>
      </c>
      <c r="AI2164">
        <f>'raw data Crude oil'!AI2165</f>
        <v>63.174999999999997</v>
      </c>
      <c r="AJ2164">
        <f>'raw data Crude oil'!AJ2165</f>
        <v>63.262999999999998</v>
      </c>
      <c r="AK2164">
        <f>'raw data Crude oil'!AK2165</f>
        <v>63.332000000000001</v>
      </c>
    </row>
    <row r="2165" spans="1:37" x14ac:dyDescent="0.3">
      <c r="A2165" s="18">
        <f>'raw data Crude oil'!A2166</f>
        <v>45797</v>
      </c>
      <c r="B2165">
        <f>'raw data Crude oil'!B2166</f>
        <v>65.38</v>
      </c>
      <c r="C2165">
        <f>'raw data Crude oil'!C2166</f>
        <v>64.760000000000005</v>
      </c>
      <c r="D2165">
        <f>'raw data Crude oil'!D2166</f>
        <v>64.260000000000005</v>
      </c>
      <c r="E2165">
        <f>'raw data Crude oil'!E2166</f>
        <v>63.91</v>
      </c>
      <c r="F2165">
        <f>'raw data Crude oil'!F2166</f>
        <v>63.75</v>
      </c>
      <c r="G2165">
        <f>'raw data Crude oil'!G2166</f>
        <v>63.71</v>
      </c>
      <c r="H2165">
        <f>'raw data Crude oil'!H2166</f>
        <v>63.74</v>
      </c>
      <c r="I2165">
        <f>'raw data Crude oil'!I2166</f>
        <v>63.79</v>
      </c>
      <c r="J2165">
        <f>'raw data Crude oil'!J2166</f>
        <v>63.86</v>
      </c>
      <c r="K2165">
        <f>'raw data Crude oil'!K2166</f>
        <v>63.94</v>
      </c>
      <c r="L2165">
        <f>'raw data Crude oil'!L2166</f>
        <v>64.03</v>
      </c>
      <c r="M2165">
        <f>'raw data Crude oil'!M2166</f>
        <v>64.11</v>
      </c>
      <c r="N2165">
        <f>'raw data Crude oil'!N2166</f>
        <v>62.56</v>
      </c>
      <c r="O2165">
        <f>'raw data Crude oil'!O2166</f>
        <v>62.03</v>
      </c>
      <c r="P2165">
        <f>'raw data Crude oil'!P2166</f>
        <v>61.44</v>
      </c>
      <c r="Q2165">
        <f>'raw data Crude oil'!Q2166</f>
        <v>60.89</v>
      </c>
      <c r="R2165">
        <f>'raw data Crude oil'!R2166</f>
        <v>60.5</v>
      </c>
      <c r="S2165">
        <f>'raw data Crude oil'!S2166</f>
        <v>60.29</v>
      </c>
      <c r="T2165">
        <f>'raw data Crude oil'!T2166</f>
        <v>60.21</v>
      </c>
      <c r="U2165">
        <f>'raw data Crude oil'!U2166</f>
        <v>60.22</v>
      </c>
      <c r="V2165">
        <f>'raw data Crude oil'!V2166</f>
        <v>60.27</v>
      </c>
      <c r="W2165">
        <f>'raw data Crude oil'!W2166</f>
        <v>60.34</v>
      </c>
      <c r="X2165">
        <f>'raw data Crude oil'!X2166</f>
        <v>60.42</v>
      </c>
      <c r="Y2165">
        <f>'raw data Crude oil'!Y2166</f>
        <v>60.51</v>
      </c>
      <c r="Z2165">
        <f>'raw data Crude oil'!Z2166</f>
        <v>64.046000000000006</v>
      </c>
      <c r="AA2165">
        <f>'raw data Crude oil'!AA2166</f>
        <v>64.236000000000004</v>
      </c>
      <c r="AB2165">
        <f>'raw data Crude oil'!AB2166</f>
        <v>63.776000000000003</v>
      </c>
      <c r="AC2165">
        <f>'raw data Crude oil'!AC2166</f>
        <v>63.466000000000001</v>
      </c>
      <c r="AD2165">
        <f>'raw data Crude oil'!AD2166</f>
        <v>63.262999999999998</v>
      </c>
      <c r="AE2165">
        <f>'raw data Crude oil'!AE2166</f>
        <v>63.183</v>
      </c>
      <c r="AF2165">
        <f>'raw data Crude oil'!AF2166</f>
        <v>63.183</v>
      </c>
      <c r="AG2165">
        <f>'raw data Crude oil'!AG2166</f>
        <v>63.225999999999999</v>
      </c>
      <c r="AH2165">
        <f>'raw data Crude oil'!AH2166</f>
        <v>63.293999999999997</v>
      </c>
      <c r="AI2165">
        <f>'raw data Crude oil'!AI2166</f>
        <v>63.375</v>
      </c>
      <c r="AJ2165">
        <f>'raw data Crude oil'!AJ2166</f>
        <v>63.463999999999999</v>
      </c>
      <c r="AK2165">
        <f>'raw data Crude oil'!AK2166</f>
        <v>63.542000000000002</v>
      </c>
    </row>
    <row r="2166" spans="1:37" x14ac:dyDescent="0.3">
      <c r="A2166" s="18">
        <f>'raw data Crude oil'!A2167</f>
        <v>45798</v>
      </c>
      <c r="B2166">
        <f>'raw data Crude oil'!B2167</f>
        <v>64.91</v>
      </c>
      <c r="C2166">
        <f>'raw data Crude oil'!C2167</f>
        <v>64.38</v>
      </c>
      <c r="D2166">
        <f>'raw data Crude oil'!D2167</f>
        <v>63.89</v>
      </c>
      <c r="E2166">
        <f>'raw data Crude oil'!E2167</f>
        <v>63.55</v>
      </c>
      <c r="F2166">
        <f>'raw data Crude oil'!F2167</f>
        <v>63.41</v>
      </c>
      <c r="G2166">
        <f>'raw data Crude oil'!G2167</f>
        <v>63.4</v>
      </c>
      <c r="H2166">
        <f>'raw data Crude oil'!H2167</f>
        <v>63.45</v>
      </c>
      <c r="I2166">
        <f>'raw data Crude oil'!I2167</f>
        <v>63.53</v>
      </c>
      <c r="J2166">
        <f>'raw data Crude oil'!J2167</f>
        <v>63.62</v>
      </c>
      <c r="K2166">
        <f>'raw data Crude oil'!K2167</f>
        <v>63.7</v>
      </c>
      <c r="L2166">
        <f>'raw data Crude oil'!L2167</f>
        <v>63.8</v>
      </c>
      <c r="M2166">
        <f>'raw data Crude oil'!M2167</f>
        <v>63.89</v>
      </c>
      <c r="N2166">
        <f>'raw data Crude oil'!N2167</f>
        <v>61.57</v>
      </c>
      <c r="O2166">
        <f>'raw data Crude oil'!O2167</f>
        <v>61.03</v>
      </c>
      <c r="P2166">
        <f>'raw data Crude oil'!P2167</f>
        <v>60.52</v>
      </c>
      <c r="Q2166">
        <f>'raw data Crude oil'!Q2167</f>
        <v>60.15</v>
      </c>
      <c r="R2166">
        <f>'raw data Crude oil'!R2167</f>
        <v>59.96</v>
      </c>
      <c r="S2166">
        <f>'raw data Crude oil'!S2167</f>
        <v>59.9</v>
      </c>
      <c r="T2166">
        <f>'raw data Crude oil'!T2167</f>
        <v>59.92</v>
      </c>
      <c r="U2166">
        <f>'raw data Crude oil'!U2167</f>
        <v>59.98</v>
      </c>
      <c r="V2166">
        <f>'raw data Crude oil'!V2167</f>
        <v>60.06</v>
      </c>
      <c r="W2166">
        <f>'raw data Crude oil'!W2167</f>
        <v>60.15</v>
      </c>
      <c r="X2166">
        <f>'raw data Crude oil'!X2167</f>
        <v>60.25</v>
      </c>
      <c r="Y2166">
        <f>'raw data Crude oil'!Y2167</f>
        <v>60.34</v>
      </c>
      <c r="Z2166">
        <f>'raw data Crude oil'!Z2167</f>
        <v>63.927999999999997</v>
      </c>
      <c r="AA2166">
        <f>'raw data Crude oil'!AA2167</f>
        <v>63.747</v>
      </c>
      <c r="AB2166">
        <f>'raw data Crude oil'!AB2167</f>
        <v>63.34</v>
      </c>
      <c r="AC2166">
        <f>'raw data Crude oil'!AC2167</f>
        <v>63.040999999999997</v>
      </c>
      <c r="AD2166">
        <f>'raw data Crude oil'!AD2167</f>
        <v>62.86</v>
      </c>
      <c r="AE2166">
        <f>'raw data Crude oil'!AE2167</f>
        <v>62.792999999999999</v>
      </c>
      <c r="AF2166">
        <f>'raw data Crude oil'!AF2167</f>
        <v>62.798000000000002</v>
      </c>
      <c r="AG2166">
        <f>'raw data Crude oil'!AG2167</f>
        <v>62.857999999999997</v>
      </c>
      <c r="AH2166">
        <f>'raw data Crude oil'!AH2167</f>
        <v>62.963999999999999</v>
      </c>
      <c r="AI2166">
        <f>'raw data Crude oil'!AI2167</f>
        <v>63.055</v>
      </c>
      <c r="AJ2166">
        <f>'raw data Crude oil'!AJ2167</f>
        <v>63.154000000000003</v>
      </c>
      <c r="AK2166">
        <f>'raw data Crude oil'!AK2167</f>
        <v>63.241999999999997</v>
      </c>
    </row>
    <row r="2167" spans="1:37" x14ac:dyDescent="0.3">
      <c r="A2167" s="18">
        <f>'raw data Crude oil'!A2168</f>
        <v>45799</v>
      </c>
      <c r="B2167">
        <f>'raw data Crude oil'!B2168</f>
        <v>64.44</v>
      </c>
      <c r="C2167">
        <f>'raw data Crude oil'!C2168</f>
        <v>63.92</v>
      </c>
      <c r="D2167">
        <f>'raw data Crude oil'!D2168</f>
        <v>63.43</v>
      </c>
      <c r="E2167">
        <f>'raw data Crude oil'!E2168</f>
        <v>63.08</v>
      </c>
      <c r="F2167">
        <f>'raw data Crude oil'!F2168</f>
        <v>62.94</v>
      </c>
      <c r="G2167">
        <f>'raw data Crude oil'!G2168</f>
        <v>62.94</v>
      </c>
      <c r="H2167">
        <f>'raw data Crude oil'!H2168</f>
        <v>63.01</v>
      </c>
      <c r="I2167">
        <f>'raw data Crude oil'!I2168</f>
        <v>63.1</v>
      </c>
      <c r="J2167">
        <f>'raw data Crude oil'!J2168</f>
        <v>63.2</v>
      </c>
      <c r="K2167">
        <f>'raw data Crude oil'!K2168</f>
        <v>63.3</v>
      </c>
      <c r="L2167">
        <f>'raw data Crude oil'!L2168</f>
        <v>63.4</v>
      </c>
      <c r="M2167">
        <f>'raw data Crude oil'!M2168</f>
        <v>63.49</v>
      </c>
      <c r="N2167">
        <f>'raw data Crude oil'!N2168</f>
        <v>61.2</v>
      </c>
      <c r="O2167">
        <f>'raw data Crude oil'!O2168</f>
        <v>60.64</v>
      </c>
      <c r="P2167">
        <f>'raw data Crude oil'!P2168</f>
        <v>60.12</v>
      </c>
      <c r="Q2167">
        <f>'raw data Crude oil'!Q2168</f>
        <v>59.73</v>
      </c>
      <c r="R2167">
        <f>'raw data Crude oil'!R2168</f>
        <v>59.53</v>
      </c>
      <c r="S2167">
        <f>'raw data Crude oil'!S2168</f>
        <v>59.48</v>
      </c>
      <c r="T2167">
        <f>'raw data Crude oil'!T2168</f>
        <v>59.5</v>
      </c>
      <c r="U2167">
        <f>'raw data Crude oil'!U2168</f>
        <v>59.57</v>
      </c>
      <c r="V2167">
        <f>'raw data Crude oil'!V2168</f>
        <v>59.67</v>
      </c>
      <c r="W2167">
        <f>'raw data Crude oil'!W2168</f>
        <v>59.77</v>
      </c>
      <c r="X2167">
        <f>'raw data Crude oil'!X2168</f>
        <v>59.89</v>
      </c>
      <c r="Y2167">
        <f>'raw data Crude oil'!Y2168</f>
        <v>59.98</v>
      </c>
      <c r="Z2167">
        <f>'raw data Crude oil'!Z2168</f>
        <v>63.682000000000002</v>
      </c>
      <c r="AA2167">
        <f>'raw data Crude oil'!AA2168</f>
        <v>63.017000000000003</v>
      </c>
      <c r="AB2167">
        <f>'raw data Crude oil'!AB2168</f>
        <v>62.667000000000002</v>
      </c>
      <c r="AC2167">
        <f>'raw data Crude oil'!AC2168</f>
        <v>62.396999999999998</v>
      </c>
      <c r="AD2167">
        <f>'raw data Crude oil'!AD2168</f>
        <v>62.27</v>
      </c>
      <c r="AE2167">
        <f>'raw data Crude oil'!AE2168</f>
        <v>62.23</v>
      </c>
      <c r="AF2167">
        <f>'raw data Crude oil'!AF2168</f>
        <v>62.27</v>
      </c>
      <c r="AG2167">
        <f>'raw data Crude oil'!AG2168</f>
        <v>62.338999999999999</v>
      </c>
      <c r="AH2167">
        <f>'raw data Crude oil'!AH2168</f>
        <v>62.445</v>
      </c>
      <c r="AI2167">
        <f>'raw data Crude oil'!AI2168</f>
        <v>62.56</v>
      </c>
      <c r="AJ2167">
        <f>'raw data Crude oil'!AJ2168</f>
        <v>62.664000000000001</v>
      </c>
      <c r="AK2167">
        <f>'raw data Crude oil'!AK2168</f>
        <v>62.743000000000002</v>
      </c>
    </row>
    <row r="2168" spans="1:37" x14ac:dyDescent="0.3">
      <c r="A2168" s="18">
        <f>'raw data Crude oil'!A2169</f>
        <v>45800</v>
      </c>
      <c r="B2168">
        <f>'raw data Crude oil'!B2169</f>
        <v>64.78</v>
      </c>
      <c r="C2168">
        <f>'raw data Crude oil'!C2169</f>
        <v>64.209999999999994</v>
      </c>
      <c r="D2168">
        <f>'raw data Crude oil'!D2169</f>
        <v>63.67</v>
      </c>
      <c r="E2168">
        <f>'raw data Crude oil'!E2169</f>
        <v>63.29</v>
      </c>
      <c r="F2168">
        <f>'raw data Crude oil'!F2169</f>
        <v>63.14</v>
      </c>
      <c r="G2168">
        <f>'raw data Crude oil'!G2169</f>
        <v>63.15</v>
      </c>
      <c r="H2168">
        <f>'raw data Crude oil'!H2169</f>
        <v>63.24</v>
      </c>
      <c r="I2168">
        <f>'raw data Crude oil'!I2169</f>
        <v>63.34</v>
      </c>
      <c r="J2168">
        <f>'raw data Crude oil'!J2169</f>
        <v>63.44</v>
      </c>
      <c r="K2168">
        <f>'raw data Crude oil'!K2169</f>
        <v>63.53</v>
      </c>
      <c r="L2168">
        <f>'raw data Crude oil'!L2169</f>
        <v>63.62</v>
      </c>
      <c r="M2168">
        <f>'raw data Crude oil'!M2169</f>
        <v>63.71</v>
      </c>
      <c r="N2168">
        <f>'raw data Crude oil'!N2169</f>
        <v>61.53</v>
      </c>
      <c r="O2168">
        <f>'raw data Crude oil'!O2169</f>
        <v>60.93</v>
      </c>
      <c r="P2168">
        <f>'raw data Crude oil'!P2169</f>
        <v>60.39</v>
      </c>
      <c r="Q2168">
        <f>'raw data Crude oil'!Q2169</f>
        <v>59.97</v>
      </c>
      <c r="R2168">
        <f>'raw data Crude oil'!R2169</f>
        <v>59.76</v>
      </c>
      <c r="S2168">
        <f>'raw data Crude oil'!S2169</f>
        <v>59.69</v>
      </c>
      <c r="T2168">
        <f>'raw data Crude oil'!T2169</f>
        <v>59.72</v>
      </c>
      <c r="U2168">
        <f>'raw data Crude oil'!U2169</f>
        <v>59.8</v>
      </c>
      <c r="V2168">
        <f>'raw data Crude oil'!V2169</f>
        <v>59.89</v>
      </c>
      <c r="W2168">
        <f>'raw data Crude oil'!W2169</f>
        <v>59.99</v>
      </c>
      <c r="X2168">
        <f>'raw data Crude oil'!X2169</f>
        <v>60.09</v>
      </c>
      <c r="Y2168">
        <f>'raw data Crude oil'!Y2169</f>
        <v>60.19</v>
      </c>
      <c r="Z2168">
        <f>'raw data Crude oil'!Z2169</f>
        <v>63.670999999999999</v>
      </c>
      <c r="AA2168">
        <f>'raw data Crude oil'!AA2169</f>
        <v>63.109000000000002</v>
      </c>
      <c r="AB2168">
        <f>'raw data Crude oil'!AB2169</f>
        <v>62.762999999999998</v>
      </c>
      <c r="AC2168">
        <f>'raw data Crude oil'!AC2169</f>
        <v>62.493000000000002</v>
      </c>
      <c r="AD2168">
        <f>'raw data Crude oil'!AD2169</f>
        <v>62.36</v>
      </c>
      <c r="AE2168">
        <f>'raw data Crude oil'!AE2169</f>
        <v>62.34</v>
      </c>
      <c r="AF2168">
        <f>'raw data Crude oil'!AF2169</f>
        <v>62.4</v>
      </c>
      <c r="AG2168">
        <f>'raw data Crude oil'!AG2169</f>
        <v>62.499000000000002</v>
      </c>
      <c r="AH2168">
        <f>'raw data Crude oil'!AH2169</f>
        <v>62.598999999999997</v>
      </c>
      <c r="AI2168">
        <f>'raw data Crude oil'!AI2169</f>
        <v>62.704999999999998</v>
      </c>
      <c r="AJ2168">
        <f>'raw data Crude oil'!AJ2169</f>
        <v>62.793999999999997</v>
      </c>
      <c r="AK2168">
        <f>'raw data Crude oil'!AK2169</f>
        <v>62.881999999999998</v>
      </c>
    </row>
    <row r="2169" spans="1:37" x14ac:dyDescent="0.3">
      <c r="A2169" s="18">
        <f>'raw data Crude oil'!A2170</f>
        <v>45803</v>
      </c>
      <c r="B2169">
        <f>'raw data Crude oil'!B2170</f>
        <v>64.739999999999995</v>
      </c>
      <c r="C2169">
        <f>'raw data Crude oil'!C2170</f>
        <v>64.12</v>
      </c>
      <c r="D2169">
        <f>'raw data Crude oil'!D2170</f>
        <v>63.55</v>
      </c>
      <c r="E2169">
        <f>'raw data Crude oil'!E2170</f>
        <v>63.15</v>
      </c>
      <c r="F2169">
        <f>'raw data Crude oil'!F2170</f>
        <v>63</v>
      </c>
      <c r="G2169">
        <f>'raw data Crude oil'!G2170</f>
        <v>63.03</v>
      </c>
      <c r="H2169">
        <f>'raw data Crude oil'!H2170</f>
        <v>63.13</v>
      </c>
      <c r="I2169">
        <f>'raw data Crude oil'!I2170</f>
        <v>63.23</v>
      </c>
      <c r="J2169">
        <f>'raw data Crude oil'!J2170</f>
        <v>63.34</v>
      </c>
      <c r="K2169">
        <f>'raw data Crude oil'!K2170</f>
        <v>63.43</v>
      </c>
      <c r="L2169">
        <f>'raw data Crude oil'!L2170</f>
        <v>63.53</v>
      </c>
      <c r="M2169">
        <f>'raw data Crude oil'!M2170</f>
        <v>63.61</v>
      </c>
      <c r="N2169">
        <f>'raw data Crude oil'!N2170</f>
        <v>61.53</v>
      </c>
      <c r="O2169">
        <f>'raw data Crude oil'!O2170</f>
        <v>60.93</v>
      </c>
      <c r="P2169">
        <f>'raw data Crude oil'!P2170</f>
        <v>60.39</v>
      </c>
      <c r="Q2169">
        <f>'raw data Crude oil'!Q2170</f>
        <v>59.97</v>
      </c>
      <c r="R2169">
        <f>'raw data Crude oil'!R2170</f>
        <v>59.76</v>
      </c>
      <c r="S2169">
        <f>'raw data Crude oil'!S2170</f>
        <v>59.69</v>
      </c>
      <c r="T2169">
        <f>'raw data Crude oil'!T2170</f>
        <v>59.72</v>
      </c>
      <c r="U2169">
        <f>'raw data Crude oil'!U2170</f>
        <v>59.8</v>
      </c>
      <c r="V2169">
        <f>'raw data Crude oil'!V2170</f>
        <v>59.89</v>
      </c>
      <c r="W2169">
        <f>'raw data Crude oil'!W2170</f>
        <v>59.99</v>
      </c>
      <c r="X2169">
        <f>'raw data Crude oil'!X2170</f>
        <v>60.09</v>
      </c>
      <c r="Y2169">
        <f>'raw data Crude oil'!Y2170</f>
        <v>60.19</v>
      </c>
      <c r="Z2169">
        <f>'raw data Crude oil'!Z2170</f>
        <v>63.619</v>
      </c>
      <c r="AA2169">
        <f>'raw data Crude oil'!AA2170</f>
        <v>62.883000000000003</v>
      </c>
      <c r="AB2169">
        <f>'raw data Crude oil'!AB2170</f>
        <v>62.512999999999998</v>
      </c>
      <c r="AC2169">
        <f>'raw data Crude oil'!AC2170</f>
        <v>62.258000000000003</v>
      </c>
      <c r="AD2169">
        <f>'raw data Crude oil'!AD2170</f>
        <v>62.121000000000002</v>
      </c>
      <c r="AE2169">
        <f>'raw data Crude oil'!AE2170</f>
        <v>62.110999999999997</v>
      </c>
      <c r="AF2169">
        <f>'raw data Crude oil'!AF2170</f>
        <v>62.170999999999999</v>
      </c>
      <c r="AG2169">
        <f>'raw data Crude oil'!AG2170</f>
        <v>62.26</v>
      </c>
      <c r="AH2169">
        <f>'raw data Crude oil'!AH2170</f>
        <v>62.389000000000003</v>
      </c>
      <c r="AI2169">
        <f>'raw data Crude oil'!AI2170</f>
        <v>62.5</v>
      </c>
      <c r="AJ2169">
        <f>'raw data Crude oil'!AJ2170</f>
        <v>62.609000000000002</v>
      </c>
      <c r="AK2169">
        <f>'raw data Crude oil'!AK2170</f>
        <v>62.722000000000001</v>
      </c>
    </row>
    <row r="2170" spans="1:37" x14ac:dyDescent="0.3">
      <c r="A2170" s="18">
        <f>'raw data Crude oil'!A2171</f>
        <v>45804</v>
      </c>
      <c r="B2170">
        <f>'raw data Crude oil'!B2171</f>
        <v>64.09</v>
      </c>
      <c r="C2170">
        <f>'raw data Crude oil'!C2171</f>
        <v>63.57</v>
      </c>
      <c r="D2170">
        <f>'raw data Crude oil'!D2171</f>
        <v>63.03</v>
      </c>
      <c r="E2170">
        <f>'raw data Crude oil'!E2171</f>
        <v>62.66</v>
      </c>
      <c r="F2170">
        <f>'raw data Crude oil'!F2171</f>
        <v>62.54</v>
      </c>
      <c r="G2170">
        <f>'raw data Crude oil'!G2171</f>
        <v>62.58</v>
      </c>
      <c r="H2170">
        <f>'raw data Crude oil'!H2171</f>
        <v>62.69</v>
      </c>
      <c r="I2170">
        <f>'raw data Crude oil'!I2171</f>
        <v>62.81</v>
      </c>
      <c r="J2170">
        <f>'raw data Crude oil'!J2171</f>
        <v>62.93</v>
      </c>
      <c r="K2170">
        <f>'raw data Crude oil'!K2171</f>
        <v>63.04</v>
      </c>
      <c r="L2170">
        <f>'raw data Crude oil'!L2171</f>
        <v>63.14</v>
      </c>
      <c r="M2170">
        <f>'raw data Crude oil'!M2171</f>
        <v>63.23</v>
      </c>
      <c r="N2170">
        <f>'raw data Crude oil'!N2171</f>
        <v>60.89</v>
      </c>
      <c r="O2170">
        <f>'raw data Crude oil'!O2171</f>
        <v>60.33</v>
      </c>
      <c r="P2170">
        <f>'raw data Crude oil'!P2171</f>
        <v>59.83</v>
      </c>
      <c r="Q2170">
        <f>'raw data Crude oil'!Q2171</f>
        <v>59.44</v>
      </c>
      <c r="R2170">
        <f>'raw data Crude oil'!R2171</f>
        <v>59.23</v>
      </c>
      <c r="S2170">
        <f>'raw data Crude oil'!S2171</f>
        <v>59.18</v>
      </c>
      <c r="T2170">
        <f>'raw data Crude oil'!T2171</f>
        <v>59.21</v>
      </c>
      <c r="U2170">
        <f>'raw data Crude oil'!U2171</f>
        <v>59.3</v>
      </c>
      <c r="V2170">
        <f>'raw data Crude oil'!V2171</f>
        <v>59.41</v>
      </c>
      <c r="W2170">
        <f>'raw data Crude oil'!W2171</f>
        <v>59.52</v>
      </c>
      <c r="X2170">
        <f>'raw data Crude oil'!X2171</f>
        <v>59.63</v>
      </c>
      <c r="Y2170">
        <f>'raw data Crude oil'!Y2171</f>
        <v>59.73</v>
      </c>
      <c r="Z2170">
        <f>'raw data Crude oil'!Z2171</f>
        <v>63.604999999999997</v>
      </c>
      <c r="AA2170">
        <f>'raw data Crude oil'!AA2171</f>
        <v>62.488999999999997</v>
      </c>
      <c r="AB2170">
        <f>'raw data Crude oil'!AB2171</f>
        <v>62.168999999999997</v>
      </c>
      <c r="AC2170">
        <f>'raw data Crude oil'!AC2171</f>
        <v>61.868000000000002</v>
      </c>
      <c r="AD2170">
        <f>'raw data Crude oil'!AD2171</f>
        <v>61.737000000000002</v>
      </c>
      <c r="AE2170">
        <f>'raw data Crude oil'!AE2171</f>
        <v>61.731999999999999</v>
      </c>
      <c r="AF2170">
        <f>'raw data Crude oil'!AF2171</f>
        <v>61.790999999999997</v>
      </c>
      <c r="AG2170">
        <f>'raw data Crude oil'!AG2171</f>
        <v>61.896000000000001</v>
      </c>
      <c r="AH2170">
        <f>'raw data Crude oil'!AH2171</f>
        <v>62.015000000000001</v>
      </c>
      <c r="AI2170">
        <f>'raw data Crude oil'!AI2171</f>
        <v>62.134999999999998</v>
      </c>
      <c r="AJ2170">
        <f>'raw data Crude oil'!AJ2171</f>
        <v>62.274000000000001</v>
      </c>
      <c r="AK2170">
        <f>'raw data Crude oil'!AK2171</f>
        <v>62.377000000000002</v>
      </c>
    </row>
    <row r="2171" spans="1:37" x14ac:dyDescent="0.3">
      <c r="A2171" s="18">
        <f>'raw data Crude oil'!A2172</f>
        <v>45805</v>
      </c>
      <c r="B2171">
        <f>'raw data Crude oil'!B2172</f>
        <v>64.900000000000006</v>
      </c>
      <c r="C2171">
        <f>'raw data Crude oil'!C2172</f>
        <v>64.319999999999993</v>
      </c>
      <c r="D2171">
        <f>'raw data Crude oil'!D2172</f>
        <v>63.73</v>
      </c>
      <c r="E2171">
        <f>'raw data Crude oil'!E2172</f>
        <v>63.32</v>
      </c>
      <c r="F2171">
        <f>'raw data Crude oil'!F2172</f>
        <v>63.15</v>
      </c>
      <c r="G2171">
        <f>'raw data Crude oil'!G2172</f>
        <v>63.15</v>
      </c>
      <c r="H2171">
        <f>'raw data Crude oil'!H2172</f>
        <v>63.23</v>
      </c>
      <c r="I2171">
        <f>'raw data Crude oil'!I2172</f>
        <v>63.32</v>
      </c>
      <c r="J2171">
        <f>'raw data Crude oil'!J2172</f>
        <v>63.42</v>
      </c>
      <c r="K2171">
        <f>'raw data Crude oil'!K2172</f>
        <v>63.51</v>
      </c>
      <c r="L2171">
        <f>'raw data Crude oil'!L2172</f>
        <v>63.61</v>
      </c>
      <c r="M2171">
        <f>'raw data Crude oil'!M2172</f>
        <v>63.69</v>
      </c>
      <c r="N2171">
        <f>'raw data Crude oil'!N2172</f>
        <v>61.84</v>
      </c>
      <c r="O2171">
        <f>'raw data Crude oil'!O2172</f>
        <v>61.2</v>
      </c>
      <c r="P2171">
        <f>'raw data Crude oil'!P2172</f>
        <v>60.62</v>
      </c>
      <c r="Q2171">
        <f>'raw data Crude oil'!Q2172</f>
        <v>60.15</v>
      </c>
      <c r="R2171">
        <f>'raw data Crude oil'!R2172</f>
        <v>59.91</v>
      </c>
      <c r="S2171">
        <f>'raw data Crude oil'!S2172</f>
        <v>59.8</v>
      </c>
      <c r="T2171">
        <f>'raw data Crude oil'!T2172</f>
        <v>59.81</v>
      </c>
      <c r="U2171">
        <f>'raw data Crude oil'!U2172</f>
        <v>59.85</v>
      </c>
      <c r="V2171">
        <f>'raw data Crude oil'!V2172</f>
        <v>59.95</v>
      </c>
      <c r="W2171">
        <f>'raw data Crude oil'!W2172</f>
        <v>60.05</v>
      </c>
      <c r="X2171">
        <f>'raw data Crude oil'!X2172</f>
        <v>60.16</v>
      </c>
      <c r="Y2171">
        <f>'raw data Crude oil'!Y2172</f>
        <v>60.24</v>
      </c>
      <c r="Z2171">
        <f>'raw data Crude oil'!Z2172</f>
        <v>63.701000000000001</v>
      </c>
      <c r="AA2171">
        <f>'raw data Crude oil'!AA2172</f>
        <v>63.292000000000002</v>
      </c>
      <c r="AB2171">
        <f>'raw data Crude oil'!AB2172</f>
        <v>63.002000000000002</v>
      </c>
      <c r="AC2171">
        <f>'raw data Crude oil'!AC2172</f>
        <v>62.631999999999998</v>
      </c>
      <c r="AD2171">
        <f>'raw data Crude oil'!AD2172</f>
        <v>62.45</v>
      </c>
      <c r="AE2171">
        <f>'raw data Crude oil'!AE2172</f>
        <v>62.395000000000003</v>
      </c>
      <c r="AF2171">
        <f>'raw data Crude oil'!AF2172</f>
        <v>62.424999999999997</v>
      </c>
      <c r="AG2171">
        <f>'raw data Crude oil'!AG2172</f>
        <v>62.488999999999997</v>
      </c>
      <c r="AH2171">
        <f>'raw data Crude oil'!AH2172</f>
        <v>62.584000000000003</v>
      </c>
      <c r="AI2171">
        <f>'raw data Crude oil'!AI2172</f>
        <v>62.685000000000002</v>
      </c>
      <c r="AJ2171">
        <f>'raw data Crude oil'!AJ2172</f>
        <v>62.793999999999997</v>
      </c>
      <c r="AK2171">
        <f>'raw data Crude oil'!AK2172</f>
        <v>62.887</v>
      </c>
    </row>
    <row r="2172" spans="1:37" x14ac:dyDescent="0.3">
      <c r="A2172" s="18">
        <f>'raw data Crude oil'!A2173</f>
        <v>45806</v>
      </c>
      <c r="B2172">
        <f>'raw data Crude oil'!B2173</f>
        <v>64.150000000000006</v>
      </c>
      <c r="C2172">
        <f>'raw data Crude oil'!C2173</f>
        <v>63.35</v>
      </c>
      <c r="D2172">
        <f>'raw data Crude oil'!D2173</f>
        <v>62.72</v>
      </c>
      <c r="E2172">
        <f>'raw data Crude oil'!E2173</f>
        <v>62.29</v>
      </c>
      <c r="F2172">
        <f>'raw data Crude oil'!F2173</f>
        <v>62.11</v>
      </c>
      <c r="G2172">
        <f>'raw data Crude oil'!G2173</f>
        <v>62.1</v>
      </c>
      <c r="H2172">
        <f>'raw data Crude oil'!H2173</f>
        <v>62.18</v>
      </c>
      <c r="I2172">
        <f>'raw data Crude oil'!I2173</f>
        <v>62.28</v>
      </c>
      <c r="J2172">
        <f>'raw data Crude oil'!J2173</f>
        <v>62.39</v>
      </c>
      <c r="K2172">
        <f>'raw data Crude oil'!K2173</f>
        <v>62.49</v>
      </c>
      <c r="L2172">
        <f>'raw data Crude oil'!L2173</f>
        <v>62.6</v>
      </c>
      <c r="M2172">
        <f>'raw data Crude oil'!M2173</f>
        <v>62.69</v>
      </c>
      <c r="N2172">
        <f>'raw data Crude oil'!N2173</f>
        <v>60.94</v>
      </c>
      <c r="O2172">
        <f>'raw data Crude oil'!O2173</f>
        <v>60.2</v>
      </c>
      <c r="P2172">
        <f>'raw data Crude oil'!P2173</f>
        <v>59.57</v>
      </c>
      <c r="Q2172">
        <f>'raw data Crude oil'!Q2173</f>
        <v>59.09</v>
      </c>
      <c r="R2172">
        <f>'raw data Crude oil'!R2173</f>
        <v>58.85</v>
      </c>
      <c r="S2172">
        <f>'raw data Crude oil'!S2173</f>
        <v>58.73</v>
      </c>
      <c r="T2172">
        <f>'raw data Crude oil'!T2173</f>
        <v>58.75</v>
      </c>
      <c r="U2172">
        <f>'raw data Crude oil'!U2173</f>
        <v>58.81</v>
      </c>
      <c r="V2172">
        <f>'raw data Crude oil'!V2173</f>
        <v>58.89</v>
      </c>
      <c r="W2172">
        <f>'raw data Crude oil'!W2173</f>
        <v>59.01</v>
      </c>
      <c r="X2172">
        <f>'raw data Crude oil'!X2173</f>
        <v>59.13</v>
      </c>
      <c r="Y2172">
        <f>'raw data Crude oil'!Y2173</f>
        <v>59.23</v>
      </c>
      <c r="Z2172">
        <f>'raw data Crude oil'!Z2173</f>
        <v>63.704999999999998</v>
      </c>
      <c r="AA2172">
        <f>'raw data Crude oil'!AA2173</f>
        <v>62.305</v>
      </c>
      <c r="AB2172">
        <f>'raw data Crude oil'!AB2173</f>
        <v>61.991</v>
      </c>
      <c r="AC2172">
        <f>'raw data Crude oil'!AC2173</f>
        <v>61.591000000000001</v>
      </c>
      <c r="AD2172">
        <f>'raw data Crude oil'!AD2173</f>
        <v>61.381999999999998</v>
      </c>
      <c r="AE2172">
        <f>'raw data Crude oil'!AE2173</f>
        <v>61.332999999999998</v>
      </c>
      <c r="AF2172">
        <f>'raw data Crude oil'!AF2173</f>
        <v>61.375</v>
      </c>
      <c r="AG2172">
        <f>'raw data Crude oil'!AG2173</f>
        <v>61.46</v>
      </c>
      <c r="AH2172">
        <f>'raw data Crude oil'!AH2173</f>
        <v>61.585000000000001</v>
      </c>
      <c r="AI2172">
        <f>'raw data Crude oil'!AI2173</f>
        <v>61.695999999999998</v>
      </c>
      <c r="AJ2172">
        <f>'raw data Crude oil'!AJ2173</f>
        <v>61.819000000000003</v>
      </c>
      <c r="AK2172">
        <f>'raw data Crude oil'!AK2173</f>
        <v>61.911999999999999</v>
      </c>
    </row>
    <row r="2173" spans="1:37" x14ac:dyDescent="0.3">
      <c r="A2173" s="18">
        <f>'raw data Crude oil'!A2174</f>
        <v>45807</v>
      </c>
      <c r="B2173">
        <f>'raw data Crude oil'!B2174</f>
        <v>63.9</v>
      </c>
      <c r="C2173">
        <f>'raw data Crude oil'!C2174</f>
        <v>62.78</v>
      </c>
      <c r="D2173">
        <f>'raw data Crude oil'!D2174</f>
        <v>62.05</v>
      </c>
      <c r="E2173">
        <f>'raw data Crude oil'!E2174</f>
        <v>61.57</v>
      </c>
      <c r="F2173">
        <f>'raw data Crude oil'!F2174</f>
        <v>61.4</v>
      </c>
      <c r="G2173">
        <f>'raw data Crude oil'!G2174</f>
        <v>61.41</v>
      </c>
      <c r="H2173">
        <f>'raw data Crude oil'!H2174</f>
        <v>61.51</v>
      </c>
      <c r="I2173">
        <f>'raw data Crude oil'!I2174</f>
        <v>61.64</v>
      </c>
      <c r="J2173">
        <f>'raw data Crude oil'!J2174</f>
        <v>61.77</v>
      </c>
      <c r="K2173">
        <f>'raw data Crude oil'!K2174</f>
        <v>61.89</v>
      </c>
      <c r="L2173">
        <f>'raw data Crude oil'!L2174</f>
        <v>62.01</v>
      </c>
      <c r="M2173">
        <f>'raw data Crude oil'!M2174</f>
        <v>62.12</v>
      </c>
      <c r="N2173">
        <f>'raw data Crude oil'!N2174</f>
        <v>60.79</v>
      </c>
      <c r="O2173">
        <f>'raw data Crude oil'!O2174</f>
        <v>59.79</v>
      </c>
      <c r="P2173">
        <f>'raw data Crude oil'!P2174</f>
        <v>59</v>
      </c>
      <c r="Q2173">
        <f>'raw data Crude oil'!Q2174</f>
        <v>58.46</v>
      </c>
      <c r="R2173">
        <f>'raw data Crude oil'!R2174</f>
        <v>58.2</v>
      </c>
      <c r="S2173">
        <f>'raw data Crude oil'!S2174</f>
        <v>58.12</v>
      </c>
      <c r="T2173">
        <f>'raw data Crude oil'!T2174</f>
        <v>58.14</v>
      </c>
      <c r="U2173">
        <f>'raw data Crude oil'!U2174</f>
        <v>58.23</v>
      </c>
      <c r="V2173">
        <f>'raw data Crude oil'!V2174</f>
        <v>58.36</v>
      </c>
      <c r="W2173">
        <f>'raw data Crude oil'!W2174</f>
        <v>58.5</v>
      </c>
      <c r="X2173">
        <f>'raw data Crude oil'!X2174</f>
        <v>58.64</v>
      </c>
      <c r="Y2173">
        <f>'raw data Crude oil'!Y2174</f>
        <v>58.76</v>
      </c>
      <c r="Z2173">
        <f>'raw data Crude oil'!Z2174</f>
        <v>63.732999999999997</v>
      </c>
      <c r="AA2173">
        <f>'raw data Crude oil'!AA2174</f>
        <v>61.595999999999997</v>
      </c>
      <c r="AB2173">
        <f>'raw data Crude oil'!AB2174</f>
        <v>61.274000000000001</v>
      </c>
      <c r="AC2173">
        <f>'raw data Crude oil'!AC2174</f>
        <v>60.822000000000003</v>
      </c>
      <c r="AD2173">
        <f>'raw data Crude oil'!AD2174</f>
        <v>60.606999999999999</v>
      </c>
      <c r="AE2173">
        <f>'raw data Crude oil'!AE2174</f>
        <v>60.539000000000001</v>
      </c>
      <c r="AF2173">
        <f>'raw data Crude oil'!AF2174</f>
        <v>60.597000000000001</v>
      </c>
      <c r="AG2173">
        <f>'raw data Crude oil'!AG2174</f>
        <v>60.707000000000001</v>
      </c>
      <c r="AH2173">
        <f>'raw data Crude oil'!AH2174</f>
        <v>60.856000000000002</v>
      </c>
      <c r="AI2173">
        <f>'raw data Crude oil'!AI2174</f>
        <v>60.996000000000002</v>
      </c>
      <c r="AJ2173">
        <f>'raw data Crude oil'!AJ2174</f>
        <v>61.145000000000003</v>
      </c>
      <c r="AK2173">
        <f>'raw data Crude oil'!AK2174</f>
        <v>61.244</v>
      </c>
    </row>
    <row r="2174" spans="1:37" x14ac:dyDescent="0.3">
      <c r="A2174" s="18">
        <f>'raw data Crude oil'!A2175</f>
        <v>45810</v>
      </c>
      <c r="B2174">
        <f>'raw data Crude oil'!B2175</f>
        <v>64.63</v>
      </c>
      <c r="C2174">
        <f>'raw data Crude oil'!C2175</f>
        <v>63.87</v>
      </c>
      <c r="D2174">
        <f>'raw data Crude oil'!D2175</f>
        <v>63.32</v>
      </c>
      <c r="E2174">
        <f>'raw data Crude oil'!E2175</f>
        <v>63.03</v>
      </c>
      <c r="F2174">
        <f>'raw data Crude oil'!F2175</f>
        <v>62.94</v>
      </c>
      <c r="G2174">
        <f>'raw data Crude oil'!G2175</f>
        <v>62.96</v>
      </c>
      <c r="H2174">
        <f>'raw data Crude oil'!H2175</f>
        <v>63.03</v>
      </c>
      <c r="I2174">
        <f>'raw data Crude oil'!I2175</f>
        <v>63.12</v>
      </c>
      <c r="J2174">
        <f>'raw data Crude oil'!J2175</f>
        <v>63.2</v>
      </c>
      <c r="K2174">
        <f>'raw data Crude oil'!K2175</f>
        <v>63.29</v>
      </c>
      <c r="L2174">
        <f>'raw data Crude oil'!L2175</f>
        <v>63.36</v>
      </c>
      <c r="M2174">
        <f>'raw data Crude oil'!M2175</f>
        <v>63.41</v>
      </c>
      <c r="N2174">
        <f>'raw data Crude oil'!N2175</f>
        <v>62.52</v>
      </c>
      <c r="O2174">
        <f>'raw data Crude oil'!O2175</f>
        <v>61.54</v>
      </c>
      <c r="P2174">
        <f>'raw data Crude oil'!P2175</f>
        <v>60.72</v>
      </c>
      <c r="Q2174">
        <f>'raw data Crude oil'!Q2175</f>
        <v>60.12</v>
      </c>
      <c r="R2174">
        <f>'raw data Crude oil'!R2175</f>
        <v>59.77</v>
      </c>
      <c r="S2174">
        <f>'raw data Crude oil'!S2175</f>
        <v>59.6</v>
      </c>
      <c r="T2174">
        <f>'raw data Crude oil'!T2175</f>
        <v>59.56</v>
      </c>
      <c r="U2174">
        <f>'raw data Crude oil'!U2175</f>
        <v>59.6</v>
      </c>
      <c r="V2174">
        <f>'raw data Crude oil'!V2175</f>
        <v>59.67</v>
      </c>
      <c r="W2174">
        <f>'raw data Crude oil'!W2175</f>
        <v>59.76</v>
      </c>
      <c r="X2174">
        <f>'raw data Crude oil'!X2175</f>
        <v>59.86</v>
      </c>
      <c r="Y2174">
        <f>'raw data Crude oil'!Y2175</f>
        <v>59.96</v>
      </c>
      <c r="Z2174">
        <f>'raw data Crude oil'!Z2175</f>
        <v>63.732999999999997</v>
      </c>
      <c r="AA2174">
        <f>'raw data Crude oil'!AA2175</f>
        <v>63.899000000000001</v>
      </c>
      <c r="AB2174">
        <f>'raw data Crude oil'!AB2175</f>
        <v>63.345999999999997</v>
      </c>
      <c r="AC2174">
        <f>'raw data Crude oil'!AC2175</f>
        <v>62.765999999999998</v>
      </c>
      <c r="AD2174">
        <f>'raw data Crude oil'!AD2175</f>
        <v>62.396000000000001</v>
      </c>
      <c r="AE2174">
        <f>'raw data Crude oil'!AE2175</f>
        <v>62.197000000000003</v>
      </c>
      <c r="AF2174">
        <f>'raw data Crude oil'!AF2175</f>
        <v>62.143999999999998</v>
      </c>
      <c r="AG2174">
        <f>'raw data Crude oil'!AG2175</f>
        <v>62.164000000000001</v>
      </c>
      <c r="AH2174">
        <f>'raw data Crude oil'!AH2175</f>
        <v>62.253999999999998</v>
      </c>
      <c r="AI2174">
        <f>'raw data Crude oil'!AI2175</f>
        <v>62.344999999999999</v>
      </c>
      <c r="AJ2174">
        <f>'raw data Crude oil'!AJ2175</f>
        <v>62.453000000000003</v>
      </c>
      <c r="AK2174">
        <f>'raw data Crude oil'!AK2175</f>
        <v>62.542000000000002</v>
      </c>
    </row>
    <row r="2175" spans="1:37" x14ac:dyDescent="0.3">
      <c r="A2175" s="18">
        <f>'raw data Crude oil'!A2176</f>
        <v>45811</v>
      </c>
      <c r="B2175">
        <f>'raw data Crude oil'!B2176</f>
        <v>65.63</v>
      </c>
      <c r="C2175">
        <f>'raw data Crude oil'!C2176</f>
        <v>64.94</v>
      </c>
      <c r="D2175">
        <f>'raw data Crude oil'!D2176</f>
        <v>64.42</v>
      </c>
      <c r="E2175">
        <f>'raw data Crude oil'!E2176</f>
        <v>64.14</v>
      </c>
      <c r="F2175">
        <f>'raw data Crude oil'!F2176</f>
        <v>64.040000000000006</v>
      </c>
      <c r="G2175">
        <f>'raw data Crude oil'!G2176</f>
        <v>64.05</v>
      </c>
      <c r="H2175">
        <f>'raw data Crude oil'!H2176</f>
        <v>64.099999999999994</v>
      </c>
      <c r="I2175">
        <f>'raw data Crude oil'!I2176</f>
        <v>64.16</v>
      </c>
      <c r="J2175">
        <f>'raw data Crude oil'!J2176</f>
        <v>64.22</v>
      </c>
      <c r="K2175">
        <f>'raw data Crude oil'!K2176</f>
        <v>64.290000000000006</v>
      </c>
      <c r="L2175">
        <f>'raw data Crude oil'!L2176</f>
        <v>64.36</v>
      </c>
      <c r="M2175">
        <f>'raw data Crude oil'!M2176</f>
        <v>64.400000000000006</v>
      </c>
      <c r="N2175">
        <f>'raw data Crude oil'!N2176</f>
        <v>63.41</v>
      </c>
      <c r="O2175">
        <f>'raw data Crude oil'!O2176</f>
        <v>62.48</v>
      </c>
      <c r="P2175">
        <f>'raw data Crude oil'!P2176</f>
        <v>61.74</v>
      </c>
      <c r="Q2175">
        <f>'raw data Crude oil'!Q2176</f>
        <v>61.17</v>
      </c>
      <c r="R2175">
        <f>'raw data Crude oil'!R2176</f>
        <v>60.82</v>
      </c>
      <c r="S2175">
        <f>'raw data Crude oil'!S2176</f>
        <v>60.64</v>
      </c>
      <c r="T2175">
        <f>'raw data Crude oil'!T2176</f>
        <v>60.6</v>
      </c>
      <c r="U2175">
        <f>'raw data Crude oil'!U2176</f>
        <v>60.62</v>
      </c>
      <c r="V2175">
        <f>'raw data Crude oil'!V2176</f>
        <v>60.69</v>
      </c>
      <c r="W2175">
        <f>'raw data Crude oil'!W2176</f>
        <v>60.77</v>
      </c>
      <c r="X2175">
        <f>'raw data Crude oil'!X2176</f>
        <v>60.85</v>
      </c>
      <c r="Y2175">
        <f>'raw data Crude oil'!Y2176</f>
        <v>60.92</v>
      </c>
      <c r="Z2175">
        <f>'raw data Crude oil'!Z2176</f>
        <v>64.900999999999996</v>
      </c>
      <c r="AA2175">
        <f>'raw data Crude oil'!AA2176</f>
        <v>64.406999999999996</v>
      </c>
      <c r="AB2175">
        <f>'raw data Crude oil'!AB2176</f>
        <v>63.856999999999999</v>
      </c>
      <c r="AC2175">
        <f>'raw data Crude oil'!AC2176</f>
        <v>63.494999999999997</v>
      </c>
      <c r="AD2175">
        <f>'raw data Crude oil'!AD2176</f>
        <v>63.31</v>
      </c>
      <c r="AE2175">
        <f>'raw data Crude oil'!AE2176</f>
        <v>63.259</v>
      </c>
      <c r="AF2175">
        <f>'raw data Crude oil'!AF2176</f>
        <v>63.277999999999999</v>
      </c>
      <c r="AG2175">
        <f>'raw data Crude oil'!AG2176</f>
        <v>63.343000000000004</v>
      </c>
      <c r="AH2175">
        <f>'raw data Crude oil'!AH2176</f>
        <v>63.414000000000001</v>
      </c>
      <c r="AI2175">
        <f>'raw data Crude oil'!AI2176</f>
        <v>63.482999999999997</v>
      </c>
      <c r="AJ2175">
        <f>'raw data Crude oil'!AJ2176</f>
        <v>63.561999999999998</v>
      </c>
      <c r="AK2175">
        <f>'raw data Crude oil'!AK2176</f>
        <v>63.612000000000002</v>
      </c>
    </row>
    <row r="2176" spans="1:37" x14ac:dyDescent="0.3">
      <c r="A2176" s="18">
        <f>'raw data Crude oil'!A2177</f>
        <v>45812</v>
      </c>
      <c r="B2176">
        <f>'raw data Crude oil'!B2177</f>
        <v>64.86</v>
      </c>
      <c r="C2176">
        <f>'raw data Crude oil'!C2177</f>
        <v>64.22</v>
      </c>
      <c r="D2176">
        <f>'raw data Crude oil'!D2177</f>
        <v>63.73</v>
      </c>
      <c r="E2176">
        <f>'raw data Crude oil'!E2177</f>
        <v>63.46</v>
      </c>
      <c r="F2176">
        <f>'raw data Crude oil'!F2177</f>
        <v>63.37</v>
      </c>
      <c r="G2176">
        <f>'raw data Crude oil'!G2177</f>
        <v>63.39</v>
      </c>
      <c r="H2176">
        <f>'raw data Crude oil'!H2177</f>
        <v>63.45</v>
      </c>
      <c r="I2176">
        <f>'raw data Crude oil'!I2177</f>
        <v>63.53</v>
      </c>
      <c r="J2176">
        <f>'raw data Crude oil'!J2177</f>
        <v>63.61</v>
      </c>
      <c r="K2176">
        <f>'raw data Crude oil'!K2177</f>
        <v>63.68</v>
      </c>
      <c r="L2176">
        <f>'raw data Crude oil'!L2177</f>
        <v>63.76</v>
      </c>
      <c r="M2176">
        <f>'raw data Crude oil'!M2177</f>
        <v>63.8</v>
      </c>
      <c r="N2176">
        <f>'raw data Crude oil'!N2177</f>
        <v>62.85</v>
      </c>
      <c r="O2176">
        <f>'raw data Crude oil'!O2177</f>
        <v>61.89</v>
      </c>
      <c r="P2176">
        <f>'raw data Crude oil'!P2177</f>
        <v>61.11</v>
      </c>
      <c r="Q2176">
        <f>'raw data Crude oil'!Q2177</f>
        <v>60.53</v>
      </c>
      <c r="R2176">
        <f>'raw data Crude oil'!R2177</f>
        <v>60.19</v>
      </c>
      <c r="S2176">
        <f>'raw data Crude oil'!S2177</f>
        <v>60.02</v>
      </c>
      <c r="T2176">
        <f>'raw data Crude oil'!T2177</f>
        <v>59.99</v>
      </c>
      <c r="U2176">
        <f>'raw data Crude oil'!U2177</f>
        <v>60.02</v>
      </c>
      <c r="V2176">
        <f>'raw data Crude oil'!V2177</f>
        <v>60.08</v>
      </c>
      <c r="W2176">
        <f>'raw data Crude oil'!W2177</f>
        <v>60.16</v>
      </c>
      <c r="X2176">
        <f>'raw data Crude oil'!X2177</f>
        <v>60.24</v>
      </c>
      <c r="Y2176">
        <f>'raw data Crude oil'!Y2177</f>
        <v>60.31</v>
      </c>
      <c r="Z2176">
        <f>'raw data Crude oil'!Z2177</f>
        <v>64.040000000000006</v>
      </c>
      <c r="AA2176">
        <f>'raw data Crude oil'!AA2177</f>
        <v>63.719000000000001</v>
      </c>
      <c r="AB2176">
        <f>'raw data Crude oil'!AB2177</f>
        <v>63.146999999999998</v>
      </c>
      <c r="AC2176">
        <f>'raw data Crude oil'!AC2177</f>
        <v>62.789000000000001</v>
      </c>
      <c r="AD2176">
        <f>'raw data Crude oil'!AD2177</f>
        <v>62.606000000000002</v>
      </c>
      <c r="AE2176">
        <f>'raw data Crude oil'!AE2177</f>
        <v>62.563000000000002</v>
      </c>
      <c r="AF2176">
        <f>'raw data Crude oil'!AF2177</f>
        <v>62.587000000000003</v>
      </c>
      <c r="AG2176">
        <f>'raw data Crude oil'!AG2177</f>
        <v>62.673999999999999</v>
      </c>
      <c r="AH2176">
        <f>'raw data Crude oil'!AH2177</f>
        <v>62.774000000000001</v>
      </c>
      <c r="AI2176">
        <f>'raw data Crude oil'!AI2177</f>
        <v>62.863999999999997</v>
      </c>
      <c r="AJ2176">
        <f>'raw data Crude oil'!AJ2177</f>
        <v>62.951999999999998</v>
      </c>
      <c r="AK2176">
        <f>'raw data Crude oil'!AK2177</f>
        <v>63.002000000000002</v>
      </c>
    </row>
    <row r="2177" spans="1:37" x14ac:dyDescent="0.3">
      <c r="A2177" s="18">
        <f>'raw data Crude oil'!A2178</f>
        <v>45813</v>
      </c>
      <c r="B2177">
        <f>'raw data Crude oil'!B2178</f>
        <v>65.34</v>
      </c>
      <c r="C2177">
        <f>'raw data Crude oil'!C2178</f>
        <v>64.75</v>
      </c>
      <c r="D2177">
        <f>'raw data Crude oil'!D2178</f>
        <v>64.260000000000005</v>
      </c>
      <c r="E2177">
        <f>'raw data Crude oil'!E2178</f>
        <v>63.98</v>
      </c>
      <c r="F2177">
        <f>'raw data Crude oil'!F2178</f>
        <v>63.86</v>
      </c>
      <c r="G2177">
        <f>'raw data Crude oil'!G2178</f>
        <v>63.87</v>
      </c>
      <c r="H2177">
        <f>'raw data Crude oil'!H2178</f>
        <v>63.91</v>
      </c>
      <c r="I2177">
        <f>'raw data Crude oil'!I2178</f>
        <v>63.97</v>
      </c>
      <c r="J2177">
        <f>'raw data Crude oil'!J2178</f>
        <v>64.040000000000006</v>
      </c>
      <c r="K2177">
        <f>'raw data Crude oil'!K2178</f>
        <v>64.099999999999994</v>
      </c>
      <c r="L2177">
        <f>'raw data Crude oil'!L2178</f>
        <v>64.16</v>
      </c>
      <c r="M2177">
        <f>'raw data Crude oil'!M2178</f>
        <v>64.19</v>
      </c>
      <c r="N2177">
        <f>'raw data Crude oil'!N2178</f>
        <v>63.37</v>
      </c>
      <c r="O2177">
        <f>'raw data Crude oil'!O2178</f>
        <v>62.48</v>
      </c>
      <c r="P2177">
        <f>'raw data Crude oil'!P2178</f>
        <v>61.69</v>
      </c>
      <c r="Q2177">
        <f>'raw data Crude oil'!Q2178</f>
        <v>61.09</v>
      </c>
      <c r="R2177">
        <f>'raw data Crude oil'!R2178</f>
        <v>60.73</v>
      </c>
      <c r="S2177">
        <f>'raw data Crude oil'!S2178</f>
        <v>60.54</v>
      </c>
      <c r="T2177">
        <f>'raw data Crude oil'!T2178</f>
        <v>60.47</v>
      </c>
      <c r="U2177">
        <f>'raw data Crude oil'!U2178</f>
        <v>60.48</v>
      </c>
      <c r="V2177">
        <f>'raw data Crude oil'!V2178</f>
        <v>60.53</v>
      </c>
      <c r="W2177">
        <f>'raw data Crude oil'!W2178</f>
        <v>60.59</v>
      </c>
      <c r="X2177">
        <f>'raw data Crude oil'!X2178</f>
        <v>60.66</v>
      </c>
      <c r="Y2177">
        <f>'raw data Crude oil'!Y2178</f>
        <v>60.73</v>
      </c>
      <c r="Z2177">
        <f>'raw data Crude oil'!Z2178</f>
        <v>64.567999999999998</v>
      </c>
      <c r="AA2177">
        <f>'raw data Crude oil'!AA2178</f>
        <v>64.358999999999995</v>
      </c>
      <c r="AB2177">
        <f>'raw data Crude oil'!AB2178</f>
        <v>63.738999999999997</v>
      </c>
      <c r="AC2177">
        <f>'raw data Crude oil'!AC2178</f>
        <v>63.378999999999998</v>
      </c>
      <c r="AD2177">
        <f>'raw data Crude oil'!AD2178</f>
        <v>63.168999999999997</v>
      </c>
      <c r="AE2177">
        <f>'raw data Crude oil'!AE2178</f>
        <v>63.091999999999999</v>
      </c>
      <c r="AF2177">
        <f>'raw data Crude oil'!AF2178</f>
        <v>63.103000000000002</v>
      </c>
      <c r="AG2177">
        <f>'raw data Crude oil'!AG2178</f>
        <v>63.162999999999997</v>
      </c>
      <c r="AH2177">
        <f>'raw data Crude oil'!AH2178</f>
        <v>63.243000000000002</v>
      </c>
      <c r="AI2177">
        <f>'raw data Crude oil'!AI2178</f>
        <v>63.332999999999998</v>
      </c>
      <c r="AJ2177">
        <f>'raw data Crude oil'!AJ2178</f>
        <v>63.390999999999998</v>
      </c>
      <c r="AK2177">
        <f>'raw data Crude oil'!AK2178</f>
        <v>63.411000000000001</v>
      </c>
    </row>
    <row r="2178" spans="1:37" x14ac:dyDescent="0.3">
      <c r="A2178" s="18">
        <f>'raw data Crude oil'!A2179</f>
        <v>45814</v>
      </c>
      <c r="B2178">
        <f>'raw data Crude oil'!B2179</f>
        <v>66.47</v>
      </c>
      <c r="C2178">
        <f>'raw data Crude oil'!C2179</f>
        <v>65.73</v>
      </c>
      <c r="D2178">
        <f>'raw data Crude oil'!D2179</f>
        <v>65.150000000000006</v>
      </c>
      <c r="E2178">
        <f>'raw data Crude oil'!E2179</f>
        <v>64.790000000000006</v>
      </c>
      <c r="F2178">
        <f>'raw data Crude oil'!F2179</f>
        <v>64.62</v>
      </c>
      <c r="G2178">
        <f>'raw data Crude oil'!G2179</f>
        <v>64.58</v>
      </c>
      <c r="H2178">
        <f>'raw data Crude oil'!H2179</f>
        <v>64.61</v>
      </c>
      <c r="I2178">
        <f>'raw data Crude oil'!I2179</f>
        <v>64.66</v>
      </c>
      <c r="J2178">
        <f>'raw data Crude oil'!J2179</f>
        <v>64.709999999999994</v>
      </c>
      <c r="K2178">
        <f>'raw data Crude oil'!K2179</f>
        <v>64.77</v>
      </c>
      <c r="L2178">
        <f>'raw data Crude oil'!L2179</f>
        <v>64.81</v>
      </c>
      <c r="M2178">
        <f>'raw data Crude oil'!M2179</f>
        <v>64.83</v>
      </c>
      <c r="N2178">
        <f>'raw data Crude oil'!N2179</f>
        <v>64.58</v>
      </c>
      <c r="O2178">
        <f>'raw data Crude oil'!O2179</f>
        <v>63.63</v>
      </c>
      <c r="P2178">
        <f>'raw data Crude oil'!P2179</f>
        <v>62.73</v>
      </c>
      <c r="Q2178">
        <f>'raw data Crude oil'!Q2179</f>
        <v>62.03</v>
      </c>
      <c r="R2178">
        <f>'raw data Crude oil'!R2179</f>
        <v>61.59</v>
      </c>
      <c r="S2178">
        <f>'raw data Crude oil'!S2179</f>
        <v>61.33</v>
      </c>
      <c r="T2178">
        <f>'raw data Crude oil'!T2179</f>
        <v>61.22</v>
      </c>
      <c r="U2178">
        <f>'raw data Crude oil'!U2179</f>
        <v>61.2</v>
      </c>
      <c r="V2178">
        <f>'raw data Crude oil'!V2179</f>
        <v>61.21</v>
      </c>
      <c r="W2178">
        <f>'raw data Crude oil'!W2179</f>
        <v>61.25</v>
      </c>
      <c r="X2178">
        <f>'raw data Crude oil'!X2179</f>
        <v>61.31</v>
      </c>
      <c r="Y2178">
        <f>'raw data Crude oil'!Y2179</f>
        <v>61.37</v>
      </c>
      <c r="Z2178">
        <f>'raw data Crude oil'!Z2179</f>
        <v>65.525000000000006</v>
      </c>
      <c r="AA2178">
        <f>'raw data Crude oil'!AA2179</f>
        <v>65.484999999999999</v>
      </c>
      <c r="AB2178">
        <f>'raw data Crude oil'!AB2179</f>
        <v>64.757999999999996</v>
      </c>
      <c r="AC2178">
        <f>'raw data Crude oil'!AC2179</f>
        <v>64.286000000000001</v>
      </c>
      <c r="AD2178">
        <f>'raw data Crude oil'!AD2179</f>
        <v>63.973999999999997</v>
      </c>
      <c r="AE2178">
        <f>'raw data Crude oil'!AE2179</f>
        <v>63.823</v>
      </c>
      <c r="AF2178">
        <f>'raw data Crude oil'!AF2179</f>
        <v>63.783000000000001</v>
      </c>
      <c r="AG2178">
        <f>'raw data Crude oil'!AG2179</f>
        <v>63.832999999999998</v>
      </c>
      <c r="AH2178">
        <f>'raw data Crude oil'!AH2179</f>
        <v>63.902999999999999</v>
      </c>
      <c r="AI2178">
        <f>'raw data Crude oil'!AI2179</f>
        <v>63.991999999999997</v>
      </c>
      <c r="AJ2178">
        <f>'raw data Crude oil'!AJ2179</f>
        <v>64.025999999999996</v>
      </c>
      <c r="AK2178">
        <f>'raw data Crude oil'!AK2179</f>
        <v>64.046000000000006</v>
      </c>
    </row>
    <row r="2179" spans="1:37" x14ac:dyDescent="0.3">
      <c r="A2179" s="18">
        <f>'raw data Crude oil'!A2180</f>
        <v>45817</v>
      </c>
      <c r="B2179">
        <f>'raw data Crude oil'!B2180</f>
        <v>67.040000000000006</v>
      </c>
      <c r="C2179">
        <f>'raw data Crude oil'!C2180</f>
        <v>66.27</v>
      </c>
      <c r="D2179">
        <f>'raw data Crude oil'!D2180</f>
        <v>65.650000000000006</v>
      </c>
      <c r="E2179">
        <f>'raw data Crude oil'!E2180</f>
        <v>65.239999999999995</v>
      </c>
      <c r="F2179">
        <f>'raw data Crude oil'!F2180</f>
        <v>65.02</v>
      </c>
      <c r="G2179">
        <f>'raw data Crude oil'!G2180</f>
        <v>64.97</v>
      </c>
      <c r="H2179">
        <f>'raw data Crude oil'!H2180</f>
        <v>64.98</v>
      </c>
      <c r="I2179">
        <f>'raw data Crude oil'!I2180</f>
        <v>65.010000000000005</v>
      </c>
      <c r="J2179">
        <f>'raw data Crude oil'!J2180</f>
        <v>65.05</v>
      </c>
      <c r="K2179">
        <f>'raw data Crude oil'!K2180</f>
        <v>65.099999999999994</v>
      </c>
      <c r="L2179">
        <f>'raw data Crude oil'!L2180</f>
        <v>65.14</v>
      </c>
      <c r="M2179">
        <f>'raw data Crude oil'!M2180</f>
        <v>65.14</v>
      </c>
      <c r="N2179">
        <f>'raw data Crude oil'!N2180</f>
        <v>65.290000000000006</v>
      </c>
      <c r="O2179">
        <f>'raw data Crude oil'!O2180</f>
        <v>64.22</v>
      </c>
      <c r="P2179">
        <f>'raw data Crude oil'!P2180</f>
        <v>63.23</v>
      </c>
      <c r="Q2179">
        <f>'raw data Crude oil'!Q2180</f>
        <v>62.48</v>
      </c>
      <c r="R2179">
        <f>'raw data Crude oil'!R2180</f>
        <v>62</v>
      </c>
      <c r="S2179">
        <f>'raw data Crude oil'!S2180</f>
        <v>61.73</v>
      </c>
      <c r="T2179">
        <f>'raw data Crude oil'!T2180</f>
        <v>61.6</v>
      </c>
      <c r="U2179">
        <f>'raw data Crude oil'!U2180</f>
        <v>61.56</v>
      </c>
      <c r="V2179">
        <f>'raw data Crude oil'!V2180</f>
        <v>61.57</v>
      </c>
      <c r="W2179">
        <f>'raw data Crude oil'!W2180</f>
        <v>61.61</v>
      </c>
      <c r="X2179">
        <f>'raw data Crude oil'!X2180</f>
        <v>61.66</v>
      </c>
      <c r="Y2179">
        <f>'raw data Crude oil'!Y2180</f>
        <v>61.7</v>
      </c>
      <c r="Z2179">
        <f>'raw data Crude oil'!Z2180</f>
        <v>65.951999999999998</v>
      </c>
      <c r="AA2179">
        <f>'raw data Crude oil'!AA2180</f>
        <v>66.103999999999999</v>
      </c>
      <c r="AB2179">
        <f>'raw data Crude oil'!AB2180</f>
        <v>65.328999999999994</v>
      </c>
      <c r="AC2179">
        <f>'raw data Crude oil'!AC2180</f>
        <v>64.789000000000001</v>
      </c>
      <c r="AD2179">
        <f>'raw data Crude oil'!AD2180</f>
        <v>64.44</v>
      </c>
      <c r="AE2179">
        <f>'raw data Crude oil'!AE2180</f>
        <v>64.272999999999996</v>
      </c>
      <c r="AF2179">
        <f>'raw data Crude oil'!AF2180</f>
        <v>64.213999999999999</v>
      </c>
      <c r="AG2179">
        <f>'raw data Crude oil'!AG2180</f>
        <v>64.231999999999999</v>
      </c>
      <c r="AH2179">
        <f>'raw data Crude oil'!AH2180</f>
        <v>64.283000000000001</v>
      </c>
      <c r="AI2179">
        <f>'raw data Crude oil'!AI2180</f>
        <v>64.337000000000003</v>
      </c>
      <c r="AJ2179">
        <f>'raw data Crude oil'!AJ2180</f>
        <v>64.382999999999996</v>
      </c>
      <c r="AK2179">
        <f>'raw data Crude oil'!AK2180</f>
        <v>64.391000000000005</v>
      </c>
    </row>
    <row r="2180" spans="1:37" x14ac:dyDescent="0.3">
      <c r="A2180" s="18">
        <f>'raw data Crude oil'!A2181</f>
        <v>45818</v>
      </c>
      <c r="B2180">
        <f>'raw data Crude oil'!B2181</f>
        <v>66.87</v>
      </c>
      <c r="C2180">
        <f>'raw data Crude oil'!C2181</f>
        <v>66.13</v>
      </c>
      <c r="D2180">
        <f>'raw data Crude oil'!D2181</f>
        <v>65.5</v>
      </c>
      <c r="E2180">
        <f>'raw data Crude oil'!E2181</f>
        <v>65.08</v>
      </c>
      <c r="F2180">
        <f>'raw data Crude oil'!F2181</f>
        <v>64.86</v>
      </c>
      <c r="G2180">
        <f>'raw data Crude oil'!G2181</f>
        <v>64.8</v>
      </c>
      <c r="H2180">
        <f>'raw data Crude oil'!H2181</f>
        <v>64.81</v>
      </c>
      <c r="I2180">
        <f>'raw data Crude oil'!I2181</f>
        <v>64.849999999999994</v>
      </c>
      <c r="J2180">
        <f>'raw data Crude oil'!J2181</f>
        <v>64.89</v>
      </c>
      <c r="K2180">
        <f>'raw data Crude oil'!K2181</f>
        <v>64.94</v>
      </c>
      <c r="L2180">
        <f>'raw data Crude oil'!L2181</f>
        <v>64.98</v>
      </c>
      <c r="M2180">
        <f>'raw data Crude oil'!M2181</f>
        <v>64.989999999999995</v>
      </c>
      <c r="N2180">
        <f>'raw data Crude oil'!N2181</f>
        <v>64.98</v>
      </c>
      <c r="O2180">
        <f>'raw data Crude oil'!O2181</f>
        <v>63.91</v>
      </c>
      <c r="P2180">
        <f>'raw data Crude oil'!P2181</f>
        <v>62.94</v>
      </c>
      <c r="Q2180">
        <f>'raw data Crude oil'!Q2181</f>
        <v>62.21</v>
      </c>
      <c r="R2180">
        <f>'raw data Crude oil'!R2181</f>
        <v>61.76</v>
      </c>
      <c r="S2180">
        <f>'raw data Crude oil'!S2181</f>
        <v>61.52</v>
      </c>
      <c r="T2180">
        <f>'raw data Crude oil'!T2181</f>
        <v>61.4</v>
      </c>
      <c r="U2180">
        <f>'raw data Crude oil'!U2181</f>
        <v>61.37</v>
      </c>
      <c r="V2180">
        <f>'raw data Crude oil'!V2181</f>
        <v>61.37</v>
      </c>
      <c r="W2180">
        <f>'raw data Crude oil'!W2181</f>
        <v>61.42</v>
      </c>
      <c r="X2180">
        <f>'raw data Crude oil'!X2181</f>
        <v>61.47</v>
      </c>
      <c r="Y2180">
        <f>'raw data Crude oil'!Y2181</f>
        <v>61.51</v>
      </c>
      <c r="Z2180">
        <f>'raw data Crude oil'!Z2181</f>
        <v>65.972999999999999</v>
      </c>
      <c r="AA2180">
        <f>'raw data Crude oil'!AA2181</f>
        <v>66.052999999999997</v>
      </c>
      <c r="AB2180">
        <f>'raw data Crude oil'!AB2181</f>
        <v>65.233000000000004</v>
      </c>
      <c r="AC2180">
        <f>'raw data Crude oil'!AC2181</f>
        <v>64.662999999999997</v>
      </c>
      <c r="AD2180">
        <f>'raw data Crude oil'!AD2181</f>
        <v>64.322999999999993</v>
      </c>
      <c r="AE2180">
        <f>'raw data Crude oil'!AE2181</f>
        <v>64.177000000000007</v>
      </c>
      <c r="AF2180">
        <f>'raw data Crude oil'!AF2181</f>
        <v>64.132999999999996</v>
      </c>
      <c r="AG2180">
        <f>'raw data Crude oil'!AG2181</f>
        <v>64.156999999999996</v>
      </c>
      <c r="AH2180">
        <f>'raw data Crude oil'!AH2181</f>
        <v>64.203000000000003</v>
      </c>
      <c r="AI2180">
        <f>'raw data Crude oil'!AI2181</f>
        <v>64.262</v>
      </c>
      <c r="AJ2180">
        <f>'raw data Crude oil'!AJ2181</f>
        <v>64.325000000000003</v>
      </c>
      <c r="AK2180">
        <f>'raw data Crude oil'!AK2181</f>
        <v>64.335999999999999</v>
      </c>
    </row>
    <row r="2181" spans="1:37" x14ac:dyDescent="0.3">
      <c r="A2181" s="18">
        <f>'raw data Crude oil'!A2182</f>
        <v>45819</v>
      </c>
      <c r="B2181">
        <f>'raw data Crude oil'!B2182</f>
        <v>69.77</v>
      </c>
      <c r="C2181">
        <f>'raw data Crude oil'!C2182</f>
        <v>68.92</v>
      </c>
      <c r="D2181">
        <f>'raw data Crude oil'!D2182</f>
        <v>68.13</v>
      </c>
      <c r="E2181">
        <f>'raw data Crude oil'!E2182</f>
        <v>67.55</v>
      </c>
      <c r="F2181">
        <f>'raw data Crude oil'!F2182</f>
        <v>67.17</v>
      </c>
      <c r="G2181">
        <f>'raw data Crude oil'!G2182</f>
        <v>66.98</v>
      </c>
      <c r="H2181">
        <f>'raw data Crude oil'!H2182</f>
        <v>66.87</v>
      </c>
      <c r="I2181">
        <f>'raw data Crude oil'!I2182</f>
        <v>66.8</v>
      </c>
      <c r="J2181">
        <f>'raw data Crude oil'!J2182</f>
        <v>66.75</v>
      </c>
      <c r="K2181">
        <f>'raw data Crude oil'!K2182</f>
        <v>66.709999999999994</v>
      </c>
      <c r="L2181">
        <f>'raw data Crude oil'!L2182</f>
        <v>66.680000000000007</v>
      </c>
      <c r="M2181">
        <f>'raw data Crude oil'!M2182</f>
        <v>66.63</v>
      </c>
      <c r="N2181">
        <f>'raw data Crude oil'!N2182</f>
        <v>68.150000000000006</v>
      </c>
      <c r="O2181">
        <f>'raw data Crude oil'!O2182</f>
        <v>66.900000000000006</v>
      </c>
      <c r="P2181">
        <f>'raw data Crude oil'!P2182</f>
        <v>65.72</v>
      </c>
      <c r="Q2181">
        <f>'raw data Crude oil'!Q2182</f>
        <v>64.790000000000006</v>
      </c>
      <c r="R2181">
        <f>'raw data Crude oil'!R2182</f>
        <v>64.16</v>
      </c>
      <c r="S2181">
        <f>'raw data Crude oil'!S2182</f>
        <v>63.76</v>
      </c>
      <c r="T2181">
        <f>'raw data Crude oil'!T2182</f>
        <v>63.52</v>
      </c>
      <c r="U2181">
        <f>'raw data Crude oil'!U2182</f>
        <v>63.38</v>
      </c>
      <c r="V2181">
        <f>'raw data Crude oil'!V2182</f>
        <v>63.3</v>
      </c>
      <c r="W2181">
        <f>'raw data Crude oil'!W2182</f>
        <v>63.25</v>
      </c>
      <c r="X2181">
        <f>'raw data Crude oil'!X2182</f>
        <v>63.22</v>
      </c>
      <c r="Y2181">
        <f>'raw data Crude oil'!Y2182</f>
        <v>63.2</v>
      </c>
      <c r="Z2181">
        <f>'raw data Crude oil'!Z2182</f>
        <v>67.67</v>
      </c>
      <c r="AA2181">
        <f>'raw data Crude oil'!AA2182</f>
        <v>68.787000000000006</v>
      </c>
      <c r="AB2181">
        <f>'raw data Crude oil'!AB2182</f>
        <v>67.832999999999998</v>
      </c>
      <c r="AC2181">
        <f>'raw data Crude oil'!AC2182</f>
        <v>67.114000000000004</v>
      </c>
      <c r="AD2181">
        <f>'raw data Crude oil'!AD2182</f>
        <v>66.647000000000006</v>
      </c>
      <c r="AE2181">
        <f>'raw data Crude oil'!AE2182</f>
        <v>66.384</v>
      </c>
      <c r="AF2181">
        <f>'raw data Crude oil'!AF2182</f>
        <v>66.231999999999999</v>
      </c>
      <c r="AG2181">
        <f>'raw data Crude oil'!AG2182</f>
        <v>66.168000000000006</v>
      </c>
      <c r="AH2181">
        <f>'raw data Crude oil'!AH2182</f>
        <v>66.117999999999995</v>
      </c>
      <c r="AI2181">
        <f>'raw data Crude oil'!AI2182</f>
        <v>66.078999999999994</v>
      </c>
      <c r="AJ2181">
        <f>'raw data Crude oil'!AJ2182</f>
        <v>66.048000000000002</v>
      </c>
      <c r="AK2181">
        <f>'raw data Crude oil'!AK2182</f>
        <v>65.998999999999995</v>
      </c>
    </row>
    <row r="2182" spans="1:37" x14ac:dyDescent="0.3">
      <c r="A2182" s="18">
        <f>'raw data Crude oil'!A2183</f>
        <v>45820</v>
      </c>
      <c r="B2182">
        <f>'raw data Crude oil'!B2183</f>
        <v>69.36</v>
      </c>
      <c r="C2182">
        <f>'raw data Crude oil'!C2183</f>
        <v>68.44</v>
      </c>
      <c r="D2182">
        <f>'raw data Crude oil'!D2183</f>
        <v>67.67</v>
      </c>
      <c r="E2182">
        <f>'raw data Crude oil'!E2183</f>
        <v>67.13</v>
      </c>
      <c r="F2182">
        <f>'raw data Crude oil'!F2183</f>
        <v>66.8</v>
      </c>
      <c r="G2182">
        <f>'raw data Crude oil'!G2183</f>
        <v>66.63</v>
      </c>
      <c r="H2182">
        <f>'raw data Crude oil'!H2183</f>
        <v>66.55</v>
      </c>
      <c r="I2182">
        <f>'raw data Crude oil'!I2183</f>
        <v>66.5</v>
      </c>
      <c r="J2182">
        <f>'raw data Crude oil'!J2183</f>
        <v>66.45</v>
      </c>
      <c r="K2182">
        <f>'raw data Crude oil'!K2183</f>
        <v>66.42</v>
      </c>
      <c r="L2182">
        <f>'raw data Crude oil'!L2183</f>
        <v>66.39</v>
      </c>
      <c r="M2182">
        <f>'raw data Crude oil'!M2183</f>
        <v>66.33</v>
      </c>
      <c r="N2182">
        <f>'raw data Crude oil'!N2183</f>
        <v>68.040000000000006</v>
      </c>
      <c r="O2182">
        <f>'raw data Crude oil'!O2183</f>
        <v>66.64</v>
      </c>
      <c r="P2182">
        <f>'raw data Crude oil'!P2183</f>
        <v>65.38</v>
      </c>
      <c r="Q2182">
        <f>'raw data Crude oil'!Q2183</f>
        <v>64.42</v>
      </c>
      <c r="R2182">
        <f>'raw data Crude oil'!R2183</f>
        <v>63.81</v>
      </c>
      <c r="S2182">
        <f>'raw data Crude oil'!S2183</f>
        <v>63.44</v>
      </c>
      <c r="T2182">
        <f>'raw data Crude oil'!T2183</f>
        <v>63.22</v>
      </c>
      <c r="U2182">
        <f>'raw data Crude oil'!U2183</f>
        <v>63.1</v>
      </c>
      <c r="V2182">
        <f>'raw data Crude oil'!V2183</f>
        <v>63.02</v>
      </c>
      <c r="W2182">
        <f>'raw data Crude oil'!W2183</f>
        <v>62.97</v>
      </c>
      <c r="X2182">
        <f>'raw data Crude oil'!X2183</f>
        <v>62.93</v>
      </c>
      <c r="Y2182">
        <f>'raw data Crude oil'!Y2183</f>
        <v>62.89</v>
      </c>
      <c r="Z2182">
        <f>'raw data Crude oil'!Z2183</f>
        <v>67.403999999999996</v>
      </c>
      <c r="AA2182">
        <f>'raw data Crude oil'!AA2183</f>
        <v>68.337000000000003</v>
      </c>
      <c r="AB2182">
        <f>'raw data Crude oil'!AB2183</f>
        <v>67.424000000000007</v>
      </c>
      <c r="AC2182">
        <f>'raw data Crude oil'!AC2183</f>
        <v>66.754999999999995</v>
      </c>
      <c r="AD2182">
        <f>'raw data Crude oil'!AD2183</f>
        <v>66.317999999999998</v>
      </c>
      <c r="AE2182">
        <f>'raw data Crude oil'!AE2183</f>
        <v>66.085999999999999</v>
      </c>
      <c r="AF2182">
        <f>'raw data Crude oil'!AF2183</f>
        <v>65.965000000000003</v>
      </c>
      <c r="AG2182">
        <f>'raw data Crude oil'!AG2183</f>
        <v>65.918000000000006</v>
      </c>
      <c r="AH2182">
        <f>'raw data Crude oil'!AH2183</f>
        <v>65.888999999999996</v>
      </c>
      <c r="AI2182">
        <f>'raw data Crude oil'!AI2183</f>
        <v>65.849000000000004</v>
      </c>
      <c r="AJ2182">
        <f>'raw data Crude oil'!AJ2183</f>
        <v>65.826999999999998</v>
      </c>
      <c r="AK2182">
        <f>'raw data Crude oil'!AK2183</f>
        <v>65.769000000000005</v>
      </c>
    </row>
    <row r="2183" spans="1:37" x14ac:dyDescent="0.3">
      <c r="A2183" s="18">
        <f>'raw data Crude oil'!A2184</f>
        <v>45821</v>
      </c>
      <c r="B2183">
        <f>'raw data Crude oil'!B2184</f>
        <v>74.23</v>
      </c>
      <c r="C2183">
        <f>'raw data Crude oil'!C2184</f>
        <v>72.8</v>
      </c>
      <c r="D2183">
        <f>'raw data Crude oil'!D2184</f>
        <v>71.69</v>
      </c>
      <c r="E2183">
        <f>'raw data Crude oil'!E2184</f>
        <v>70.849999999999994</v>
      </c>
      <c r="F2183">
        <f>'raw data Crude oil'!F2184</f>
        <v>70.22</v>
      </c>
      <c r="G2183">
        <f>'raw data Crude oil'!G2184</f>
        <v>69.77</v>
      </c>
      <c r="H2183">
        <f>'raw data Crude oil'!H2184</f>
        <v>69.41</v>
      </c>
      <c r="I2183">
        <f>'raw data Crude oil'!I2184</f>
        <v>69.12</v>
      </c>
      <c r="J2183">
        <f>'raw data Crude oil'!J2184</f>
        <v>68.88</v>
      </c>
      <c r="K2183">
        <f>'raw data Crude oil'!K2184</f>
        <v>68.680000000000007</v>
      </c>
      <c r="L2183">
        <f>'raw data Crude oil'!L2184</f>
        <v>68.52</v>
      </c>
      <c r="M2183">
        <f>'raw data Crude oil'!M2184</f>
        <v>68.349999999999994</v>
      </c>
      <c r="N2183">
        <f>'raw data Crude oil'!N2184</f>
        <v>72.98</v>
      </c>
      <c r="O2183">
        <f>'raw data Crude oil'!O2184</f>
        <v>71.290000000000006</v>
      </c>
      <c r="P2183">
        <f>'raw data Crude oil'!P2184</f>
        <v>69.56</v>
      </c>
      <c r="Q2183">
        <f>'raw data Crude oil'!Q2184</f>
        <v>68.17</v>
      </c>
      <c r="R2183">
        <f>'raw data Crude oil'!R2184</f>
        <v>67.22</v>
      </c>
      <c r="S2183">
        <f>'raw data Crude oil'!S2184</f>
        <v>66.53</v>
      </c>
      <c r="T2183">
        <f>'raw data Crude oil'!T2184</f>
        <v>66.02</v>
      </c>
      <c r="U2183">
        <f>'raw data Crude oil'!U2184</f>
        <v>65.64</v>
      </c>
      <c r="V2183">
        <f>'raw data Crude oil'!V2184</f>
        <v>65.319999999999993</v>
      </c>
      <c r="W2183">
        <f>'raw data Crude oil'!W2184</f>
        <v>65.08</v>
      </c>
      <c r="X2183">
        <f>'raw data Crude oil'!X2184</f>
        <v>64.89</v>
      </c>
      <c r="Y2183">
        <f>'raw data Crude oil'!Y2184</f>
        <v>64.709999999999994</v>
      </c>
      <c r="Z2183">
        <f>'raw data Crude oil'!Z2184</f>
        <v>70.028999999999996</v>
      </c>
      <c r="AA2183">
        <f>'raw data Crude oil'!AA2184</f>
        <v>72.650999999999996</v>
      </c>
      <c r="AB2183">
        <f>'raw data Crude oil'!AB2184</f>
        <v>71.400000000000006</v>
      </c>
      <c r="AC2183">
        <f>'raw data Crude oil'!AC2184</f>
        <v>70.533000000000001</v>
      </c>
      <c r="AD2183">
        <f>'raw data Crude oil'!AD2184</f>
        <v>69.843000000000004</v>
      </c>
      <c r="AE2183">
        <f>'raw data Crude oil'!AE2184</f>
        <v>69.331000000000003</v>
      </c>
      <c r="AF2183">
        <f>'raw data Crude oil'!AF2184</f>
        <v>68.942999999999998</v>
      </c>
      <c r="AG2183">
        <f>'raw data Crude oil'!AG2184</f>
        <v>68.677999999999997</v>
      </c>
      <c r="AH2183">
        <f>'raw data Crude oil'!AH2184</f>
        <v>68.478999999999999</v>
      </c>
      <c r="AI2183">
        <f>'raw data Crude oil'!AI2184</f>
        <v>68.313000000000002</v>
      </c>
      <c r="AJ2183">
        <f>'raw data Crude oil'!AJ2184</f>
        <v>68.162000000000006</v>
      </c>
      <c r="AK2183">
        <f>'raw data Crude oil'!AK2184</f>
        <v>68.004000000000005</v>
      </c>
    </row>
    <row r="2184" spans="1:37" x14ac:dyDescent="0.3">
      <c r="A2184" s="18">
        <f>'raw data Crude oil'!A2185</f>
        <v>45824</v>
      </c>
      <c r="B2184">
        <f>'raw data Crude oil'!B2185</f>
        <v>73.23</v>
      </c>
      <c r="C2184">
        <f>'raw data Crude oil'!C2185</f>
        <v>71.989999999999995</v>
      </c>
      <c r="D2184">
        <f>'raw data Crude oil'!D2185</f>
        <v>71.040000000000006</v>
      </c>
      <c r="E2184">
        <f>'raw data Crude oil'!E2185</f>
        <v>70.39</v>
      </c>
      <c r="F2184">
        <f>'raw data Crude oil'!F2185</f>
        <v>69.930000000000007</v>
      </c>
      <c r="G2184">
        <f>'raw data Crude oil'!G2185</f>
        <v>69.63</v>
      </c>
      <c r="H2184">
        <f>'raw data Crude oil'!H2185</f>
        <v>69.400000000000006</v>
      </c>
      <c r="I2184">
        <f>'raw data Crude oil'!I2185</f>
        <v>69.2</v>
      </c>
      <c r="J2184">
        <f>'raw data Crude oil'!J2185</f>
        <v>69.040000000000006</v>
      </c>
      <c r="K2184">
        <f>'raw data Crude oil'!K2185</f>
        <v>68.900000000000006</v>
      </c>
      <c r="L2184">
        <f>'raw data Crude oil'!L2185</f>
        <v>68.760000000000005</v>
      </c>
      <c r="M2184">
        <f>'raw data Crude oil'!M2185</f>
        <v>68.62</v>
      </c>
      <c r="N2184">
        <f>'raw data Crude oil'!N2185</f>
        <v>71.77</v>
      </c>
      <c r="O2184">
        <f>'raw data Crude oil'!O2185</f>
        <v>70.25</v>
      </c>
      <c r="P2184">
        <f>'raw data Crude oil'!P2185</f>
        <v>68.72</v>
      </c>
      <c r="Q2184">
        <f>'raw data Crude oil'!Q2185</f>
        <v>67.56</v>
      </c>
      <c r="R2184">
        <f>'raw data Crude oil'!R2185</f>
        <v>66.84</v>
      </c>
      <c r="S2184">
        <f>'raw data Crude oil'!S2185</f>
        <v>66.34</v>
      </c>
      <c r="T2184">
        <f>'raw data Crude oil'!T2185</f>
        <v>66</v>
      </c>
      <c r="U2184">
        <f>'raw data Crude oil'!U2185</f>
        <v>65.75</v>
      </c>
      <c r="V2184">
        <f>'raw data Crude oil'!V2185</f>
        <v>65.55</v>
      </c>
      <c r="W2184">
        <f>'raw data Crude oil'!W2185</f>
        <v>65.39</v>
      </c>
      <c r="X2184">
        <f>'raw data Crude oil'!X2185</f>
        <v>65.239999999999995</v>
      </c>
      <c r="Y2184">
        <f>'raw data Crude oil'!Y2185</f>
        <v>65.09</v>
      </c>
      <c r="Z2184">
        <f>'raw data Crude oil'!Z2185</f>
        <v>69.391999999999996</v>
      </c>
      <c r="AA2184">
        <f>'raw data Crude oil'!AA2185</f>
        <v>71.522999999999996</v>
      </c>
      <c r="AB2184">
        <f>'raw data Crude oil'!AB2185</f>
        <v>70.525999999999996</v>
      </c>
      <c r="AC2184">
        <f>'raw data Crude oil'!AC2185</f>
        <v>69.849999999999994</v>
      </c>
      <c r="AD2184">
        <f>'raw data Crude oil'!AD2185</f>
        <v>69.358000000000004</v>
      </c>
      <c r="AE2184">
        <f>'raw data Crude oil'!AE2185</f>
        <v>69.043000000000006</v>
      </c>
      <c r="AF2184">
        <f>'raw data Crude oil'!AF2185</f>
        <v>68.805999999999997</v>
      </c>
      <c r="AG2184">
        <f>'raw data Crude oil'!AG2185</f>
        <v>68.641999999999996</v>
      </c>
      <c r="AH2184">
        <f>'raw data Crude oil'!AH2185</f>
        <v>68.503</v>
      </c>
      <c r="AI2184">
        <f>'raw data Crude oil'!AI2185</f>
        <v>68.403999999999996</v>
      </c>
      <c r="AJ2184">
        <f>'raw data Crude oil'!AJ2185</f>
        <v>68.293000000000006</v>
      </c>
      <c r="AK2184">
        <f>'raw data Crude oil'!AK2185</f>
        <v>68.174999999999997</v>
      </c>
    </row>
    <row r="2185" spans="1:37" x14ac:dyDescent="0.3">
      <c r="A2185" s="18">
        <f>'raw data Crude oil'!A2186</f>
        <v>45825</v>
      </c>
      <c r="B2185">
        <f>'raw data Crude oil'!B2186</f>
        <v>76.45</v>
      </c>
      <c r="C2185">
        <f>'raw data Crude oil'!C2186</f>
        <v>74.900000000000006</v>
      </c>
      <c r="D2185">
        <f>'raw data Crude oil'!D2186</f>
        <v>73.680000000000007</v>
      </c>
      <c r="E2185">
        <f>'raw data Crude oil'!E2186</f>
        <v>72.819999999999993</v>
      </c>
      <c r="F2185">
        <f>'raw data Crude oil'!F2186</f>
        <v>72.19</v>
      </c>
      <c r="G2185">
        <f>'raw data Crude oil'!G2186</f>
        <v>71.739999999999995</v>
      </c>
      <c r="H2185">
        <f>'raw data Crude oil'!H2186</f>
        <v>71.38</v>
      </c>
      <c r="I2185">
        <f>'raw data Crude oil'!I2186</f>
        <v>71.069999999999993</v>
      </c>
      <c r="J2185">
        <f>'raw data Crude oil'!J2186</f>
        <v>70.819999999999993</v>
      </c>
      <c r="K2185">
        <f>'raw data Crude oil'!K2186</f>
        <v>70.61</v>
      </c>
      <c r="L2185">
        <f>'raw data Crude oil'!L2186</f>
        <v>70.42</v>
      </c>
      <c r="M2185">
        <f>'raw data Crude oil'!M2186</f>
        <v>70.239999999999995</v>
      </c>
      <c r="N2185">
        <f>'raw data Crude oil'!N2186</f>
        <v>74.84</v>
      </c>
      <c r="O2185">
        <f>'raw data Crude oil'!O2186</f>
        <v>73.27</v>
      </c>
      <c r="P2185">
        <f>'raw data Crude oil'!P2186</f>
        <v>71.569999999999993</v>
      </c>
      <c r="Q2185">
        <f>'raw data Crude oil'!Q2186</f>
        <v>70.150000000000006</v>
      </c>
      <c r="R2185">
        <f>'raw data Crude oil'!R2186</f>
        <v>69.19</v>
      </c>
      <c r="S2185">
        <f>'raw data Crude oil'!S2186</f>
        <v>68.52</v>
      </c>
      <c r="T2185">
        <f>'raw data Crude oil'!T2186</f>
        <v>68.02</v>
      </c>
      <c r="U2185">
        <f>'raw data Crude oil'!U2186</f>
        <v>67.64</v>
      </c>
      <c r="V2185">
        <f>'raw data Crude oil'!V2186</f>
        <v>67.33</v>
      </c>
      <c r="W2185">
        <f>'raw data Crude oil'!W2186</f>
        <v>67.069999999999993</v>
      </c>
      <c r="X2185">
        <f>'raw data Crude oil'!X2186</f>
        <v>66.849999999999994</v>
      </c>
      <c r="Y2185">
        <f>'raw data Crude oil'!Y2186</f>
        <v>66.64</v>
      </c>
      <c r="Z2185">
        <f>'raw data Crude oil'!Z2186</f>
        <v>70.811999999999998</v>
      </c>
      <c r="AA2185">
        <f>'raw data Crude oil'!AA2186</f>
        <v>74.575000000000003</v>
      </c>
      <c r="AB2185">
        <f>'raw data Crude oil'!AB2186</f>
        <v>73.299000000000007</v>
      </c>
      <c r="AC2185">
        <f>'raw data Crude oil'!AC2186</f>
        <v>72.400999999999996</v>
      </c>
      <c r="AD2185">
        <f>'raw data Crude oil'!AD2186</f>
        <v>71.77</v>
      </c>
      <c r="AE2185">
        <f>'raw data Crude oil'!AE2186</f>
        <v>71.331999999999994</v>
      </c>
      <c r="AF2185">
        <f>'raw data Crude oil'!AF2186</f>
        <v>71.001999999999995</v>
      </c>
      <c r="AG2185">
        <f>'raw data Crude oil'!AG2186</f>
        <v>70.745000000000005</v>
      </c>
      <c r="AH2185">
        <f>'raw data Crude oil'!AH2186</f>
        <v>70.52</v>
      </c>
      <c r="AI2185">
        <f>'raw data Crude oil'!AI2186</f>
        <v>70.340999999999994</v>
      </c>
      <c r="AJ2185">
        <f>'raw data Crude oil'!AJ2186</f>
        <v>70.161000000000001</v>
      </c>
      <c r="AK2185">
        <f>'raw data Crude oil'!AK2186</f>
        <v>70.001999999999995</v>
      </c>
    </row>
    <row r="2186" spans="1:37" x14ac:dyDescent="0.3">
      <c r="A2186" s="18">
        <f>'raw data Crude oil'!A2187</f>
        <v>45826</v>
      </c>
      <c r="B2186">
        <f>'raw data Crude oil'!B2187</f>
        <v>76.7</v>
      </c>
      <c r="C2186">
        <f>'raw data Crude oil'!C2187</f>
        <v>75.14</v>
      </c>
      <c r="D2186">
        <f>'raw data Crude oil'!D2187</f>
        <v>73.900000000000006</v>
      </c>
      <c r="E2186">
        <f>'raw data Crude oil'!E2187</f>
        <v>73.010000000000005</v>
      </c>
      <c r="F2186">
        <f>'raw data Crude oil'!F2187</f>
        <v>72.34</v>
      </c>
      <c r="G2186">
        <f>'raw data Crude oil'!G2187</f>
        <v>71.86</v>
      </c>
      <c r="H2186">
        <f>'raw data Crude oil'!H2187</f>
        <v>71.459999999999994</v>
      </c>
      <c r="I2186">
        <f>'raw data Crude oil'!I2187</f>
        <v>71.11</v>
      </c>
      <c r="J2186">
        <f>'raw data Crude oil'!J2187</f>
        <v>70.81</v>
      </c>
      <c r="K2186">
        <f>'raw data Crude oil'!K2187</f>
        <v>70.56</v>
      </c>
      <c r="L2186">
        <f>'raw data Crude oil'!L2187</f>
        <v>70.319999999999993</v>
      </c>
      <c r="M2186">
        <f>'raw data Crude oil'!M2187</f>
        <v>70.11</v>
      </c>
      <c r="N2186">
        <f>'raw data Crude oil'!N2187</f>
        <v>75.14</v>
      </c>
      <c r="O2186">
        <f>'raw data Crude oil'!O2187</f>
        <v>73.5</v>
      </c>
      <c r="P2186">
        <f>'raw data Crude oil'!P2187</f>
        <v>71.760000000000005</v>
      </c>
      <c r="Q2186">
        <f>'raw data Crude oil'!Q2187</f>
        <v>70.319999999999993</v>
      </c>
      <c r="R2186">
        <f>'raw data Crude oil'!R2187</f>
        <v>69.34</v>
      </c>
      <c r="S2186">
        <f>'raw data Crude oil'!S2187</f>
        <v>68.62</v>
      </c>
      <c r="T2186">
        <f>'raw data Crude oil'!T2187</f>
        <v>68.08</v>
      </c>
      <c r="U2186">
        <f>'raw data Crude oil'!U2187</f>
        <v>67.66</v>
      </c>
      <c r="V2186">
        <f>'raw data Crude oil'!V2187</f>
        <v>67.319999999999993</v>
      </c>
      <c r="W2186">
        <f>'raw data Crude oil'!W2187</f>
        <v>67.02</v>
      </c>
      <c r="X2186">
        <f>'raw data Crude oil'!X2187</f>
        <v>66.760000000000005</v>
      </c>
      <c r="Y2186">
        <f>'raw data Crude oil'!Y2187</f>
        <v>66.510000000000005</v>
      </c>
      <c r="Z2186">
        <f>'raw data Crude oil'!Z2187</f>
        <v>71.037000000000006</v>
      </c>
      <c r="AA2186">
        <f>'raw data Crude oil'!AA2187</f>
        <v>74.903000000000006</v>
      </c>
      <c r="AB2186">
        <f>'raw data Crude oil'!AB2187</f>
        <v>73.488</v>
      </c>
      <c r="AC2186">
        <f>'raw data Crude oil'!AC2187</f>
        <v>72.58</v>
      </c>
      <c r="AD2186">
        <f>'raw data Crude oil'!AD2187</f>
        <v>71.914000000000001</v>
      </c>
      <c r="AE2186">
        <f>'raw data Crude oil'!AE2187</f>
        <v>71.44</v>
      </c>
      <c r="AF2186">
        <f>'raw data Crude oil'!AF2187</f>
        <v>71.067999999999998</v>
      </c>
      <c r="AG2186">
        <f>'raw data Crude oil'!AG2187</f>
        <v>70.775999999999996</v>
      </c>
      <c r="AH2186">
        <f>'raw data Crude oil'!AH2187</f>
        <v>70.498000000000005</v>
      </c>
      <c r="AI2186">
        <f>'raw data Crude oil'!AI2187</f>
        <v>70.269000000000005</v>
      </c>
      <c r="AJ2186">
        <f>'raw data Crude oil'!AJ2187</f>
        <v>70.09</v>
      </c>
      <c r="AK2186">
        <f>'raw data Crude oil'!AK2187</f>
        <v>69.902000000000001</v>
      </c>
    </row>
    <row r="2187" spans="1:37" x14ac:dyDescent="0.3">
      <c r="A2187" s="18">
        <f>'raw data Crude oil'!A2188</f>
        <v>45827</v>
      </c>
      <c r="B2187">
        <f>'raw data Crude oil'!B2188</f>
        <v>78.849999999999994</v>
      </c>
      <c r="C2187">
        <f>'raw data Crude oil'!C2188</f>
        <v>77.08</v>
      </c>
      <c r="D2187">
        <f>'raw data Crude oil'!D2188</f>
        <v>75.58</v>
      </c>
      <c r="E2187">
        <f>'raw data Crude oil'!E2188</f>
        <v>74.48</v>
      </c>
      <c r="F2187">
        <f>'raw data Crude oil'!F2188</f>
        <v>73.67</v>
      </c>
      <c r="G2187">
        <f>'raw data Crude oil'!G2188</f>
        <v>73.099999999999994</v>
      </c>
      <c r="H2187">
        <f>'raw data Crude oil'!H2188</f>
        <v>72.63</v>
      </c>
      <c r="I2187">
        <f>'raw data Crude oil'!I2188</f>
        <v>72.23</v>
      </c>
      <c r="J2187">
        <f>'raw data Crude oil'!J2188</f>
        <v>71.88</v>
      </c>
      <c r="K2187">
        <f>'raw data Crude oil'!K2188</f>
        <v>71.58</v>
      </c>
      <c r="L2187">
        <f>'raw data Crude oil'!L2188</f>
        <v>71.3</v>
      </c>
      <c r="M2187">
        <f>'raw data Crude oil'!M2188</f>
        <v>71.05</v>
      </c>
      <c r="N2187">
        <f>'raw data Crude oil'!N2188</f>
        <v>75.14</v>
      </c>
      <c r="O2187">
        <f>'raw data Crude oil'!O2188</f>
        <v>73.5</v>
      </c>
      <c r="P2187">
        <f>'raw data Crude oil'!P2188</f>
        <v>71.760000000000005</v>
      </c>
      <c r="Q2187">
        <f>'raw data Crude oil'!Q2188</f>
        <v>70.319999999999993</v>
      </c>
      <c r="R2187">
        <f>'raw data Crude oil'!R2188</f>
        <v>69.34</v>
      </c>
      <c r="S2187">
        <f>'raw data Crude oil'!S2188</f>
        <v>68.62</v>
      </c>
      <c r="T2187">
        <f>'raw data Crude oil'!T2188</f>
        <v>68.08</v>
      </c>
      <c r="U2187">
        <f>'raw data Crude oil'!U2188</f>
        <v>67.66</v>
      </c>
      <c r="V2187">
        <f>'raw data Crude oil'!V2188</f>
        <v>67.319999999999993</v>
      </c>
      <c r="W2187">
        <f>'raw data Crude oil'!W2188</f>
        <v>67.02</v>
      </c>
      <c r="X2187">
        <f>'raw data Crude oil'!X2188</f>
        <v>66.760000000000005</v>
      </c>
      <c r="Y2187">
        <f>'raw data Crude oil'!Y2188</f>
        <v>66.510000000000005</v>
      </c>
      <c r="Z2187">
        <f>'raw data Crude oil'!Z2188</f>
        <v>71.834000000000003</v>
      </c>
      <c r="AA2187">
        <f>'raw data Crude oil'!AA2188</f>
        <v>76.814999999999998</v>
      </c>
      <c r="AB2187">
        <f>'raw data Crude oil'!AB2188</f>
        <v>75.09</v>
      </c>
      <c r="AC2187">
        <f>'raw data Crude oil'!AC2188</f>
        <v>74.055000000000007</v>
      </c>
      <c r="AD2187">
        <f>'raw data Crude oil'!AD2188</f>
        <v>73.284000000000006</v>
      </c>
      <c r="AE2187">
        <f>'raw data Crude oil'!AE2188</f>
        <v>72.721999999999994</v>
      </c>
      <c r="AF2187">
        <f>'raw data Crude oil'!AF2188</f>
        <v>72.263000000000005</v>
      </c>
      <c r="AG2187">
        <f>'raw data Crude oil'!AG2188</f>
        <v>71.903000000000006</v>
      </c>
      <c r="AH2187">
        <f>'raw data Crude oil'!AH2188</f>
        <v>71.584999999999994</v>
      </c>
      <c r="AI2187">
        <f>'raw data Crude oil'!AI2188</f>
        <v>71.307000000000002</v>
      </c>
      <c r="AJ2187">
        <f>'raw data Crude oil'!AJ2188</f>
        <v>71.078000000000003</v>
      </c>
      <c r="AK2187">
        <f>'raw data Crude oil'!AK2188</f>
        <v>70.86</v>
      </c>
    </row>
    <row r="2188" spans="1:37" x14ac:dyDescent="0.3">
      <c r="A2188" s="18">
        <f>'raw data Crude oil'!A2189</f>
        <v>45828</v>
      </c>
      <c r="B2188">
        <f>'raw data Crude oil'!B2189</f>
        <v>77.010000000000005</v>
      </c>
      <c r="C2188">
        <f>'raw data Crude oil'!C2189</f>
        <v>75.48</v>
      </c>
      <c r="D2188">
        <f>'raw data Crude oil'!D2189</f>
        <v>74.03</v>
      </c>
      <c r="E2188">
        <f>'raw data Crude oil'!E2189</f>
        <v>72.98</v>
      </c>
      <c r="F2188">
        <f>'raw data Crude oil'!F2189</f>
        <v>72.27</v>
      </c>
      <c r="G2188">
        <f>'raw data Crude oil'!G2189</f>
        <v>71.8</v>
      </c>
      <c r="H2188">
        <f>'raw data Crude oil'!H2189</f>
        <v>71.44</v>
      </c>
      <c r="I2188">
        <f>'raw data Crude oil'!I2189</f>
        <v>71.150000000000006</v>
      </c>
      <c r="J2188">
        <f>'raw data Crude oil'!J2189</f>
        <v>70.900000000000006</v>
      </c>
      <c r="K2188">
        <f>'raw data Crude oil'!K2189</f>
        <v>70.69</v>
      </c>
      <c r="L2188">
        <f>'raw data Crude oil'!L2189</f>
        <v>70.489999999999995</v>
      </c>
      <c r="M2188">
        <f>'raw data Crude oil'!M2189</f>
        <v>70.290000000000006</v>
      </c>
      <c r="N2188">
        <f>'raw data Crude oil'!N2189</f>
        <v>74.930000000000007</v>
      </c>
      <c r="O2188">
        <f>'raw data Crude oil'!O2189</f>
        <v>73.84</v>
      </c>
      <c r="P2188">
        <f>'raw data Crude oil'!P2189</f>
        <v>72.010000000000005</v>
      </c>
      <c r="Q2188">
        <f>'raw data Crude oil'!Q2189</f>
        <v>70.489999999999995</v>
      </c>
      <c r="R2188">
        <f>'raw data Crude oil'!R2189</f>
        <v>69.38</v>
      </c>
      <c r="S2188">
        <f>'raw data Crude oil'!S2189</f>
        <v>68.599999999999994</v>
      </c>
      <c r="T2188">
        <f>'raw data Crude oil'!T2189</f>
        <v>68.05</v>
      </c>
      <c r="U2188">
        <f>'raw data Crude oil'!U2189</f>
        <v>67.650000000000006</v>
      </c>
      <c r="V2188">
        <f>'raw data Crude oil'!V2189</f>
        <v>67.36</v>
      </c>
      <c r="W2188">
        <f>'raw data Crude oil'!W2189</f>
        <v>67.12</v>
      </c>
      <c r="X2188">
        <f>'raw data Crude oil'!X2189</f>
        <v>66.900000000000006</v>
      </c>
      <c r="Y2188">
        <f>'raw data Crude oil'!Y2189</f>
        <v>66.69</v>
      </c>
      <c r="Z2188">
        <f>'raw data Crude oil'!Z2189</f>
        <v>71.298000000000002</v>
      </c>
      <c r="AA2188">
        <f>'raw data Crude oil'!AA2189</f>
        <v>75.177000000000007</v>
      </c>
      <c r="AB2188">
        <f>'raw data Crude oil'!AB2189</f>
        <v>73.552999999999997</v>
      </c>
      <c r="AC2188">
        <f>'raw data Crude oil'!AC2189</f>
        <v>72.575000000000003</v>
      </c>
      <c r="AD2188">
        <f>'raw data Crude oil'!AD2189</f>
        <v>71.88</v>
      </c>
      <c r="AE2188">
        <f>'raw data Crude oil'!AE2189</f>
        <v>71.421999999999997</v>
      </c>
      <c r="AF2188">
        <f>'raw data Crude oil'!AF2189</f>
        <v>71.058999999999997</v>
      </c>
      <c r="AG2188">
        <f>'raw data Crude oil'!AG2189</f>
        <v>70.798000000000002</v>
      </c>
      <c r="AH2188">
        <f>'raw data Crude oil'!AH2189</f>
        <v>70.56</v>
      </c>
      <c r="AI2188">
        <f>'raw data Crude oil'!AI2189</f>
        <v>70.361000000000004</v>
      </c>
      <c r="AJ2188">
        <f>'raw data Crude oil'!AJ2189</f>
        <v>70.2</v>
      </c>
      <c r="AK2188">
        <f>'raw data Crude oil'!AK2189</f>
        <v>70.033000000000001</v>
      </c>
    </row>
    <row r="2189" spans="1:37" x14ac:dyDescent="0.3">
      <c r="A2189" s="18">
        <f>'raw data Crude oil'!A2190</f>
        <v>45831</v>
      </c>
      <c r="B2189">
        <f>'raw data Crude oil'!B2190</f>
        <v>71.48</v>
      </c>
      <c r="C2189">
        <f>'raw data Crude oil'!C2190</f>
        <v>70.52</v>
      </c>
      <c r="D2189">
        <f>'raw data Crude oil'!D2190</f>
        <v>69.599999999999994</v>
      </c>
      <c r="E2189">
        <f>'raw data Crude oil'!E2190</f>
        <v>69.03</v>
      </c>
      <c r="F2189">
        <f>'raw data Crude oil'!F2190</f>
        <v>68.69</v>
      </c>
      <c r="G2189">
        <f>'raw data Crude oil'!G2190</f>
        <v>68.5</v>
      </c>
      <c r="H2189">
        <f>'raw data Crude oil'!H2190</f>
        <v>68.37</v>
      </c>
      <c r="I2189">
        <f>'raw data Crude oil'!I2190</f>
        <v>68.27</v>
      </c>
      <c r="J2189">
        <f>'raw data Crude oil'!J2190</f>
        <v>68.180000000000007</v>
      </c>
      <c r="K2189">
        <f>'raw data Crude oil'!K2190</f>
        <v>68.09</v>
      </c>
      <c r="L2189">
        <f>'raw data Crude oil'!L2190</f>
        <v>67.989999999999995</v>
      </c>
      <c r="M2189">
        <f>'raw data Crude oil'!M2190</f>
        <v>67.88</v>
      </c>
      <c r="N2189">
        <f>'raw data Crude oil'!N2190</f>
        <v>68.510000000000005</v>
      </c>
      <c r="O2189">
        <f>'raw data Crude oil'!O2190</f>
        <v>67.27</v>
      </c>
      <c r="P2189">
        <f>'raw data Crude oil'!P2190</f>
        <v>66.28</v>
      </c>
      <c r="Q2189">
        <f>'raw data Crude oil'!Q2190</f>
        <v>65.64</v>
      </c>
      <c r="R2189">
        <f>'raw data Crude oil'!R2190</f>
        <v>65.23</v>
      </c>
      <c r="S2189">
        <f>'raw data Crude oil'!S2190</f>
        <v>64.97</v>
      </c>
      <c r="T2189">
        <f>'raw data Crude oil'!T2190</f>
        <v>64.8</v>
      </c>
      <c r="U2189">
        <f>'raw data Crude oil'!U2190</f>
        <v>64.680000000000007</v>
      </c>
      <c r="V2189">
        <f>'raw data Crude oil'!V2190</f>
        <v>64.569999999999993</v>
      </c>
      <c r="W2189">
        <f>'raw data Crude oil'!W2190</f>
        <v>64.48</v>
      </c>
      <c r="X2189">
        <f>'raw data Crude oil'!X2190</f>
        <v>64.36</v>
      </c>
      <c r="Y2189">
        <f>'raw data Crude oil'!Y2190</f>
        <v>64.22</v>
      </c>
      <c r="Z2189">
        <f>'raw data Crude oil'!Z2190</f>
        <v>69.864999999999995</v>
      </c>
      <c r="AA2189">
        <f>'raw data Crude oil'!AA2190</f>
        <v>70.16</v>
      </c>
      <c r="AB2189">
        <f>'raw data Crude oil'!AB2190</f>
        <v>68.923000000000002</v>
      </c>
      <c r="AC2189">
        <f>'raw data Crude oil'!AC2190</f>
        <v>68.44</v>
      </c>
      <c r="AD2189">
        <f>'raw data Crude oil'!AD2190</f>
        <v>68.180000000000007</v>
      </c>
      <c r="AE2189">
        <f>'raw data Crude oil'!AE2190</f>
        <v>68.031999999999996</v>
      </c>
      <c r="AF2189">
        <f>'raw data Crude oil'!AF2190</f>
        <v>67.918999999999997</v>
      </c>
      <c r="AG2189">
        <f>'raw data Crude oil'!AG2190</f>
        <v>67.855999999999995</v>
      </c>
      <c r="AH2189">
        <f>'raw data Crude oil'!AH2190</f>
        <v>67.796000000000006</v>
      </c>
      <c r="AI2189">
        <f>'raw data Crude oil'!AI2190</f>
        <v>67.734999999999999</v>
      </c>
      <c r="AJ2189">
        <f>'raw data Crude oil'!AJ2190</f>
        <v>67.655000000000001</v>
      </c>
      <c r="AK2189">
        <f>'raw data Crude oil'!AK2190</f>
        <v>67.566000000000003</v>
      </c>
    </row>
    <row r="2190" spans="1:37" x14ac:dyDescent="0.3">
      <c r="A2190" s="18">
        <f>'raw data Crude oil'!A2191</f>
        <v>45832</v>
      </c>
      <c r="B2190">
        <f>'raw data Crude oil'!B2191</f>
        <v>67.14</v>
      </c>
      <c r="C2190">
        <f>'raw data Crude oil'!C2191</f>
        <v>66.17</v>
      </c>
      <c r="D2190">
        <f>'raw data Crude oil'!D2191</f>
        <v>65.36</v>
      </c>
      <c r="E2190">
        <f>'raw data Crude oil'!E2191</f>
        <v>64.930000000000007</v>
      </c>
      <c r="F2190">
        <f>'raw data Crude oil'!F2191</f>
        <v>64.75</v>
      </c>
      <c r="G2190">
        <f>'raw data Crude oil'!G2191</f>
        <v>64.739999999999995</v>
      </c>
      <c r="H2190">
        <f>'raw data Crude oil'!H2191</f>
        <v>64.77</v>
      </c>
      <c r="I2190">
        <f>'raw data Crude oil'!I2191</f>
        <v>64.83</v>
      </c>
      <c r="J2190">
        <f>'raw data Crude oil'!J2191</f>
        <v>64.89</v>
      </c>
      <c r="K2190">
        <f>'raw data Crude oil'!K2191</f>
        <v>64.95</v>
      </c>
      <c r="L2190">
        <f>'raw data Crude oil'!L2191</f>
        <v>65.010000000000005</v>
      </c>
      <c r="M2190">
        <f>'raw data Crude oil'!M2191</f>
        <v>65.040000000000006</v>
      </c>
      <c r="N2190">
        <f>'raw data Crude oil'!N2191</f>
        <v>64.37</v>
      </c>
      <c r="O2190">
        <f>'raw data Crude oil'!O2191</f>
        <v>63.15</v>
      </c>
      <c r="P2190">
        <f>'raw data Crude oil'!P2191</f>
        <v>62.22</v>
      </c>
      <c r="Q2190">
        <f>'raw data Crude oil'!Q2191</f>
        <v>61.67</v>
      </c>
      <c r="R2190">
        <f>'raw data Crude oil'!R2191</f>
        <v>61.4</v>
      </c>
      <c r="S2190">
        <f>'raw data Crude oil'!S2191</f>
        <v>61.3</v>
      </c>
      <c r="T2190">
        <f>'raw data Crude oil'!T2191</f>
        <v>61.28</v>
      </c>
      <c r="U2190">
        <f>'raw data Crude oil'!U2191</f>
        <v>61.31</v>
      </c>
      <c r="V2190">
        <f>'raw data Crude oil'!V2191</f>
        <v>61.37</v>
      </c>
      <c r="W2190">
        <f>'raw data Crude oil'!W2191</f>
        <v>61.44</v>
      </c>
      <c r="X2190">
        <f>'raw data Crude oil'!X2191</f>
        <v>61.5</v>
      </c>
      <c r="Y2190">
        <f>'raw data Crude oil'!Y2191</f>
        <v>61.52</v>
      </c>
      <c r="Z2190">
        <f>'raw data Crude oil'!Z2191</f>
        <v>69.768000000000001</v>
      </c>
      <c r="AA2190">
        <f>'raw data Crude oil'!AA2191</f>
        <v>66.194999999999993</v>
      </c>
      <c r="AB2190">
        <f>'raw data Crude oil'!AB2191</f>
        <v>64.915000000000006</v>
      </c>
      <c r="AC2190">
        <f>'raw data Crude oil'!AC2191</f>
        <v>64.478999999999999</v>
      </c>
      <c r="AD2190">
        <f>'raw data Crude oil'!AD2191</f>
        <v>64.3</v>
      </c>
      <c r="AE2190">
        <f>'raw data Crude oil'!AE2191</f>
        <v>64.221999999999994</v>
      </c>
      <c r="AF2190">
        <f>'raw data Crude oil'!AF2191</f>
        <v>64.209999999999994</v>
      </c>
      <c r="AG2190">
        <f>'raw data Crude oil'!AG2191</f>
        <v>64.268000000000001</v>
      </c>
      <c r="AH2190">
        <f>'raw data Crude oil'!AH2191</f>
        <v>64.328000000000003</v>
      </c>
      <c r="AI2190">
        <f>'raw data Crude oil'!AI2191</f>
        <v>64.388000000000005</v>
      </c>
      <c r="AJ2190">
        <f>'raw data Crude oil'!AJ2191</f>
        <v>64.456000000000003</v>
      </c>
      <c r="AK2190">
        <f>'raw data Crude oil'!AK2191</f>
        <v>64.501999999999995</v>
      </c>
    </row>
    <row r="2191" spans="1:37" x14ac:dyDescent="0.3">
      <c r="A2191" s="18">
        <f>'raw data Crude oil'!A2192</f>
        <v>45833</v>
      </c>
      <c r="B2191">
        <f>'raw data Crude oil'!B2192</f>
        <v>67.680000000000007</v>
      </c>
      <c r="C2191">
        <f>'raw data Crude oil'!C2192</f>
        <v>66.430000000000007</v>
      </c>
      <c r="D2191">
        <f>'raw data Crude oil'!D2192</f>
        <v>65.48</v>
      </c>
      <c r="E2191">
        <f>'raw data Crude oil'!E2192</f>
        <v>64.900000000000006</v>
      </c>
      <c r="F2191">
        <f>'raw data Crude oil'!F2192</f>
        <v>64.58</v>
      </c>
      <c r="G2191">
        <f>'raw data Crude oil'!G2192</f>
        <v>64.47</v>
      </c>
      <c r="H2191">
        <f>'raw data Crude oil'!H2192</f>
        <v>64.44</v>
      </c>
      <c r="I2191">
        <f>'raw data Crude oil'!I2192</f>
        <v>64.459999999999994</v>
      </c>
      <c r="J2191">
        <f>'raw data Crude oil'!J2192</f>
        <v>64.5</v>
      </c>
      <c r="K2191">
        <f>'raw data Crude oil'!K2192</f>
        <v>64.55</v>
      </c>
      <c r="L2191">
        <f>'raw data Crude oil'!L2192</f>
        <v>64.599999999999994</v>
      </c>
      <c r="M2191">
        <f>'raw data Crude oil'!M2192</f>
        <v>64.63</v>
      </c>
      <c r="N2191">
        <f>'raw data Crude oil'!N2192</f>
        <v>64.92</v>
      </c>
      <c r="O2191">
        <f>'raw data Crude oil'!O2192</f>
        <v>63.46</v>
      </c>
      <c r="P2191">
        <f>'raw data Crude oil'!P2192</f>
        <v>62.35</v>
      </c>
      <c r="Q2191">
        <f>'raw data Crude oil'!Q2192</f>
        <v>61.65</v>
      </c>
      <c r="R2191">
        <f>'raw data Crude oil'!R2192</f>
        <v>61.24</v>
      </c>
      <c r="S2191">
        <f>'raw data Crude oil'!S2192</f>
        <v>61.05</v>
      </c>
      <c r="T2191">
        <f>'raw data Crude oil'!T2192</f>
        <v>60.98</v>
      </c>
      <c r="U2191">
        <f>'raw data Crude oil'!U2192</f>
        <v>60.97</v>
      </c>
      <c r="V2191">
        <f>'raw data Crude oil'!V2192</f>
        <v>61</v>
      </c>
      <c r="W2191">
        <f>'raw data Crude oil'!W2192</f>
        <v>61.05</v>
      </c>
      <c r="X2191">
        <f>'raw data Crude oil'!X2192</f>
        <v>61.09</v>
      </c>
      <c r="Y2191">
        <f>'raw data Crude oil'!Y2192</f>
        <v>61.11</v>
      </c>
      <c r="Z2191">
        <f>'raw data Crude oil'!Z2192</f>
        <v>69.155000000000001</v>
      </c>
      <c r="AA2191">
        <f>'raw data Crude oil'!AA2192</f>
        <v>66.73</v>
      </c>
      <c r="AB2191">
        <f>'raw data Crude oil'!AB2192</f>
        <v>65.191999999999993</v>
      </c>
      <c r="AC2191">
        <f>'raw data Crude oil'!AC2192</f>
        <v>64.569999999999993</v>
      </c>
      <c r="AD2191">
        <f>'raw data Crude oil'!AD2192</f>
        <v>64.222999999999999</v>
      </c>
      <c r="AE2191">
        <f>'raw data Crude oil'!AE2192</f>
        <v>64.061000000000007</v>
      </c>
      <c r="AF2191">
        <f>'raw data Crude oil'!AF2192</f>
        <v>63.98</v>
      </c>
      <c r="AG2191">
        <f>'raw data Crude oil'!AG2192</f>
        <v>63.987000000000002</v>
      </c>
      <c r="AH2191">
        <f>'raw data Crude oil'!AH2192</f>
        <v>64.033000000000001</v>
      </c>
      <c r="AI2191">
        <f>'raw data Crude oil'!AI2192</f>
        <v>64.091999999999999</v>
      </c>
      <c r="AJ2191">
        <f>'raw data Crude oil'!AJ2192</f>
        <v>64.150999999999996</v>
      </c>
      <c r="AK2191">
        <f>'raw data Crude oil'!AK2192</f>
        <v>64.191000000000003</v>
      </c>
    </row>
    <row r="2192" spans="1:37" x14ac:dyDescent="0.3">
      <c r="A2192" s="18">
        <f>'raw data Crude oil'!A2193</f>
        <v>45834</v>
      </c>
      <c r="B2192">
        <f>'raw data Crude oil'!B2193</f>
        <v>67.73</v>
      </c>
      <c r="C2192">
        <f>'raw data Crude oil'!C2193</f>
        <v>66.69</v>
      </c>
      <c r="D2192">
        <f>'raw data Crude oil'!D2193</f>
        <v>65.81</v>
      </c>
      <c r="E2192">
        <f>'raw data Crude oil'!E2193</f>
        <v>65.25</v>
      </c>
      <c r="F2192">
        <f>'raw data Crude oil'!F2193</f>
        <v>64.95</v>
      </c>
      <c r="G2192">
        <f>'raw data Crude oil'!G2193</f>
        <v>64.86</v>
      </c>
      <c r="H2192">
        <f>'raw data Crude oil'!H2193</f>
        <v>64.849999999999994</v>
      </c>
      <c r="I2192">
        <f>'raw data Crude oil'!I2193</f>
        <v>64.86</v>
      </c>
      <c r="J2192">
        <f>'raw data Crude oil'!J2193</f>
        <v>64.900000000000006</v>
      </c>
      <c r="K2192">
        <f>'raw data Crude oil'!K2193</f>
        <v>64.94</v>
      </c>
      <c r="L2192">
        <f>'raw data Crude oil'!L2193</f>
        <v>64.97</v>
      </c>
      <c r="M2192">
        <f>'raw data Crude oil'!M2193</f>
        <v>64.98</v>
      </c>
      <c r="N2192">
        <f>'raw data Crude oil'!N2193</f>
        <v>65.239999999999995</v>
      </c>
      <c r="O2192">
        <f>'raw data Crude oil'!O2193</f>
        <v>63.82</v>
      </c>
      <c r="P2192">
        <f>'raw data Crude oil'!P2193</f>
        <v>62.72</v>
      </c>
      <c r="Q2192">
        <f>'raw data Crude oil'!Q2193</f>
        <v>62.04</v>
      </c>
      <c r="R2192">
        <f>'raw data Crude oil'!R2193</f>
        <v>61.65</v>
      </c>
      <c r="S2192">
        <f>'raw data Crude oil'!S2193</f>
        <v>61.48</v>
      </c>
      <c r="T2192">
        <f>'raw data Crude oil'!T2193</f>
        <v>61.42</v>
      </c>
      <c r="U2192">
        <f>'raw data Crude oil'!U2193</f>
        <v>61.4</v>
      </c>
      <c r="V2192">
        <f>'raw data Crude oil'!V2193</f>
        <v>61.41</v>
      </c>
      <c r="W2192">
        <f>'raw data Crude oil'!W2193</f>
        <v>61.45</v>
      </c>
      <c r="X2192">
        <f>'raw data Crude oil'!X2193</f>
        <v>61.49</v>
      </c>
      <c r="Y2192">
        <f>'raw data Crude oil'!Y2193</f>
        <v>61.5</v>
      </c>
      <c r="Z2192">
        <f>'raw data Crude oil'!Z2193</f>
        <v>69.162999999999997</v>
      </c>
      <c r="AA2192">
        <f>'raw data Crude oil'!AA2193</f>
        <v>67.137</v>
      </c>
      <c r="AB2192">
        <f>'raw data Crude oil'!AB2193</f>
        <v>65.631</v>
      </c>
      <c r="AC2192">
        <f>'raw data Crude oil'!AC2193</f>
        <v>65.016000000000005</v>
      </c>
      <c r="AD2192">
        <f>'raw data Crude oil'!AD2193</f>
        <v>64.686000000000007</v>
      </c>
      <c r="AE2192">
        <f>'raw data Crude oil'!AE2193</f>
        <v>64.525999999999996</v>
      </c>
      <c r="AF2192">
        <f>'raw data Crude oil'!AF2193</f>
        <v>64.445999999999998</v>
      </c>
      <c r="AG2192">
        <f>'raw data Crude oil'!AG2193</f>
        <v>64.432000000000002</v>
      </c>
      <c r="AH2192">
        <f>'raw data Crude oil'!AH2193</f>
        <v>64.451999999999998</v>
      </c>
      <c r="AI2192">
        <f>'raw data Crude oil'!AI2193</f>
        <v>64.491</v>
      </c>
      <c r="AJ2192">
        <f>'raw data Crude oil'!AJ2193</f>
        <v>64.53</v>
      </c>
      <c r="AK2192">
        <f>'raw data Crude oil'!AK2193</f>
        <v>64.551000000000002</v>
      </c>
    </row>
    <row r="2193" spans="1:37" x14ac:dyDescent="0.3">
      <c r="A2193" s="18">
        <f>'raw data Crude oil'!A2194</f>
        <v>45835</v>
      </c>
      <c r="B2193">
        <f>'raw data Crude oil'!B2194</f>
        <v>67.77</v>
      </c>
      <c r="C2193">
        <f>'raw data Crude oil'!C2194</f>
        <v>66.8</v>
      </c>
      <c r="D2193">
        <f>'raw data Crude oil'!D2194</f>
        <v>65.92</v>
      </c>
      <c r="E2193">
        <f>'raw data Crude oil'!E2194</f>
        <v>65.319999999999993</v>
      </c>
      <c r="F2193">
        <f>'raw data Crude oil'!F2194</f>
        <v>64.98</v>
      </c>
      <c r="G2193">
        <f>'raw data Crude oil'!G2194</f>
        <v>64.849999999999994</v>
      </c>
      <c r="H2193">
        <f>'raw data Crude oil'!H2194</f>
        <v>64.8</v>
      </c>
      <c r="I2193">
        <f>'raw data Crude oil'!I2194</f>
        <v>64.790000000000006</v>
      </c>
      <c r="J2193">
        <f>'raw data Crude oil'!J2194</f>
        <v>64.8</v>
      </c>
      <c r="K2193">
        <f>'raw data Crude oil'!K2194</f>
        <v>64.819999999999993</v>
      </c>
      <c r="L2193">
        <f>'raw data Crude oil'!L2194</f>
        <v>64.84</v>
      </c>
      <c r="M2193">
        <f>'raw data Crude oil'!M2194</f>
        <v>64.849999999999994</v>
      </c>
      <c r="N2193">
        <f>'raw data Crude oil'!N2194</f>
        <v>65.52</v>
      </c>
      <c r="O2193">
        <f>'raw data Crude oil'!O2194</f>
        <v>64.069999999999993</v>
      </c>
      <c r="P2193">
        <f>'raw data Crude oil'!P2194</f>
        <v>62.9</v>
      </c>
      <c r="Q2193">
        <f>'raw data Crude oil'!Q2194</f>
        <v>62.17</v>
      </c>
      <c r="R2193">
        <f>'raw data Crude oil'!R2194</f>
        <v>61.74</v>
      </c>
      <c r="S2193">
        <f>'raw data Crude oil'!S2194</f>
        <v>61.52</v>
      </c>
      <c r="T2193">
        <f>'raw data Crude oil'!T2194</f>
        <v>61.42</v>
      </c>
      <c r="U2193">
        <f>'raw data Crude oil'!U2194</f>
        <v>61.38</v>
      </c>
      <c r="V2193">
        <f>'raw data Crude oil'!V2194</f>
        <v>61.38</v>
      </c>
      <c r="W2193">
        <f>'raw data Crude oil'!W2194</f>
        <v>61.39</v>
      </c>
      <c r="X2193">
        <f>'raw data Crude oil'!X2194</f>
        <v>61.41</v>
      </c>
      <c r="Y2193">
        <f>'raw data Crude oil'!Y2194</f>
        <v>61.4</v>
      </c>
      <c r="Z2193">
        <f>'raw data Crude oil'!Z2194</f>
        <v>69.227000000000004</v>
      </c>
      <c r="AA2193">
        <f>'raw data Crude oil'!AA2194</f>
        <v>67.322999999999993</v>
      </c>
      <c r="AB2193">
        <f>'raw data Crude oil'!AB2194</f>
        <v>65.762</v>
      </c>
      <c r="AC2193">
        <f>'raw data Crude oil'!AC2194</f>
        <v>65.061999999999998</v>
      </c>
      <c r="AD2193">
        <f>'raw data Crude oil'!AD2194</f>
        <v>64.650999999999996</v>
      </c>
      <c r="AE2193">
        <f>'raw data Crude oil'!AE2194</f>
        <v>64.430999999999997</v>
      </c>
      <c r="AF2193">
        <f>'raw data Crude oil'!AF2194</f>
        <v>64.31</v>
      </c>
      <c r="AG2193">
        <f>'raw data Crude oil'!AG2194</f>
        <v>64.290000000000006</v>
      </c>
      <c r="AH2193">
        <f>'raw data Crude oil'!AH2194</f>
        <v>64.322000000000003</v>
      </c>
      <c r="AI2193">
        <f>'raw data Crude oil'!AI2194</f>
        <v>64.361000000000004</v>
      </c>
      <c r="AJ2193">
        <f>'raw data Crude oil'!AJ2194</f>
        <v>64.39</v>
      </c>
      <c r="AK2193">
        <f>'raw data Crude oil'!AK2194</f>
        <v>64.41</v>
      </c>
    </row>
    <row r="2194" spans="1:37" x14ac:dyDescent="0.3">
      <c r="A2194" s="18">
        <f>'raw data Crude oil'!A2195</f>
        <v>45838</v>
      </c>
      <c r="B2194">
        <f>'raw data Crude oil'!B2195</f>
        <v>67.61</v>
      </c>
      <c r="C2194">
        <f>'raw data Crude oil'!C2195</f>
        <v>66.739999999999995</v>
      </c>
      <c r="D2194">
        <f>'raw data Crude oil'!D2195</f>
        <v>65.86</v>
      </c>
      <c r="E2194">
        <f>'raw data Crude oil'!E2195</f>
        <v>65.25</v>
      </c>
      <c r="F2194">
        <f>'raw data Crude oil'!F2195</f>
        <v>64.91</v>
      </c>
      <c r="G2194">
        <f>'raw data Crude oil'!G2195</f>
        <v>64.77</v>
      </c>
      <c r="H2194">
        <f>'raw data Crude oil'!H2195</f>
        <v>64.72</v>
      </c>
      <c r="I2194">
        <f>'raw data Crude oil'!I2195</f>
        <v>64.7</v>
      </c>
      <c r="J2194">
        <f>'raw data Crude oil'!J2195</f>
        <v>64.709999999999994</v>
      </c>
      <c r="K2194">
        <f>'raw data Crude oil'!K2195</f>
        <v>64.73</v>
      </c>
      <c r="L2194">
        <f>'raw data Crude oil'!L2195</f>
        <v>64.739999999999995</v>
      </c>
      <c r="M2194">
        <f>'raw data Crude oil'!M2195</f>
        <v>64.739999999999995</v>
      </c>
      <c r="N2194">
        <f>'raw data Crude oil'!N2195</f>
        <v>65.11</v>
      </c>
      <c r="O2194">
        <f>'raw data Crude oil'!O2195</f>
        <v>63.85</v>
      </c>
      <c r="P2194">
        <f>'raw data Crude oil'!P2195</f>
        <v>62.76</v>
      </c>
      <c r="Q2194">
        <f>'raw data Crude oil'!Q2195</f>
        <v>62.06</v>
      </c>
      <c r="R2194">
        <f>'raw data Crude oil'!R2195</f>
        <v>61.65</v>
      </c>
      <c r="S2194">
        <f>'raw data Crude oil'!S2195</f>
        <v>61.44</v>
      </c>
      <c r="T2194">
        <f>'raw data Crude oil'!T2195</f>
        <v>61.35</v>
      </c>
      <c r="U2194">
        <f>'raw data Crude oil'!U2195</f>
        <v>61.31</v>
      </c>
      <c r="V2194">
        <f>'raw data Crude oil'!V2195</f>
        <v>61.31</v>
      </c>
      <c r="W2194">
        <f>'raw data Crude oil'!W2195</f>
        <v>61.32</v>
      </c>
      <c r="X2194">
        <f>'raw data Crude oil'!X2195</f>
        <v>61.34</v>
      </c>
      <c r="Y2194">
        <f>'raw data Crude oil'!Y2195</f>
        <v>61.31</v>
      </c>
      <c r="Z2194">
        <f>'raw data Crude oil'!Z2195</f>
        <v>69.268000000000001</v>
      </c>
      <c r="AA2194">
        <f>'raw data Crude oil'!AA2195</f>
        <v>67.498000000000005</v>
      </c>
      <c r="AB2194">
        <f>'raw data Crude oil'!AB2195</f>
        <v>65.896000000000001</v>
      </c>
      <c r="AC2194">
        <f>'raw data Crude oil'!AC2195</f>
        <v>65.105000000000004</v>
      </c>
      <c r="AD2194">
        <f>'raw data Crude oil'!AD2195</f>
        <v>64.623999999999995</v>
      </c>
      <c r="AE2194">
        <f>'raw data Crude oil'!AE2195</f>
        <v>64.363</v>
      </c>
      <c r="AF2194">
        <f>'raw data Crude oil'!AF2195</f>
        <v>64.221999999999994</v>
      </c>
      <c r="AG2194">
        <f>'raw data Crude oil'!AG2195</f>
        <v>64.192999999999998</v>
      </c>
      <c r="AH2194">
        <f>'raw data Crude oil'!AH2195</f>
        <v>64.210999999999999</v>
      </c>
      <c r="AI2194">
        <f>'raw data Crude oil'!AI2195</f>
        <v>64.241</v>
      </c>
      <c r="AJ2194">
        <f>'raw data Crude oil'!AJ2195</f>
        <v>64.260000000000005</v>
      </c>
      <c r="AK2194">
        <f>'raw data Crude oil'!AK2195</f>
        <v>64.260000000000005</v>
      </c>
    </row>
    <row r="2195" spans="1:37" x14ac:dyDescent="0.3">
      <c r="A2195" s="18">
        <f>'raw data Crude oil'!A2196</f>
        <v>45839</v>
      </c>
      <c r="B2195">
        <f>'raw data Crude oil'!B2196</f>
        <v>67.11</v>
      </c>
      <c r="C2195">
        <f>'raw data Crude oil'!C2196</f>
        <v>66.23</v>
      </c>
      <c r="D2195">
        <f>'raw data Crude oil'!D2196</f>
        <v>65.61</v>
      </c>
      <c r="E2195">
        <f>'raw data Crude oil'!E2196</f>
        <v>65.239999999999995</v>
      </c>
      <c r="F2195">
        <f>'raw data Crude oil'!F2196</f>
        <v>65.069999999999993</v>
      </c>
      <c r="G2195">
        <f>'raw data Crude oil'!G2196</f>
        <v>64.98</v>
      </c>
      <c r="H2195">
        <f>'raw data Crude oil'!H2196</f>
        <v>64.94</v>
      </c>
      <c r="I2195">
        <f>'raw data Crude oil'!I2196</f>
        <v>64.930000000000007</v>
      </c>
      <c r="J2195">
        <f>'raw data Crude oil'!J2196</f>
        <v>64.930000000000007</v>
      </c>
      <c r="K2195">
        <f>'raw data Crude oil'!K2196</f>
        <v>64.94</v>
      </c>
      <c r="L2195">
        <f>'raw data Crude oil'!L2196</f>
        <v>64.930000000000007</v>
      </c>
      <c r="M2195">
        <f>'raw data Crude oil'!M2196</f>
        <v>64.94</v>
      </c>
      <c r="N2195">
        <f>'raw data Crude oil'!N2196</f>
        <v>65.45</v>
      </c>
      <c r="O2195">
        <f>'raw data Crude oil'!O2196</f>
        <v>64.150000000000006</v>
      </c>
      <c r="P2195">
        <f>'raw data Crude oil'!P2196</f>
        <v>63.07</v>
      </c>
      <c r="Q2195">
        <f>'raw data Crude oil'!Q2196</f>
        <v>62.37</v>
      </c>
      <c r="R2195">
        <f>'raw data Crude oil'!R2196</f>
        <v>61.95</v>
      </c>
      <c r="S2195">
        <f>'raw data Crude oil'!S2196</f>
        <v>61.72</v>
      </c>
      <c r="T2195">
        <f>'raw data Crude oil'!T2196</f>
        <v>61.6</v>
      </c>
      <c r="U2195">
        <f>'raw data Crude oil'!U2196</f>
        <v>61.54</v>
      </c>
      <c r="V2195">
        <f>'raw data Crude oil'!V2196</f>
        <v>61.51</v>
      </c>
      <c r="W2195">
        <f>'raw data Crude oil'!W2196</f>
        <v>61.51</v>
      </c>
      <c r="X2195">
        <f>'raw data Crude oil'!X2196</f>
        <v>61.52</v>
      </c>
      <c r="Y2195">
        <f>'raw data Crude oil'!Y2196</f>
        <v>61.5</v>
      </c>
      <c r="Z2195">
        <f>'raw data Crude oil'!Z2196</f>
        <v>69.268000000000001</v>
      </c>
      <c r="AA2195">
        <f>'raw data Crude oil'!AA2196</f>
        <v>68.254999999999995</v>
      </c>
      <c r="AB2195">
        <f>'raw data Crude oil'!AB2196</f>
        <v>66.430000000000007</v>
      </c>
      <c r="AC2195">
        <f>'raw data Crude oil'!AC2196</f>
        <v>65.563000000000002</v>
      </c>
      <c r="AD2195">
        <f>'raw data Crude oil'!AD2196</f>
        <v>65.02</v>
      </c>
      <c r="AE2195">
        <f>'raw data Crude oil'!AE2196</f>
        <v>64.688999999999993</v>
      </c>
      <c r="AF2195">
        <f>'raw data Crude oil'!AF2196</f>
        <v>64.488</v>
      </c>
      <c r="AG2195">
        <f>'raw data Crude oil'!AG2196</f>
        <v>64.427999999999997</v>
      </c>
      <c r="AH2195">
        <f>'raw data Crude oil'!AH2196</f>
        <v>64.427999999999997</v>
      </c>
      <c r="AI2195">
        <f>'raw data Crude oil'!AI2196</f>
        <v>64.445999999999998</v>
      </c>
      <c r="AJ2195">
        <f>'raw data Crude oil'!AJ2196</f>
        <v>64.459999999999994</v>
      </c>
      <c r="AK2195">
        <f>'raw data Crude oil'!AK2196</f>
        <v>64.454999999999998</v>
      </c>
    </row>
    <row r="2196" spans="1:37" x14ac:dyDescent="0.3">
      <c r="A2196" s="18">
        <f>'raw data Crude oil'!A2197</f>
        <v>45840</v>
      </c>
      <c r="B2196">
        <f>'raw data Crude oil'!B2197</f>
        <v>69.11</v>
      </c>
      <c r="C2196">
        <f>'raw data Crude oil'!C2197</f>
        <v>67.94</v>
      </c>
      <c r="D2196">
        <f>'raw data Crude oil'!D2197</f>
        <v>67.09</v>
      </c>
      <c r="E2196">
        <f>'raw data Crude oil'!E2197</f>
        <v>66.55</v>
      </c>
      <c r="F2196">
        <f>'raw data Crude oil'!F2197</f>
        <v>66.260000000000005</v>
      </c>
      <c r="G2196">
        <f>'raw data Crude oil'!G2197</f>
        <v>66.08</v>
      </c>
      <c r="H2196">
        <f>'raw data Crude oil'!H2197</f>
        <v>65.959999999999994</v>
      </c>
      <c r="I2196">
        <f>'raw data Crude oil'!I2197</f>
        <v>65.87</v>
      </c>
      <c r="J2196">
        <f>'raw data Crude oil'!J2197</f>
        <v>65.81</v>
      </c>
      <c r="K2196">
        <f>'raw data Crude oil'!K2197</f>
        <v>65.760000000000005</v>
      </c>
      <c r="L2196">
        <f>'raw data Crude oil'!L2197</f>
        <v>65.709999999999994</v>
      </c>
      <c r="M2196">
        <f>'raw data Crude oil'!M2197</f>
        <v>65.67</v>
      </c>
      <c r="N2196">
        <f>'raw data Crude oil'!N2197</f>
        <v>67.45</v>
      </c>
      <c r="O2196">
        <f>'raw data Crude oil'!O2197</f>
        <v>66.010000000000005</v>
      </c>
      <c r="P2196">
        <f>'raw data Crude oil'!P2197</f>
        <v>64.73</v>
      </c>
      <c r="Q2196">
        <f>'raw data Crude oil'!Q2197</f>
        <v>63.83</v>
      </c>
      <c r="R2196">
        <f>'raw data Crude oil'!R2197</f>
        <v>63.24</v>
      </c>
      <c r="S2196">
        <f>'raw data Crude oil'!S2197</f>
        <v>62.9</v>
      </c>
      <c r="T2196">
        <f>'raw data Crude oil'!T2197</f>
        <v>62.69</v>
      </c>
      <c r="U2196">
        <f>'raw data Crude oil'!U2197</f>
        <v>62.54</v>
      </c>
      <c r="V2196">
        <f>'raw data Crude oil'!V2197</f>
        <v>62.44</v>
      </c>
      <c r="W2196">
        <f>'raw data Crude oil'!W2197</f>
        <v>62.37</v>
      </c>
      <c r="X2196">
        <f>'raw data Crude oil'!X2197</f>
        <v>62.32</v>
      </c>
      <c r="Y2196">
        <f>'raw data Crude oil'!Y2197</f>
        <v>62.25</v>
      </c>
      <c r="Z2196">
        <f>'raw data Crude oil'!Z2197</f>
        <v>69.712999999999994</v>
      </c>
      <c r="AA2196">
        <f>'raw data Crude oil'!AA2197</f>
        <v>67.94</v>
      </c>
      <c r="AB2196">
        <f>'raw data Crude oil'!AB2197</f>
        <v>66.905000000000001</v>
      </c>
      <c r="AC2196">
        <f>'raw data Crude oil'!AC2197</f>
        <v>66.277000000000001</v>
      </c>
      <c r="AD2196">
        <f>'raw data Crude oil'!AD2197</f>
        <v>65.876999999999995</v>
      </c>
      <c r="AE2196">
        <f>'raw data Crude oil'!AE2197</f>
        <v>65.593999999999994</v>
      </c>
      <c r="AF2196">
        <f>'raw data Crude oil'!AF2197</f>
        <v>65.456000000000003</v>
      </c>
      <c r="AG2196">
        <f>'raw data Crude oil'!AG2197</f>
        <v>65.367000000000004</v>
      </c>
      <c r="AH2196">
        <f>'raw data Crude oil'!AH2197</f>
        <v>65.317999999999998</v>
      </c>
      <c r="AI2196">
        <f>'raw data Crude oil'!AI2197</f>
        <v>65.287999999999997</v>
      </c>
      <c r="AJ2196">
        <f>'raw data Crude oil'!AJ2197</f>
        <v>65.248000000000005</v>
      </c>
      <c r="AK2196">
        <f>'raw data Crude oil'!AK2197</f>
        <v>65.218999999999994</v>
      </c>
    </row>
    <row r="2197" spans="1:37" x14ac:dyDescent="0.3">
      <c r="A2197" s="18">
        <f>'raw data Crude oil'!A2198</f>
        <v>45841</v>
      </c>
      <c r="B2197">
        <f>'raw data Crude oil'!B2198</f>
        <v>68.8</v>
      </c>
      <c r="C2197">
        <f>'raw data Crude oil'!C2198</f>
        <v>67.680000000000007</v>
      </c>
      <c r="D2197">
        <f>'raw data Crude oil'!D2198</f>
        <v>66.88</v>
      </c>
      <c r="E2197">
        <f>'raw data Crude oil'!E2198</f>
        <v>66.349999999999994</v>
      </c>
      <c r="F2197">
        <f>'raw data Crude oil'!F2198</f>
        <v>66.08</v>
      </c>
      <c r="G2197">
        <f>'raw data Crude oil'!G2198</f>
        <v>65.92</v>
      </c>
      <c r="H2197">
        <f>'raw data Crude oil'!H2198</f>
        <v>65.819999999999993</v>
      </c>
      <c r="I2197">
        <f>'raw data Crude oil'!I2198</f>
        <v>65.75</v>
      </c>
      <c r="J2197">
        <f>'raw data Crude oil'!J2198</f>
        <v>65.7</v>
      </c>
      <c r="K2197">
        <f>'raw data Crude oil'!K2198</f>
        <v>65.66</v>
      </c>
      <c r="L2197">
        <f>'raw data Crude oil'!L2198</f>
        <v>65.62</v>
      </c>
      <c r="M2197">
        <f>'raw data Crude oil'!M2198</f>
        <v>65.59</v>
      </c>
      <c r="N2197">
        <f>'raw data Crude oil'!N2198</f>
        <v>67</v>
      </c>
      <c r="O2197">
        <f>'raw data Crude oil'!O2198</f>
        <v>65.62</v>
      </c>
      <c r="P2197">
        <f>'raw data Crude oil'!P2198</f>
        <v>64.400000000000006</v>
      </c>
      <c r="Q2197">
        <f>'raw data Crude oil'!Q2198</f>
        <v>63.56</v>
      </c>
      <c r="R2197">
        <f>'raw data Crude oil'!R2198</f>
        <v>63</v>
      </c>
      <c r="S2197">
        <f>'raw data Crude oil'!S2198</f>
        <v>62.68</v>
      </c>
      <c r="T2197">
        <f>'raw data Crude oil'!T2198</f>
        <v>62.48</v>
      </c>
      <c r="U2197">
        <f>'raw data Crude oil'!U2198</f>
        <v>62.36</v>
      </c>
      <c r="V2197">
        <f>'raw data Crude oil'!V2198</f>
        <v>62.29</v>
      </c>
      <c r="W2197">
        <f>'raw data Crude oil'!W2198</f>
        <v>62.23</v>
      </c>
      <c r="X2197">
        <f>'raw data Crude oil'!X2198</f>
        <v>62.18</v>
      </c>
      <c r="Y2197">
        <f>'raw data Crude oil'!Y2198</f>
        <v>62.11</v>
      </c>
      <c r="Z2197">
        <f>'raw data Crude oil'!Z2198</f>
        <v>69.703000000000003</v>
      </c>
      <c r="AA2197">
        <f>'raw data Crude oil'!AA2198</f>
        <v>67.721999999999994</v>
      </c>
      <c r="AB2197">
        <f>'raw data Crude oil'!AB2198</f>
        <v>66.751999999999995</v>
      </c>
      <c r="AC2197">
        <f>'raw data Crude oil'!AC2198</f>
        <v>66.117999999999995</v>
      </c>
      <c r="AD2197">
        <f>'raw data Crude oil'!AD2198</f>
        <v>65.727999999999994</v>
      </c>
      <c r="AE2197">
        <f>'raw data Crude oil'!AE2198</f>
        <v>65.456999999999994</v>
      </c>
      <c r="AF2197">
        <f>'raw data Crude oil'!AF2198</f>
        <v>65.337000000000003</v>
      </c>
      <c r="AG2197">
        <f>'raw data Crude oil'!AG2198</f>
        <v>65.268000000000001</v>
      </c>
      <c r="AH2197">
        <f>'raw data Crude oil'!AH2198</f>
        <v>65.233000000000004</v>
      </c>
      <c r="AI2197">
        <f>'raw data Crude oil'!AI2198</f>
        <v>65.197999999999993</v>
      </c>
      <c r="AJ2197">
        <f>'raw data Crude oil'!AJ2198</f>
        <v>65.168999999999997</v>
      </c>
      <c r="AK2197">
        <f>'raw data Crude oil'!AK2198</f>
        <v>65.150000000000006</v>
      </c>
    </row>
    <row r="2198" spans="1:37" x14ac:dyDescent="0.3">
      <c r="A2198" s="18">
        <f>'raw data Crude oil'!A2199</f>
        <v>45842</v>
      </c>
      <c r="B2198">
        <f>'raw data Crude oil'!B2199</f>
        <v>68.3</v>
      </c>
      <c r="C2198">
        <f>'raw data Crude oil'!C2199</f>
        <v>67.22</v>
      </c>
      <c r="D2198">
        <f>'raw data Crude oil'!D2199</f>
        <v>66.459999999999994</v>
      </c>
      <c r="E2198">
        <f>'raw data Crude oil'!E2199</f>
        <v>65.989999999999995</v>
      </c>
      <c r="F2198">
        <f>'raw data Crude oil'!F2199</f>
        <v>65.75</v>
      </c>
      <c r="G2198">
        <f>'raw data Crude oil'!G2199</f>
        <v>65.62</v>
      </c>
      <c r="H2198">
        <f>'raw data Crude oil'!H2199</f>
        <v>65.540000000000006</v>
      </c>
      <c r="I2198">
        <f>'raw data Crude oil'!I2199</f>
        <v>65.489999999999995</v>
      </c>
      <c r="J2198">
        <f>'raw data Crude oil'!J2199</f>
        <v>65.45</v>
      </c>
      <c r="K2198">
        <f>'raw data Crude oil'!K2199</f>
        <v>65.42</v>
      </c>
      <c r="L2198">
        <f>'raw data Crude oil'!L2199</f>
        <v>65.39</v>
      </c>
      <c r="M2198">
        <f>'raw data Crude oil'!M2199</f>
        <v>65.37</v>
      </c>
      <c r="N2198">
        <f>'raw data Crude oil'!N2199</f>
        <v>67</v>
      </c>
      <c r="O2198">
        <f>'raw data Crude oil'!O2199</f>
        <v>65.62</v>
      </c>
      <c r="P2198">
        <f>'raw data Crude oil'!P2199</f>
        <v>64.400000000000006</v>
      </c>
      <c r="Q2198">
        <f>'raw data Crude oil'!Q2199</f>
        <v>63.56</v>
      </c>
      <c r="R2198">
        <f>'raw data Crude oil'!R2199</f>
        <v>63</v>
      </c>
      <c r="S2198">
        <f>'raw data Crude oil'!S2199</f>
        <v>62.68</v>
      </c>
      <c r="T2198">
        <f>'raw data Crude oil'!T2199</f>
        <v>62.48</v>
      </c>
      <c r="U2198">
        <f>'raw data Crude oil'!U2199</f>
        <v>62.36</v>
      </c>
      <c r="V2198">
        <f>'raw data Crude oil'!V2199</f>
        <v>62.29</v>
      </c>
      <c r="W2198">
        <f>'raw data Crude oil'!W2199</f>
        <v>62.23</v>
      </c>
      <c r="X2198">
        <f>'raw data Crude oil'!X2199</f>
        <v>62.18</v>
      </c>
      <c r="Y2198">
        <f>'raw data Crude oil'!Y2199</f>
        <v>62.11</v>
      </c>
      <c r="Z2198">
        <f>'raw data Crude oil'!Z2199</f>
        <v>69.301000000000002</v>
      </c>
      <c r="AA2198">
        <f>'raw data Crude oil'!AA2199</f>
        <v>67.369</v>
      </c>
      <c r="AB2198">
        <f>'raw data Crude oil'!AB2199</f>
        <v>66.448999999999998</v>
      </c>
      <c r="AC2198">
        <f>'raw data Crude oil'!AC2199</f>
        <v>65.83</v>
      </c>
      <c r="AD2198">
        <f>'raw data Crude oil'!AD2199</f>
        <v>65.45</v>
      </c>
      <c r="AE2198">
        <f>'raw data Crude oil'!AE2199</f>
        <v>65.2</v>
      </c>
      <c r="AF2198">
        <f>'raw data Crude oil'!AF2199</f>
        <v>65.099999999999994</v>
      </c>
      <c r="AG2198">
        <f>'raw data Crude oil'!AG2199</f>
        <v>65.05</v>
      </c>
      <c r="AH2198">
        <f>'raw data Crude oil'!AH2199</f>
        <v>65.03</v>
      </c>
      <c r="AI2198">
        <f>'raw data Crude oil'!AI2199</f>
        <v>64.994</v>
      </c>
      <c r="AJ2198">
        <f>'raw data Crude oil'!AJ2199</f>
        <v>64.963999999999999</v>
      </c>
      <c r="AK2198">
        <f>'raw data Crude oil'!AK2199</f>
        <v>64.944999999999993</v>
      </c>
    </row>
    <row r="2199" spans="1:37" x14ac:dyDescent="0.3">
      <c r="A2199" s="18">
        <f>'raw data Crude oil'!A2200</f>
        <v>45845</v>
      </c>
      <c r="B2199">
        <f>'raw data Crude oil'!B2200</f>
        <v>69.58</v>
      </c>
      <c r="C2199">
        <f>'raw data Crude oil'!C2200</f>
        <v>68.430000000000007</v>
      </c>
      <c r="D2199">
        <f>'raw data Crude oil'!D2200</f>
        <v>67.58</v>
      </c>
      <c r="E2199">
        <f>'raw data Crude oil'!E2200</f>
        <v>67</v>
      </c>
      <c r="F2199">
        <f>'raw data Crude oil'!F2200</f>
        <v>66.67</v>
      </c>
      <c r="G2199">
        <f>'raw data Crude oil'!G2200</f>
        <v>66.47</v>
      </c>
      <c r="H2199">
        <f>'raw data Crude oil'!H2200</f>
        <v>66.34</v>
      </c>
      <c r="I2199">
        <f>'raw data Crude oil'!I2200</f>
        <v>66.25</v>
      </c>
      <c r="J2199">
        <f>'raw data Crude oil'!J2200</f>
        <v>66.2</v>
      </c>
      <c r="K2199">
        <f>'raw data Crude oil'!K2200</f>
        <v>66.16</v>
      </c>
      <c r="L2199">
        <f>'raw data Crude oil'!L2200</f>
        <v>66.12</v>
      </c>
      <c r="M2199">
        <f>'raw data Crude oil'!M2200</f>
        <v>66.099999999999994</v>
      </c>
      <c r="N2199">
        <f>'raw data Crude oil'!N2200</f>
        <v>67.930000000000007</v>
      </c>
      <c r="O2199">
        <f>'raw data Crude oil'!O2200</f>
        <v>66.489999999999995</v>
      </c>
      <c r="P2199">
        <f>'raw data Crude oil'!P2200</f>
        <v>65.2</v>
      </c>
      <c r="Q2199">
        <f>'raw data Crude oil'!Q2200</f>
        <v>64.31</v>
      </c>
      <c r="R2199">
        <f>'raw data Crude oil'!R2200</f>
        <v>63.7</v>
      </c>
      <c r="S2199">
        <f>'raw data Crude oil'!S2200</f>
        <v>63.33</v>
      </c>
      <c r="T2199">
        <f>'raw data Crude oil'!T2200</f>
        <v>63.09</v>
      </c>
      <c r="U2199">
        <f>'raw data Crude oil'!U2200</f>
        <v>62.95</v>
      </c>
      <c r="V2199">
        <f>'raw data Crude oil'!V2200</f>
        <v>62.84</v>
      </c>
      <c r="W2199">
        <f>'raw data Crude oil'!W2200</f>
        <v>62.78</v>
      </c>
      <c r="X2199">
        <f>'raw data Crude oil'!X2200</f>
        <v>62.74</v>
      </c>
      <c r="Y2199">
        <f>'raw data Crude oil'!Y2200</f>
        <v>62.69</v>
      </c>
      <c r="Z2199">
        <f>'raw data Crude oil'!Z2200</f>
        <v>70.349999999999994</v>
      </c>
      <c r="AA2199">
        <f>'raw data Crude oil'!AA2200</f>
        <v>68.775000000000006</v>
      </c>
      <c r="AB2199">
        <f>'raw data Crude oil'!AB2200</f>
        <v>67.745000000000005</v>
      </c>
      <c r="AC2199">
        <f>'raw data Crude oil'!AC2200</f>
        <v>66.977999999999994</v>
      </c>
      <c r="AD2199">
        <f>'raw data Crude oil'!AD2200</f>
        <v>66.432000000000002</v>
      </c>
      <c r="AE2199">
        <f>'raw data Crude oil'!AE2200</f>
        <v>66.084999999999994</v>
      </c>
      <c r="AF2199">
        <f>'raw data Crude oil'!AF2200</f>
        <v>65.942999999999998</v>
      </c>
      <c r="AG2199">
        <f>'raw data Crude oil'!AG2200</f>
        <v>65.873000000000005</v>
      </c>
      <c r="AH2199">
        <f>'raw data Crude oil'!AH2200</f>
        <v>65.847999999999999</v>
      </c>
      <c r="AI2199">
        <f>'raw data Crude oil'!AI2200</f>
        <v>65.798000000000002</v>
      </c>
      <c r="AJ2199">
        <f>'raw data Crude oil'!AJ2200</f>
        <v>65.739000000000004</v>
      </c>
      <c r="AK2199">
        <f>'raw data Crude oil'!AK2200</f>
        <v>65.704999999999998</v>
      </c>
    </row>
    <row r="2200" spans="1:37" x14ac:dyDescent="0.3">
      <c r="A2200" s="18">
        <f>'raw data Crude oil'!A2201</f>
        <v>45846</v>
      </c>
      <c r="B2200">
        <f>'raw data Crude oil'!B2201</f>
        <v>70.150000000000006</v>
      </c>
      <c r="C2200">
        <f>'raw data Crude oil'!C2201</f>
        <v>68.98</v>
      </c>
      <c r="D2200">
        <f>'raw data Crude oil'!D2201</f>
        <v>68.13</v>
      </c>
      <c r="E2200">
        <f>'raw data Crude oil'!E2201</f>
        <v>67.56</v>
      </c>
      <c r="F2200">
        <f>'raw data Crude oil'!F2201</f>
        <v>67.23</v>
      </c>
      <c r="G2200">
        <f>'raw data Crude oil'!G2201</f>
        <v>67.040000000000006</v>
      </c>
      <c r="H2200">
        <f>'raw data Crude oil'!H2201</f>
        <v>66.91</v>
      </c>
      <c r="I2200">
        <f>'raw data Crude oil'!I2201</f>
        <v>66.83</v>
      </c>
      <c r="J2200">
        <f>'raw data Crude oil'!J2201</f>
        <v>66.78</v>
      </c>
      <c r="K2200">
        <f>'raw data Crude oil'!K2201</f>
        <v>66.739999999999995</v>
      </c>
      <c r="L2200">
        <f>'raw data Crude oil'!L2201</f>
        <v>66.709999999999994</v>
      </c>
      <c r="M2200">
        <f>'raw data Crude oil'!M2201</f>
        <v>66.69</v>
      </c>
      <c r="N2200">
        <f>'raw data Crude oil'!N2201</f>
        <v>68.33</v>
      </c>
      <c r="O2200">
        <f>'raw data Crude oil'!O2201</f>
        <v>66.98</v>
      </c>
      <c r="P2200">
        <f>'raw data Crude oil'!P2201</f>
        <v>65.7</v>
      </c>
      <c r="Q2200">
        <f>'raw data Crude oil'!Q2201</f>
        <v>64.819999999999993</v>
      </c>
      <c r="R2200">
        <f>'raw data Crude oil'!R2201</f>
        <v>64.22</v>
      </c>
      <c r="S2200">
        <f>'raw data Crude oil'!S2201</f>
        <v>63.87</v>
      </c>
      <c r="T2200">
        <f>'raw data Crude oil'!T2201</f>
        <v>63.64</v>
      </c>
      <c r="U2200">
        <f>'raw data Crude oil'!U2201</f>
        <v>63.5</v>
      </c>
      <c r="V2200">
        <f>'raw data Crude oil'!V2201</f>
        <v>63.4</v>
      </c>
      <c r="W2200">
        <f>'raw data Crude oil'!W2201</f>
        <v>63.34</v>
      </c>
      <c r="X2200">
        <f>'raw data Crude oil'!X2201</f>
        <v>63.31</v>
      </c>
      <c r="Y2200">
        <f>'raw data Crude oil'!Y2201</f>
        <v>63.26</v>
      </c>
      <c r="Z2200">
        <f>'raw data Crude oil'!Z2201</f>
        <v>70.555000000000007</v>
      </c>
      <c r="AA2200">
        <f>'raw data Crude oil'!AA2201</f>
        <v>69.206999999999994</v>
      </c>
      <c r="AB2200">
        <f>'raw data Crude oil'!AB2201</f>
        <v>68.195999999999998</v>
      </c>
      <c r="AC2200">
        <f>'raw data Crude oil'!AC2201</f>
        <v>67.445999999999998</v>
      </c>
      <c r="AD2200">
        <f>'raw data Crude oil'!AD2201</f>
        <v>66.915999999999997</v>
      </c>
      <c r="AE2200">
        <f>'raw data Crude oil'!AE2201</f>
        <v>66.575999999999993</v>
      </c>
      <c r="AF2200">
        <f>'raw data Crude oil'!AF2201</f>
        <v>66.424999999999997</v>
      </c>
      <c r="AG2200">
        <f>'raw data Crude oil'!AG2201</f>
        <v>66.364999999999995</v>
      </c>
      <c r="AH2200">
        <f>'raw data Crude oil'!AH2201</f>
        <v>66.337999999999994</v>
      </c>
      <c r="AI2200">
        <f>'raw data Crude oil'!AI2201</f>
        <v>66.308999999999997</v>
      </c>
      <c r="AJ2200">
        <f>'raw data Crude oil'!AJ2201</f>
        <v>66.278999999999996</v>
      </c>
      <c r="AK2200">
        <f>'raw data Crude oil'!AK2201</f>
        <v>66.260000000000005</v>
      </c>
    </row>
    <row r="2201" spans="1:37" x14ac:dyDescent="0.3">
      <c r="A2201" s="18">
        <f>'raw data Crude oil'!A2202</f>
        <v>45847</v>
      </c>
      <c r="B2201">
        <f>'raw data Crude oil'!B2202</f>
        <v>70.19</v>
      </c>
      <c r="C2201">
        <f>'raw data Crude oil'!C2202</f>
        <v>68.97</v>
      </c>
      <c r="D2201">
        <f>'raw data Crude oil'!D2202</f>
        <v>68.05</v>
      </c>
      <c r="E2201">
        <f>'raw data Crude oil'!E2202</f>
        <v>67.41</v>
      </c>
      <c r="F2201">
        <f>'raw data Crude oil'!F2202</f>
        <v>67.05</v>
      </c>
      <c r="G2201">
        <f>'raw data Crude oil'!G2202</f>
        <v>66.84</v>
      </c>
      <c r="H2201">
        <f>'raw data Crude oil'!H2202</f>
        <v>66.709999999999994</v>
      </c>
      <c r="I2201">
        <f>'raw data Crude oil'!I2202</f>
        <v>66.64</v>
      </c>
      <c r="J2201">
        <f>'raw data Crude oil'!J2202</f>
        <v>66.59</v>
      </c>
      <c r="K2201">
        <f>'raw data Crude oil'!K2202</f>
        <v>66.55</v>
      </c>
      <c r="L2201">
        <f>'raw data Crude oil'!L2202</f>
        <v>66.52</v>
      </c>
      <c r="M2201">
        <f>'raw data Crude oil'!M2202</f>
        <v>66.5</v>
      </c>
      <c r="N2201">
        <f>'raw data Crude oil'!N2202</f>
        <v>68.38</v>
      </c>
      <c r="O2201">
        <f>'raw data Crude oil'!O2202</f>
        <v>66.97</v>
      </c>
      <c r="P2201">
        <f>'raw data Crude oil'!P2202</f>
        <v>65.64</v>
      </c>
      <c r="Q2201">
        <f>'raw data Crude oil'!Q2202</f>
        <v>64.709999999999994</v>
      </c>
      <c r="R2201">
        <f>'raw data Crude oil'!R2202</f>
        <v>64.069999999999993</v>
      </c>
      <c r="S2201">
        <f>'raw data Crude oil'!S2202</f>
        <v>63.69</v>
      </c>
      <c r="T2201">
        <f>'raw data Crude oil'!T2202</f>
        <v>63.45</v>
      </c>
      <c r="U2201">
        <f>'raw data Crude oil'!U2202</f>
        <v>63.3</v>
      </c>
      <c r="V2201">
        <f>'raw data Crude oil'!V2202</f>
        <v>63.2</v>
      </c>
      <c r="W2201">
        <f>'raw data Crude oil'!W2202</f>
        <v>63.14</v>
      </c>
      <c r="X2201">
        <f>'raw data Crude oil'!X2202</f>
        <v>63.11</v>
      </c>
      <c r="Y2201">
        <f>'raw data Crude oil'!Y2202</f>
        <v>63.06</v>
      </c>
      <c r="Z2201">
        <f>'raw data Crude oil'!Z2202</f>
        <v>70.734999999999999</v>
      </c>
      <c r="AA2201">
        <f>'raw data Crude oil'!AA2202</f>
        <v>69.355999999999995</v>
      </c>
      <c r="AB2201">
        <f>'raw data Crude oil'!AB2202</f>
        <v>68.260999999999996</v>
      </c>
      <c r="AC2201">
        <f>'raw data Crude oil'!AC2202</f>
        <v>67.444000000000003</v>
      </c>
      <c r="AD2201">
        <f>'raw data Crude oil'!AD2202</f>
        <v>66.87</v>
      </c>
      <c r="AE2201">
        <f>'raw data Crude oil'!AE2202</f>
        <v>66.498999999999995</v>
      </c>
      <c r="AF2201">
        <f>'raw data Crude oil'!AF2202</f>
        <v>66.317999999999998</v>
      </c>
      <c r="AG2201">
        <f>'raw data Crude oil'!AG2202</f>
        <v>66.248000000000005</v>
      </c>
      <c r="AH2201">
        <f>'raw data Crude oil'!AH2202</f>
        <v>66.227999999999994</v>
      </c>
      <c r="AI2201">
        <f>'raw data Crude oil'!AI2202</f>
        <v>66.197999999999993</v>
      </c>
      <c r="AJ2201">
        <f>'raw data Crude oil'!AJ2202</f>
        <v>66.158000000000001</v>
      </c>
      <c r="AK2201">
        <f>'raw data Crude oil'!AK2202</f>
        <v>66.099999999999994</v>
      </c>
    </row>
    <row r="2202" spans="1:37" x14ac:dyDescent="0.3">
      <c r="A2202" s="18">
        <f>'raw data Crude oil'!A2203</f>
        <v>45848</v>
      </c>
      <c r="B2202">
        <f>'raw data Crude oil'!B2203</f>
        <v>68.64</v>
      </c>
      <c r="C2202">
        <f>'raw data Crude oil'!C2203</f>
        <v>67.56</v>
      </c>
      <c r="D2202">
        <f>'raw data Crude oil'!D2203</f>
        <v>66.77</v>
      </c>
      <c r="E2202">
        <f>'raw data Crude oil'!E2203</f>
        <v>66.260000000000005</v>
      </c>
      <c r="F2202">
        <f>'raw data Crude oil'!F2203</f>
        <v>66</v>
      </c>
      <c r="G2202">
        <f>'raw data Crude oil'!G2203</f>
        <v>65.87</v>
      </c>
      <c r="H2202">
        <f>'raw data Crude oil'!H2203</f>
        <v>65.8</v>
      </c>
      <c r="I2202">
        <f>'raw data Crude oil'!I2203</f>
        <v>65.77</v>
      </c>
      <c r="J2202">
        <f>'raw data Crude oil'!J2203</f>
        <v>65.760000000000005</v>
      </c>
      <c r="K2202">
        <f>'raw data Crude oil'!K2203</f>
        <v>65.75</v>
      </c>
      <c r="L2202">
        <f>'raw data Crude oil'!L2203</f>
        <v>65.73</v>
      </c>
      <c r="M2202">
        <f>'raw data Crude oil'!M2203</f>
        <v>65.73</v>
      </c>
      <c r="N2202">
        <f>'raw data Crude oil'!N2203</f>
        <v>66.569999999999993</v>
      </c>
      <c r="O2202">
        <f>'raw data Crude oil'!O2203</f>
        <v>65.38</v>
      </c>
      <c r="P2202">
        <f>'raw data Crude oil'!P2203</f>
        <v>64.239999999999995</v>
      </c>
      <c r="Q2202">
        <f>'raw data Crude oil'!Q2203</f>
        <v>63.46</v>
      </c>
      <c r="R2202">
        <f>'raw data Crude oil'!R2203</f>
        <v>62.94</v>
      </c>
      <c r="S2202">
        <f>'raw data Crude oil'!S2203</f>
        <v>62.67</v>
      </c>
      <c r="T2202">
        <f>'raw data Crude oil'!T2203</f>
        <v>62.51</v>
      </c>
      <c r="U2202">
        <f>'raw data Crude oil'!U2203</f>
        <v>62.42</v>
      </c>
      <c r="V2202">
        <f>'raw data Crude oil'!V2203</f>
        <v>62.37</v>
      </c>
      <c r="W2202">
        <f>'raw data Crude oil'!W2203</f>
        <v>62.34</v>
      </c>
      <c r="X2202">
        <f>'raw data Crude oil'!X2203</f>
        <v>62.31</v>
      </c>
      <c r="Y2202">
        <f>'raw data Crude oil'!Y2203</f>
        <v>62.28</v>
      </c>
      <c r="Z2202">
        <f>'raw data Crude oil'!Z2203</f>
        <v>69.843000000000004</v>
      </c>
      <c r="AA2202">
        <f>'raw data Crude oil'!AA2203</f>
        <v>67.984999999999999</v>
      </c>
      <c r="AB2202">
        <f>'raw data Crude oil'!AB2203</f>
        <v>66.935000000000002</v>
      </c>
      <c r="AC2202">
        <f>'raw data Crude oil'!AC2203</f>
        <v>66.183999999999997</v>
      </c>
      <c r="AD2202">
        <f>'raw data Crude oil'!AD2203</f>
        <v>65.691999999999993</v>
      </c>
      <c r="AE2202">
        <f>'raw data Crude oil'!AE2203</f>
        <v>65.391999999999996</v>
      </c>
      <c r="AF2202">
        <f>'raw data Crude oil'!AF2203</f>
        <v>65.274000000000001</v>
      </c>
      <c r="AG2202">
        <f>'raw data Crude oil'!AG2203</f>
        <v>65.254000000000005</v>
      </c>
      <c r="AH2202">
        <f>'raw data Crude oil'!AH2203</f>
        <v>65.263999999999996</v>
      </c>
      <c r="AI2202">
        <f>'raw data Crude oil'!AI2203</f>
        <v>65.254000000000005</v>
      </c>
      <c r="AJ2202">
        <f>'raw data Crude oil'!AJ2203</f>
        <v>65.239999999999995</v>
      </c>
      <c r="AK2202">
        <f>'raw data Crude oil'!AK2203</f>
        <v>65.23</v>
      </c>
    </row>
    <row r="2203" spans="1:37" x14ac:dyDescent="0.3">
      <c r="A2203" s="18">
        <f>'raw data Crude oil'!A2204</f>
        <v>45849</v>
      </c>
      <c r="B2203">
        <f>'raw data Crude oil'!B2204</f>
        <v>70.36</v>
      </c>
      <c r="C2203">
        <f>'raw data Crude oil'!C2204</f>
        <v>69.16</v>
      </c>
      <c r="D2203">
        <f>'raw data Crude oil'!D2204</f>
        <v>68.290000000000006</v>
      </c>
      <c r="E2203">
        <f>'raw data Crude oil'!E2204</f>
        <v>67.72</v>
      </c>
      <c r="F2203">
        <f>'raw data Crude oil'!F2204</f>
        <v>67.400000000000006</v>
      </c>
      <c r="G2203">
        <f>'raw data Crude oil'!G2204</f>
        <v>67.209999999999994</v>
      </c>
      <c r="H2203">
        <f>'raw data Crude oil'!H2204</f>
        <v>67.09</v>
      </c>
      <c r="I2203">
        <f>'raw data Crude oil'!I2204</f>
        <v>67.010000000000005</v>
      </c>
      <c r="J2203">
        <f>'raw data Crude oil'!J2204</f>
        <v>66.959999999999994</v>
      </c>
      <c r="K2203">
        <f>'raw data Crude oil'!K2204</f>
        <v>66.92</v>
      </c>
      <c r="L2203">
        <f>'raw data Crude oil'!L2204</f>
        <v>66.88</v>
      </c>
      <c r="M2203">
        <f>'raw data Crude oil'!M2204</f>
        <v>66.849999999999994</v>
      </c>
      <c r="N2203">
        <f>'raw data Crude oil'!N2204</f>
        <v>68.45</v>
      </c>
      <c r="O2203">
        <f>'raw data Crude oil'!O2204</f>
        <v>67.040000000000006</v>
      </c>
      <c r="P2203">
        <f>'raw data Crude oil'!P2204</f>
        <v>65.77</v>
      </c>
      <c r="Q2203">
        <f>'raw data Crude oil'!Q2204</f>
        <v>64.900000000000006</v>
      </c>
      <c r="R2203">
        <f>'raw data Crude oil'!R2204</f>
        <v>64.319999999999993</v>
      </c>
      <c r="S2203">
        <f>'raw data Crude oil'!S2204</f>
        <v>63.98</v>
      </c>
      <c r="T2203">
        <f>'raw data Crude oil'!T2204</f>
        <v>63.76</v>
      </c>
      <c r="U2203">
        <f>'raw data Crude oil'!U2204</f>
        <v>63.63</v>
      </c>
      <c r="V2203">
        <f>'raw data Crude oil'!V2204</f>
        <v>63.54</v>
      </c>
      <c r="W2203">
        <f>'raw data Crude oil'!W2204</f>
        <v>63.47</v>
      </c>
      <c r="X2203">
        <f>'raw data Crude oil'!X2204</f>
        <v>63.42</v>
      </c>
      <c r="Y2203">
        <f>'raw data Crude oil'!Y2204</f>
        <v>63.37</v>
      </c>
      <c r="Z2203">
        <f>'raw data Crude oil'!Z2204</f>
        <v>70.731999999999999</v>
      </c>
      <c r="AA2203">
        <f>'raw data Crude oil'!AA2204</f>
        <v>69.409000000000006</v>
      </c>
      <c r="AB2203">
        <f>'raw data Crude oil'!AB2204</f>
        <v>68.343999999999994</v>
      </c>
      <c r="AC2203">
        <f>'raw data Crude oil'!AC2204</f>
        <v>67.558999999999997</v>
      </c>
      <c r="AD2203">
        <f>'raw data Crude oil'!AD2204</f>
        <v>67.024000000000001</v>
      </c>
      <c r="AE2203">
        <f>'raw data Crude oil'!AE2204</f>
        <v>66.703999999999994</v>
      </c>
      <c r="AF2203">
        <f>'raw data Crude oil'!AF2204</f>
        <v>66.554000000000002</v>
      </c>
      <c r="AG2203">
        <f>'raw data Crude oil'!AG2204</f>
        <v>66.483000000000004</v>
      </c>
      <c r="AH2203">
        <f>'raw data Crude oil'!AH2204</f>
        <v>66.442999999999998</v>
      </c>
      <c r="AI2203">
        <f>'raw data Crude oil'!AI2204</f>
        <v>66.403000000000006</v>
      </c>
      <c r="AJ2203">
        <f>'raw data Crude oil'!AJ2204</f>
        <v>66.369</v>
      </c>
      <c r="AK2203">
        <f>'raw data Crude oil'!AK2204</f>
        <v>66.344999999999999</v>
      </c>
    </row>
    <row r="2204" spans="1:37" x14ac:dyDescent="0.3">
      <c r="A2204" s="18">
        <f>'raw data Crude oil'!A2205</f>
        <v>45852</v>
      </c>
      <c r="B2204">
        <f>'raw data Crude oil'!B2205</f>
        <v>69.209999999999994</v>
      </c>
      <c r="C2204">
        <f>'raw data Crude oil'!C2205</f>
        <v>68.23</v>
      </c>
      <c r="D2204">
        <f>'raw data Crude oil'!D2205</f>
        <v>67.540000000000006</v>
      </c>
      <c r="E2204">
        <f>'raw data Crude oil'!E2205</f>
        <v>67.099999999999994</v>
      </c>
      <c r="F2204">
        <f>'raw data Crude oil'!F2205</f>
        <v>66.849999999999994</v>
      </c>
      <c r="G2204">
        <f>'raw data Crude oil'!G2205</f>
        <v>66.72</v>
      </c>
      <c r="H2204">
        <f>'raw data Crude oil'!H2205</f>
        <v>66.64</v>
      </c>
      <c r="I2204">
        <f>'raw data Crude oil'!I2205</f>
        <v>66.59</v>
      </c>
      <c r="J2204">
        <f>'raw data Crude oil'!J2205</f>
        <v>66.569999999999993</v>
      </c>
      <c r="K2204">
        <f>'raw data Crude oil'!K2205</f>
        <v>66.55</v>
      </c>
      <c r="L2204">
        <f>'raw data Crude oil'!L2205</f>
        <v>66.52</v>
      </c>
      <c r="M2204">
        <f>'raw data Crude oil'!M2205</f>
        <v>66.510000000000005</v>
      </c>
      <c r="N2204">
        <f>'raw data Crude oil'!N2205</f>
        <v>66.98</v>
      </c>
      <c r="O2204">
        <f>'raw data Crude oil'!O2205</f>
        <v>65.81</v>
      </c>
      <c r="P2204">
        <f>'raw data Crude oil'!P2205</f>
        <v>64.78</v>
      </c>
      <c r="Q2204">
        <f>'raw data Crude oil'!Q2205</f>
        <v>64.099999999999994</v>
      </c>
      <c r="R2204">
        <f>'raw data Crude oil'!R2205</f>
        <v>63.65</v>
      </c>
      <c r="S2204">
        <f>'raw data Crude oil'!S2205</f>
        <v>63.41</v>
      </c>
      <c r="T2204">
        <f>'raw data Crude oil'!T2205</f>
        <v>63.26</v>
      </c>
      <c r="U2204">
        <f>'raw data Crude oil'!U2205</f>
        <v>63.17</v>
      </c>
      <c r="V2204">
        <f>'raw data Crude oil'!V2205</f>
        <v>63.1</v>
      </c>
      <c r="W2204">
        <f>'raw data Crude oil'!W2205</f>
        <v>63.06</v>
      </c>
      <c r="X2204">
        <f>'raw data Crude oil'!X2205</f>
        <v>63.03</v>
      </c>
      <c r="Y2204">
        <f>'raw data Crude oil'!Y2205</f>
        <v>62.98</v>
      </c>
      <c r="Z2204">
        <f>'raw data Crude oil'!Z2205</f>
        <v>70.337000000000003</v>
      </c>
      <c r="AA2204">
        <f>'raw data Crude oil'!AA2205</f>
        <v>68.61</v>
      </c>
      <c r="AB2204">
        <f>'raw data Crude oil'!AB2205</f>
        <v>67.599999999999994</v>
      </c>
      <c r="AC2204">
        <f>'raw data Crude oil'!AC2205</f>
        <v>66.900000000000006</v>
      </c>
      <c r="AD2204">
        <f>'raw data Crude oil'!AD2205</f>
        <v>66.47</v>
      </c>
      <c r="AE2204">
        <f>'raw data Crude oil'!AE2205</f>
        <v>66.22</v>
      </c>
      <c r="AF2204">
        <f>'raw data Crude oil'!AF2205</f>
        <v>66.11</v>
      </c>
      <c r="AG2204">
        <f>'raw data Crude oil'!AG2205</f>
        <v>66.063999999999993</v>
      </c>
      <c r="AH2204">
        <f>'raw data Crude oil'!AH2205</f>
        <v>66.054000000000002</v>
      </c>
      <c r="AI2204">
        <f>'raw data Crude oil'!AI2205</f>
        <v>66.043999999999997</v>
      </c>
      <c r="AJ2204">
        <f>'raw data Crude oil'!AJ2205</f>
        <v>66.02</v>
      </c>
      <c r="AK2204">
        <f>'raw data Crude oil'!AK2205</f>
        <v>66.015000000000001</v>
      </c>
    </row>
    <row r="2205" spans="1:37" x14ac:dyDescent="0.3">
      <c r="A2205" s="18">
        <f>'raw data Crude oil'!A2206</f>
        <v>45853</v>
      </c>
      <c r="B2205">
        <f>'raw data Crude oil'!B2206</f>
        <v>68.709999999999994</v>
      </c>
      <c r="C2205">
        <f>'raw data Crude oil'!C2206</f>
        <v>67.78</v>
      </c>
      <c r="D2205">
        <f>'raw data Crude oil'!D2206</f>
        <v>67.12</v>
      </c>
      <c r="E2205">
        <f>'raw data Crude oil'!E2206</f>
        <v>66.7</v>
      </c>
      <c r="F2205">
        <f>'raw data Crude oil'!F2206</f>
        <v>66.459999999999994</v>
      </c>
      <c r="G2205">
        <f>'raw data Crude oil'!G2206</f>
        <v>66.33</v>
      </c>
      <c r="H2205">
        <f>'raw data Crude oil'!H2206</f>
        <v>66.25</v>
      </c>
      <c r="I2205">
        <f>'raw data Crude oil'!I2206</f>
        <v>66.2</v>
      </c>
      <c r="J2205">
        <f>'raw data Crude oil'!J2206</f>
        <v>66.17</v>
      </c>
      <c r="K2205">
        <f>'raw data Crude oil'!K2206</f>
        <v>66.14</v>
      </c>
      <c r="L2205">
        <f>'raw data Crude oil'!L2206</f>
        <v>66.099999999999994</v>
      </c>
      <c r="M2205">
        <f>'raw data Crude oil'!M2206</f>
        <v>66.08</v>
      </c>
      <c r="N2205">
        <f>'raw data Crude oil'!N2206</f>
        <v>66.52</v>
      </c>
      <c r="O2205">
        <f>'raw data Crude oil'!O2206</f>
        <v>65.37</v>
      </c>
      <c r="P2205">
        <f>'raw data Crude oil'!P2206</f>
        <v>64.37</v>
      </c>
      <c r="Q2205">
        <f>'raw data Crude oil'!Q2206</f>
        <v>63.71</v>
      </c>
      <c r="R2205">
        <f>'raw data Crude oil'!R2206</f>
        <v>63.27</v>
      </c>
      <c r="S2205">
        <f>'raw data Crude oil'!S2206</f>
        <v>63.03</v>
      </c>
      <c r="T2205">
        <f>'raw data Crude oil'!T2206</f>
        <v>62.89</v>
      </c>
      <c r="U2205">
        <f>'raw data Crude oil'!U2206</f>
        <v>62.8</v>
      </c>
      <c r="V2205">
        <f>'raw data Crude oil'!V2206</f>
        <v>62.74</v>
      </c>
      <c r="W2205">
        <f>'raw data Crude oil'!W2206</f>
        <v>62.69</v>
      </c>
      <c r="X2205">
        <f>'raw data Crude oil'!X2206</f>
        <v>62.66</v>
      </c>
      <c r="Y2205">
        <f>'raw data Crude oil'!Y2206</f>
        <v>62.62</v>
      </c>
      <c r="Z2205">
        <f>'raw data Crude oil'!Z2206</f>
        <v>70.063000000000002</v>
      </c>
      <c r="AA2205">
        <f>'raw data Crude oil'!AA2206</f>
        <v>68.02</v>
      </c>
      <c r="AB2205">
        <f>'raw data Crude oil'!AB2206</f>
        <v>67.120999999999995</v>
      </c>
      <c r="AC2205">
        <f>'raw data Crude oil'!AC2206</f>
        <v>66.44</v>
      </c>
      <c r="AD2205">
        <f>'raw data Crude oil'!AD2206</f>
        <v>66.02</v>
      </c>
      <c r="AE2205">
        <f>'raw data Crude oil'!AE2206</f>
        <v>65.78</v>
      </c>
      <c r="AF2205">
        <f>'raw data Crude oil'!AF2206</f>
        <v>65.67</v>
      </c>
      <c r="AG2205">
        <f>'raw data Crude oil'!AG2206</f>
        <v>65.619</v>
      </c>
      <c r="AH2205">
        <f>'raw data Crude oil'!AH2206</f>
        <v>65.608999999999995</v>
      </c>
      <c r="AI2205">
        <f>'raw data Crude oil'!AI2206</f>
        <v>65.582999999999998</v>
      </c>
      <c r="AJ2205">
        <f>'raw data Crude oil'!AJ2206</f>
        <v>65.549000000000007</v>
      </c>
      <c r="AK2205">
        <f>'raw data Crude oil'!AK2206</f>
        <v>65.534999999999997</v>
      </c>
    </row>
    <row r="2206" spans="1:37" x14ac:dyDescent="0.3">
      <c r="A2206" s="18">
        <f>'raw data Crude oil'!A2207</f>
        <v>45854</v>
      </c>
      <c r="B2206">
        <f>'raw data Crude oil'!B2207</f>
        <v>68.52</v>
      </c>
      <c r="C2206">
        <f>'raw data Crude oil'!C2207</f>
        <v>67.55</v>
      </c>
      <c r="D2206">
        <f>'raw data Crude oil'!D2207</f>
        <v>66.900000000000006</v>
      </c>
      <c r="E2206">
        <f>'raw data Crude oil'!E2207</f>
        <v>66.489999999999995</v>
      </c>
      <c r="F2206">
        <f>'raw data Crude oil'!F2207</f>
        <v>66.25</v>
      </c>
      <c r="G2206">
        <f>'raw data Crude oil'!G2207</f>
        <v>66.11</v>
      </c>
      <c r="H2206">
        <f>'raw data Crude oil'!H2207</f>
        <v>66.03</v>
      </c>
      <c r="I2206">
        <f>'raw data Crude oil'!I2207</f>
        <v>65.989999999999995</v>
      </c>
      <c r="J2206">
        <f>'raw data Crude oil'!J2207</f>
        <v>65.97</v>
      </c>
      <c r="K2206">
        <f>'raw data Crude oil'!K2207</f>
        <v>65.95</v>
      </c>
      <c r="L2206">
        <f>'raw data Crude oil'!L2207</f>
        <v>65.92</v>
      </c>
      <c r="M2206">
        <f>'raw data Crude oil'!M2207</f>
        <v>65.900000000000006</v>
      </c>
      <c r="N2206">
        <f>'raw data Crude oil'!N2207</f>
        <v>66.38</v>
      </c>
      <c r="O2206">
        <f>'raw data Crude oil'!O2207</f>
        <v>65.19</v>
      </c>
      <c r="P2206">
        <f>'raw data Crude oil'!P2207</f>
        <v>64.19</v>
      </c>
      <c r="Q2206">
        <f>'raw data Crude oil'!Q2207</f>
        <v>63.53</v>
      </c>
      <c r="R2206">
        <f>'raw data Crude oil'!R2207</f>
        <v>63.09</v>
      </c>
      <c r="S2206">
        <f>'raw data Crude oil'!S2207</f>
        <v>62.85</v>
      </c>
      <c r="T2206">
        <f>'raw data Crude oil'!T2207</f>
        <v>62.7</v>
      </c>
      <c r="U2206">
        <f>'raw data Crude oil'!U2207</f>
        <v>62.61</v>
      </c>
      <c r="V2206">
        <f>'raw data Crude oil'!V2207</f>
        <v>62.56</v>
      </c>
      <c r="W2206">
        <f>'raw data Crude oil'!W2207</f>
        <v>62.52</v>
      </c>
      <c r="X2206">
        <f>'raw data Crude oil'!X2207</f>
        <v>62.48</v>
      </c>
      <c r="Y2206">
        <f>'raw data Crude oil'!Y2207</f>
        <v>62.44</v>
      </c>
      <c r="Z2206">
        <f>'raw data Crude oil'!Z2207</f>
        <v>69.866</v>
      </c>
      <c r="AA2206">
        <f>'raw data Crude oil'!AA2207</f>
        <v>67.709000000000003</v>
      </c>
      <c r="AB2206">
        <f>'raw data Crude oil'!AB2207</f>
        <v>66.924999999999997</v>
      </c>
      <c r="AC2206">
        <f>'raw data Crude oil'!AC2207</f>
        <v>66.209999999999994</v>
      </c>
      <c r="AD2206">
        <f>'raw data Crude oil'!AD2207</f>
        <v>65.777000000000001</v>
      </c>
      <c r="AE2206">
        <f>'raw data Crude oil'!AE2207</f>
        <v>65.534000000000006</v>
      </c>
      <c r="AF2206">
        <f>'raw data Crude oil'!AF2207</f>
        <v>65.427999999999997</v>
      </c>
      <c r="AG2206">
        <f>'raw data Crude oil'!AG2207</f>
        <v>65.399000000000001</v>
      </c>
      <c r="AH2206">
        <f>'raw data Crude oil'!AH2207</f>
        <v>65.399000000000001</v>
      </c>
      <c r="AI2206">
        <f>'raw data Crude oil'!AI2207</f>
        <v>65.379000000000005</v>
      </c>
      <c r="AJ2206">
        <f>'raw data Crude oil'!AJ2207</f>
        <v>65.349000000000004</v>
      </c>
      <c r="AK2206">
        <f>'raw data Crude oil'!AK2207</f>
        <v>65.33</v>
      </c>
    </row>
    <row r="2207" spans="1:37" x14ac:dyDescent="0.3">
      <c r="A2207" s="18">
        <f>'raw data Crude oil'!A2208</f>
        <v>45855</v>
      </c>
      <c r="B2207">
        <f>'raw data Crude oil'!B2208</f>
        <v>69.52</v>
      </c>
      <c r="C2207">
        <f>'raw data Crude oil'!C2208</f>
        <v>68.52</v>
      </c>
      <c r="D2207">
        <f>'raw data Crude oil'!D2208</f>
        <v>67.84</v>
      </c>
      <c r="E2207">
        <f>'raw data Crude oil'!E2208</f>
        <v>67.36</v>
      </c>
      <c r="F2207">
        <f>'raw data Crude oil'!F2208</f>
        <v>67.069999999999993</v>
      </c>
      <c r="G2207">
        <f>'raw data Crude oil'!G2208</f>
        <v>66.88</v>
      </c>
      <c r="H2207">
        <f>'raw data Crude oil'!H2208</f>
        <v>66.760000000000005</v>
      </c>
      <c r="I2207">
        <f>'raw data Crude oil'!I2208</f>
        <v>66.69</v>
      </c>
      <c r="J2207">
        <f>'raw data Crude oil'!J2208</f>
        <v>66.66</v>
      </c>
      <c r="K2207">
        <f>'raw data Crude oil'!K2208</f>
        <v>66.63</v>
      </c>
      <c r="L2207">
        <f>'raw data Crude oil'!L2208</f>
        <v>66.59</v>
      </c>
      <c r="M2207">
        <f>'raw data Crude oil'!M2208</f>
        <v>66.56</v>
      </c>
      <c r="N2207">
        <f>'raw data Crude oil'!N2208</f>
        <v>67.540000000000006</v>
      </c>
      <c r="O2207">
        <f>'raw data Crude oil'!O2208</f>
        <v>66.23</v>
      </c>
      <c r="P2207">
        <f>'raw data Crude oil'!P2208</f>
        <v>65.150000000000006</v>
      </c>
      <c r="Q2207">
        <f>'raw data Crude oil'!Q2208</f>
        <v>64.430000000000007</v>
      </c>
      <c r="R2207">
        <f>'raw data Crude oil'!R2208</f>
        <v>63.94</v>
      </c>
      <c r="S2207">
        <f>'raw data Crude oil'!S2208</f>
        <v>63.64</v>
      </c>
      <c r="T2207">
        <f>'raw data Crude oil'!T2208</f>
        <v>63.44</v>
      </c>
      <c r="U2207">
        <f>'raw data Crude oil'!U2208</f>
        <v>63.31</v>
      </c>
      <c r="V2207">
        <f>'raw data Crude oil'!V2208</f>
        <v>63.23</v>
      </c>
      <c r="W2207">
        <f>'raw data Crude oil'!W2208</f>
        <v>63.17</v>
      </c>
      <c r="X2207">
        <f>'raw data Crude oil'!X2208</f>
        <v>63.12</v>
      </c>
      <c r="Y2207">
        <f>'raw data Crude oil'!Y2208</f>
        <v>63.06</v>
      </c>
      <c r="Z2207">
        <f>'raw data Crude oil'!Z2208</f>
        <v>70.284000000000006</v>
      </c>
      <c r="AA2207">
        <f>'raw data Crude oil'!AA2208</f>
        <v>68.587999999999994</v>
      </c>
      <c r="AB2207">
        <f>'raw data Crude oil'!AB2208</f>
        <v>67.840999999999994</v>
      </c>
      <c r="AC2207">
        <f>'raw data Crude oil'!AC2208</f>
        <v>67.111000000000004</v>
      </c>
      <c r="AD2207">
        <f>'raw data Crude oil'!AD2208</f>
        <v>66.620999999999995</v>
      </c>
      <c r="AE2207">
        <f>'raw data Crude oil'!AE2208</f>
        <v>66.328999999999994</v>
      </c>
      <c r="AF2207">
        <f>'raw data Crude oil'!AF2208</f>
        <v>66.186999999999998</v>
      </c>
      <c r="AG2207">
        <f>'raw data Crude oil'!AG2208</f>
        <v>66.129000000000005</v>
      </c>
      <c r="AH2207">
        <f>'raw data Crude oil'!AH2208</f>
        <v>66.108999999999995</v>
      </c>
      <c r="AI2207">
        <f>'raw data Crude oil'!AI2208</f>
        <v>66.087999999999994</v>
      </c>
      <c r="AJ2207">
        <f>'raw data Crude oil'!AJ2208</f>
        <v>66.049000000000007</v>
      </c>
      <c r="AK2207">
        <f>'raw data Crude oil'!AK2208</f>
        <v>66.02</v>
      </c>
    </row>
    <row r="2208" spans="1:37" x14ac:dyDescent="0.3">
      <c r="A2208" s="18">
        <f>'raw data Crude oil'!A2209</f>
        <v>45856</v>
      </c>
      <c r="B2208">
        <f>'raw data Crude oil'!B2209</f>
        <v>69.28</v>
      </c>
      <c r="C2208">
        <f>'raw data Crude oil'!C2209</f>
        <v>68.400000000000006</v>
      </c>
      <c r="D2208">
        <f>'raw data Crude oil'!D2209</f>
        <v>67.77</v>
      </c>
      <c r="E2208">
        <f>'raw data Crude oil'!E2209</f>
        <v>67.33</v>
      </c>
      <c r="F2208">
        <f>'raw data Crude oil'!F2209</f>
        <v>67.05</v>
      </c>
      <c r="G2208">
        <f>'raw data Crude oil'!G2209</f>
        <v>66.87</v>
      </c>
      <c r="H2208">
        <f>'raw data Crude oil'!H2209</f>
        <v>66.75</v>
      </c>
      <c r="I2208">
        <f>'raw data Crude oil'!I2209</f>
        <v>66.69</v>
      </c>
      <c r="J2208">
        <f>'raw data Crude oil'!J2209</f>
        <v>66.66</v>
      </c>
      <c r="K2208">
        <f>'raw data Crude oil'!K2209</f>
        <v>66.63</v>
      </c>
      <c r="L2208">
        <f>'raw data Crude oil'!L2209</f>
        <v>66.59</v>
      </c>
      <c r="M2208">
        <f>'raw data Crude oil'!M2209</f>
        <v>66.56</v>
      </c>
      <c r="N2208">
        <f>'raw data Crude oil'!N2209</f>
        <v>67.34</v>
      </c>
      <c r="O2208">
        <f>'raw data Crude oil'!O2209</f>
        <v>66.05</v>
      </c>
      <c r="P2208">
        <f>'raw data Crude oil'!P2209</f>
        <v>65.03</v>
      </c>
      <c r="Q2208">
        <f>'raw data Crude oil'!Q2209</f>
        <v>64.37</v>
      </c>
      <c r="R2208">
        <f>'raw data Crude oil'!R2209</f>
        <v>63.93</v>
      </c>
      <c r="S2208">
        <f>'raw data Crude oil'!S2209</f>
        <v>63.65</v>
      </c>
      <c r="T2208">
        <f>'raw data Crude oil'!T2209</f>
        <v>63.46</v>
      </c>
      <c r="U2208">
        <f>'raw data Crude oil'!U2209</f>
        <v>63.34</v>
      </c>
      <c r="V2208">
        <f>'raw data Crude oil'!V2209</f>
        <v>63.26</v>
      </c>
      <c r="W2208">
        <f>'raw data Crude oil'!W2209</f>
        <v>63.21</v>
      </c>
      <c r="X2208">
        <f>'raw data Crude oil'!X2209</f>
        <v>63.17</v>
      </c>
      <c r="Y2208">
        <f>'raw data Crude oil'!Y2209</f>
        <v>63.12</v>
      </c>
      <c r="Z2208">
        <f>'raw data Crude oil'!Z2209</f>
        <v>70.337999999999994</v>
      </c>
      <c r="AA2208">
        <f>'raw data Crude oil'!AA2209</f>
        <v>68.704999999999998</v>
      </c>
      <c r="AB2208">
        <f>'raw data Crude oil'!AB2209</f>
        <v>68.010000000000005</v>
      </c>
      <c r="AC2208">
        <f>'raw data Crude oil'!AC2209</f>
        <v>67.257999999999996</v>
      </c>
      <c r="AD2208">
        <f>'raw data Crude oil'!AD2209</f>
        <v>66.745999999999995</v>
      </c>
      <c r="AE2208">
        <f>'raw data Crude oil'!AE2209</f>
        <v>66.448999999999998</v>
      </c>
      <c r="AF2208">
        <f>'raw data Crude oil'!AF2209</f>
        <v>66.307000000000002</v>
      </c>
      <c r="AG2208">
        <f>'raw data Crude oil'!AG2209</f>
        <v>66.239000000000004</v>
      </c>
      <c r="AH2208">
        <f>'raw data Crude oil'!AH2209</f>
        <v>66.218999999999994</v>
      </c>
      <c r="AI2208">
        <f>'raw data Crude oil'!AI2209</f>
        <v>66.197999999999993</v>
      </c>
      <c r="AJ2208">
        <f>'raw data Crude oil'!AJ2209</f>
        <v>66.168999999999997</v>
      </c>
      <c r="AK2208">
        <f>'raw data Crude oil'!AK2209</f>
        <v>66.150000000000006</v>
      </c>
    </row>
    <row r="2209" spans="1:37" x14ac:dyDescent="0.3">
      <c r="A2209" s="18">
        <f>'raw data Crude oil'!A2210</f>
        <v>45859</v>
      </c>
      <c r="B2209">
        <f>'raw data Crude oil'!B2210</f>
        <v>69.209999999999994</v>
      </c>
      <c r="C2209">
        <f>'raw data Crude oil'!C2210</f>
        <v>68.38</v>
      </c>
      <c r="D2209">
        <f>'raw data Crude oil'!D2210</f>
        <v>67.819999999999993</v>
      </c>
      <c r="E2209">
        <f>'raw data Crude oil'!E2210</f>
        <v>67.41</v>
      </c>
      <c r="F2209">
        <f>'raw data Crude oil'!F2210</f>
        <v>67.16</v>
      </c>
      <c r="G2209">
        <f>'raw data Crude oil'!G2210</f>
        <v>66.989999999999995</v>
      </c>
      <c r="H2209">
        <f>'raw data Crude oil'!H2210</f>
        <v>66.88</v>
      </c>
      <c r="I2209">
        <f>'raw data Crude oil'!I2210</f>
        <v>66.81</v>
      </c>
      <c r="J2209">
        <f>'raw data Crude oil'!J2210</f>
        <v>66.760000000000005</v>
      </c>
      <c r="K2209">
        <f>'raw data Crude oil'!K2210</f>
        <v>66.709999999999994</v>
      </c>
      <c r="L2209">
        <f>'raw data Crude oil'!L2210</f>
        <v>66.650000000000006</v>
      </c>
      <c r="M2209">
        <f>'raw data Crude oil'!M2210</f>
        <v>66.61</v>
      </c>
      <c r="N2209">
        <f>'raw data Crude oil'!N2210</f>
        <v>67.2</v>
      </c>
      <c r="O2209">
        <f>'raw data Crude oil'!O2210</f>
        <v>65.95</v>
      </c>
      <c r="P2209">
        <f>'raw data Crude oil'!P2210</f>
        <v>65.02</v>
      </c>
      <c r="Q2209">
        <f>'raw data Crude oil'!Q2210</f>
        <v>64.42</v>
      </c>
      <c r="R2209">
        <f>'raw data Crude oil'!R2210</f>
        <v>63.99</v>
      </c>
      <c r="S2209">
        <f>'raw data Crude oil'!S2210</f>
        <v>63.75</v>
      </c>
      <c r="T2209">
        <f>'raw data Crude oil'!T2210</f>
        <v>63.56</v>
      </c>
      <c r="U2209">
        <f>'raw data Crude oil'!U2210</f>
        <v>63.44</v>
      </c>
      <c r="V2209">
        <f>'raw data Crude oil'!V2210</f>
        <v>63.35</v>
      </c>
      <c r="W2209">
        <f>'raw data Crude oil'!W2210</f>
        <v>63.29</v>
      </c>
      <c r="X2209">
        <f>'raw data Crude oil'!X2210</f>
        <v>63.21</v>
      </c>
      <c r="Y2209">
        <f>'raw data Crude oil'!Y2210</f>
        <v>63.13</v>
      </c>
      <c r="Z2209">
        <f>'raw data Crude oil'!Z2210</f>
        <v>70.400999999999996</v>
      </c>
      <c r="AA2209">
        <f>'raw data Crude oil'!AA2210</f>
        <v>68.722999999999999</v>
      </c>
      <c r="AB2209">
        <f>'raw data Crude oil'!AB2210</f>
        <v>68.070999999999998</v>
      </c>
      <c r="AC2209">
        <f>'raw data Crude oil'!AC2210</f>
        <v>67.328000000000003</v>
      </c>
      <c r="AD2209">
        <f>'raw data Crude oil'!AD2210</f>
        <v>66.819000000000003</v>
      </c>
      <c r="AE2209">
        <f>'raw data Crude oil'!AE2210</f>
        <v>66.536000000000001</v>
      </c>
      <c r="AF2209">
        <f>'raw data Crude oil'!AF2210</f>
        <v>66.403000000000006</v>
      </c>
      <c r="AG2209">
        <f>'raw data Crude oil'!AG2210</f>
        <v>66.323999999999998</v>
      </c>
      <c r="AH2209">
        <f>'raw data Crude oil'!AH2210</f>
        <v>66.275999999999996</v>
      </c>
      <c r="AI2209">
        <f>'raw data Crude oil'!AI2210</f>
        <v>66.257000000000005</v>
      </c>
      <c r="AJ2209">
        <f>'raw data Crude oil'!AJ2210</f>
        <v>66.207999999999998</v>
      </c>
      <c r="AK2209">
        <f>'raw data Crude oil'!AK2210</f>
        <v>66.179000000000002</v>
      </c>
    </row>
    <row r="2210" spans="1:37" x14ac:dyDescent="0.3">
      <c r="A2210" s="18">
        <f>'raw data Crude oil'!A2211</f>
        <v>45860</v>
      </c>
      <c r="B2210">
        <f>'raw data Crude oil'!B2211</f>
        <v>68.59</v>
      </c>
      <c r="C2210">
        <f>'raw data Crude oil'!C2211</f>
        <v>67.77</v>
      </c>
      <c r="D2210">
        <f>'raw data Crude oil'!D2211</f>
        <v>67.25</v>
      </c>
      <c r="E2210">
        <f>'raw data Crude oil'!E2211</f>
        <v>66.88</v>
      </c>
      <c r="F2210">
        <f>'raw data Crude oil'!F2211</f>
        <v>66.66</v>
      </c>
      <c r="G2210">
        <f>'raw data Crude oil'!G2211</f>
        <v>66.52</v>
      </c>
      <c r="H2210">
        <f>'raw data Crude oil'!H2211</f>
        <v>66.430000000000007</v>
      </c>
      <c r="I2210">
        <f>'raw data Crude oil'!I2211</f>
        <v>66.37</v>
      </c>
      <c r="J2210">
        <f>'raw data Crude oil'!J2211</f>
        <v>66.34</v>
      </c>
      <c r="K2210">
        <f>'raw data Crude oil'!K2211</f>
        <v>66.3</v>
      </c>
      <c r="L2210">
        <f>'raw data Crude oil'!L2211</f>
        <v>66.25</v>
      </c>
      <c r="M2210">
        <f>'raw data Crude oil'!M2211</f>
        <v>66.209999999999994</v>
      </c>
      <c r="N2210">
        <f>'raw data Crude oil'!N2211</f>
        <v>66.209999999999994</v>
      </c>
      <c r="O2210">
        <f>'raw data Crude oil'!O2211</f>
        <v>65.31</v>
      </c>
      <c r="P2210">
        <f>'raw data Crude oil'!P2211</f>
        <v>64.459999999999994</v>
      </c>
      <c r="Q2210">
        <f>'raw data Crude oil'!Q2211</f>
        <v>63.89</v>
      </c>
      <c r="R2210">
        <f>'raw data Crude oil'!R2211</f>
        <v>63.49</v>
      </c>
      <c r="S2210">
        <f>'raw data Crude oil'!S2211</f>
        <v>63.26</v>
      </c>
      <c r="T2210">
        <f>'raw data Crude oil'!T2211</f>
        <v>63.1</v>
      </c>
      <c r="U2210">
        <f>'raw data Crude oil'!U2211</f>
        <v>63</v>
      </c>
      <c r="V2210">
        <f>'raw data Crude oil'!V2211</f>
        <v>62.94</v>
      </c>
      <c r="W2210">
        <f>'raw data Crude oil'!W2211</f>
        <v>62.9</v>
      </c>
      <c r="X2210">
        <f>'raw data Crude oil'!X2211</f>
        <v>62.85</v>
      </c>
      <c r="Y2210">
        <f>'raw data Crude oil'!Y2211</f>
        <v>62.79</v>
      </c>
      <c r="Z2210">
        <f>'raw data Crude oil'!Z2211</f>
        <v>70.254000000000005</v>
      </c>
      <c r="AA2210">
        <f>'raw data Crude oil'!AA2211</f>
        <v>68.290999999999997</v>
      </c>
      <c r="AB2210">
        <f>'raw data Crude oil'!AB2211</f>
        <v>67.632999999999996</v>
      </c>
      <c r="AC2210">
        <f>'raw data Crude oil'!AC2211</f>
        <v>66.900000000000006</v>
      </c>
      <c r="AD2210">
        <f>'raw data Crude oil'!AD2211</f>
        <v>66.41</v>
      </c>
      <c r="AE2210">
        <f>'raw data Crude oil'!AE2211</f>
        <v>66.13</v>
      </c>
      <c r="AF2210">
        <f>'raw data Crude oil'!AF2211</f>
        <v>66</v>
      </c>
      <c r="AG2210">
        <f>'raw data Crude oil'!AG2211</f>
        <v>65.932000000000002</v>
      </c>
      <c r="AH2210">
        <f>'raw data Crude oil'!AH2211</f>
        <v>65.903000000000006</v>
      </c>
      <c r="AI2210">
        <f>'raw data Crude oil'!AI2211</f>
        <v>65.873000000000005</v>
      </c>
      <c r="AJ2210">
        <f>'raw data Crude oil'!AJ2211</f>
        <v>65.832999999999998</v>
      </c>
      <c r="AK2210">
        <f>'raw data Crude oil'!AK2211</f>
        <v>65.793999999999997</v>
      </c>
    </row>
    <row r="2211" spans="1:37" x14ac:dyDescent="0.3">
      <c r="A2211" s="18">
        <f>'raw data Crude oil'!A2212</f>
        <v>45861</v>
      </c>
      <c r="B2211">
        <f>'raw data Crude oil'!B2212</f>
        <v>68.510000000000005</v>
      </c>
      <c r="C2211">
        <f>'raw data Crude oil'!C2212</f>
        <v>67.83</v>
      </c>
      <c r="D2211">
        <f>'raw data Crude oil'!D2212</f>
        <v>67.349999999999994</v>
      </c>
      <c r="E2211">
        <f>'raw data Crude oil'!E2212</f>
        <v>67.010000000000005</v>
      </c>
      <c r="F2211">
        <f>'raw data Crude oil'!F2212</f>
        <v>66.81</v>
      </c>
      <c r="G2211">
        <f>'raw data Crude oil'!G2212</f>
        <v>66.680000000000007</v>
      </c>
      <c r="H2211">
        <f>'raw data Crude oil'!H2212</f>
        <v>66.59</v>
      </c>
      <c r="I2211">
        <f>'raw data Crude oil'!I2212</f>
        <v>66.52</v>
      </c>
      <c r="J2211">
        <f>'raw data Crude oil'!J2212</f>
        <v>66.48</v>
      </c>
      <c r="K2211">
        <f>'raw data Crude oil'!K2212</f>
        <v>66.44</v>
      </c>
      <c r="L2211">
        <f>'raw data Crude oil'!L2212</f>
        <v>66.38</v>
      </c>
      <c r="M2211">
        <f>'raw data Crude oil'!M2212</f>
        <v>66.33</v>
      </c>
      <c r="N2211">
        <f>'raw data Crude oil'!N2212</f>
        <v>65.25</v>
      </c>
      <c r="O2211">
        <f>'raw data Crude oil'!O2212</f>
        <v>64.489999999999995</v>
      </c>
      <c r="P2211">
        <f>'raw data Crude oil'!P2212</f>
        <v>63.96</v>
      </c>
      <c r="Q2211">
        <f>'raw data Crude oil'!Q2212</f>
        <v>63.59</v>
      </c>
      <c r="R2211">
        <f>'raw data Crude oil'!R2212</f>
        <v>63.37</v>
      </c>
      <c r="S2211">
        <f>'raw data Crude oil'!S2212</f>
        <v>63.22</v>
      </c>
      <c r="T2211">
        <f>'raw data Crude oil'!T2212</f>
        <v>63.13</v>
      </c>
      <c r="U2211">
        <f>'raw data Crude oil'!U2212</f>
        <v>63.06</v>
      </c>
      <c r="V2211">
        <f>'raw data Crude oil'!V2212</f>
        <v>63.01</v>
      </c>
      <c r="W2211">
        <f>'raw data Crude oil'!W2212</f>
        <v>62.96</v>
      </c>
      <c r="X2211">
        <f>'raw data Crude oil'!X2212</f>
        <v>62.9</v>
      </c>
      <c r="Y2211">
        <f>'raw data Crude oil'!Y2212</f>
        <v>62.83</v>
      </c>
      <c r="Z2211">
        <f>'raw data Crude oil'!Z2212</f>
        <v>70.328000000000003</v>
      </c>
      <c r="AA2211">
        <f>'raw data Crude oil'!AA2212</f>
        <v>68.631</v>
      </c>
      <c r="AB2211">
        <f>'raw data Crude oil'!AB2212</f>
        <v>67.850999999999999</v>
      </c>
      <c r="AC2211">
        <f>'raw data Crude oil'!AC2212</f>
        <v>67.100999999999999</v>
      </c>
      <c r="AD2211">
        <f>'raw data Crude oil'!AD2212</f>
        <v>66.623999999999995</v>
      </c>
      <c r="AE2211">
        <f>'raw data Crude oil'!AE2212</f>
        <v>66.341999999999999</v>
      </c>
      <c r="AF2211">
        <f>'raw data Crude oil'!AF2212</f>
        <v>66.212000000000003</v>
      </c>
      <c r="AG2211">
        <f>'raw data Crude oil'!AG2212</f>
        <v>66.132999999999996</v>
      </c>
      <c r="AH2211">
        <f>'raw data Crude oil'!AH2212</f>
        <v>66.093000000000004</v>
      </c>
      <c r="AI2211">
        <f>'raw data Crude oil'!AI2212</f>
        <v>66.057000000000002</v>
      </c>
      <c r="AJ2211">
        <f>'raw data Crude oil'!AJ2212</f>
        <v>65.998000000000005</v>
      </c>
      <c r="AK2211">
        <f>'raw data Crude oil'!AK2212</f>
        <v>65.948999999999998</v>
      </c>
    </row>
    <row r="2212" spans="1:37" x14ac:dyDescent="0.3">
      <c r="A2212" s="18">
        <f>'raw data Crude oil'!A2213</f>
        <v>45862</v>
      </c>
      <c r="B2212">
        <f>'raw data Crude oil'!B2213</f>
        <v>69.180000000000007</v>
      </c>
      <c r="C2212">
        <f>'raw data Crude oil'!C2213</f>
        <v>68.36</v>
      </c>
      <c r="D2212">
        <f>'raw data Crude oil'!D2213</f>
        <v>67.77</v>
      </c>
      <c r="E2212">
        <f>'raw data Crude oil'!E2213</f>
        <v>67.37</v>
      </c>
      <c r="F2212">
        <f>'raw data Crude oil'!F2213</f>
        <v>67.13</v>
      </c>
      <c r="G2212">
        <f>'raw data Crude oil'!G2213</f>
        <v>66.98</v>
      </c>
      <c r="H2212">
        <f>'raw data Crude oil'!H2213</f>
        <v>66.89</v>
      </c>
      <c r="I2212">
        <f>'raw data Crude oil'!I2213</f>
        <v>66.819999999999993</v>
      </c>
      <c r="J2212">
        <f>'raw data Crude oil'!J2213</f>
        <v>66.790000000000006</v>
      </c>
      <c r="K2212">
        <f>'raw data Crude oil'!K2213</f>
        <v>66.75</v>
      </c>
      <c r="L2212">
        <f>'raw data Crude oil'!L2213</f>
        <v>66.69</v>
      </c>
      <c r="M2212">
        <f>'raw data Crude oil'!M2213</f>
        <v>66.64</v>
      </c>
      <c r="N2212">
        <f>'raw data Crude oil'!N2213</f>
        <v>66.03</v>
      </c>
      <c r="O2212">
        <f>'raw data Crude oil'!O2213</f>
        <v>65.13</v>
      </c>
      <c r="P2212">
        <f>'raw data Crude oil'!P2213</f>
        <v>64.48</v>
      </c>
      <c r="Q2212">
        <f>'raw data Crude oil'!Q2213</f>
        <v>64.03</v>
      </c>
      <c r="R2212">
        <f>'raw data Crude oil'!R2213</f>
        <v>63.76</v>
      </c>
      <c r="S2212">
        <f>'raw data Crude oil'!S2213</f>
        <v>63.59</v>
      </c>
      <c r="T2212">
        <f>'raw data Crude oil'!T2213</f>
        <v>63.49</v>
      </c>
      <c r="U2212">
        <f>'raw data Crude oil'!U2213</f>
        <v>63.42</v>
      </c>
      <c r="V2212">
        <f>'raw data Crude oil'!V2213</f>
        <v>63.38</v>
      </c>
      <c r="W2212">
        <f>'raw data Crude oil'!W2213</f>
        <v>63.32</v>
      </c>
      <c r="X2212">
        <f>'raw data Crude oil'!X2213</f>
        <v>63.24</v>
      </c>
      <c r="Y2212">
        <f>'raw data Crude oil'!Y2213</f>
        <v>63.17</v>
      </c>
      <c r="Z2212">
        <f>'raw data Crude oil'!Z2213</f>
        <v>70.497</v>
      </c>
      <c r="AA2212">
        <f>'raw data Crude oil'!AA2213</f>
        <v>69.421000000000006</v>
      </c>
      <c r="AB2212">
        <f>'raw data Crude oil'!AB2213</f>
        <v>68.432000000000002</v>
      </c>
      <c r="AC2212">
        <f>'raw data Crude oil'!AC2213</f>
        <v>67.581000000000003</v>
      </c>
      <c r="AD2212">
        <f>'raw data Crude oil'!AD2213</f>
        <v>67.040000000000006</v>
      </c>
      <c r="AE2212">
        <f>'raw data Crude oil'!AE2213</f>
        <v>66.721999999999994</v>
      </c>
      <c r="AF2212">
        <f>'raw data Crude oil'!AF2213</f>
        <v>66.585999999999999</v>
      </c>
      <c r="AG2212">
        <f>'raw data Crude oil'!AG2213</f>
        <v>66.534999999999997</v>
      </c>
      <c r="AH2212">
        <f>'raw data Crude oil'!AH2213</f>
        <v>66.515000000000001</v>
      </c>
      <c r="AI2212">
        <f>'raw data Crude oil'!AI2213</f>
        <v>66.495000000000005</v>
      </c>
      <c r="AJ2212">
        <f>'raw data Crude oil'!AJ2213</f>
        <v>66.403000000000006</v>
      </c>
      <c r="AK2212">
        <f>'raw data Crude oil'!AK2213</f>
        <v>66.317999999999998</v>
      </c>
    </row>
    <row r="2213" spans="1:37" x14ac:dyDescent="0.3">
      <c r="A2213" s="18">
        <f>'raw data Crude oil'!A2214</f>
        <v>45863</v>
      </c>
      <c r="B2213">
        <f>'raw data Crude oil'!B2214</f>
        <v>68.44</v>
      </c>
      <c r="C2213">
        <f>'raw data Crude oil'!C2214</f>
        <v>67.66</v>
      </c>
      <c r="D2213">
        <f>'raw data Crude oil'!D2214</f>
        <v>67.05</v>
      </c>
      <c r="E2213">
        <f>'raw data Crude oil'!E2214</f>
        <v>66.650000000000006</v>
      </c>
      <c r="F2213">
        <f>'raw data Crude oil'!F2214</f>
        <v>66.430000000000007</v>
      </c>
      <c r="G2213">
        <f>'raw data Crude oil'!G2214</f>
        <v>66.3</v>
      </c>
      <c r="H2213">
        <f>'raw data Crude oil'!H2214</f>
        <v>66.23</v>
      </c>
      <c r="I2213">
        <f>'raw data Crude oil'!I2214</f>
        <v>66.180000000000007</v>
      </c>
      <c r="J2213">
        <f>'raw data Crude oil'!J2214</f>
        <v>66.16</v>
      </c>
      <c r="K2213">
        <f>'raw data Crude oil'!K2214</f>
        <v>66.13</v>
      </c>
      <c r="L2213">
        <f>'raw data Crude oil'!L2214</f>
        <v>66.08</v>
      </c>
      <c r="M2213">
        <f>'raw data Crude oil'!M2214</f>
        <v>66.040000000000006</v>
      </c>
      <c r="N2213">
        <f>'raw data Crude oil'!N2214</f>
        <v>65.16</v>
      </c>
      <c r="O2213">
        <f>'raw data Crude oil'!O2214</f>
        <v>64.34</v>
      </c>
      <c r="P2213">
        <f>'raw data Crude oil'!P2214</f>
        <v>63.75</v>
      </c>
      <c r="Q2213">
        <f>'raw data Crude oil'!Q2214</f>
        <v>63.32</v>
      </c>
      <c r="R2213">
        <f>'raw data Crude oil'!R2214</f>
        <v>63.08</v>
      </c>
      <c r="S2213">
        <f>'raw data Crude oil'!S2214</f>
        <v>62.92</v>
      </c>
      <c r="T2213">
        <f>'raw data Crude oil'!T2214</f>
        <v>62.83</v>
      </c>
      <c r="U2213">
        <f>'raw data Crude oil'!U2214</f>
        <v>62.78</v>
      </c>
      <c r="V2213">
        <f>'raw data Crude oil'!V2214</f>
        <v>62.75</v>
      </c>
      <c r="W2213">
        <f>'raw data Crude oil'!W2214</f>
        <v>62.72</v>
      </c>
      <c r="X2213">
        <f>'raw data Crude oil'!X2214</f>
        <v>62.66</v>
      </c>
      <c r="Y2213">
        <f>'raw data Crude oil'!Y2214</f>
        <v>62.6</v>
      </c>
      <c r="Z2213">
        <f>'raw data Crude oil'!Z2214</f>
        <v>70.405000000000001</v>
      </c>
      <c r="AA2213">
        <f>'raw data Crude oil'!AA2214</f>
        <v>68.801000000000002</v>
      </c>
      <c r="AB2213">
        <f>'raw data Crude oil'!AB2214</f>
        <v>67.84</v>
      </c>
      <c r="AC2213">
        <f>'raw data Crude oil'!AC2214</f>
        <v>66.98</v>
      </c>
      <c r="AD2213">
        <f>'raw data Crude oil'!AD2214</f>
        <v>66.438999999999993</v>
      </c>
      <c r="AE2213">
        <f>'raw data Crude oil'!AE2214</f>
        <v>66.099000000000004</v>
      </c>
      <c r="AF2213">
        <f>'raw data Crude oil'!AF2214</f>
        <v>65.948999999999998</v>
      </c>
      <c r="AG2213">
        <f>'raw data Crude oil'!AG2214</f>
        <v>65.878</v>
      </c>
      <c r="AH2213">
        <f>'raw data Crude oil'!AH2214</f>
        <v>65.847999999999999</v>
      </c>
      <c r="AI2213">
        <f>'raw data Crude oil'!AI2214</f>
        <v>65.837999999999994</v>
      </c>
      <c r="AJ2213">
        <f>'raw data Crude oil'!AJ2214</f>
        <v>65.778000000000006</v>
      </c>
      <c r="AK2213">
        <f>'raw data Crude oil'!AK2214</f>
        <v>65.728999999999999</v>
      </c>
    </row>
    <row r="2214" spans="1:37" x14ac:dyDescent="0.3">
      <c r="A2214" s="18">
        <f>'raw data Crude oil'!A2215</f>
        <v>45866</v>
      </c>
      <c r="B2214">
        <f>'raw data Crude oil'!B2215</f>
        <v>70.040000000000006</v>
      </c>
      <c r="C2214">
        <f>'raw data Crude oil'!C2215</f>
        <v>69.319999999999993</v>
      </c>
      <c r="D2214">
        <f>'raw data Crude oil'!D2215</f>
        <v>68.69</v>
      </c>
      <c r="E2214">
        <f>'raw data Crude oil'!E2215</f>
        <v>68.22</v>
      </c>
      <c r="F2214">
        <f>'raw data Crude oil'!F2215</f>
        <v>67.94</v>
      </c>
      <c r="G2214">
        <f>'raw data Crude oil'!G2215</f>
        <v>67.75</v>
      </c>
      <c r="H2214">
        <f>'raw data Crude oil'!H2215</f>
        <v>67.62</v>
      </c>
      <c r="I2214">
        <f>'raw data Crude oil'!I2215</f>
        <v>67.53</v>
      </c>
      <c r="J2214">
        <f>'raw data Crude oil'!J2215</f>
        <v>67.47</v>
      </c>
      <c r="K2214">
        <f>'raw data Crude oil'!K2215</f>
        <v>67.41</v>
      </c>
      <c r="L2214">
        <f>'raw data Crude oil'!L2215</f>
        <v>67.33</v>
      </c>
      <c r="M2214">
        <f>'raw data Crude oil'!M2215</f>
        <v>67.260000000000005</v>
      </c>
      <c r="N2214">
        <f>'raw data Crude oil'!N2215</f>
        <v>66.709999999999994</v>
      </c>
      <c r="O2214">
        <f>'raw data Crude oil'!O2215</f>
        <v>65.91</v>
      </c>
      <c r="P2214">
        <f>'raw data Crude oil'!P2215</f>
        <v>65.290000000000006</v>
      </c>
      <c r="Q2214">
        <f>'raw data Crude oil'!Q2215</f>
        <v>64.83</v>
      </c>
      <c r="R2214">
        <f>'raw data Crude oil'!R2215</f>
        <v>64.53</v>
      </c>
      <c r="S2214">
        <f>'raw data Crude oil'!S2215</f>
        <v>64.319999999999993</v>
      </c>
      <c r="T2214">
        <f>'raw data Crude oil'!T2215</f>
        <v>64.180000000000007</v>
      </c>
      <c r="U2214">
        <f>'raw data Crude oil'!U2215</f>
        <v>64.08</v>
      </c>
      <c r="V2214">
        <f>'raw data Crude oil'!V2215</f>
        <v>64.03</v>
      </c>
      <c r="W2214">
        <f>'raw data Crude oil'!W2215</f>
        <v>63.96</v>
      </c>
      <c r="X2214">
        <f>'raw data Crude oil'!X2215</f>
        <v>63.87</v>
      </c>
      <c r="Y2214">
        <f>'raw data Crude oil'!Y2215</f>
        <v>63.78</v>
      </c>
      <c r="Z2214">
        <f>'raw data Crude oil'!Z2215</f>
        <v>70.650000000000006</v>
      </c>
      <c r="AA2214">
        <f>'raw data Crude oil'!AA2215</f>
        <v>70.378</v>
      </c>
      <c r="AB2214">
        <f>'raw data Crude oil'!AB2215</f>
        <v>69.358999999999995</v>
      </c>
      <c r="AC2214">
        <f>'raw data Crude oil'!AC2215</f>
        <v>68.468999999999994</v>
      </c>
      <c r="AD2214">
        <f>'raw data Crude oil'!AD2215</f>
        <v>67.864000000000004</v>
      </c>
      <c r="AE2214">
        <f>'raw data Crude oil'!AE2215</f>
        <v>67.471000000000004</v>
      </c>
      <c r="AF2214">
        <f>'raw data Crude oil'!AF2215</f>
        <v>67.275999999999996</v>
      </c>
      <c r="AG2214">
        <f>'raw data Crude oil'!AG2215</f>
        <v>67.167000000000002</v>
      </c>
      <c r="AH2214">
        <f>'raw data Crude oil'!AH2215</f>
        <v>67.111999999999995</v>
      </c>
      <c r="AI2214">
        <f>'raw data Crude oil'!AI2215</f>
        <v>67.051000000000002</v>
      </c>
      <c r="AJ2214">
        <f>'raw data Crude oil'!AJ2215</f>
        <v>66.966999999999999</v>
      </c>
      <c r="AK2214">
        <f>'raw data Crude oil'!AK2215</f>
        <v>66.897999999999996</v>
      </c>
    </row>
    <row r="2215" spans="1:37" x14ac:dyDescent="0.3">
      <c r="A2215" s="18">
        <f>'raw data Crude oil'!A2216</f>
        <v>45867</v>
      </c>
      <c r="B2215">
        <f>'raw data Crude oil'!B2216</f>
        <v>72.510000000000005</v>
      </c>
      <c r="C2215">
        <f>'raw data Crude oil'!C2216</f>
        <v>71.680000000000007</v>
      </c>
      <c r="D2215">
        <f>'raw data Crude oil'!D2216</f>
        <v>70.95</v>
      </c>
      <c r="E2215">
        <f>'raw data Crude oil'!E2216</f>
        <v>70.38</v>
      </c>
      <c r="F2215">
        <f>'raw data Crude oil'!F2216</f>
        <v>69.98</v>
      </c>
      <c r="G2215">
        <f>'raw data Crude oil'!G2216</f>
        <v>69.69</v>
      </c>
      <c r="H2215">
        <f>'raw data Crude oil'!H2216</f>
        <v>69.45</v>
      </c>
      <c r="I2215">
        <f>'raw data Crude oil'!I2216</f>
        <v>69.260000000000005</v>
      </c>
      <c r="J2215">
        <f>'raw data Crude oil'!J2216</f>
        <v>69.09</v>
      </c>
      <c r="K2215">
        <f>'raw data Crude oil'!K2216</f>
        <v>68.930000000000007</v>
      </c>
      <c r="L2215">
        <f>'raw data Crude oil'!L2216</f>
        <v>68.760000000000005</v>
      </c>
      <c r="M2215">
        <f>'raw data Crude oil'!M2216</f>
        <v>68.61</v>
      </c>
      <c r="N2215">
        <f>'raw data Crude oil'!N2216</f>
        <v>69.209999999999994</v>
      </c>
      <c r="O2215">
        <f>'raw data Crude oil'!O2216</f>
        <v>68.28</v>
      </c>
      <c r="P2215">
        <f>'raw data Crude oil'!P2216</f>
        <v>67.53</v>
      </c>
      <c r="Q2215">
        <f>'raw data Crude oil'!Q2216</f>
        <v>66.959999999999994</v>
      </c>
      <c r="R2215">
        <f>'raw data Crude oil'!R2216</f>
        <v>66.56</v>
      </c>
      <c r="S2215">
        <f>'raw data Crude oil'!S2216</f>
        <v>66.239999999999995</v>
      </c>
      <c r="T2215">
        <f>'raw data Crude oil'!T2216</f>
        <v>66</v>
      </c>
      <c r="U2215">
        <f>'raw data Crude oil'!U2216</f>
        <v>65.790000000000006</v>
      </c>
      <c r="V2215">
        <f>'raw data Crude oil'!V2216</f>
        <v>65.62</v>
      </c>
      <c r="W2215">
        <f>'raw data Crude oil'!W2216</f>
        <v>65.45</v>
      </c>
      <c r="X2215">
        <f>'raw data Crude oil'!X2216</f>
        <v>65.27</v>
      </c>
      <c r="Y2215">
        <f>'raw data Crude oil'!Y2216</f>
        <v>65.099999999999994</v>
      </c>
      <c r="Z2215">
        <f>'raw data Crude oil'!Z2216</f>
        <v>70.861999999999995</v>
      </c>
      <c r="AA2215">
        <f>'raw data Crude oil'!AA2216</f>
        <v>72.855000000000004</v>
      </c>
      <c r="AB2215">
        <f>'raw data Crude oil'!AB2216</f>
        <v>71.751000000000005</v>
      </c>
      <c r="AC2215">
        <f>'raw data Crude oil'!AC2216</f>
        <v>70.691000000000003</v>
      </c>
      <c r="AD2215">
        <f>'raw data Crude oil'!AD2216</f>
        <v>69.936000000000007</v>
      </c>
      <c r="AE2215">
        <f>'raw data Crude oil'!AE2216</f>
        <v>69.438000000000002</v>
      </c>
      <c r="AF2215">
        <f>'raw data Crude oil'!AF2216</f>
        <v>69.132000000000005</v>
      </c>
      <c r="AG2215">
        <f>'raw data Crude oil'!AG2216</f>
        <v>68.921999999999997</v>
      </c>
      <c r="AH2215">
        <f>'raw data Crude oil'!AH2216</f>
        <v>68.753</v>
      </c>
      <c r="AI2215">
        <f>'raw data Crude oil'!AI2216</f>
        <v>68.581999999999994</v>
      </c>
      <c r="AJ2215">
        <f>'raw data Crude oil'!AJ2216</f>
        <v>68.408000000000001</v>
      </c>
      <c r="AK2215">
        <f>'raw data Crude oil'!AK2216</f>
        <v>68.260000000000005</v>
      </c>
    </row>
    <row r="2216" spans="1:37" x14ac:dyDescent="0.3">
      <c r="A2216" s="18">
        <f>'raw data Crude oil'!A2217</f>
        <v>45868</v>
      </c>
      <c r="B2216">
        <f>'raw data Crude oil'!B2217</f>
        <v>73.239999999999995</v>
      </c>
      <c r="C2216">
        <f>'raw data Crude oil'!C2217</f>
        <v>72.47</v>
      </c>
      <c r="D2216">
        <f>'raw data Crude oil'!D2217</f>
        <v>71.61</v>
      </c>
      <c r="E2216">
        <f>'raw data Crude oil'!E2217</f>
        <v>70.91</v>
      </c>
      <c r="F2216">
        <f>'raw data Crude oil'!F2217</f>
        <v>70.430000000000007</v>
      </c>
      <c r="G2216">
        <f>'raw data Crude oil'!G2217</f>
        <v>70.09</v>
      </c>
      <c r="H2216">
        <f>'raw data Crude oil'!H2217</f>
        <v>69.83</v>
      </c>
      <c r="I2216">
        <f>'raw data Crude oil'!I2217</f>
        <v>69.62</v>
      </c>
      <c r="J2216">
        <f>'raw data Crude oil'!J2217</f>
        <v>69.430000000000007</v>
      </c>
      <c r="K2216">
        <f>'raw data Crude oil'!K2217</f>
        <v>69.239999999999995</v>
      </c>
      <c r="L2216">
        <f>'raw data Crude oil'!L2217</f>
        <v>69.05</v>
      </c>
      <c r="M2216">
        <f>'raw data Crude oil'!M2217</f>
        <v>68.88</v>
      </c>
      <c r="N2216">
        <f>'raw data Crude oil'!N2217</f>
        <v>70</v>
      </c>
      <c r="O2216">
        <f>'raw data Crude oil'!O2217</f>
        <v>68.930000000000007</v>
      </c>
      <c r="P2216">
        <f>'raw data Crude oil'!P2217</f>
        <v>68.06</v>
      </c>
      <c r="Q2216">
        <f>'raw data Crude oil'!Q2217</f>
        <v>67.349999999999994</v>
      </c>
      <c r="R2216">
        <f>'raw data Crude oil'!R2217</f>
        <v>66.849999999999994</v>
      </c>
      <c r="S2216">
        <f>'raw data Crude oil'!S2217</f>
        <v>66.5</v>
      </c>
      <c r="T2216">
        <f>'raw data Crude oil'!T2217</f>
        <v>66.239999999999995</v>
      </c>
      <c r="U2216">
        <f>'raw data Crude oil'!U2217</f>
        <v>66.02</v>
      </c>
      <c r="V2216">
        <f>'raw data Crude oil'!V2217</f>
        <v>65.81</v>
      </c>
      <c r="W2216">
        <f>'raw data Crude oil'!W2217</f>
        <v>65.61</v>
      </c>
      <c r="X2216">
        <f>'raw data Crude oil'!X2217</f>
        <v>65.400000000000006</v>
      </c>
      <c r="Y2216">
        <f>'raw data Crude oil'!Y2217</f>
        <v>65.2</v>
      </c>
      <c r="Z2216">
        <f>'raw data Crude oil'!Z2217</f>
        <v>70.864000000000004</v>
      </c>
      <c r="AA2216">
        <f>'raw data Crude oil'!AA2217</f>
        <v>73.960999999999999</v>
      </c>
      <c r="AB2216">
        <f>'raw data Crude oil'!AB2217</f>
        <v>72.557000000000002</v>
      </c>
      <c r="AC2216">
        <f>'raw data Crude oil'!AC2217</f>
        <v>71.343000000000004</v>
      </c>
      <c r="AD2216">
        <f>'raw data Crude oil'!AD2217</f>
        <v>70.471999999999994</v>
      </c>
      <c r="AE2216">
        <f>'raw data Crude oil'!AE2217</f>
        <v>69.903000000000006</v>
      </c>
      <c r="AF2216">
        <f>'raw data Crude oil'!AF2217</f>
        <v>69.572999999999993</v>
      </c>
      <c r="AG2216">
        <f>'raw data Crude oil'!AG2217</f>
        <v>69.334000000000003</v>
      </c>
      <c r="AH2216">
        <f>'raw data Crude oil'!AH2217</f>
        <v>69.135000000000005</v>
      </c>
      <c r="AI2216">
        <f>'raw data Crude oil'!AI2217</f>
        <v>68.936000000000007</v>
      </c>
      <c r="AJ2216">
        <f>'raw data Crude oil'!AJ2217</f>
        <v>68.742000000000004</v>
      </c>
      <c r="AK2216">
        <f>'raw data Crude oil'!AK2217</f>
        <v>68.572999999999993</v>
      </c>
    </row>
    <row r="2217" spans="1:37" x14ac:dyDescent="0.3">
      <c r="A2217" s="18">
        <f>'raw data Crude oil'!A2218</f>
        <v>45869</v>
      </c>
      <c r="B2217">
        <f>'raw data Crude oil'!B2218</f>
        <v>72.53</v>
      </c>
      <c r="C2217">
        <f>'raw data Crude oil'!C2218</f>
        <v>71.7</v>
      </c>
      <c r="D2217">
        <f>'raw data Crude oil'!D2218</f>
        <v>70.8</v>
      </c>
      <c r="E2217">
        <f>'raw data Crude oil'!E2218</f>
        <v>70.09</v>
      </c>
      <c r="F2217">
        <f>'raw data Crude oil'!F2218</f>
        <v>69.62</v>
      </c>
      <c r="G2217">
        <f>'raw data Crude oil'!G2218</f>
        <v>69.290000000000006</v>
      </c>
      <c r="H2217">
        <f>'raw data Crude oil'!H2218</f>
        <v>69.05</v>
      </c>
      <c r="I2217">
        <f>'raw data Crude oil'!I2218</f>
        <v>68.86</v>
      </c>
      <c r="J2217">
        <f>'raw data Crude oil'!J2218</f>
        <v>68.69</v>
      </c>
      <c r="K2217">
        <f>'raw data Crude oil'!K2218</f>
        <v>68.53</v>
      </c>
      <c r="L2217">
        <f>'raw data Crude oil'!L2218</f>
        <v>68.36</v>
      </c>
      <c r="M2217">
        <f>'raw data Crude oil'!M2218</f>
        <v>68.2</v>
      </c>
      <c r="N2217">
        <f>'raw data Crude oil'!N2218</f>
        <v>69.260000000000005</v>
      </c>
      <c r="O2217">
        <f>'raw data Crude oil'!O2218</f>
        <v>68.2</v>
      </c>
      <c r="P2217">
        <f>'raw data Crude oil'!P2218</f>
        <v>67.319999999999993</v>
      </c>
      <c r="Q2217">
        <f>'raw data Crude oil'!Q2218</f>
        <v>66.599999999999994</v>
      </c>
      <c r="R2217">
        <f>'raw data Crude oil'!R2218</f>
        <v>66.11</v>
      </c>
      <c r="S2217">
        <f>'raw data Crude oil'!S2218</f>
        <v>65.77</v>
      </c>
      <c r="T2217">
        <f>'raw data Crude oil'!T2218</f>
        <v>65.53</v>
      </c>
      <c r="U2217">
        <f>'raw data Crude oil'!U2218</f>
        <v>65.33</v>
      </c>
      <c r="V2217">
        <f>'raw data Crude oil'!V2218</f>
        <v>65.14</v>
      </c>
      <c r="W2217">
        <f>'raw data Crude oil'!W2218</f>
        <v>64.95</v>
      </c>
      <c r="X2217">
        <f>'raw data Crude oil'!X2218</f>
        <v>64.760000000000005</v>
      </c>
      <c r="Y2217">
        <f>'raw data Crude oil'!Y2218</f>
        <v>64.58</v>
      </c>
      <c r="Z2217">
        <f>'raw data Crude oil'!Z2218</f>
        <v>70.866</v>
      </c>
      <c r="AA2217">
        <f>'raw data Crude oil'!AA2218</f>
        <v>73.206999999999994</v>
      </c>
      <c r="AB2217">
        <f>'raw data Crude oil'!AB2218</f>
        <v>71.718000000000004</v>
      </c>
      <c r="AC2217">
        <f>'raw data Crude oil'!AC2218</f>
        <v>70.518000000000001</v>
      </c>
      <c r="AD2217">
        <f>'raw data Crude oil'!AD2218</f>
        <v>69.674000000000007</v>
      </c>
      <c r="AE2217">
        <f>'raw data Crude oil'!AE2218</f>
        <v>69.125</v>
      </c>
      <c r="AF2217">
        <f>'raw data Crude oil'!AF2218</f>
        <v>68.798000000000002</v>
      </c>
      <c r="AG2217">
        <f>'raw data Crude oil'!AG2218</f>
        <v>68.56</v>
      </c>
      <c r="AH2217">
        <f>'raw data Crude oil'!AH2218</f>
        <v>68.373000000000005</v>
      </c>
      <c r="AI2217">
        <f>'raw data Crude oil'!AI2218</f>
        <v>68.206999999999994</v>
      </c>
      <c r="AJ2217">
        <f>'raw data Crude oil'!AJ2218</f>
        <v>68.031999999999996</v>
      </c>
      <c r="AK2217">
        <f>'raw data Crude oil'!AK2218</f>
        <v>67.873999999999995</v>
      </c>
    </row>
    <row r="2218" spans="1:37" x14ac:dyDescent="0.3">
      <c r="A2218" s="18">
        <f>'raw data Crude oil'!A2219</f>
        <v>45870</v>
      </c>
      <c r="B2218">
        <f>'raw data Crude oil'!B2219</f>
        <v>69.67</v>
      </c>
      <c r="C2218">
        <f>'raw data Crude oil'!C2219</f>
        <v>68.760000000000005</v>
      </c>
      <c r="D2218">
        <f>'raw data Crude oil'!D2219</f>
        <v>68.040000000000006</v>
      </c>
      <c r="E2218">
        <f>'raw data Crude oil'!E2219</f>
        <v>67.58</v>
      </c>
      <c r="F2218">
        <f>'raw data Crude oil'!F2219</f>
        <v>67.290000000000006</v>
      </c>
      <c r="G2218">
        <f>'raw data Crude oil'!G2219</f>
        <v>67.09</v>
      </c>
      <c r="H2218">
        <f>'raw data Crude oil'!H2219</f>
        <v>66.930000000000007</v>
      </c>
      <c r="I2218">
        <f>'raw data Crude oil'!I2219</f>
        <v>66.8</v>
      </c>
      <c r="J2218">
        <f>'raw data Crude oil'!J2219</f>
        <v>66.680000000000007</v>
      </c>
      <c r="K2218">
        <f>'raw data Crude oil'!K2219</f>
        <v>66.56</v>
      </c>
      <c r="L2218">
        <f>'raw data Crude oil'!L2219</f>
        <v>66.45</v>
      </c>
      <c r="M2218">
        <f>'raw data Crude oil'!M2219</f>
        <v>66.349999999999994</v>
      </c>
      <c r="N2218">
        <f>'raw data Crude oil'!N2219</f>
        <v>67.33</v>
      </c>
      <c r="O2218">
        <f>'raw data Crude oil'!O2219</f>
        <v>66.2</v>
      </c>
      <c r="P2218">
        <f>'raw data Crude oil'!P2219</f>
        <v>65.28</v>
      </c>
      <c r="Q2218">
        <f>'raw data Crude oil'!Q2219</f>
        <v>64.569999999999993</v>
      </c>
      <c r="R2218">
        <f>'raw data Crude oil'!R2219</f>
        <v>64.099999999999994</v>
      </c>
      <c r="S2218">
        <f>'raw data Crude oil'!S2219</f>
        <v>63.79</v>
      </c>
      <c r="T2218">
        <f>'raw data Crude oil'!T2219</f>
        <v>63.58</v>
      </c>
      <c r="U2218">
        <f>'raw data Crude oil'!U2219</f>
        <v>63.41</v>
      </c>
      <c r="V2218">
        <f>'raw data Crude oil'!V2219</f>
        <v>63.27</v>
      </c>
      <c r="W2218">
        <f>'raw data Crude oil'!W2219</f>
        <v>63.13</v>
      </c>
      <c r="X2218">
        <f>'raw data Crude oil'!X2219</f>
        <v>62.98</v>
      </c>
      <c r="Y2218">
        <f>'raw data Crude oil'!Y2219</f>
        <v>62.85</v>
      </c>
      <c r="Z2218">
        <f>'raw data Crude oil'!Z2219</f>
        <v>70.866</v>
      </c>
      <c r="AA2218">
        <f>'raw data Crude oil'!AA2219</f>
        <v>71.358999999999995</v>
      </c>
      <c r="AB2218">
        <f>'raw data Crude oil'!AB2219</f>
        <v>69.698999999999998</v>
      </c>
      <c r="AC2218">
        <f>'raw data Crude oil'!AC2219</f>
        <v>68.462000000000003</v>
      </c>
      <c r="AD2218">
        <f>'raw data Crude oil'!AD2219</f>
        <v>67.632000000000005</v>
      </c>
      <c r="AE2218">
        <f>'raw data Crude oil'!AE2219</f>
        <v>67.122</v>
      </c>
      <c r="AF2218">
        <f>'raw data Crude oil'!AF2219</f>
        <v>66.831999999999994</v>
      </c>
      <c r="AG2218">
        <f>'raw data Crude oil'!AG2219</f>
        <v>66.614000000000004</v>
      </c>
      <c r="AH2218">
        <f>'raw data Crude oil'!AH2219</f>
        <v>66.454999999999998</v>
      </c>
      <c r="AI2218">
        <f>'raw data Crude oil'!AI2219</f>
        <v>66.334000000000003</v>
      </c>
      <c r="AJ2218">
        <f>'raw data Crude oil'!AJ2219</f>
        <v>66.215000000000003</v>
      </c>
      <c r="AK2218">
        <f>'raw data Crude oil'!AK2219</f>
        <v>66.105000000000004</v>
      </c>
    </row>
    <row r="2219" spans="1:37" x14ac:dyDescent="0.3">
      <c r="A2219" s="18">
        <f>'raw data Crude oil'!A2220</f>
        <v>45873</v>
      </c>
      <c r="B2219">
        <f>'raw data Crude oil'!B2220</f>
        <v>68.760000000000005</v>
      </c>
      <c r="C2219">
        <f>'raw data Crude oil'!C2220</f>
        <v>68.010000000000005</v>
      </c>
      <c r="D2219">
        <f>'raw data Crude oil'!D2220</f>
        <v>67.45</v>
      </c>
      <c r="E2219">
        <f>'raw data Crude oil'!E2220</f>
        <v>67.099999999999994</v>
      </c>
      <c r="F2219">
        <f>'raw data Crude oil'!F2220</f>
        <v>66.87</v>
      </c>
      <c r="G2219">
        <f>'raw data Crude oil'!G2220</f>
        <v>66.73</v>
      </c>
      <c r="H2219">
        <f>'raw data Crude oil'!H2220</f>
        <v>66.61</v>
      </c>
      <c r="I2219">
        <f>'raw data Crude oil'!I2220</f>
        <v>66.510000000000005</v>
      </c>
      <c r="J2219">
        <f>'raw data Crude oil'!J2220</f>
        <v>66.400000000000006</v>
      </c>
      <c r="K2219">
        <f>'raw data Crude oil'!K2220</f>
        <v>66.290000000000006</v>
      </c>
      <c r="L2219">
        <f>'raw data Crude oil'!L2220</f>
        <v>66.19</v>
      </c>
      <c r="M2219">
        <f>'raw data Crude oil'!M2220</f>
        <v>66.099999999999994</v>
      </c>
      <c r="N2219">
        <f>'raw data Crude oil'!N2220</f>
        <v>66.290000000000006</v>
      </c>
      <c r="O2219">
        <f>'raw data Crude oil'!O2220</f>
        <v>65.3</v>
      </c>
      <c r="P2219">
        <f>'raw data Crude oil'!P2220</f>
        <v>64.55</v>
      </c>
      <c r="Q2219">
        <f>'raw data Crude oil'!Q2220</f>
        <v>63.99</v>
      </c>
      <c r="R2219">
        <f>'raw data Crude oil'!R2220</f>
        <v>63.63</v>
      </c>
      <c r="S2219">
        <f>'raw data Crude oil'!S2220</f>
        <v>63.4</v>
      </c>
      <c r="T2219">
        <f>'raw data Crude oil'!T2220</f>
        <v>63.25</v>
      </c>
      <c r="U2219">
        <f>'raw data Crude oil'!U2220</f>
        <v>63.12</v>
      </c>
      <c r="V2219">
        <f>'raw data Crude oil'!V2220</f>
        <v>63.01</v>
      </c>
      <c r="W2219">
        <f>'raw data Crude oil'!W2220</f>
        <v>62.88</v>
      </c>
      <c r="X2219">
        <f>'raw data Crude oil'!X2220</f>
        <v>62.75</v>
      </c>
      <c r="Y2219">
        <f>'raw data Crude oil'!Y2220</f>
        <v>62.62</v>
      </c>
      <c r="Z2219">
        <f>'raw data Crude oil'!Z2220</f>
        <v>70.608999999999995</v>
      </c>
      <c r="AA2219">
        <f>'raw data Crude oil'!AA2220</f>
        <v>68.814999999999998</v>
      </c>
      <c r="AB2219">
        <f>'raw data Crude oil'!AB2220</f>
        <v>67.775000000000006</v>
      </c>
      <c r="AC2219">
        <f>'raw data Crude oil'!AC2220</f>
        <v>67.058999999999997</v>
      </c>
      <c r="AD2219">
        <f>'raw data Crude oil'!AD2220</f>
        <v>66.626999999999995</v>
      </c>
      <c r="AE2219">
        <f>'raw data Crude oil'!AE2220</f>
        <v>66.394999999999996</v>
      </c>
      <c r="AF2219">
        <f>'raw data Crude oil'!AF2220</f>
        <v>66.224999999999994</v>
      </c>
      <c r="AG2219">
        <f>'raw data Crude oil'!AG2220</f>
        <v>66.105000000000004</v>
      </c>
      <c r="AH2219">
        <f>'raw data Crude oil'!AH2220</f>
        <v>65.984999999999999</v>
      </c>
      <c r="AI2219">
        <f>'raw data Crude oil'!AI2220</f>
        <v>65.875</v>
      </c>
      <c r="AJ2219">
        <f>'raw data Crude oil'!AJ2220</f>
        <v>65.775999999999996</v>
      </c>
      <c r="AK2219">
        <f>'raw data Crude oil'!AK2220</f>
        <v>65.716999999999999</v>
      </c>
    </row>
    <row r="2220" spans="1:37" x14ac:dyDescent="0.3">
      <c r="A2220" s="18">
        <f>'raw data Crude oil'!A2221</f>
        <v>45874</v>
      </c>
      <c r="B2220">
        <f>'raw data Crude oil'!B2221</f>
        <v>67.64</v>
      </c>
      <c r="C2220">
        <f>'raw data Crude oil'!C2221</f>
        <v>66.97</v>
      </c>
      <c r="D2220">
        <f>'raw data Crude oil'!D2221</f>
        <v>66.489999999999995</v>
      </c>
      <c r="E2220">
        <f>'raw data Crude oil'!E2221</f>
        <v>66.19</v>
      </c>
      <c r="F2220">
        <f>'raw data Crude oil'!F2221</f>
        <v>66.010000000000005</v>
      </c>
      <c r="G2220">
        <f>'raw data Crude oil'!G2221</f>
        <v>65.900000000000006</v>
      </c>
      <c r="H2220">
        <f>'raw data Crude oil'!H2221</f>
        <v>65.81</v>
      </c>
      <c r="I2220">
        <f>'raw data Crude oil'!I2221</f>
        <v>65.73</v>
      </c>
      <c r="J2220">
        <f>'raw data Crude oil'!J2221</f>
        <v>65.650000000000006</v>
      </c>
      <c r="K2220">
        <f>'raw data Crude oil'!K2221</f>
        <v>65.56</v>
      </c>
      <c r="L2220">
        <f>'raw data Crude oil'!L2221</f>
        <v>65.47</v>
      </c>
      <c r="M2220">
        <f>'raw data Crude oil'!M2221</f>
        <v>65.400000000000006</v>
      </c>
      <c r="N2220">
        <f>'raw data Crude oil'!N2221</f>
        <v>65.16</v>
      </c>
      <c r="O2220">
        <f>'raw data Crude oil'!O2221</f>
        <v>64.2</v>
      </c>
      <c r="P2220">
        <f>'raw data Crude oil'!P2221</f>
        <v>63.52</v>
      </c>
      <c r="Q2220">
        <f>'raw data Crude oil'!Q2221</f>
        <v>63.02</v>
      </c>
      <c r="R2220">
        <f>'raw data Crude oil'!R2221</f>
        <v>62.73</v>
      </c>
      <c r="S2220">
        <f>'raw data Crude oil'!S2221</f>
        <v>62.54</v>
      </c>
      <c r="T2220">
        <f>'raw data Crude oil'!T2221</f>
        <v>62.42</v>
      </c>
      <c r="U2220">
        <f>'raw data Crude oil'!U2221</f>
        <v>62.32</v>
      </c>
      <c r="V2220">
        <f>'raw data Crude oil'!V2221</f>
        <v>62.23</v>
      </c>
      <c r="W2220">
        <f>'raw data Crude oil'!W2221</f>
        <v>62.14</v>
      </c>
      <c r="X2220">
        <f>'raw data Crude oil'!X2221</f>
        <v>62.04</v>
      </c>
      <c r="Y2220">
        <f>'raw data Crude oil'!Y2221</f>
        <v>61.94</v>
      </c>
      <c r="Z2220">
        <f>'raw data Crude oil'!Z2221</f>
        <v>69.596000000000004</v>
      </c>
      <c r="AA2220">
        <f>'raw data Crude oil'!AA2221</f>
        <v>67.587999999999994</v>
      </c>
      <c r="AB2220">
        <f>'raw data Crude oil'!AB2221</f>
        <v>66.747</v>
      </c>
      <c r="AC2220">
        <f>'raw data Crude oil'!AC2221</f>
        <v>66.105999999999995</v>
      </c>
      <c r="AD2220">
        <f>'raw data Crude oil'!AD2221</f>
        <v>65.73</v>
      </c>
      <c r="AE2220">
        <f>'raw data Crude oil'!AE2221</f>
        <v>65.539000000000001</v>
      </c>
      <c r="AF2220">
        <f>'raw data Crude oil'!AF2221</f>
        <v>65.409000000000006</v>
      </c>
      <c r="AG2220">
        <f>'raw data Crude oil'!AG2221</f>
        <v>65.308999999999997</v>
      </c>
      <c r="AH2220">
        <f>'raw data Crude oil'!AH2221</f>
        <v>65.218000000000004</v>
      </c>
      <c r="AI2220">
        <f>'raw data Crude oil'!AI2221</f>
        <v>65.126000000000005</v>
      </c>
      <c r="AJ2220">
        <f>'raw data Crude oil'!AJ2221</f>
        <v>65.034000000000006</v>
      </c>
      <c r="AK2220">
        <f>'raw data Crude oil'!AK2221</f>
        <v>65.003</v>
      </c>
    </row>
    <row r="2221" spans="1:37" x14ac:dyDescent="0.3">
      <c r="A2221" s="18">
        <f>'raw data Crude oil'!A2222</f>
        <v>45875</v>
      </c>
      <c r="B2221">
        <f>'raw data Crude oil'!B2222</f>
        <v>66.89</v>
      </c>
      <c r="C2221">
        <f>'raw data Crude oil'!C2222</f>
        <v>66.27</v>
      </c>
      <c r="D2221">
        <f>'raw data Crude oil'!D2222</f>
        <v>65.819999999999993</v>
      </c>
      <c r="E2221">
        <f>'raw data Crude oil'!E2222</f>
        <v>65.55</v>
      </c>
      <c r="F2221">
        <f>'raw data Crude oil'!F2222</f>
        <v>65.39</v>
      </c>
      <c r="G2221">
        <f>'raw data Crude oil'!G2222</f>
        <v>65.3</v>
      </c>
      <c r="H2221">
        <f>'raw data Crude oil'!H2222</f>
        <v>65.23</v>
      </c>
      <c r="I2221">
        <f>'raw data Crude oil'!I2222</f>
        <v>65.17</v>
      </c>
      <c r="J2221">
        <f>'raw data Crude oil'!J2222</f>
        <v>65.099999999999994</v>
      </c>
      <c r="K2221">
        <f>'raw data Crude oil'!K2222</f>
        <v>65.02</v>
      </c>
      <c r="L2221">
        <f>'raw data Crude oil'!L2222</f>
        <v>64.94</v>
      </c>
      <c r="M2221">
        <f>'raw data Crude oil'!M2222</f>
        <v>64.88</v>
      </c>
      <c r="N2221">
        <f>'raw data Crude oil'!N2222</f>
        <v>64.349999999999994</v>
      </c>
      <c r="O2221">
        <f>'raw data Crude oil'!O2222</f>
        <v>63.41</v>
      </c>
      <c r="P2221">
        <f>'raw data Crude oil'!P2222</f>
        <v>62.79</v>
      </c>
      <c r="Q2221">
        <f>'raw data Crude oil'!Q2222</f>
        <v>62.34</v>
      </c>
      <c r="R2221">
        <f>'raw data Crude oil'!R2222</f>
        <v>62.08</v>
      </c>
      <c r="S2221">
        <f>'raw data Crude oil'!S2222</f>
        <v>61.93</v>
      </c>
      <c r="T2221">
        <f>'raw data Crude oil'!T2222</f>
        <v>61.84</v>
      </c>
      <c r="U2221">
        <f>'raw data Crude oil'!U2222</f>
        <v>61.76</v>
      </c>
      <c r="V2221">
        <f>'raw data Crude oil'!V2222</f>
        <v>61.69</v>
      </c>
      <c r="W2221">
        <f>'raw data Crude oil'!W2222</f>
        <v>61.61</v>
      </c>
      <c r="X2221">
        <f>'raw data Crude oil'!X2222</f>
        <v>61.52</v>
      </c>
      <c r="Y2221">
        <f>'raw data Crude oil'!Y2222</f>
        <v>61.43</v>
      </c>
      <c r="Z2221">
        <f>'raw data Crude oil'!Z2222</f>
        <v>69.367999999999995</v>
      </c>
      <c r="AA2221">
        <f>'raw data Crude oil'!AA2222</f>
        <v>67.16</v>
      </c>
      <c r="AB2221">
        <f>'raw data Crude oil'!AB2222</f>
        <v>66.230999999999995</v>
      </c>
      <c r="AC2221">
        <f>'raw data Crude oil'!AC2222</f>
        <v>65.56</v>
      </c>
      <c r="AD2221">
        <f>'raw data Crude oil'!AD2222</f>
        <v>65.177000000000007</v>
      </c>
      <c r="AE2221">
        <f>'raw data Crude oil'!AE2222</f>
        <v>64.986999999999995</v>
      </c>
      <c r="AF2221">
        <f>'raw data Crude oil'!AF2222</f>
        <v>64.855999999999995</v>
      </c>
      <c r="AG2221">
        <f>'raw data Crude oil'!AG2222</f>
        <v>64.754999999999995</v>
      </c>
      <c r="AH2221">
        <f>'raw data Crude oil'!AH2222</f>
        <v>64.674000000000007</v>
      </c>
      <c r="AI2221">
        <f>'raw data Crude oil'!AI2222</f>
        <v>64.590999999999994</v>
      </c>
      <c r="AJ2221">
        <f>'raw data Crude oil'!AJ2222</f>
        <v>64.507000000000005</v>
      </c>
      <c r="AK2221">
        <f>'raw data Crude oil'!AK2222</f>
        <v>64.447999999999993</v>
      </c>
    </row>
    <row r="2222" spans="1:37" x14ac:dyDescent="0.3">
      <c r="A2222" s="18">
        <f>'raw data Crude oil'!A2223</f>
        <v>45876</v>
      </c>
      <c r="B2222">
        <f>'raw data Crude oil'!B2223</f>
        <v>66.430000000000007</v>
      </c>
      <c r="C2222">
        <f>'raw data Crude oil'!C2223</f>
        <v>65.900000000000006</v>
      </c>
      <c r="D2222">
        <f>'raw data Crude oil'!D2223</f>
        <v>65.53</v>
      </c>
      <c r="E2222">
        <f>'raw data Crude oil'!E2223</f>
        <v>65.319999999999993</v>
      </c>
      <c r="F2222">
        <f>'raw data Crude oil'!F2223</f>
        <v>65.209999999999994</v>
      </c>
      <c r="G2222">
        <f>'raw data Crude oil'!G2223</f>
        <v>65.150000000000006</v>
      </c>
      <c r="H2222">
        <f>'raw data Crude oil'!H2223</f>
        <v>65.099999999999994</v>
      </c>
      <c r="I2222">
        <f>'raw data Crude oil'!I2223</f>
        <v>65.05</v>
      </c>
      <c r="J2222">
        <f>'raw data Crude oil'!J2223</f>
        <v>65</v>
      </c>
      <c r="K2222">
        <f>'raw data Crude oil'!K2223</f>
        <v>64.94</v>
      </c>
      <c r="L2222">
        <f>'raw data Crude oil'!L2223</f>
        <v>64.88</v>
      </c>
      <c r="M2222">
        <f>'raw data Crude oil'!M2223</f>
        <v>64.84</v>
      </c>
      <c r="N2222">
        <f>'raw data Crude oil'!N2223</f>
        <v>63.88</v>
      </c>
      <c r="O2222">
        <f>'raw data Crude oil'!O2223</f>
        <v>63.04</v>
      </c>
      <c r="P2222">
        <f>'raw data Crude oil'!P2223</f>
        <v>62.5</v>
      </c>
      <c r="Q2222">
        <f>'raw data Crude oil'!Q2223</f>
        <v>62.13</v>
      </c>
      <c r="R2222">
        <f>'raw data Crude oil'!R2223</f>
        <v>61.94</v>
      </c>
      <c r="S2222">
        <f>'raw data Crude oil'!S2223</f>
        <v>61.82</v>
      </c>
      <c r="T2222">
        <f>'raw data Crude oil'!T2223</f>
        <v>61.74</v>
      </c>
      <c r="U2222">
        <f>'raw data Crude oil'!U2223</f>
        <v>61.68</v>
      </c>
      <c r="V2222">
        <f>'raw data Crude oil'!V2223</f>
        <v>61.62</v>
      </c>
      <c r="W2222">
        <f>'raw data Crude oil'!W2223</f>
        <v>61.56</v>
      </c>
      <c r="X2222">
        <f>'raw data Crude oil'!X2223</f>
        <v>61.49</v>
      </c>
      <c r="Y2222">
        <f>'raw data Crude oil'!Y2223</f>
        <v>61.42</v>
      </c>
      <c r="Z2222">
        <f>'raw data Crude oil'!Z2223</f>
        <v>69.138999999999996</v>
      </c>
      <c r="AA2222">
        <f>'raw data Crude oil'!AA2223</f>
        <v>66.863</v>
      </c>
      <c r="AB2222">
        <f>'raw data Crude oil'!AB2223</f>
        <v>66.055999999999997</v>
      </c>
      <c r="AC2222">
        <f>'raw data Crude oil'!AC2223</f>
        <v>65.405000000000001</v>
      </c>
      <c r="AD2222">
        <f>'raw data Crude oil'!AD2223</f>
        <v>65.045000000000002</v>
      </c>
      <c r="AE2222">
        <f>'raw data Crude oil'!AE2223</f>
        <v>64.881</v>
      </c>
      <c r="AF2222">
        <f>'raw data Crude oil'!AF2223</f>
        <v>64.757999999999996</v>
      </c>
      <c r="AG2222">
        <f>'raw data Crude oil'!AG2223</f>
        <v>64.658000000000001</v>
      </c>
      <c r="AH2222">
        <f>'raw data Crude oil'!AH2223</f>
        <v>64.587000000000003</v>
      </c>
      <c r="AI2222">
        <f>'raw data Crude oil'!AI2223</f>
        <v>64.531999999999996</v>
      </c>
      <c r="AJ2222">
        <f>'raw data Crude oil'!AJ2223</f>
        <v>64.468000000000004</v>
      </c>
      <c r="AK2222">
        <f>'raw data Crude oil'!AK2223</f>
        <v>64.429000000000002</v>
      </c>
    </row>
    <row r="2223" spans="1:37" x14ac:dyDescent="0.3">
      <c r="A2223" s="18">
        <f>'raw data Crude oil'!A2224</f>
        <v>45877</v>
      </c>
      <c r="B2223">
        <f>'raw data Crude oil'!B2224</f>
        <v>66.59</v>
      </c>
      <c r="C2223">
        <f>'raw data Crude oil'!C2224</f>
        <v>65.92</v>
      </c>
      <c r="D2223">
        <f>'raw data Crude oil'!D2224</f>
        <v>65.489999999999995</v>
      </c>
      <c r="E2223">
        <f>'raw data Crude oil'!E2224</f>
        <v>65.27</v>
      </c>
      <c r="F2223">
        <f>'raw data Crude oil'!F2224</f>
        <v>65.150000000000006</v>
      </c>
      <c r="G2223">
        <f>'raw data Crude oil'!G2224</f>
        <v>65.08</v>
      </c>
      <c r="H2223">
        <f>'raw data Crude oil'!H2224</f>
        <v>65.02</v>
      </c>
      <c r="I2223">
        <f>'raw data Crude oil'!I2224</f>
        <v>64.97</v>
      </c>
      <c r="J2223">
        <f>'raw data Crude oil'!J2224</f>
        <v>64.92</v>
      </c>
      <c r="K2223">
        <f>'raw data Crude oil'!K2224</f>
        <v>64.86</v>
      </c>
      <c r="L2223">
        <f>'raw data Crude oil'!L2224</f>
        <v>64.8</v>
      </c>
      <c r="M2223">
        <f>'raw data Crude oil'!M2224</f>
        <v>64.75</v>
      </c>
      <c r="N2223">
        <f>'raw data Crude oil'!N2224</f>
        <v>63.88</v>
      </c>
      <c r="O2223">
        <f>'raw data Crude oil'!O2224</f>
        <v>63</v>
      </c>
      <c r="P2223">
        <f>'raw data Crude oil'!P2224</f>
        <v>62.39</v>
      </c>
      <c r="Q2223">
        <f>'raw data Crude oil'!Q2224</f>
        <v>62</v>
      </c>
      <c r="R2223">
        <f>'raw data Crude oil'!R2224</f>
        <v>61.79</v>
      </c>
      <c r="S2223">
        <f>'raw data Crude oil'!S2224</f>
        <v>61.68</v>
      </c>
      <c r="T2223">
        <f>'raw data Crude oil'!T2224</f>
        <v>61.61</v>
      </c>
      <c r="U2223">
        <f>'raw data Crude oil'!U2224</f>
        <v>61.55</v>
      </c>
      <c r="V2223">
        <f>'raw data Crude oil'!V2224</f>
        <v>61.49</v>
      </c>
      <c r="W2223">
        <f>'raw data Crude oil'!W2224</f>
        <v>61.42</v>
      </c>
      <c r="X2223">
        <f>'raw data Crude oil'!X2224</f>
        <v>61.33</v>
      </c>
      <c r="Y2223">
        <f>'raw data Crude oil'!Y2224</f>
        <v>61.25</v>
      </c>
      <c r="Z2223">
        <f>'raw data Crude oil'!Z2224</f>
        <v>68.948999999999998</v>
      </c>
      <c r="AA2223">
        <f>'raw data Crude oil'!AA2224</f>
        <v>66.602999999999994</v>
      </c>
      <c r="AB2223">
        <f>'raw data Crude oil'!AB2224</f>
        <v>65.875</v>
      </c>
      <c r="AC2223">
        <f>'raw data Crude oil'!AC2224</f>
        <v>65.234999999999999</v>
      </c>
      <c r="AD2223">
        <f>'raw data Crude oil'!AD2224</f>
        <v>64.887</v>
      </c>
      <c r="AE2223">
        <f>'raw data Crude oil'!AE2224</f>
        <v>64.716999999999999</v>
      </c>
      <c r="AF2223">
        <f>'raw data Crude oil'!AF2224</f>
        <v>64.587999999999994</v>
      </c>
      <c r="AG2223">
        <f>'raw data Crude oil'!AG2224</f>
        <v>64.497</v>
      </c>
      <c r="AH2223">
        <f>'raw data Crude oil'!AH2224</f>
        <v>64.415999999999997</v>
      </c>
      <c r="AI2223">
        <f>'raw data Crude oil'!AI2224</f>
        <v>64.366</v>
      </c>
      <c r="AJ2223">
        <f>'raw data Crude oil'!AJ2224</f>
        <v>64.308000000000007</v>
      </c>
      <c r="AK2223">
        <f>'raw data Crude oil'!AK2224</f>
        <v>64.269000000000005</v>
      </c>
    </row>
    <row r="2224" spans="1:37" x14ac:dyDescent="0.3">
      <c r="A2224" s="18">
        <f>'raw data Crude oil'!A2225</f>
        <v>45880</v>
      </c>
      <c r="B2224">
        <f>'raw data Crude oil'!B2225</f>
        <v>66.63</v>
      </c>
      <c r="C2224">
        <f>'raw data Crude oil'!C2225</f>
        <v>66.06</v>
      </c>
      <c r="D2224">
        <f>'raw data Crude oil'!D2225</f>
        <v>65.69</v>
      </c>
      <c r="E2224">
        <f>'raw data Crude oil'!E2225</f>
        <v>65.5</v>
      </c>
      <c r="F2224">
        <f>'raw data Crude oil'!F2225</f>
        <v>65.400000000000006</v>
      </c>
      <c r="G2224">
        <f>'raw data Crude oil'!G2225</f>
        <v>65.34</v>
      </c>
      <c r="H2224">
        <f>'raw data Crude oil'!H2225</f>
        <v>65.290000000000006</v>
      </c>
      <c r="I2224">
        <f>'raw data Crude oil'!I2225</f>
        <v>65.25</v>
      </c>
      <c r="J2224">
        <f>'raw data Crude oil'!J2225</f>
        <v>65.2</v>
      </c>
      <c r="K2224">
        <f>'raw data Crude oil'!K2225</f>
        <v>65.14</v>
      </c>
      <c r="L2224">
        <f>'raw data Crude oil'!L2225</f>
        <v>65.09</v>
      </c>
      <c r="M2224">
        <f>'raw data Crude oil'!M2225</f>
        <v>65.040000000000006</v>
      </c>
      <c r="N2224">
        <f>'raw data Crude oil'!N2225</f>
        <v>63.96</v>
      </c>
      <c r="O2224">
        <f>'raw data Crude oil'!O2225</f>
        <v>63.09</v>
      </c>
      <c r="P2224">
        <f>'raw data Crude oil'!P2225</f>
        <v>62.51</v>
      </c>
      <c r="Q2224">
        <f>'raw data Crude oil'!Q2225</f>
        <v>62.15</v>
      </c>
      <c r="R2224">
        <f>'raw data Crude oil'!R2225</f>
        <v>61.98</v>
      </c>
      <c r="S2224">
        <f>'raw data Crude oil'!S2225</f>
        <v>61.89</v>
      </c>
      <c r="T2224">
        <f>'raw data Crude oil'!T2225</f>
        <v>61.83</v>
      </c>
      <c r="U2224">
        <f>'raw data Crude oil'!U2225</f>
        <v>61.79</v>
      </c>
      <c r="V2224">
        <f>'raw data Crude oil'!V2225</f>
        <v>61.74</v>
      </c>
      <c r="W2224">
        <f>'raw data Crude oil'!W2225</f>
        <v>61.68</v>
      </c>
      <c r="X2224">
        <f>'raw data Crude oil'!X2225</f>
        <v>61.61</v>
      </c>
      <c r="Y2224">
        <f>'raw data Crude oil'!Y2225</f>
        <v>61.53</v>
      </c>
      <c r="Z2224">
        <f>'raw data Crude oil'!Z2225</f>
        <v>69.055999999999997</v>
      </c>
      <c r="AA2224">
        <f>'raw data Crude oil'!AA2225</f>
        <v>66.882999999999996</v>
      </c>
      <c r="AB2224">
        <f>'raw data Crude oil'!AB2225</f>
        <v>66.162000000000006</v>
      </c>
      <c r="AC2224">
        <f>'raw data Crude oil'!AC2225</f>
        <v>65.542000000000002</v>
      </c>
      <c r="AD2224">
        <f>'raw data Crude oil'!AD2225</f>
        <v>65.191999999999993</v>
      </c>
      <c r="AE2224">
        <f>'raw data Crude oil'!AE2225</f>
        <v>65.022000000000006</v>
      </c>
      <c r="AF2224">
        <f>'raw data Crude oil'!AF2225</f>
        <v>64.902000000000001</v>
      </c>
      <c r="AG2224">
        <f>'raw data Crude oil'!AG2225</f>
        <v>64.811999999999998</v>
      </c>
      <c r="AH2224">
        <f>'raw data Crude oil'!AH2225</f>
        <v>64.747</v>
      </c>
      <c r="AI2224">
        <f>'raw data Crude oil'!AI2225</f>
        <v>64.692999999999998</v>
      </c>
      <c r="AJ2224">
        <f>'raw data Crude oil'!AJ2225</f>
        <v>64.647999999999996</v>
      </c>
      <c r="AK2224">
        <f>'raw data Crude oil'!AK2225</f>
        <v>64.597999999999999</v>
      </c>
    </row>
    <row r="2225" spans="1:37" x14ac:dyDescent="0.3">
      <c r="A2225" s="18">
        <f>'raw data Crude oil'!A2226</f>
        <v>45881</v>
      </c>
      <c r="B2225">
        <f>'raw data Crude oil'!B2226</f>
        <v>66.12</v>
      </c>
      <c r="C2225">
        <f>'raw data Crude oil'!C2226</f>
        <v>65.62</v>
      </c>
      <c r="D2225">
        <f>'raw data Crude oil'!D2226</f>
        <v>65.28</v>
      </c>
      <c r="E2225">
        <f>'raw data Crude oil'!E2226</f>
        <v>65.11</v>
      </c>
      <c r="F2225">
        <f>'raw data Crude oil'!F2226</f>
        <v>65.03</v>
      </c>
      <c r="G2225">
        <f>'raw data Crude oil'!G2226</f>
        <v>64.989999999999995</v>
      </c>
      <c r="H2225">
        <f>'raw data Crude oil'!H2226</f>
        <v>64.959999999999994</v>
      </c>
      <c r="I2225">
        <f>'raw data Crude oil'!I2226</f>
        <v>64.94</v>
      </c>
      <c r="J2225">
        <f>'raw data Crude oil'!J2226</f>
        <v>64.92</v>
      </c>
      <c r="K2225">
        <f>'raw data Crude oil'!K2226</f>
        <v>64.88</v>
      </c>
      <c r="L2225">
        <f>'raw data Crude oil'!L2226</f>
        <v>64.84</v>
      </c>
      <c r="M2225">
        <f>'raw data Crude oil'!M2226</f>
        <v>64.81</v>
      </c>
      <c r="N2225">
        <f>'raw data Crude oil'!N2226</f>
        <v>63.17</v>
      </c>
      <c r="O2225">
        <f>'raw data Crude oil'!O2226</f>
        <v>62.48</v>
      </c>
      <c r="P2225">
        <f>'raw data Crude oil'!P2226</f>
        <v>62.01</v>
      </c>
      <c r="Q2225">
        <f>'raw data Crude oil'!Q2226</f>
        <v>61.7</v>
      </c>
      <c r="R2225">
        <f>'raw data Crude oil'!R2226</f>
        <v>61.56</v>
      </c>
      <c r="S2225">
        <f>'raw data Crude oil'!S2226</f>
        <v>61.49</v>
      </c>
      <c r="T2225">
        <f>'raw data Crude oil'!T2226</f>
        <v>61.45</v>
      </c>
      <c r="U2225">
        <f>'raw data Crude oil'!U2226</f>
        <v>61.43</v>
      </c>
      <c r="V2225">
        <f>'raw data Crude oil'!V2226</f>
        <v>61.41</v>
      </c>
      <c r="W2225">
        <f>'raw data Crude oil'!W2226</f>
        <v>61.38</v>
      </c>
      <c r="X2225">
        <f>'raw data Crude oil'!X2226</f>
        <v>61.35</v>
      </c>
      <c r="Y2225">
        <f>'raw data Crude oil'!Y2226</f>
        <v>61.3</v>
      </c>
      <c r="Z2225">
        <f>'raw data Crude oil'!Z2226</f>
        <v>68.67</v>
      </c>
      <c r="AA2225">
        <f>'raw data Crude oil'!AA2226</f>
        <v>66.355000000000004</v>
      </c>
      <c r="AB2225">
        <f>'raw data Crude oil'!AB2226</f>
        <v>65.662999999999997</v>
      </c>
      <c r="AC2225">
        <f>'raw data Crude oil'!AC2226</f>
        <v>65.082999999999998</v>
      </c>
      <c r="AD2225">
        <f>'raw data Crude oil'!AD2226</f>
        <v>64.763000000000005</v>
      </c>
      <c r="AE2225">
        <f>'raw data Crude oil'!AE2226</f>
        <v>64.619</v>
      </c>
      <c r="AF2225">
        <f>'raw data Crude oil'!AF2226</f>
        <v>64.519000000000005</v>
      </c>
      <c r="AG2225">
        <f>'raw data Crude oil'!AG2226</f>
        <v>64.459000000000003</v>
      </c>
      <c r="AH2225">
        <f>'raw data Crude oil'!AH2226</f>
        <v>64.427999999999997</v>
      </c>
      <c r="AI2225">
        <f>'raw data Crude oil'!AI2226</f>
        <v>64.378</v>
      </c>
      <c r="AJ2225">
        <f>'raw data Crude oil'!AJ2226</f>
        <v>64.328999999999994</v>
      </c>
      <c r="AK2225">
        <f>'raw data Crude oil'!AK2226</f>
        <v>64.299000000000007</v>
      </c>
    </row>
    <row r="2226" spans="1:37" x14ac:dyDescent="0.3">
      <c r="A2226" s="18">
        <f>'raw data Crude oil'!A2227</f>
        <v>45882</v>
      </c>
      <c r="B2226">
        <f>'raw data Crude oil'!B2227</f>
        <v>65.63</v>
      </c>
      <c r="C2226">
        <f>'raw data Crude oil'!C2227</f>
        <v>65.150000000000006</v>
      </c>
      <c r="D2226">
        <f>'raw data Crude oil'!D2227</f>
        <v>64.819999999999993</v>
      </c>
      <c r="E2226">
        <f>'raw data Crude oil'!E2227</f>
        <v>64.66</v>
      </c>
      <c r="F2226">
        <f>'raw data Crude oil'!F2227</f>
        <v>64.599999999999994</v>
      </c>
      <c r="G2226">
        <f>'raw data Crude oil'!G2227</f>
        <v>64.58</v>
      </c>
      <c r="H2226">
        <f>'raw data Crude oil'!H2227</f>
        <v>64.58</v>
      </c>
      <c r="I2226">
        <f>'raw data Crude oil'!I2227</f>
        <v>64.59</v>
      </c>
      <c r="J2226">
        <f>'raw data Crude oil'!J2227</f>
        <v>64.599999999999994</v>
      </c>
      <c r="K2226">
        <f>'raw data Crude oil'!K2227</f>
        <v>64.59</v>
      </c>
      <c r="L2226">
        <f>'raw data Crude oil'!L2227</f>
        <v>64.58</v>
      </c>
      <c r="M2226">
        <f>'raw data Crude oil'!M2227</f>
        <v>64.56</v>
      </c>
      <c r="N2226">
        <f>'raw data Crude oil'!N2227</f>
        <v>62.65</v>
      </c>
      <c r="O2226">
        <f>'raw data Crude oil'!O2227</f>
        <v>61.93</v>
      </c>
      <c r="P2226">
        <f>'raw data Crude oil'!P2227</f>
        <v>61.47</v>
      </c>
      <c r="Q2226">
        <f>'raw data Crude oil'!Q2227</f>
        <v>61.18</v>
      </c>
      <c r="R2226">
        <f>'raw data Crude oil'!R2227</f>
        <v>61.05</v>
      </c>
      <c r="S2226">
        <f>'raw data Crude oil'!S2227</f>
        <v>61.01</v>
      </c>
      <c r="T2226">
        <f>'raw data Crude oil'!T2227</f>
        <v>61.01</v>
      </c>
      <c r="U2226">
        <f>'raw data Crude oil'!U2227</f>
        <v>61.02</v>
      </c>
      <c r="V2226">
        <f>'raw data Crude oil'!V2227</f>
        <v>61.03</v>
      </c>
      <c r="W2226">
        <f>'raw data Crude oil'!W2227</f>
        <v>61.03</v>
      </c>
      <c r="X2226">
        <f>'raw data Crude oil'!X2227</f>
        <v>61.01</v>
      </c>
      <c r="Y2226">
        <f>'raw data Crude oil'!Y2227</f>
        <v>60.98</v>
      </c>
      <c r="Z2226">
        <f>'raw data Crude oil'!Z2227</f>
        <v>68.355999999999995</v>
      </c>
      <c r="AA2226">
        <f>'raw data Crude oil'!AA2227</f>
        <v>65.894999999999996</v>
      </c>
      <c r="AB2226">
        <f>'raw data Crude oil'!AB2227</f>
        <v>65.204999999999998</v>
      </c>
      <c r="AC2226">
        <f>'raw data Crude oil'!AC2227</f>
        <v>64.665000000000006</v>
      </c>
      <c r="AD2226">
        <f>'raw data Crude oil'!AD2227</f>
        <v>64.376000000000005</v>
      </c>
      <c r="AE2226">
        <f>'raw data Crude oil'!AE2227</f>
        <v>64.260000000000005</v>
      </c>
      <c r="AF2226">
        <f>'raw data Crude oil'!AF2227</f>
        <v>64.191000000000003</v>
      </c>
      <c r="AG2226">
        <f>'raw data Crude oil'!AG2227</f>
        <v>64.16</v>
      </c>
      <c r="AH2226">
        <f>'raw data Crude oil'!AH2227</f>
        <v>64.150000000000006</v>
      </c>
      <c r="AI2226">
        <f>'raw data Crude oil'!AI2227</f>
        <v>64.13</v>
      </c>
      <c r="AJ2226">
        <f>'raw data Crude oil'!AJ2227</f>
        <v>64.108999999999995</v>
      </c>
      <c r="AK2226">
        <f>'raw data Crude oil'!AK2227</f>
        <v>64.08</v>
      </c>
    </row>
    <row r="2227" spans="1:37" x14ac:dyDescent="0.3">
      <c r="A2227" s="18">
        <f>'raw data Crude oil'!A2228</f>
        <v>45883</v>
      </c>
      <c r="B2227">
        <f>'raw data Crude oil'!B2228</f>
        <v>66.84</v>
      </c>
      <c r="C2227">
        <f>'raw data Crude oil'!C2228</f>
        <v>66.16</v>
      </c>
      <c r="D2227">
        <f>'raw data Crude oil'!D2228</f>
        <v>65.69</v>
      </c>
      <c r="E2227">
        <f>'raw data Crude oil'!E2228</f>
        <v>65.430000000000007</v>
      </c>
      <c r="F2227">
        <f>'raw data Crude oil'!F2228</f>
        <v>65.290000000000006</v>
      </c>
      <c r="G2227">
        <f>'raw data Crude oil'!G2228</f>
        <v>65.209999999999994</v>
      </c>
      <c r="H2227">
        <f>'raw data Crude oil'!H2228</f>
        <v>65.17</v>
      </c>
      <c r="I2227">
        <f>'raw data Crude oil'!I2228</f>
        <v>65.150000000000006</v>
      </c>
      <c r="J2227">
        <f>'raw data Crude oil'!J2228</f>
        <v>65.13</v>
      </c>
      <c r="K2227">
        <f>'raw data Crude oil'!K2228</f>
        <v>65.099999999999994</v>
      </c>
      <c r="L2227">
        <f>'raw data Crude oil'!L2228</f>
        <v>65.069999999999993</v>
      </c>
      <c r="M2227">
        <f>'raw data Crude oil'!M2228</f>
        <v>65.040000000000006</v>
      </c>
      <c r="N2227">
        <f>'raw data Crude oil'!N2228</f>
        <v>63.96</v>
      </c>
      <c r="O2227">
        <f>'raw data Crude oil'!O2228</f>
        <v>63.03</v>
      </c>
      <c r="P2227">
        <f>'raw data Crude oil'!P2228</f>
        <v>62.42</v>
      </c>
      <c r="Q2227">
        <f>'raw data Crude oil'!Q2228</f>
        <v>62.01</v>
      </c>
      <c r="R2227">
        <f>'raw data Crude oil'!R2228</f>
        <v>61.79</v>
      </c>
      <c r="S2227">
        <f>'raw data Crude oil'!S2228</f>
        <v>61.67</v>
      </c>
      <c r="T2227">
        <f>'raw data Crude oil'!T2228</f>
        <v>61.62</v>
      </c>
      <c r="U2227">
        <f>'raw data Crude oil'!U2228</f>
        <v>61.6</v>
      </c>
      <c r="V2227">
        <f>'raw data Crude oil'!V2228</f>
        <v>61.59</v>
      </c>
      <c r="W2227">
        <f>'raw data Crude oil'!W2228</f>
        <v>61.57</v>
      </c>
      <c r="X2227">
        <f>'raw data Crude oil'!X2228</f>
        <v>61.53</v>
      </c>
      <c r="Y2227">
        <f>'raw data Crude oil'!Y2228</f>
        <v>61.49</v>
      </c>
      <c r="Z2227">
        <f>'raw data Crude oil'!Z2228</f>
        <v>69.055999999999997</v>
      </c>
      <c r="AA2227">
        <f>'raw data Crude oil'!AA2228</f>
        <v>67.179000000000002</v>
      </c>
      <c r="AB2227">
        <f>'raw data Crude oil'!AB2228</f>
        <v>66.263999999999996</v>
      </c>
      <c r="AC2227">
        <f>'raw data Crude oil'!AC2228</f>
        <v>65.542000000000002</v>
      </c>
      <c r="AD2227">
        <f>'raw data Crude oil'!AD2228</f>
        <v>65.153000000000006</v>
      </c>
      <c r="AE2227">
        <f>'raw data Crude oil'!AE2228</f>
        <v>64.947999999999993</v>
      </c>
      <c r="AF2227">
        <f>'raw data Crude oil'!AF2228</f>
        <v>64.808999999999997</v>
      </c>
      <c r="AG2227">
        <f>'raw data Crude oil'!AG2228</f>
        <v>64.728999999999999</v>
      </c>
      <c r="AH2227">
        <f>'raw data Crude oil'!AH2228</f>
        <v>64.682000000000002</v>
      </c>
      <c r="AI2227">
        <f>'raw data Crude oil'!AI2228</f>
        <v>64.641999999999996</v>
      </c>
      <c r="AJ2227">
        <f>'raw data Crude oil'!AJ2228</f>
        <v>64.602000000000004</v>
      </c>
      <c r="AK2227">
        <f>'raw data Crude oil'!AK2228</f>
        <v>64.563000000000002</v>
      </c>
    </row>
    <row r="2228" spans="1:37" x14ac:dyDescent="0.3">
      <c r="A2228" s="18">
        <f>'raw data Crude oil'!A2229</f>
        <v>45884</v>
      </c>
      <c r="B2228">
        <f>'raw data Crude oil'!B2229</f>
        <v>65.849999999999994</v>
      </c>
      <c r="C2228">
        <f>'raw data Crude oil'!C2229</f>
        <v>65.3</v>
      </c>
      <c r="D2228">
        <f>'raw data Crude oil'!D2229</f>
        <v>64.91</v>
      </c>
      <c r="E2228">
        <f>'raw data Crude oil'!E2229</f>
        <v>64.7</v>
      </c>
      <c r="F2228">
        <f>'raw data Crude oil'!F2229</f>
        <v>64.599999999999994</v>
      </c>
      <c r="G2228">
        <f>'raw data Crude oil'!G2229</f>
        <v>64.56</v>
      </c>
      <c r="H2228">
        <f>'raw data Crude oil'!H2229</f>
        <v>64.55</v>
      </c>
      <c r="I2228">
        <f>'raw data Crude oil'!I2229</f>
        <v>64.56</v>
      </c>
      <c r="J2228">
        <f>'raw data Crude oil'!J2229</f>
        <v>64.58</v>
      </c>
      <c r="K2228">
        <f>'raw data Crude oil'!K2229</f>
        <v>64.58</v>
      </c>
      <c r="L2228">
        <f>'raw data Crude oil'!L2229</f>
        <v>64.58</v>
      </c>
      <c r="M2228">
        <f>'raw data Crude oil'!M2229</f>
        <v>64.58</v>
      </c>
      <c r="N2228">
        <f>'raw data Crude oil'!N2229</f>
        <v>62.8</v>
      </c>
      <c r="O2228">
        <f>'raw data Crude oil'!O2229</f>
        <v>61.98</v>
      </c>
      <c r="P2228">
        <f>'raw data Crude oil'!P2229</f>
        <v>61.47</v>
      </c>
      <c r="Q2228">
        <f>'raw data Crude oil'!Q2229</f>
        <v>61.15</v>
      </c>
      <c r="R2228">
        <f>'raw data Crude oil'!R2229</f>
        <v>61</v>
      </c>
      <c r="S2228">
        <f>'raw data Crude oil'!S2229</f>
        <v>60.93</v>
      </c>
      <c r="T2228">
        <f>'raw data Crude oil'!T2229</f>
        <v>60.93</v>
      </c>
      <c r="U2228">
        <f>'raw data Crude oil'!U2229</f>
        <v>60.94</v>
      </c>
      <c r="V2228">
        <f>'raw data Crude oil'!V2229</f>
        <v>60.97</v>
      </c>
      <c r="W2228">
        <f>'raw data Crude oil'!W2229</f>
        <v>60.98</v>
      </c>
      <c r="X2228">
        <f>'raw data Crude oil'!X2229</f>
        <v>60.97</v>
      </c>
      <c r="Y2228">
        <f>'raw data Crude oil'!Y2229</f>
        <v>60.96</v>
      </c>
      <c r="Z2228">
        <f>'raw data Crude oil'!Z2229</f>
        <v>68.566999999999993</v>
      </c>
      <c r="AA2228">
        <f>'raw data Crude oil'!AA2229</f>
        <v>66.367000000000004</v>
      </c>
      <c r="AB2228">
        <f>'raw data Crude oil'!AB2229</f>
        <v>65.516000000000005</v>
      </c>
      <c r="AC2228">
        <f>'raw data Crude oil'!AC2229</f>
        <v>64.84</v>
      </c>
      <c r="AD2228">
        <f>'raw data Crude oil'!AD2229</f>
        <v>64.475999999999999</v>
      </c>
      <c r="AE2228">
        <f>'raw data Crude oil'!AE2229</f>
        <v>64.31</v>
      </c>
      <c r="AF2228">
        <f>'raw data Crude oil'!AF2229</f>
        <v>64.198999999999998</v>
      </c>
      <c r="AG2228">
        <f>'raw data Crude oil'!AG2229</f>
        <v>64.138000000000005</v>
      </c>
      <c r="AH2228">
        <f>'raw data Crude oil'!AH2229</f>
        <v>64.128</v>
      </c>
      <c r="AI2228">
        <f>'raw data Crude oil'!AI2229</f>
        <v>64.117999999999995</v>
      </c>
      <c r="AJ2228">
        <f>'raw data Crude oil'!AJ2229</f>
        <v>64.108000000000004</v>
      </c>
      <c r="AK2228">
        <f>'raw data Crude oil'!AK2229</f>
        <v>64.097999999999999</v>
      </c>
    </row>
    <row r="2229" spans="1:37" x14ac:dyDescent="0.3">
      <c r="A2229" s="18">
        <f>'raw data Crude oil'!A2230</f>
        <v>45887</v>
      </c>
      <c r="B2229">
        <f>'raw data Crude oil'!B2230</f>
        <v>66.599999999999994</v>
      </c>
      <c r="C2229">
        <f>'raw data Crude oil'!C2230</f>
        <v>66.010000000000005</v>
      </c>
      <c r="D2229">
        <f>'raw data Crude oil'!D2230</f>
        <v>65.569999999999993</v>
      </c>
      <c r="E2229">
        <f>'raw data Crude oil'!E2230</f>
        <v>65.33</v>
      </c>
      <c r="F2229">
        <f>'raw data Crude oil'!F2230</f>
        <v>65.19</v>
      </c>
      <c r="G2229">
        <f>'raw data Crude oil'!G2230</f>
        <v>65.13</v>
      </c>
      <c r="H2229">
        <f>'raw data Crude oil'!H2230</f>
        <v>65.099999999999994</v>
      </c>
      <c r="I2229">
        <f>'raw data Crude oil'!I2230</f>
        <v>65.09</v>
      </c>
      <c r="J2229">
        <f>'raw data Crude oil'!J2230</f>
        <v>65.099999999999994</v>
      </c>
      <c r="K2229">
        <f>'raw data Crude oil'!K2230</f>
        <v>65.09</v>
      </c>
      <c r="L2229">
        <f>'raw data Crude oil'!L2230</f>
        <v>65.08</v>
      </c>
      <c r="M2229">
        <f>'raw data Crude oil'!M2230</f>
        <v>65.069999999999993</v>
      </c>
      <c r="N2229">
        <f>'raw data Crude oil'!N2230</f>
        <v>63.42</v>
      </c>
      <c r="O2229">
        <f>'raw data Crude oil'!O2230</f>
        <v>62.7</v>
      </c>
      <c r="P2229">
        <f>'raw data Crude oil'!P2230</f>
        <v>62.16</v>
      </c>
      <c r="Q2229">
        <f>'raw data Crude oil'!Q2230</f>
        <v>61.8</v>
      </c>
      <c r="R2229">
        <f>'raw data Crude oil'!R2230</f>
        <v>61.6</v>
      </c>
      <c r="S2229">
        <f>'raw data Crude oil'!S2230</f>
        <v>61.5</v>
      </c>
      <c r="T2229">
        <f>'raw data Crude oil'!T2230</f>
        <v>61.47</v>
      </c>
      <c r="U2229">
        <f>'raw data Crude oil'!U2230</f>
        <v>61.47</v>
      </c>
      <c r="V2229">
        <f>'raw data Crude oil'!V2230</f>
        <v>61.48</v>
      </c>
      <c r="W2229">
        <f>'raw data Crude oil'!W2230</f>
        <v>61.48</v>
      </c>
      <c r="X2229">
        <f>'raw data Crude oil'!X2230</f>
        <v>61.47</v>
      </c>
      <c r="Y2229">
        <f>'raw data Crude oil'!Y2230</f>
        <v>61.44</v>
      </c>
      <c r="Z2229">
        <f>'raw data Crude oil'!Z2230</f>
        <v>68.885000000000005</v>
      </c>
      <c r="AA2229">
        <f>'raw data Crude oil'!AA2230</f>
        <v>67.16</v>
      </c>
      <c r="AB2229">
        <f>'raw data Crude oil'!AB2230</f>
        <v>66.209999999999994</v>
      </c>
      <c r="AC2229">
        <f>'raw data Crude oil'!AC2230</f>
        <v>65.52</v>
      </c>
      <c r="AD2229">
        <f>'raw data Crude oil'!AD2230</f>
        <v>65.12</v>
      </c>
      <c r="AE2229">
        <f>'raw data Crude oil'!AE2230</f>
        <v>64.918999999999997</v>
      </c>
      <c r="AF2229">
        <f>'raw data Crude oil'!AF2230</f>
        <v>64.77</v>
      </c>
      <c r="AG2229">
        <f>'raw data Crude oil'!AG2230</f>
        <v>64.680000000000007</v>
      </c>
      <c r="AH2229">
        <f>'raw data Crude oil'!AH2230</f>
        <v>64.64</v>
      </c>
      <c r="AI2229">
        <f>'raw data Crude oil'!AI2230</f>
        <v>64.625</v>
      </c>
      <c r="AJ2229">
        <f>'raw data Crude oil'!AJ2230</f>
        <v>64.608000000000004</v>
      </c>
      <c r="AK2229">
        <f>'raw data Crude oil'!AK2230</f>
        <v>64.587999999999994</v>
      </c>
    </row>
    <row r="2230" spans="1:37" x14ac:dyDescent="0.3">
      <c r="A2230" s="18">
        <f>'raw data Crude oil'!A2231</f>
        <v>45888</v>
      </c>
      <c r="B2230">
        <f>'raw data Crude oil'!B2231</f>
        <v>65.790000000000006</v>
      </c>
      <c r="C2230">
        <f>'raw data Crude oil'!C2231</f>
        <v>65.3</v>
      </c>
      <c r="D2230">
        <f>'raw data Crude oil'!D2231</f>
        <v>64.91</v>
      </c>
      <c r="E2230">
        <f>'raw data Crude oil'!E2231</f>
        <v>64.709999999999994</v>
      </c>
      <c r="F2230">
        <f>'raw data Crude oil'!F2231</f>
        <v>64.62</v>
      </c>
      <c r="G2230">
        <f>'raw data Crude oil'!G2231</f>
        <v>64.59</v>
      </c>
      <c r="H2230">
        <f>'raw data Crude oil'!H2231</f>
        <v>64.58</v>
      </c>
      <c r="I2230">
        <f>'raw data Crude oil'!I2231</f>
        <v>64.58</v>
      </c>
      <c r="J2230">
        <f>'raw data Crude oil'!J2231</f>
        <v>64.59</v>
      </c>
      <c r="K2230">
        <f>'raw data Crude oil'!K2231</f>
        <v>64.59</v>
      </c>
      <c r="L2230">
        <f>'raw data Crude oil'!L2231</f>
        <v>64.58</v>
      </c>
      <c r="M2230">
        <f>'raw data Crude oil'!M2231</f>
        <v>64.569999999999993</v>
      </c>
      <c r="N2230">
        <f>'raw data Crude oil'!N2231</f>
        <v>62.35</v>
      </c>
      <c r="O2230">
        <f>'raw data Crude oil'!O2231</f>
        <v>61.77</v>
      </c>
      <c r="P2230">
        <f>'raw data Crude oil'!P2231</f>
        <v>61.34</v>
      </c>
      <c r="Q2230">
        <f>'raw data Crude oil'!Q2231</f>
        <v>61.05</v>
      </c>
      <c r="R2230">
        <f>'raw data Crude oil'!R2231</f>
        <v>60.91</v>
      </c>
      <c r="S2230">
        <f>'raw data Crude oil'!S2231</f>
        <v>60.85</v>
      </c>
      <c r="T2230">
        <f>'raw data Crude oil'!T2231</f>
        <v>60.85</v>
      </c>
      <c r="U2230">
        <f>'raw data Crude oil'!U2231</f>
        <v>60.87</v>
      </c>
      <c r="V2230">
        <f>'raw data Crude oil'!V2231</f>
        <v>60.88</v>
      </c>
      <c r="W2230">
        <f>'raw data Crude oil'!W2231</f>
        <v>60.89</v>
      </c>
      <c r="X2230">
        <f>'raw data Crude oil'!X2231</f>
        <v>60.88</v>
      </c>
      <c r="Y2230">
        <f>'raw data Crude oil'!Y2231</f>
        <v>60.86</v>
      </c>
      <c r="Z2230">
        <f>'raw data Crude oil'!Z2231</f>
        <v>68.59</v>
      </c>
      <c r="AA2230">
        <f>'raw data Crude oil'!AA2231</f>
        <v>66.522000000000006</v>
      </c>
      <c r="AB2230">
        <f>'raw data Crude oil'!AB2231</f>
        <v>65.581999999999994</v>
      </c>
      <c r="AC2230">
        <f>'raw data Crude oil'!AC2231</f>
        <v>64.926000000000002</v>
      </c>
      <c r="AD2230">
        <f>'raw data Crude oil'!AD2231</f>
        <v>64.569000000000003</v>
      </c>
      <c r="AE2230">
        <f>'raw data Crude oil'!AE2231</f>
        <v>64.402000000000001</v>
      </c>
      <c r="AF2230">
        <f>'raw data Crude oil'!AF2231</f>
        <v>64.28</v>
      </c>
      <c r="AG2230">
        <f>'raw data Crude oil'!AG2231</f>
        <v>64.2</v>
      </c>
      <c r="AH2230">
        <f>'raw data Crude oil'!AH2231</f>
        <v>64.16</v>
      </c>
      <c r="AI2230">
        <f>'raw data Crude oil'!AI2231</f>
        <v>64.149000000000001</v>
      </c>
      <c r="AJ2230">
        <f>'raw data Crude oil'!AJ2231</f>
        <v>64.129000000000005</v>
      </c>
      <c r="AK2230">
        <f>'raw data Crude oil'!AK2231</f>
        <v>64.108000000000004</v>
      </c>
    </row>
    <row r="2231" spans="1:37" x14ac:dyDescent="0.3">
      <c r="A2231" s="18">
        <f>'raw data Crude oil'!A2232</f>
        <v>45889</v>
      </c>
      <c r="B2231">
        <f>'raw data Crude oil'!B2232</f>
        <v>66.84</v>
      </c>
      <c r="C2231">
        <f>'raw data Crude oil'!C2232</f>
        <v>66.31</v>
      </c>
      <c r="D2231">
        <f>'raw data Crude oil'!D2232</f>
        <v>65.89</v>
      </c>
      <c r="E2231">
        <f>'raw data Crude oil'!E2232</f>
        <v>65.67</v>
      </c>
      <c r="F2231">
        <f>'raw data Crude oil'!F2232</f>
        <v>65.55</v>
      </c>
      <c r="G2231">
        <f>'raw data Crude oil'!G2232</f>
        <v>65.5</v>
      </c>
      <c r="H2231">
        <f>'raw data Crude oil'!H2232</f>
        <v>65.47</v>
      </c>
      <c r="I2231">
        <f>'raw data Crude oil'!I2232</f>
        <v>65.45</v>
      </c>
      <c r="J2231">
        <f>'raw data Crude oil'!J2232</f>
        <v>65.430000000000007</v>
      </c>
      <c r="K2231">
        <f>'raw data Crude oil'!K2232</f>
        <v>65.400000000000006</v>
      </c>
      <c r="L2231">
        <f>'raw data Crude oil'!L2232</f>
        <v>65.37</v>
      </c>
      <c r="M2231">
        <f>'raw data Crude oil'!M2232</f>
        <v>65.33</v>
      </c>
      <c r="N2231">
        <f>'raw data Crude oil'!N2232</f>
        <v>63.21</v>
      </c>
      <c r="O2231">
        <f>'raw data Crude oil'!O2232</f>
        <v>62.71</v>
      </c>
      <c r="P2231">
        <f>'raw data Crude oil'!P2232</f>
        <v>62.32</v>
      </c>
      <c r="Q2231">
        <f>'raw data Crude oil'!Q2232</f>
        <v>62.03</v>
      </c>
      <c r="R2231">
        <f>'raw data Crude oil'!R2232</f>
        <v>61.87</v>
      </c>
      <c r="S2231">
        <f>'raw data Crude oil'!S2232</f>
        <v>61.8</v>
      </c>
      <c r="T2231">
        <f>'raw data Crude oil'!T2232</f>
        <v>61.77</v>
      </c>
      <c r="U2231">
        <f>'raw data Crude oil'!U2232</f>
        <v>61.76</v>
      </c>
      <c r="V2231">
        <f>'raw data Crude oil'!V2232</f>
        <v>61.76</v>
      </c>
      <c r="W2231">
        <f>'raw data Crude oil'!W2232</f>
        <v>61.74</v>
      </c>
      <c r="X2231">
        <f>'raw data Crude oil'!X2232</f>
        <v>61.71</v>
      </c>
      <c r="Y2231">
        <f>'raw data Crude oil'!Y2232</f>
        <v>61.67</v>
      </c>
      <c r="Z2231">
        <f>'raw data Crude oil'!Z2232</f>
        <v>69.186999999999998</v>
      </c>
      <c r="AA2231">
        <f>'raw data Crude oil'!AA2232</f>
        <v>67.900999999999996</v>
      </c>
      <c r="AB2231">
        <f>'raw data Crude oil'!AB2232</f>
        <v>66.760000000000005</v>
      </c>
      <c r="AC2231">
        <f>'raw data Crude oil'!AC2232</f>
        <v>66.03</v>
      </c>
      <c r="AD2231">
        <f>'raw data Crude oil'!AD2232</f>
        <v>65.644999999999996</v>
      </c>
      <c r="AE2231">
        <f>'raw data Crude oil'!AE2232</f>
        <v>65.448999999999998</v>
      </c>
      <c r="AF2231">
        <f>'raw data Crude oil'!AF2232</f>
        <v>65.308999999999997</v>
      </c>
      <c r="AG2231">
        <f>'raw data Crude oil'!AG2232</f>
        <v>65.209000000000003</v>
      </c>
      <c r="AH2231">
        <f>'raw data Crude oil'!AH2232</f>
        <v>65.129000000000005</v>
      </c>
      <c r="AI2231">
        <f>'raw data Crude oil'!AI2232</f>
        <v>65.049000000000007</v>
      </c>
      <c r="AJ2231">
        <f>'raw data Crude oil'!AJ2232</f>
        <v>65.007999999999996</v>
      </c>
      <c r="AK2231">
        <f>'raw data Crude oil'!AK2232</f>
        <v>64.938999999999993</v>
      </c>
    </row>
    <row r="2232" spans="1:37" x14ac:dyDescent="0.3">
      <c r="A2232" s="18">
        <f>'raw data Crude oil'!A2233</f>
        <v>45890</v>
      </c>
      <c r="B2232">
        <f>'raw data Crude oil'!B2233</f>
        <v>67.67</v>
      </c>
      <c r="C2232">
        <f>'raw data Crude oil'!C2233</f>
        <v>67.12</v>
      </c>
      <c r="D2232">
        <f>'raw data Crude oil'!D2233</f>
        <v>66.66</v>
      </c>
      <c r="E2232">
        <f>'raw data Crude oil'!E2233</f>
        <v>66.39</v>
      </c>
      <c r="F2232">
        <f>'raw data Crude oil'!F2233</f>
        <v>66.25</v>
      </c>
      <c r="G2232">
        <f>'raw data Crude oil'!G2233</f>
        <v>66.19</v>
      </c>
      <c r="H2232">
        <f>'raw data Crude oil'!H2233</f>
        <v>66.150000000000006</v>
      </c>
      <c r="I2232">
        <f>'raw data Crude oil'!I2233</f>
        <v>66.11</v>
      </c>
      <c r="J2232">
        <f>'raw data Crude oil'!J2233</f>
        <v>66.08</v>
      </c>
      <c r="K2232">
        <f>'raw data Crude oil'!K2233</f>
        <v>66.040000000000006</v>
      </c>
      <c r="L2232">
        <f>'raw data Crude oil'!L2233</f>
        <v>65.989999999999995</v>
      </c>
      <c r="M2232">
        <f>'raw data Crude oil'!M2233</f>
        <v>65.94</v>
      </c>
      <c r="N2232">
        <f>'raw data Crude oil'!N2233</f>
        <v>63.52</v>
      </c>
      <c r="O2232">
        <f>'raw data Crude oil'!O2233</f>
        <v>63.11</v>
      </c>
      <c r="P2232">
        <f>'raw data Crude oil'!P2233</f>
        <v>62.78</v>
      </c>
      <c r="Q2232">
        <f>'raw data Crude oil'!Q2233</f>
        <v>62.59</v>
      </c>
      <c r="R2232">
        <f>'raw data Crude oil'!R2233</f>
        <v>62.49</v>
      </c>
      <c r="S2232">
        <f>'raw data Crude oil'!S2233</f>
        <v>62.44</v>
      </c>
      <c r="T2232">
        <f>'raw data Crude oil'!T2233</f>
        <v>62.41</v>
      </c>
      <c r="U2232">
        <f>'raw data Crude oil'!U2233</f>
        <v>62.38</v>
      </c>
      <c r="V2232">
        <f>'raw data Crude oil'!V2233</f>
        <v>62.36</v>
      </c>
      <c r="W2232">
        <f>'raw data Crude oil'!W2233</f>
        <v>62.31</v>
      </c>
      <c r="X2232">
        <f>'raw data Crude oil'!X2233</f>
        <v>62.26</v>
      </c>
      <c r="Y2232">
        <f>'raw data Crude oil'!Y2233</f>
        <v>62.24</v>
      </c>
      <c r="Z2232">
        <f>'raw data Crude oil'!Z2233</f>
        <v>69.450999999999993</v>
      </c>
      <c r="AA2232">
        <f>'raw data Crude oil'!AA2233</f>
        <v>68.754999999999995</v>
      </c>
      <c r="AB2232">
        <f>'raw data Crude oil'!AB2233</f>
        <v>67.528000000000006</v>
      </c>
      <c r="AC2232">
        <f>'raw data Crude oil'!AC2233</f>
        <v>66.745000000000005</v>
      </c>
      <c r="AD2232">
        <f>'raw data Crude oil'!AD2233</f>
        <v>66.314999999999998</v>
      </c>
      <c r="AE2232">
        <f>'raw data Crude oil'!AE2233</f>
        <v>66.105000000000004</v>
      </c>
      <c r="AF2232">
        <f>'raw data Crude oil'!AF2233</f>
        <v>65.965000000000003</v>
      </c>
      <c r="AG2232">
        <f>'raw data Crude oil'!AG2233</f>
        <v>65.844999999999999</v>
      </c>
      <c r="AH2232">
        <f>'raw data Crude oil'!AH2233</f>
        <v>65.772999999999996</v>
      </c>
      <c r="AI2232">
        <f>'raw data Crude oil'!AI2233</f>
        <v>65.688000000000002</v>
      </c>
      <c r="AJ2232">
        <f>'raw data Crude oil'!AJ2233</f>
        <v>65.628</v>
      </c>
      <c r="AK2232">
        <f>'raw data Crude oil'!AK2233</f>
        <v>65.558999999999997</v>
      </c>
    </row>
    <row r="2233" spans="1:37" x14ac:dyDescent="0.3">
      <c r="A2233" s="18">
        <f>'raw data Crude oil'!A2234</f>
        <v>45891</v>
      </c>
      <c r="B2233">
        <f>'raw data Crude oil'!B2234</f>
        <v>67.73</v>
      </c>
      <c r="C2233">
        <f>'raw data Crude oil'!C2234</f>
        <v>67.22</v>
      </c>
      <c r="D2233">
        <f>'raw data Crude oil'!D2234</f>
        <v>66.77</v>
      </c>
      <c r="E2233">
        <f>'raw data Crude oil'!E2234</f>
        <v>66.5</v>
      </c>
      <c r="F2233">
        <f>'raw data Crude oil'!F2234</f>
        <v>66.349999999999994</v>
      </c>
      <c r="G2233">
        <f>'raw data Crude oil'!G2234</f>
        <v>66.290000000000006</v>
      </c>
      <c r="H2233">
        <f>'raw data Crude oil'!H2234</f>
        <v>66.239999999999995</v>
      </c>
      <c r="I2233">
        <f>'raw data Crude oil'!I2234</f>
        <v>66.19</v>
      </c>
      <c r="J2233">
        <f>'raw data Crude oil'!J2234</f>
        <v>66.150000000000006</v>
      </c>
      <c r="K2233">
        <f>'raw data Crude oil'!K2234</f>
        <v>66.09</v>
      </c>
      <c r="L2233">
        <f>'raw data Crude oil'!L2234</f>
        <v>66.040000000000006</v>
      </c>
      <c r="M2233">
        <f>'raw data Crude oil'!M2234</f>
        <v>66</v>
      </c>
      <c r="N2233">
        <f>'raw data Crude oil'!N2234</f>
        <v>63.66</v>
      </c>
      <c r="O2233">
        <f>'raw data Crude oil'!O2234</f>
        <v>63.23</v>
      </c>
      <c r="P2233">
        <f>'raw data Crude oil'!P2234</f>
        <v>62.9</v>
      </c>
      <c r="Q2233">
        <f>'raw data Crude oil'!Q2234</f>
        <v>62.71</v>
      </c>
      <c r="R2233">
        <f>'raw data Crude oil'!R2234</f>
        <v>62.6</v>
      </c>
      <c r="S2233">
        <f>'raw data Crude oil'!S2234</f>
        <v>62.54</v>
      </c>
      <c r="T2233">
        <f>'raw data Crude oil'!T2234</f>
        <v>62.5</v>
      </c>
      <c r="U2233">
        <f>'raw data Crude oil'!U2234</f>
        <v>62.47</v>
      </c>
      <c r="V2233">
        <f>'raw data Crude oil'!V2234</f>
        <v>62.44</v>
      </c>
      <c r="W2233">
        <f>'raw data Crude oil'!W2234</f>
        <v>62.38</v>
      </c>
      <c r="X2233">
        <f>'raw data Crude oil'!X2234</f>
        <v>62.32</v>
      </c>
      <c r="Y2233">
        <f>'raw data Crude oil'!Y2234</f>
        <v>62.28</v>
      </c>
      <c r="Z2233">
        <f>'raw data Crude oil'!Z2234</f>
        <v>69.488</v>
      </c>
      <c r="AA2233">
        <f>'raw data Crude oil'!AA2234</f>
        <v>69.06</v>
      </c>
      <c r="AB2233">
        <f>'raw data Crude oil'!AB2234</f>
        <v>67.778000000000006</v>
      </c>
      <c r="AC2233">
        <f>'raw data Crude oil'!AC2234</f>
        <v>66.930000000000007</v>
      </c>
      <c r="AD2233">
        <f>'raw data Crude oil'!AD2234</f>
        <v>66.462000000000003</v>
      </c>
      <c r="AE2233">
        <f>'raw data Crude oil'!AE2234</f>
        <v>66.209999999999994</v>
      </c>
      <c r="AF2233">
        <f>'raw data Crude oil'!AF2234</f>
        <v>66.034999999999997</v>
      </c>
      <c r="AG2233">
        <f>'raw data Crude oil'!AG2234</f>
        <v>65.905000000000001</v>
      </c>
      <c r="AH2233">
        <f>'raw data Crude oil'!AH2234</f>
        <v>65.807000000000002</v>
      </c>
      <c r="AI2233">
        <f>'raw data Crude oil'!AI2234</f>
        <v>65.738</v>
      </c>
      <c r="AJ2233">
        <f>'raw data Crude oil'!AJ2234</f>
        <v>65.677999999999997</v>
      </c>
      <c r="AK2233">
        <f>'raw data Crude oil'!AK2234</f>
        <v>65.619</v>
      </c>
    </row>
    <row r="2234" spans="1:37" x14ac:dyDescent="0.3">
      <c r="A2234" s="18">
        <f>'raw data Crude oil'!A2235</f>
        <v>45894</v>
      </c>
      <c r="B2234">
        <f>'raw data Crude oil'!B2235</f>
        <v>68.8</v>
      </c>
      <c r="C2234">
        <f>'raw data Crude oil'!C2235</f>
        <v>68.22</v>
      </c>
      <c r="D2234">
        <f>'raw data Crude oil'!D2235</f>
        <v>67.739999999999995</v>
      </c>
      <c r="E2234">
        <f>'raw data Crude oil'!E2235</f>
        <v>67.45</v>
      </c>
      <c r="F2234">
        <f>'raw data Crude oil'!F2235</f>
        <v>67.27</v>
      </c>
      <c r="G2234">
        <f>'raw data Crude oil'!G2235</f>
        <v>67.180000000000007</v>
      </c>
      <c r="H2234">
        <f>'raw data Crude oil'!H2235</f>
        <v>67.099999999999994</v>
      </c>
      <c r="I2234">
        <f>'raw data Crude oil'!I2235</f>
        <v>67.03</v>
      </c>
      <c r="J2234">
        <f>'raw data Crude oil'!J2235</f>
        <v>66.95</v>
      </c>
      <c r="K2234">
        <f>'raw data Crude oil'!K2235</f>
        <v>66.87</v>
      </c>
      <c r="L2234">
        <f>'raw data Crude oil'!L2235</f>
        <v>66.790000000000006</v>
      </c>
      <c r="M2234">
        <f>'raw data Crude oil'!M2235</f>
        <v>66.72</v>
      </c>
      <c r="N2234">
        <f>'raw data Crude oil'!N2235</f>
        <v>64.8</v>
      </c>
      <c r="O2234">
        <f>'raw data Crude oil'!O2235</f>
        <v>64.31</v>
      </c>
      <c r="P2234">
        <f>'raw data Crude oil'!P2235</f>
        <v>63.92</v>
      </c>
      <c r="Q2234">
        <f>'raw data Crude oil'!Q2235</f>
        <v>63.68</v>
      </c>
      <c r="R2234">
        <f>'raw data Crude oil'!R2235</f>
        <v>63.53</v>
      </c>
      <c r="S2234">
        <f>'raw data Crude oil'!S2235</f>
        <v>63.44</v>
      </c>
      <c r="T2234">
        <f>'raw data Crude oil'!T2235</f>
        <v>63.37</v>
      </c>
      <c r="U2234">
        <f>'raw data Crude oil'!U2235</f>
        <v>63.31</v>
      </c>
      <c r="V2234">
        <f>'raw data Crude oil'!V2235</f>
        <v>63.25</v>
      </c>
      <c r="W2234">
        <f>'raw data Crude oil'!W2235</f>
        <v>63.16</v>
      </c>
      <c r="X2234">
        <f>'raw data Crude oil'!X2235</f>
        <v>63.08</v>
      </c>
      <c r="Y2234">
        <f>'raw data Crude oil'!Y2235</f>
        <v>63.02</v>
      </c>
      <c r="Z2234">
        <f>'raw data Crude oil'!Z2235</f>
        <v>69.641999999999996</v>
      </c>
      <c r="AA2234">
        <f>'raw data Crude oil'!AA2235</f>
        <v>70.018000000000001</v>
      </c>
      <c r="AB2234">
        <f>'raw data Crude oil'!AB2235</f>
        <v>68.697000000000003</v>
      </c>
      <c r="AC2234">
        <f>'raw data Crude oil'!AC2235</f>
        <v>67.831999999999994</v>
      </c>
      <c r="AD2234">
        <f>'raw data Crude oil'!AD2235</f>
        <v>67.305999999999997</v>
      </c>
      <c r="AE2234">
        <f>'raw data Crude oil'!AE2235</f>
        <v>67.025999999999996</v>
      </c>
      <c r="AF2234">
        <f>'raw data Crude oil'!AF2235</f>
        <v>66.835999999999999</v>
      </c>
      <c r="AG2234">
        <f>'raw data Crude oil'!AG2235</f>
        <v>66.677000000000007</v>
      </c>
      <c r="AH2234">
        <f>'raw data Crude oil'!AH2235</f>
        <v>66.537999999999997</v>
      </c>
      <c r="AI2234">
        <f>'raw data Crude oil'!AI2235</f>
        <v>66.456000000000003</v>
      </c>
      <c r="AJ2234">
        <f>'raw data Crude oil'!AJ2235</f>
        <v>66.397000000000006</v>
      </c>
      <c r="AK2234">
        <f>'raw data Crude oil'!AK2235</f>
        <v>66.317999999999998</v>
      </c>
    </row>
    <row r="2235" spans="1:37" x14ac:dyDescent="0.3">
      <c r="A2235" s="18">
        <f>'raw data Crude oil'!A2236</f>
        <v>45895</v>
      </c>
      <c r="B2235">
        <f>'raw data Crude oil'!B2236</f>
        <v>67.22</v>
      </c>
      <c r="C2235">
        <f>'raw data Crude oil'!C2236</f>
        <v>66.7</v>
      </c>
      <c r="D2235">
        <f>'raw data Crude oil'!D2236</f>
        <v>66.27</v>
      </c>
      <c r="E2235">
        <f>'raw data Crude oil'!E2236</f>
        <v>66.010000000000005</v>
      </c>
      <c r="F2235">
        <f>'raw data Crude oil'!F2236</f>
        <v>65.86</v>
      </c>
      <c r="G2235">
        <f>'raw data Crude oil'!G2236</f>
        <v>65.8</v>
      </c>
      <c r="H2235">
        <f>'raw data Crude oil'!H2236</f>
        <v>65.760000000000005</v>
      </c>
      <c r="I2235">
        <f>'raw data Crude oil'!I2236</f>
        <v>65.73</v>
      </c>
      <c r="J2235">
        <f>'raw data Crude oil'!J2236</f>
        <v>65.7</v>
      </c>
      <c r="K2235">
        <f>'raw data Crude oil'!K2236</f>
        <v>65.650000000000006</v>
      </c>
      <c r="L2235">
        <f>'raw data Crude oil'!L2236</f>
        <v>65.599999999999994</v>
      </c>
      <c r="M2235">
        <f>'raw data Crude oil'!M2236</f>
        <v>65.56</v>
      </c>
      <c r="N2235">
        <f>'raw data Crude oil'!N2236</f>
        <v>63.25</v>
      </c>
      <c r="O2235">
        <f>'raw data Crude oil'!O2236</f>
        <v>62.8</v>
      </c>
      <c r="P2235">
        <f>'raw data Crude oil'!P2236</f>
        <v>62.46</v>
      </c>
      <c r="Q2235">
        <f>'raw data Crude oil'!Q2236</f>
        <v>62.25</v>
      </c>
      <c r="R2235">
        <f>'raw data Crude oil'!R2236</f>
        <v>62.12</v>
      </c>
      <c r="S2235">
        <f>'raw data Crude oil'!S2236</f>
        <v>62.06</v>
      </c>
      <c r="T2235">
        <f>'raw data Crude oil'!T2236</f>
        <v>62.03</v>
      </c>
      <c r="U2235">
        <f>'raw data Crude oil'!U2236</f>
        <v>62</v>
      </c>
      <c r="V2235">
        <f>'raw data Crude oil'!V2236</f>
        <v>61.97</v>
      </c>
      <c r="W2235">
        <f>'raw data Crude oil'!W2236</f>
        <v>61.92</v>
      </c>
      <c r="X2235">
        <f>'raw data Crude oil'!X2236</f>
        <v>61.86</v>
      </c>
      <c r="Y2235">
        <f>'raw data Crude oil'!Y2236</f>
        <v>61.82</v>
      </c>
      <c r="Z2235">
        <f>'raw data Crude oil'!Z2236</f>
        <v>69.308999999999997</v>
      </c>
      <c r="AA2235">
        <f>'raw data Crude oil'!AA2236</f>
        <v>68.766999999999996</v>
      </c>
      <c r="AB2235">
        <f>'raw data Crude oil'!AB2236</f>
        <v>67.307000000000002</v>
      </c>
      <c r="AC2235">
        <f>'raw data Crude oil'!AC2236</f>
        <v>66.433000000000007</v>
      </c>
      <c r="AD2235">
        <f>'raw data Crude oil'!AD2236</f>
        <v>65.923000000000002</v>
      </c>
      <c r="AE2235">
        <f>'raw data Crude oil'!AE2236</f>
        <v>65.683000000000007</v>
      </c>
      <c r="AF2235">
        <f>'raw data Crude oil'!AF2236</f>
        <v>65.537000000000006</v>
      </c>
      <c r="AG2235">
        <f>'raw data Crude oil'!AG2236</f>
        <v>65.436999999999998</v>
      </c>
      <c r="AH2235">
        <f>'raw data Crude oil'!AH2236</f>
        <v>65.349999999999994</v>
      </c>
      <c r="AI2235">
        <f>'raw data Crude oil'!AI2236</f>
        <v>65.263000000000005</v>
      </c>
      <c r="AJ2235">
        <f>'raw data Crude oil'!AJ2236</f>
        <v>65.212999999999994</v>
      </c>
      <c r="AK2235">
        <f>'raw data Crude oil'!AK2236</f>
        <v>65.174000000000007</v>
      </c>
    </row>
    <row r="2236" spans="1:37" x14ac:dyDescent="0.3">
      <c r="A2236" s="18">
        <f>'raw data Crude oil'!A2237</f>
        <v>45896</v>
      </c>
      <c r="B2236">
        <f>'raw data Crude oil'!B2237</f>
        <v>68.05</v>
      </c>
      <c r="C2236">
        <f>'raw data Crude oil'!C2237</f>
        <v>67.44</v>
      </c>
      <c r="D2236">
        <f>'raw data Crude oil'!D2237</f>
        <v>66.89</v>
      </c>
      <c r="E2236">
        <f>'raw data Crude oil'!E2237</f>
        <v>66.540000000000006</v>
      </c>
      <c r="F2236">
        <f>'raw data Crude oil'!F2237</f>
        <v>66.319999999999993</v>
      </c>
      <c r="G2236">
        <f>'raw data Crude oil'!G2237</f>
        <v>66.22</v>
      </c>
      <c r="H2236">
        <f>'raw data Crude oil'!H2237</f>
        <v>66.150000000000006</v>
      </c>
      <c r="I2236">
        <f>'raw data Crude oil'!I2237</f>
        <v>66.099999999999994</v>
      </c>
      <c r="J2236">
        <f>'raw data Crude oil'!J2237</f>
        <v>66.05</v>
      </c>
      <c r="K2236">
        <f>'raw data Crude oil'!K2237</f>
        <v>65.989999999999995</v>
      </c>
      <c r="L2236">
        <f>'raw data Crude oil'!L2237</f>
        <v>65.930000000000007</v>
      </c>
      <c r="M2236">
        <f>'raw data Crude oil'!M2237</f>
        <v>65.89</v>
      </c>
      <c r="N2236">
        <f>'raw data Crude oil'!N2237</f>
        <v>64.150000000000006</v>
      </c>
      <c r="O2236">
        <f>'raw data Crude oil'!O2237</f>
        <v>63.59</v>
      </c>
      <c r="P2236">
        <f>'raw data Crude oil'!P2237</f>
        <v>63.13</v>
      </c>
      <c r="Q2236">
        <f>'raw data Crude oil'!Q2237</f>
        <v>62.84</v>
      </c>
      <c r="R2236">
        <f>'raw data Crude oil'!R2237</f>
        <v>62.65</v>
      </c>
      <c r="S2236">
        <f>'raw data Crude oil'!S2237</f>
        <v>62.54</v>
      </c>
      <c r="T2236">
        <f>'raw data Crude oil'!T2237</f>
        <v>62.47</v>
      </c>
      <c r="U2236">
        <f>'raw data Crude oil'!U2237</f>
        <v>62.41</v>
      </c>
      <c r="V2236">
        <f>'raw data Crude oil'!V2237</f>
        <v>62.35</v>
      </c>
      <c r="W2236">
        <f>'raw data Crude oil'!W2237</f>
        <v>62.27</v>
      </c>
      <c r="X2236">
        <f>'raw data Crude oil'!X2237</f>
        <v>62.21</v>
      </c>
      <c r="Y2236">
        <f>'raw data Crude oil'!Y2237</f>
        <v>62.16</v>
      </c>
      <c r="Z2236">
        <f>'raw data Crude oil'!Z2237</f>
        <v>69.459000000000003</v>
      </c>
      <c r="AA2236">
        <f>'raw data Crude oil'!AA2237</f>
        <v>69.63</v>
      </c>
      <c r="AB2236">
        <f>'raw data Crude oil'!AB2237</f>
        <v>67.97</v>
      </c>
      <c r="AC2236">
        <f>'raw data Crude oil'!AC2237</f>
        <v>66.97</v>
      </c>
      <c r="AD2236">
        <f>'raw data Crude oil'!AD2237</f>
        <v>66.381</v>
      </c>
      <c r="AE2236">
        <f>'raw data Crude oil'!AE2237</f>
        <v>66.090999999999994</v>
      </c>
      <c r="AF2236">
        <f>'raw data Crude oil'!AF2237</f>
        <v>65.912000000000006</v>
      </c>
      <c r="AG2236">
        <f>'raw data Crude oil'!AG2237</f>
        <v>65.802000000000007</v>
      </c>
      <c r="AH2236">
        <f>'raw data Crude oil'!AH2237</f>
        <v>65.715000000000003</v>
      </c>
      <c r="AI2236">
        <f>'raw data Crude oil'!AI2237</f>
        <v>65.602000000000004</v>
      </c>
      <c r="AJ2236">
        <f>'raw data Crude oil'!AJ2237</f>
        <v>65.507999999999996</v>
      </c>
      <c r="AK2236">
        <f>'raw data Crude oil'!AK2237</f>
        <v>65.478999999999999</v>
      </c>
    </row>
    <row r="2237" spans="1:37" x14ac:dyDescent="0.3">
      <c r="A2237" s="18">
        <f>'raw data Crude oil'!A2238</f>
        <v>45897</v>
      </c>
      <c r="B2237">
        <f>'raw data Crude oil'!B2238</f>
        <v>68.62</v>
      </c>
      <c r="C2237">
        <f>'raw data Crude oil'!C2238</f>
        <v>67.98</v>
      </c>
      <c r="D2237">
        <f>'raw data Crude oil'!D2238</f>
        <v>67.42</v>
      </c>
      <c r="E2237">
        <f>'raw data Crude oil'!E2238</f>
        <v>67.06</v>
      </c>
      <c r="F2237">
        <f>'raw data Crude oil'!F2238</f>
        <v>66.84</v>
      </c>
      <c r="G2237">
        <f>'raw data Crude oil'!G2238</f>
        <v>66.739999999999995</v>
      </c>
      <c r="H2237">
        <f>'raw data Crude oil'!H2238</f>
        <v>66.67</v>
      </c>
      <c r="I2237">
        <f>'raw data Crude oil'!I2238</f>
        <v>66.61</v>
      </c>
      <c r="J2237">
        <f>'raw data Crude oil'!J2238</f>
        <v>66.55</v>
      </c>
      <c r="K2237">
        <f>'raw data Crude oil'!K2238</f>
        <v>66.47</v>
      </c>
      <c r="L2237">
        <f>'raw data Crude oil'!L2238</f>
        <v>66.400000000000006</v>
      </c>
      <c r="M2237">
        <f>'raw data Crude oil'!M2238</f>
        <v>66.349999999999994</v>
      </c>
      <c r="N2237">
        <f>'raw data Crude oil'!N2238</f>
        <v>64.599999999999994</v>
      </c>
      <c r="O2237">
        <f>'raw data Crude oil'!O2238</f>
        <v>64.069999999999993</v>
      </c>
      <c r="P2237">
        <f>'raw data Crude oil'!P2238</f>
        <v>63.61</v>
      </c>
      <c r="Q2237">
        <f>'raw data Crude oil'!Q2238</f>
        <v>63.32</v>
      </c>
      <c r="R2237">
        <f>'raw data Crude oil'!R2238</f>
        <v>63.13</v>
      </c>
      <c r="S2237">
        <f>'raw data Crude oil'!S2238</f>
        <v>63.02</v>
      </c>
      <c r="T2237">
        <f>'raw data Crude oil'!T2238</f>
        <v>62.94</v>
      </c>
      <c r="U2237">
        <f>'raw data Crude oil'!U2238</f>
        <v>62.87</v>
      </c>
      <c r="V2237">
        <f>'raw data Crude oil'!V2238</f>
        <v>62.81</v>
      </c>
      <c r="W2237">
        <f>'raw data Crude oil'!W2238</f>
        <v>62.73</v>
      </c>
      <c r="X2237">
        <f>'raw data Crude oil'!X2238</f>
        <v>62.65</v>
      </c>
      <c r="Y2237">
        <f>'raw data Crude oil'!Y2238</f>
        <v>62.59</v>
      </c>
      <c r="Z2237">
        <f>'raw data Crude oil'!Z2238</f>
        <v>69.421000000000006</v>
      </c>
      <c r="AA2237">
        <f>'raw data Crude oil'!AA2238</f>
        <v>70.012</v>
      </c>
      <c r="AB2237">
        <f>'raw data Crude oil'!AB2238</f>
        <v>68.331000000000003</v>
      </c>
      <c r="AC2237">
        <f>'raw data Crude oil'!AC2238</f>
        <v>67.381</v>
      </c>
      <c r="AD2237">
        <f>'raw data Crude oil'!AD2238</f>
        <v>66.816000000000003</v>
      </c>
      <c r="AE2237">
        <f>'raw data Crude oil'!AE2238</f>
        <v>66.536000000000001</v>
      </c>
      <c r="AF2237">
        <f>'raw data Crude oil'!AF2238</f>
        <v>66.355999999999995</v>
      </c>
      <c r="AG2237">
        <f>'raw data Crude oil'!AG2238</f>
        <v>66.236000000000004</v>
      </c>
      <c r="AH2237">
        <f>'raw data Crude oil'!AH2238</f>
        <v>66.153000000000006</v>
      </c>
      <c r="AI2237">
        <f>'raw data Crude oil'!AI2238</f>
        <v>66.075000000000003</v>
      </c>
      <c r="AJ2237">
        <f>'raw data Crude oil'!AJ2238</f>
        <v>65.977999999999994</v>
      </c>
      <c r="AK2237">
        <f>'raw data Crude oil'!AK2238</f>
        <v>65.908000000000001</v>
      </c>
    </row>
    <row r="2238" spans="1:37" x14ac:dyDescent="0.3">
      <c r="A2238" s="18">
        <f>'raw data Crude oil'!A2239</f>
        <v>45898</v>
      </c>
      <c r="B2238">
        <f>'raw data Crude oil'!B2239</f>
        <v>68.12</v>
      </c>
      <c r="C2238">
        <f>'raw data Crude oil'!C2239</f>
        <v>67.48</v>
      </c>
      <c r="D2238">
        <f>'raw data Crude oil'!D2239</f>
        <v>66.89</v>
      </c>
      <c r="E2238">
        <f>'raw data Crude oil'!E2239</f>
        <v>66.5</v>
      </c>
      <c r="F2238">
        <f>'raw data Crude oil'!F2239</f>
        <v>66.27</v>
      </c>
      <c r="G2238">
        <f>'raw data Crude oil'!G2239</f>
        <v>66.16</v>
      </c>
      <c r="H2238">
        <f>'raw data Crude oil'!H2239</f>
        <v>66.09</v>
      </c>
      <c r="I2238">
        <f>'raw data Crude oil'!I2239</f>
        <v>66.040000000000006</v>
      </c>
      <c r="J2238">
        <f>'raw data Crude oil'!J2239</f>
        <v>65.989999999999995</v>
      </c>
      <c r="K2238">
        <f>'raw data Crude oil'!K2239</f>
        <v>65.92</v>
      </c>
      <c r="L2238">
        <f>'raw data Crude oil'!L2239</f>
        <v>65.86</v>
      </c>
      <c r="M2238">
        <f>'raw data Crude oil'!M2239</f>
        <v>65.81</v>
      </c>
      <c r="N2238">
        <f>'raw data Crude oil'!N2239</f>
        <v>64.010000000000005</v>
      </c>
      <c r="O2238">
        <f>'raw data Crude oil'!O2239</f>
        <v>63.46</v>
      </c>
      <c r="P2238">
        <f>'raw data Crude oil'!P2239</f>
        <v>62.99</v>
      </c>
      <c r="Q2238">
        <f>'raw data Crude oil'!Q2239</f>
        <v>62.7</v>
      </c>
      <c r="R2238">
        <f>'raw data Crude oil'!R2239</f>
        <v>62.51</v>
      </c>
      <c r="S2238">
        <f>'raw data Crude oil'!S2239</f>
        <v>62.4</v>
      </c>
      <c r="T2238">
        <f>'raw data Crude oil'!T2239</f>
        <v>62.33</v>
      </c>
      <c r="U2238">
        <f>'raw data Crude oil'!U2239</f>
        <v>62.28</v>
      </c>
      <c r="V2238">
        <f>'raw data Crude oil'!V2239</f>
        <v>62.23</v>
      </c>
      <c r="W2238">
        <f>'raw data Crude oil'!W2239</f>
        <v>62.15</v>
      </c>
      <c r="X2238">
        <f>'raw data Crude oil'!X2239</f>
        <v>62.08</v>
      </c>
      <c r="Y2238">
        <f>'raw data Crude oil'!Y2239</f>
        <v>62.04</v>
      </c>
      <c r="Z2238">
        <f>'raw data Crude oil'!Z2239</f>
        <v>69.385000000000005</v>
      </c>
      <c r="AA2238">
        <f>'raw data Crude oil'!AA2239</f>
        <v>69.843000000000004</v>
      </c>
      <c r="AB2238">
        <f>'raw data Crude oil'!AB2239</f>
        <v>67.988</v>
      </c>
      <c r="AC2238">
        <f>'raw data Crude oil'!AC2239</f>
        <v>66.891000000000005</v>
      </c>
      <c r="AD2238">
        <f>'raw data Crude oil'!AD2239</f>
        <v>66.260000000000005</v>
      </c>
      <c r="AE2238">
        <f>'raw data Crude oil'!AE2239</f>
        <v>65.966999999999999</v>
      </c>
      <c r="AF2238">
        <f>'raw data Crude oil'!AF2239</f>
        <v>65.787999999999997</v>
      </c>
      <c r="AG2238">
        <f>'raw data Crude oil'!AG2239</f>
        <v>65.677999999999997</v>
      </c>
      <c r="AH2238">
        <f>'raw data Crude oil'!AH2239</f>
        <v>65.587000000000003</v>
      </c>
      <c r="AI2238">
        <f>'raw data Crude oil'!AI2239</f>
        <v>65.497</v>
      </c>
      <c r="AJ2238">
        <f>'raw data Crude oil'!AJ2239</f>
        <v>65.418000000000006</v>
      </c>
      <c r="AK2238">
        <f>'raw data Crude oil'!AK2239</f>
        <v>65.358999999999995</v>
      </c>
    </row>
    <row r="2239" spans="1:37" x14ac:dyDescent="0.3">
      <c r="A2239" s="18">
        <f>'raw data Crude oil'!A2240</f>
        <v>45901</v>
      </c>
      <c r="B2239">
        <f>'raw data Crude oil'!B2240</f>
        <v>68.150000000000006</v>
      </c>
      <c r="C2239">
        <f>'raw data Crude oil'!C2240</f>
        <v>67.52</v>
      </c>
      <c r="D2239">
        <f>'raw data Crude oil'!D2240</f>
        <v>67.08</v>
      </c>
      <c r="E2239">
        <f>'raw data Crude oil'!E2240</f>
        <v>66.819999999999993</v>
      </c>
      <c r="F2239">
        <f>'raw data Crude oil'!F2240</f>
        <v>66.680000000000007</v>
      </c>
      <c r="G2239">
        <f>'raw data Crude oil'!G2240</f>
        <v>66.599999999999994</v>
      </c>
      <c r="H2239">
        <f>'raw data Crude oil'!H2240</f>
        <v>66.540000000000006</v>
      </c>
      <c r="I2239">
        <f>'raw data Crude oil'!I2240</f>
        <v>66.489999999999995</v>
      </c>
      <c r="J2239">
        <f>'raw data Crude oil'!J2240</f>
        <v>66.42</v>
      </c>
      <c r="K2239">
        <f>'raw data Crude oil'!K2240</f>
        <v>66.36</v>
      </c>
      <c r="L2239">
        <f>'raw data Crude oil'!L2240</f>
        <v>66.319999999999993</v>
      </c>
      <c r="M2239">
        <f>'raw data Crude oil'!M2240</f>
        <v>66.290000000000006</v>
      </c>
      <c r="N2239">
        <f>'raw data Crude oil'!N2240</f>
        <v>64.010000000000005</v>
      </c>
      <c r="O2239">
        <f>'raw data Crude oil'!O2240</f>
        <v>63.46</v>
      </c>
      <c r="P2239">
        <f>'raw data Crude oil'!P2240</f>
        <v>62.99</v>
      </c>
      <c r="Q2239">
        <f>'raw data Crude oil'!Q2240</f>
        <v>62.7</v>
      </c>
      <c r="R2239">
        <f>'raw data Crude oil'!R2240</f>
        <v>62.51</v>
      </c>
      <c r="S2239">
        <f>'raw data Crude oil'!S2240</f>
        <v>62.4</v>
      </c>
      <c r="T2239">
        <f>'raw data Crude oil'!T2240</f>
        <v>62.33</v>
      </c>
      <c r="U2239">
        <f>'raw data Crude oil'!U2240</f>
        <v>62.28</v>
      </c>
      <c r="V2239">
        <f>'raw data Crude oil'!V2240</f>
        <v>62.23</v>
      </c>
      <c r="W2239">
        <f>'raw data Crude oil'!W2240</f>
        <v>62.15</v>
      </c>
      <c r="X2239">
        <f>'raw data Crude oil'!X2240</f>
        <v>62.08</v>
      </c>
      <c r="Y2239">
        <f>'raw data Crude oil'!Y2240</f>
        <v>62.04</v>
      </c>
      <c r="Z2239">
        <f>'raw data Crude oil'!Z2240</f>
        <v>69.385000000000005</v>
      </c>
      <c r="AA2239">
        <f>'raw data Crude oil'!AA2240</f>
        <v>70.741</v>
      </c>
      <c r="AB2239">
        <f>'raw data Crude oil'!AB2240</f>
        <v>68.831000000000003</v>
      </c>
      <c r="AC2239">
        <f>'raw data Crude oil'!AC2240</f>
        <v>67.661000000000001</v>
      </c>
      <c r="AD2239">
        <f>'raw data Crude oil'!AD2240</f>
        <v>66.941000000000003</v>
      </c>
      <c r="AE2239">
        <f>'raw data Crude oil'!AE2240</f>
        <v>66.600999999999999</v>
      </c>
      <c r="AF2239">
        <f>'raw data Crude oil'!AF2240</f>
        <v>66.391999999999996</v>
      </c>
      <c r="AG2239">
        <f>'raw data Crude oil'!AG2240</f>
        <v>66.262</v>
      </c>
      <c r="AH2239">
        <f>'raw data Crude oil'!AH2240</f>
        <v>66.165000000000006</v>
      </c>
      <c r="AI2239">
        <f>'raw data Crude oil'!AI2240</f>
        <v>66.055000000000007</v>
      </c>
      <c r="AJ2239">
        <f>'raw data Crude oil'!AJ2240</f>
        <v>65.975999999999999</v>
      </c>
      <c r="AK2239">
        <f>'raw data Crude oil'!AK2240</f>
        <v>65.923000000000002</v>
      </c>
    </row>
    <row r="2240" spans="1:37" x14ac:dyDescent="0.3">
      <c r="A2240" s="18">
        <f>'raw data Crude oil'!A2241</f>
        <v>45902</v>
      </c>
      <c r="B2240">
        <f>'raw data Crude oil'!B2241</f>
        <v>69.14</v>
      </c>
      <c r="C2240">
        <f>'raw data Crude oil'!C2241</f>
        <v>68.59</v>
      </c>
      <c r="D2240">
        <f>'raw data Crude oil'!D2241</f>
        <v>68.17</v>
      </c>
      <c r="E2240">
        <f>'raw data Crude oil'!E2241</f>
        <v>67.900000000000006</v>
      </c>
      <c r="F2240">
        <f>'raw data Crude oil'!F2241</f>
        <v>67.739999999999995</v>
      </c>
      <c r="G2240">
        <f>'raw data Crude oil'!G2241</f>
        <v>67.650000000000006</v>
      </c>
      <c r="H2240">
        <f>'raw data Crude oil'!H2241</f>
        <v>67.58</v>
      </c>
      <c r="I2240">
        <f>'raw data Crude oil'!I2241</f>
        <v>67.52</v>
      </c>
      <c r="J2240">
        <f>'raw data Crude oil'!J2241</f>
        <v>67.45</v>
      </c>
      <c r="K2240">
        <f>'raw data Crude oil'!K2241</f>
        <v>67.38</v>
      </c>
      <c r="L2240">
        <f>'raw data Crude oil'!L2241</f>
        <v>67.33</v>
      </c>
      <c r="M2240">
        <f>'raw data Crude oil'!M2241</f>
        <v>67.290000000000006</v>
      </c>
      <c r="N2240">
        <f>'raw data Crude oil'!N2241</f>
        <v>65.59</v>
      </c>
      <c r="O2240">
        <f>'raw data Crude oil'!O2241</f>
        <v>65.08</v>
      </c>
      <c r="P2240">
        <f>'raw data Crude oil'!P2241</f>
        <v>64.64</v>
      </c>
      <c r="Q2240">
        <f>'raw data Crude oil'!Q2241</f>
        <v>64.34</v>
      </c>
      <c r="R2240">
        <f>'raw data Crude oil'!R2241</f>
        <v>64.13</v>
      </c>
      <c r="S2240">
        <f>'raw data Crude oil'!S2241</f>
        <v>64</v>
      </c>
      <c r="T2240">
        <f>'raw data Crude oil'!T2241</f>
        <v>63.91</v>
      </c>
      <c r="U2240">
        <f>'raw data Crude oil'!U2241</f>
        <v>63.84</v>
      </c>
      <c r="V2240">
        <f>'raw data Crude oil'!V2241</f>
        <v>63.78</v>
      </c>
      <c r="W2240">
        <f>'raw data Crude oil'!W2241</f>
        <v>63.7</v>
      </c>
      <c r="X2240">
        <f>'raw data Crude oil'!X2241</f>
        <v>63.6</v>
      </c>
      <c r="Y2240">
        <f>'raw data Crude oil'!Y2241</f>
        <v>63.55</v>
      </c>
      <c r="Z2240">
        <f>'raw data Crude oil'!Z2241</f>
        <v>71.421999999999997</v>
      </c>
      <c r="AA2240">
        <f>'raw data Crude oil'!AA2241</f>
        <v>69.552000000000007</v>
      </c>
      <c r="AB2240">
        <f>'raw data Crude oil'!AB2241</f>
        <v>68.552999999999997</v>
      </c>
      <c r="AC2240">
        <f>'raw data Crude oil'!AC2241</f>
        <v>67.903000000000006</v>
      </c>
      <c r="AD2240">
        <f>'raw data Crude oil'!AD2241</f>
        <v>67.572999999999993</v>
      </c>
      <c r="AE2240">
        <f>'raw data Crude oil'!AE2241</f>
        <v>67.363</v>
      </c>
      <c r="AF2240">
        <f>'raw data Crude oil'!AF2241</f>
        <v>67.227000000000004</v>
      </c>
      <c r="AG2240">
        <f>'raw data Crude oil'!AG2241</f>
        <v>67.137</v>
      </c>
      <c r="AH2240">
        <f>'raw data Crude oil'!AH2241</f>
        <v>67.057000000000002</v>
      </c>
      <c r="AI2240">
        <f>'raw data Crude oil'!AI2241</f>
        <v>66.977999999999994</v>
      </c>
      <c r="AJ2240">
        <f>'raw data Crude oil'!AJ2241</f>
        <v>66.918000000000006</v>
      </c>
      <c r="AK2240">
        <f>'raw data Crude oil'!AK2241</f>
        <v>66.864999999999995</v>
      </c>
    </row>
    <row r="2241" spans="1:37" x14ac:dyDescent="0.3">
      <c r="A2241" s="18">
        <f>'raw data Crude oil'!A2242</f>
        <v>45903</v>
      </c>
      <c r="B2241">
        <f>'raw data Crude oil'!B2242</f>
        <v>67.599999999999994</v>
      </c>
      <c r="C2241">
        <f>'raw data Crude oil'!C2242</f>
        <v>67.16</v>
      </c>
      <c r="D2241">
        <f>'raw data Crude oil'!D2242</f>
        <v>66.83</v>
      </c>
      <c r="E2241">
        <f>'raw data Crude oil'!E2242</f>
        <v>66.62</v>
      </c>
      <c r="F2241">
        <f>'raw data Crude oil'!F2242</f>
        <v>66.510000000000005</v>
      </c>
      <c r="G2241">
        <f>'raw data Crude oil'!G2242</f>
        <v>66.459999999999994</v>
      </c>
      <c r="H2241">
        <f>'raw data Crude oil'!H2242</f>
        <v>66.430000000000007</v>
      </c>
      <c r="I2241">
        <f>'raw data Crude oil'!I2242</f>
        <v>66.41</v>
      </c>
      <c r="J2241">
        <f>'raw data Crude oil'!J2242</f>
        <v>66.37</v>
      </c>
      <c r="K2241">
        <f>'raw data Crude oil'!K2242</f>
        <v>66.33</v>
      </c>
      <c r="L2241">
        <f>'raw data Crude oil'!L2242</f>
        <v>66.31</v>
      </c>
      <c r="M2241">
        <f>'raw data Crude oil'!M2242</f>
        <v>66.3</v>
      </c>
      <c r="N2241">
        <f>'raw data Crude oil'!N2242</f>
        <v>63.97</v>
      </c>
      <c r="O2241">
        <f>'raw data Crude oil'!O2242</f>
        <v>63.57</v>
      </c>
      <c r="P2241">
        <f>'raw data Crude oil'!P2242</f>
        <v>63.24</v>
      </c>
      <c r="Q2241">
        <f>'raw data Crude oil'!Q2242</f>
        <v>63.02</v>
      </c>
      <c r="R2241">
        <f>'raw data Crude oil'!R2242</f>
        <v>62.89</v>
      </c>
      <c r="S2241">
        <f>'raw data Crude oil'!S2242</f>
        <v>62.81</v>
      </c>
      <c r="T2241">
        <f>'raw data Crude oil'!T2242</f>
        <v>62.77</v>
      </c>
      <c r="U2241">
        <f>'raw data Crude oil'!U2242</f>
        <v>62.75</v>
      </c>
      <c r="V2241">
        <f>'raw data Crude oil'!V2242</f>
        <v>62.72</v>
      </c>
      <c r="W2241">
        <f>'raw data Crude oil'!W2242</f>
        <v>62.66</v>
      </c>
      <c r="X2241">
        <f>'raw data Crude oil'!X2242</f>
        <v>62.61</v>
      </c>
      <c r="Y2241">
        <f>'raw data Crude oil'!Y2242</f>
        <v>62.57</v>
      </c>
      <c r="Z2241">
        <f>'raw data Crude oil'!Z2242</f>
        <v>70.132999999999996</v>
      </c>
      <c r="AA2241">
        <f>'raw data Crude oil'!AA2242</f>
        <v>67.896000000000001</v>
      </c>
      <c r="AB2241">
        <f>'raw data Crude oil'!AB2242</f>
        <v>67.08</v>
      </c>
      <c r="AC2241">
        <f>'raw data Crude oil'!AC2242</f>
        <v>66.572000000000003</v>
      </c>
      <c r="AD2241">
        <f>'raw data Crude oil'!AD2242</f>
        <v>66.319999999999993</v>
      </c>
      <c r="AE2241">
        <f>'raw data Crude oil'!AE2242</f>
        <v>66.159000000000006</v>
      </c>
      <c r="AF2241">
        <f>'raw data Crude oil'!AF2242</f>
        <v>66.088999999999999</v>
      </c>
      <c r="AG2241">
        <f>'raw data Crude oil'!AG2242</f>
        <v>66.028000000000006</v>
      </c>
      <c r="AH2241">
        <f>'raw data Crude oil'!AH2242</f>
        <v>65.977999999999994</v>
      </c>
      <c r="AI2241">
        <f>'raw data Crude oil'!AI2242</f>
        <v>65.929000000000002</v>
      </c>
      <c r="AJ2241">
        <f>'raw data Crude oil'!AJ2242</f>
        <v>65.900000000000006</v>
      </c>
      <c r="AK2241">
        <f>'raw data Crude oil'!AK2242</f>
        <v>65.876999999999995</v>
      </c>
    </row>
    <row r="2242" spans="1:37" x14ac:dyDescent="0.3">
      <c r="A2242" s="18">
        <f>'raw data Crude oil'!A2243</f>
        <v>45904</v>
      </c>
      <c r="B2242">
        <f>'raw data Crude oil'!B2243</f>
        <v>66.989999999999995</v>
      </c>
      <c r="C2242">
        <f>'raw data Crude oil'!C2243</f>
        <v>66.53</v>
      </c>
      <c r="D2242">
        <f>'raw data Crude oil'!D2243</f>
        <v>66.2</v>
      </c>
      <c r="E2242">
        <f>'raw data Crude oil'!E2243</f>
        <v>65.97</v>
      </c>
      <c r="F2242">
        <f>'raw data Crude oil'!F2243</f>
        <v>65.849999999999994</v>
      </c>
      <c r="G2242">
        <f>'raw data Crude oil'!G2243</f>
        <v>65.790000000000006</v>
      </c>
      <c r="H2242">
        <f>'raw data Crude oil'!H2243</f>
        <v>65.75</v>
      </c>
      <c r="I2242">
        <f>'raw data Crude oil'!I2243</f>
        <v>65.73</v>
      </c>
      <c r="J2242">
        <f>'raw data Crude oil'!J2243</f>
        <v>65.680000000000007</v>
      </c>
      <c r="K2242">
        <f>'raw data Crude oil'!K2243</f>
        <v>65.650000000000006</v>
      </c>
      <c r="L2242">
        <f>'raw data Crude oil'!L2243</f>
        <v>65.62</v>
      </c>
      <c r="M2242">
        <f>'raw data Crude oil'!M2243</f>
        <v>65.61</v>
      </c>
      <c r="N2242">
        <f>'raw data Crude oil'!N2243</f>
        <v>63.48</v>
      </c>
      <c r="O2242">
        <f>'raw data Crude oil'!O2243</f>
        <v>63.03</v>
      </c>
      <c r="P2242">
        <f>'raw data Crude oil'!P2243</f>
        <v>62.69</v>
      </c>
      <c r="Q2242">
        <f>'raw data Crude oil'!Q2243</f>
        <v>62.45</v>
      </c>
      <c r="R2242">
        <f>'raw data Crude oil'!R2243</f>
        <v>62.3</v>
      </c>
      <c r="S2242">
        <f>'raw data Crude oil'!S2243</f>
        <v>62.21</v>
      </c>
      <c r="T2242">
        <f>'raw data Crude oil'!T2243</f>
        <v>62.15</v>
      </c>
      <c r="U2242">
        <f>'raw data Crude oil'!U2243</f>
        <v>62.12</v>
      </c>
      <c r="V2242">
        <f>'raw data Crude oil'!V2243</f>
        <v>62.09</v>
      </c>
      <c r="W2242">
        <f>'raw data Crude oil'!W2243</f>
        <v>62.04</v>
      </c>
      <c r="X2242">
        <f>'raw data Crude oil'!X2243</f>
        <v>61.98</v>
      </c>
      <c r="Y2242">
        <f>'raw data Crude oil'!Y2243</f>
        <v>61.94</v>
      </c>
      <c r="Z2242">
        <f>'raw data Crude oil'!Z2243</f>
        <v>69.424000000000007</v>
      </c>
      <c r="AA2242">
        <f>'raw data Crude oil'!AA2243</f>
        <v>67.055999999999997</v>
      </c>
      <c r="AB2242">
        <f>'raw data Crude oil'!AB2243</f>
        <v>66.286000000000001</v>
      </c>
      <c r="AC2242">
        <f>'raw data Crude oil'!AC2243</f>
        <v>65.831999999999994</v>
      </c>
      <c r="AD2242">
        <f>'raw data Crude oil'!AD2243</f>
        <v>65.591999999999999</v>
      </c>
      <c r="AE2242">
        <f>'raw data Crude oil'!AE2243</f>
        <v>65.451999999999998</v>
      </c>
      <c r="AF2242">
        <f>'raw data Crude oil'!AF2243</f>
        <v>65.372</v>
      </c>
      <c r="AG2242">
        <f>'raw data Crude oil'!AG2243</f>
        <v>65.311999999999998</v>
      </c>
      <c r="AH2242">
        <f>'raw data Crude oil'!AH2243</f>
        <v>65.242000000000004</v>
      </c>
      <c r="AI2242">
        <f>'raw data Crude oil'!AI2243</f>
        <v>65.168999999999997</v>
      </c>
      <c r="AJ2242">
        <f>'raw data Crude oil'!AJ2243</f>
        <v>65.14</v>
      </c>
      <c r="AK2242">
        <f>'raw data Crude oil'!AK2243</f>
        <v>65.132000000000005</v>
      </c>
    </row>
    <row r="2243" spans="1:37" x14ac:dyDescent="0.3">
      <c r="A2243" s="18">
        <f>'raw data Crude oil'!A2244</f>
        <v>45905</v>
      </c>
      <c r="B2243">
        <f>'raw data Crude oil'!B2244</f>
        <v>65.5</v>
      </c>
      <c r="C2243">
        <f>'raw data Crude oil'!C2244</f>
        <v>65.11</v>
      </c>
      <c r="D2243">
        <f>'raw data Crude oil'!D2244</f>
        <v>64.83</v>
      </c>
      <c r="E2243">
        <f>'raw data Crude oil'!E2244</f>
        <v>64.650000000000006</v>
      </c>
      <c r="F2243">
        <f>'raw data Crude oil'!F2244</f>
        <v>64.569999999999993</v>
      </c>
      <c r="G2243">
        <f>'raw data Crude oil'!G2244</f>
        <v>64.56</v>
      </c>
      <c r="H2243">
        <f>'raw data Crude oil'!H2244</f>
        <v>64.56</v>
      </c>
      <c r="I2243">
        <f>'raw data Crude oil'!I2244</f>
        <v>64.56</v>
      </c>
      <c r="J2243">
        <f>'raw data Crude oil'!J2244</f>
        <v>64.540000000000006</v>
      </c>
      <c r="K2243">
        <f>'raw data Crude oil'!K2244</f>
        <v>64.53</v>
      </c>
      <c r="L2243">
        <f>'raw data Crude oil'!L2244</f>
        <v>64.53</v>
      </c>
      <c r="M2243">
        <f>'raw data Crude oil'!M2244</f>
        <v>64.540000000000006</v>
      </c>
      <c r="N2243">
        <f>'raw data Crude oil'!N2244</f>
        <v>61.87</v>
      </c>
      <c r="O2243">
        <f>'raw data Crude oil'!O2244</f>
        <v>61.46</v>
      </c>
      <c r="P2243">
        <f>'raw data Crude oil'!P2244</f>
        <v>61.18</v>
      </c>
      <c r="Q2243">
        <f>'raw data Crude oil'!Q2244</f>
        <v>61.03</v>
      </c>
      <c r="R2243">
        <f>'raw data Crude oil'!R2244</f>
        <v>60.94</v>
      </c>
      <c r="S2243">
        <f>'raw data Crude oil'!S2244</f>
        <v>60.91</v>
      </c>
      <c r="T2243">
        <f>'raw data Crude oil'!T2244</f>
        <v>60.91</v>
      </c>
      <c r="U2243">
        <f>'raw data Crude oil'!U2244</f>
        <v>60.92</v>
      </c>
      <c r="V2243">
        <f>'raw data Crude oil'!V2244</f>
        <v>60.92</v>
      </c>
      <c r="W2243">
        <f>'raw data Crude oil'!W2244</f>
        <v>60.9</v>
      </c>
      <c r="X2243">
        <f>'raw data Crude oil'!X2244</f>
        <v>60.88</v>
      </c>
      <c r="Y2243">
        <f>'raw data Crude oil'!Y2244</f>
        <v>60.85</v>
      </c>
      <c r="Z2243">
        <f>'raw data Crude oil'!Z2244</f>
        <v>68.388999999999996</v>
      </c>
      <c r="AA2243">
        <f>'raw data Crude oil'!AA2244</f>
        <v>65.881</v>
      </c>
      <c r="AB2243">
        <f>'raw data Crude oil'!AB2244</f>
        <v>65.010999999999996</v>
      </c>
      <c r="AC2243">
        <f>'raw data Crude oil'!AC2244</f>
        <v>64.570999999999998</v>
      </c>
      <c r="AD2243">
        <f>'raw data Crude oil'!AD2244</f>
        <v>64.36</v>
      </c>
      <c r="AE2243">
        <f>'raw data Crude oil'!AE2244</f>
        <v>64.23</v>
      </c>
      <c r="AF2243">
        <f>'raw data Crude oil'!AF2244</f>
        <v>64.180000000000007</v>
      </c>
      <c r="AG2243">
        <f>'raw data Crude oil'!AG2244</f>
        <v>64.149000000000001</v>
      </c>
      <c r="AH2243">
        <f>'raw data Crude oil'!AH2244</f>
        <v>64.12</v>
      </c>
      <c r="AI2243">
        <f>'raw data Crude oil'!AI2244</f>
        <v>64.073999999999998</v>
      </c>
      <c r="AJ2243">
        <f>'raw data Crude oil'!AJ2244</f>
        <v>64.057000000000002</v>
      </c>
      <c r="AK2243">
        <f>'raw data Crude oil'!AK2244</f>
        <v>64.063000000000002</v>
      </c>
    </row>
    <row r="2244" spans="1:37" x14ac:dyDescent="0.3">
      <c r="A2244" s="18">
        <f>'raw data Crude oil'!A2245</f>
        <v>45908</v>
      </c>
      <c r="B2244">
        <f>'raw data Crude oil'!B2245</f>
        <v>66.02</v>
      </c>
      <c r="C2244">
        <f>'raw data Crude oil'!C2245</f>
        <v>65.67</v>
      </c>
      <c r="D2244">
        <f>'raw data Crude oil'!D2245</f>
        <v>65.39</v>
      </c>
      <c r="E2244">
        <f>'raw data Crude oil'!E2245</f>
        <v>65.209999999999994</v>
      </c>
      <c r="F2244">
        <f>'raw data Crude oil'!F2245</f>
        <v>65.14</v>
      </c>
      <c r="G2244">
        <f>'raw data Crude oil'!G2245</f>
        <v>65.13</v>
      </c>
      <c r="H2244">
        <f>'raw data Crude oil'!H2245</f>
        <v>65.13</v>
      </c>
      <c r="I2244">
        <f>'raw data Crude oil'!I2245</f>
        <v>65.13</v>
      </c>
      <c r="J2244">
        <f>'raw data Crude oil'!J2245</f>
        <v>65.12</v>
      </c>
      <c r="K2244">
        <f>'raw data Crude oil'!K2245</f>
        <v>65.11</v>
      </c>
      <c r="L2244">
        <f>'raw data Crude oil'!L2245</f>
        <v>65.11</v>
      </c>
      <c r="M2244">
        <f>'raw data Crude oil'!M2245</f>
        <v>65.12</v>
      </c>
      <c r="N2244">
        <f>'raw data Crude oil'!N2245</f>
        <v>62.26</v>
      </c>
      <c r="O2244">
        <f>'raw data Crude oil'!O2245</f>
        <v>61.87</v>
      </c>
      <c r="P2244">
        <f>'raw data Crude oil'!P2245</f>
        <v>61.62</v>
      </c>
      <c r="Q2244">
        <f>'raw data Crude oil'!Q2245</f>
        <v>61.51</v>
      </c>
      <c r="R2244">
        <f>'raw data Crude oil'!R2245</f>
        <v>61.45</v>
      </c>
      <c r="S2244">
        <f>'raw data Crude oil'!S2245</f>
        <v>61.43</v>
      </c>
      <c r="T2244">
        <f>'raw data Crude oil'!T2245</f>
        <v>61.43</v>
      </c>
      <c r="U2244">
        <f>'raw data Crude oil'!U2245</f>
        <v>61.43</v>
      </c>
      <c r="V2244">
        <f>'raw data Crude oil'!V2245</f>
        <v>61.44</v>
      </c>
      <c r="W2244">
        <f>'raw data Crude oil'!W2245</f>
        <v>61.42</v>
      </c>
      <c r="X2244">
        <f>'raw data Crude oil'!X2245</f>
        <v>61.4</v>
      </c>
      <c r="Y2244">
        <f>'raw data Crude oil'!Y2245</f>
        <v>61.39</v>
      </c>
      <c r="Z2244">
        <f>'raw data Crude oil'!Z2245</f>
        <v>69.036000000000001</v>
      </c>
      <c r="AA2244">
        <f>'raw data Crude oil'!AA2245</f>
        <v>66.611000000000004</v>
      </c>
      <c r="AB2244">
        <f>'raw data Crude oil'!AB2245</f>
        <v>65.631</v>
      </c>
      <c r="AC2244">
        <f>'raw data Crude oil'!AC2245</f>
        <v>65.174000000000007</v>
      </c>
      <c r="AD2244">
        <f>'raw data Crude oil'!AD2245</f>
        <v>64.944999999999993</v>
      </c>
      <c r="AE2244">
        <f>'raw data Crude oil'!AE2245</f>
        <v>64.81</v>
      </c>
      <c r="AF2244">
        <f>'raw data Crude oil'!AF2245</f>
        <v>64.759</v>
      </c>
      <c r="AG2244">
        <f>'raw data Crude oil'!AG2245</f>
        <v>64.72</v>
      </c>
      <c r="AH2244">
        <f>'raw data Crude oil'!AH2245</f>
        <v>64.698999999999998</v>
      </c>
      <c r="AI2244">
        <f>'raw data Crude oil'!AI2245</f>
        <v>64.653999999999996</v>
      </c>
      <c r="AJ2244">
        <f>'raw data Crude oil'!AJ2245</f>
        <v>64.637</v>
      </c>
      <c r="AK2244">
        <f>'raw data Crude oil'!AK2245</f>
        <v>64.641999999999996</v>
      </c>
    </row>
    <row r="2245" spans="1:37" x14ac:dyDescent="0.3">
      <c r="A2245" s="18">
        <f>'raw data Crude oil'!A2246</f>
        <v>45909</v>
      </c>
      <c r="B2245">
        <f>'raw data Crude oil'!B2246</f>
        <v>66.39</v>
      </c>
      <c r="C2245">
        <f>'raw data Crude oil'!C2246</f>
        <v>66.11</v>
      </c>
      <c r="D2245">
        <f>'raw data Crude oil'!D2246</f>
        <v>65.86</v>
      </c>
      <c r="E2245">
        <f>'raw data Crude oil'!E2246</f>
        <v>65.680000000000007</v>
      </c>
      <c r="F2245">
        <f>'raw data Crude oil'!F2246</f>
        <v>65.59</v>
      </c>
      <c r="G2245">
        <f>'raw data Crude oil'!G2246</f>
        <v>65.55</v>
      </c>
      <c r="H2245">
        <f>'raw data Crude oil'!H2246</f>
        <v>65.53</v>
      </c>
      <c r="I2245">
        <f>'raw data Crude oil'!I2246</f>
        <v>65.510000000000005</v>
      </c>
      <c r="J2245">
        <f>'raw data Crude oil'!J2246</f>
        <v>65.47</v>
      </c>
      <c r="K2245">
        <f>'raw data Crude oil'!K2246</f>
        <v>65.45</v>
      </c>
      <c r="L2245">
        <f>'raw data Crude oil'!L2246</f>
        <v>65.430000000000007</v>
      </c>
      <c r="M2245">
        <f>'raw data Crude oil'!M2246</f>
        <v>65.42</v>
      </c>
      <c r="N2245">
        <f>'raw data Crude oil'!N2246</f>
        <v>62.63</v>
      </c>
      <c r="O2245">
        <f>'raw data Crude oil'!O2246</f>
        <v>62.29</v>
      </c>
      <c r="P2245">
        <f>'raw data Crude oil'!P2246</f>
        <v>62.06</v>
      </c>
      <c r="Q2245">
        <f>'raw data Crude oil'!Q2246</f>
        <v>61.95</v>
      </c>
      <c r="R2245">
        <f>'raw data Crude oil'!R2246</f>
        <v>61.89</v>
      </c>
      <c r="S2245">
        <f>'raw data Crude oil'!S2246</f>
        <v>61.86</v>
      </c>
      <c r="T2245">
        <f>'raw data Crude oil'!T2246</f>
        <v>61.84</v>
      </c>
      <c r="U2245">
        <f>'raw data Crude oil'!U2246</f>
        <v>61.82</v>
      </c>
      <c r="V2245">
        <f>'raw data Crude oil'!V2246</f>
        <v>61.79</v>
      </c>
      <c r="W2245">
        <f>'raw data Crude oil'!W2246</f>
        <v>61.75</v>
      </c>
      <c r="X2245">
        <f>'raw data Crude oil'!X2246</f>
        <v>61.72</v>
      </c>
      <c r="Y2245">
        <f>'raw data Crude oil'!Y2246</f>
        <v>61.69</v>
      </c>
      <c r="Z2245">
        <f>'raw data Crude oil'!Z2246</f>
        <v>69.584999999999994</v>
      </c>
      <c r="AA2245">
        <f>'raw data Crude oil'!AA2246</f>
        <v>67.438999999999993</v>
      </c>
      <c r="AB2245">
        <f>'raw data Crude oil'!AB2246</f>
        <v>66.316000000000003</v>
      </c>
      <c r="AC2245">
        <f>'raw data Crude oil'!AC2246</f>
        <v>65.790000000000006</v>
      </c>
      <c r="AD2245">
        <f>'raw data Crude oil'!AD2246</f>
        <v>65.509</v>
      </c>
      <c r="AE2245">
        <f>'raw data Crude oil'!AE2246</f>
        <v>65.33</v>
      </c>
      <c r="AF2245">
        <f>'raw data Crude oil'!AF2246</f>
        <v>65.239999999999995</v>
      </c>
      <c r="AG2245">
        <f>'raw data Crude oil'!AG2246</f>
        <v>65.179000000000002</v>
      </c>
      <c r="AH2245">
        <f>'raw data Crude oil'!AH2246</f>
        <v>65.103999999999999</v>
      </c>
      <c r="AI2245">
        <f>'raw data Crude oil'!AI2246</f>
        <v>65.043999999999997</v>
      </c>
      <c r="AJ2245">
        <f>'raw data Crude oil'!AJ2246</f>
        <v>65.013999999999996</v>
      </c>
      <c r="AK2245">
        <f>'raw data Crude oil'!AK2246</f>
        <v>64.995999999999995</v>
      </c>
    </row>
    <row r="2246" spans="1:37" x14ac:dyDescent="0.3">
      <c r="A2246" s="18">
        <f>'raw data Crude oil'!A2247</f>
        <v>45910</v>
      </c>
      <c r="B2246">
        <f>'raw data Crude oil'!B2247</f>
        <v>67.489999999999995</v>
      </c>
      <c r="C2246">
        <f>'raw data Crude oil'!C2247</f>
        <v>67.16</v>
      </c>
      <c r="D2246">
        <f>'raw data Crude oil'!D2247</f>
        <v>66.87</v>
      </c>
      <c r="E2246">
        <f>'raw data Crude oil'!E2247</f>
        <v>66.66</v>
      </c>
      <c r="F2246">
        <f>'raw data Crude oil'!F2247</f>
        <v>66.55</v>
      </c>
      <c r="G2246">
        <f>'raw data Crude oil'!G2247</f>
        <v>66.47</v>
      </c>
      <c r="H2246">
        <f>'raw data Crude oil'!H2247</f>
        <v>66.42</v>
      </c>
      <c r="I2246">
        <f>'raw data Crude oil'!I2247</f>
        <v>66.37</v>
      </c>
      <c r="J2246">
        <f>'raw data Crude oil'!J2247</f>
        <v>66.319999999999993</v>
      </c>
      <c r="K2246">
        <f>'raw data Crude oil'!K2247</f>
        <v>66.28</v>
      </c>
      <c r="L2246">
        <f>'raw data Crude oil'!L2247</f>
        <v>66.239999999999995</v>
      </c>
      <c r="M2246">
        <f>'raw data Crude oil'!M2247</f>
        <v>66.22</v>
      </c>
      <c r="N2246">
        <f>'raw data Crude oil'!N2247</f>
        <v>63.67</v>
      </c>
      <c r="O2246">
        <f>'raw data Crude oil'!O2247</f>
        <v>63.35</v>
      </c>
      <c r="P2246">
        <f>'raw data Crude oil'!P2247</f>
        <v>63.09</v>
      </c>
      <c r="Q2246">
        <f>'raw data Crude oil'!Q2247</f>
        <v>62.93</v>
      </c>
      <c r="R2246">
        <f>'raw data Crude oil'!R2247</f>
        <v>62.82</v>
      </c>
      <c r="S2246">
        <f>'raw data Crude oil'!S2247</f>
        <v>62.75</v>
      </c>
      <c r="T2246">
        <f>'raw data Crude oil'!T2247</f>
        <v>62.69</v>
      </c>
      <c r="U2246">
        <f>'raw data Crude oil'!U2247</f>
        <v>62.64</v>
      </c>
      <c r="V2246">
        <f>'raw data Crude oil'!V2247</f>
        <v>62.59</v>
      </c>
      <c r="W2246">
        <f>'raw data Crude oil'!W2247</f>
        <v>62.53</v>
      </c>
      <c r="X2246">
        <f>'raw data Crude oil'!X2247</f>
        <v>62.47</v>
      </c>
      <c r="Y2246">
        <f>'raw data Crude oil'!Y2247</f>
        <v>62.43</v>
      </c>
      <c r="Z2246">
        <f>'raw data Crude oil'!Z2247</f>
        <v>70.582999999999998</v>
      </c>
      <c r="AA2246">
        <f>'raw data Crude oil'!AA2247</f>
        <v>68.846999999999994</v>
      </c>
      <c r="AB2246">
        <f>'raw data Crude oil'!AB2247</f>
        <v>67.631</v>
      </c>
      <c r="AC2246">
        <f>'raw data Crude oil'!AC2247</f>
        <v>67.051000000000002</v>
      </c>
      <c r="AD2246">
        <f>'raw data Crude oil'!AD2247</f>
        <v>66.700999999999993</v>
      </c>
      <c r="AE2246">
        <f>'raw data Crude oil'!AE2247</f>
        <v>66.450999999999993</v>
      </c>
      <c r="AF2246">
        <f>'raw data Crude oil'!AF2247</f>
        <v>66.311000000000007</v>
      </c>
      <c r="AG2246">
        <f>'raw data Crude oil'!AG2247</f>
        <v>66.200999999999993</v>
      </c>
      <c r="AH2246">
        <f>'raw data Crude oil'!AH2247</f>
        <v>66.097999999999999</v>
      </c>
      <c r="AI2246">
        <f>'raw data Crude oil'!AI2247</f>
        <v>66.028000000000006</v>
      </c>
      <c r="AJ2246">
        <f>'raw data Crude oil'!AJ2247</f>
        <v>65.959000000000003</v>
      </c>
      <c r="AK2246">
        <f>'raw data Crude oil'!AK2247</f>
        <v>65.92</v>
      </c>
    </row>
    <row r="2247" spans="1:37" x14ac:dyDescent="0.3">
      <c r="A2247" s="18">
        <f>'raw data Crude oil'!A2248</f>
        <v>45911</v>
      </c>
      <c r="B2247">
        <f>'raw data Crude oil'!B2248</f>
        <v>66.37</v>
      </c>
      <c r="C2247">
        <f>'raw data Crude oil'!C2248</f>
        <v>66.010000000000005</v>
      </c>
      <c r="D2247">
        <f>'raw data Crude oil'!D2248</f>
        <v>65.73</v>
      </c>
      <c r="E2247">
        <f>'raw data Crude oil'!E2248</f>
        <v>65.540000000000006</v>
      </c>
      <c r="F2247">
        <f>'raw data Crude oil'!F2248</f>
        <v>65.45</v>
      </c>
      <c r="G2247">
        <f>'raw data Crude oil'!G2248</f>
        <v>65.400000000000006</v>
      </c>
      <c r="H2247">
        <f>'raw data Crude oil'!H2248</f>
        <v>65.37</v>
      </c>
      <c r="I2247">
        <f>'raw data Crude oil'!I2248</f>
        <v>65.349999999999994</v>
      </c>
      <c r="J2247">
        <f>'raw data Crude oil'!J2248</f>
        <v>65.319999999999993</v>
      </c>
      <c r="K2247">
        <f>'raw data Crude oil'!K2248</f>
        <v>65.290000000000006</v>
      </c>
      <c r="L2247">
        <f>'raw data Crude oil'!L2248</f>
        <v>65.27</v>
      </c>
      <c r="M2247">
        <f>'raw data Crude oil'!M2248</f>
        <v>65.260000000000005</v>
      </c>
      <c r="N2247">
        <f>'raw data Crude oil'!N2248</f>
        <v>62.37</v>
      </c>
      <c r="O2247">
        <f>'raw data Crude oil'!O2248</f>
        <v>62.08</v>
      </c>
      <c r="P2247">
        <f>'raw data Crude oil'!P2248</f>
        <v>61.85</v>
      </c>
      <c r="Q2247">
        <f>'raw data Crude oil'!Q2248</f>
        <v>61.72</v>
      </c>
      <c r="R2247">
        <f>'raw data Crude oil'!R2248</f>
        <v>61.64</v>
      </c>
      <c r="S2247">
        <f>'raw data Crude oil'!S2248</f>
        <v>61.61</v>
      </c>
      <c r="T2247">
        <f>'raw data Crude oil'!T2248</f>
        <v>61.58</v>
      </c>
      <c r="U2247">
        <f>'raw data Crude oil'!U2248</f>
        <v>61.57</v>
      </c>
      <c r="V2247">
        <f>'raw data Crude oil'!V2248</f>
        <v>61.55</v>
      </c>
      <c r="W2247">
        <f>'raw data Crude oil'!W2248</f>
        <v>61.5</v>
      </c>
      <c r="X2247">
        <f>'raw data Crude oil'!X2248</f>
        <v>61.45</v>
      </c>
      <c r="Y2247">
        <f>'raw data Crude oil'!Y2248</f>
        <v>61.42</v>
      </c>
      <c r="Z2247">
        <f>'raw data Crude oil'!Z2248</f>
        <v>69.870999999999995</v>
      </c>
      <c r="AA2247">
        <f>'raw data Crude oil'!AA2248</f>
        <v>67.608000000000004</v>
      </c>
      <c r="AB2247">
        <f>'raw data Crude oil'!AB2248</f>
        <v>66.388999999999996</v>
      </c>
      <c r="AC2247">
        <f>'raw data Crude oil'!AC2248</f>
        <v>65.831999999999994</v>
      </c>
      <c r="AD2247">
        <f>'raw data Crude oil'!AD2248</f>
        <v>65.521000000000001</v>
      </c>
      <c r="AE2247">
        <f>'raw data Crude oil'!AE2248</f>
        <v>65.311999999999998</v>
      </c>
      <c r="AF2247">
        <f>'raw data Crude oil'!AF2248</f>
        <v>65.198999999999998</v>
      </c>
      <c r="AG2247">
        <f>'raw data Crude oil'!AG2248</f>
        <v>65.128</v>
      </c>
      <c r="AH2247">
        <f>'raw data Crude oil'!AH2248</f>
        <v>65.057000000000002</v>
      </c>
      <c r="AI2247">
        <f>'raw data Crude oil'!AI2248</f>
        <v>64.998999999999995</v>
      </c>
      <c r="AJ2247">
        <f>'raw data Crude oil'!AJ2248</f>
        <v>64.957999999999998</v>
      </c>
      <c r="AK2247">
        <f>'raw data Crude oil'!AK2248</f>
        <v>64.936000000000007</v>
      </c>
    </row>
    <row r="2248" spans="1:37" x14ac:dyDescent="0.3">
      <c r="A2248" s="18">
        <f>'raw data Crude oil'!A2249</f>
        <v>45912</v>
      </c>
      <c r="B2248">
        <f>'raw data Crude oil'!B2249</f>
        <v>66.989999999999995</v>
      </c>
      <c r="C2248">
        <f>'raw data Crude oil'!C2249</f>
        <v>66.540000000000006</v>
      </c>
      <c r="D2248">
        <f>'raw data Crude oil'!D2249</f>
        <v>66.17</v>
      </c>
      <c r="E2248">
        <f>'raw data Crude oil'!E2249</f>
        <v>65.95</v>
      </c>
      <c r="F2248">
        <f>'raw data Crude oil'!F2249</f>
        <v>65.84</v>
      </c>
      <c r="G2248">
        <f>'raw data Crude oil'!G2249</f>
        <v>65.78</v>
      </c>
      <c r="H2248">
        <f>'raw data Crude oil'!H2249</f>
        <v>65.739999999999995</v>
      </c>
      <c r="I2248">
        <f>'raw data Crude oil'!I2249</f>
        <v>65.709999999999994</v>
      </c>
      <c r="J2248">
        <f>'raw data Crude oil'!J2249</f>
        <v>65.67</v>
      </c>
      <c r="K2248">
        <f>'raw data Crude oil'!K2249</f>
        <v>65.64</v>
      </c>
      <c r="L2248">
        <f>'raw data Crude oil'!L2249</f>
        <v>65.61</v>
      </c>
      <c r="M2248">
        <f>'raw data Crude oil'!M2249</f>
        <v>65.59</v>
      </c>
      <c r="N2248">
        <f>'raw data Crude oil'!N2249</f>
        <v>62.69</v>
      </c>
      <c r="O2248">
        <f>'raw data Crude oil'!O2249</f>
        <v>62.42</v>
      </c>
      <c r="P2248">
        <f>'raw data Crude oil'!P2249</f>
        <v>62.19</v>
      </c>
      <c r="Q2248">
        <f>'raw data Crude oil'!Q2249</f>
        <v>62.06</v>
      </c>
      <c r="R2248">
        <f>'raw data Crude oil'!R2249</f>
        <v>61.99</v>
      </c>
      <c r="S2248">
        <f>'raw data Crude oil'!S2249</f>
        <v>61.95</v>
      </c>
      <c r="T2248">
        <f>'raw data Crude oil'!T2249</f>
        <v>61.92</v>
      </c>
      <c r="U2248">
        <f>'raw data Crude oil'!U2249</f>
        <v>61.91</v>
      </c>
      <c r="V2248">
        <f>'raw data Crude oil'!V2249</f>
        <v>61.89</v>
      </c>
      <c r="W2248">
        <f>'raw data Crude oil'!W2249</f>
        <v>61.85</v>
      </c>
      <c r="X2248">
        <f>'raw data Crude oil'!X2249</f>
        <v>61.81</v>
      </c>
      <c r="Y2248">
        <f>'raw data Crude oil'!Y2249</f>
        <v>61.77</v>
      </c>
      <c r="Z2248">
        <f>'raw data Crude oil'!Z2249</f>
        <v>70.453000000000003</v>
      </c>
      <c r="AA2248">
        <f>'raw data Crude oil'!AA2249</f>
        <v>68.62</v>
      </c>
      <c r="AB2248">
        <f>'raw data Crude oil'!AB2249</f>
        <v>67.021000000000001</v>
      </c>
      <c r="AC2248">
        <f>'raw data Crude oil'!AC2249</f>
        <v>66.33</v>
      </c>
      <c r="AD2248">
        <f>'raw data Crude oil'!AD2249</f>
        <v>65.960999999999999</v>
      </c>
      <c r="AE2248">
        <f>'raw data Crude oil'!AE2249</f>
        <v>65.730999999999995</v>
      </c>
      <c r="AF2248">
        <f>'raw data Crude oil'!AF2249</f>
        <v>65.608999999999995</v>
      </c>
      <c r="AG2248">
        <f>'raw data Crude oil'!AG2249</f>
        <v>65.512</v>
      </c>
      <c r="AH2248">
        <f>'raw data Crude oil'!AH2249</f>
        <v>65.417000000000002</v>
      </c>
      <c r="AI2248">
        <f>'raw data Crude oil'!AI2249</f>
        <v>65.349000000000004</v>
      </c>
      <c r="AJ2248">
        <f>'raw data Crude oil'!AJ2249</f>
        <v>65.296999999999997</v>
      </c>
      <c r="AK2248">
        <f>'raw data Crude oil'!AK2249</f>
        <v>65.265000000000001</v>
      </c>
    </row>
    <row r="2249" spans="1:37" x14ac:dyDescent="0.3">
      <c r="A2249" s="18">
        <f>'raw data Crude oil'!A2250</f>
        <v>45915</v>
      </c>
      <c r="B2249">
        <f>'raw data Crude oil'!B2250</f>
        <v>67.44</v>
      </c>
      <c r="C2249">
        <f>'raw data Crude oil'!C2250</f>
        <v>67.040000000000006</v>
      </c>
      <c r="D2249">
        <f>'raw data Crude oil'!D2250</f>
        <v>66.69</v>
      </c>
      <c r="E2249">
        <f>'raw data Crude oil'!E2250</f>
        <v>66.459999999999994</v>
      </c>
      <c r="F2249">
        <f>'raw data Crude oil'!F2250</f>
        <v>66.34</v>
      </c>
      <c r="G2249">
        <f>'raw data Crude oil'!G2250</f>
        <v>66.27</v>
      </c>
      <c r="H2249">
        <f>'raw data Crude oil'!H2250</f>
        <v>66.22</v>
      </c>
      <c r="I2249">
        <f>'raw data Crude oil'!I2250</f>
        <v>66.17</v>
      </c>
      <c r="J2249">
        <f>'raw data Crude oil'!J2250</f>
        <v>66.11</v>
      </c>
      <c r="K2249">
        <f>'raw data Crude oil'!K2250</f>
        <v>66.069999999999993</v>
      </c>
      <c r="L2249">
        <f>'raw data Crude oil'!L2250</f>
        <v>66.03</v>
      </c>
      <c r="M2249">
        <f>'raw data Crude oil'!M2250</f>
        <v>66</v>
      </c>
      <c r="N2249">
        <f>'raw data Crude oil'!N2250</f>
        <v>63.3</v>
      </c>
      <c r="O2249">
        <f>'raw data Crude oil'!O2250</f>
        <v>63.02</v>
      </c>
      <c r="P2249">
        <f>'raw data Crude oil'!P2250</f>
        <v>62.76</v>
      </c>
      <c r="Q2249">
        <f>'raw data Crude oil'!Q2250</f>
        <v>62.6</v>
      </c>
      <c r="R2249">
        <f>'raw data Crude oil'!R2250</f>
        <v>62.49</v>
      </c>
      <c r="S2249">
        <f>'raw data Crude oil'!S2250</f>
        <v>62.43</v>
      </c>
      <c r="T2249">
        <f>'raw data Crude oil'!T2250</f>
        <v>62.39</v>
      </c>
      <c r="U2249">
        <f>'raw data Crude oil'!U2250</f>
        <v>62.36</v>
      </c>
      <c r="V2249">
        <f>'raw data Crude oil'!V2250</f>
        <v>62.33</v>
      </c>
      <c r="W2249">
        <f>'raw data Crude oil'!W2250</f>
        <v>62.27</v>
      </c>
      <c r="X2249">
        <f>'raw data Crude oil'!X2250</f>
        <v>62.21</v>
      </c>
      <c r="Y2249">
        <f>'raw data Crude oil'!Y2250</f>
        <v>62.16</v>
      </c>
      <c r="Z2249">
        <f>'raw data Crude oil'!Z2250</f>
        <v>70.662999999999997</v>
      </c>
      <c r="AA2249">
        <f>'raw data Crude oil'!AA2250</f>
        <v>69.063999999999993</v>
      </c>
      <c r="AB2249">
        <f>'raw data Crude oil'!AB2250</f>
        <v>67.328999999999994</v>
      </c>
      <c r="AC2249">
        <f>'raw data Crude oil'!AC2250</f>
        <v>66.718999999999994</v>
      </c>
      <c r="AD2249">
        <f>'raw data Crude oil'!AD2250</f>
        <v>66.387</v>
      </c>
      <c r="AE2249">
        <f>'raw data Crude oil'!AE2250</f>
        <v>66.168000000000006</v>
      </c>
      <c r="AF2249">
        <f>'raw data Crude oil'!AF2250</f>
        <v>66.039000000000001</v>
      </c>
      <c r="AG2249">
        <f>'raw data Crude oil'!AG2250</f>
        <v>65.936999999999998</v>
      </c>
      <c r="AH2249">
        <f>'raw data Crude oil'!AH2250</f>
        <v>65.837999999999994</v>
      </c>
      <c r="AI2249">
        <f>'raw data Crude oil'!AI2250</f>
        <v>65.768000000000001</v>
      </c>
      <c r="AJ2249">
        <f>'raw data Crude oil'!AJ2250</f>
        <v>65.709000000000003</v>
      </c>
      <c r="AK2249">
        <f>'raw data Crude oil'!AK2250</f>
        <v>65.66</v>
      </c>
    </row>
    <row r="2250" spans="1:37" x14ac:dyDescent="0.3">
      <c r="A2250" s="18">
        <f>'raw data Crude oil'!A2251</f>
        <v>45916</v>
      </c>
      <c r="B2250">
        <f>'raw data Crude oil'!B2251</f>
        <v>68.47</v>
      </c>
      <c r="C2250">
        <f>'raw data Crude oil'!C2251</f>
        <v>68.010000000000005</v>
      </c>
      <c r="D2250">
        <f>'raw data Crude oil'!D2251</f>
        <v>67.62</v>
      </c>
      <c r="E2250">
        <f>'raw data Crude oil'!E2251</f>
        <v>67.349999999999994</v>
      </c>
      <c r="F2250">
        <f>'raw data Crude oil'!F2251</f>
        <v>67.19</v>
      </c>
      <c r="G2250">
        <f>'raw data Crude oil'!G2251</f>
        <v>67.09</v>
      </c>
      <c r="H2250">
        <f>'raw data Crude oil'!H2251</f>
        <v>67.03</v>
      </c>
      <c r="I2250">
        <f>'raw data Crude oil'!I2251</f>
        <v>66.97</v>
      </c>
      <c r="J2250">
        <f>'raw data Crude oil'!J2251</f>
        <v>66.900000000000006</v>
      </c>
      <c r="K2250">
        <f>'raw data Crude oil'!K2251</f>
        <v>66.83</v>
      </c>
      <c r="L2250">
        <f>'raw data Crude oil'!L2251</f>
        <v>66.77</v>
      </c>
      <c r="M2250">
        <f>'raw data Crude oil'!M2251</f>
        <v>66.72</v>
      </c>
      <c r="N2250">
        <f>'raw data Crude oil'!N2251</f>
        <v>64.52</v>
      </c>
      <c r="O2250">
        <f>'raw data Crude oil'!O2251</f>
        <v>64.16</v>
      </c>
      <c r="P2250">
        <f>'raw data Crude oil'!P2251</f>
        <v>63.82</v>
      </c>
      <c r="Q2250">
        <f>'raw data Crude oil'!Q2251</f>
        <v>63.6</v>
      </c>
      <c r="R2250">
        <f>'raw data Crude oil'!R2251</f>
        <v>63.43</v>
      </c>
      <c r="S2250">
        <f>'raw data Crude oil'!S2251</f>
        <v>63.33</v>
      </c>
      <c r="T2250">
        <f>'raw data Crude oil'!T2251</f>
        <v>63.26</v>
      </c>
      <c r="U2250">
        <f>'raw data Crude oil'!U2251</f>
        <v>63.21</v>
      </c>
      <c r="V2250">
        <f>'raw data Crude oil'!V2251</f>
        <v>63.17</v>
      </c>
      <c r="W2250">
        <f>'raw data Crude oil'!W2251</f>
        <v>63.1</v>
      </c>
      <c r="X2250">
        <f>'raw data Crude oil'!X2251</f>
        <v>63.02</v>
      </c>
      <c r="Y2250">
        <f>'raw data Crude oil'!Y2251</f>
        <v>62.95</v>
      </c>
      <c r="Z2250">
        <f>'raw data Crude oil'!Z2251</f>
        <v>70.834999999999994</v>
      </c>
      <c r="AA2250">
        <f>'raw data Crude oil'!AA2251</f>
        <v>69.807000000000002</v>
      </c>
      <c r="AB2250">
        <f>'raw data Crude oil'!AB2251</f>
        <v>68.236000000000004</v>
      </c>
      <c r="AC2250">
        <f>'raw data Crude oil'!AC2251</f>
        <v>67.564999999999998</v>
      </c>
      <c r="AD2250">
        <f>'raw data Crude oil'!AD2251</f>
        <v>67.183999999999997</v>
      </c>
      <c r="AE2250">
        <f>'raw data Crude oil'!AE2251</f>
        <v>66.942999999999998</v>
      </c>
      <c r="AF2250">
        <f>'raw data Crude oil'!AF2251</f>
        <v>66.802999999999997</v>
      </c>
      <c r="AG2250">
        <f>'raw data Crude oil'!AG2251</f>
        <v>66.697000000000003</v>
      </c>
      <c r="AH2250">
        <f>'raw data Crude oil'!AH2251</f>
        <v>66.593000000000004</v>
      </c>
      <c r="AI2250">
        <f>'raw data Crude oil'!AI2251</f>
        <v>66.486999999999995</v>
      </c>
      <c r="AJ2250">
        <f>'raw data Crude oil'!AJ2251</f>
        <v>66.418000000000006</v>
      </c>
      <c r="AK2250">
        <f>'raw data Crude oil'!AK2251</f>
        <v>66.358000000000004</v>
      </c>
    </row>
    <row r="2251" spans="1:37" x14ac:dyDescent="0.3">
      <c r="A2251" s="18">
        <f>'raw data Crude oil'!A2252</f>
        <v>45917</v>
      </c>
      <c r="B2251">
        <f>'raw data Crude oil'!B2252</f>
        <v>67.95</v>
      </c>
      <c r="C2251">
        <f>'raw data Crude oil'!C2252</f>
        <v>67.459999999999994</v>
      </c>
      <c r="D2251">
        <f>'raw data Crude oil'!D2252</f>
        <v>67.069999999999993</v>
      </c>
      <c r="E2251">
        <f>'raw data Crude oil'!E2252</f>
        <v>66.78</v>
      </c>
      <c r="F2251">
        <f>'raw data Crude oil'!F2252</f>
        <v>66.62</v>
      </c>
      <c r="G2251">
        <f>'raw data Crude oil'!G2252</f>
        <v>66.510000000000005</v>
      </c>
      <c r="H2251">
        <f>'raw data Crude oil'!H2252</f>
        <v>66.44</v>
      </c>
      <c r="I2251">
        <f>'raw data Crude oil'!I2252</f>
        <v>66.37</v>
      </c>
      <c r="J2251">
        <f>'raw data Crude oil'!J2252</f>
        <v>66.290000000000006</v>
      </c>
      <c r="K2251">
        <f>'raw data Crude oil'!K2252</f>
        <v>66.209999999999994</v>
      </c>
      <c r="L2251">
        <f>'raw data Crude oil'!L2252</f>
        <v>66.150000000000006</v>
      </c>
      <c r="M2251">
        <f>'raw data Crude oil'!M2252</f>
        <v>66.099999999999994</v>
      </c>
      <c r="N2251">
        <f>'raw data Crude oil'!N2252</f>
        <v>64.05</v>
      </c>
      <c r="O2251">
        <f>'raw data Crude oil'!O2252</f>
        <v>63.7</v>
      </c>
      <c r="P2251">
        <f>'raw data Crude oil'!P2252</f>
        <v>63.32</v>
      </c>
      <c r="Q2251">
        <f>'raw data Crude oil'!Q2252</f>
        <v>63.08</v>
      </c>
      <c r="R2251">
        <f>'raw data Crude oil'!R2252</f>
        <v>62.89</v>
      </c>
      <c r="S2251">
        <f>'raw data Crude oil'!S2252</f>
        <v>62.76</v>
      </c>
      <c r="T2251">
        <f>'raw data Crude oil'!T2252</f>
        <v>62.67</v>
      </c>
      <c r="U2251">
        <f>'raw data Crude oil'!U2252</f>
        <v>62.6</v>
      </c>
      <c r="V2251">
        <f>'raw data Crude oil'!V2252</f>
        <v>62.55</v>
      </c>
      <c r="W2251">
        <f>'raw data Crude oil'!W2252</f>
        <v>62.47</v>
      </c>
      <c r="X2251">
        <f>'raw data Crude oil'!X2252</f>
        <v>62.38</v>
      </c>
      <c r="Y2251">
        <f>'raw data Crude oil'!Y2252</f>
        <v>62.31</v>
      </c>
      <c r="Z2251">
        <f>'raw data Crude oil'!Z2252</f>
        <v>70.468000000000004</v>
      </c>
      <c r="AA2251">
        <f>'raw data Crude oil'!AA2252</f>
        <v>69.150999999999996</v>
      </c>
      <c r="AB2251">
        <f>'raw data Crude oil'!AB2252</f>
        <v>67.644999999999996</v>
      </c>
      <c r="AC2251">
        <f>'raw data Crude oil'!AC2252</f>
        <v>66.978999999999999</v>
      </c>
      <c r="AD2251">
        <f>'raw data Crude oil'!AD2252</f>
        <v>66.603999999999999</v>
      </c>
      <c r="AE2251">
        <f>'raw data Crude oil'!AE2252</f>
        <v>66.353999999999999</v>
      </c>
      <c r="AF2251">
        <f>'raw data Crude oil'!AF2252</f>
        <v>66.212999999999994</v>
      </c>
      <c r="AG2251">
        <f>'raw data Crude oil'!AG2252</f>
        <v>66.096000000000004</v>
      </c>
      <c r="AH2251">
        <f>'raw data Crude oil'!AH2252</f>
        <v>65.981999999999999</v>
      </c>
      <c r="AI2251">
        <f>'raw data Crude oil'!AI2252</f>
        <v>65.867000000000004</v>
      </c>
      <c r="AJ2251">
        <f>'raw data Crude oil'!AJ2252</f>
        <v>65.798000000000002</v>
      </c>
      <c r="AK2251">
        <f>'raw data Crude oil'!AK2252</f>
        <v>65.738</v>
      </c>
    </row>
    <row r="2252" spans="1:37" x14ac:dyDescent="0.3">
      <c r="A2252" s="18">
        <f>'raw data Crude oil'!A2253</f>
        <v>45918</v>
      </c>
      <c r="B2252">
        <f>'raw data Crude oil'!B2253</f>
        <v>67.44</v>
      </c>
      <c r="C2252">
        <f>'raw data Crude oil'!C2253</f>
        <v>66.92</v>
      </c>
      <c r="D2252">
        <f>'raw data Crude oil'!D2253</f>
        <v>66.52</v>
      </c>
      <c r="E2252">
        <f>'raw data Crude oil'!E2253</f>
        <v>66.239999999999995</v>
      </c>
      <c r="F2252">
        <f>'raw data Crude oil'!F2253</f>
        <v>66.09</v>
      </c>
      <c r="G2252">
        <f>'raw data Crude oil'!G2253</f>
        <v>66</v>
      </c>
      <c r="H2252">
        <f>'raw data Crude oil'!H2253</f>
        <v>65.94</v>
      </c>
      <c r="I2252">
        <f>'raw data Crude oil'!I2253</f>
        <v>65.89</v>
      </c>
      <c r="J2252">
        <f>'raw data Crude oil'!J2253</f>
        <v>65.83</v>
      </c>
      <c r="K2252">
        <f>'raw data Crude oil'!K2253</f>
        <v>65.77</v>
      </c>
      <c r="L2252">
        <f>'raw data Crude oil'!L2253</f>
        <v>65.709999999999994</v>
      </c>
      <c r="M2252">
        <f>'raw data Crude oil'!M2253</f>
        <v>65.67</v>
      </c>
      <c r="N2252">
        <f>'raw data Crude oil'!N2253</f>
        <v>63.57</v>
      </c>
      <c r="O2252">
        <f>'raw data Crude oil'!O2253</f>
        <v>63.26</v>
      </c>
      <c r="P2252">
        <f>'raw data Crude oil'!P2253</f>
        <v>62.87</v>
      </c>
      <c r="Q2252">
        <f>'raw data Crude oil'!Q2253</f>
        <v>62.61</v>
      </c>
      <c r="R2252">
        <f>'raw data Crude oil'!R2253</f>
        <v>62.42</v>
      </c>
      <c r="S2252">
        <f>'raw data Crude oil'!S2253</f>
        <v>62.3</v>
      </c>
      <c r="T2252">
        <f>'raw data Crude oil'!T2253</f>
        <v>62.22</v>
      </c>
      <c r="U2252">
        <f>'raw data Crude oil'!U2253</f>
        <v>62.16</v>
      </c>
      <c r="V2252">
        <f>'raw data Crude oil'!V2253</f>
        <v>62.1</v>
      </c>
      <c r="W2252">
        <f>'raw data Crude oil'!W2253</f>
        <v>62.04</v>
      </c>
      <c r="X2252">
        <f>'raw data Crude oil'!X2253</f>
        <v>61.97</v>
      </c>
      <c r="Y2252">
        <f>'raw data Crude oil'!Y2253</f>
        <v>61.91</v>
      </c>
      <c r="Z2252">
        <f>'raw data Crude oil'!Z2253</f>
        <v>70.188000000000002</v>
      </c>
      <c r="AA2252">
        <f>'raw data Crude oil'!AA2253</f>
        <v>68.363</v>
      </c>
      <c r="AB2252">
        <f>'raw data Crude oil'!AB2253</f>
        <v>67.031999999999996</v>
      </c>
      <c r="AC2252">
        <f>'raw data Crude oil'!AC2253</f>
        <v>66.424999999999997</v>
      </c>
      <c r="AD2252">
        <f>'raw data Crude oil'!AD2253</f>
        <v>66.066000000000003</v>
      </c>
      <c r="AE2252">
        <f>'raw data Crude oil'!AE2253</f>
        <v>65.823999999999998</v>
      </c>
      <c r="AF2252">
        <f>'raw data Crude oil'!AF2253</f>
        <v>65.677999999999997</v>
      </c>
      <c r="AG2252">
        <f>'raw data Crude oil'!AG2253</f>
        <v>65.576999999999998</v>
      </c>
      <c r="AH2252">
        <f>'raw data Crude oil'!AH2253</f>
        <v>65.475999999999999</v>
      </c>
      <c r="AI2252">
        <f>'raw data Crude oil'!AI2253</f>
        <v>65.408000000000001</v>
      </c>
      <c r="AJ2252">
        <f>'raw data Crude oil'!AJ2253</f>
        <v>65.347999999999999</v>
      </c>
      <c r="AK2252">
        <f>'raw data Crude oil'!AK2253</f>
        <v>65.278999999999996</v>
      </c>
    </row>
    <row r="2253" spans="1:37" x14ac:dyDescent="0.3">
      <c r="A2253" s="18">
        <f>'raw data Crude oil'!A2254</f>
        <v>45919</v>
      </c>
      <c r="B2253">
        <f>'raw data Crude oil'!B2254</f>
        <v>66.680000000000007</v>
      </c>
      <c r="C2253">
        <f>'raw data Crude oil'!C2254</f>
        <v>66.040000000000006</v>
      </c>
      <c r="D2253">
        <f>'raw data Crude oil'!D2254</f>
        <v>65.599999999999994</v>
      </c>
      <c r="E2253">
        <f>'raw data Crude oil'!E2254</f>
        <v>65.33</v>
      </c>
      <c r="F2253">
        <f>'raw data Crude oil'!F2254</f>
        <v>65.19</v>
      </c>
      <c r="G2253">
        <f>'raw data Crude oil'!G2254</f>
        <v>65.13</v>
      </c>
      <c r="H2253">
        <f>'raw data Crude oil'!H2254</f>
        <v>65.09</v>
      </c>
      <c r="I2253">
        <f>'raw data Crude oil'!I2254</f>
        <v>65.06</v>
      </c>
      <c r="J2253">
        <f>'raw data Crude oil'!J2254</f>
        <v>65.010000000000005</v>
      </c>
      <c r="K2253">
        <f>'raw data Crude oil'!K2254</f>
        <v>64.959999999999994</v>
      </c>
      <c r="L2253">
        <f>'raw data Crude oil'!L2254</f>
        <v>64.92</v>
      </c>
      <c r="M2253">
        <f>'raw data Crude oil'!M2254</f>
        <v>64.89</v>
      </c>
      <c r="N2253">
        <f>'raw data Crude oil'!N2254</f>
        <v>62.68</v>
      </c>
      <c r="O2253">
        <f>'raw data Crude oil'!O2254</f>
        <v>62.4</v>
      </c>
      <c r="P2253">
        <f>'raw data Crude oil'!P2254</f>
        <v>61.98</v>
      </c>
      <c r="Q2253">
        <f>'raw data Crude oil'!Q2254</f>
        <v>61.7</v>
      </c>
      <c r="R2253">
        <f>'raw data Crude oil'!R2254</f>
        <v>61.52</v>
      </c>
      <c r="S2253">
        <f>'raw data Crude oil'!S2254</f>
        <v>61.43</v>
      </c>
      <c r="T2253">
        <f>'raw data Crude oil'!T2254</f>
        <v>61.38</v>
      </c>
      <c r="U2253">
        <f>'raw data Crude oil'!U2254</f>
        <v>61.36</v>
      </c>
      <c r="V2253">
        <f>'raw data Crude oil'!V2254</f>
        <v>61.34</v>
      </c>
      <c r="W2253">
        <f>'raw data Crude oil'!W2254</f>
        <v>61.29</v>
      </c>
      <c r="X2253">
        <f>'raw data Crude oil'!X2254</f>
        <v>61.23</v>
      </c>
      <c r="Y2253">
        <f>'raw data Crude oil'!Y2254</f>
        <v>61.18</v>
      </c>
      <c r="Z2253">
        <f>'raw data Crude oil'!Z2254</f>
        <v>69.823999999999998</v>
      </c>
      <c r="AA2253">
        <f>'raw data Crude oil'!AA2254</f>
        <v>67.513000000000005</v>
      </c>
      <c r="AB2253">
        <f>'raw data Crude oil'!AB2254</f>
        <v>66.183000000000007</v>
      </c>
      <c r="AC2253">
        <f>'raw data Crude oil'!AC2254</f>
        <v>65.576999999999998</v>
      </c>
      <c r="AD2253">
        <f>'raw data Crude oil'!AD2254</f>
        <v>65.207999999999998</v>
      </c>
      <c r="AE2253">
        <f>'raw data Crude oil'!AE2254</f>
        <v>64.97</v>
      </c>
      <c r="AF2253">
        <f>'raw data Crude oil'!AF2254</f>
        <v>64.846999999999994</v>
      </c>
      <c r="AG2253">
        <f>'raw data Crude oil'!AG2254</f>
        <v>64.748000000000005</v>
      </c>
      <c r="AH2253">
        <f>'raw data Crude oil'!AH2254</f>
        <v>64.656999999999996</v>
      </c>
      <c r="AI2253">
        <f>'raw data Crude oil'!AI2254</f>
        <v>64.599000000000004</v>
      </c>
      <c r="AJ2253">
        <f>'raw data Crude oil'!AJ2254</f>
        <v>64.558999999999997</v>
      </c>
      <c r="AK2253">
        <f>'raw data Crude oil'!AK2254</f>
        <v>64.5</v>
      </c>
    </row>
    <row r="2254" spans="1:37" x14ac:dyDescent="0.3">
      <c r="A2254" s="18">
        <f>'raw data Crude oil'!A2255</f>
        <v>45922</v>
      </c>
      <c r="B2254">
        <f>'raw data Crude oil'!B2255</f>
        <v>66.569999999999993</v>
      </c>
      <c r="C2254">
        <f>'raw data Crude oil'!C2255</f>
        <v>65.97</v>
      </c>
      <c r="D2254">
        <f>'raw data Crude oil'!D2255</f>
        <v>65.56</v>
      </c>
      <c r="E2254">
        <f>'raw data Crude oil'!E2255</f>
        <v>65.319999999999993</v>
      </c>
      <c r="F2254">
        <f>'raw data Crude oil'!F2255</f>
        <v>65.2</v>
      </c>
      <c r="G2254">
        <f>'raw data Crude oil'!G2255</f>
        <v>65.16</v>
      </c>
      <c r="H2254">
        <f>'raw data Crude oil'!H2255</f>
        <v>65.14</v>
      </c>
      <c r="I2254">
        <f>'raw data Crude oil'!I2255</f>
        <v>65.12</v>
      </c>
      <c r="J2254">
        <f>'raw data Crude oil'!J2255</f>
        <v>65.08</v>
      </c>
      <c r="K2254">
        <f>'raw data Crude oil'!K2255</f>
        <v>65.03</v>
      </c>
      <c r="L2254">
        <f>'raw data Crude oil'!L2255</f>
        <v>64.989999999999995</v>
      </c>
      <c r="M2254">
        <f>'raw data Crude oil'!M2255</f>
        <v>64.959999999999994</v>
      </c>
      <c r="N2254">
        <f>'raw data Crude oil'!N2255</f>
        <v>62.64</v>
      </c>
      <c r="O2254">
        <f>'raw data Crude oil'!O2255</f>
        <v>62.28</v>
      </c>
      <c r="P2254">
        <f>'raw data Crude oil'!P2255</f>
        <v>61.9</v>
      </c>
      <c r="Q2254">
        <f>'raw data Crude oil'!Q2255</f>
        <v>61.66</v>
      </c>
      <c r="R2254">
        <f>'raw data Crude oil'!R2255</f>
        <v>61.51</v>
      </c>
      <c r="S2254">
        <f>'raw data Crude oil'!S2255</f>
        <v>61.43</v>
      </c>
      <c r="T2254">
        <f>'raw data Crude oil'!T2255</f>
        <v>61.4</v>
      </c>
      <c r="U2254">
        <f>'raw data Crude oil'!U2255</f>
        <v>61.39</v>
      </c>
      <c r="V2254">
        <f>'raw data Crude oil'!V2255</f>
        <v>61.38</v>
      </c>
      <c r="W2254">
        <f>'raw data Crude oil'!W2255</f>
        <v>61.33</v>
      </c>
      <c r="X2254">
        <f>'raw data Crude oil'!X2255</f>
        <v>61.29</v>
      </c>
      <c r="Y2254">
        <f>'raw data Crude oil'!Y2255</f>
        <v>61.25</v>
      </c>
      <c r="Z2254">
        <f>'raw data Crude oil'!Z2255</f>
        <v>69.543999999999997</v>
      </c>
      <c r="AA2254">
        <f>'raw data Crude oil'!AA2255</f>
        <v>67.037000000000006</v>
      </c>
      <c r="AB2254">
        <f>'raw data Crude oil'!AB2255</f>
        <v>66.007000000000005</v>
      </c>
      <c r="AC2254">
        <f>'raw data Crude oil'!AC2255</f>
        <v>65.468999999999994</v>
      </c>
      <c r="AD2254">
        <f>'raw data Crude oil'!AD2255</f>
        <v>65.162000000000006</v>
      </c>
      <c r="AE2254">
        <f>'raw data Crude oil'!AE2255</f>
        <v>64.962999999999994</v>
      </c>
      <c r="AF2254">
        <f>'raw data Crude oil'!AF2255</f>
        <v>64.861000000000004</v>
      </c>
      <c r="AG2254">
        <f>'raw data Crude oil'!AG2255</f>
        <v>64.798000000000002</v>
      </c>
      <c r="AH2254">
        <f>'raw data Crude oil'!AH2255</f>
        <v>64.718000000000004</v>
      </c>
      <c r="AI2254">
        <f>'raw data Crude oil'!AI2255</f>
        <v>64.647999999999996</v>
      </c>
      <c r="AJ2254">
        <f>'raw data Crude oil'!AJ2255</f>
        <v>64.599000000000004</v>
      </c>
      <c r="AK2254">
        <f>'raw data Crude oil'!AK2255</f>
        <v>64.56</v>
      </c>
    </row>
    <row r="2255" spans="1:37" x14ac:dyDescent="0.3">
      <c r="A2255" s="18">
        <f>'raw data Crude oil'!A2256</f>
        <v>45923</v>
      </c>
      <c r="B2255">
        <f>'raw data Crude oil'!B2256</f>
        <v>67.63</v>
      </c>
      <c r="C2255">
        <f>'raw data Crude oil'!C2256</f>
        <v>66.97</v>
      </c>
      <c r="D2255">
        <f>'raw data Crude oil'!D2256</f>
        <v>66.5</v>
      </c>
      <c r="E2255">
        <f>'raw data Crude oil'!E2256</f>
        <v>66.19</v>
      </c>
      <c r="F2255">
        <f>'raw data Crude oil'!F2256</f>
        <v>66.03</v>
      </c>
      <c r="G2255">
        <f>'raw data Crude oil'!G2256</f>
        <v>65.95</v>
      </c>
      <c r="H2255">
        <f>'raw data Crude oil'!H2256</f>
        <v>65.900000000000006</v>
      </c>
      <c r="I2255">
        <f>'raw data Crude oil'!I2256</f>
        <v>65.84</v>
      </c>
      <c r="J2255">
        <f>'raw data Crude oil'!J2256</f>
        <v>65.77</v>
      </c>
      <c r="K2255">
        <f>'raw data Crude oil'!K2256</f>
        <v>65.7</v>
      </c>
      <c r="L2255">
        <f>'raw data Crude oil'!L2256</f>
        <v>65.63</v>
      </c>
      <c r="M2255">
        <f>'raw data Crude oil'!M2256</f>
        <v>65.58</v>
      </c>
      <c r="N2255">
        <f>'raw data Crude oil'!N2256</f>
        <v>63.41</v>
      </c>
      <c r="O2255">
        <f>'raw data Crude oil'!O2256</f>
        <v>62.93</v>
      </c>
      <c r="P2255">
        <f>'raw data Crude oil'!P2256</f>
        <v>62.62</v>
      </c>
      <c r="Q2255">
        <f>'raw data Crude oil'!Q2256</f>
        <v>62.41</v>
      </c>
      <c r="R2255">
        <f>'raw data Crude oil'!R2256</f>
        <v>62.28</v>
      </c>
      <c r="S2255">
        <f>'raw data Crude oil'!S2256</f>
        <v>62.21</v>
      </c>
      <c r="T2255">
        <f>'raw data Crude oil'!T2256</f>
        <v>62.16</v>
      </c>
      <c r="U2255">
        <f>'raw data Crude oil'!U2256</f>
        <v>62.13</v>
      </c>
      <c r="V2255">
        <f>'raw data Crude oil'!V2256</f>
        <v>62.06</v>
      </c>
      <c r="W2255">
        <f>'raw data Crude oil'!W2256</f>
        <v>61.98</v>
      </c>
      <c r="X2255">
        <f>'raw data Crude oil'!X2256</f>
        <v>61.93</v>
      </c>
      <c r="Y2255">
        <f>'raw data Crude oil'!Y2256</f>
        <v>61.87</v>
      </c>
      <c r="Z2255">
        <f>'raw data Crude oil'!Z2256</f>
        <v>70.016000000000005</v>
      </c>
      <c r="AA2255">
        <f>'raw data Crude oil'!AA2256</f>
        <v>68.655000000000001</v>
      </c>
      <c r="AB2255">
        <f>'raw data Crude oil'!AB2256</f>
        <v>67.284999999999997</v>
      </c>
      <c r="AC2255">
        <f>'raw data Crude oil'!AC2256</f>
        <v>66.594999999999999</v>
      </c>
      <c r="AD2255">
        <f>'raw data Crude oil'!AD2256</f>
        <v>66.215999999999994</v>
      </c>
      <c r="AE2255">
        <f>'raw data Crude oil'!AE2256</f>
        <v>65.968000000000004</v>
      </c>
      <c r="AF2255">
        <f>'raw data Crude oil'!AF2256</f>
        <v>65.831999999999994</v>
      </c>
      <c r="AG2255">
        <f>'raw data Crude oil'!AG2256</f>
        <v>65.721999999999994</v>
      </c>
      <c r="AH2255">
        <f>'raw data Crude oil'!AH2256</f>
        <v>65.602000000000004</v>
      </c>
      <c r="AI2255">
        <f>'raw data Crude oil'!AI2256</f>
        <v>65.471999999999994</v>
      </c>
      <c r="AJ2255">
        <f>'raw data Crude oil'!AJ2256</f>
        <v>65.382999999999996</v>
      </c>
      <c r="AK2255">
        <f>'raw data Crude oil'!AK2256</f>
        <v>65.313000000000002</v>
      </c>
    </row>
    <row r="2256" spans="1:37" x14ac:dyDescent="0.3">
      <c r="A2256" s="18">
        <f>'raw data Crude oil'!A2257</f>
        <v>45924</v>
      </c>
      <c r="B2256">
        <f>'raw data Crude oil'!B2257</f>
        <v>69.31</v>
      </c>
      <c r="C2256">
        <f>'raw data Crude oil'!C2257</f>
        <v>68.459999999999994</v>
      </c>
      <c r="D2256">
        <f>'raw data Crude oil'!D2257</f>
        <v>67.88</v>
      </c>
      <c r="E2256">
        <f>'raw data Crude oil'!E2257</f>
        <v>67.459999999999994</v>
      </c>
      <c r="F2256">
        <f>'raw data Crude oil'!F2257</f>
        <v>67.2</v>
      </c>
      <c r="G2256">
        <f>'raw data Crude oil'!G2257</f>
        <v>67.040000000000006</v>
      </c>
      <c r="H2256">
        <f>'raw data Crude oil'!H2257</f>
        <v>66.930000000000007</v>
      </c>
      <c r="I2256">
        <f>'raw data Crude oil'!I2257</f>
        <v>66.819999999999993</v>
      </c>
      <c r="J2256">
        <f>'raw data Crude oil'!J2257</f>
        <v>66.69</v>
      </c>
      <c r="K2256">
        <f>'raw data Crude oil'!K2257</f>
        <v>66.56</v>
      </c>
      <c r="L2256">
        <f>'raw data Crude oil'!L2257</f>
        <v>66.44</v>
      </c>
      <c r="M2256">
        <f>'raw data Crude oil'!M2257</f>
        <v>66.34</v>
      </c>
      <c r="N2256">
        <f>'raw data Crude oil'!N2257</f>
        <v>64.989999999999995</v>
      </c>
      <c r="O2256">
        <f>'raw data Crude oil'!O2257</f>
        <v>64.39</v>
      </c>
      <c r="P2256">
        <f>'raw data Crude oil'!P2257</f>
        <v>63.96</v>
      </c>
      <c r="Q2256">
        <f>'raw data Crude oil'!Q2257</f>
        <v>63.66</v>
      </c>
      <c r="R2256">
        <f>'raw data Crude oil'!R2257</f>
        <v>63.45</v>
      </c>
      <c r="S2256">
        <f>'raw data Crude oil'!S2257</f>
        <v>63.29</v>
      </c>
      <c r="T2256">
        <f>'raw data Crude oil'!T2257</f>
        <v>63.17</v>
      </c>
      <c r="U2256">
        <f>'raw data Crude oil'!U2257</f>
        <v>63.06</v>
      </c>
      <c r="V2256">
        <f>'raw data Crude oil'!V2257</f>
        <v>62.92</v>
      </c>
      <c r="W2256">
        <f>'raw data Crude oil'!W2257</f>
        <v>62.79</v>
      </c>
      <c r="X2256">
        <f>'raw data Crude oil'!X2257</f>
        <v>62.67</v>
      </c>
      <c r="Y2256">
        <f>'raw data Crude oil'!Y2257</f>
        <v>62.56</v>
      </c>
      <c r="Z2256">
        <f>'raw data Crude oil'!Z2257</f>
        <v>70.283000000000001</v>
      </c>
      <c r="AA2256">
        <f>'raw data Crude oil'!AA2257</f>
        <v>70.125</v>
      </c>
      <c r="AB2256">
        <f>'raw data Crude oil'!AB2257</f>
        <v>68.799000000000007</v>
      </c>
      <c r="AC2256">
        <f>'raw data Crude oil'!AC2257</f>
        <v>68.049000000000007</v>
      </c>
      <c r="AD2256">
        <f>'raw data Crude oil'!AD2257</f>
        <v>67.542000000000002</v>
      </c>
      <c r="AE2256">
        <f>'raw data Crude oil'!AE2257</f>
        <v>67.197000000000003</v>
      </c>
      <c r="AF2256">
        <f>'raw data Crude oil'!AF2257</f>
        <v>66.984999999999999</v>
      </c>
      <c r="AG2256">
        <f>'raw data Crude oil'!AG2257</f>
        <v>66.813000000000002</v>
      </c>
      <c r="AH2256">
        <f>'raw data Crude oil'!AH2257</f>
        <v>66.641000000000005</v>
      </c>
      <c r="AI2256">
        <f>'raw data Crude oil'!AI2257</f>
        <v>66.448999999999998</v>
      </c>
      <c r="AJ2256">
        <f>'raw data Crude oil'!AJ2257</f>
        <v>66.281000000000006</v>
      </c>
      <c r="AK2256">
        <f>'raw data Crude oil'!AK2257</f>
        <v>66.147999999999996</v>
      </c>
    </row>
    <row r="2257" spans="1:37" x14ac:dyDescent="0.3">
      <c r="A2257" s="18">
        <f>'raw data Crude oil'!A2258</f>
        <v>45925</v>
      </c>
      <c r="B2257">
        <f>'raw data Crude oil'!B2258</f>
        <v>69.42</v>
      </c>
      <c r="C2257">
        <f>'raw data Crude oil'!C2258</f>
        <v>68.58</v>
      </c>
      <c r="D2257">
        <f>'raw data Crude oil'!D2258</f>
        <v>68.03</v>
      </c>
      <c r="E2257">
        <f>'raw data Crude oil'!E2258</f>
        <v>67.64</v>
      </c>
      <c r="F2257">
        <f>'raw data Crude oil'!F2258</f>
        <v>67.38</v>
      </c>
      <c r="G2257">
        <f>'raw data Crude oil'!G2258</f>
        <v>67.23</v>
      </c>
      <c r="H2257">
        <f>'raw data Crude oil'!H2258</f>
        <v>67.13</v>
      </c>
      <c r="I2257">
        <f>'raw data Crude oil'!I2258</f>
        <v>67.02</v>
      </c>
      <c r="J2257">
        <f>'raw data Crude oil'!J2258</f>
        <v>66.89</v>
      </c>
      <c r="K2257">
        <f>'raw data Crude oil'!K2258</f>
        <v>66.760000000000005</v>
      </c>
      <c r="L2257">
        <f>'raw data Crude oil'!L2258</f>
        <v>66.650000000000006</v>
      </c>
      <c r="M2257">
        <f>'raw data Crude oil'!M2258</f>
        <v>66.55</v>
      </c>
      <c r="N2257">
        <f>'raw data Crude oil'!N2258</f>
        <v>64.98</v>
      </c>
      <c r="O2257">
        <f>'raw data Crude oil'!O2258</f>
        <v>64.400000000000006</v>
      </c>
      <c r="P2257">
        <f>'raw data Crude oil'!P2258</f>
        <v>64.010000000000005</v>
      </c>
      <c r="Q2257">
        <f>'raw data Crude oil'!Q2258</f>
        <v>63.73</v>
      </c>
      <c r="R2257">
        <f>'raw data Crude oil'!R2258</f>
        <v>63.53</v>
      </c>
      <c r="S2257">
        <f>'raw data Crude oil'!S2258</f>
        <v>63.39</v>
      </c>
      <c r="T2257">
        <f>'raw data Crude oil'!T2258</f>
        <v>63.27</v>
      </c>
      <c r="U2257">
        <f>'raw data Crude oil'!U2258</f>
        <v>63.16</v>
      </c>
      <c r="V2257">
        <f>'raw data Crude oil'!V2258</f>
        <v>63.02</v>
      </c>
      <c r="W2257">
        <f>'raw data Crude oil'!W2258</f>
        <v>62.88</v>
      </c>
      <c r="X2257">
        <f>'raw data Crude oil'!X2258</f>
        <v>62.76</v>
      </c>
      <c r="Y2257">
        <f>'raw data Crude oil'!Y2258</f>
        <v>62.65</v>
      </c>
      <c r="Z2257">
        <f>'raw data Crude oil'!Z2258</f>
        <v>70.242000000000004</v>
      </c>
      <c r="AA2257">
        <f>'raw data Crude oil'!AA2258</f>
        <v>69.965999999999994</v>
      </c>
      <c r="AB2257">
        <f>'raw data Crude oil'!AB2258</f>
        <v>68.861000000000004</v>
      </c>
      <c r="AC2257">
        <f>'raw data Crude oil'!AC2258</f>
        <v>68.186000000000007</v>
      </c>
      <c r="AD2257">
        <f>'raw data Crude oil'!AD2258</f>
        <v>67.686000000000007</v>
      </c>
      <c r="AE2257">
        <f>'raw data Crude oil'!AE2258</f>
        <v>67.349999999999994</v>
      </c>
      <c r="AF2257">
        <f>'raw data Crude oil'!AF2258</f>
        <v>67.156999999999996</v>
      </c>
      <c r="AG2257">
        <f>'raw data Crude oil'!AG2258</f>
        <v>66.986999999999995</v>
      </c>
      <c r="AH2257">
        <f>'raw data Crude oil'!AH2258</f>
        <v>66.820999999999998</v>
      </c>
      <c r="AI2257">
        <f>'raw data Crude oil'!AI2258</f>
        <v>66.635000000000005</v>
      </c>
      <c r="AJ2257">
        <f>'raw data Crude oil'!AJ2258</f>
        <v>66.486000000000004</v>
      </c>
      <c r="AK2257">
        <f>'raw data Crude oil'!AK2258</f>
        <v>66.352999999999994</v>
      </c>
    </row>
    <row r="2258" spans="1:37" x14ac:dyDescent="0.3">
      <c r="A2258" s="18">
        <f>'raw data Crude oil'!A2259</f>
        <v>45926</v>
      </c>
      <c r="B2258">
        <f>'raw data Crude oil'!B2259</f>
        <v>70.13</v>
      </c>
      <c r="C2258">
        <f>'raw data Crude oil'!C2259</f>
        <v>69.22</v>
      </c>
      <c r="D2258">
        <f>'raw data Crude oil'!D2259</f>
        <v>68.650000000000006</v>
      </c>
      <c r="E2258">
        <f>'raw data Crude oil'!E2259</f>
        <v>68.23</v>
      </c>
      <c r="F2258">
        <f>'raw data Crude oil'!F2259</f>
        <v>67.95</v>
      </c>
      <c r="G2258">
        <f>'raw data Crude oil'!G2259</f>
        <v>67.790000000000006</v>
      </c>
      <c r="H2258">
        <f>'raw data Crude oil'!H2259</f>
        <v>67.67</v>
      </c>
      <c r="I2258">
        <f>'raw data Crude oil'!I2259</f>
        <v>67.56</v>
      </c>
      <c r="J2258">
        <f>'raw data Crude oil'!J2259</f>
        <v>67.430000000000007</v>
      </c>
      <c r="K2258">
        <f>'raw data Crude oil'!K2259</f>
        <v>67.3</v>
      </c>
      <c r="L2258">
        <f>'raw data Crude oil'!L2259</f>
        <v>67.19</v>
      </c>
      <c r="M2258">
        <f>'raw data Crude oil'!M2259</f>
        <v>67.09</v>
      </c>
      <c r="N2258">
        <f>'raw data Crude oil'!N2259</f>
        <v>65.72</v>
      </c>
      <c r="O2258">
        <f>'raw data Crude oil'!O2259</f>
        <v>65.14</v>
      </c>
      <c r="P2258">
        <f>'raw data Crude oil'!P2259</f>
        <v>64.73</v>
      </c>
      <c r="Q2258">
        <f>'raw data Crude oil'!Q2259</f>
        <v>64.41</v>
      </c>
      <c r="R2258">
        <f>'raw data Crude oil'!R2259</f>
        <v>64.180000000000007</v>
      </c>
      <c r="S2258">
        <f>'raw data Crude oil'!S2259</f>
        <v>64.03</v>
      </c>
      <c r="T2258">
        <f>'raw data Crude oil'!T2259</f>
        <v>63.91</v>
      </c>
      <c r="U2258">
        <f>'raw data Crude oil'!U2259</f>
        <v>63.79</v>
      </c>
      <c r="V2258">
        <f>'raw data Crude oil'!V2259</f>
        <v>63.65</v>
      </c>
      <c r="W2258">
        <f>'raw data Crude oil'!W2259</f>
        <v>63.51</v>
      </c>
      <c r="X2258">
        <f>'raw data Crude oil'!X2259</f>
        <v>63.38</v>
      </c>
      <c r="Y2258">
        <f>'raw data Crude oil'!Y2259</f>
        <v>63.26</v>
      </c>
      <c r="Z2258">
        <f>'raw data Crude oil'!Z2259</f>
        <v>70.248000000000005</v>
      </c>
      <c r="AA2258">
        <f>'raw data Crude oil'!AA2259</f>
        <v>70.180000000000007</v>
      </c>
      <c r="AB2258">
        <f>'raw data Crude oil'!AB2259</f>
        <v>69.22</v>
      </c>
      <c r="AC2258">
        <f>'raw data Crude oil'!AC2259</f>
        <v>68.625</v>
      </c>
      <c r="AD2258">
        <f>'raw data Crude oil'!AD2259</f>
        <v>68.155000000000001</v>
      </c>
      <c r="AE2258">
        <f>'raw data Crude oil'!AE2259</f>
        <v>67.841999999999999</v>
      </c>
      <c r="AF2258">
        <f>'raw data Crude oil'!AF2259</f>
        <v>67.647000000000006</v>
      </c>
      <c r="AG2258">
        <f>'raw data Crude oil'!AG2259</f>
        <v>67.483999999999995</v>
      </c>
      <c r="AH2258">
        <f>'raw data Crude oil'!AH2259</f>
        <v>67.323999999999998</v>
      </c>
      <c r="AI2258">
        <f>'raw data Crude oil'!AI2259</f>
        <v>67.155000000000001</v>
      </c>
      <c r="AJ2258">
        <f>'raw data Crude oil'!AJ2259</f>
        <v>67.006</v>
      </c>
      <c r="AK2258">
        <f>'raw data Crude oil'!AK2259</f>
        <v>66.882999999999996</v>
      </c>
    </row>
    <row r="2259" spans="1:37" x14ac:dyDescent="0.3">
      <c r="A2259" s="18">
        <f>'raw data Crude oil'!A2260</f>
        <v>45929</v>
      </c>
      <c r="B2259">
        <f>'raw data Crude oil'!B2260</f>
        <v>67.97</v>
      </c>
      <c r="C2259">
        <f>'raw data Crude oil'!C2260</f>
        <v>67.09</v>
      </c>
      <c r="D2259">
        <f>'raw data Crude oil'!D2260</f>
        <v>66.67</v>
      </c>
      <c r="E2259">
        <f>'raw data Crude oil'!E2260</f>
        <v>66.349999999999994</v>
      </c>
      <c r="F2259">
        <f>'raw data Crude oil'!F2260</f>
        <v>66.150000000000006</v>
      </c>
      <c r="G2259">
        <f>'raw data Crude oil'!G2260</f>
        <v>66.05</v>
      </c>
      <c r="H2259">
        <f>'raw data Crude oil'!H2260</f>
        <v>65.989999999999995</v>
      </c>
      <c r="I2259">
        <f>'raw data Crude oil'!I2260</f>
        <v>65.930000000000007</v>
      </c>
      <c r="J2259">
        <f>'raw data Crude oil'!J2260</f>
        <v>65.849999999999994</v>
      </c>
      <c r="K2259">
        <f>'raw data Crude oil'!K2260</f>
        <v>65.77</v>
      </c>
      <c r="L2259">
        <f>'raw data Crude oil'!L2260</f>
        <v>65.7</v>
      </c>
      <c r="M2259">
        <f>'raw data Crude oil'!M2260</f>
        <v>65.64</v>
      </c>
      <c r="N2259">
        <f>'raw data Crude oil'!N2260</f>
        <v>63.45</v>
      </c>
      <c r="O2259">
        <f>'raw data Crude oil'!O2260</f>
        <v>63.01</v>
      </c>
      <c r="P2259">
        <f>'raw data Crude oil'!P2260</f>
        <v>62.72</v>
      </c>
      <c r="Q2259">
        <f>'raw data Crude oil'!Q2260</f>
        <v>62.51</v>
      </c>
      <c r="R2259">
        <f>'raw data Crude oil'!R2260</f>
        <v>62.37</v>
      </c>
      <c r="S2259">
        <f>'raw data Crude oil'!S2260</f>
        <v>62.28</v>
      </c>
      <c r="T2259">
        <f>'raw data Crude oil'!T2260</f>
        <v>62.21</v>
      </c>
      <c r="U2259">
        <f>'raw data Crude oil'!U2260</f>
        <v>62.14</v>
      </c>
      <c r="V2259">
        <f>'raw data Crude oil'!V2260</f>
        <v>62.05</v>
      </c>
      <c r="W2259">
        <f>'raw data Crude oil'!W2260</f>
        <v>61.96</v>
      </c>
      <c r="X2259">
        <f>'raw data Crude oil'!X2260</f>
        <v>61.88</v>
      </c>
      <c r="Y2259">
        <f>'raw data Crude oil'!Y2260</f>
        <v>61.81</v>
      </c>
      <c r="Z2259">
        <f>'raw data Crude oil'!Z2260</f>
        <v>69.998000000000005</v>
      </c>
      <c r="AA2259">
        <f>'raw data Crude oil'!AA2260</f>
        <v>67.804000000000002</v>
      </c>
      <c r="AB2259">
        <f>'raw data Crude oil'!AB2260</f>
        <v>67.114000000000004</v>
      </c>
      <c r="AC2259">
        <f>'raw data Crude oil'!AC2260</f>
        <v>66.623999999999995</v>
      </c>
      <c r="AD2259">
        <f>'raw data Crude oil'!AD2260</f>
        <v>66.28</v>
      </c>
      <c r="AE2259">
        <f>'raw data Crude oil'!AE2260</f>
        <v>66.046999999999997</v>
      </c>
      <c r="AF2259">
        <f>'raw data Crude oil'!AF2260</f>
        <v>65.921999999999997</v>
      </c>
      <c r="AG2259">
        <f>'raw data Crude oil'!AG2260</f>
        <v>65.820999999999998</v>
      </c>
      <c r="AH2259">
        <f>'raw data Crude oil'!AH2260</f>
        <v>65.715999999999994</v>
      </c>
      <c r="AI2259">
        <f>'raw data Crude oil'!AI2260</f>
        <v>65.611999999999995</v>
      </c>
      <c r="AJ2259">
        <f>'raw data Crude oil'!AJ2260</f>
        <v>65.516999999999996</v>
      </c>
      <c r="AK2259">
        <f>'raw data Crude oil'!AK2260</f>
        <v>65.438000000000002</v>
      </c>
    </row>
    <row r="2260" spans="1:37" x14ac:dyDescent="0.3">
      <c r="A2260" s="18">
        <f>'raw data Crude oil'!A2261</f>
        <v>45930</v>
      </c>
      <c r="B2260">
        <f>'raw data Crude oil'!B2261</f>
        <v>67.02</v>
      </c>
      <c r="C2260">
        <f>'raw data Crude oil'!C2261</f>
        <v>66.03</v>
      </c>
      <c r="D2260">
        <f>'raw data Crude oil'!D2261</f>
        <v>65.62</v>
      </c>
      <c r="E2260">
        <f>'raw data Crude oil'!E2261</f>
        <v>65.319999999999993</v>
      </c>
      <c r="F2260">
        <f>'raw data Crude oil'!F2261</f>
        <v>65.14</v>
      </c>
      <c r="G2260">
        <f>'raw data Crude oil'!G2261</f>
        <v>65.06</v>
      </c>
      <c r="H2260">
        <f>'raw data Crude oil'!H2261</f>
        <v>65.02</v>
      </c>
      <c r="I2260">
        <f>'raw data Crude oil'!I2261</f>
        <v>64.989999999999995</v>
      </c>
      <c r="J2260">
        <f>'raw data Crude oil'!J2261</f>
        <v>64.94</v>
      </c>
      <c r="K2260">
        <f>'raw data Crude oil'!K2261</f>
        <v>64.89</v>
      </c>
      <c r="L2260">
        <f>'raw data Crude oil'!L2261</f>
        <v>64.849999999999994</v>
      </c>
      <c r="M2260">
        <f>'raw data Crude oil'!M2261</f>
        <v>64.819999999999993</v>
      </c>
      <c r="N2260">
        <f>'raw data Crude oil'!N2261</f>
        <v>62.37</v>
      </c>
      <c r="O2260">
        <f>'raw data Crude oil'!O2261</f>
        <v>61.96</v>
      </c>
      <c r="P2260">
        <f>'raw data Crude oil'!P2261</f>
        <v>61.68</v>
      </c>
      <c r="Q2260">
        <f>'raw data Crude oil'!Q2261</f>
        <v>61.48</v>
      </c>
      <c r="R2260">
        <f>'raw data Crude oil'!R2261</f>
        <v>61.36</v>
      </c>
      <c r="S2260">
        <f>'raw data Crude oil'!S2261</f>
        <v>61.29</v>
      </c>
      <c r="T2260">
        <f>'raw data Crude oil'!T2261</f>
        <v>61.26</v>
      </c>
      <c r="U2260">
        <f>'raw data Crude oil'!U2261</f>
        <v>61.22</v>
      </c>
      <c r="V2260">
        <f>'raw data Crude oil'!V2261</f>
        <v>61.16</v>
      </c>
      <c r="W2260">
        <f>'raw data Crude oil'!W2261</f>
        <v>61.1</v>
      </c>
      <c r="X2260">
        <f>'raw data Crude oil'!X2261</f>
        <v>61.05</v>
      </c>
      <c r="Y2260">
        <f>'raw data Crude oil'!Y2261</f>
        <v>61.01</v>
      </c>
      <c r="Z2260">
        <f>'raw data Crude oil'!Z2261</f>
        <v>70.010999999999996</v>
      </c>
      <c r="AA2260">
        <f>'raw data Crude oil'!AA2261</f>
        <v>66.784000000000006</v>
      </c>
      <c r="AB2260">
        <f>'raw data Crude oil'!AB2261</f>
        <v>66.114999999999995</v>
      </c>
      <c r="AC2260">
        <f>'raw data Crude oil'!AC2261</f>
        <v>65.677000000000007</v>
      </c>
      <c r="AD2260">
        <f>'raw data Crude oil'!AD2261</f>
        <v>65.346000000000004</v>
      </c>
      <c r="AE2260">
        <f>'raw data Crude oil'!AE2261</f>
        <v>65.125</v>
      </c>
      <c r="AF2260">
        <f>'raw data Crude oil'!AF2261</f>
        <v>65.013999999999996</v>
      </c>
      <c r="AG2260">
        <f>'raw data Crude oil'!AG2261</f>
        <v>64.918000000000006</v>
      </c>
      <c r="AH2260">
        <f>'raw data Crude oil'!AH2261</f>
        <v>64.837999999999994</v>
      </c>
      <c r="AI2260">
        <f>'raw data Crude oil'!AI2261</f>
        <v>64.757999999999996</v>
      </c>
      <c r="AJ2260">
        <f>'raw data Crude oil'!AJ2261</f>
        <v>64.688999999999993</v>
      </c>
      <c r="AK2260">
        <f>'raw data Crude oil'!AK2261</f>
        <v>64.63</v>
      </c>
    </row>
    <row r="2261" spans="1:37" x14ac:dyDescent="0.3">
      <c r="A2261" s="18">
        <f>'raw data Crude oil'!A2262</f>
        <v>45931</v>
      </c>
      <c r="B2261">
        <f>'raw data Crude oil'!B2262</f>
        <v>65.349999999999994</v>
      </c>
      <c r="C2261">
        <f>'raw data Crude oil'!C2262</f>
        <v>65</v>
      </c>
      <c r="D2261">
        <f>'raw data Crude oil'!D2262</f>
        <v>64.75</v>
      </c>
      <c r="E2261">
        <f>'raw data Crude oil'!E2262</f>
        <v>64.62</v>
      </c>
      <c r="F2261">
        <f>'raw data Crude oil'!F2262</f>
        <v>64.569999999999993</v>
      </c>
      <c r="G2261">
        <f>'raw data Crude oil'!G2262</f>
        <v>64.55</v>
      </c>
      <c r="H2261">
        <f>'raw data Crude oil'!H2262</f>
        <v>64.53</v>
      </c>
      <c r="I2261">
        <f>'raw data Crude oil'!I2262</f>
        <v>64.510000000000005</v>
      </c>
      <c r="J2261">
        <f>'raw data Crude oil'!J2262</f>
        <v>64.48</v>
      </c>
      <c r="K2261">
        <f>'raw data Crude oil'!K2262</f>
        <v>64.45</v>
      </c>
      <c r="L2261">
        <f>'raw data Crude oil'!L2262</f>
        <v>64.430000000000007</v>
      </c>
      <c r="M2261">
        <f>'raw data Crude oil'!M2262</f>
        <v>64.45</v>
      </c>
      <c r="N2261">
        <f>'raw data Crude oil'!N2262</f>
        <v>61.78</v>
      </c>
      <c r="O2261">
        <f>'raw data Crude oil'!O2262</f>
        <v>61.39</v>
      </c>
      <c r="P2261">
        <f>'raw data Crude oil'!P2262</f>
        <v>61.14</v>
      </c>
      <c r="Q2261">
        <f>'raw data Crude oil'!Q2262</f>
        <v>60.98</v>
      </c>
      <c r="R2261">
        <f>'raw data Crude oil'!R2262</f>
        <v>60.89</v>
      </c>
      <c r="S2261">
        <f>'raw data Crude oil'!S2262</f>
        <v>60.85</v>
      </c>
      <c r="T2261">
        <f>'raw data Crude oil'!T2262</f>
        <v>60.83</v>
      </c>
      <c r="U2261">
        <f>'raw data Crude oil'!U2262</f>
        <v>60.82</v>
      </c>
      <c r="V2261">
        <f>'raw data Crude oil'!V2262</f>
        <v>60.79</v>
      </c>
      <c r="W2261">
        <f>'raw data Crude oil'!W2262</f>
        <v>60.74</v>
      </c>
      <c r="X2261">
        <f>'raw data Crude oil'!X2262</f>
        <v>60.7</v>
      </c>
      <c r="Y2261">
        <f>'raw data Crude oil'!Y2262</f>
        <v>60.67</v>
      </c>
      <c r="Z2261">
        <f>'raw data Crude oil'!Z2262</f>
        <v>70.010999999999996</v>
      </c>
      <c r="AA2261">
        <f>'raw data Crude oil'!AA2262</f>
        <v>65.442999999999998</v>
      </c>
      <c r="AB2261">
        <f>'raw data Crude oil'!AB2262</f>
        <v>65.019000000000005</v>
      </c>
      <c r="AC2261">
        <f>'raw data Crude oil'!AC2262</f>
        <v>64.75</v>
      </c>
      <c r="AD2261">
        <f>'raw data Crude oil'!AD2262</f>
        <v>64.56</v>
      </c>
      <c r="AE2261">
        <f>'raw data Crude oil'!AE2262</f>
        <v>64.453000000000003</v>
      </c>
      <c r="AF2261">
        <f>'raw data Crude oil'!AF2262</f>
        <v>64.403000000000006</v>
      </c>
      <c r="AG2261">
        <f>'raw data Crude oil'!AG2262</f>
        <v>64.358999999999995</v>
      </c>
      <c r="AH2261">
        <f>'raw data Crude oil'!AH2262</f>
        <v>64.328000000000003</v>
      </c>
      <c r="AI2261">
        <f>'raw data Crude oil'!AI2262</f>
        <v>64.289000000000001</v>
      </c>
      <c r="AJ2261">
        <f>'raw data Crude oil'!AJ2262</f>
        <v>64.248999999999995</v>
      </c>
      <c r="AK2261">
        <f>'raw data Crude oil'!AK2262</f>
        <v>64.221999999999994</v>
      </c>
    </row>
    <row r="2262" spans="1:37" x14ac:dyDescent="0.3">
      <c r="A2262" s="18">
        <f>'raw data Crude oil'!A2263</f>
        <v>45932</v>
      </c>
      <c r="B2262">
        <f>'raw data Crude oil'!B2263</f>
        <v>64.11</v>
      </c>
      <c r="C2262">
        <f>'raw data Crude oil'!C2263</f>
        <v>63.81</v>
      </c>
      <c r="D2262">
        <f>'raw data Crude oil'!D2263</f>
        <v>63.63</v>
      </c>
      <c r="E2262">
        <f>'raw data Crude oil'!E2263</f>
        <v>63.56</v>
      </c>
      <c r="F2262">
        <f>'raw data Crude oil'!F2263</f>
        <v>63.57</v>
      </c>
      <c r="G2262">
        <f>'raw data Crude oil'!G2263</f>
        <v>63.61</v>
      </c>
      <c r="H2262">
        <f>'raw data Crude oil'!H2263</f>
        <v>63.65</v>
      </c>
      <c r="I2262">
        <f>'raw data Crude oil'!I2263</f>
        <v>63.66</v>
      </c>
      <c r="J2262">
        <f>'raw data Crude oil'!J2263</f>
        <v>63.67</v>
      </c>
      <c r="K2262">
        <f>'raw data Crude oil'!K2263</f>
        <v>63.67</v>
      </c>
      <c r="L2262">
        <f>'raw data Crude oil'!L2263</f>
        <v>63.67</v>
      </c>
      <c r="M2262">
        <f>'raw data Crude oil'!M2263</f>
        <v>63.7</v>
      </c>
      <c r="N2262">
        <f>'raw data Crude oil'!N2263</f>
        <v>60.48</v>
      </c>
      <c r="O2262">
        <f>'raw data Crude oil'!O2263</f>
        <v>60.16</v>
      </c>
      <c r="P2262">
        <f>'raw data Crude oil'!P2263</f>
        <v>59.99</v>
      </c>
      <c r="Q2262">
        <f>'raw data Crude oil'!Q2263</f>
        <v>59.89</v>
      </c>
      <c r="R2262">
        <f>'raw data Crude oil'!R2263</f>
        <v>59.86</v>
      </c>
      <c r="S2262">
        <f>'raw data Crude oil'!S2263</f>
        <v>59.87</v>
      </c>
      <c r="T2262">
        <f>'raw data Crude oil'!T2263</f>
        <v>59.9</v>
      </c>
      <c r="U2262">
        <f>'raw data Crude oil'!U2263</f>
        <v>59.94</v>
      </c>
      <c r="V2262">
        <f>'raw data Crude oil'!V2263</f>
        <v>59.95</v>
      </c>
      <c r="W2262">
        <f>'raw data Crude oil'!W2263</f>
        <v>59.94</v>
      </c>
      <c r="X2262">
        <f>'raw data Crude oil'!X2263</f>
        <v>59.93</v>
      </c>
      <c r="Y2262">
        <f>'raw data Crude oil'!Y2263</f>
        <v>59.92</v>
      </c>
      <c r="Z2262">
        <f>'raw data Crude oil'!Z2263</f>
        <v>64.021000000000001</v>
      </c>
      <c r="AA2262">
        <f>'raw data Crude oil'!AA2263</f>
        <v>63.420999999999999</v>
      </c>
      <c r="AB2262">
        <f>'raw data Crude oil'!AB2263</f>
        <v>63.274000000000001</v>
      </c>
      <c r="AC2262">
        <f>'raw data Crude oil'!AC2263</f>
        <v>63.22</v>
      </c>
      <c r="AD2262">
        <f>'raw data Crude oil'!AD2263</f>
        <v>63.216000000000001</v>
      </c>
      <c r="AE2262">
        <f>'raw data Crude oil'!AE2263</f>
        <v>63.244999999999997</v>
      </c>
      <c r="AF2262">
        <f>'raw data Crude oil'!AF2263</f>
        <v>63.28</v>
      </c>
      <c r="AG2262">
        <f>'raw data Crude oil'!AG2263</f>
        <v>63.28</v>
      </c>
      <c r="AH2262">
        <f>'raw data Crude oil'!AH2263</f>
        <v>63.280999999999999</v>
      </c>
      <c r="AI2262">
        <f>'raw data Crude oil'!AI2263</f>
        <v>63.28</v>
      </c>
      <c r="AJ2262">
        <f>'raw data Crude oil'!AJ2263</f>
        <v>63.273000000000003</v>
      </c>
      <c r="AK2262">
        <f>'raw data Crude oil'!AK2263</f>
        <v>63.290999999999997</v>
      </c>
    </row>
    <row r="2263" spans="1:37" x14ac:dyDescent="0.3">
      <c r="A2263" s="18">
        <f>'raw data Crude oil'!A2264</f>
        <v>45933</v>
      </c>
      <c r="B2263">
        <f>'raw data Crude oil'!B2264</f>
        <v>64.53</v>
      </c>
      <c r="C2263">
        <f>'raw data Crude oil'!C2264</f>
        <v>64.16</v>
      </c>
      <c r="D2263">
        <f>'raw data Crude oil'!D2264</f>
        <v>63.94</v>
      </c>
      <c r="E2263">
        <f>'raw data Crude oil'!E2264</f>
        <v>63.84</v>
      </c>
      <c r="F2263">
        <f>'raw data Crude oil'!F2264</f>
        <v>63.83</v>
      </c>
      <c r="G2263">
        <f>'raw data Crude oil'!G2264</f>
        <v>63.86</v>
      </c>
      <c r="H2263">
        <f>'raw data Crude oil'!H2264</f>
        <v>63.88</v>
      </c>
      <c r="I2263">
        <f>'raw data Crude oil'!I2264</f>
        <v>63.88</v>
      </c>
      <c r="J2263">
        <f>'raw data Crude oil'!J2264</f>
        <v>63.88</v>
      </c>
      <c r="K2263">
        <f>'raw data Crude oil'!K2264</f>
        <v>63.88</v>
      </c>
      <c r="L2263">
        <f>'raw data Crude oil'!L2264</f>
        <v>63.87</v>
      </c>
      <c r="M2263">
        <f>'raw data Crude oil'!M2264</f>
        <v>63.9</v>
      </c>
      <c r="N2263">
        <f>'raw data Crude oil'!N2264</f>
        <v>60.88</v>
      </c>
      <c r="O2263">
        <f>'raw data Crude oil'!O2264</f>
        <v>60.53</v>
      </c>
      <c r="P2263">
        <f>'raw data Crude oil'!P2264</f>
        <v>60.34</v>
      </c>
      <c r="Q2263">
        <f>'raw data Crude oil'!Q2264</f>
        <v>60.22</v>
      </c>
      <c r="R2263">
        <f>'raw data Crude oil'!R2264</f>
        <v>60.16</v>
      </c>
      <c r="S2263">
        <f>'raw data Crude oil'!S2264</f>
        <v>60.15</v>
      </c>
      <c r="T2263">
        <f>'raw data Crude oil'!T2264</f>
        <v>60.18</v>
      </c>
      <c r="U2263">
        <f>'raw data Crude oil'!U2264</f>
        <v>60.2</v>
      </c>
      <c r="V2263">
        <f>'raw data Crude oil'!V2264</f>
        <v>60.2</v>
      </c>
      <c r="W2263">
        <f>'raw data Crude oil'!W2264</f>
        <v>60.19</v>
      </c>
      <c r="X2263">
        <f>'raw data Crude oil'!X2264</f>
        <v>60.17</v>
      </c>
      <c r="Y2263">
        <f>'raw data Crude oil'!Y2264</f>
        <v>60.16</v>
      </c>
      <c r="Z2263">
        <f>'raw data Crude oil'!Z2264</f>
        <v>64.628</v>
      </c>
      <c r="AA2263">
        <f>'raw data Crude oil'!AA2264</f>
        <v>64.069000000000003</v>
      </c>
      <c r="AB2263">
        <f>'raw data Crude oil'!AB2264</f>
        <v>63.790999999999997</v>
      </c>
      <c r="AC2263">
        <f>'raw data Crude oil'!AC2264</f>
        <v>63.621000000000002</v>
      </c>
      <c r="AD2263">
        <f>'raw data Crude oil'!AD2264</f>
        <v>63.551000000000002</v>
      </c>
      <c r="AE2263">
        <f>'raw data Crude oil'!AE2264</f>
        <v>63.540999999999997</v>
      </c>
      <c r="AF2263">
        <f>'raw data Crude oil'!AF2264</f>
        <v>63.54</v>
      </c>
      <c r="AG2263">
        <f>'raw data Crude oil'!AG2264</f>
        <v>63.52</v>
      </c>
      <c r="AH2263">
        <f>'raw data Crude oil'!AH2264</f>
        <v>63.51</v>
      </c>
      <c r="AI2263">
        <f>'raw data Crude oil'!AI2264</f>
        <v>63.5</v>
      </c>
      <c r="AJ2263">
        <f>'raw data Crude oil'!AJ2264</f>
        <v>63.482999999999997</v>
      </c>
      <c r="AK2263">
        <f>'raw data Crude oil'!AK2264</f>
        <v>63.502000000000002</v>
      </c>
    </row>
    <row r="2264" spans="1:37" x14ac:dyDescent="0.3">
      <c r="A2264" s="18">
        <f>'raw data Crude oil'!A2265</f>
        <v>45936</v>
      </c>
      <c r="B2264">
        <f>'raw data Crude oil'!B2265</f>
        <v>65.47</v>
      </c>
      <c r="C2264">
        <f>'raw data Crude oil'!C2265</f>
        <v>65.069999999999993</v>
      </c>
      <c r="D2264">
        <f>'raw data Crude oil'!D2265</f>
        <v>64.819999999999993</v>
      </c>
      <c r="E2264">
        <f>'raw data Crude oil'!E2265</f>
        <v>64.7</v>
      </c>
      <c r="F2264">
        <f>'raw data Crude oil'!F2265</f>
        <v>64.67</v>
      </c>
      <c r="G2264">
        <f>'raw data Crude oil'!G2265</f>
        <v>64.680000000000007</v>
      </c>
      <c r="H2264">
        <f>'raw data Crude oil'!H2265</f>
        <v>64.69</v>
      </c>
      <c r="I2264">
        <f>'raw data Crude oil'!I2265</f>
        <v>64.680000000000007</v>
      </c>
      <c r="J2264">
        <f>'raw data Crude oil'!J2265</f>
        <v>64.66</v>
      </c>
      <c r="K2264">
        <f>'raw data Crude oil'!K2265</f>
        <v>64.64</v>
      </c>
      <c r="L2264">
        <f>'raw data Crude oil'!L2265</f>
        <v>64.62</v>
      </c>
      <c r="M2264">
        <f>'raw data Crude oil'!M2265</f>
        <v>64.64</v>
      </c>
      <c r="N2264">
        <f>'raw data Crude oil'!N2265</f>
        <v>61.69</v>
      </c>
      <c r="O2264">
        <f>'raw data Crude oil'!O2265</f>
        <v>61.34</v>
      </c>
      <c r="P2264">
        <f>'raw data Crude oil'!P2265</f>
        <v>61.13</v>
      </c>
      <c r="Q2264">
        <f>'raw data Crude oil'!Q2265</f>
        <v>61</v>
      </c>
      <c r="R2264">
        <f>'raw data Crude oil'!R2265</f>
        <v>60.93</v>
      </c>
      <c r="S2264">
        <f>'raw data Crude oil'!S2265</f>
        <v>60.92</v>
      </c>
      <c r="T2264">
        <f>'raw data Crude oil'!T2265</f>
        <v>60.93</v>
      </c>
      <c r="U2264">
        <f>'raw data Crude oil'!U2265</f>
        <v>60.94</v>
      </c>
      <c r="V2264">
        <f>'raw data Crude oil'!V2265</f>
        <v>60.93</v>
      </c>
      <c r="W2264">
        <f>'raw data Crude oil'!W2265</f>
        <v>60.91</v>
      </c>
      <c r="X2264">
        <f>'raw data Crude oil'!X2265</f>
        <v>60.88</v>
      </c>
      <c r="Y2264">
        <f>'raw data Crude oil'!Y2265</f>
        <v>60.83</v>
      </c>
      <c r="Z2264">
        <f>'raw data Crude oil'!Z2265</f>
        <v>65.716999999999999</v>
      </c>
      <c r="AA2264">
        <f>'raw data Crude oil'!AA2265</f>
        <v>65.167000000000002</v>
      </c>
      <c r="AB2264">
        <f>'raw data Crude oil'!AB2265</f>
        <v>64.787000000000006</v>
      </c>
      <c r="AC2264">
        <f>'raw data Crude oil'!AC2265</f>
        <v>64.53</v>
      </c>
      <c r="AD2264">
        <f>'raw data Crude oil'!AD2265</f>
        <v>64.41</v>
      </c>
      <c r="AE2264">
        <f>'raw data Crude oil'!AE2265</f>
        <v>64.38</v>
      </c>
      <c r="AF2264">
        <f>'raw data Crude oil'!AF2265</f>
        <v>64.36</v>
      </c>
      <c r="AG2264">
        <f>'raw data Crude oil'!AG2265</f>
        <v>64.33</v>
      </c>
      <c r="AH2264">
        <f>'raw data Crude oil'!AH2265</f>
        <v>64.293999999999997</v>
      </c>
      <c r="AI2264">
        <f>'raw data Crude oil'!AI2265</f>
        <v>64.263999999999996</v>
      </c>
      <c r="AJ2264">
        <f>'raw data Crude oil'!AJ2265</f>
        <v>64.236999999999995</v>
      </c>
      <c r="AK2264">
        <f>'raw data Crude oil'!AK2265</f>
        <v>64.245999999999995</v>
      </c>
    </row>
    <row r="2265" spans="1:37" x14ac:dyDescent="0.3">
      <c r="A2265" s="18">
        <f>'raw data Crude oil'!A2266</f>
        <v>45937</v>
      </c>
      <c r="B2265">
        <f>'raw data Crude oil'!B2266</f>
        <v>65.45</v>
      </c>
      <c r="C2265">
        <f>'raw data Crude oil'!C2266</f>
        <v>64.94</v>
      </c>
      <c r="D2265">
        <f>'raw data Crude oil'!D2266</f>
        <v>64.62</v>
      </c>
      <c r="E2265">
        <f>'raw data Crude oil'!E2266</f>
        <v>64.48</v>
      </c>
      <c r="F2265">
        <f>'raw data Crude oil'!F2266</f>
        <v>64.44</v>
      </c>
      <c r="G2265">
        <f>'raw data Crude oil'!G2266</f>
        <v>64.45</v>
      </c>
      <c r="H2265">
        <f>'raw data Crude oil'!H2266</f>
        <v>64.459999999999994</v>
      </c>
      <c r="I2265">
        <f>'raw data Crude oil'!I2266</f>
        <v>64.45</v>
      </c>
      <c r="J2265">
        <f>'raw data Crude oil'!J2266</f>
        <v>64.430000000000007</v>
      </c>
      <c r="K2265">
        <f>'raw data Crude oil'!K2266</f>
        <v>64.41</v>
      </c>
      <c r="L2265">
        <f>'raw data Crude oil'!L2266</f>
        <v>64.400000000000006</v>
      </c>
      <c r="M2265">
        <f>'raw data Crude oil'!M2266</f>
        <v>64.42</v>
      </c>
      <c r="N2265">
        <f>'raw data Crude oil'!N2266</f>
        <v>61.73</v>
      </c>
      <c r="O2265">
        <f>'raw data Crude oil'!O2266</f>
        <v>61.32</v>
      </c>
      <c r="P2265">
        <f>'raw data Crude oil'!P2266</f>
        <v>61.06</v>
      </c>
      <c r="Q2265">
        <f>'raw data Crude oil'!Q2266</f>
        <v>60.89</v>
      </c>
      <c r="R2265">
        <f>'raw data Crude oil'!R2266</f>
        <v>60.8</v>
      </c>
      <c r="S2265">
        <f>'raw data Crude oil'!S2266</f>
        <v>60.77</v>
      </c>
      <c r="T2265">
        <f>'raw data Crude oil'!T2266</f>
        <v>60.77</v>
      </c>
      <c r="U2265">
        <f>'raw data Crude oil'!U2266</f>
        <v>60.79</v>
      </c>
      <c r="V2265">
        <f>'raw data Crude oil'!V2266</f>
        <v>60.77</v>
      </c>
      <c r="W2265">
        <f>'raw data Crude oil'!W2266</f>
        <v>60.74</v>
      </c>
      <c r="X2265">
        <f>'raw data Crude oil'!X2266</f>
        <v>60.72</v>
      </c>
      <c r="Y2265">
        <f>'raw data Crude oil'!Y2266</f>
        <v>60.71</v>
      </c>
      <c r="Z2265">
        <f>'raw data Crude oil'!Z2266</f>
        <v>65.436999999999998</v>
      </c>
      <c r="AA2265">
        <f>'raw data Crude oil'!AA2266</f>
        <v>64.91</v>
      </c>
      <c r="AB2265">
        <f>'raw data Crude oil'!AB2266</f>
        <v>64.542000000000002</v>
      </c>
      <c r="AC2265">
        <f>'raw data Crude oil'!AC2266</f>
        <v>64.274000000000001</v>
      </c>
      <c r="AD2265">
        <f>'raw data Crude oil'!AD2266</f>
        <v>64.150999999999996</v>
      </c>
      <c r="AE2265">
        <f>'raw data Crude oil'!AE2266</f>
        <v>64.135000000000005</v>
      </c>
      <c r="AF2265">
        <f>'raw data Crude oil'!AF2266</f>
        <v>64.125</v>
      </c>
      <c r="AG2265">
        <f>'raw data Crude oil'!AG2266</f>
        <v>64.105000000000004</v>
      </c>
      <c r="AH2265">
        <f>'raw data Crude oil'!AH2266</f>
        <v>64.063999999999993</v>
      </c>
      <c r="AI2265">
        <f>'raw data Crude oil'!AI2266</f>
        <v>64.034999999999997</v>
      </c>
      <c r="AJ2265">
        <f>'raw data Crude oil'!AJ2266</f>
        <v>64.016999999999996</v>
      </c>
      <c r="AK2265">
        <f>'raw data Crude oil'!AK2266</f>
        <v>64.025999999999996</v>
      </c>
    </row>
    <row r="2266" spans="1:37" x14ac:dyDescent="0.3">
      <c r="A2266" s="18">
        <f>'raw data Crude oil'!A2267</f>
        <v>45938</v>
      </c>
      <c r="B2266">
        <f>'raw data Crude oil'!B2267</f>
        <v>66.25</v>
      </c>
      <c r="C2266">
        <f>'raw data Crude oil'!C2267</f>
        <v>65.680000000000007</v>
      </c>
      <c r="D2266">
        <f>'raw data Crude oil'!D2267</f>
        <v>65.33</v>
      </c>
      <c r="E2266">
        <f>'raw data Crude oil'!E2267</f>
        <v>65.17</v>
      </c>
      <c r="F2266">
        <f>'raw data Crude oil'!F2267</f>
        <v>65.12</v>
      </c>
      <c r="G2266">
        <f>'raw data Crude oil'!G2267</f>
        <v>65.099999999999994</v>
      </c>
      <c r="H2266">
        <f>'raw data Crude oil'!H2267</f>
        <v>65.08</v>
      </c>
      <c r="I2266">
        <f>'raw data Crude oil'!I2267</f>
        <v>65.040000000000006</v>
      </c>
      <c r="J2266">
        <f>'raw data Crude oil'!J2267</f>
        <v>65</v>
      </c>
      <c r="K2266">
        <f>'raw data Crude oil'!K2267</f>
        <v>64.959999999999994</v>
      </c>
      <c r="L2266">
        <f>'raw data Crude oil'!L2267</f>
        <v>64.92</v>
      </c>
      <c r="M2266">
        <f>'raw data Crude oil'!M2267</f>
        <v>64.92</v>
      </c>
      <c r="N2266">
        <f>'raw data Crude oil'!N2267</f>
        <v>62.55</v>
      </c>
      <c r="O2266">
        <f>'raw data Crude oil'!O2267</f>
        <v>62.02</v>
      </c>
      <c r="P2266">
        <f>'raw data Crude oil'!P2267</f>
        <v>61.69</v>
      </c>
      <c r="Q2266">
        <f>'raw data Crude oil'!Q2267</f>
        <v>61.48</v>
      </c>
      <c r="R2266">
        <f>'raw data Crude oil'!R2267</f>
        <v>61.37</v>
      </c>
      <c r="S2266">
        <f>'raw data Crude oil'!S2267</f>
        <v>61.32</v>
      </c>
      <c r="T2266">
        <f>'raw data Crude oil'!T2267</f>
        <v>61.3</v>
      </c>
      <c r="U2266">
        <f>'raw data Crude oil'!U2267</f>
        <v>61.29</v>
      </c>
      <c r="V2266">
        <f>'raw data Crude oil'!V2267</f>
        <v>61.25</v>
      </c>
      <c r="W2266">
        <f>'raw data Crude oil'!W2267</f>
        <v>61.2</v>
      </c>
      <c r="X2266">
        <f>'raw data Crude oil'!X2267</f>
        <v>61.16</v>
      </c>
      <c r="Y2266">
        <f>'raw data Crude oil'!Y2267</f>
        <v>61.12</v>
      </c>
      <c r="Z2266">
        <f>'raw data Crude oil'!Z2267</f>
        <v>66.007000000000005</v>
      </c>
      <c r="AA2266">
        <f>'raw data Crude oil'!AA2267</f>
        <v>65.626000000000005</v>
      </c>
      <c r="AB2266">
        <f>'raw data Crude oil'!AB2267</f>
        <v>65.248999999999995</v>
      </c>
      <c r="AC2266">
        <f>'raw data Crude oil'!AC2267</f>
        <v>64.975999999999999</v>
      </c>
      <c r="AD2266">
        <f>'raw data Crude oil'!AD2267</f>
        <v>64.834999999999994</v>
      </c>
      <c r="AE2266">
        <f>'raw data Crude oil'!AE2267</f>
        <v>64.799000000000007</v>
      </c>
      <c r="AF2266">
        <f>'raw data Crude oil'!AF2267</f>
        <v>64.75</v>
      </c>
      <c r="AG2266">
        <f>'raw data Crude oil'!AG2267</f>
        <v>64.694000000000003</v>
      </c>
      <c r="AH2266">
        <f>'raw data Crude oil'!AH2267</f>
        <v>64.632999999999996</v>
      </c>
      <c r="AI2266">
        <f>'raw data Crude oil'!AI2267</f>
        <v>64.613</v>
      </c>
      <c r="AJ2266">
        <f>'raw data Crude oil'!AJ2267</f>
        <v>64.564999999999998</v>
      </c>
      <c r="AK2266">
        <f>'raw data Crude oil'!AK2267</f>
        <v>64.555000000000007</v>
      </c>
    </row>
    <row r="2267" spans="1:37" x14ac:dyDescent="0.3">
      <c r="A2267" s="18">
        <f>'raw data Crude oil'!A2268</f>
        <v>45939</v>
      </c>
      <c r="B2267">
        <f>'raw data Crude oil'!B2268</f>
        <v>65.22</v>
      </c>
      <c r="C2267">
        <f>'raw data Crude oil'!C2268</f>
        <v>64.739999999999995</v>
      </c>
      <c r="D2267">
        <f>'raw data Crude oil'!D2268</f>
        <v>64.45</v>
      </c>
      <c r="E2267">
        <f>'raw data Crude oil'!E2268</f>
        <v>64.319999999999993</v>
      </c>
      <c r="F2267">
        <f>'raw data Crude oil'!F2268</f>
        <v>64.290000000000006</v>
      </c>
      <c r="G2267">
        <f>'raw data Crude oil'!G2268</f>
        <v>64.31</v>
      </c>
      <c r="H2267">
        <f>'raw data Crude oil'!H2268</f>
        <v>64.319999999999993</v>
      </c>
      <c r="I2267">
        <f>'raw data Crude oil'!I2268</f>
        <v>64.319999999999993</v>
      </c>
      <c r="J2267">
        <f>'raw data Crude oil'!J2268</f>
        <v>64.31</v>
      </c>
      <c r="K2267">
        <f>'raw data Crude oil'!K2268</f>
        <v>64.290000000000006</v>
      </c>
      <c r="L2267">
        <f>'raw data Crude oil'!L2268</f>
        <v>64.28</v>
      </c>
      <c r="M2267">
        <f>'raw data Crude oil'!M2268</f>
        <v>64.290000000000006</v>
      </c>
      <c r="N2267">
        <f>'raw data Crude oil'!N2268</f>
        <v>61.51</v>
      </c>
      <c r="O2267">
        <f>'raw data Crude oil'!O2268</f>
        <v>61.03</v>
      </c>
      <c r="P2267">
        <f>'raw data Crude oil'!P2268</f>
        <v>60.76</v>
      </c>
      <c r="Q2267">
        <f>'raw data Crude oil'!Q2268</f>
        <v>60.6</v>
      </c>
      <c r="R2267">
        <f>'raw data Crude oil'!R2268</f>
        <v>60.53</v>
      </c>
      <c r="S2267">
        <f>'raw data Crude oil'!S2268</f>
        <v>60.52</v>
      </c>
      <c r="T2267">
        <f>'raw data Crude oil'!T2268</f>
        <v>60.55</v>
      </c>
      <c r="U2267">
        <f>'raw data Crude oil'!U2268</f>
        <v>60.59</v>
      </c>
      <c r="V2267">
        <f>'raw data Crude oil'!V2268</f>
        <v>60.59</v>
      </c>
      <c r="W2267">
        <f>'raw data Crude oil'!W2268</f>
        <v>60.57</v>
      </c>
      <c r="X2267">
        <f>'raw data Crude oil'!X2268</f>
        <v>60.55</v>
      </c>
      <c r="Y2267">
        <f>'raw data Crude oil'!Y2268</f>
        <v>60.53</v>
      </c>
      <c r="Z2267">
        <f>'raw data Crude oil'!Z2268</f>
        <v>65.492000000000004</v>
      </c>
      <c r="AA2267">
        <f>'raw data Crude oil'!AA2268</f>
        <v>64.801000000000002</v>
      </c>
      <c r="AB2267">
        <f>'raw data Crude oil'!AB2268</f>
        <v>64.427999999999997</v>
      </c>
      <c r="AC2267">
        <f>'raw data Crude oil'!AC2268</f>
        <v>64.138999999999996</v>
      </c>
      <c r="AD2267">
        <f>'raw data Crude oil'!AD2268</f>
        <v>64.003</v>
      </c>
      <c r="AE2267">
        <f>'raw data Crude oil'!AE2268</f>
        <v>63.98</v>
      </c>
      <c r="AF2267">
        <f>'raw data Crude oil'!AF2268</f>
        <v>63.966000000000001</v>
      </c>
      <c r="AG2267">
        <f>'raw data Crude oil'!AG2268</f>
        <v>63.942999999999998</v>
      </c>
      <c r="AH2267">
        <f>'raw data Crude oil'!AH2268</f>
        <v>63.920999999999999</v>
      </c>
      <c r="AI2267">
        <f>'raw data Crude oil'!AI2268</f>
        <v>63.911000000000001</v>
      </c>
      <c r="AJ2267">
        <f>'raw data Crude oil'!AJ2268</f>
        <v>63.911000000000001</v>
      </c>
      <c r="AK2267">
        <f>'raw data Crude oil'!AK2268</f>
        <v>63.926000000000002</v>
      </c>
    </row>
    <row r="2268" spans="1:37" x14ac:dyDescent="0.3">
      <c r="A2268" s="18">
        <f>'raw data Crude oil'!A2269</f>
        <v>45940</v>
      </c>
      <c r="B2268">
        <f>'raw data Crude oil'!B2269</f>
        <v>62.73</v>
      </c>
      <c r="C2268">
        <f>'raw data Crude oil'!C2269</f>
        <v>62.28</v>
      </c>
      <c r="D2268">
        <f>'raw data Crude oil'!D2269</f>
        <v>62.06</v>
      </c>
      <c r="E2268">
        <f>'raw data Crude oil'!E2269</f>
        <v>61.99</v>
      </c>
      <c r="F2268">
        <f>'raw data Crude oil'!F2269</f>
        <v>62.02</v>
      </c>
      <c r="G2268">
        <f>'raw data Crude oil'!G2269</f>
        <v>62.09</v>
      </c>
      <c r="H2268">
        <f>'raw data Crude oil'!H2269</f>
        <v>62.16</v>
      </c>
      <c r="I2268">
        <f>'raw data Crude oil'!I2269</f>
        <v>62.21</v>
      </c>
      <c r="J2268">
        <f>'raw data Crude oil'!J2269</f>
        <v>62.26</v>
      </c>
      <c r="K2268">
        <f>'raw data Crude oil'!K2269</f>
        <v>62.31</v>
      </c>
      <c r="L2268">
        <f>'raw data Crude oil'!L2269</f>
        <v>62.36</v>
      </c>
      <c r="M2268">
        <f>'raw data Crude oil'!M2269</f>
        <v>62.43</v>
      </c>
      <c r="N2268">
        <f>'raw data Crude oil'!N2269</f>
        <v>58.9</v>
      </c>
      <c r="O2268">
        <f>'raw data Crude oil'!O2269</f>
        <v>58.48</v>
      </c>
      <c r="P2268">
        <f>'raw data Crude oil'!P2269</f>
        <v>58.27</v>
      </c>
      <c r="Q2268">
        <f>'raw data Crude oil'!Q2269</f>
        <v>58.18</v>
      </c>
      <c r="R2268">
        <f>'raw data Crude oil'!R2269</f>
        <v>58.19</v>
      </c>
      <c r="S2268">
        <f>'raw data Crude oil'!S2269</f>
        <v>58.25</v>
      </c>
      <c r="T2268">
        <f>'raw data Crude oil'!T2269</f>
        <v>58.33</v>
      </c>
      <c r="U2268">
        <f>'raw data Crude oil'!U2269</f>
        <v>58.41</v>
      </c>
      <c r="V2268">
        <f>'raw data Crude oil'!V2269</f>
        <v>58.47</v>
      </c>
      <c r="W2268">
        <f>'raw data Crude oil'!W2269</f>
        <v>58.51</v>
      </c>
      <c r="X2268">
        <f>'raw data Crude oil'!X2269</f>
        <v>58.55</v>
      </c>
      <c r="Y2268">
        <f>'raw data Crude oil'!Y2269</f>
        <v>58.59</v>
      </c>
      <c r="Z2268">
        <f>'raw data Crude oil'!Z2269</f>
        <v>63.777999999999999</v>
      </c>
      <c r="AA2268">
        <f>'raw data Crude oil'!AA2269</f>
        <v>62.223999999999997</v>
      </c>
      <c r="AB2268">
        <f>'raw data Crude oil'!AB2269</f>
        <v>62.018999999999998</v>
      </c>
      <c r="AC2268">
        <f>'raw data Crude oil'!AC2269</f>
        <v>61.819000000000003</v>
      </c>
      <c r="AD2268">
        <f>'raw data Crude oil'!AD2269</f>
        <v>61.728999999999999</v>
      </c>
      <c r="AE2268">
        <f>'raw data Crude oil'!AE2269</f>
        <v>61.758000000000003</v>
      </c>
      <c r="AF2268">
        <f>'raw data Crude oil'!AF2269</f>
        <v>61.787999999999997</v>
      </c>
      <c r="AG2268">
        <f>'raw data Crude oil'!AG2269</f>
        <v>61.832000000000001</v>
      </c>
      <c r="AH2268">
        <f>'raw data Crude oil'!AH2269</f>
        <v>61.881999999999998</v>
      </c>
      <c r="AI2268">
        <f>'raw data Crude oil'!AI2269</f>
        <v>61.911999999999999</v>
      </c>
      <c r="AJ2268">
        <f>'raw data Crude oil'!AJ2269</f>
        <v>61.947000000000003</v>
      </c>
      <c r="AK2268">
        <f>'raw data Crude oil'!AK2269</f>
        <v>61.993000000000002</v>
      </c>
    </row>
    <row r="2269" spans="1:37" x14ac:dyDescent="0.3">
      <c r="A2269" s="18">
        <f>'raw data Crude oil'!A2270</f>
        <v>45943</v>
      </c>
      <c r="B2269">
        <f>'raw data Crude oil'!B2270</f>
        <v>63.32</v>
      </c>
      <c r="C2269">
        <f>'raw data Crude oil'!C2270</f>
        <v>62.94</v>
      </c>
      <c r="D2269">
        <f>'raw data Crude oil'!D2270</f>
        <v>62.75</v>
      </c>
      <c r="E2269">
        <f>'raw data Crude oil'!E2270</f>
        <v>62.7</v>
      </c>
      <c r="F2269">
        <f>'raw data Crude oil'!F2270</f>
        <v>62.75</v>
      </c>
      <c r="G2269">
        <f>'raw data Crude oil'!G2270</f>
        <v>62.83</v>
      </c>
      <c r="H2269">
        <f>'raw data Crude oil'!H2270</f>
        <v>62.9</v>
      </c>
      <c r="I2269">
        <f>'raw data Crude oil'!I2270</f>
        <v>62.95</v>
      </c>
      <c r="J2269">
        <f>'raw data Crude oil'!J2270</f>
        <v>63</v>
      </c>
      <c r="K2269">
        <f>'raw data Crude oil'!K2270</f>
        <v>63.05</v>
      </c>
      <c r="L2269">
        <f>'raw data Crude oil'!L2270</f>
        <v>63.09</v>
      </c>
      <c r="M2269">
        <f>'raw data Crude oil'!M2270</f>
        <v>63.16</v>
      </c>
      <c r="N2269">
        <f>'raw data Crude oil'!N2270</f>
        <v>59.49</v>
      </c>
      <c r="O2269">
        <f>'raw data Crude oil'!O2270</f>
        <v>59.07</v>
      </c>
      <c r="P2269">
        <f>'raw data Crude oil'!P2270</f>
        <v>58.89</v>
      </c>
      <c r="Q2269">
        <f>'raw data Crude oil'!Q2270</f>
        <v>58.82</v>
      </c>
      <c r="R2269">
        <f>'raw data Crude oil'!R2270</f>
        <v>58.84</v>
      </c>
      <c r="S2269">
        <f>'raw data Crude oil'!S2270</f>
        <v>58.92</v>
      </c>
      <c r="T2269">
        <f>'raw data Crude oil'!T2270</f>
        <v>59.02</v>
      </c>
      <c r="U2269">
        <f>'raw data Crude oil'!U2270</f>
        <v>59.11</v>
      </c>
      <c r="V2269">
        <f>'raw data Crude oil'!V2270</f>
        <v>59.17</v>
      </c>
      <c r="W2269">
        <f>'raw data Crude oil'!W2270</f>
        <v>59.22</v>
      </c>
      <c r="X2269">
        <f>'raw data Crude oil'!X2270</f>
        <v>59.26</v>
      </c>
      <c r="Y2269">
        <f>'raw data Crude oil'!Y2270</f>
        <v>59.3</v>
      </c>
      <c r="Z2269">
        <f>'raw data Crude oil'!Z2270</f>
        <v>64.323999999999998</v>
      </c>
      <c r="AA2269">
        <f>'raw data Crude oil'!AA2270</f>
        <v>63.151000000000003</v>
      </c>
      <c r="AB2269">
        <f>'raw data Crude oil'!AB2270</f>
        <v>62.93</v>
      </c>
      <c r="AC2269">
        <f>'raw data Crude oil'!AC2270</f>
        <v>62.707000000000001</v>
      </c>
      <c r="AD2269">
        <f>'raw data Crude oil'!AD2270</f>
        <v>62.606999999999999</v>
      </c>
      <c r="AE2269">
        <f>'raw data Crude oil'!AE2270</f>
        <v>62.625999999999998</v>
      </c>
      <c r="AF2269">
        <f>'raw data Crude oil'!AF2270</f>
        <v>62.646000000000001</v>
      </c>
      <c r="AG2269">
        <f>'raw data Crude oil'!AG2270</f>
        <v>62.676000000000002</v>
      </c>
      <c r="AH2269">
        <f>'raw data Crude oil'!AH2270</f>
        <v>62.715000000000003</v>
      </c>
      <c r="AI2269">
        <f>'raw data Crude oil'!AI2270</f>
        <v>62.735999999999997</v>
      </c>
      <c r="AJ2269">
        <f>'raw data Crude oil'!AJ2270</f>
        <v>62.761000000000003</v>
      </c>
      <c r="AK2269">
        <f>'raw data Crude oil'!AK2270</f>
        <v>62.808</v>
      </c>
    </row>
    <row r="2270" spans="1:37" x14ac:dyDescent="0.3">
      <c r="A2270" s="18">
        <f>'raw data Crude oil'!A2271</f>
        <v>45944</v>
      </c>
      <c r="B2270">
        <f>'raw data Crude oil'!B2271</f>
        <v>62.39</v>
      </c>
      <c r="C2270">
        <f>'raw data Crude oil'!C2271</f>
        <v>62.02</v>
      </c>
      <c r="D2270">
        <f>'raw data Crude oil'!D2271</f>
        <v>61.86</v>
      </c>
      <c r="E2270">
        <f>'raw data Crude oil'!E2271</f>
        <v>61.85</v>
      </c>
      <c r="F2270">
        <f>'raw data Crude oil'!F2271</f>
        <v>61.93</v>
      </c>
      <c r="G2270">
        <f>'raw data Crude oil'!G2271</f>
        <v>62.04</v>
      </c>
      <c r="H2270">
        <f>'raw data Crude oil'!H2271</f>
        <v>62.14</v>
      </c>
      <c r="I2270">
        <f>'raw data Crude oil'!I2271</f>
        <v>62.21</v>
      </c>
      <c r="J2270">
        <f>'raw data Crude oil'!J2271</f>
        <v>62.27</v>
      </c>
      <c r="K2270">
        <f>'raw data Crude oil'!K2271</f>
        <v>62.34</v>
      </c>
      <c r="L2270">
        <f>'raw data Crude oil'!L2271</f>
        <v>62.4</v>
      </c>
      <c r="M2270">
        <f>'raw data Crude oil'!M2271</f>
        <v>62.48</v>
      </c>
      <c r="N2270">
        <f>'raw data Crude oil'!N2271</f>
        <v>58.7</v>
      </c>
      <c r="O2270">
        <f>'raw data Crude oil'!O2271</f>
        <v>58.27</v>
      </c>
      <c r="P2270">
        <f>'raw data Crude oil'!P2271</f>
        <v>58.08</v>
      </c>
      <c r="Q2270">
        <f>'raw data Crude oil'!Q2271</f>
        <v>58.02</v>
      </c>
      <c r="R2270">
        <f>'raw data Crude oil'!R2271</f>
        <v>58.07</v>
      </c>
      <c r="S2270">
        <f>'raw data Crude oil'!S2271</f>
        <v>58.19</v>
      </c>
      <c r="T2270">
        <f>'raw data Crude oil'!T2271</f>
        <v>58.32</v>
      </c>
      <c r="U2270">
        <f>'raw data Crude oil'!U2271</f>
        <v>58.44</v>
      </c>
      <c r="V2270">
        <f>'raw data Crude oil'!V2271</f>
        <v>58.53</v>
      </c>
      <c r="W2270">
        <f>'raw data Crude oil'!W2271</f>
        <v>58.6</v>
      </c>
      <c r="X2270">
        <f>'raw data Crude oil'!X2271</f>
        <v>58.65</v>
      </c>
      <c r="Y2270">
        <f>'raw data Crude oil'!Y2271</f>
        <v>58.71</v>
      </c>
      <c r="Z2270">
        <f>'raw data Crude oil'!Z2271</f>
        <v>63.692999999999998</v>
      </c>
      <c r="AA2270">
        <f>'raw data Crude oil'!AA2271</f>
        <v>62.143999999999998</v>
      </c>
      <c r="AB2270">
        <f>'raw data Crude oil'!AB2271</f>
        <v>62.05</v>
      </c>
      <c r="AC2270">
        <f>'raw data Crude oil'!AC2271</f>
        <v>61.904000000000003</v>
      </c>
      <c r="AD2270">
        <f>'raw data Crude oil'!AD2271</f>
        <v>61.835000000000001</v>
      </c>
      <c r="AE2270">
        <f>'raw data Crude oil'!AE2271</f>
        <v>61.875999999999998</v>
      </c>
      <c r="AF2270">
        <f>'raw data Crude oil'!AF2271</f>
        <v>61.926000000000002</v>
      </c>
      <c r="AG2270">
        <f>'raw data Crude oil'!AG2271</f>
        <v>61.975999999999999</v>
      </c>
      <c r="AH2270">
        <f>'raw data Crude oil'!AH2271</f>
        <v>62.024999999999999</v>
      </c>
      <c r="AI2270">
        <f>'raw data Crude oil'!AI2271</f>
        <v>62.067</v>
      </c>
      <c r="AJ2270">
        <f>'raw data Crude oil'!AJ2271</f>
        <v>62.112000000000002</v>
      </c>
      <c r="AK2270">
        <f>'raw data Crude oil'!AK2271</f>
        <v>62.168999999999997</v>
      </c>
    </row>
    <row r="2271" spans="1:37" x14ac:dyDescent="0.3">
      <c r="A2271" s="18">
        <f>'raw data Crude oil'!A2272</f>
        <v>45945</v>
      </c>
      <c r="B2271">
        <f>'raw data Crude oil'!B2272</f>
        <v>61.91</v>
      </c>
      <c r="C2271">
        <f>'raw data Crude oil'!C2272</f>
        <v>61.63</v>
      </c>
      <c r="D2271">
        <f>'raw data Crude oil'!D2272</f>
        <v>61.51</v>
      </c>
      <c r="E2271">
        <f>'raw data Crude oil'!E2272</f>
        <v>61.52</v>
      </c>
      <c r="F2271">
        <f>'raw data Crude oil'!F2272</f>
        <v>61.62</v>
      </c>
      <c r="G2271">
        <f>'raw data Crude oil'!G2272</f>
        <v>61.75</v>
      </c>
      <c r="H2271">
        <f>'raw data Crude oil'!H2272</f>
        <v>61.86</v>
      </c>
      <c r="I2271">
        <f>'raw data Crude oil'!I2272</f>
        <v>61.94</v>
      </c>
      <c r="J2271">
        <f>'raw data Crude oil'!J2272</f>
        <v>62.01</v>
      </c>
      <c r="K2271">
        <f>'raw data Crude oil'!K2272</f>
        <v>62.08</v>
      </c>
      <c r="L2271">
        <f>'raw data Crude oil'!L2272</f>
        <v>62.14</v>
      </c>
      <c r="M2271">
        <f>'raw data Crude oil'!M2272</f>
        <v>62.23</v>
      </c>
      <c r="N2271">
        <f>'raw data Crude oil'!N2272</f>
        <v>58.27</v>
      </c>
      <c r="O2271">
        <f>'raw data Crude oil'!O2272</f>
        <v>57.84</v>
      </c>
      <c r="P2271">
        <f>'raw data Crude oil'!P2272</f>
        <v>57.69</v>
      </c>
      <c r="Q2271">
        <f>'raw data Crude oil'!Q2272</f>
        <v>57.67</v>
      </c>
      <c r="R2271">
        <f>'raw data Crude oil'!R2272</f>
        <v>57.75</v>
      </c>
      <c r="S2271">
        <f>'raw data Crude oil'!S2272</f>
        <v>57.88</v>
      </c>
      <c r="T2271">
        <f>'raw data Crude oil'!T2272</f>
        <v>58.02</v>
      </c>
      <c r="U2271">
        <f>'raw data Crude oil'!U2272</f>
        <v>58.16</v>
      </c>
      <c r="V2271">
        <f>'raw data Crude oil'!V2272</f>
        <v>58.27</v>
      </c>
      <c r="W2271">
        <f>'raw data Crude oil'!W2272</f>
        <v>58.35</v>
      </c>
      <c r="X2271">
        <f>'raw data Crude oil'!X2272</f>
        <v>58.41</v>
      </c>
      <c r="Y2271">
        <f>'raw data Crude oil'!Y2272</f>
        <v>58.48</v>
      </c>
      <c r="Z2271">
        <f>'raw data Crude oil'!Z2272</f>
        <v>63.396000000000001</v>
      </c>
      <c r="AA2271">
        <f>'raw data Crude oil'!AA2272</f>
        <v>61.57</v>
      </c>
      <c r="AB2271">
        <f>'raw data Crude oil'!AB2272</f>
        <v>61.551000000000002</v>
      </c>
      <c r="AC2271">
        <f>'raw data Crude oil'!AC2272</f>
        <v>61.497999999999998</v>
      </c>
      <c r="AD2271">
        <f>'raw data Crude oil'!AD2272</f>
        <v>61.499000000000002</v>
      </c>
      <c r="AE2271">
        <f>'raw data Crude oil'!AE2272</f>
        <v>61.585000000000001</v>
      </c>
      <c r="AF2271">
        <f>'raw data Crude oil'!AF2272</f>
        <v>61.646999999999998</v>
      </c>
      <c r="AG2271">
        <f>'raw data Crude oil'!AG2272</f>
        <v>61.706000000000003</v>
      </c>
      <c r="AH2271">
        <f>'raw data Crude oil'!AH2272</f>
        <v>61.765000000000001</v>
      </c>
      <c r="AI2271">
        <f>'raw data Crude oil'!AI2272</f>
        <v>61.807000000000002</v>
      </c>
      <c r="AJ2271">
        <f>'raw data Crude oil'!AJ2272</f>
        <v>61.853000000000002</v>
      </c>
      <c r="AK2271">
        <f>'raw data Crude oil'!AK2272</f>
        <v>61.918999999999997</v>
      </c>
    </row>
    <row r="2272" spans="1:37" x14ac:dyDescent="0.3">
      <c r="A2272" s="18">
        <f>'raw data Crude oil'!A2273</f>
        <v>45946</v>
      </c>
      <c r="B2272">
        <f>'raw data Crude oil'!B2273</f>
        <v>61.06</v>
      </c>
      <c r="C2272">
        <f>'raw data Crude oil'!C2273</f>
        <v>60.79</v>
      </c>
      <c r="D2272">
        <f>'raw data Crude oil'!D2273</f>
        <v>60.67</v>
      </c>
      <c r="E2272">
        <f>'raw data Crude oil'!E2273</f>
        <v>60.68</v>
      </c>
      <c r="F2272">
        <f>'raw data Crude oil'!F2273</f>
        <v>60.8</v>
      </c>
      <c r="G2272">
        <f>'raw data Crude oil'!G2273</f>
        <v>60.94</v>
      </c>
      <c r="H2272">
        <f>'raw data Crude oil'!H2273</f>
        <v>61.07</v>
      </c>
      <c r="I2272">
        <f>'raw data Crude oil'!I2273</f>
        <v>61.15</v>
      </c>
      <c r="J2272">
        <f>'raw data Crude oil'!J2273</f>
        <v>61.23</v>
      </c>
      <c r="K2272">
        <f>'raw data Crude oil'!K2273</f>
        <v>61.31</v>
      </c>
      <c r="L2272">
        <f>'raw data Crude oil'!L2273</f>
        <v>61.37</v>
      </c>
      <c r="M2272">
        <f>'raw data Crude oil'!M2273</f>
        <v>61.45</v>
      </c>
      <c r="N2272">
        <f>'raw data Crude oil'!N2273</f>
        <v>57.46</v>
      </c>
      <c r="O2272">
        <f>'raw data Crude oil'!O2273</f>
        <v>56.99</v>
      </c>
      <c r="P2272">
        <f>'raw data Crude oil'!P2273</f>
        <v>56.85</v>
      </c>
      <c r="Q2272">
        <f>'raw data Crude oil'!Q2273</f>
        <v>56.84</v>
      </c>
      <c r="R2272">
        <f>'raw data Crude oil'!R2273</f>
        <v>56.93</v>
      </c>
      <c r="S2272">
        <f>'raw data Crude oil'!S2273</f>
        <v>57.08</v>
      </c>
      <c r="T2272">
        <f>'raw data Crude oil'!T2273</f>
        <v>57.23</v>
      </c>
      <c r="U2272">
        <f>'raw data Crude oil'!U2273</f>
        <v>57.37</v>
      </c>
      <c r="V2272">
        <f>'raw data Crude oil'!V2273</f>
        <v>57.49</v>
      </c>
      <c r="W2272">
        <f>'raw data Crude oil'!W2273</f>
        <v>57.57</v>
      </c>
      <c r="X2272">
        <f>'raw data Crude oil'!X2273</f>
        <v>57.64</v>
      </c>
      <c r="Y2272">
        <f>'raw data Crude oil'!Y2273</f>
        <v>57.7</v>
      </c>
      <c r="Z2272">
        <f>'raw data Crude oil'!Z2273</f>
        <v>63.12</v>
      </c>
      <c r="AA2272">
        <f>'raw data Crude oil'!AA2273</f>
        <v>60.92</v>
      </c>
      <c r="AB2272">
        <f>'raw data Crude oil'!AB2273</f>
        <v>60.826000000000001</v>
      </c>
      <c r="AC2272">
        <f>'raw data Crude oil'!AC2273</f>
        <v>60.706000000000003</v>
      </c>
      <c r="AD2272">
        <f>'raw data Crude oil'!AD2273</f>
        <v>60.698999999999998</v>
      </c>
      <c r="AE2272">
        <f>'raw data Crude oil'!AE2273</f>
        <v>60.798000000000002</v>
      </c>
      <c r="AF2272">
        <f>'raw data Crude oil'!AF2273</f>
        <v>60.866999999999997</v>
      </c>
      <c r="AG2272">
        <f>'raw data Crude oil'!AG2273</f>
        <v>60.926000000000002</v>
      </c>
      <c r="AH2272">
        <f>'raw data Crude oil'!AH2273</f>
        <v>60.985999999999997</v>
      </c>
      <c r="AI2272">
        <f>'raw data Crude oil'!AI2273</f>
        <v>61.045000000000002</v>
      </c>
      <c r="AJ2272">
        <f>'raw data Crude oil'!AJ2273</f>
        <v>61.097999999999999</v>
      </c>
      <c r="AK2272">
        <f>'raw data Crude oil'!AK2273</f>
        <v>61.154000000000003</v>
      </c>
    </row>
    <row r="2273" spans="1:37" x14ac:dyDescent="0.3">
      <c r="A2273" s="18">
        <f>'raw data Crude oil'!A2274</f>
        <v>45947</v>
      </c>
      <c r="B2273">
        <f>'raw data Crude oil'!B2274</f>
        <v>61.29</v>
      </c>
      <c r="C2273">
        <f>'raw data Crude oil'!C2274</f>
        <v>61.1</v>
      </c>
      <c r="D2273">
        <f>'raw data Crude oil'!D2274</f>
        <v>61.04</v>
      </c>
      <c r="E2273">
        <f>'raw data Crude oil'!E2274</f>
        <v>61.09</v>
      </c>
      <c r="F2273">
        <f>'raw data Crude oil'!F2274</f>
        <v>61.22</v>
      </c>
      <c r="G2273">
        <f>'raw data Crude oil'!G2274</f>
        <v>61.38</v>
      </c>
      <c r="H2273">
        <f>'raw data Crude oil'!H2274</f>
        <v>61.53</v>
      </c>
      <c r="I2273">
        <f>'raw data Crude oil'!I2274</f>
        <v>61.65</v>
      </c>
      <c r="J2273">
        <f>'raw data Crude oil'!J2274</f>
        <v>61.75</v>
      </c>
      <c r="K2273">
        <f>'raw data Crude oil'!K2274</f>
        <v>61.84</v>
      </c>
      <c r="L2273">
        <f>'raw data Crude oil'!L2274</f>
        <v>61.92</v>
      </c>
      <c r="M2273">
        <f>'raw data Crude oil'!M2274</f>
        <v>62.01</v>
      </c>
      <c r="N2273">
        <f>'raw data Crude oil'!N2274</f>
        <v>57.54</v>
      </c>
      <c r="O2273">
        <f>'raw data Crude oil'!O2274</f>
        <v>57.15</v>
      </c>
      <c r="P2273">
        <f>'raw data Crude oil'!P2274</f>
        <v>57.12</v>
      </c>
      <c r="Q2273">
        <f>'raw data Crude oil'!Q2274</f>
        <v>57.18</v>
      </c>
      <c r="R2273">
        <f>'raw data Crude oil'!R2274</f>
        <v>57.3</v>
      </c>
      <c r="S2273">
        <f>'raw data Crude oil'!S2274</f>
        <v>57.47</v>
      </c>
      <c r="T2273">
        <f>'raw data Crude oil'!T2274</f>
        <v>57.64</v>
      </c>
      <c r="U2273">
        <f>'raw data Crude oil'!U2274</f>
        <v>57.8</v>
      </c>
      <c r="V2273">
        <f>'raw data Crude oil'!V2274</f>
        <v>57.92</v>
      </c>
      <c r="W2273">
        <f>'raw data Crude oil'!W2274</f>
        <v>58.03</v>
      </c>
      <c r="X2273">
        <f>'raw data Crude oil'!X2274</f>
        <v>58.1</v>
      </c>
      <c r="Y2273">
        <f>'raw data Crude oil'!Y2274</f>
        <v>58.18</v>
      </c>
      <c r="Z2273">
        <f>'raw data Crude oil'!Z2274</f>
        <v>63.317999999999998</v>
      </c>
      <c r="AA2273">
        <f>'raw data Crude oil'!AA2274</f>
        <v>61.348999999999997</v>
      </c>
      <c r="AB2273">
        <f>'raw data Crude oil'!AB2274</f>
        <v>61.284999999999997</v>
      </c>
      <c r="AC2273">
        <f>'raw data Crude oil'!AC2274</f>
        <v>61.204999999999998</v>
      </c>
      <c r="AD2273">
        <f>'raw data Crude oil'!AD2274</f>
        <v>61.198</v>
      </c>
      <c r="AE2273">
        <f>'raw data Crude oil'!AE2274</f>
        <v>61.308</v>
      </c>
      <c r="AF2273">
        <f>'raw data Crude oil'!AF2274</f>
        <v>61.399000000000001</v>
      </c>
      <c r="AG2273">
        <f>'raw data Crude oil'!AG2274</f>
        <v>61.478999999999999</v>
      </c>
      <c r="AH2273">
        <f>'raw data Crude oil'!AH2274</f>
        <v>61.543999999999997</v>
      </c>
      <c r="AI2273">
        <f>'raw data Crude oil'!AI2274</f>
        <v>61.62</v>
      </c>
      <c r="AJ2273">
        <f>'raw data Crude oil'!AJ2274</f>
        <v>61.689</v>
      </c>
      <c r="AK2273">
        <f>'raw data Crude oil'!AK2274</f>
        <v>61.755000000000003</v>
      </c>
    </row>
    <row r="2274" spans="1:37" x14ac:dyDescent="0.3">
      <c r="A2274" s="18">
        <f>'raw data Crude oil'!A2275</f>
        <v>45950</v>
      </c>
      <c r="B2274">
        <f>'raw data Crude oil'!B2275</f>
        <v>61.01</v>
      </c>
      <c r="C2274">
        <f>'raw data Crude oil'!C2275</f>
        <v>60.88</v>
      </c>
      <c r="D2274">
        <f>'raw data Crude oil'!D2275</f>
        <v>60.86</v>
      </c>
      <c r="E2274">
        <f>'raw data Crude oil'!E2275</f>
        <v>60.93</v>
      </c>
      <c r="F2274">
        <f>'raw data Crude oil'!F2275</f>
        <v>61.08</v>
      </c>
      <c r="G2274">
        <f>'raw data Crude oil'!G2275</f>
        <v>61.26</v>
      </c>
      <c r="H2274">
        <f>'raw data Crude oil'!H2275</f>
        <v>61.43</v>
      </c>
      <c r="I2274">
        <f>'raw data Crude oil'!I2275</f>
        <v>61.56</v>
      </c>
      <c r="J2274">
        <f>'raw data Crude oil'!J2275</f>
        <v>61.67</v>
      </c>
      <c r="K2274">
        <f>'raw data Crude oil'!K2275</f>
        <v>61.77</v>
      </c>
      <c r="L2274">
        <f>'raw data Crude oil'!L2275</f>
        <v>61.85</v>
      </c>
      <c r="M2274">
        <f>'raw data Crude oil'!M2275</f>
        <v>61.94</v>
      </c>
      <c r="N2274">
        <f>'raw data Crude oil'!N2275</f>
        <v>57.52</v>
      </c>
      <c r="O2274">
        <f>'raw data Crude oil'!O2275</f>
        <v>57.02</v>
      </c>
      <c r="P2274">
        <f>'raw data Crude oil'!P2275</f>
        <v>56.99</v>
      </c>
      <c r="Q2274">
        <f>'raw data Crude oil'!Q2275</f>
        <v>57.05</v>
      </c>
      <c r="R2274">
        <f>'raw data Crude oil'!R2275</f>
        <v>57.2</v>
      </c>
      <c r="S2274">
        <f>'raw data Crude oil'!S2275</f>
        <v>57.38</v>
      </c>
      <c r="T2274">
        <f>'raw data Crude oil'!T2275</f>
        <v>57.57</v>
      </c>
      <c r="U2274">
        <f>'raw data Crude oil'!U2275</f>
        <v>57.74</v>
      </c>
      <c r="V2274">
        <f>'raw data Crude oil'!V2275</f>
        <v>57.87</v>
      </c>
      <c r="W2274">
        <f>'raw data Crude oil'!W2275</f>
        <v>57.97</v>
      </c>
      <c r="X2274">
        <f>'raw data Crude oil'!X2275</f>
        <v>58.06</v>
      </c>
      <c r="Y2274">
        <f>'raw data Crude oil'!Y2275</f>
        <v>58.14</v>
      </c>
      <c r="Z2274">
        <f>'raw data Crude oil'!Z2275</f>
        <v>63.195</v>
      </c>
      <c r="AA2274">
        <f>'raw data Crude oil'!AA2275</f>
        <v>61.128</v>
      </c>
      <c r="AB2274">
        <f>'raw data Crude oil'!AB2275</f>
        <v>61.055999999999997</v>
      </c>
      <c r="AC2274">
        <f>'raw data Crude oil'!AC2275</f>
        <v>60.966999999999999</v>
      </c>
      <c r="AD2274">
        <f>'raw data Crude oil'!AD2275</f>
        <v>60.996000000000002</v>
      </c>
      <c r="AE2274">
        <f>'raw data Crude oil'!AE2275</f>
        <v>61.124000000000002</v>
      </c>
      <c r="AF2274">
        <f>'raw data Crude oil'!AF2275</f>
        <v>61.246000000000002</v>
      </c>
      <c r="AG2274">
        <f>'raw data Crude oil'!AG2275</f>
        <v>61.354999999999997</v>
      </c>
      <c r="AH2274">
        <f>'raw data Crude oil'!AH2275</f>
        <v>61.445</v>
      </c>
      <c r="AI2274">
        <f>'raw data Crude oil'!AI2275</f>
        <v>61.531999999999996</v>
      </c>
      <c r="AJ2274">
        <f>'raw data Crude oil'!AJ2275</f>
        <v>61.609000000000002</v>
      </c>
      <c r="AK2274">
        <f>'raw data Crude oil'!AK2275</f>
        <v>61.674999999999997</v>
      </c>
    </row>
    <row r="2275" spans="1:37" x14ac:dyDescent="0.3">
      <c r="A2275" s="18">
        <f>'raw data Crude oil'!A2276</f>
        <v>45951</v>
      </c>
      <c r="B2275">
        <f>'raw data Crude oil'!B2276</f>
        <v>61.32</v>
      </c>
      <c r="C2275">
        <f>'raw data Crude oil'!C2276</f>
        <v>61.03</v>
      </c>
      <c r="D2275">
        <f>'raw data Crude oil'!D2276</f>
        <v>60.94</v>
      </c>
      <c r="E2275">
        <f>'raw data Crude oil'!E2276</f>
        <v>60.96</v>
      </c>
      <c r="F2275">
        <f>'raw data Crude oil'!F2276</f>
        <v>61.07</v>
      </c>
      <c r="G2275">
        <f>'raw data Crude oil'!G2276</f>
        <v>61.22</v>
      </c>
      <c r="H2275">
        <f>'raw data Crude oil'!H2276</f>
        <v>61.36</v>
      </c>
      <c r="I2275">
        <f>'raw data Crude oil'!I2276</f>
        <v>61.46</v>
      </c>
      <c r="J2275">
        <f>'raw data Crude oil'!J2276</f>
        <v>61.55</v>
      </c>
      <c r="K2275">
        <f>'raw data Crude oil'!K2276</f>
        <v>61.62</v>
      </c>
      <c r="L2275">
        <f>'raw data Crude oil'!L2276</f>
        <v>61.68</v>
      </c>
      <c r="M2275">
        <f>'raw data Crude oil'!M2276</f>
        <v>61.76</v>
      </c>
      <c r="N2275">
        <f>'raw data Crude oil'!N2276</f>
        <v>57.82</v>
      </c>
      <c r="O2275">
        <f>'raw data Crude oil'!O2276</f>
        <v>57.24</v>
      </c>
      <c r="P2275">
        <f>'raw data Crude oil'!P2276</f>
        <v>57.16</v>
      </c>
      <c r="Q2275">
        <f>'raw data Crude oil'!Q2276</f>
        <v>57.18</v>
      </c>
      <c r="R2275">
        <f>'raw data Crude oil'!R2276</f>
        <v>57.28</v>
      </c>
      <c r="S2275">
        <f>'raw data Crude oil'!S2276</f>
        <v>57.44</v>
      </c>
      <c r="T2275">
        <f>'raw data Crude oil'!T2276</f>
        <v>57.6</v>
      </c>
      <c r="U2275">
        <f>'raw data Crude oil'!U2276</f>
        <v>57.75</v>
      </c>
      <c r="V2275">
        <f>'raw data Crude oil'!V2276</f>
        <v>57.87</v>
      </c>
      <c r="W2275">
        <f>'raw data Crude oil'!W2276</f>
        <v>57.95</v>
      </c>
      <c r="X2275">
        <f>'raw data Crude oil'!X2276</f>
        <v>58.01</v>
      </c>
      <c r="Y2275">
        <f>'raw data Crude oil'!Y2276</f>
        <v>58.06</v>
      </c>
      <c r="Z2275">
        <f>'raw data Crude oil'!Z2276</f>
        <v>63.328000000000003</v>
      </c>
      <c r="AA2275">
        <f>'raw data Crude oil'!AA2276</f>
        <v>61.4</v>
      </c>
      <c r="AB2275">
        <f>'raw data Crude oil'!AB2276</f>
        <v>61.231999999999999</v>
      </c>
      <c r="AC2275">
        <f>'raw data Crude oil'!AC2276</f>
        <v>61.095999999999997</v>
      </c>
      <c r="AD2275">
        <f>'raw data Crude oil'!AD2276</f>
        <v>61.075000000000003</v>
      </c>
      <c r="AE2275">
        <f>'raw data Crude oil'!AE2276</f>
        <v>61.162999999999997</v>
      </c>
      <c r="AF2275">
        <f>'raw data Crude oil'!AF2276</f>
        <v>61.244</v>
      </c>
      <c r="AG2275">
        <f>'raw data Crude oil'!AG2276</f>
        <v>61.304000000000002</v>
      </c>
      <c r="AH2275">
        <f>'raw data Crude oil'!AH2276</f>
        <v>61.353000000000002</v>
      </c>
      <c r="AI2275">
        <f>'raw data Crude oil'!AI2276</f>
        <v>61.402000000000001</v>
      </c>
      <c r="AJ2275">
        <f>'raw data Crude oil'!AJ2276</f>
        <v>61.453000000000003</v>
      </c>
      <c r="AK2275">
        <f>'raw data Crude oil'!AK2276</f>
        <v>61.514000000000003</v>
      </c>
    </row>
    <row r="2276" spans="1:37" x14ac:dyDescent="0.3">
      <c r="A2276" s="18">
        <f>'raw data Crude oil'!A2277</f>
        <v>45952</v>
      </c>
      <c r="B2276">
        <f>'raw data Crude oil'!B2277</f>
        <v>62.59</v>
      </c>
      <c r="C2276">
        <f>'raw data Crude oil'!C2277</f>
        <v>62.23</v>
      </c>
      <c r="D2276">
        <f>'raw data Crude oil'!D2277</f>
        <v>62.07</v>
      </c>
      <c r="E2276">
        <f>'raw data Crude oil'!E2277</f>
        <v>62.03</v>
      </c>
      <c r="F2276">
        <f>'raw data Crude oil'!F2277</f>
        <v>62.09</v>
      </c>
      <c r="G2276">
        <f>'raw data Crude oil'!G2277</f>
        <v>62.2</v>
      </c>
      <c r="H2276">
        <f>'raw data Crude oil'!H2277</f>
        <v>62.31</v>
      </c>
      <c r="I2276">
        <f>'raw data Crude oil'!I2277</f>
        <v>62.39</v>
      </c>
      <c r="J2276">
        <f>'raw data Crude oil'!J2277</f>
        <v>62.45</v>
      </c>
      <c r="K2276">
        <f>'raw data Crude oil'!K2277</f>
        <v>62.5</v>
      </c>
      <c r="L2276">
        <f>'raw data Crude oil'!L2277</f>
        <v>62.54</v>
      </c>
      <c r="M2276">
        <f>'raw data Crude oil'!M2277</f>
        <v>62.59</v>
      </c>
      <c r="N2276">
        <f>'raw data Crude oil'!N2277</f>
        <v>58.5</v>
      </c>
      <c r="O2276">
        <f>'raw data Crude oil'!O2277</f>
        <v>58.32</v>
      </c>
      <c r="P2276">
        <f>'raw data Crude oil'!P2277</f>
        <v>58.26</v>
      </c>
      <c r="Q2276">
        <f>'raw data Crude oil'!Q2277</f>
        <v>58.32</v>
      </c>
      <c r="R2276">
        <f>'raw data Crude oil'!R2277</f>
        <v>58.44</v>
      </c>
      <c r="S2276">
        <f>'raw data Crude oil'!S2277</f>
        <v>58.57</v>
      </c>
      <c r="T2276">
        <f>'raw data Crude oil'!T2277</f>
        <v>58.7</v>
      </c>
      <c r="U2276">
        <f>'raw data Crude oil'!U2277</f>
        <v>58.78</v>
      </c>
      <c r="V2276">
        <f>'raw data Crude oil'!V2277</f>
        <v>58.84</v>
      </c>
      <c r="W2276">
        <f>'raw data Crude oil'!W2277</f>
        <v>58.88</v>
      </c>
      <c r="X2276">
        <f>'raw data Crude oil'!X2277</f>
        <v>58.92</v>
      </c>
      <c r="Y2276">
        <f>'raw data Crude oil'!Y2277</f>
        <v>58.97</v>
      </c>
      <c r="Z2276">
        <f>'raw data Crude oil'!Z2277</f>
        <v>64.076999999999998</v>
      </c>
      <c r="AA2276">
        <f>'raw data Crude oil'!AA2277</f>
        <v>62.899000000000001</v>
      </c>
      <c r="AB2276">
        <f>'raw data Crude oil'!AB2277</f>
        <v>62.566000000000003</v>
      </c>
      <c r="AC2276">
        <f>'raw data Crude oil'!AC2277</f>
        <v>62.314999999999998</v>
      </c>
      <c r="AD2276">
        <f>'raw data Crude oil'!AD2277</f>
        <v>62.206000000000003</v>
      </c>
      <c r="AE2276">
        <f>'raw data Crude oil'!AE2277</f>
        <v>62.234999999999999</v>
      </c>
      <c r="AF2276">
        <f>'raw data Crude oil'!AF2277</f>
        <v>62.274000000000001</v>
      </c>
      <c r="AG2276">
        <f>'raw data Crude oil'!AG2277</f>
        <v>62.311</v>
      </c>
      <c r="AH2276">
        <f>'raw data Crude oil'!AH2277</f>
        <v>62.322000000000003</v>
      </c>
      <c r="AI2276">
        <f>'raw data Crude oil'!AI2277</f>
        <v>62.341000000000001</v>
      </c>
      <c r="AJ2276">
        <f>'raw data Crude oil'!AJ2277</f>
        <v>62.37</v>
      </c>
      <c r="AK2276">
        <f>'raw data Crude oil'!AK2277</f>
        <v>62.402999999999999</v>
      </c>
    </row>
    <row r="2277" spans="1:37" x14ac:dyDescent="0.3">
      <c r="A2277" s="18">
        <f>'raw data Crude oil'!A2278</f>
        <v>45953</v>
      </c>
      <c r="B2277">
        <f>'raw data Crude oil'!B2278</f>
        <v>65.989999999999995</v>
      </c>
      <c r="C2277">
        <f>'raw data Crude oil'!C2278</f>
        <v>65.290000000000006</v>
      </c>
      <c r="D2277">
        <f>'raw data Crude oil'!D2278</f>
        <v>64.67</v>
      </c>
      <c r="E2277">
        <f>'raw data Crude oil'!E2278</f>
        <v>64.28</v>
      </c>
      <c r="F2277">
        <f>'raw data Crude oil'!F2278</f>
        <v>64.06</v>
      </c>
      <c r="G2277">
        <f>'raw data Crude oil'!G2278</f>
        <v>63.95</v>
      </c>
      <c r="H2277">
        <f>'raw data Crude oil'!H2278</f>
        <v>63.87</v>
      </c>
      <c r="I2277">
        <f>'raw data Crude oil'!I2278</f>
        <v>63.79</v>
      </c>
      <c r="J2277">
        <f>'raw data Crude oil'!J2278</f>
        <v>63.71</v>
      </c>
      <c r="K2277">
        <f>'raw data Crude oil'!K2278</f>
        <v>63.64</v>
      </c>
      <c r="L2277">
        <f>'raw data Crude oil'!L2278</f>
        <v>63.58</v>
      </c>
      <c r="M2277">
        <f>'raw data Crude oil'!M2278</f>
        <v>63.56</v>
      </c>
      <c r="N2277">
        <f>'raw data Crude oil'!N2278</f>
        <v>61.79</v>
      </c>
      <c r="O2277">
        <f>'raw data Crude oil'!O2278</f>
        <v>61.16</v>
      </c>
      <c r="P2277">
        <f>'raw data Crude oil'!P2278</f>
        <v>60.64</v>
      </c>
      <c r="Q2277">
        <f>'raw data Crude oil'!Q2278</f>
        <v>60.35</v>
      </c>
      <c r="R2277">
        <f>'raw data Crude oil'!R2278</f>
        <v>60.18</v>
      </c>
      <c r="S2277">
        <f>'raw data Crude oil'!S2278</f>
        <v>60.11</v>
      </c>
      <c r="T2277">
        <f>'raw data Crude oil'!T2278</f>
        <v>60.06</v>
      </c>
      <c r="U2277">
        <f>'raw data Crude oil'!U2278</f>
        <v>60</v>
      </c>
      <c r="V2277">
        <f>'raw data Crude oil'!V2278</f>
        <v>59.92</v>
      </c>
      <c r="W2277">
        <f>'raw data Crude oil'!W2278</f>
        <v>59.84</v>
      </c>
      <c r="X2277">
        <f>'raw data Crude oil'!X2278</f>
        <v>59.78</v>
      </c>
      <c r="Y2277">
        <f>'raw data Crude oil'!Y2278</f>
        <v>59.77</v>
      </c>
      <c r="Z2277">
        <f>'raw data Crude oil'!Z2278</f>
        <v>65.400999999999996</v>
      </c>
      <c r="AA2277">
        <f>'raw data Crude oil'!AA2278</f>
        <v>66.739000000000004</v>
      </c>
      <c r="AB2277">
        <f>'raw data Crude oil'!AB2278</f>
        <v>65.649000000000001</v>
      </c>
      <c r="AC2277">
        <f>'raw data Crude oil'!AC2278</f>
        <v>64.953999999999994</v>
      </c>
      <c r="AD2277">
        <f>'raw data Crude oil'!AD2278</f>
        <v>64.504999999999995</v>
      </c>
      <c r="AE2277">
        <f>'raw data Crude oil'!AE2278</f>
        <v>64.313999999999993</v>
      </c>
      <c r="AF2277">
        <f>'raw data Crude oil'!AF2278</f>
        <v>64.173000000000002</v>
      </c>
      <c r="AG2277">
        <f>'raw data Crude oil'!AG2278</f>
        <v>64.043000000000006</v>
      </c>
      <c r="AH2277">
        <f>'raw data Crude oil'!AH2278</f>
        <v>63.923999999999999</v>
      </c>
      <c r="AI2277">
        <f>'raw data Crude oil'!AI2278</f>
        <v>63.807000000000002</v>
      </c>
      <c r="AJ2277">
        <f>'raw data Crude oil'!AJ2278</f>
        <v>63.738</v>
      </c>
      <c r="AK2277">
        <f>'raw data Crude oil'!AK2278</f>
        <v>63.7</v>
      </c>
    </row>
    <row r="2278" spans="1:37" x14ac:dyDescent="0.3">
      <c r="A2278" s="18">
        <f>'raw data Crude oil'!A2279</f>
        <v>45954</v>
      </c>
      <c r="B2278">
        <f>'raw data Crude oil'!B2279</f>
        <v>65.94</v>
      </c>
      <c r="C2278">
        <f>'raw data Crude oil'!C2279</f>
        <v>65.2</v>
      </c>
      <c r="D2278">
        <f>'raw data Crude oil'!D2279</f>
        <v>64.569999999999993</v>
      </c>
      <c r="E2278">
        <f>'raw data Crude oil'!E2279</f>
        <v>64.180000000000007</v>
      </c>
      <c r="F2278">
        <f>'raw data Crude oil'!F2279</f>
        <v>63.96</v>
      </c>
      <c r="G2278">
        <f>'raw data Crude oil'!G2279</f>
        <v>63.86</v>
      </c>
      <c r="H2278">
        <f>'raw data Crude oil'!H2279</f>
        <v>63.8</v>
      </c>
      <c r="I2278">
        <f>'raw data Crude oil'!I2279</f>
        <v>63.74</v>
      </c>
      <c r="J2278">
        <f>'raw data Crude oil'!J2279</f>
        <v>63.69</v>
      </c>
      <c r="K2278">
        <f>'raw data Crude oil'!K2279</f>
        <v>63.63</v>
      </c>
      <c r="L2278">
        <f>'raw data Crude oil'!L2279</f>
        <v>63.59</v>
      </c>
      <c r="M2278">
        <f>'raw data Crude oil'!M2279</f>
        <v>63.59</v>
      </c>
      <c r="N2278">
        <f>'raw data Crude oil'!N2279</f>
        <v>61.5</v>
      </c>
      <c r="O2278">
        <f>'raw data Crude oil'!O2279</f>
        <v>60.96</v>
      </c>
      <c r="P2278">
        <f>'raw data Crude oil'!P2279</f>
        <v>60.51</v>
      </c>
      <c r="Q2278">
        <f>'raw data Crude oil'!Q2279</f>
        <v>60.27</v>
      </c>
      <c r="R2278">
        <f>'raw data Crude oil'!R2279</f>
        <v>60.13</v>
      </c>
      <c r="S2278">
        <f>'raw data Crude oil'!S2279</f>
        <v>60.07</v>
      </c>
      <c r="T2278">
        <f>'raw data Crude oil'!T2279</f>
        <v>60.03</v>
      </c>
      <c r="U2278">
        <f>'raw data Crude oil'!U2279</f>
        <v>59.99</v>
      </c>
      <c r="V2278">
        <f>'raw data Crude oil'!V2279</f>
        <v>59.93</v>
      </c>
      <c r="W2278">
        <f>'raw data Crude oil'!W2279</f>
        <v>59.87</v>
      </c>
      <c r="X2278">
        <f>'raw data Crude oil'!X2279</f>
        <v>59.83</v>
      </c>
      <c r="Y2278">
        <f>'raw data Crude oil'!Y2279</f>
        <v>59.82</v>
      </c>
      <c r="Z2278">
        <f>'raw data Crude oil'!Z2279</f>
        <v>65.543000000000006</v>
      </c>
      <c r="AA2278">
        <f>'raw data Crude oil'!AA2279</f>
        <v>66.572999999999993</v>
      </c>
      <c r="AB2278">
        <f>'raw data Crude oil'!AB2279</f>
        <v>65.575999999999993</v>
      </c>
      <c r="AC2278">
        <f>'raw data Crude oil'!AC2279</f>
        <v>64.775000000000006</v>
      </c>
      <c r="AD2278">
        <f>'raw data Crude oil'!AD2279</f>
        <v>64.325000000000003</v>
      </c>
      <c r="AE2278">
        <f>'raw data Crude oil'!AE2279</f>
        <v>64.125</v>
      </c>
      <c r="AF2278">
        <f>'raw data Crude oil'!AF2279</f>
        <v>64.004999999999995</v>
      </c>
      <c r="AG2278">
        <f>'raw data Crude oil'!AG2279</f>
        <v>63.923000000000002</v>
      </c>
      <c r="AH2278">
        <f>'raw data Crude oil'!AH2279</f>
        <v>63.847000000000001</v>
      </c>
      <c r="AI2278">
        <f>'raw data Crude oil'!AI2279</f>
        <v>63.758000000000003</v>
      </c>
      <c r="AJ2278">
        <f>'raw data Crude oil'!AJ2279</f>
        <v>63.7</v>
      </c>
      <c r="AK2278">
        <f>'raw data Crude oil'!AK2279</f>
        <v>63.680999999999997</v>
      </c>
    </row>
    <row r="2279" spans="1:37" x14ac:dyDescent="0.3">
      <c r="A2279" s="18">
        <f>'raw data Crude oil'!A2280</f>
        <v>45957</v>
      </c>
      <c r="B2279">
        <f>'raw data Crude oil'!B2280</f>
        <v>65.62</v>
      </c>
      <c r="C2279">
        <f>'raw data Crude oil'!C2280</f>
        <v>64.900000000000006</v>
      </c>
      <c r="D2279">
        <f>'raw data Crude oil'!D2280</f>
        <v>64.319999999999993</v>
      </c>
      <c r="E2279">
        <f>'raw data Crude oil'!E2280</f>
        <v>63.97</v>
      </c>
      <c r="F2279">
        <f>'raw data Crude oil'!F2280</f>
        <v>63.8</v>
      </c>
      <c r="G2279">
        <f>'raw data Crude oil'!G2280</f>
        <v>63.74</v>
      </c>
      <c r="H2279">
        <f>'raw data Crude oil'!H2280</f>
        <v>63.72</v>
      </c>
      <c r="I2279">
        <f>'raw data Crude oil'!I2280</f>
        <v>63.69</v>
      </c>
      <c r="J2279">
        <f>'raw data Crude oil'!J2280</f>
        <v>63.66</v>
      </c>
      <c r="K2279">
        <f>'raw data Crude oil'!K2280</f>
        <v>63.62</v>
      </c>
      <c r="L2279">
        <f>'raw data Crude oil'!L2280</f>
        <v>63.59</v>
      </c>
      <c r="M2279">
        <f>'raw data Crude oil'!M2280</f>
        <v>63.6</v>
      </c>
      <c r="N2279">
        <f>'raw data Crude oil'!N2280</f>
        <v>61.31</v>
      </c>
      <c r="O2279">
        <f>'raw data Crude oil'!O2280</f>
        <v>60.78</v>
      </c>
      <c r="P2279">
        <f>'raw data Crude oil'!P2280</f>
        <v>60.38</v>
      </c>
      <c r="Q2279">
        <f>'raw data Crude oil'!Q2280</f>
        <v>60.18</v>
      </c>
      <c r="R2279">
        <f>'raw data Crude oil'!R2280</f>
        <v>60.08</v>
      </c>
      <c r="S2279">
        <f>'raw data Crude oil'!S2280</f>
        <v>60.04</v>
      </c>
      <c r="T2279">
        <f>'raw data Crude oil'!T2280</f>
        <v>60.04</v>
      </c>
      <c r="U2279">
        <f>'raw data Crude oil'!U2280</f>
        <v>60.01</v>
      </c>
      <c r="V2279">
        <f>'raw data Crude oil'!V2280</f>
        <v>59.96</v>
      </c>
      <c r="W2279">
        <f>'raw data Crude oil'!W2280</f>
        <v>59.91</v>
      </c>
      <c r="X2279">
        <f>'raw data Crude oil'!X2280</f>
        <v>59.88</v>
      </c>
      <c r="Y2279">
        <f>'raw data Crude oil'!Y2280</f>
        <v>59.89</v>
      </c>
      <c r="Z2279">
        <f>'raw data Crude oil'!Z2280</f>
        <v>65.263000000000005</v>
      </c>
      <c r="AA2279">
        <f>'raw data Crude oil'!AA2280</f>
        <v>66</v>
      </c>
      <c r="AB2279">
        <f>'raw data Crude oil'!AB2280</f>
        <v>65.141999999999996</v>
      </c>
      <c r="AC2279">
        <f>'raw data Crude oil'!AC2280</f>
        <v>64.441999999999993</v>
      </c>
      <c r="AD2279">
        <f>'raw data Crude oil'!AD2280</f>
        <v>64.111000000000004</v>
      </c>
      <c r="AE2279">
        <f>'raw data Crude oil'!AE2280</f>
        <v>63.972999999999999</v>
      </c>
      <c r="AF2279">
        <f>'raw data Crude oil'!AF2280</f>
        <v>63.893000000000001</v>
      </c>
      <c r="AG2279">
        <f>'raw data Crude oil'!AG2280</f>
        <v>63.853000000000002</v>
      </c>
      <c r="AH2279">
        <f>'raw data Crude oil'!AH2280</f>
        <v>63.802</v>
      </c>
      <c r="AI2279">
        <f>'raw data Crude oil'!AI2280</f>
        <v>63.738999999999997</v>
      </c>
      <c r="AJ2279">
        <f>'raw data Crude oil'!AJ2280</f>
        <v>63.701000000000001</v>
      </c>
      <c r="AK2279">
        <f>'raw data Crude oil'!AK2280</f>
        <v>63.701000000000001</v>
      </c>
    </row>
    <row r="2280" spans="1:37" x14ac:dyDescent="0.3">
      <c r="A2280" s="18">
        <f>'raw data Crude oil'!A2281</f>
        <v>45958</v>
      </c>
      <c r="B2280">
        <f>'raw data Crude oil'!B2281</f>
        <v>64.400000000000006</v>
      </c>
      <c r="C2280">
        <f>'raw data Crude oil'!C2281</f>
        <v>63.83</v>
      </c>
      <c r="D2280">
        <f>'raw data Crude oil'!D2281</f>
        <v>63.45</v>
      </c>
      <c r="E2280">
        <f>'raw data Crude oil'!E2281</f>
        <v>63.27</v>
      </c>
      <c r="F2280">
        <f>'raw data Crude oil'!F2281</f>
        <v>63.21</v>
      </c>
      <c r="G2280">
        <f>'raw data Crude oil'!G2281</f>
        <v>63.23</v>
      </c>
      <c r="H2280">
        <f>'raw data Crude oil'!H2281</f>
        <v>63.28</v>
      </c>
      <c r="I2280">
        <f>'raw data Crude oil'!I2281</f>
        <v>63.31</v>
      </c>
      <c r="J2280">
        <f>'raw data Crude oil'!J2281</f>
        <v>63.33</v>
      </c>
      <c r="K2280">
        <f>'raw data Crude oil'!K2281</f>
        <v>63.33</v>
      </c>
      <c r="L2280">
        <f>'raw data Crude oil'!L2281</f>
        <v>63.33</v>
      </c>
      <c r="M2280">
        <f>'raw data Crude oil'!M2281</f>
        <v>63.36</v>
      </c>
      <c r="N2280">
        <f>'raw data Crude oil'!N2281</f>
        <v>60.15</v>
      </c>
      <c r="O2280">
        <f>'raw data Crude oil'!O2281</f>
        <v>59.78</v>
      </c>
      <c r="P2280">
        <f>'raw data Crude oil'!P2281</f>
        <v>59.55</v>
      </c>
      <c r="Q2280">
        <f>'raw data Crude oil'!Q2281</f>
        <v>59.47</v>
      </c>
      <c r="R2280">
        <f>'raw data Crude oil'!R2281</f>
        <v>59.47</v>
      </c>
      <c r="S2280">
        <f>'raw data Crude oil'!S2281</f>
        <v>59.52</v>
      </c>
      <c r="T2280">
        <f>'raw data Crude oil'!T2281</f>
        <v>59.59</v>
      </c>
      <c r="U2280">
        <f>'raw data Crude oil'!U2281</f>
        <v>59.64</v>
      </c>
      <c r="V2280">
        <f>'raw data Crude oil'!V2281</f>
        <v>59.65</v>
      </c>
      <c r="W2280">
        <f>'raw data Crude oil'!W2281</f>
        <v>59.63</v>
      </c>
      <c r="X2280">
        <f>'raw data Crude oil'!X2281</f>
        <v>59.63</v>
      </c>
      <c r="Y2280">
        <f>'raw data Crude oil'!Y2281</f>
        <v>59.66</v>
      </c>
      <c r="Z2280">
        <f>'raw data Crude oil'!Z2281</f>
        <v>65.022999999999996</v>
      </c>
      <c r="AA2280">
        <f>'raw data Crude oil'!AA2281</f>
        <v>64.465999999999994</v>
      </c>
      <c r="AB2280">
        <f>'raw data Crude oil'!AB2281</f>
        <v>63.968000000000004</v>
      </c>
      <c r="AC2280">
        <f>'raw data Crude oil'!AC2281</f>
        <v>63.473999999999997</v>
      </c>
      <c r="AD2280">
        <f>'raw data Crude oil'!AD2281</f>
        <v>63.328000000000003</v>
      </c>
      <c r="AE2280">
        <f>'raw data Crude oil'!AE2281</f>
        <v>63.308</v>
      </c>
      <c r="AF2280">
        <f>'raw data Crude oil'!AF2281</f>
        <v>63.308</v>
      </c>
      <c r="AG2280">
        <f>'raw data Crude oil'!AG2281</f>
        <v>63.337000000000003</v>
      </c>
      <c r="AH2280">
        <f>'raw data Crude oil'!AH2281</f>
        <v>63.345999999999997</v>
      </c>
      <c r="AI2280">
        <f>'raw data Crude oil'!AI2281</f>
        <v>63.344999999999999</v>
      </c>
      <c r="AJ2280">
        <f>'raw data Crude oil'!AJ2281</f>
        <v>63.353999999999999</v>
      </c>
      <c r="AK2280">
        <f>'raw data Crude oil'!AK2281</f>
        <v>63.38</v>
      </c>
    </row>
    <row r="2281" spans="1:37" x14ac:dyDescent="0.3">
      <c r="A2281" s="18">
        <f>'raw data Crude oil'!A2282</f>
        <v>45959</v>
      </c>
      <c r="B2281">
        <f>'raw data Crude oil'!B2282</f>
        <v>64.92</v>
      </c>
      <c r="C2281">
        <f>'raw data Crude oil'!C2282</f>
        <v>64.319999999999993</v>
      </c>
      <c r="D2281">
        <f>'raw data Crude oil'!D2282</f>
        <v>63.89</v>
      </c>
      <c r="E2281">
        <f>'raw data Crude oil'!E2282</f>
        <v>63.67</v>
      </c>
      <c r="F2281">
        <f>'raw data Crude oil'!F2282</f>
        <v>63.6</v>
      </c>
      <c r="G2281">
        <f>'raw data Crude oil'!G2282</f>
        <v>63.62</v>
      </c>
      <c r="H2281">
        <f>'raw data Crude oil'!H2282</f>
        <v>63.65</v>
      </c>
      <c r="I2281">
        <f>'raw data Crude oil'!I2282</f>
        <v>63.66</v>
      </c>
      <c r="J2281">
        <f>'raw data Crude oil'!J2282</f>
        <v>63.67</v>
      </c>
      <c r="K2281">
        <f>'raw data Crude oil'!K2282</f>
        <v>63.67</v>
      </c>
      <c r="L2281">
        <f>'raw data Crude oil'!L2282</f>
        <v>63.66</v>
      </c>
      <c r="M2281">
        <f>'raw data Crude oil'!M2282</f>
        <v>63.69</v>
      </c>
      <c r="N2281">
        <f>'raw data Crude oil'!N2282</f>
        <v>60.48</v>
      </c>
      <c r="O2281">
        <f>'raw data Crude oil'!O2282</f>
        <v>60.16</v>
      </c>
      <c r="P2281">
        <f>'raw data Crude oil'!P2282</f>
        <v>59.94</v>
      </c>
      <c r="Q2281">
        <f>'raw data Crude oil'!Q2282</f>
        <v>59.85</v>
      </c>
      <c r="R2281">
        <f>'raw data Crude oil'!R2282</f>
        <v>59.84</v>
      </c>
      <c r="S2281">
        <f>'raw data Crude oil'!S2282</f>
        <v>59.9</v>
      </c>
      <c r="T2281">
        <f>'raw data Crude oil'!T2282</f>
        <v>59.97</v>
      </c>
      <c r="U2281">
        <f>'raw data Crude oil'!U2282</f>
        <v>60</v>
      </c>
      <c r="V2281">
        <f>'raw data Crude oil'!V2282</f>
        <v>60</v>
      </c>
      <c r="W2281">
        <f>'raw data Crude oil'!W2282</f>
        <v>59.97</v>
      </c>
      <c r="X2281">
        <f>'raw data Crude oil'!X2282</f>
        <v>59.96</v>
      </c>
      <c r="Y2281">
        <f>'raw data Crude oil'!Y2282</f>
        <v>59.99</v>
      </c>
      <c r="Z2281">
        <f>'raw data Crude oil'!Z2282</f>
        <v>65.033000000000001</v>
      </c>
      <c r="AA2281">
        <f>'raw data Crude oil'!AA2282</f>
        <v>65.418999999999997</v>
      </c>
      <c r="AB2281">
        <f>'raw data Crude oil'!AB2282</f>
        <v>64.67</v>
      </c>
      <c r="AC2281">
        <f>'raw data Crude oil'!AC2282</f>
        <v>64.094999999999999</v>
      </c>
      <c r="AD2281">
        <f>'raw data Crude oil'!AD2282</f>
        <v>63.893999999999998</v>
      </c>
      <c r="AE2281">
        <f>'raw data Crude oil'!AE2282</f>
        <v>63.832999999999998</v>
      </c>
      <c r="AF2281">
        <f>'raw data Crude oil'!AF2282</f>
        <v>63.795000000000002</v>
      </c>
      <c r="AG2281">
        <f>'raw data Crude oil'!AG2282</f>
        <v>63.79</v>
      </c>
      <c r="AH2281">
        <f>'raw data Crude oil'!AH2282</f>
        <v>63.771000000000001</v>
      </c>
      <c r="AI2281">
        <f>'raw data Crude oil'!AI2282</f>
        <v>63.741999999999997</v>
      </c>
      <c r="AJ2281">
        <f>'raw data Crude oil'!AJ2282</f>
        <v>63.723999999999997</v>
      </c>
      <c r="AK2281">
        <f>'raw data Crude oil'!AK2282</f>
        <v>63.75</v>
      </c>
    </row>
    <row r="2282" spans="1:37" x14ac:dyDescent="0.3">
      <c r="A2282" s="18">
        <f>'raw data Crude oil'!A2283</f>
        <v>45960</v>
      </c>
      <c r="B2282">
        <f>'raw data Crude oil'!B2283</f>
        <v>65</v>
      </c>
      <c r="C2282">
        <f>'raw data Crude oil'!C2283</f>
        <v>64.37</v>
      </c>
      <c r="D2282">
        <f>'raw data Crude oil'!D2283</f>
        <v>63.89</v>
      </c>
      <c r="E2282">
        <f>'raw data Crude oil'!E2283</f>
        <v>63.64</v>
      </c>
      <c r="F2282">
        <f>'raw data Crude oil'!F2283</f>
        <v>63.56</v>
      </c>
      <c r="G2282">
        <f>'raw data Crude oil'!G2283</f>
        <v>63.57</v>
      </c>
      <c r="H2282">
        <f>'raw data Crude oil'!H2283</f>
        <v>63.61</v>
      </c>
      <c r="I2282">
        <f>'raw data Crude oil'!I2283</f>
        <v>63.64</v>
      </c>
      <c r="J2282">
        <f>'raw data Crude oil'!J2283</f>
        <v>63.65</v>
      </c>
      <c r="K2282">
        <f>'raw data Crude oil'!K2283</f>
        <v>63.66</v>
      </c>
      <c r="L2282">
        <f>'raw data Crude oil'!L2283</f>
        <v>63.67</v>
      </c>
      <c r="M2282">
        <f>'raw data Crude oil'!M2283</f>
        <v>63.7</v>
      </c>
      <c r="N2282">
        <f>'raw data Crude oil'!N2283</f>
        <v>60.57</v>
      </c>
      <c r="O2282">
        <f>'raw data Crude oil'!O2283</f>
        <v>60.2</v>
      </c>
      <c r="P2282">
        <f>'raw data Crude oil'!P2283</f>
        <v>59.91</v>
      </c>
      <c r="Q2282">
        <f>'raw data Crude oil'!Q2283</f>
        <v>59.79</v>
      </c>
      <c r="R2282">
        <f>'raw data Crude oil'!R2283</f>
        <v>59.78</v>
      </c>
      <c r="S2282">
        <f>'raw data Crude oil'!S2283</f>
        <v>59.85</v>
      </c>
      <c r="T2282">
        <f>'raw data Crude oil'!T2283</f>
        <v>59.92</v>
      </c>
      <c r="U2282">
        <f>'raw data Crude oil'!U2283</f>
        <v>59.97</v>
      </c>
      <c r="V2282">
        <f>'raw data Crude oil'!V2283</f>
        <v>59.98</v>
      </c>
      <c r="W2282">
        <f>'raw data Crude oil'!W2283</f>
        <v>59.97</v>
      </c>
      <c r="X2282">
        <f>'raw data Crude oil'!X2283</f>
        <v>59.96</v>
      </c>
      <c r="Y2282">
        <f>'raw data Crude oil'!Y2283</f>
        <v>59.99</v>
      </c>
      <c r="Z2282">
        <f>'raw data Crude oil'!Z2283</f>
        <v>64.992999999999995</v>
      </c>
      <c r="AA2282">
        <f>'raw data Crude oil'!AA2283</f>
        <v>65.536000000000001</v>
      </c>
      <c r="AB2282">
        <f>'raw data Crude oil'!AB2283</f>
        <v>64.686999999999998</v>
      </c>
      <c r="AC2282">
        <f>'raw data Crude oil'!AC2283</f>
        <v>64.084999999999994</v>
      </c>
      <c r="AD2282">
        <f>'raw data Crude oil'!AD2283</f>
        <v>63.832999999999998</v>
      </c>
      <c r="AE2282">
        <f>'raw data Crude oil'!AE2283</f>
        <v>63.731999999999999</v>
      </c>
      <c r="AF2282">
        <f>'raw data Crude oil'!AF2283</f>
        <v>63.691000000000003</v>
      </c>
      <c r="AG2282">
        <f>'raw data Crude oil'!AG2283</f>
        <v>63.7</v>
      </c>
      <c r="AH2282">
        <f>'raw data Crude oil'!AH2283</f>
        <v>63.689</v>
      </c>
      <c r="AI2282">
        <f>'raw data Crude oil'!AI2283</f>
        <v>63.694000000000003</v>
      </c>
      <c r="AJ2282">
        <f>'raw data Crude oil'!AJ2283</f>
        <v>63.695999999999998</v>
      </c>
      <c r="AK2282">
        <f>'raw data Crude oil'!AK2283</f>
        <v>63.734000000000002</v>
      </c>
    </row>
    <row r="2283" spans="1:37" x14ac:dyDescent="0.3">
      <c r="A2283" s="18">
        <f>'raw data Crude oil'!A2284</f>
        <v>45961</v>
      </c>
      <c r="B2283">
        <f>'raw data Crude oil'!B2284</f>
        <v>65.069999999999993</v>
      </c>
      <c r="C2283">
        <f>'raw data Crude oil'!C2284</f>
        <v>64.77</v>
      </c>
      <c r="D2283">
        <f>'raw data Crude oil'!D2284</f>
        <v>64.2</v>
      </c>
      <c r="E2283">
        <f>'raw data Crude oil'!E2284</f>
        <v>63.86</v>
      </c>
      <c r="F2283">
        <f>'raw data Crude oil'!F2284</f>
        <v>63.7</v>
      </c>
      <c r="G2283">
        <f>'raw data Crude oil'!G2284</f>
        <v>63.66</v>
      </c>
      <c r="H2283">
        <f>'raw data Crude oil'!H2284</f>
        <v>63.67</v>
      </c>
      <c r="I2283">
        <f>'raw data Crude oil'!I2284</f>
        <v>63.67</v>
      </c>
      <c r="J2283">
        <f>'raw data Crude oil'!J2284</f>
        <v>63.67</v>
      </c>
      <c r="K2283">
        <f>'raw data Crude oil'!K2284</f>
        <v>63.66</v>
      </c>
      <c r="L2283">
        <f>'raw data Crude oil'!L2284</f>
        <v>63.65</v>
      </c>
      <c r="M2283">
        <f>'raw data Crude oil'!M2284</f>
        <v>63.67</v>
      </c>
      <c r="N2283">
        <f>'raw data Crude oil'!N2284</f>
        <v>60.98</v>
      </c>
      <c r="O2283">
        <f>'raw data Crude oil'!O2284</f>
        <v>60.6</v>
      </c>
      <c r="P2283">
        <f>'raw data Crude oil'!P2284</f>
        <v>60.26</v>
      </c>
      <c r="Q2283">
        <f>'raw data Crude oil'!Q2284</f>
        <v>60.06</v>
      </c>
      <c r="R2283">
        <f>'raw data Crude oil'!R2284</f>
        <v>59.99</v>
      </c>
      <c r="S2283">
        <f>'raw data Crude oil'!S2284</f>
        <v>60</v>
      </c>
      <c r="T2283">
        <f>'raw data Crude oil'!T2284</f>
        <v>60.04</v>
      </c>
      <c r="U2283">
        <f>'raw data Crude oil'!U2284</f>
        <v>60.06</v>
      </c>
      <c r="V2283">
        <f>'raw data Crude oil'!V2284</f>
        <v>60.05</v>
      </c>
      <c r="W2283">
        <f>'raw data Crude oil'!W2284</f>
        <v>60.02</v>
      </c>
      <c r="X2283">
        <f>'raw data Crude oil'!X2284</f>
        <v>60</v>
      </c>
      <c r="Y2283">
        <f>'raw data Crude oil'!Y2284</f>
        <v>60.03</v>
      </c>
      <c r="Z2283">
        <f>'raw data Crude oil'!Z2284</f>
        <v>64.998999999999995</v>
      </c>
      <c r="AA2283">
        <f>'raw data Crude oil'!AA2284</f>
        <v>66.132000000000005</v>
      </c>
      <c r="AB2283">
        <f>'raw data Crude oil'!AB2284</f>
        <v>65.119</v>
      </c>
      <c r="AC2283">
        <f>'raw data Crude oil'!AC2284</f>
        <v>64.393000000000001</v>
      </c>
      <c r="AD2283">
        <f>'raw data Crude oil'!AD2284</f>
        <v>64.015000000000001</v>
      </c>
      <c r="AE2283">
        <f>'raw data Crude oil'!AE2284</f>
        <v>63.832999999999998</v>
      </c>
      <c r="AF2283">
        <f>'raw data Crude oil'!AF2284</f>
        <v>63.752000000000002</v>
      </c>
      <c r="AG2283">
        <f>'raw data Crude oil'!AG2284</f>
        <v>63.731000000000002</v>
      </c>
      <c r="AH2283">
        <f>'raw data Crude oil'!AH2284</f>
        <v>63.72</v>
      </c>
      <c r="AI2283">
        <f>'raw data Crude oil'!AI2284</f>
        <v>63.709000000000003</v>
      </c>
      <c r="AJ2283">
        <f>'raw data Crude oil'!AJ2284</f>
        <v>63.7</v>
      </c>
      <c r="AK2283">
        <f>'raw data Crude oil'!AK2284</f>
        <v>63.728999999999999</v>
      </c>
    </row>
    <row r="2284" spans="1:37" x14ac:dyDescent="0.3">
      <c r="A2284" s="18">
        <f>'raw data Crude oil'!A2285</f>
        <v>45964</v>
      </c>
      <c r="B2284">
        <f>'raw data Crude oil'!B2285</f>
        <v>64.89</v>
      </c>
      <c r="C2284">
        <f>'raw data Crude oil'!C2285</f>
        <v>64.44</v>
      </c>
      <c r="D2284">
        <f>'raw data Crude oil'!D2285</f>
        <v>64.17</v>
      </c>
      <c r="E2284">
        <f>'raw data Crude oil'!E2285</f>
        <v>64.040000000000006</v>
      </c>
      <c r="F2284">
        <f>'raw data Crude oil'!F2285</f>
        <v>64</v>
      </c>
      <c r="G2284">
        <f>'raw data Crude oil'!G2285</f>
        <v>63.99</v>
      </c>
      <c r="H2284">
        <f>'raw data Crude oil'!H2285</f>
        <v>63.98</v>
      </c>
      <c r="I2284">
        <f>'raw data Crude oil'!I2285</f>
        <v>63.96</v>
      </c>
      <c r="J2284">
        <f>'raw data Crude oil'!J2285</f>
        <v>63.94</v>
      </c>
      <c r="K2284">
        <f>'raw data Crude oil'!K2285</f>
        <v>63.93</v>
      </c>
      <c r="L2284">
        <f>'raw data Crude oil'!L2285</f>
        <v>63.95</v>
      </c>
      <c r="M2284">
        <f>'raw data Crude oil'!M2285</f>
        <v>63.99</v>
      </c>
      <c r="N2284">
        <f>'raw data Crude oil'!N2285</f>
        <v>61.05</v>
      </c>
      <c r="O2284">
        <f>'raw data Crude oil'!O2285</f>
        <v>60.75</v>
      </c>
      <c r="P2284">
        <f>'raw data Crude oil'!P2285</f>
        <v>60.48</v>
      </c>
      <c r="Q2284">
        <f>'raw data Crude oil'!Q2285</f>
        <v>60.33</v>
      </c>
      <c r="R2284">
        <f>'raw data Crude oil'!R2285</f>
        <v>60.29</v>
      </c>
      <c r="S2284">
        <f>'raw data Crude oil'!S2285</f>
        <v>60.31</v>
      </c>
      <c r="T2284">
        <f>'raw data Crude oil'!T2285</f>
        <v>60.36</v>
      </c>
      <c r="U2284">
        <f>'raw data Crude oil'!U2285</f>
        <v>60.37</v>
      </c>
      <c r="V2284">
        <f>'raw data Crude oil'!V2285</f>
        <v>60.36</v>
      </c>
      <c r="W2284">
        <f>'raw data Crude oil'!W2285</f>
        <v>60.32</v>
      </c>
      <c r="X2284">
        <f>'raw data Crude oil'!X2285</f>
        <v>60.29</v>
      </c>
      <c r="Y2284">
        <f>'raw data Crude oil'!Y2285</f>
        <v>60.29</v>
      </c>
      <c r="Z2284">
        <f>'raw data Crude oil'!Z2285</f>
        <v>64.998999999999995</v>
      </c>
      <c r="AA2284">
        <f>'raw data Crude oil'!AA2285</f>
        <v>66.159000000000006</v>
      </c>
      <c r="AB2284">
        <f>'raw data Crude oil'!AB2285</f>
        <v>65.182000000000002</v>
      </c>
      <c r="AC2284">
        <f>'raw data Crude oil'!AC2285</f>
        <v>64.591999999999999</v>
      </c>
      <c r="AD2284">
        <f>'raw data Crude oil'!AD2285</f>
        <v>64.331999999999994</v>
      </c>
      <c r="AE2284">
        <f>'raw data Crude oil'!AE2285</f>
        <v>64.209000000000003</v>
      </c>
      <c r="AF2284">
        <f>'raw data Crude oil'!AF2285</f>
        <v>64.147999999999996</v>
      </c>
      <c r="AG2284">
        <f>'raw data Crude oil'!AG2285</f>
        <v>64.126000000000005</v>
      </c>
      <c r="AH2284">
        <f>'raw data Crude oil'!AH2285</f>
        <v>64.105000000000004</v>
      </c>
      <c r="AI2284">
        <f>'raw data Crude oil'!AI2285</f>
        <v>64.057000000000002</v>
      </c>
      <c r="AJ2284">
        <f>'raw data Crude oil'!AJ2285</f>
        <v>64.02</v>
      </c>
      <c r="AK2284">
        <f>'raw data Crude oil'!AK2285</f>
        <v>64.010999999999996</v>
      </c>
    </row>
    <row r="2285" spans="1:37" x14ac:dyDescent="0.3">
      <c r="A2285" s="18">
        <f>'raw data Crude oil'!A2286</f>
        <v>45965</v>
      </c>
      <c r="B2285">
        <f>'raw data Crude oil'!B2286</f>
        <v>64.44</v>
      </c>
      <c r="C2285">
        <f>'raw data Crude oil'!C2286</f>
        <v>64.069999999999993</v>
      </c>
      <c r="D2285">
        <f>'raw data Crude oil'!D2286</f>
        <v>63.86</v>
      </c>
      <c r="E2285">
        <f>'raw data Crude oil'!E2286</f>
        <v>63.77</v>
      </c>
      <c r="F2285">
        <f>'raw data Crude oil'!F2286</f>
        <v>63.75</v>
      </c>
      <c r="G2285">
        <f>'raw data Crude oil'!G2286</f>
        <v>63.77</v>
      </c>
      <c r="H2285">
        <f>'raw data Crude oil'!H2286</f>
        <v>63.78</v>
      </c>
      <c r="I2285">
        <f>'raw data Crude oil'!I2286</f>
        <v>63.78</v>
      </c>
      <c r="J2285">
        <f>'raw data Crude oil'!J2286</f>
        <v>63.77</v>
      </c>
      <c r="K2285">
        <f>'raw data Crude oil'!K2286</f>
        <v>63.77</v>
      </c>
      <c r="L2285">
        <f>'raw data Crude oil'!L2286</f>
        <v>63.79</v>
      </c>
      <c r="M2285">
        <f>'raw data Crude oil'!M2286</f>
        <v>63.83</v>
      </c>
      <c r="N2285">
        <f>'raw data Crude oil'!N2286</f>
        <v>60.56</v>
      </c>
      <c r="O2285">
        <f>'raw data Crude oil'!O2286</f>
        <v>60.31</v>
      </c>
      <c r="P2285">
        <f>'raw data Crude oil'!P2286</f>
        <v>60.09</v>
      </c>
      <c r="Q2285">
        <f>'raw data Crude oil'!Q2286</f>
        <v>59.98</v>
      </c>
      <c r="R2285">
        <f>'raw data Crude oil'!R2286</f>
        <v>59.99</v>
      </c>
      <c r="S2285">
        <f>'raw data Crude oil'!S2286</f>
        <v>60.05</v>
      </c>
      <c r="T2285">
        <f>'raw data Crude oil'!T2286</f>
        <v>60.13</v>
      </c>
      <c r="U2285">
        <f>'raw data Crude oil'!U2286</f>
        <v>60.18</v>
      </c>
      <c r="V2285">
        <f>'raw data Crude oil'!V2286</f>
        <v>60.18</v>
      </c>
      <c r="W2285">
        <f>'raw data Crude oil'!W2286</f>
        <v>60.15</v>
      </c>
      <c r="X2285">
        <f>'raw data Crude oil'!X2286</f>
        <v>60.13</v>
      </c>
      <c r="Y2285">
        <f>'raw data Crude oil'!Y2286</f>
        <v>60.15</v>
      </c>
      <c r="Z2285">
        <f>'raw data Crude oil'!Z2286</f>
        <v>65.805999999999997</v>
      </c>
      <c r="AA2285">
        <f>'raw data Crude oil'!AA2286</f>
        <v>64.911000000000001</v>
      </c>
      <c r="AB2285">
        <f>'raw data Crude oil'!AB2286</f>
        <v>64.400000000000006</v>
      </c>
      <c r="AC2285">
        <f>'raw data Crude oil'!AC2286</f>
        <v>64.144999999999996</v>
      </c>
      <c r="AD2285">
        <f>'raw data Crude oil'!AD2286</f>
        <v>64.010999999999996</v>
      </c>
      <c r="AE2285">
        <f>'raw data Crude oil'!AE2286</f>
        <v>63.95</v>
      </c>
      <c r="AF2285">
        <f>'raw data Crude oil'!AF2286</f>
        <v>63.939</v>
      </c>
      <c r="AG2285">
        <f>'raw data Crude oil'!AG2286</f>
        <v>63.911999999999999</v>
      </c>
      <c r="AH2285">
        <f>'raw data Crude oil'!AH2286</f>
        <v>63.881999999999998</v>
      </c>
      <c r="AI2285">
        <f>'raw data Crude oil'!AI2286</f>
        <v>63.865000000000002</v>
      </c>
      <c r="AJ2285">
        <f>'raw data Crude oil'!AJ2286</f>
        <v>63.866999999999997</v>
      </c>
      <c r="AK2285">
        <f>'raw data Crude oil'!AK2286</f>
        <v>63.875999999999998</v>
      </c>
    </row>
    <row r="2286" spans="1:37" x14ac:dyDescent="0.3">
      <c r="A2286" s="18">
        <f>'raw data Crude oil'!A2287</f>
        <v>45966</v>
      </c>
      <c r="B2286">
        <f>'raw data Crude oil'!B2287</f>
        <v>63.52</v>
      </c>
      <c r="C2286">
        <f>'raw data Crude oil'!C2287</f>
        <v>63.24</v>
      </c>
      <c r="D2286">
        <f>'raw data Crude oil'!D2287</f>
        <v>63.09</v>
      </c>
      <c r="E2286">
        <f>'raw data Crude oil'!E2287</f>
        <v>63.04</v>
      </c>
      <c r="F2286">
        <f>'raw data Crude oil'!F2287</f>
        <v>63.06</v>
      </c>
      <c r="G2286">
        <f>'raw data Crude oil'!G2287</f>
        <v>63.09</v>
      </c>
      <c r="H2286">
        <f>'raw data Crude oil'!H2287</f>
        <v>63.11</v>
      </c>
      <c r="I2286">
        <f>'raw data Crude oil'!I2287</f>
        <v>63.12</v>
      </c>
      <c r="J2286">
        <f>'raw data Crude oil'!J2287</f>
        <v>63.13</v>
      </c>
      <c r="K2286">
        <f>'raw data Crude oil'!K2287</f>
        <v>63.14</v>
      </c>
      <c r="L2286">
        <f>'raw data Crude oil'!L2287</f>
        <v>63.17</v>
      </c>
      <c r="M2286">
        <f>'raw data Crude oil'!M2287</f>
        <v>63.22</v>
      </c>
      <c r="N2286">
        <f>'raw data Crude oil'!N2287</f>
        <v>59.6</v>
      </c>
      <c r="O2286">
        <f>'raw data Crude oil'!O2287</f>
        <v>59.42</v>
      </c>
      <c r="P2286">
        <f>'raw data Crude oil'!P2287</f>
        <v>59.27</v>
      </c>
      <c r="Q2286">
        <f>'raw data Crude oil'!Q2287</f>
        <v>59.22</v>
      </c>
      <c r="R2286">
        <f>'raw data Crude oil'!R2287</f>
        <v>59.27</v>
      </c>
      <c r="S2286">
        <f>'raw data Crude oil'!S2287</f>
        <v>59.36</v>
      </c>
      <c r="T2286">
        <f>'raw data Crude oil'!T2287</f>
        <v>59.46</v>
      </c>
      <c r="U2286">
        <f>'raw data Crude oil'!U2287</f>
        <v>59.53</v>
      </c>
      <c r="V2286">
        <f>'raw data Crude oil'!V2287</f>
        <v>59.55</v>
      </c>
      <c r="W2286">
        <f>'raw data Crude oil'!W2287</f>
        <v>59.54</v>
      </c>
      <c r="X2286">
        <f>'raw data Crude oil'!X2287</f>
        <v>59.52</v>
      </c>
      <c r="Y2286">
        <f>'raw data Crude oil'!Y2287</f>
        <v>59.54</v>
      </c>
      <c r="Z2286">
        <f>'raw data Crude oil'!Z2287</f>
        <v>64.921999999999997</v>
      </c>
      <c r="AA2286">
        <f>'raw data Crude oil'!AA2287</f>
        <v>64.016000000000005</v>
      </c>
      <c r="AB2286">
        <f>'raw data Crude oil'!AB2287</f>
        <v>63.558</v>
      </c>
      <c r="AC2286">
        <f>'raw data Crude oil'!AC2287</f>
        <v>63.353000000000002</v>
      </c>
      <c r="AD2286">
        <f>'raw data Crude oil'!AD2287</f>
        <v>63.25</v>
      </c>
      <c r="AE2286">
        <f>'raw data Crude oil'!AE2287</f>
        <v>63.198999999999998</v>
      </c>
      <c r="AF2286">
        <f>'raw data Crude oil'!AF2287</f>
        <v>63.198</v>
      </c>
      <c r="AG2286">
        <f>'raw data Crude oil'!AG2287</f>
        <v>63.195999999999998</v>
      </c>
      <c r="AH2286">
        <f>'raw data Crude oil'!AH2287</f>
        <v>63.177</v>
      </c>
      <c r="AI2286">
        <f>'raw data Crude oil'!AI2287</f>
        <v>63.174999999999997</v>
      </c>
      <c r="AJ2286">
        <f>'raw data Crude oil'!AJ2287</f>
        <v>63.192</v>
      </c>
      <c r="AK2286">
        <f>'raw data Crude oil'!AK2287</f>
        <v>63.234000000000002</v>
      </c>
    </row>
    <row r="2287" spans="1:37" x14ac:dyDescent="0.3">
      <c r="A2287" s="18">
        <f>'raw data Crude oil'!A2288</f>
        <v>45967</v>
      </c>
      <c r="B2287">
        <f>'raw data Crude oil'!B2288</f>
        <v>63.38</v>
      </c>
      <c r="C2287">
        <f>'raw data Crude oil'!C2288</f>
        <v>63.07</v>
      </c>
      <c r="D2287">
        <f>'raw data Crude oil'!D2288</f>
        <v>62.9</v>
      </c>
      <c r="E2287">
        <f>'raw data Crude oil'!E2288</f>
        <v>62.86</v>
      </c>
      <c r="F2287">
        <f>'raw data Crude oil'!F2288</f>
        <v>62.87</v>
      </c>
      <c r="G2287">
        <f>'raw data Crude oil'!G2288</f>
        <v>62.91</v>
      </c>
      <c r="H2287">
        <f>'raw data Crude oil'!H2288</f>
        <v>62.92</v>
      </c>
      <c r="I2287">
        <f>'raw data Crude oil'!I2288</f>
        <v>62.93</v>
      </c>
      <c r="J2287">
        <f>'raw data Crude oil'!J2288</f>
        <v>62.93</v>
      </c>
      <c r="K2287">
        <f>'raw data Crude oil'!K2288</f>
        <v>62.94</v>
      </c>
      <c r="L2287">
        <f>'raw data Crude oil'!L2288</f>
        <v>62.97</v>
      </c>
      <c r="M2287">
        <f>'raw data Crude oil'!M2288</f>
        <v>63.01</v>
      </c>
      <c r="N2287">
        <f>'raw data Crude oil'!N2288</f>
        <v>59.43</v>
      </c>
      <c r="O2287">
        <f>'raw data Crude oil'!O2288</f>
        <v>59.3</v>
      </c>
      <c r="P2287">
        <f>'raw data Crude oil'!P2288</f>
        <v>59.14</v>
      </c>
      <c r="Q2287">
        <f>'raw data Crude oil'!Q2288</f>
        <v>59.09</v>
      </c>
      <c r="R2287">
        <f>'raw data Crude oil'!R2288</f>
        <v>59.15</v>
      </c>
      <c r="S2287">
        <f>'raw data Crude oil'!S2288</f>
        <v>59.26</v>
      </c>
      <c r="T2287">
        <f>'raw data Crude oil'!T2288</f>
        <v>59.37</v>
      </c>
      <c r="U2287">
        <f>'raw data Crude oil'!U2288</f>
        <v>59.45</v>
      </c>
      <c r="V2287">
        <f>'raw data Crude oil'!V2288</f>
        <v>59.48</v>
      </c>
      <c r="W2287">
        <f>'raw data Crude oil'!W2288</f>
        <v>59.47</v>
      </c>
      <c r="X2287">
        <f>'raw data Crude oil'!X2288</f>
        <v>59.46</v>
      </c>
      <c r="Y2287">
        <f>'raw data Crude oil'!Y2288</f>
        <v>59.47</v>
      </c>
      <c r="Z2287">
        <f>'raw data Crude oil'!Z2288</f>
        <v>64.649000000000001</v>
      </c>
      <c r="AA2287">
        <f>'raw data Crude oil'!AA2288</f>
        <v>63.685000000000002</v>
      </c>
      <c r="AB2287">
        <f>'raw data Crude oil'!AB2288</f>
        <v>63.344000000000001</v>
      </c>
      <c r="AC2287">
        <f>'raw data Crude oil'!AC2288</f>
        <v>63.185000000000002</v>
      </c>
      <c r="AD2287">
        <f>'raw data Crude oil'!AD2288</f>
        <v>63.110999999999997</v>
      </c>
      <c r="AE2287">
        <f>'raw data Crude oil'!AE2288</f>
        <v>63.091999999999999</v>
      </c>
      <c r="AF2287">
        <f>'raw data Crude oil'!AF2288</f>
        <v>63.082000000000001</v>
      </c>
      <c r="AG2287">
        <f>'raw data Crude oil'!AG2288</f>
        <v>63.082000000000001</v>
      </c>
      <c r="AH2287">
        <f>'raw data Crude oil'!AH2288</f>
        <v>63.057000000000002</v>
      </c>
      <c r="AI2287">
        <f>'raw data Crude oil'!AI2288</f>
        <v>63.040999999999997</v>
      </c>
      <c r="AJ2287">
        <f>'raw data Crude oil'!AJ2288</f>
        <v>63.052</v>
      </c>
      <c r="AK2287">
        <f>'raw data Crude oil'!AK2288</f>
        <v>63.070999999999998</v>
      </c>
    </row>
    <row r="2288" spans="1:37" x14ac:dyDescent="0.3">
      <c r="A2288" s="18">
        <f>'raw data Crude oil'!A2289</f>
        <v>45968</v>
      </c>
      <c r="B2288">
        <f>'raw data Crude oil'!B2289</f>
        <v>63.63</v>
      </c>
      <c r="C2288">
        <f>'raw data Crude oil'!C2289</f>
        <v>63.39</v>
      </c>
      <c r="D2288">
        <f>'raw data Crude oil'!D2289</f>
        <v>63.25</v>
      </c>
      <c r="E2288">
        <f>'raw data Crude oil'!E2289</f>
        <v>63.21</v>
      </c>
      <c r="F2288">
        <f>'raw data Crude oil'!F2289</f>
        <v>63.22</v>
      </c>
      <c r="G2288">
        <f>'raw data Crude oil'!G2289</f>
        <v>63.24</v>
      </c>
      <c r="H2288">
        <f>'raw data Crude oil'!H2289</f>
        <v>63.24</v>
      </c>
      <c r="I2288">
        <f>'raw data Crude oil'!I2289</f>
        <v>63.24</v>
      </c>
      <c r="J2288">
        <f>'raw data Crude oil'!J2289</f>
        <v>63.24</v>
      </c>
      <c r="K2288">
        <f>'raw data Crude oil'!K2289</f>
        <v>63.24</v>
      </c>
      <c r="L2288">
        <f>'raw data Crude oil'!L2289</f>
        <v>63.26</v>
      </c>
      <c r="M2288">
        <f>'raw data Crude oil'!M2289</f>
        <v>63.3</v>
      </c>
      <c r="N2288">
        <f>'raw data Crude oil'!N2289</f>
        <v>59.75</v>
      </c>
      <c r="O2288">
        <f>'raw data Crude oil'!O2289</f>
        <v>59.62</v>
      </c>
      <c r="P2288">
        <f>'raw data Crude oil'!P2289</f>
        <v>59.47</v>
      </c>
      <c r="Q2288">
        <f>'raw data Crude oil'!Q2289</f>
        <v>59.43</v>
      </c>
      <c r="R2288">
        <f>'raw data Crude oil'!R2289</f>
        <v>59.5</v>
      </c>
      <c r="S2288">
        <f>'raw data Crude oil'!S2289</f>
        <v>59.6</v>
      </c>
      <c r="T2288">
        <f>'raw data Crude oil'!T2289</f>
        <v>59.69</v>
      </c>
      <c r="U2288">
        <f>'raw data Crude oil'!U2289</f>
        <v>59.77</v>
      </c>
      <c r="V2288">
        <f>'raw data Crude oil'!V2289</f>
        <v>59.8</v>
      </c>
      <c r="W2288">
        <f>'raw data Crude oil'!W2289</f>
        <v>59.78</v>
      </c>
      <c r="X2288">
        <f>'raw data Crude oil'!X2289</f>
        <v>59.76</v>
      </c>
      <c r="Y2288">
        <f>'raw data Crude oil'!Y2289</f>
        <v>59.77</v>
      </c>
      <c r="Z2288">
        <f>'raw data Crude oil'!Z2289</f>
        <v>65.084000000000003</v>
      </c>
      <c r="AA2288">
        <f>'raw data Crude oil'!AA2289</f>
        <v>64.308999999999997</v>
      </c>
      <c r="AB2288">
        <f>'raw data Crude oil'!AB2289</f>
        <v>63.875999999999998</v>
      </c>
      <c r="AC2288">
        <f>'raw data Crude oil'!AC2289</f>
        <v>63.651000000000003</v>
      </c>
      <c r="AD2288">
        <f>'raw data Crude oil'!AD2289</f>
        <v>63.531999999999996</v>
      </c>
      <c r="AE2288">
        <f>'raw data Crude oil'!AE2289</f>
        <v>63.482999999999997</v>
      </c>
      <c r="AF2288">
        <f>'raw data Crude oil'!AF2289</f>
        <v>63.454000000000001</v>
      </c>
      <c r="AG2288">
        <f>'raw data Crude oil'!AG2289</f>
        <v>63.43</v>
      </c>
      <c r="AH2288">
        <f>'raw data Crude oil'!AH2289</f>
        <v>63.401000000000003</v>
      </c>
      <c r="AI2288">
        <f>'raw data Crude oil'!AI2289</f>
        <v>63.377000000000002</v>
      </c>
      <c r="AJ2288">
        <f>'raw data Crude oil'!AJ2289</f>
        <v>63.369</v>
      </c>
      <c r="AK2288">
        <f>'raw data Crude oil'!AK2289</f>
        <v>63.38</v>
      </c>
    </row>
    <row r="2289" spans="1:37" x14ac:dyDescent="0.3">
      <c r="A2289" s="18">
        <f>'raw data Crude oil'!A2290</f>
        <v>45971</v>
      </c>
      <c r="B2289">
        <f>'raw data Crude oil'!B2290</f>
        <v>64.06</v>
      </c>
      <c r="C2289">
        <f>'raw data Crude oil'!C2290</f>
        <v>63.82</v>
      </c>
      <c r="D2289">
        <f>'raw data Crude oil'!D2290</f>
        <v>63.69</v>
      </c>
      <c r="E2289">
        <f>'raw data Crude oil'!E2290</f>
        <v>63.64</v>
      </c>
      <c r="F2289">
        <f>'raw data Crude oil'!F2290</f>
        <v>63.64</v>
      </c>
      <c r="G2289">
        <f>'raw data Crude oil'!G2290</f>
        <v>63.65</v>
      </c>
      <c r="H2289">
        <f>'raw data Crude oil'!H2290</f>
        <v>63.63</v>
      </c>
      <c r="I2289">
        <f>'raw data Crude oil'!I2290</f>
        <v>63.6</v>
      </c>
      <c r="J2289">
        <f>'raw data Crude oil'!J2290</f>
        <v>63.57</v>
      </c>
      <c r="K2289">
        <f>'raw data Crude oil'!K2290</f>
        <v>63.54</v>
      </c>
      <c r="L2289">
        <f>'raw data Crude oil'!L2290</f>
        <v>63.53</v>
      </c>
      <c r="M2289">
        <f>'raw data Crude oil'!M2290</f>
        <v>63.55</v>
      </c>
      <c r="N2289">
        <f>'raw data Crude oil'!N2290</f>
        <v>60.13</v>
      </c>
      <c r="O2289">
        <f>'raw data Crude oil'!O2290</f>
        <v>60.03</v>
      </c>
      <c r="P2289">
        <f>'raw data Crude oil'!P2290</f>
        <v>59.89</v>
      </c>
      <c r="Q2289">
        <f>'raw data Crude oil'!Q2290</f>
        <v>59.85</v>
      </c>
      <c r="R2289">
        <f>'raw data Crude oil'!R2290</f>
        <v>59.9</v>
      </c>
      <c r="S2289">
        <f>'raw data Crude oil'!S2290</f>
        <v>59.99</v>
      </c>
      <c r="T2289">
        <f>'raw data Crude oil'!T2290</f>
        <v>60.06</v>
      </c>
      <c r="U2289">
        <f>'raw data Crude oil'!U2290</f>
        <v>60.11</v>
      </c>
      <c r="V2289">
        <f>'raw data Crude oil'!V2290</f>
        <v>60.11</v>
      </c>
      <c r="W2289">
        <f>'raw data Crude oil'!W2290</f>
        <v>60.07</v>
      </c>
      <c r="X2289">
        <f>'raw data Crude oil'!X2290</f>
        <v>60.02</v>
      </c>
      <c r="Y2289">
        <f>'raw data Crude oil'!Y2290</f>
        <v>60</v>
      </c>
      <c r="Z2289">
        <f>'raw data Crude oil'!Z2290</f>
        <v>65.292000000000002</v>
      </c>
      <c r="AA2289">
        <f>'raw data Crude oil'!AA2290</f>
        <v>64.688000000000002</v>
      </c>
      <c r="AB2289">
        <f>'raw data Crude oil'!AB2290</f>
        <v>64.317999999999998</v>
      </c>
      <c r="AC2289">
        <f>'raw data Crude oil'!AC2290</f>
        <v>64.099999999999994</v>
      </c>
      <c r="AD2289">
        <f>'raw data Crude oil'!AD2290</f>
        <v>63.978999999999999</v>
      </c>
      <c r="AE2289">
        <f>'raw data Crude oil'!AE2290</f>
        <v>63.92</v>
      </c>
      <c r="AF2289">
        <f>'raw data Crude oil'!AF2290</f>
        <v>63.871000000000002</v>
      </c>
      <c r="AG2289">
        <f>'raw data Crude oil'!AG2290</f>
        <v>63.822000000000003</v>
      </c>
      <c r="AH2289">
        <f>'raw data Crude oil'!AH2290</f>
        <v>63.764000000000003</v>
      </c>
      <c r="AI2289">
        <f>'raw data Crude oil'!AI2290</f>
        <v>63.704999999999998</v>
      </c>
      <c r="AJ2289">
        <f>'raw data Crude oil'!AJ2290</f>
        <v>63.667999999999999</v>
      </c>
      <c r="AK2289">
        <f>'raw data Crude oil'!AK2290</f>
        <v>63.683</v>
      </c>
    </row>
    <row r="2290" spans="1:37" x14ac:dyDescent="0.3">
      <c r="A2290" s="18">
        <f>'raw data Crude oil'!A2291</f>
        <v>45972</v>
      </c>
      <c r="B2290">
        <f>'raw data Crude oil'!B2291</f>
        <v>65.16</v>
      </c>
      <c r="C2290">
        <f>'raw data Crude oil'!C2291</f>
        <v>64.87</v>
      </c>
      <c r="D2290">
        <f>'raw data Crude oil'!D2291</f>
        <v>64.7</v>
      </c>
      <c r="E2290">
        <f>'raw data Crude oil'!E2291</f>
        <v>64.62</v>
      </c>
      <c r="F2290">
        <f>'raw data Crude oil'!F2291</f>
        <v>64.59</v>
      </c>
      <c r="G2290">
        <f>'raw data Crude oil'!G2291</f>
        <v>64.56</v>
      </c>
      <c r="H2290">
        <f>'raw data Crude oil'!H2291</f>
        <v>64.510000000000005</v>
      </c>
      <c r="I2290">
        <f>'raw data Crude oil'!I2291</f>
        <v>64.45</v>
      </c>
      <c r="J2290">
        <f>'raw data Crude oil'!J2291</f>
        <v>64.39</v>
      </c>
      <c r="K2290">
        <f>'raw data Crude oil'!K2291</f>
        <v>64.33</v>
      </c>
      <c r="L2290">
        <f>'raw data Crude oil'!L2291</f>
        <v>64.28</v>
      </c>
      <c r="M2290">
        <f>'raw data Crude oil'!M2291</f>
        <v>64.260000000000005</v>
      </c>
      <c r="N2290">
        <f>'raw data Crude oil'!N2291</f>
        <v>61.04</v>
      </c>
      <c r="O2290">
        <f>'raw data Crude oil'!O2291</f>
        <v>60.99</v>
      </c>
      <c r="P2290">
        <f>'raw data Crude oil'!P2291</f>
        <v>60.87</v>
      </c>
      <c r="Q2290">
        <f>'raw data Crude oil'!Q2291</f>
        <v>60.82</v>
      </c>
      <c r="R2290">
        <f>'raw data Crude oil'!R2291</f>
        <v>60.84</v>
      </c>
      <c r="S2290">
        <f>'raw data Crude oil'!S2291</f>
        <v>60.9</v>
      </c>
      <c r="T2290">
        <f>'raw data Crude oil'!T2291</f>
        <v>60.94</v>
      </c>
      <c r="U2290">
        <f>'raw data Crude oil'!U2291</f>
        <v>60.96</v>
      </c>
      <c r="V2290">
        <f>'raw data Crude oil'!V2291</f>
        <v>60.93</v>
      </c>
      <c r="W2290">
        <f>'raw data Crude oil'!W2291</f>
        <v>60.87</v>
      </c>
      <c r="X2290">
        <f>'raw data Crude oil'!X2291</f>
        <v>60.79</v>
      </c>
      <c r="Y2290">
        <f>'raw data Crude oil'!Y2291</f>
        <v>60.74</v>
      </c>
      <c r="Z2290">
        <f>'raw data Crude oil'!Z2291</f>
        <v>65.751999999999995</v>
      </c>
      <c r="AA2290">
        <f>'raw data Crude oil'!AA2291</f>
        <v>65.757999999999996</v>
      </c>
      <c r="AB2290">
        <f>'raw data Crude oil'!AB2291</f>
        <v>65.388999999999996</v>
      </c>
      <c r="AC2290">
        <f>'raw data Crude oil'!AC2291</f>
        <v>65.134</v>
      </c>
      <c r="AD2290">
        <f>'raw data Crude oil'!AD2291</f>
        <v>64.974000000000004</v>
      </c>
      <c r="AE2290">
        <f>'raw data Crude oil'!AE2291</f>
        <v>64.888000000000005</v>
      </c>
      <c r="AF2290">
        <f>'raw data Crude oil'!AF2291</f>
        <v>64.819000000000003</v>
      </c>
      <c r="AG2290">
        <f>'raw data Crude oil'!AG2291</f>
        <v>64.739000000000004</v>
      </c>
      <c r="AH2290">
        <f>'raw data Crude oil'!AH2291</f>
        <v>64.638999999999996</v>
      </c>
      <c r="AI2290">
        <f>'raw data Crude oil'!AI2291</f>
        <v>64.548000000000002</v>
      </c>
      <c r="AJ2290">
        <f>'raw data Crude oil'!AJ2291</f>
        <v>64.471999999999994</v>
      </c>
      <c r="AK2290">
        <f>'raw data Crude oil'!AK2291</f>
        <v>64.438999999999993</v>
      </c>
    </row>
    <row r="2291" spans="1:37" x14ac:dyDescent="0.3">
      <c r="A2291" s="18">
        <f>'raw data Crude oil'!A2292</f>
        <v>45973</v>
      </c>
      <c r="B2291">
        <f>'raw data Crude oil'!B2292</f>
        <v>62.71</v>
      </c>
      <c r="C2291">
        <f>'raw data Crude oil'!C2292</f>
        <v>62.45</v>
      </c>
      <c r="D2291">
        <f>'raw data Crude oil'!D2292</f>
        <v>62.31</v>
      </c>
      <c r="E2291">
        <f>'raw data Crude oil'!E2292</f>
        <v>62.26</v>
      </c>
      <c r="F2291">
        <f>'raw data Crude oil'!F2292</f>
        <v>62.27</v>
      </c>
      <c r="G2291">
        <f>'raw data Crude oil'!G2292</f>
        <v>62.3</v>
      </c>
      <c r="H2291">
        <f>'raw data Crude oil'!H2292</f>
        <v>62.3</v>
      </c>
      <c r="I2291">
        <f>'raw data Crude oil'!I2292</f>
        <v>62.3</v>
      </c>
      <c r="J2291">
        <f>'raw data Crude oil'!J2292</f>
        <v>62.28</v>
      </c>
      <c r="K2291">
        <f>'raw data Crude oil'!K2292</f>
        <v>62.27</v>
      </c>
      <c r="L2291">
        <f>'raw data Crude oil'!L2292</f>
        <v>62.27</v>
      </c>
      <c r="M2291">
        <f>'raw data Crude oil'!M2292</f>
        <v>62.28</v>
      </c>
      <c r="N2291">
        <f>'raw data Crude oil'!N2292</f>
        <v>58.49</v>
      </c>
      <c r="O2291">
        <f>'raw data Crude oil'!O2292</f>
        <v>58.49</v>
      </c>
      <c r="P2291">
        <f>'raw data Crude oil'!P2292</f>
        <v>58.42</v>
      </c>
      <c r="Q2291">
        <f>'raw data Crude oil'!Q2292</f>
        <v>58.42</v>
      </c>
      <c r="R2291">
        <f>'raw data Crude oil'!R2292</f>
        <v>58.49</v>
      </c>
      <c r="S2291">
        <f>'raw data Crude oil'!S2292</f>
        <v>58.6</v>
      </c>
      <c r="T2291">
        <f>'raw data Crude oil'!T2292</f>
        <v>58.69</v>
      </c>
      <c r="U2291">
        <f>'raw data Crude oil'!U2292</f>
        <v>58.76</v>
      </c>
      <c r="V2291">
        <f>'raw data Crude oil'!V2292</f>
        <v>58.78</v>
      </c>
      <c r="W2291">
        <f>'raw data Crude oil'!W2292</f>
        <v>58.76</v>
      </c>
      <c r="X2291">
        <f>'raw data Crude oil'!X2292</f>
        <v>58.73</v>
      </c>
      <c r="Y2291">
        <f>'raw data Crude oil'!Y2292</f>
        <v>58.72</v>
      </c>
      <c r="Z2291">
        <f>'raw data Crude oil'!Z2292</f>
        <v>64.090999999999994</v>
      </c>
      <c r="AA2291">
        <f>'raw data Crude oil'!AA2292</f>
        <v>63.087000000000003</v>
      </c>
      <c r="AB2291">
        <f>'raw data Crude oil'!AB2292</f>
        <v>62.857999999999997</v>
      </c>
      <c r="AC2291">
        <f>'raw data Crude oil'!AC2292</f>
        <v>62.701000000000001</v>
      </c>
      <c r="AD2291">
        <f>'raw data Crude oil'!AD2292</f>
        <v>62.622</v>
      </c>
      <c r="AE2291">
        <f>'raw data Crude oil'!AE2292</f>
        <v>62.627000000000002</v>
      </c>
      <c r="AF2291">
        <f>'raw data Crude oil'!AF2292</f>
        <v>62.628999999999998</v>
      </c>
      <c r="AG2291">
        <f>'raw data Crude oil'!AG2292</f>
        <v>62.616999999999997</v>
      </c>
      <c r="AH2291">
        <f>'raw data Crude oil'!AH2292</f>
        <v>62.587000000000003</v>
      </c>
      <c r="AI2291">
        <f>'raw data Crude oil'!AI2292</f>
        <v>62.56</v>
      </c>
      <c r="AJ2291">
        <f>'raw data Crude oil'!AJ2292</f>
        <v>62.540999999999997</v>
      </c>
      <c r="AK2291">
        <f>'raw data Crude oil'!AK2292</f>
        <v>62.531999999999996</v>
      </c>
    </row>
    <row r="2292" spans="1:37" x14ac:dyDescent="0.3">
      <c r="A2292" s="18">
        <f>'raw data Crude oil'!A2293</f>
        <v>45974</v>
      </c>
      <c r="B2292">
        <f>'raw data Crude oil'!B2293</f>
        <v>63.01</v>
      </c>
      <c r="C2292">
        <f>'raw data Crude oil'!C2293</f>
        <v>62.64</v>
      </c>
      <c r="D2292">
        <f>'raw data Crude oil'!D2293</f>
        <v>62.43</v>
      </c>
      <c r="E2292">
        <f>'raw data Crude oil'!E2293</f>
        <v>62.34</v>
      </c>
      <c r="F2292">
        <f>'raw data Crude oil'!F2293</f>
        <v>62.33</v>
      </c>
      <c r="G2292">
        <f>'raw data Crude oil'!G2293</f>
        <v>62.34</v>
      </c>
      <c r="H2292">
        <f>'raw data Crude oil'!H2293</f>
        <v>62.33</v>
      </c>
      <c r="I2292">
        <f>'raw data Crude oil'!I2293</f>
        <v>62.31</v>
      </c>
      <c r="J2292">
        <f>'raw data Crude oil'!J2293</f>
        <v>62.29</v>
      </c>
      <c r="K2292">
        <f>'raw data Crude oil'!K2293</f>
        <v>62.27</v>
      </c>
      <c r="L2292">
        <f>'raw data Crude oil'!L2293</f>
        <v>62.26</v>
      </c>
      <c r="M2292">
        <f>'raw data Crude oil'!M2293</f>
        <v>62.28</v>
      </c>
      <c r="N2292">
        <f>'raw data Crude oil'!N2293</f>
        <v>58.69</v>
      </c>
      <c r="O2292">
        <f>'raw data Crude oil'!O2293</f>
        <v>58.64</v>
      </c>
      <c r="P2292">
        <f>'raw data Crude oil'!P2293</f>
        <v>58.52</v>
      </c>
      <c r="Q2292">
        <f>'raw data Crude oil'!Q2293</f>
        <v>58.46</v>
      </c>
      <c r="R2292">
        <f>'raw data Crude oil'!R2293</f>
        <v>58.49</v>
      </c>
      <c r="S2292">
        <f>'raw data Crude oil'!S2293</f>
        <v>58.57</v>
      </c>
      <c r="T2292">
        <f>'raw data Crude oil'!T2293</f>
        <v>58.65</v>
      </c>
      <c r="U2292">
        <f>'raw data Crude oil'!U2293</f>
        <v>58.71</v>
      </c>
      <c r="V2292">
        <f>'raw data Crude oil'!V2293</f>
        <v>58.73</v>
      </c>
      <c r="W2292">
        <f>'raw data Crude oil'!W2293</f>
        <v>58.72</v>
      </c>
      <c r="X2292">
        <f>'raw data Crude oil'!X2293</f>
        <v>58.69</v>
      </c>
      <c r="Y2292">
        <f>'raw data Crude oil'!Y2293</f>
        <v>58.69</v>
      </c>
      <c r="Z2292">
        <f>'raw data Crude oil'!Z2293</f>
        <v>64.414000000000001</v>
      </c>
      <c r="AA2292">
        <f>'raw data Crude oil'!AA2293</f>
        <v>63.460999999999999</v>
      </c>
      <c r="AB2292">
        <f>'raw data Crude oil'!AB2293</f>
        <v>63.182000000000002</v>
      </c>
      <c r="AC2292">
        <f>'raw data Crude oil'!AC2293</f>
        <v>62.965000000000003</v>
      </c>
      <c r="AD2292">
        <f>'raw data Crude oil'!AD2293</f>
        <v>62.845999999999997</v>
      </c>
      <c r="AE2292">
        <f>'raw data Crude oil'!AE2293</f>
        <v>62.82</v>
      </c>
      <c r="AF2292">
        <f>'raw data Crude oil'!AF2293</f>
        <v>62.798999999999999</v>
      </c>
      <c r="AG2292">
        <f>'raw data Crude oil'!AG2293</f>
        <v>62.77</v>
      </c>
      <c r="AH2292">
        <f>'raw data Crude oil'!AH2293</f>
        <v>62.720999999999997</v>
      </c>
      <c r="AI2292">
        <f>'raw data Crude oil'!AI2293</f>
        <v>62.682000000000002</v>
      </c>
      <c r="AJ2292">
        <f>'raw data Crude oil'!AJ2293</f>
        <v>62.655000000000001</v>
      </c>
      <c r="AK2292">
        <f>'raw data Crude oil'!AK2293</f>
        <v>62.645000000000003</v>
      </c>
    </row>
    <row r="2293" spans="1:37" x14ac:dyDescent="0.3">
      <c r="A2293" s="18">
        <f>'raw data Crude oil'!A2294</f>
        <v>45975</v>
      </c>
      <c r="B2293">
        <f>'raw data Crude oil'!B2294</f>
        <v>64.39</v>
      </c>
      <c r="C2293">
        <f>'raw data Crude oil'!C2294</f>
        <v>63.92</v>
      </c>
      <c r="D2293">
        <f>'raw data Crude oil'!D2294</f>
        <v>63.62</v>
      </c>
      <c r="E2293">
        <f>'raw data Crude oil'!E2294</f>
        <v>63.44</v>
      </c>
      <c r="F2293">
        <f>'raw data Crude oil'!F2294</f>
        <v>63.37</v>
      </c>
      <c r="G2293">
        <f>'raw data Crude oil'!G2294</f>
        <v>63.34</v>
      </c>
      <c r="H2293">
        <f>'raw data Crude oil'!H2294</f>
        <v>63.29</v>
      </c>
      <c r="I2293">
        <f>'raw data Crude oil'!I2294</f>
        <v>63.22</v>
      </c>
      <c r="J2293">
        <f>'raw data Crude oil'!J2294</f>
        <v>63.16</v>
      </c>
      <c r="K2293">
        <f>'raw data Crude oil'!K2294</f>
        <v>63.11</v>
      </c>
      <c r="L2293">
        <f>'raw data Crude oil'!L2294</f>
        <v>63.07</v>
      </c>
      <c r="M2293">
        <f>'raw data Crude oil'!M2294</f>
        <v>63.06</v>
      </c>
      <c r="N2293">
        <f>'raw data Crude oil'!N2294</f>
        <v>60.09</v>
      </c>
      <c r="O2293">
        <f>'raw data Crude oil'!O2294</f>
        <v>59.95</v>
      </c>
      <c r="P2293">
        <f>'raw data Crude oil'!P2294</f>
        <v>59.78</v>
      </c>
      <c r="Q2293">
        <f>'raw data Crude oil'!Q2294</f>
        <v>59.63</v>
      </c>
      <c r="R2293">
        <f>'raw data Crude oil'!R2294</f>
        <v>59.58</v>
      </c>
      <c r="S2293">
        <f>'raw data Crude oil'!S2294</f>
        <v>59.6</v>
      </c>
      <c r="T2293">
        <f>'raw data Crude oil'!T2294</f>
        <v>59.63</v>
      </c>
      <c r="U2293">
        <f>'raw data Crude oil'!U2294</f>
        <v>59.65</v>
      </c>
      <c r="V2293">
        <f>'raw data Crude oil'!V2294</f>
        <v>59.62</v>
      </c>
      <c r="W2293">
        <f>'raw data Crude oil'!W2294</f>
        <v>59.57</v>
      </c>
      <c r="X2293">
        <f>'raw data Crude oil'!X2294</f>
        <v>59.51</v>
      </c>
      <c r="Y2293">
        <f>'raw data Crude oil'!Y2294</f>
        <v>59.48</v>
      </c>
      <c r="Z2293">
        <f>'raw data Crude oil'!Z2294</f>
        <v>65.111000000000004</v>
      </c>
      <c r="AA2293">
        <f>'raw data Crude oil'!AA2294</f>
        <v>64.644000000000005</v>
      </c>
      <c r="AB2293">
        <f>'raw data Crude oil'!AB2294</f>
        <v>64.302999999999997</v>
      </c>
      <c r="AC2293">
        <f>'raw data Crude oil'!AC2294</f>
        <v>64.049000000000007</v>
      </c>
      <c r="AD2293">
        <f>'raw data Crude oil'!AD2294</f>
        <v>63.896999999999998</v>
      </c>
      <c r="AE2293">
        <f>'raw data Crude oil'!AE2294</f>
        <v>63.831000000000003</v>
      </c>
      <c r="AF2293">
        <f>'raw data Crude oil'!AF2294</f>
        <v>63.771999999999998</v>
      </c>
      <c r="AG2293">
        <f>'raw data Crude oil'!AG2294</f>
        <v>63.701000000000001</v>
      </c>
      <c r="AH2293">
        <f>'raw data Crude oil'!AH2294</f>
        <v>63.631</v>
      </c>
      <c r="AI2293">
        <f>'raw data Crude oil'!AI2294</f>
        <v>63.561</v>
      </c>
      <c r="AJ2293">
        <f>'raw data Crude oil'!AJ2294</f>
        <v>63.496000000000002</v>
      </c>
      <c r="AK2293">
        <f>'raw data Crude oil'!AK2294</f>
        <v>63.475999999999999</v>
      </c>
    </row>
    <row r="2294" spans="1:37" x14ac:dyDescent="0.3">
      <c r="A2294" s="18">
        <f>'raw data Crude oil'!A2295</f>
        <v>45978</v>
      </c>
      <c r="B2294">
        <f>'raw data Crude oil'!B2295</f>
        <v>64.2</v>
      </c>
      <c r="C2294">
        <f>'raw data Crude oil'!C2295</f>
        <v>63.76</v>
      </c>
      <c r="D2294">
        <f>'raw data Crude oil'!D2295</f>
        <v>63.48</v>
      </c>
      <c r="E2294">
        <f>'raw data Crude oil'!E2295</f>
        <v>63.32</v>
      </c>
      <c r="F2294">
        <f>'raw data Crude oil'!F2295</f>
        <v>63.25</v>
      </c>
      <c r="G2294">
        <f>'raw data Crude oil'!G2295</f>
        <v>63.23</v>
      </c>
      <c r="H2294">
        <f>'raw data Crude oil'!H2295</f>
        <v>63.2</v>
      </c>
      <c r="I2294">
        <f>'raw data Crude oil'!I2295</f>
        <v>63.15</v>
      </c>
      <c r="J2294">
        <f>'raw data Crude oil'!J2295</f>
        <v>63.09</v>
      </c>
      <c r="K2294">
        <f>'raw data Crude oil'!K2295</f>
        <v>63.04</v>
      </c>
      <c r="L2294">
        <f>'raw data Crude oil'!L2295</f>
        <v>63.01</v>
      </c>
      <c r="M2294">
        <f>'raw data Crude oil'!M2295</f>
        <v>63.01</v>
      </c>
      <c r="N2294">
        <f>'raw data Crude oil'!N2295</f>
        <v>59.91</v>
      </c>
      <c r="O2294">
        <f>'raw data Crude oil'!O2295</f>
        <v>59.86</v>
      </c>
      <c r="P2294">
        <f>'raw data Crude oil'!P2295</f>
        <v>59.69</v>
      </c>
      <c r="Q2294">
        <f>'raw data Crude oil'!Q2295</f>
        <v>59.55</v>
      </c>
      <c r="R2294">
        <f>'raw data Crude oil'!R2295</f>
        <v>59.5</v>
      </c>
      <c r="S2294">
        <f>'raw data Crude oil'!S2295</f>
        <v>59.51</v>
      </c>
      <c r="T2294">
        <f>'raw data Crude oil'!T2295</f>
        <v>59.54</v>
      </c>
      <c r="U2294">
        <f>'raw data Crude oil'!U2295</f>
        <v>59.55</v>
      </c>
      <c r="V2294">
        <f>'raw data Crude oil'!V2295</f>
        <v>59.54</v>
      </c>
      <c r="W2294">
        <f>'raw data Crude oil'!W2295</f>
        <v>59.49</v>
      </c>
      <c r="X2294">
        <f>'raw data Crude oil'!X2295</f>
        <v>59.43</v>
      </c>
      <c r="Y2294">
        <f>'raw data Crude oil'!Y2295</f>
        <v>59.4</v>
      </c>
      <c r="Z2294">
        <f>'raw data Crude oil'!Z2295</f>
        <v>64.906000000000006</v>
      </c>
      <c r="AA2294">
        <f>'raw data Crude oil'!AA2295</f>
        <v>64.334999999999994</v>
      </c>
      <c r="AB2294">
        <f>'raw data Crude oil'!AB2295</f>
        <v>64.004000000000005</v>
      </c>
      <c r="AC2294">
        <f>'raw data Crude oil'!AC2295</f>
        <v>63.783999999999999</v>
      </c>
      <c r="AD2294">
        <f>'raw data Crude oil'!AD2295</f>
        <v>63.664000000000001</v>
      </c>
      <c r="AE2294">
        <f>'raw data Crude oil'!AE2295</f>
        <v>63.613999999999997</v>
      </c>
      <c r="AF2294">
        <f>'raw data Crude oil'!AF2295</f>
        <v>63.573</v>
      </c>
      <c r="AG2294">
        <f>'raw data Crude oil'!AG2295</f>
        <v>63.515000000000001</v>
      </c>
      <c r="AH2294">
        <f>'raw data Crude oil'!AH2295</f>
        <v>63.445999999999998</v>
      </c>
      <c r="AI2294">
        <f>'raw data Crude oil'!AI2295</f>
        <v>63.384999999999998</v>
      </c>
      <c r="AJ2294">
        <f>'raw data Crude oil'!AJ2295</f>
        <v>63.354999999999997</v>
      </c>
      <c r="AK2294">
        <f>'raw data Crude oil'!AK2295</f>
        <v>63.344000000000001</v>
      </c>
    </row>
    <row r="2295" spans="1:37" x14ac:dyDescent="0.3">
      <c r="A2295" s="18">
        <f>'raw data Crude oil'!A2296</f>
        <v>45979</v>
      </c>
      <c r="B2295">
        <f>'raw data Crude oil'!B2296</f>
        <v>64.89</v>
      </c>
      <c r="C2295">
        <f>'raw data Crude oil'!C2296</f>
        <v>64.430000000000007</v>
      </c>
      <c r="D2295">
        <f>'raw data Crude oil'!D2296</f>
        <v>64.11</v>
      </c>
      <c r="E2295">
        <f>'raw data Crude oil'!E2296</f>
        <v>63.9</v>
      </c>
      <c r="F2295">
        <f>'raw data Crude oil'!F2296</f>
        <v>63.8</v>
      </c>
      <c r="G2295">
        <f>'raw data Crude oil'!G2296</f>
        <v>63.75</v>
      </c>
      <c r="H2295">
        <f>'raw data Crude oil'!H2296</f>
        <v>63.69</v>
      </c>
      <c r="I2295">
        <f>'raw data Crude oil'!I2296</f>
        <v>63.61</v>
      </c>
      <c r="J2295">
        <f>'raw data Crude oil'!J2296</f>
        <v>63.53</v>
      </c>
      <c r="K2295">
        <f>'raw data Crude oil'!K2296</f>
        <v>63.46</v>
      </c>
      <c r="L2295">
        <f>'raw data Crude oil'!L2296</f>
        <v>63.41</v>
      </c>
      <c r="M2295">
        <f>'raw data Crude oil'!M2296</f>
        <v>63.38</v>
      </c>
      <c r="N2295">
        <f>'raw data Crude oil'!N2296</f>
        <v>60.74</v>
      </c>
      <c r="O2295">
        <f>'raw data Crude oil'!O2296</f>
        <v>60.67</v>
      </c>
      <c r="P2295">
        <f>'raw data Crude oil'!P2296</f>
        <v>60.43</v>
      </c>
      <c r="Q2295">
        <f>'raw data Crude oil'!Q2296</f>
        <v>60.22</v>
      </c>
      <c r="R2295">
        <f>'raw data Crude oil'!R2296</f>
        <v>60.11</v>
      </c>
      <c r="S2295">
        <f>'raw data Crude oil'!S2296</f>
        <v>60.07</v>
      </c>
      <c r="T2295">
        <f>'raw data Crude oil'!T2296</f>
        <v>60.07</v>
      </c>
      <c r="U2295">
        <f>'raw data Crude oil'!U2296</f>
        <v>60.06</v>
      </c>
      <c r="V2295">
        <f>'raw data Crude oil'!V2296</f>
        <v>60.02</v>
      </c>
      <c r="W2295">
        <f>'raw data Crude oil'!W2296</f>
        <v>59.93</v>
      </c>
      <c r="X2295">
        <f>'raw data Crude oil'!X2296</f>
        <v>59.85</v>
      </c>
      <c r="Y2295">
        <f>'raw data Crude oil'!Y2296</f>
        <v>59.79</v>
      </c>
      <c r="Z2295">
        <f>'raw data Crude oil'!Z2296</f>
        <v>65.231999999999999</v>
      </c>
      <c r="AA2295">
        <f>'raw data Crude oil'!AA2296</f>
        <v>65.075000000000003</v>
      </c>
      <c r="AB2295">
        <f>'raw data Crude oil'!AB2296</f>
        <v>64.695999999999998</v>
      </c>
      <c r="AC2295">
        <f>'raw data Crude oil'!AC2296</f>
        <v>64.427999999999997</v>
      </c>
      <c r="AD2295">
        <f>'raw data Crude oil'!AD2296</f>
        <v>64.287999999999997</v>
      </c>
      <c r="AE2295">
        <f>'raw data Crude oil'!AE2296</f>
        <v>64.215999999999994</v>
      </c>
      <c r="AF2295">
        <f>'raw data Crude oil'!AF2296</f>
        <v>64.146000000000001</v>
      </c>
      <c r="AG2295">
        <f>'raw data Crude oil'!AG2296</f>
        <v>64.066000000000003</v>
      </c>
      <c r="AH2295">
        <f>'raw data Crude oil'!AH2296</f>
        <v>63.957999999999998</v>
      </c>
      <c r="AI2295">
        <f>'raw data Crude oil'!AI2296</f>
        <v>63.871000000000002</v>
      </c>
      <c r="AJ2295">
        <f>'raw data Crude oil'!AJ2296</f>
        <v>63.82</v>
      </c>
      <c r="AK2295">
        <f>'raw data Crude oil'!AK2296</f>
        <v>63.75</v>
      </c>
    </row>
    <row r="2296" spans="1:37" x14ac:dyDescent="0.3">
      <c r="A2296" s="18">
        <f>'raw data Crude oil'!A2297</f>
        <v>45980</v>
      </c>
      <c r="B2296">
        <f>'raw data Crude oil'!B2297</f>
        <v>63.51</v>
      </c>
      <c r="C2296">
        <f>'raw data Crude oil'!C2297</f>
        <v>63</v>
      </c>
      <c r="D2296">
        <f>'raw data Crude oil'!D2297</f>
        <v>62.65</v>
      </c>
      <c r="E2296">
        <f>'raw data Crude oil'!E2297</f>
        <v>62.45</v>
      </c>
      <c r="F2296">
        <f>'raw data Crude oil'!F2297</f>
        <v>62.36</v>
      </c>
      <c r="G2296">
        <f>'raw data Crude oil'!G2297</f>
        <v>62.33</v>
      </c>
      <c r="H2296">
        <f>'raw data Crude oil'!H2297</f>
        <v>62.28</v>
      </c>
      <c r="I2296">
        <f>'raw data Crude oil'!I2297</f>
        <v>62.23</v>
      </c>
      <c r="J2296">
        <f>'raw data Crude oil'!J2297</f>
        <v>62.16</v>
      </c>
      <c r="K2296">
        <f>'raw data Crude oil'!K2297</f>
        <v>62.11</v>
      </c>
      <c r="L2296">
        <f>'raw data Crude oil'!L2297</f>
        <v>62.08</v>
      </c>
      <c r="M2296">
        <f>'raw data Crude oil'!M2297</f>
        <v>62.07</v>
      </c>
      <c r="N2296">
        <f>'raw data Crude oil'!N2297</f>
        <v>59.44</v>
      </c>
      <c r="O2296">
        <f>'raw data Crude oil'!O2297</f>
        <v>59.25</v>
      </c>
      <c r="P2296">
        <f>'raw data Crude oil'!P2297</f>
        <v>58.97</v>
      </c>
      <c r="Q2296">
        <f>'raw data Crude oil'!Q2297</f>
        <v>58.74</v>
      </c>
      <c r="R2296">
        <f>'raw data Crude oil'!R2297</f>
        <v>58.62</v>
      </c>
      <c r="S2296">
        <f>'raw data Crude oil'!S2297</f>
        <v>58.61</v>
      </c>
      <c r="T2296">
        <f>'raw data Crude oil'!T2297</f>
        <v>58.63</v>
      </c>
      <c r="U2296">
        <f>'raw data Crude oil'!U2297</f>
        <v>58.64</v>
      </c>
      <c r="V2296">
        <f>'raw data Crude oil'!V2297</f>
        <v>58.61</v>
      </c>
      <c r="W2296">
        <f>'raw data Crude oil'!W2297</f>
        <v>58.55</v>
      </c>
      <c r="X2296">
        <f>'raw data Crude oil'!X2297</f>
        <v>58.48</v>
      </c>
      <c r="Y2296">
        <f>'raw data Crude oil'!Y2297</f>
        <v>58.44</v>
      </c>
      <c r="Z2296">
        <f>'raw data Crude oil'!Z2297</f>
        <v>64.56</v>
      </c>
      <c r="AA2296">
        <f>'raw data Crude oil'!AA2297</f>
        <v>63.518999999999998</v>
      </c>
      <c r="AB2296">
        <f>'raw data Crude oil'!AB2297</f>
        <v>63.16</v>
      </c>
      <c r="AC2296">
        <f>'raw data Crude oil'!AC2297</f>
        <v>62.930999999999997</v>
      </c>
      <c r="AD2296">
        <f>'raw data Crude oil'!AD2297</f>
        <v>62.798999999999999</v>
      </c>
      <c r="AE2296">
        <f>'raw data Crude oil'!AE2297</f>
        <v>62.747999999999998</v>
      </c>
      <c r="AF2296">
        <f>'raw data Crude oil'!AF2297</f>
        <v>62.688000000000002</v>
      </c>
      <c r="AG2296">
        <f>'raw data Crude oil'!AG2297</f>
        <v>62.628</v>
      </c>
      <c r="AH2296">
        <f>'raw data Crude oil'!AH2297</f>
        <v>62.548000000000002</v>
      </c>
      <c r="AI2296">
        <f>'raw data Crude oil'!AI2297</f>
        <v>62.481999999999999</v>
      </c>
      <c r="AJ2296">
        <f>'raw data Crude oil'!AJ2297</f>
        <v>62.43</v>
      </c>
      <c r="AK2296">
        <f>'raw data Crude oil'!AK2297</f>
        <v>62.408999999999999</v>
      </c>
    </row>
    <row r="2297" spans="1:37" x14ac:dyDescent="0.3">
      <c r="A2297" s="18">
        <f>'raw data Crude oil'!A2298</f>
        <v>45981</v>
      </c>
      <c r="B2297">
        <f>'raw data Crude oil'!B2298</f>
        <v>63.38</v>
      </c>
      <c r="C2297">
        <f>'raw data Crude oil'!C2298</f>
        <v>62.8</v>
      </c>
      <c r="D2297">
        <f>'raw data Crude oil'!D2298</f>
        <v>62.41</v>
      </c>
      <c r="E2297">
        <f>'raw data Crude oil'!E2298</f>
        <v>62.18</v>
      </c>
      <c r="F2297">
        <f>'raw data Crude oil'!F2298</f>
        <v>62.09</v>
      </c>
      <c r="G2297">
        <f>'raw data Crude oil'!G2298</f>
        <v>62.07</v>
      </c>
      <c r="H2297">
        <f>'raw data Crude oil'!H2298</f>
        <v>62.04</v>
      </c>
      <c r="I2297">
        <f>'raw data Crude oil'!I2298</f>
        <v>62</v>
      </c>
      <c r="J2297">
        <f>'raw data Crude oil'!J2298</f>
        <v>61.95</v>
      </c>
      <c r="K2297">
        <f>'raw data Crude oil'!K2298</f>
        <v>61.92</v>
      </c>
      <c r="L2297">
        <f>'raw data Crude oil'!L2298</f>
        <v>61.9</v>
      </c>
      <c r="M2297">
        <f>'raw data Crude oil'!M2298</f>
        <v>61.91</v>
      </c>
      <c r="N2297">
        <f>'raw data Crude oil'!N2298</f>
        <v>59.14</v>
      </c>
      <c r="O2297">
        <f>'raw data Crude oil'!O2298</f>
        <v>59</v>
      </c>
      <c r="P2297">
        <f>'raw data Crude oil'!P2298</f>
        <v>58.69</v>
      </c>
      <c r="Q2297">
        <f>'raw data Crude oil'!Q2298</f>
        <v>58.46</v>
      </c>
      <c r="R2297">
        <f>'raw data Crude oil'!R2298</f>
        <v>58.35</v>
      </c>
      <c r="S2297">
        <f>'raw data Crude oil'!S2298</f>
        <v>58.34</v>
      </c>
      <c r="T2297">
        <f>'raw data Crude oil'!T2298</f>
        <v>58.37</v>
      </c>
      <c r="U2297">
        <f>'raw data Crude oil'!U2298</f>
        <v>58.38</v>
      </c>
      <c r="V2297">
        <f>'raw data Crude oil'!V2298</f>
        <v>58.36</v>
      </c>
      <c r="W2297">
        <f>'raw data Crude oil'!W2298</f>
        <v>58.32</v>
      </c>
      <c r="X2297">
        <f>'raw data Crude oil'!X2298</f>
        <v>58.27</v>
      </c>
      <c r="Y2297">
        <f>'raw data Crude oil'!Y2298</f>
        <v>58.25</v>
      </c>
      <c r="Z2297">
        <f>'raw data Crude oil'!Z2298</f>
        <v>64.650000000000006</v>
      </c>
      <c r="AA2297">
        <f>'raw data Crude oil'!AA2298</f>
        <v>63.475000000000001</v>
      </c>
      <c r="AB2297">
        <f>'raw data Crude oil'!AB2298</f>
        <v>63.018999999999998</v>
      </c>
      <c r="AC2297">
        <f>'raw data Crude oil'!AC2298</f>
        <v>62.746000000000002</v>
      </c>
      <c r="AD2297">
        <f>'raw data Crude oil'!AD2298</f>
        <v>62.606000000000002</v>
      </c>
      <c r="AE2297">
        <f>'raw data Crude oil'!AE2298</f>
        <v>62.573</v>
      </c>
      <c r="AF2297">
        <f>'raw data Crude oil'!AF2298</f>
        <v>62.539000000000001</v>
      </c>
      <c r="AG2297">
        <f>'raw data Crude oil'!AG2298</f>
        <v>62.488</v>
      </c>
      <c r="AH2297">
        <f>'raw data Crude oil'!AH2298</f>
        <v>62.426000000000002</v>
      </c>
      <c r="AI2297">
        <f>'raw data Crude oil'!AI2298</f>
        <v>62.38</v>
      </c>
      <c r="AJ2297">
        <f>'raw data Crude oil'!AJ2298</f>
        <v>62.337000000000003</v>
      </c>
      <c r="AK2297">
        <f>'raw data Crude oil'!AK2298</f>
        <v>62.34</v>
      </c>
    </row>
    <row r="2298" spans="1:37" x14ac:dyDescent="0.3">
      <c r="A2298" s="18">
        <f>'raw data Crude oil'!A2299</f>
        <v>45982</v>
      </c>
      <c r="B2298">
        <f>'raw data Crude oil'!B2299</f>
        <v>62.56</v>
      </c>
      <c r="C2298">
        <f>'raw data Crude oil'!C2299</f>
        <v>61.94</v>
      </c>
      <c r="D2298">
        <f>'raw data Crude oil'!D2299</f>
        <v>61.6</v>
      </c>
      <c r="E2298">
        <f>'raw data Crude oil'!E2299</f>
        <v>61.42</v>
      </c>
      <c r="F2298">
        <f>'raw data Crude oil'!F2299</f>
        <v>61.37</v>
      </c>
      <c r="G2298">
        <f>'raw data Crude oil'!G2299</f>
        <v>61.38</v>
      </c>
      <c r="H2298">
        <f>'raw data Crude oil'!H2299</f>
        <v>61.38</v>
      </c>
      <c r="I2298">
        <f>'raw data Crude oil'!I2299</f>
        <v>61.38</v>
      </c>
      <c r="J2298">
        <f>'raw data Crude oil'!J2299</f>
        <v>61.36</v>
      </c>
      <c r="K2298">
        <f>'raw data Crude oil'!K2299</f>
        <v>61.36</v>
      </c>
      <c r="L2298">
        <f>'raw data Crude oil'!L2299</f>
        <v>61.37</v>
      </c>
      <c r="M2298">
        <f>'raw data Crude oil'!M2299</f>
        <v>61.41</v>
      </c>
      <c r="N2298">
        <f>'raw data Crude oil'!N2299</f>
        <v>58.06</v>
      </c>
      <c r="O2298">
        <f>'raw data Crude oil'!O2299</f>
        <v>57.81</v>
      </c>
      <c r="P2298">
        <f>'raw data Crude oil'!P2299</f>
        <v>57.64</v>
      </c>
      <c r="Q2298">
        <f>'raw data Crude oil'!Q2299</f>
        <v>57.58</v>
      </c>
      <c r="R2298">
        <f>'raw data Crude oil'!R2299</f>
        <v>57.6</v>
      </c>
      <c r="S2298">
        <f>'raw data Crude oil'!S2299</f>
        <v>57.67</v>
      </c>
      <c r="T2298">
        <f>'raw data Crude oil'!T2299</f>
        <v>57.72</v>
      </c>
      <c r="U2298">
        <f>'raw data Crude oil'!U2299</f>
        <v>57.73</v>
      </c>
      <c r="V2298">
        <f>'raw data Crude oil'!V2299</f>
        <v>57.72</v>
      </c>
      <c r="W2298">
        <f>'raw data Crude oil'!W2299</f>
        <v>57.7</v>
      </c>
      <c r="X2298">
        <f>'raw data Crude oil'!X2299</f>
        <v>57.71</v>
      </c>
      <c r="Y2298">
        <f>'raw data Crude oil'!Y2299</f>
        <v>57.75</v>
      </c>
      <c r="Z2298">
        <f>'raw data Crude oil'!Z2299</f>
        <v>64.37</v>
      </c>
      <c r="AA2298">
        <f>'raw data Crude oil'!AA2299</f>
        <v>62.682000000000002</v>
      </c>
      <c r="AB2298">
        <f>'raw data Crude oil'!AB2299</f>
        <v>62.262</v>
      </c>
      <c r="AC2298">
        <f>'raw data Crude oil'!AC2299</f>
        <v>62.021999999999998</v>
      </c>
      <c r="AD2298">
        <f>'raw data Crude oil'!AD2299</f>
        <v>61.902000000000001</v>
      </c>
      <c r="AE2298">
        <f>'raw data Crude oil'!AE2299</f>
        <v>61.871000000000002</v>
      </c>
      <c r="AF2298">
        <f>'raw data Crude oil'!AF2299</f>
        <v>61.85</v>
      </c>
      <c r="AG2298">
        <f>'raw data Crude oil'!AG2299</f>
        <v>61.838999999999999</v>
      </c>
      <c r="AH2298">
        <f>'raw data Crude oil'!AH2299</f>
        <v>61.808999999999997</v>
      </c>
      <c r="AI2298">
        <f>'raw data Crude oil'!AI2299</f>
        <v>61.790999999999997</v>
      </c>
      <c r="AJ2298">
        <f>'raw data Crude oil'!AJ2299</f>
        <v>61.790999999999997</v>
      </c>
      <c r="AK2298">
        <f>'raw data Crude oil'!AK2299</f>
        <v>61.82</v>
      </c>
    </row>
    <row r="2299" spans="1:37" x14ac:dyDescent="0.3">
      <c r="A2299" s="18">
        <f>'raw data Crude oil'!A2300</f>
        <v>45985</v>
      </c>
      <c r="B2299">
        <f>'raw data Crude oil'!B2300</f>
        <v>63.37</v>
      </c>
      <c r="C2299">
        <f>'raw data Crude oil'!C2300</f>
        <v>62.72</v>
      </c>
      <c r="D2299">
        <f>'raw data Crude oil'!D2300</f>
        <v>62.36</v>
      </c>
      <c r="E2299">
        <f>'raw data Crude oil'!E2300</f>
        <v>62.16</v>
      </c>
      <c r="F2299">
        <f>'raw data Crude oil'!F2300</f>
        <v>62.09</v>
      </c>
      <c r="G2299">
        <f>'raw data Crude oil'!G2300</f>
        <v>62.09</v>
      </c>
      <c r="H2299">
        <f>'raw data Crude oil'!H2300</f>
        <v>62.08</v>
      </c>
      <c r="I2299">
        <f>'raw data Crude oil'!I2300</f>
        <v>62.06</v>
      </c>
      <c r="J2299">
        <f>'raw data Crude oil'!J2300</f>
        <v>62.03</v>
      </c>
      <c r="K2299">
        <f>'raw data Crude oil'!K2300</f>
        <v>62.01</v>
      </c>
      <c r="L2299">
        <f>'raw data Crude oil'!L2300</f>
        <v>62.01</v>
      </c>
      <c r="M2299">
        <f>'raw data Crude oil'!M2300</f>
        <v>62.03</v>
      </c>
      <c r="N2299">
        <f>'raw data Crude oil'!N2300</f>
        <v>58.84</v>
      </c>
      <c r="O2299">
        <f>'raw data Crude oil'!O2300</f>
        <v>58.59</v>
      </c>
      <c r="P2299">
        <f>'raw data Crude oil'!P2300</f>
        <v>58.41</v>
      </c>
      <c r="Q2299">
        <f>'raw data Crude oil'!Q2300</f>
        <v>58.34</v>
      </c>
      <c r="R2299">
        <f>'raw data Crude oil'!R2300</f>
        <v>58.34</v>
      </c>
      <c r="S2299">
        <f>'raw data Crude oil'!S2300</f>
        <v>58.38</v>
      </c>
      <c r="T2299">
        <f>'raw data Crude oil'!T2300</f>
        <v>58.42</v>
      </c>
      <c r="U2299">
        <f>'raw data Crude oil'!U2300</f>
        <v>58.42</v>
      </c>
      <c r="V2299">
        <f>'raw data Crude oil'!V2300</f>
        <v>58.39</v>
      </c>
      <c r="W2299">
        <f>'raw data Crude oil'!W2300</f>
        <v>58.36</v>
      </c>
      <c r="X2299">
        <f>'raw data Crude oil'!X2300</f>
        <v>58.35</v>
      </c>
      <c r="Y2299">
        <f>'raw data Crude oil'!Y2300</f>
        <v>58.35</v>
      </c>
      <c r="Z2299">
        <f>'raw data Crude oil'!Z2300</f>
        <v>64.504000000000005</v>
      </c>
      <c r="AA2299">
        <f>'raw data Crude oil'!AA2300</f>
        <v>63.47</v>
      </c>
      <c r="AB2299">
        <f>'raw data Crude oil'!AB2300</f>
        <v>63.072000000000003</v>
      </c>
      <c r="AC2299">
        <f>'raw data Crude oil'!AC2300</f>
        <v>62.823</v>
      </c>
      <c r="AD2299">
        <f>'raw data Crude oil'!AD2300</f>
        <v>62.704999999999998</v>
      </c>
      <c r="AE2299">
        <f>'raw data Crude oil'!AE2300</f>
        <v>62.674999999999997</v>
      </c>
      <c r="AF2299">
        <f>'raw data Crude oil'!AF2300</f>
        <v>62.646000000000001</v>
      </c>
      <c r="AG2299">
        <f>'raw data Crude oil'!AG2300</f>
        <v>62.597000000000001</v>
      </c>
      <c r="AH2299">
        <f>'raw data Crude oil'!AH2300</f>
        <v>62.542999999999999</v>
      </c>
      <c r="AI2299">
        <f>'raw data Crude oil'!AI2300</f>
        <v>62.505000000000003</v>
      </c>
      <c r="AJ2299">
        <f>'raw data Crude oil'!AJ2300</f>
        <v>62.494999999999997</v>
      </c>
      <c r="AK2299">
        <f>'raw data Crude oil'!AK2300</f>
        <v>62.509</v>
      </c>
    </row>
    <row r="2300" spans="1:37" x14ac:dyDescent="0.3">
      <c r="A2300" s="18">
        <f>'raw data Crude oil'!A2301</f>
        <v>45986</v>
      </c>
      <c r="B2300">
        <f>'raw data Crude oil'!B2301</f>
        <v>62.48</v>
      </c>
      <c r="C2300">
        <f>'raw data Crude oil'!C2301</f>
        <v>61.8</v>
      </c>
      <c r="D2300">
        <f>'raw data Crude oil'!D2301</f>
        <v>61.48</v>
      </c>
      <c r="E2300">
        <f>'raw data Crude oil'!E2301</f>
        <v>61.34</v>
      </c>
      <c r="F2300">
        <f>'raw data Crude oil'!F2301</f>
        <v>61.32</v>
      </c>
      <c r="G2300">
        <f>'raw data Crude oil'!G2301</f>
        <v>61.37</v>
      </c>
      <c r="H2300">
        <f>'raw data Crude oil'!H2301</f>
        <v>61.41</v>
      </c>
      <c r="I2300">
        <f>'raw data Crude oil'!I2301</f>
        <v>61.42</v>
      </c>
      <c r="J2300">
        <f>'raw data Crude oil'!J2301</f>
        <v>61.42</v>
      </c>
      <c r="K2300">
        <f>'raw data Crude oil'!K2301</f>
        <v>61.42</v>
      </c>
      <c r="L2300">
        <f>'raw data Crude oil'!L2301</f>
        <v>61.44</v>
      </c>
      <c r="M2300">
        <f>'raw data Crude oil'!M2301</f>
        <v>61.49</v>
      </c>
      <c r="N2300">
        <f>'raw data Crude oil'!N2301</f>
        <v>57.95</v>
      </c>
      <c r="O2300">
        <f>'raw data Crude oil'!O2301</f>
        <v>57.74</v>
      </c>
      <c r="P2300">
        <f>'raw data Crude oil'!P2301</f>
        <v>57.61</v>
      </c>
      <c r="Q2300">
        <f>'raw data Crude oil'!Q2301</f>
        <v>57.59</v>
      </c>
      <c r="R2300">
        <f>'raw data Crude oil'!R2301</f>
        <v>57.64</v>
      </c>
      <c r="S2300">
        <f>'raw data Crude oil'!S2301</f>
        <v>57.72</v>
      </c>
      <c r="T2300">
        <f>'raw data Crude oil'!T2301</f>
        <v>57.79</v>
      </c>
      <c r="U2300">
        <f>'raw data Crude oil'!U2301</f>
        <v>57.82</v>
      </c>
      <c r="V2300">
        <f>'raw data Crude oil'!V2301</f>
        <v>57.81</v>
      </c>
      <c r="W2300">
        <f>'raw data Crude oil'!W2301</f>
        <v>57.79</v>
      </c>
      <c r="X2300">
        <f>'raw data Crude oil'!X2301</f>
        <v>57.81</v>
      </c>
      <c r="Y2300">
        <f>'raw data Crude oil'!Y2301</f>
        <v>57.86</v>
      </c>
      <c r="Z2300">
        <f>'raw data Crude oil'!Z2301</f>
        <v>64.358000000000004</v>
      </c>
      <c r="AA2300">
        <f>'raw data Crude oil'!AA2301</f>
        <v>62.600999999999999</v>
      </c>
      <c r="AB2300">
        <f>'raw data Crude oil'!AB2301</f>
        <v>62.210999999999999</v>
      </c>
      <c r="AC2300">
        <f>'raw data Crude oil'!AC2301</f>
        <v>62.009</v>
      </c>
      <c r="AD2300">
        <f>'raw data Crude oil'!AD2301</f>
        <v>61.948999999999998</v>
      </c>
      <c r="AE2300">
        <f>'raw data Crude oil'!AE2301</f>
        <v>61.959000000000003</v>
      </c>
      <c r="AF2300">
        <f>'raw data Crude oil'!AF2301</f>
        <v>61.948999999999998</v>
      </c>
      <c r="AG2300">
        <f>'raw data Crude oil'!AG2301</f>
        <v>61.938000000000002</v>
      </c>
      <c r="AH2300">
        <f>'raw data Crude oil'!AH2301</f>
        <v>61.923999999999999</v>
      </c>
      <c r="AI2300">
        <f>'raw data Crude oil'!AI2301</f>
        <v>61.906999999999996</v>
      </c>
      <c r="AJ2300">
        <f>'raw data Crude oil'!AJ2301</f>
        <v>61.926000000000002</v>
      </c>
      <c r="AK2300">
        <f>'raw data Crude oil'!AK2301</f>
        <v>61.954999999999998</v>
      </c>
    </row>
    <row r="2301" spans="1:37" x14ac:dyDescent="0.3">
      <c r="A2301" s="18">
        <f>'raw data Crude oil'!A2302</f>
        <v>45987</v>
      </c>
      <c r="B2301">
        <f>'raw data Crude oil'!B2302</f>
        <v>63.13</v>
      </c>
      <c r="C2301">
        <f>'raw data Crude oil'!C2302</f>
        <v>62.54</v>
      </c>
      <c r="D2301">
        <f>'raw data Crude oil'!D2302</f>
        <v>62.17</v>
      </c>
      <c r="E2301">
        <f>'raw data Crude oil'!E2302</f>
        <v>61.98</v>
      </c>
      <c r="F2301">
        <f>'raw data Crude oil'!F2302</f>
        <v>61.93</v>
      </c>
      <c r="G2301">
        <f>'raw data Crude oil'!G2302</f>
        <v>61.95</v>
      </c>
      <c r="H2301">
        <f>'raw data Crude oil'!H2302</f>
        <v>61.97</v>
      </c>
      <c r="I2301">
        <f>'raw data Crude oil'!I2302</f>
        <v>61.97</v>
      </c>
      <c r="J2301">
        <f>'raw data Crude oil'!J2302</f>
        <v>61.96</v>
      </c>
      <c r="K2301">
        <f>'raw data Crude oil'!K2302</f>
        <v>61.95</v>
      </c>
      <c r="L2301">
        <f>'raw data Crude oil'!L2302</f>
        <v>61.97</v>
      </c>
      <c r="M2301">
        <f>'raw data Crude oil'!M2302</f>
        <v>62.01</v>
      </c>
      <c r="N2301">
        <f>'raw data Crude oil'!N2302</f>
        <v>58.65</v>
      </c>
      <c r="O2301">
        <f>'raw data Crude oil'!O2302</f>
        <v>58.42</v>
      </c>
      <c r="P2301">
        <f>'raw data Crude oil'!P2302</f>
        <v>58.26</v>
      </c>
      <c r="Q2301">
        <f>'raw data Crude oil'!Q2302</f>
        <v>58.2</v>
      </c>
      <c r="R2301">
        <f>'raw data Crude oil'!R2302</f>
        <v>58.23</v>
      </c>
      <c r="S2301">
        <f>'raw data Crude oil'!S2302</f>
        <v>58.3</v>
      </c>
      <c r="T2301">
        <f>'raw data Crude oil'!T2302</f>
        <v>58.36</v>
      </c>
      <c r="U2301">
        <f>'raw data Crude oil'!U2302</f>
        <v>58.38</v>
      </c>
      <c r="V2301">
        <f>'raw data Crude oil'!V2302</f>
        <v>58.37</v>
      </c>
      <c r="W2301">
        <f>'raw data Crude oil'!W2302</f>
        <v>58.35</v>
      </c>
      <c r="X2301">
        <f>'raw data Crude oil'!X2302</f>
        <v>58.37</v>
      </c>
      <c r="Y2301">
        <f>'raw data Crude oil'!Y2302</f>
        <v>58.4</v>
      </c>
      <c r="Z2301">
        <f>'raw data Crude oil'!Z2302</f>
        <v>64.424999999999997</v>
      </c>
      <c r="AA2301">
        <f>'raw data Crude oil'!AA2302</f>
        <v>63.258000000000003</v>
      </c>
      <c r="AB2301">
        <f>'raw data Crude oil'!AB2302</f>
        <v>62.868000000000002</v>
      </c>
      <c r="AC2301">
        <f>'raw data Crude oil'!AC2302</f>
        <v>62.648000000000003</v>
      </c>
      <c r="AD2301">
        <f>'raw data Crude oil'!AD2302</f>
        <v>62.551000000000002</v>
      </c>
      <c r="AE2301">
        <f>'raw data Crude oil'!AE2302</f>
        <v>62.530999999999999</v>
      </c>
      <c r="AF2301">
        <f>'raw data Crude oil'!AF2302</f>
        <v>62.52</v>
      </c>
      <c r="AG2301">
        <f>'raw data Crude oil'!AG2302</f>
        <v>62.49</v>
      </c>
      <c r="AH2301">
        <f>'raw data Crude oil'!AH2302</f>
        <v>62.454000000000001</v>
      </c>
      <c r="AI2301">
        <f>'raw data Crude oil'!AI2302</f>
        <v>62.421999999999997</v>
      </c>
      <c r="AJ2301">
        <f>'raw data Crude oil'!AJ2302</f>
        <v>62.436</v>
      </c>
      <c r="AK2301">
        <f>'raw data Crude oil'!AK2302</f>
        <v>62.45</v>
      </c>
    </row>
    <row r="2302" spans="1:37" x14ac:dyDescent="0.3">
      <c r="A2302" s="18">
        <f>'raw data Crude oil'!A2303</f>
        <v>45988</v>
      </c>
      <c r="B2302">
        <f>'raw data Crude oil'!B2303</f>
        <v>63.34</v>
      </c>
      <c r="C2302">
        <f>'raw data Crude oil'!C2303</f>
        <v>62.87</v>
      </c>
      <c r="D2302">
        <f>'raw data Crude oil'!D2303</f>
        <v>62.49</v>
      </c>
      <c r="E2302">
        <f>'raw data Crude oil'!E2303</f>
        <v>62.28</v>
      </c>
      <c r="F2302">
        <f>'raw data Crude oil'!F2303</f>
        <v>62.22</v>
      </c>
      <c r="G2302">
        <f>'raw data Crude oil'!G2303</f>
        <v>62.24</v>
      </c>
      <c r="H2302">
        <f>'raw data Crude oil'!H2303</f>
        <v>62.25</v>
      </c>
      <c r="I2302">
        <f>'raw data Crude oil'!I2303</f>
        <v>62.26</v>
      </c>
      <c r="J2302">
        <f>'raw data Crude oil'!J2303</f>
        <v>62.26</v>
      </c>
      <c r="K2302">
        <f>'raw data Crude oil'!K2303</f>
        <v>62.25</v>
      </c>
      <c r="L2302">
        <f>'raw data Crude oil'!L2303</f>
        <v>62.27</v>
      </c>
      <c r="M2302">
        <f>'raw data Crude oil'!M2303</f>
        <v>62.31</v>
      </c>
      <c r="N2302">
        <f>'raw data Crude oil'!N2303</f>
        <v>58.65</v>
      </c>
      <c r="O2302">
        <f>'raw data Crude oil'!O2303</f>
        <v>58.42</v>
      </c>
      <c r="P2302">
        <f>'raw data Crude oil'!P2303</f>
        <v>58.26</v>
      </c>
      <c r="Q2302">
        <f>'raw data Crude oil'!Q2303</f>
        <v>58.2</v>
      </c>
      <c r="R2302">
        <f>'raw data Crude oil'!R2303</f>
        <v>58.23</v>
      </c>
      <c r="S2302">
        <f>'raw data Crude oil'!S2303</f>
        <v>58.3</v>
      </c>
      <c r="T2302">
        <f>'raw data Crude oil'!T2303</f>
        <v>58.36</v>
      </c>
      <c r="U2302">
        <f>'raw data Crude oil'!U2303</f>
        <v>58.38</v>
      </c>
      <c r="V2302">
        <f>'raw data Crude oil'!V2303</f>
        <v>58.37</v>
      </c>
      <c r="W2302">
        <f>'raw data Crude oil'!W2303</f>
        <v>58.35</v>
      </c>
      <c r="X2302">
        <f>'raw data Crude oil'!X2303</f>
        <v>58.37</v>
      </c>
      <c r="Y2302">
        <f>'raw data Crude oil'!Y2303</f>
        <v>58.4</v>
      </c>
      <c r="Z2302">
        <f>'raw data Crude oil'!Z2303</f>
        <v>64.457999999999998</v>
      </c>
      <c r="AA2302">
        <f>'raw data Crude oil'!AA2303</f>
        <v>63.645000000000003</v>
      </c>
      <c r="AB2302">
        <f>'raw data Crude oil'!AB2303</f>
        <v>63.22</v>
      </c>
      <c r="AC2302">
        <f>'raw data Crude oil'!AC2303</f>
        <v>62.962000000000003</v>
      </c>
      <c r="AD2302">
        <f>'raw data Crude oil'!AD2303</f>
        <v>62.841000000000001</v>
      </c>
      <c r="AE2302">
        <f>'raw data Crude oil'!AE2303</f>
        <v>62.807000000000002</v>
      </c>
      <c r="AF2302">
        <f>'raw data Crude oil'!AF2303</f>
        <v>62.774999999999999</v>
      </c>
      <c r="AG2302">
        <f>'raw data Crude oil'!AG2303</f>
        <v>62.744999999999997</v>
      </c>
      <c r="AH2302">
        <f>'raw data Crude oil'!AH2303</f>
        <v>62.715000000000003</v>
      </c>
      <c r="AI2302">
        <f>'raw data Crude oil'!AI2303</f>
        <v>62.701999999999998</v>
      </c>
      <c r="AJ2302">
        <f>'raw data Crude oil'!AJ2303</f>
        <v>62.716999999999999</v>
      </c>
      <c r="AK2302">
        <f>'raw data Crude oil'!AK2303</f>
        <v>62.746000000000002</v>
      </c>
    </row>
    <row r="2303" spans="1:37" x14ac:dyDescent="0.3">
      <c r="A2303" s="18">
        <f>'raw data Crude oil'!A2304</f>
        <v>45989</v>
      </c>
      <c r="B2303">
        <f>'raw data Crude oil'!B2304</f>
        <v>63.2</v>
      </c>
      <c r="C2303">
        <f>'raw data Crude oil'!C2304</f>
        <v>62.38</v>
      </c>
      <c r="D2303">
        <f>'raw data Crude oil'!D2304</f>
        <v>61.97</v>
      </c>
      <c r="E2303">
        <f>'raw data Crude oil'!E2304</f>
        <v>61.73</v>
      </c>
      <c r="F2303">
        <f>'raw data Crude oil'!F2304</f>
        <v>61.65</v>
      </c>
      <c r="G2303">
        <f>'raw data Crude oil'!G2304</f>
        <v>61.65</v>
      </c>
      <c r="H2303">
        <f>'raw data Crude oil'!H2304</f>
        <v>61.64</v>
      </c>
      <c r="I2303">
        <f>'raw data Crude oil'!I2304</f>
        <v>61.63</v>
      </c>
      <c r="J2303">
        <f>'raw data Crude oil'!J2304</f>
        <v>61.61</v>
      </c>
      <c r="K2303">
        <f>'raw data Crude oil'!K2304</f>
        <v>61.59</v>
      </c>
      <c r="L2303">
        <f>'raw data Crude oil'!L2304</f>
        <v>61.6</v>
      </c>
      <c r="M2303">
        <f>'raw data Crude oil'!M2304</f>
        <v>61.63</v>
      </c>
      <c r="N2303">
        <f>'raw data Crude oil'!N2304</f>
        <v>58.55</v>
      </c>
      <c r="O2303">
        <f>'raw data Crude oil'!O2304</f>
        <v>58.29</v>
      </c>
      <c r="P2303">
        <f>'raw data Crude oil'!P2304</f>
        <v>58.09</v>
      </c>
      <c r="Q2303">
        <f>'raw data Crude oil'!Q2304</f>
        <v>58</v>
      </c>
      <c r="R2303">
        <f>'raw data Crude oil'!R2304</f>
        <v>58.01</v>
      </c>
      <c r="S2303">
        <f>'raw data Crude oil'!S2304</f>
        <v>58.06</v>
      </c>
      <c r="T2303">
        <f>'raw data Crude oil'!T2304</f>
        <v>58.11</v>
      </c>
      <c r="U2303">
        <f>'raw data Crude oil'!U2304</f>
        <v>58.1</v>
      </c>
      <c r="V2303">
        <f>'raw data Crude oil'!V2304</f>
        <v>58.07</v>
      </c>
      <c r="W2303">
        <f>'raw data Crude oil'!W2304</f>
        <v>58.03</v>
      </c>
      <c r="X2303">
        <f>'raw data Crude oil'!X2304</f>
        <v>58.03</v>
      </c>
      <c r="Y2303">
        <f>'raw data Crude oil'!Y2304</f>
        <v>58.05</v>
      </c>
      <c r="Z2303">
        <f>'raw data Crude oil'!Z2304</f>
        <v>64.472999999999999</v>
      </c>
      <c r="AA2303">
        <f>'raw data Crude oil'!AA2304</f>
        <v>63.042999999999999</v>
      </c>
      <c r="AB2303">
        <f>'raw data Crude oil'!AB2304</f>
        <v>62.683</v>
      </c>
      <c r="AC2303">
        <f>'raw data Crude oil'!AC2304</f>
        <v>62.393000000000001</v>
      </c>
      <c r="AD2303">
        <f>'raw data Crude oil'!AD2304</f>
        <v>62.255000000000003</v>
      </c>
      <c r="AE2303">
        <f>'raw data Crude oil'!AE2304</f>
        <v>62.21</v>
      </c>
      <c r="AF2303">
        <f>'raw data Crude oil'!AF2304</f>
        <v>62.164999999999999</v>
      </c>
      <c r="AG2303">
        <f>'raw data Crude oil'!AG2304</f>
        <v>62.113999999999997</v>
      </c>
      <c r="AH2303">
        <f>'raw data Crude oil'!AH2304</f>
        <v>62.064</v>
      </c>
      <c r="AI2303">
        <f>'raw data Crude oil'!AI2304</f>
        <v>62.021000000000001</v>
      </c>
      <c r="AJ2303">
        <f>'raw data Crude oil'!AJ2304</f>
        <v>62.006</v>
      </c>
      <c r="AK2303">
        <f>'raw data Crude oil'!AK2304</f>
        <v>62.021000000000001</v>
      </c>
    </row>
    <row r="2304" spans="1:37" x14ac:dyDescent="0.3">
      <c r="A2304" s="18">
        <f>'raw data Crude oil'!A2305</f>
        <v>45992</v>
      </c>
      <c r="B2304">
        <f>'raw data Crude oil'!B2305</f>
        <v>63.17</v>
      </c>
      <c r="C2304">
        <f>'raw data Crude oil'!C2305</f>
        <v>62.78</v>
      </c>
      <c r="D2304">
        <f>'raw data Crude oil'!D2305</f>
        <v>62.54</v>
      </c>
      <c r="E2304">
        <f>'raw data Crude oil'!E2305</f>
        <v>62.45</v>
      </c>
      <c r="F2304">
        <f>'raw data Crude oil'!F2305</f>
        <v>62.44</v>
      </c>
      <c r="G2304">
        <f>'raw data Crude oil'!G2305</f>
        <v>62.43</v>
      </c>
      <c r="H2304">
        <f>'raw data Crude oil'!H2305</f>
        <v>62.41</v>
      </c>
      <c r="I2304">
        <f>'raw data Crude oil'!I2305</f>
        <v>62.38</v>
      </c>
      <c r="J2304">
        <f>'raw data Crude oil'!J2305</f>
        <v>62.36</v>
      </c>
      <c r="K2304">
        <f>'raw data Crude oil'!K2305</f>
        <v>62.36</v>
      </c>
      <c r="L2304">
        <f>'raw data Crude oil'!L2305</f>
        <v>62.38</v>
      </c>
      <c r="M2304">
        <f>'raw data Crude oil'!M2305</f>
        <v>62.39</v>
      </c>
      <c r="N2304">
        <f>'raw data Crude oil'!N2305</f>
        <v>59.32</v>
      </c>
      <c r="O2304">
        <f>'raw data Crude oil'!O2305</f>
        <v>59.07</v>
      </c>
      <c r="P2304">
        <f>'raw data Crude oil'!P2305</f>
        <v>58.87</v>
      </c>
      <c r="Q2304">
        <f>'raw data Crude oil'!Q2305</f>
        <v>58.79</v>
      </c>
      <c r="R2304">
        <f>'raw data Crude oil'!R2305</f>
        <v>58.79</v>
      </c>
      <c r="S2304">
        <f>'raw data Crude oil'!S2305</f>
        <v>58.84</v>
      </c>
      <c r="T2304">
        <f>'raw data Crude oil'!T2305</f>
        <v>58.87</v>
      </c>
      <c r="U2304">
        <f>'raw data Crude oil'!U2305</f>
        <v>58.87</v>
      </c>
      <c r="V2304">
        <f>'raw data Crude oil'!V2305</f>
        <v>58.83</v>
      </c>
      <c r="W2304">
        <f>'raw data Crude oil'!W2305</f>
        <v>58.79</v>
      </c>
      <c r="X2304">
        <f>'raw data Crude oil'!X2305</f>
        <v>58.78</v>
      </c>
      <c r="Y2304">
        <f>'raw data Crude oil'!Y2305</f>
        <v>58.79</v>
      </c>
      <c r="Z2304">
        <f>'raw data Crude oil'!Z2305</f>
        <v>64.472999999999999</v>
      </c>
      <c r="AA2304">
        <f>'raw data Crude oil'!AA2305</f>
        <v>64.033000000000001</v>
      </c>
      <c r="AB2304">
        <f>'raw data Crude oil'!AB2305</f>
        <v>63.542999999999999</v>
      </c>
      <c r="AC2304">
        <f>'raw data Crude oil'!AC2305</f>
        <v>63.203000000000003</v>
      </c>
      <c r="AD2304">
        <f>'raw data Crude oil'!AD2305</f>
        <v>63.048999999999999</v>
      </c>
      <c r="AE2304">
        <f>'raw data Crude oil'!AE2305</f>
        <v>62.981999999999999</v>
      </c>
      <c r="AF2304">
        <f>'raw data Crude oil'!AF2305</f>
        <v>62.930999999999997</v>
      </c>
      <c r="AG2304">
        <f>'raw data Crude oil'!AG2305</f>
        <v>62.88</v>
      </c>
      <c r="AH2304">
        <f>'raw data Crude oil'!AH2305</f>
        <v>62.83</v>
      </c>
      <c r="AI2304">
        <f>'raw data Crude oil'!AI2305</f>
        <v>62.79</v>
      </c>
      <c r="AJ2304">
        <f>'raw data Crude oil'!AJ2305</f>
        <v>62.765999999999998</v>
      </c>
      <c r="AK2304">
        <f>'raw data Crude oil'!AK2305</f>
        <v>62.77</v>
      </c>
    </row>
    <row r="2305" spans="1:37" x14ac:dyDescent="0.3">
      <c r="A2305" s="18">
        <f>'raw data Crude oil'!A2306</f>
        <v>45993</v>
      </c>
      <c r="B2305">
        <f>'raw data Crude oil'!B2306</f>
        <v>62.45</v>
      </c>
      <c r="C2305">
        <f>'raw data Crude oil'!C2306</f>
        <v>62.05</v>
      </c>
      <c r="D2305">
        <f>'raw data Crude oil'!D2306</f>
        <v>61.82</v>
      </c>
      <c r="E2305">
        <f>'raw data Crude oil'!E2306</f>
        <v>61.73</v>
      </c>
      <c r="F2305">
        <f>'raw data Crude oil'!F2306</f>
        <v>61.72</v>
      </c>
      <c r="G2305">
        <f>'raw data Crude oil'!G2306</f>
        <v>61.72</v>
      </c>
      <c r="H2305">
        <f>'raw data Crude oil'!H2306</f>
        <v>61.7</v>
      </c>
      <c r="I2305">
        <f>'raw data Crude oil'!I2306</f>
        <v>61.68</v>
      </c>
      <c r="J2305">
        <f>'raw data Crude oil'!J2306</f>
        <v>61.67</v>
      </c>
      <c r="K2305">
        <f>'raw data Crude oil'!K2306</f>
        <v>61.68</v>
      </c>
      <c r="L2305">
        <f>'raw data Crude oil'!L2306</f>
        <v>61.71</v>
      </c>
      <c r="M2305">
        <f>'raw data Crude oil'!M2306</f>
        <v>61.73</v>
      </c>
      <c r="N2305">
        <f>'raw data Crude oil'!N2306</f>
        <v>58.64</v>
      </c>
      <c r="O2305">
        <f>'raw data Crude oil'!O2306</f>
        <v>58.38</v>
      </c>
      <c r="P2305">
        <f>'raw data Crude oil'!P2306</f>
        <v>58.18</v>
      </c>
      <c r="Q2305">
        <f>'raw data Crude oil'!Q2306</f>
        <v>58.09</v>
      </c>
      <c r="R2305">
        <f>'raw data Crude oil'!R2306</f>
        <v>58.09</v>
      </c>
      <c r="S2305">
        <f>'raw data Crude oil'!S2306</f>
        <v>58.14</v>
      </c>
      <c r="T2305">
        <f>'raw data Crude oil'!T2306</f>
        <v>58.18</v>
      </c>
      <c r="U2305">
        <f>'raw data Crude oil'!U2306</f>
        <v>58.17</v>
      </c>
      <c r="V2305">
        <f>'raw data Crude oil'!V2306</f>
        <v>58.13</v>
      </c>
      <c r="W2305">
        <f>'raw data Crude oil'!W2306</f>
        <v>58.08</v>
      </c>
      <c r="X2305">
        <f>'raw data Crude oil'!X2306</f>
        <v>58.08</v>
      </c>
      <c r="Y2305">
        <f>'raw data Crude oil'!Y2306</f>
        <v>58.11</v>
      </c>
      <c r="Z2305">
        <f>'raw data Crude oil'!Z2306</f>
        <v>63.204999999999998</v>
      </c>
      <c r="AA2305">
        <f>'raw data Crude oil'!AA2306</f>
        <v>62.746000000000002</v>
      </c>
      <c r="AB2305">
        <f>'raw data Crude oil'!AB2306</f>
        <v>62.445</v>
      </c>
      <c r="AC2305">
        <f>'raw data Crude oil'!AC2306</f>
        <v>62.305</v>
      </c>
      <c r="AD2305">
        <f>'raw data Crude oil'!AD2306</f>
        <v>62.234999999999999</v>
      </c>
      <c r="AE2305">
        <f>'raw data Crude oil'!AE2306</f>
        <v>62.185000000000002</v>
      </c>
      <c r="AF2305">
        <f>'raw data Crude oil'!AF2306</f>
        <v>62.131</v>
      </c>
      <c r="AG2305">
        <f>'raw data Crude oil'!AG2306</f>
        <v>62.09</v>
      </c>
      <c r="AH2305">
        <f>'raw data Crude oil'!AH2306</f>
        <v>62.058999999999997</v>
      </c>
      <c r="AI2305">
        <f>'raw data Crude oil'!AI2306</f>
        <v>62.045999999999999</v>
      </c>
      <c r="AJ2305">
        <f>'raw data Crude oil'!AJ2306</f>
        <v>62.061</v>
      </c>
      <c r="AK2305">
        <f>'raw data Crude oil'!AK2306</f>
        <v>62.061</v>
      </c>
    </row>
    <row r="2306" spans="1:37" x14ac:dyDescent="0.3">
      <c r="A2306" s="18">
        <f>'raw data Crude oil'!A2307</f>
        <v>45994</v>
      </c>
      <c r="B2306">
        <f>'raw data Crude oil'!B2307</f>
        <v>62.67</v>
      </c>
      <c r="C2306">
        <f>'raw data Crude oil'!C2307</f>
        <v>62.28</v>
      </c>
      <c r="D2306">
        <f>'raw data Crude oil'!D2307</f>
        <v>62.06</v>
      </c>
      <c r="E2306">
        <f>'raw data Crude oil'!E2307</f>
        <v>61.97</v>
      </c>
      <c r="F2306">
        <f>'raw data Crude oil'!F2307</f>
        <v>61.94</v>
      </c>
      <c r="G2306">
        <f>'raw data Crude oil'!G2307</f>
        <v>61.92</v>
      </c>
      <c r="H2306">
        <f>'raw data Crude oil'!H2307</f>
        <v>61.89</v>
      </c>
      <c r="I2306">
        <f>'raw data Crude oil'!I2307</f>
        <v>61.85</v>
      </c>
      <c r="J2306">
        <f>'raw data Crude oil'!J2307</f>
        <v>61.82</v>
      </c>
      <c r="K2306">
        <f>'raw data Crude oil'!K2307</f>
        <v>61.81</v>
      </c>
      <c r="L2306">
        <f>'raw data Crude oil'!L2307</f>
        <v>61.83</v>
      </c>
      <c r="M2306">
        <f>'raw data Crude oil'!M2307</f>
        <v>61.83</v>
      </c>
      <c r="N2306">
        <f>'raw data Crude oil'!N2307</f>
        <v>58.95</v>
      </c>
      <c r="O2306">
        <f>'raw data Crude oil'!O2307</f>
        <v>58.66</v>
      </c>
      <c r="P2306">
        <f>'raw data Crude oil'!P2307</f>
        <v>58.45</v>
      </c>
      <c r="Q2306">
        <f>'raw data Crude oil'!Q2307</f>
        <v>58.34</v>
      </c>
      <c r="R2306">
        <f>'raw data Crude oil'!R2307</f>
        <v>58.32</v>
      </c>
      <c r="S2306">
        <f>'raw data Crude oil'!S2307</f>
        <v>58.34</v>
      </c>
      <c r="T2306">
        <f>'raw data Crude oil'!T2307</f>
        <v>58.35</v>
      </c>
      <c r="U2306">
        <f>'raw data Crude oil'!U2307</f>
        <v>58.33</v>
      </c>
      <c r="V2306">
        <f>'raw data Crude oil'!V2307</f>
        <v>58.27</v>
      </c>
      <c r="W2306">
        <f>'raw data Crude oil'!W2307</f>
        <v>58.19</v>
      </c>
      <c r="X2306">
        <f>'raw data Crude oil'!X2307</f>
        <v>58.17</v>
      </c>
      <c r="Y2306">
        <f>'raw data Crude oil'!Y2307</f>
        <v>58.18</v>
      </c>
      <c r="Z2306">
        <f>'raw data Crude oil'!Z2307</f>
        <v>63.445999999999998</v>
      </c>
      <c r="AA2306">
        <f>'raw data Crude oil'!AA2307</f>
        <v>63</v>
      </c>
      <c r="AB2306">
        <f>'raw data Crude oil'!AB2307</f>
        <v>62.676000000000002</v>
      </c>
      <c r="AC2306">
        <f>'raw data Crude oil'!AC2307</f>
        <v>62.518999999999998</v>
      </c>
      <c r="AD2306">
        <f>'raw data Crude oil'!AD2307</f>
        <v>62.448</v>
      </c>
      <c r="AE2306">
        <f>'raw data Crude oil'!AE2307</f>
        <v>62.378999999999998</v>
      </c>
      <c r="AF2306">
        <f>'raw data Crude oil'!AF2307</f>
        <v>62.31</v>
      </c>
      <c r="AG2306">
        <f>'raw data Crude oil'!AG2307</f>
        <v>62.250999999999998</v>
      </c>
      <c r="AH2306">
        <f>'raw data Crude oil'!AH2307</f>
        <v>62.189</v>
      </c>
      <c r="AI2306">
        <f>'raw data Crude oil'!AI2307</f>
        <v>62.161000000000001</v>
      </c>
      <c r="AJ2306">
        <f>'raw data Crude oil'!AJ2307</f>
        <v>62.14</v>
      </c>
      <c r="AK2306">
        <f>'raw data Crude oil'!AK2307</f>
        <v>62.121000000000002</v>
      </c>
    </row>
    <row r="2307" spans="1:37" x14ac:dyDescent="0.3">
      <c r="A2307" s="18">
        <f>'raw data Crude oil'!A2308</f>
        <v>45995</v>
      </c>
      <c r="B2307">
        <f>'raw data Crude oil'!B2308</f>
        <v>63.26</v>
      </c>
      <c r="C2307">
        <f>'raw data Crude oil'!C2308</f>
        <v>62.86</v>
      </c>
      <c r="D2307">
        <f>'raw data Crude oil'!D2308</f>
        <v>62.61</v>
      </c>
      <c r="E2307">
        <f>'raw data Crude oil'!E2308</f>
        <v>62.48</v>
      </c>
      <c r="F2307">
        <f>'raw data Crude oil'!F2308</f>
        <v>62.42</v>
      </c>
      <c r="G2307">
        <f>'raw data Crude oil'!G2308</f>
        <v>62.37</v>
      </c>
      <c r="H2307">
        <f>'raw data Crude oil'!H2308</f>
        <v>62.31</v>
      </c>
      <c r="I2307">
        <f>'raw data Crude oil'!I2308</f>
        <v>62.26</v>
      </c>
      <c r="J2307">
        <f>'raw data Crude oil'!J2308</f>
        <v>62.2</v>
      </c>
      <c r="K2307">
        <f>'raw data Crude oil'!K2308</f>
        <v>62.18</v>
      </c>
      <c r="L2307">
        <f>'raw data Crude oil'!L2308</f>
        <v>62.18</v>
      </c>
      <c r="M2307">
        <f>'raw data Crude oil'!M2308</f>
        <v>62.17</v>
      </c>
      <c r="N2307">
        <f>'raw data Crude oil'!N2308</f>
        <v>59.67</v>
      </c>
      <c r="O2307">
        <f>'raw data Crude oil'!O2308</f>
        <v>59.31</v>
      </c>
      <c r="P2307">
        <f>'raw data Crude oil'!P2308</f>
        <v>59.06</v>
      </c>
      <c r="Q2307">
        <f>'raw data Crude oil'!Q2308</f>
        <v>58.92</v>
      </c>
      <c r="R2307">
        <f>'raw data Crude oil'!R2308</f>
        <v>58.88</v>
      </c>
      <c r="S2307">
        <f>'raw data Crude oil'!S2308</f>
        <v>58.86</v>
      </c>
      <c r="T2307">
        <f>'raw data Crude oil'!T2308</f>
        <v>58.85</v>
      </c>
      <c r="U2307">
        <f>'raw data Crude oil'!U2308</f>
        <v>58.8</v>
      </c>
      <c r="V2307">
        <f>'raw data Crude oil'!V2308</f>
        <v>58.72</v>
      </c>
      <c r="W2307">
        <f>'raw data Crude oil'!W2308</f>
        <v>58.64</v>
      </c>
      <c r="X2307">
        <f>'raw data Crude oil'!X2308</f>
        <v>58.59</v>
      </c>
      <c r="Y2307">
        <f>'raw data Crude oil'!Y2308</f>
        <v>58.58</v>
      </c>
      <c r="Z2307">
        <f>'raw data Crude oil'!Z2308</f>
        <v>63.915999999999997</v>
      </c>
      <c r="AA2307">
        <f>'raw data Crude oil'!AA2308</f>
        <v>63.548000000000002</v>
      </c>
      <c r="AB2307">
        <f>'raw data Crude oil'!AB2308</f>
        <v>63.207999999999998</v>
      </c>
      <c r="AC2307">
        <f>'raw data Crude oil'!AC2308</f>
        <v>63.027000000000001</v>
      </c>
      <c r="AD2307">
        <f>'raw data Crude oil'!AD2308</f>
        <v>62.927</v>
      </c>
      <c r="AE2307">
        <f>'raw data Crude oil'!AE2308</f>
        <v>62.837000000000003</v>
      </c>
      <c r="AF2307">
        <f>'raw data Crude oil'!AF2308</f>
        <v>62.747</v>
      </c>
      <c r="AG2307">
        <f>'raw data Crude oil'!AG2308</f>
        <v>62.667000000000002</v>
      </c>
      <c r="AH2307">
        <f>'raw data Crude oil'!AH2308</f>
        <v>62.573</v>
      </c>
      <c r="AI2307">
        <f>'raw data Crude oil'!AI2308</f>
        <v>62.524999999999999</v>
      </c>
      <c r="AJ2307">
        <f>'raw data Crude oil'!AJ2308</f>
        <v>62.484999999999999</v>
      </c>
      <c r="AK2307">
        <f>'raw data Crude oil'!AK2308</f>
        <v>62.454999999999998</v>
      </c>
    </row>
    <row r="2308" spans="1:37" x14ac:dyDescent="0.3">
      <c r="A2308" s="18">
        <f>'raw data Crude oil'!A2309</f>
        <v>45996</v>
      </c>
      <c r="B2308">
        <f>'raw data Crude oil'!B2309</f>
        <v>63.75</v>
      </c>
      <c r="C2308">
        <f>'raw data Crude oil'!C2309</f>
        <v>63.39</v>
      </c>
      <c r="D2308">
        <f>'raw data Crude oil'!D2309</f>
        <v>63.14</v>
      </c>
      <c r="E2308">
        <f>'raw data Crude oil'!E2309</f>
        <v>63</v>
      </c>
      <c r="F2308">
        <f>'raw data Crude oil'!F2309</f>
        <v>62.92</v>
      </c>
      <c r="G2308">
        <f>'raw data Crude oil'!G2309</f>
        <v>62.86</v>
      </c>
      <c r="H2308">
        <f>'raw data Crude oil'!H2309</f>
        <v>62.78</v>
      </c>
      <c r="I2308">
        <f>'raw data Crude oil'!I2309</f>
        <v>62.7</v>
      </c>
      <c r="J2308">
        <f>'raw data Crude oil'!J2309</f>
        <v>62.63</v>
      </c>
      <c r="K2308">
        <f>'raw data Crude oil'!K2309</f>
        <v>62.59</v>
      </c>
      <c r="L2308">
        <f>'raw data Crude oil'!L2309</f>
        <v>62.58</v>
      </c>
      <c r="M2308">
        <f>'raw data Crude oil'!M2309</f>
        <v>62.55</v>
      </c>
      <c r="N2308">
        <f>'raw data Crude oil'!N2309</f>
        <v>60.08</v>
      </c>
      <c r="O2308">
        <f>'raw data Crude oil'!O2309</f>
        <v>59.78</v>
      </c>
      <c r="P2308">
        <f>'raw data Crude oil'!P2309</f>
        <v>59.56</v>
      </c>
      <c r="Q2308">
        <f>'raw data Crude oil'!Q2309</f>
        <v>59.42</v>
      </c>
      <c r="R2308">
        <f>'raw data Crude oil'!R2309</f>
        <v>59.37</v>
      </c>
      <c r="S2308">
        <f>'raw data Crude oil'!S2309</f>
        <v>59.34</v>
      </c>
      <c r="T2308">
        <f>'raw data Crude oil'!T2309</f>
        <v>59.31</v>
      </c>
      <c r="U2308">
        <f>'raw data Crude oil'!U2309</f>
        <v>59.24</v>
      </c>
      <c r="V2308">
        <f>'raw data Crude oil'!V2309</f>
        <v>59.14</v>
      </c>
      <c r="W2308">
        <f>'raw data Crude oil'!W2309</f>
        <v>59.04</v>
      </c>
      <c r="X2308">
        <f>'raw data Crude oil'!X2309</f>
        <v>58.98</v>
      </c>
      <c r="Y2308">
        <f>'raw data Crude oil'!Y2309</f>
        <v>58.95</v>
      </c>
      <c r="Z2308">
        <f>'raw data Crude oil'!Z2309</f>
        <v>64.358999999999995</v>
      </c>
      <c r="AA2308">
        <f>'raw data Crude oil'!AA2309</f>
        <v>64.046999999999997</v>
      </c>
      <c r="AB2308">
        <f>'raw data Crude oil'!AB2309</f>
        <v>63.692999999999998</v>
      </c>
      <c r="AC2308">
        <f>'raw data Crude oil'!AC2309</f>
        <v>63.493000000000002</v>
      </c>
      <c r="AD2308">
        <f>'raw data Crude oil'!AD2309</f>
        <v>63.381999999999998</v>
      </c>
      <c r="AE2308">
        <f>'raw data Crude oil'!AE2309</f>
        <v>63.28</v>
      </c>
      <c r="AF2308">
        <f>'raw data Crude oil'!AF2309</f>
        <v>63.161000000000001</v>
      </c>
      <c r="AG2308">
        <f>'raw data Crude oil'!AG2309</f>
        <v>63.052</v>
      </c>
      <c r="AH2308">
        <f>'raw data Crude oil'!AH2309</f>
        <v>62.942999999999998</v>
      </c>
      <c r="AI2308">
        <f>'raw data Crude oil'!AI2309</f>
        <v>62.875</v>
      </c>
      <c r="AJ2308">
        <f>'raw data Crude oil'!AJ2309</f>
        <v>62.844000000000001</v>
      </c>
      <c r="AK2308">
        <f>'raw data Crude oil'!AK2309</f>
        <v>62.805</v>
      </c>
    </row>
    <row r="2309" spans="1:37" x14ac:dyDescent="0.3">
      <c r="A2309" s="18">
        <f>'raw data Crude oil'!A2310</f>
        <v>45999</v>
      </c>
      <c r="B2309">
        <f>'raw data Crude oil'!B2310</f>
        <v>62.49</v>
      </c>
      <c r="C2309">
        <f>'raw data Crude oil'!C2310</f>
        <v>62.15</v>
      </c>
      <c r="D2309">
        <f>'raw data Crude oil'!D2310</f>
        <v>61.93</v>
      </c>
      <c r="E2309">
        <f>'raw data Crude oil'!E2310</f>
        <v>61.82</v>
      </c>
      <c r="F2309">
        <f>'raw data Crude oil'!F2310</f>
        <v>61.77</v>
      </c>
      <c r="G2309">
        <f>'raw data Crude oil'!G2310</f>
        <v>61.74</v>
      </c>
      <c r="H2309">
        <f>'raw data Crude oil'!H2310</f>
        <v>61.69</v>
      </c>
      <c r="I2309">
        <f>'raw data Crude oil'!I2310</f>
        <v>61.64</v>
      </c>
      <c r="J2309">
        <f>'raw data Crude oil'!J2310</f>
        <v>61.6</v>
      </c>
      <c r="K2309">
        <f>'raw data Crude oil'!K2310</f>
        <v>61.6</v>
      </c>
      <c r="L2309">
        <f>'raw data Crude oil'!L2310</f>
        <v>61.62</v>
      </c>
      <c r="M2309">
        <f>'raw data Crude oil'!M2310</f>
        <v>61.63</v>
      </c>
      <c r="N2309">
        <f>'raw data Crude oil'!N2310</f>
        <v>58.88</v>
      </c>
      <c r="O2309">
        <f>'raw data Crude oil'!O2310</f>
        <v>58.63</v>
      </c>
      <c r="P2309">
        <f>'raw data Crude oil'!P2310</f>
        <v>58.43</v>
      </c>
      <c r="Q2309">
        <f>'raw data Crude oil'!Q2310</f>
        <v>58.32</v>
      </c>
      <c r="R2309">
        <f>'raw data Crude oil'!R2310</f>
        <v>58.27</v>
      </c>
      <c r="S2309">
        <f>'raw data Crude oil'!S2310</f>
        <v>58.26</v>
      </c>
      <c r="T2309">
        <f>'raw data Crude oil'!T2310</f>
        <v>58.25</v>
      </c>
      <c r="U2309">
        <f>'raw data Crude oil'!U2310</f>
        <v>58.21</v>
      </c>
      <c r="V2309">
        <f>'raw data Crude oil'!V2310</f>
        <v>58.14</v>
      </c>
      <c r="W2309">
        <f>'raw data Crude oil'!W2310</f>
        <v>58.07</v>
      </c>
      <c r="X2309">
        <f>'raw data Crude oil'!X2310</f>
        <v>58.05</v>
      </c>
      <c r="Y2309">
        <f>'raw data Crude oil'!Y2310</f>
        <v>58.07</v>
      </c>
      <c r="Z2309">
        <f>'raw data Crude oil'!Z2310</f>
        <v>63.262999999999998</v>
      </c>
      <c r="AA2309">
        <f>'raw data Crude oil'!AA2310</f>
        <v>62.670999999999999</v>
      </c>
      <c r="AB2309">
        <f>'raw data Crude oil'!AB2310</f>
        <v>62.341999999999999</v>
      </c>
      <c r="AC2309">
        <f>'raw data Crude oil'!AC2310</f>
        <v>62.176000000000002</v>
      </c>
      <c r="AD2309">
        <f>'raw data Crude oil'!AD2310</f>
        <v>62.088000000000001</v>
      </c>
      <c r="AE2309">
        <f>'raw data Crude oil'!AE2310</f>
        <v>62.018000000000001</v>
      </c>
      <c r="AF2309">
        <f>'raw data Crude oil'!AF2310</f>
        <v>61.948</v>
      </c>
      <c r="AG2309">
        <f>'raw data Crude oil'!AG2310</f>
        <v>61.887</v>
      </c>
      <c r="AH2309">
        <f>'raw data Crude oil'!AH2310</f>
        <v>61.826999999999998</v>
      </c>
      <c r="AI2309">
        <f>'raw data Crude oil'!AI2310</f>
        <v>61.805999999999997</v>
      </c>
      <c r="AJ2309">
        <f>'raw data Crude oil'!AJ2310</f>
        <v>61.805</v>
      </c>
      <c r="AK2309">
        <f>'raw data Crude oil'!AK2310</f>
        <v>61.795999999999999</v>
      </c>
    </row>
    <row r="2310" spans="1:37" x14ac:dyDescent="0.3">
      <c r="A2310" s="18">
        <f>'raw data Crude oil'!A2311</f>
        <v>46000</v>
      </c>
      <c r="B2310">
        <f>'raw data Crude oil'!B2311</f>
        <v>61.94</v>
      </c>
      <c r="C2310">
        <f>'raw data Crude oil'!C2311</f>
        <v>61.65</v>
      </c>
      <c r="D2310">
        <f>'raw data Crude oil'!D2311</f>
        <v>61.47</v>
      </c>
      <c r="E2310">
        <f>'raw data Crude oil'!E2311</f>
        <v>61.39</v>
      </c>
      <c r="F2310">
        <f>'raw data Crude oil'!F2311</f>
        <v>61.38</v>
      </c>
      <c r="G2310">
        <f>'raw data Crude oil'!G2311</f>
        <v>61.38</v>
      </c>
      <c r="H2310">
        <f>'raw data Crude oil'!H2311</f>
        <v>61.36</v>
      </c>
      <c r="I2310">
        <f>'raw data Crude oil'!I2311</f>
        <v>61.33</v>
      </c>
      <c r="J2310">
        <f>'raw data Crude oil'!J2311</f>
        <v>61.31</v>
      </c>
      <c r="K2310">
        <f>'raw data Crude oil'!K2311</f>
        <v>61.33</v>
      </c>
      <c r="L2310">
        <f>'raw data Crude oil'!L2311</f>
        <v>61.36</v>
      </c>
      <c r="M2310">
        <f>'raw data Crude oil'!M2311</f>
        <v>61.38</v>
      </c>
      <c r="N2310">
        <f>'raw data Crude oil'!N2311</f>
        <v>58.25</v>
      </c>
      <c r="O2310">
        <f>'raw data Crude oil'!O2311</f>
        <v>58.08</v>
      </c>
      <c r="P2310">
        <f>'raw data Crude oil'!P2311</f>
        <v>57.96</v>
      </c>
      <c r="Q2310">
        <f>'raw data Crude oil'!Q2311</f>
        <v>57.88</v>
      </c>
      <c r="R2310">
        <f>'raw data Crude oil'!R2311</f>
        <v>57.87</v>
      </c>
      <c r="S2310">
        <f>'raw data Crude oil'!S2311</f>
        <v>57.9</v>
      </c>
      <c r="T2310">
        <f>'raw data Crude oil'!T2311</f>
        <v>57.93</v>
      </c>
      <c r="U2310">
        <f>'raw data Crude oil'!U2311</f>
        <v>57.93</v>
      </c>
      <c r="V2310">
        <f>'raw data Crude oil'!V2311</f>
        <v>57.89</v>
      </c>
      <c r="W2310">
        <f>'raw data Crude oil'!W2311</f>
        <v>57.85</v>
      </c>
      <c r="X2310">
        <f>'raw data Crude oil'!X2311</f>
        <v>57.84</v>
      </c>
      <c r="Y2310">
        <f>'raw data Crude oil'!Y2311</f>
        <v>57.85</v>
      </c>
      <c r="Z2310">
        <f>'raw data Crude oil'!Z2311</f>
        <v>62.720999999999997</v>
      </c>
      <c r="AA2310">
        <f>'raw data Crude oil'!AA2311</f>
        <v>61.951000000000001</v>
      </c>
      <c r="AB2310">
        <f>'raw data Crude oil'!AB2311</f>
        <v>61.734000000000002</v>
      </c>
      <c r="AC2310">
        <f>'raw data Crude oil'!AC2311</f>
        <v>61.622999999999998</v>
      </c>
      <c r="AD2310">
        <f>'raw data Crude oil'!AD2311</f>
        <v>61.582000000000001</v>
      </c>
      <c r="AE2310">
        <f>'raw data Crude oil'!AE2311</f>
        <v>61.545999999999999</v>
      </c>
      <c r="AF2310">
        <f>'raw data Crude oil'!AF2311</f>
        <v>61.505000000000003</v>
      </c>
      <c r="AG2310">
        <f>'raw data Crude oil'!AG2311</f>
        <v>61.463999999999999</v>
      </c>
      <c r="AH2310">
        <f>'raw data Crude oil'!AH2311</f>
        <v>61.429000000000002</v>
      </c>
      <c r="AI2310">
        <f>'raw data Crude oil'!AI2311</f>
        <v>61.427999999999997</v>
      </c>
      <c r="AJ2310">
        <f>'raw data Crude oil'!AJ2311</f>
        <v>61.441000000000003</v>
      </c>
      <c r="AK2310">
        <f>'raw data Crude oil'!AK2311</f>
        <v>61.445999999999998</v>
      </c>
    </row>
    <row r="2311" spans="1:37" x14ac:dyDescent="0.3">
      <c r="A2311" s="18">
        <f>'raw data Crude oil'!A2312</f>
        <v>46001</v>
      </c>
      <c r="B2311">
        <f>'raw data Crude oil'!B2312</f>
        <v>62.21</v>
      </c>
      <c r="C2311">
        <f>'raw data Crude oil'!C2312</f>
        <v>61.87</v>
      </c>
      <c r="D2311">
        <f>'raw data Crude oil'!D2312</f>
        <v>61.65</v>
      </c>
      <c r="E2311">
        <f>'raw data Crude oil'!E2312</f>
        <v>61.56</v>
      </c>
      <c r="F2311">
        <f>'raw data Crude oil'!F2312</f>
        <v>61.55</v>
      </c>
      <c r="G2311">
        <f>'raw data Crude oil'!G2312</f>
        <v>61.56</v>
      </c>
      <c r="H2311">
        <f>'raw data Crude oil'!H2312</f>
        <v>61.54</v>
      </c>
      <c r="I2311">
        <f>'raw data Crude oil'!I2312</f>
        <v>61.51</v>
      </c>
      <c r="J2311">
        <f>'raw data Crude oil'!J2312</f>
        <v>61.49</v>
      </c>
      <c r="K2311">
        <f>'raw data Crude oil'!K2312</f>
        <v>61.5</v>
      </c>
      <c r="L2311">
        <f>'raw data Crude oil'!L2312</f>
        <v>61.52</v>
      </c>
      <c r="M2311">
        <f>'raw data Crude oil'!M2312</f>
        <v>61.52</v>
      </c>
      <c r="N2311">
        <f>'raw data Crude oil'!N2312</f>
        <v>58.46</v>
      </c>
      <c r="O2311">
        <f>'raw data Crude oil'!O2312</f>
        <v>58.3</v>
      </c>
      <c r="P2311">
        <f>'raw data Crude oil'!P2312</f>
        <v>58.16</v>
      </c>
      <c r="Q2311">
        <f>'raw data Crude oil'!Q2312</f>
        <v>58.07</v>
      </c>
      <c r="R2311">
        <f>'raw data Crude oil'!R2312</f>
        <v>58.04</v>
      </c>
      <c r="S2311">
        <f>'raw data Crude oil'!S2312</f>
        <v>58.07</v>
      </c>
      <c r="T2311">
        <f>'raw data Crude oil'!T2312</f>
        <v>58.1</v>
      </c>
      <c r="U2311">
        <f>'raw data Crude oil'!U2312</f>
        <v>58.11</v>
      </c>
      <c r="V2311">
        <f>'raw data Crude oil'!V2312</f>
        <v>58.08</v>
      </c>
      <c r="W2311">
        <f>'raw data Crude oil'!W2312</f>
        <v>58.03</v>
      </c>
      <c r="X2311">
        <f>'raw data Crude oil'!X2312</f>
        <v>58.03</v>
      </c>
      <c r="Y2311">
        <f>'raw data Crude oil'!Y2312</f>
        <v>58.04</v>
      </c>
      <c r="Z2311">
        <f>'raw data Crude oil'!Z2312</f>
        <v>62.759</v>
      </c>
      <c r="AA2311">
        <f>'raw data Crude oil'!AA2312</f>
        <v>61.957000000000001</v>
      </c>
      <c r="AB2311">
        <f>'raw data Crude oil'!AB2312</f>
        <v>61.780999999999999</v>
      </c>
      <c r="AC2311">
        <f>'raw data Crude oil'!AC2312</f>
        <v>61.680999999999997</v>
      </c>
      <c r="AD2311">
        <f>'raw data Crude oil'!AD2312</f>
        <v>61.651000000000003</v>
      </c>
      <c r="AE2311">
        <f>'raw data Crude oil'!AE2312</f>
        <v>61.639000000000003</v>
      </c>
      <c r="AF2311">
        <f>'raw data Crude oil'!AF2312</f>
        <v>61.618000000000002</v>
      </c>
      <c r="AG2311">
        <f>'raw data Crude oil'!AG2312</f>
        <v>61.585999999999999</v>
      </c>
      <c r="AH2311">
        <f>'raw data Crude oil'!AH2312</f>
        <v>61.567</v>
      </c>
      <c r="AI2311">
        <f>'raw data Crude oil'!AI2312</f>
        <v>61.558</v>
      </c>
      <c r="AJ2311">
        <f>'raw data Crude oil'!AJ2312</f>
        <v>61.558</v>
      </c>
      <c r="AK2311">
        <f>'raw data Crude oil'!AK2312</f>
        <v>61.543999999999997</v>
      </c>
    </row>
    <row r="2312" spans="1:37" x14ac:dyDescent="0.3">
      <c r="A2312" s="18">
        <f>'raw data Crude oil'!A2313</f>
        <v>46002</v>
      </c>
      <c r="B2312">
        <f>'raw data Crude oil'!B2313</f>
        <v>61.28</v>
      </c>
      <c r="C2312">
        <f>'raw data Crude oil'!C2313</f>
        <v>61.06</v>
      </c>
      <c r="D2312">
        <f>'raw data Crude oil'!D2313</f>
        <v>60.9</v>
      </c>
      <c r="E2312">
        <f>'raw data Crude oil'!E2313</f>
        <v>60.85</v>
      </c>
      <c r="F2312">
        <f>'raw data Crude oil'!F2313</f>
        <v>60.87</v>
      </c>
      <c r="G2312">
        <f>'raw data Crude oil'!G2313</f>
        <v>60.9</v>
      </c>
      <c r="H2312">
        <f>'raw data Crude oil'!H2313</f>
        <v>60.9</v>
      </c>
      <c r="I2312">
        <f>'raw data Crude oil'!I2313</f>
        <v>60.89</v>
      </c>
      <c r="J2312">
        <f>'raw data Crude oil'!J2313</f>
        <v>60.89</v>
      </c>
      <c r="K2312">
        <f>'raw data Crude oil'!K2313</f>
        <v>60.91</v>
      </c>
      <c r="L2312">
        <f>'raw data Crude oil'!L2313</f>
        <v>60.95</v>
      </c>
      <c r="M2312">
        <f>'raw data Crude oil'!M2313</f>
        <v>60.97</v>
      </c>
      <c r="N2312">
        <f>'raw data Crude oil'!N2313</f>
        <v>57.6</v>
      </c>
      <c r="O2312">
        <f>'raw data Crude oil'!O2313</f>
        <v>57.45</v>
      </c>
      <c r="P2312">
        <f>'raw data Crude oil'!P2313</f>
        <v>57.35</v>
      </c>
      <c r="Q2312">
        <f>'raw data Crude oil'!Q2313</f>
        <v>57.29</v>
      </c>
      <c r="R2312">
        <f>'raw data Crude oil'!R2313</f>
        <v>57.28</v>
      </c>
      <c r="S2312">
        <f>'raw data Crude oil'!S2313</f>
        <v>57.32</v>
      </c>
      <c r="T2312">
        <f>'raw data Crude oil'!T2313</f>
        <v>57.38</v>
      </c>
      <c r="U2312">
        <f>'raw data Crude oil'!U2313</f>
        <v>57.42</v>
      </c>
      <c r="V2312">
        <f>'raw data Crude oil'!V2313</f>
        <v>57.42</v>
      </c>
      <c r="W2312">
        <f>'raw data Crude oil'!W2313</f>
        <v>57.39</v>
      </c>
      <c r="X2312">
        <f>'raw data Crude oil'!X2313</f>
        <v>57.4</v>
      </c>
      <c r="Y2312">
        <f>'raw data Crude oil'!Y2313</f>
        <v>57.43</v>
      </c>
      <c r="Z2312">
        <f>'raw data Crude oil'!Z2313</f>
        <v>62.170999999999999</v>
      </c>
      <c r="AA2312">
        <f>'raw data Crude oil'!AA2313</f>
        <v>61.051000000000002</v>
      </c>
      <c r="AB2312">
        <f>'raw data Crude oil'!AB2313</f>
        <v>60.99</v>
      </c>
      <c r="AC2312">
        <f>'raw data Crude oil'!AC2313</f>
        <v>60.932000000000002</v>
      </c>
      <c r="AD2312">
        <f>'raw data Crude oil'!AD2313</f>
        <v>60.941000000000003</v>
      </c>
      <c r="AE2312">
        <f>'raw data Crude oil'!AE2313</f>
        <v>60.959000000000003</v>
      </c>
      <c r="AF2312">
        <f>'raw data Crude oil'!AF2313</f>
        <v>60.957999999999998</v>
      </c>
      <c r="AG2312">
        <f>'raw data Crude oil'!AG2313</f>
        <v>60.947000000000003</v>
      </c>
      <c r="AH2312">
        <f>'raw data Crude oil'!AH2313</f>
        <v>60.948</v>
      </c>
      <c r="AI2312">
        <f>'raw data Crude oil'!AI2313</f>
        <v>60.948999999999998</v>
      </c>
      <c r="AJ2312">
        <f>'raw data Crude oil'!AJ2313</f>
        <v>60.969000000000001</v>
      </c>
      <c r="AK2312">
        <f>'raw data Crude oil'!AK2313</f>
        <v>60.975000000000001</v>
      </c>
    </row>
    <row r="2313" spans="1:37" x14ac:dyDescent="0.3">
      <c r="A2313" s="18">
        <f>'raw data Crude oil'!A2314</f>
        <v>46003</v>
      </c>
      <c r="B2313">
        <f>'raw data Crude oil'!B2314</f>
        <v>61.12</v>
      </c>
      <c r="C2313">
        <f>'raw data Crude oil'!C2314</f>
        <v>60.84</v>
      </c>
      <c r="D2313">
        <f>'raw data Crude oil'!D2314</f>
        <v>60.65</v>
      </c>
      <c r="E2313">
        <f>'raw data Crude oil'!E2314</f>
        <v>60.57</v>
      </c>
      <c r="F2313">
        <f>'raw data Crude oil'!F2314</f>
        <v>60.57</v>
      </c>
      <c r="G2313">
        <f>'raw data Crude oil'!G2314</f>
        <v>60.59</v>
      </c>
      <c r="H2313">
        <f>'raw data Crude oil'!H2314</f>
        <v>60.6</v>
      </c>
      <c r="I2313">
        <f>'raw data Crude oil'!I2314</f>
        <v>60.59</v>
      </c>
      <c r="J2313">
        <f>'raw data Crude oil'!J2314</f>
        <v>60.59</v>
      </c>
      <c r="K2313">
        <f>'raw data Crude oil'!K2314</f>
        <v>60.61</v>
      </c>
      <c r="L2313">
        <f>'raw data Crude oil'!L2314</f>
        <v>60.66</v>
      </c>
      <c r="M2313">
        <f>'raw data Crude oil'!M2314</f>
        <v>60.68</v>
      </c>
      <c r="N2313">
        <f>'raw data Crude oil'!N2314</f>
        <v>57.44</v>
      </c>
      <c r="O2313">
        <f>'raw data Crude oil'!O2314</f>
        <v>57.24</v>
      </c>
      <c r="P2313">
        <f>'raw data Crude oil'!P2314</f>
        <v>57.08</v>
      </c>
      <c r="Q2313">
        <f>'raw data Crude oil'!Q2314</f>
        <v>56.98</v>
      </c>
      <c r="R2313">
        <f>'raw data Crude oil'!R2314</f>
        <v>56.96</v>
      </c>
      <c r="S2313">
        <f>'raw data Crude oil'!S2314</f>
        <v>57</v>
      </c>
      <c r="T2313">
        <f>'raw data Crude oil'!T2314</f>
        <v>57.07</v>
      </c>
      <c r="U2313">
        <f>'raw data Crude oil'!U2314</f>
        <v>57.11</v>
      </c>
      <c r="V2313">
        <f>'raw data Crude oil'!V2314</f>
        <v>57.12</v>
      </c>
      <c r="W2313">
        <f>'raw data Crude oil'!W2314</f>
        <v>57.1</v>
      </c>
      <c r="X2313">
        <f>'raw data Crude oil'!X2314</f>
        <v>57.12</v>
      </c>
      <c r="Y2313">
        <f>'raw data Crude oil'!Y2314</f>
        <v>57.16</v>
      </c>
      <c r="Z2313">
        <f>'raw data Crude oil'!Z2314</f>
        <v>62.024000000000001</v>
      </c>
      <c r="AA2313">
        <f>'raw data Crude oil'!AA2314</f>
        <v>60.780999999999999</v>
      </c>
      <c r="AB2313">
        <f>'raw data Crude oil'!AB2314</f>
        <v>60.725999999999999</v>
      </c>
      <c r="AC2313">
        <f>'raw data Crude oil'!AC2314</f>
        <v>60.65</v>
      </c>
      <c r="AD2313">
        <f>'raw data Crude oil'!AD2314</f>
        <v>60.640999999999998</v>
      </c>
      <c r="AE2313">
        <f>'raw data Crude oil'!AE2314</f>
        <v>60.65</v>
      </c>
      <c r="AF2313">
        <f>'raw data Crude oil'!AF2314</f>
        <v>60.649000000000001</v>
      </c>
      <c r="AG2313">
        <f>'raw data Crude oil'!AG2314</f>
        <v>60.637999999999998</v>
      </c>
      <c r="AH2313">
        <f>'raw data Crude oil'!AH2314</f>
        <v>60.639000000000003</v>
      </c>
      <c r="AI2313">
        <f>'raw data Crude oil'!AI2314</f>
        <v>60.654000000000003</v>
      </c>
      <c r="AJ2313">
        <f>'raw data Crude oil'!AJ2314</f>
        <v>60.691000000000003</v>
      </c>
      <c r="AK2313">
        <f>'raw data Crude oil'!AK2314</f>
        <v>60.701999999999998</v>
      </c>
    </row>
    <row r="2314" spans="1:37" x14ac:dyDescent="0.3">
      <c r="A2314" s="18">
        <f>'raw data Crude oil'!A2315</f>
        <v>46006</v>
      </c>
      <c r="B2314">
        <f>'raw data Crude oil'!B2315</f>
        <v>60.56</v>
      </c>
      <c r="C2314">
        <f>'raw data Crude oil'!C2315</f>
        <v>60.3</v>
      </c>
      <c r="D2314">
        <f>'raw data Crude oil'!D2315</f>
        <v>60.17</v>
      </c>
      <c r="E2314">
        <f>'raw data Crude oil'!E2315</f>
        <v>60.16</v>
      </c>
      <c r="F2314">
        <f>'raw data Crude oil'!F2315</f>
        <v>60.22</v>
      </c>
      <c r="G2314">
        <f>'raw data Crude oil'!G2315</f>
        <v>60.29</v>
      </c>
      <c r="H2314">
        <f>'raw data Crude oil'!H2315</f>
        <v>60.35</v>
      </c>
      <c r="I2314">
        <f>'raw data Crude oil'!I2315</f>
        <v>60.39</v>
      </c>
      <c r="J2314">
        <f>'raw data Crude oil'!J2315</f>
        <v>60.44</v>
      </c>
      <c r="K2314">
        <f>'raw data Crude oil'!K2315</f>
        <v>60.5</v>
      </c>
      <c r="L2314">
        <f>'raw data Crude oil'!L2315</f>
        <v>60.58</v>
      </c>
      <c r="M2314">
        <f>'raw data Crude oil'!M2315</f>
        <v>60.64</v>
      </c>
      <c r="N2314">
        <f>'raw data Crude oil'!N2315</f>
        <v>56.82</v>
      </c>
      <c r="O2314">
        <f>'raw data Crude oil'!O2315</f>
        <v>56.67</v>
      </c>
      <c r="P2314">
        <f>'raw data Crude oil'!P2315</f>
        <v>56.56</v>
      </c>
      <c r="Q2314">
        <f>'raw data Crude oil'!Q2315</f>
        <v>56.53</v>
      </c>
      <c r="R2314">
        <f>'raw data Crude oil'!R2315</f>
        <v>56.58</v>
      </c>
      <c r="S2314">
        <f>'raw data Crude oil'!S2315</f>
        <v>56.68</v>
      </c>
      <c r="T2314">
        <f>'raw data Crude oil'!T2315</f>
        <v>56.8</v>
      </c>
      <c r="U2314">
        <f>'raw data Crude oil'!U2315</f>
        <v>56.88</v>
      </c>
      <c r="V2314">
        <f>'raw data Crude oil'!V2315</f>
        <v>56.93</v>
      </c>
      <c r="W2314">
        <f>'raw data Crude oil'!W2315</f>
        <v>56.95</v>
      </c>
      <c r="X2314">
        <f>'raw data Crude oil'!X2315</f>
        <v>57.01</v>
      </c>
      <c r="Y2314">
        <f>'raw data Crude oil'!Y2315</f>
        <v>57.09</v>
      </c>
      <c r="Z2314">
        <f>'raw data Crude oil'!Z2315</f>
        <v>61.73</v>
      </c>
      <c r="AA2314">
        <f>'raw data Crude oil'!AA2315</f>
        <v>60.183</v>
      </c>
      <c r="AB2314">
        <f>'raw data Crude oil'!AB2315</f>
        <v>60.183</v>
      </c>
      <c r="AC2314">
        <f>'raw data Crude oil'!AC2315</f>
        <v>60.188000000000002</v>
      </c>
      <c r="AD2314">
        <f>'raw data Crude oil'!AD2315</f>
        <v>60.238</v>
      </c>
      <c r="AE2314">
        <f>'raw data Crude oil'!AE2315</f>
        <v>60.287999999999997</v>
      </c>
      <c r="AF2314">
        <f>'raw data Crude oil'!AF2315</f>
        <v>60.322000000000003</v>
      </c>
      <c r="AG2314">
        <f>'raw data Crude oil'!AG2315</f>
        <v>60.372</v>
      </c>
      <c r="AH2314">
        <f>'raw data Crude oil'!AH2315</f>
        <v>60.426000000000002</v>
      </c>
      <c r="AI2314">
        <f>'raw data Crude oil'!AI2315</f>
        <v>60.484000000000002</v>
      </c>
      <c r="AJ2314">
        <f>'raw data Crude oil'!AJ2315</f>
        <v>60.593000000000004</v>
      </c>
      <c r="AK2314">
        <f>'raw data Crude oil'!AK2315</f>
        <v>60.664000000000001</v>
      </c>
    </row>
    <row r="2315" spans="1:37" x14ac:dyDescent="0.3">
      <c r="A2315" s="18">
        <f>'raw data Crude oil'!A2316</f>
        <v>46007</v>
      </c>
      <c r="B2315">
        <f>'raw data Crude oil'!B2316</f>
        <v>58.92</v>
      </c>
      <c r="C2315">
        <f>'raw data Crude oil'!C2316</f>
        <v>58.67</v>
      </c>
      <c r="D2315">
        <f>'raw data Crude oil'!D2316</f>
        <v>58.57</v>
      </c>
      <c r="E2315">
        <f>'raw data Crude oil'!E2316</f>
        <v>58.59</v>
      </c>
      <c r="F2315">
        <f>'raw data Crude oil'!F2316</f>
        <v>58.68</v>
      </c>
      <c r="G2315">
        <f>'raw data Crude oil'!G2316</f>
        <v>58.79</v>
      </c>
      <c r="H2315">
        <f>'raw data Crude oil'!H2316</f>
        <v>58.88</v>
      </c>
      <c r="I2315">
        <f>'raw data Crude oil'!I2316</f>
        <v>58.95</v>
      </c>
      <c r="J2315">
        <f>'raw data Crude oil'!J2316</f>
        <v>59.02</v>
      </c>
      <c r="K2315">
        <f>'raw data Crude oil'!K2316</f>
        <v>59.1</v>
      </c>
      <c r="L2315">
        <f>'raw data Crude oil'!L2316</f>
        <v>59.2</v>
      </c>
      <c r="M2315">
        <f>'raw data Crude oil'!M2316</f>
        <v>59.29</v>
      </c>
      <c r="N2315">
        <f>'raw data Crude oil'!N2316</f>
        <v>55.27</v>
      </c>
      <c r="O2315">
        <f>'raw data Crude oil'!O2316</f>
        <v>55.13</v>
      </c>
      <c r="P2315">
        <f>'raw data Crude oil'!P2316</f>
        <v>55.05</v>
      </c>
      <c r="Q2315">
        <f>'raw data Crude oil'!Q2316</f>
        <v>55.06</v>
      </c>
      <c r="R2315">
        <f>'raw data Crude oil'!R2316</f>
        <v>55.13</v>
      </c>
      <c r="S2315">
        <f>'raw data Crude oil'!S2316</f>
        <v>55.26</v>
      </c>
      <c r="T2315">
        <f>'raw data Crude oil'!T2316</f>
        <v>55.4</v>
      </c>
      <c r="U2315">
        <f>'raw data Crude oil'!U2316</f>
        <v>55.51</v>
      </c>
      <c r="V2315">
        <f>'raw data Crude oil'!V2316</f>
        <v>55.57</v>
      </c>
      <c r="W2315">
        <f>'raw data Crude oil'!W2316</f>
        <v>55.6</v>
      </c>
      <c r="X2315">
        <f>'raw data Crude oil'!X2316</f>
        <v>55.67</v>
      </c>
      <c r="Y2315">
        <f>'raw data Crude oil'!Y2316</f>
        <v>55.76</v>
      </c>
      <c r="Z2315">
        <f>'raw data Crude oil'!Z2316</f>
        <v>60.914000000000001</v>
      </c>
      <c r="AA2315">
        <f>'raw data Crude oil'!AA2316</f>
        <v>58.470999999999997</v>
      </c>
      <c r="AB2315">
        <f>'raw data Crude oil'!AB2316</f>
        <v>58.502000000000002</v>
      </c>
      <c r="AC2315">
        <f>'raw data Crude oil'!AC2316</f>
        <v>58.576000000000001</v>
      </c>
      <c r="AD2315">
        <f>'raw data Crude oil'!AD2316</f>
        <v>58.676000000000002</v>
      </c>
      <c r="AE2315">
        <f>'raw data Crude oil'!AE2316</f>
        <v>58.774999999999999</v>
      </c>
      <c r="AF2315">
        <f>'raw data Crude oil'!AF2316</f>
        <v>58.853999999999999</v>
      </c>
      <c r="AG2315">
        <f>'raw data Crude oil'!AG2316</f>
        <v>58.912999999999997</v>
      </c>
      <c r="AH2315">
        <f>'raw data Crude oil'!AH2316</f>
        <v>58.988</v>
      </c>
      <c r="AI2315">
        <f>'raw data Crude oil'!AI2316</f>
        <v>59.064999999999998</v>
      </c>
      <c r="AJ2315">
        <f>'raw data Crude oil'!AJ2316</f>
        <v>59.149000000000001</v>
      </c>
      <c r="AK2315">
        <f>'raw data Crude oil'!AK2316</f>
        <v>59.23</v>
      </c>
    </row>
    <row r="2316" spans="1:37" x14ac:dyDescent="0.3">
      <c r="A2316" s="18">
        <f>'raw data Crude oil'!A2317</f>
        <v>46008</v>
      </c>
      <c r="B2316">
        <f>'raw data Crude oil'!B2317</f>
        <v>59.68</v>
      </c>
      <c r="C2316">
        <f>'raw data Crude oil'!C2317</f>
        <v>59.4</v>
      </c>
      <c r="D2316">
        <f>'raw data Crude oil'!D2317</f>
        <v>59.25</v>
      </c>
      <c r="E2316">
        <f>'raw data Crude oil'!E2317</f>
        <v>59.24</v>
      </c>
      <c r="F2316">
        <f>'raw data Crude oil'!F2317</f>
        <v>59.29</v>
      </c>
      <c r="G2316">
        <f>'raw data Crude oil'!G2317</f>
        <v>59.36</v>
      </c>
      <c r="H2316">
        <f>'raw data Crude oil'!H2317</f>
        <v>59.41</v>
      </c>
      <c r="I2316">
        <f>'raw data Crude oil'!I2317</f>
        <v>59.44</v>
      </c>
      <c r="J2316">
        <f>'raw data Crude oil'!J2317</f>
        <v>59.48</v>
      </c>
      <c r="K2316">
        <f>'raw data Crude oil'!K2317</f>
        <v>59.53</v>
      </c>
      <c r="L2316">
        <f>'raw data Crude oil'!L2317</f>
        <v>59.6</v>
      </c>
      <c r="M2316">
        <f>'raw data Crude oil'!M2317</f>
        <v>59.66</v>
      </c>
      <c r="N2316">
        <f>'raw data Crude oil'!N2317</f>
        <v>55.94</v>
      </c>
      <c r="O2316">
        <f>'raw data Crude oil'!O2317</f>
        <v>55.81</v>
      </c>
      <c r="P2316">
        <f>'raw data Crude oil'!P2317</f>
        <v>55.71</v>
      </c>
      <c r="Q2316">
        <f>'raw data Crude oil'!Q2317</f>
        <v>55.7</v>
      </c>
      <c r="R2316">
        <f>'raw data Crude oil'!R2317</f>
        <v>55.76</v>
      </c>
      <c r="S2316">
        <f>'raw data Crude oil'!S2317</f>
        <v>55.85</v>
      </c>
      <c r="T2316">
        <f>'raw data Crude oil'!T2317</f>
        <v>55.96</v>
      </c>
      <c r="U2316">
        <f>'raw data Crude oil'!U2317</f>
        <v>56.03</v>
      </c>
      <c r="V2316">
        <f>'raw data Crude oil'!V2317</f>
        <v>56.06</v>
      </c>
      <c r="W2316">
        <f>'raw data Crude oil'!W2317</f>
        <v>56.07</v>
      </c>
      <c r="X2316">
        <f>'raw data Crude oil'!X2317</f>
        <v>56.1</v>
      </c>
      <c r="Y2316">
        <f>'raw data Crude oil'!Y2317</f>
        <v>56.15</v>
      </c>
      <c r="Z2316">
        <f>'raw data Crude oil'!Z2317</f>
        <v>61.338999999999999</v>
      </c>
      <c r="AA2316">
        <f>'raw data Crude oil'!AA2317</f>
        <v>59.343000000000004</v>
      </c>
      <c r="AB2316">
        <f>'raw data Crude oil'!AB2317</f>
        <v>59.33</v>
      </c>
      <c r="AC2316">
        <f>'raw data Crude oil'!AC2317</f>
        <v>59.381</v>
      </c>
      <c r="AD2316">
        <f>'raw data Crude oil'!AD2317</f>
        <v>59.442999999999998</v>
      </c>
      <c r="AE2316">
        <f>'raw data Crude oil'!AE2317</f>
        <v>59.493000000000002</v>
      </c>
      <c r="AF2316">
        <f>'raw data Crude oil'!AF2317</f>
        <v>59.533999999999999</v>
      </c>
      <c r="AG2316">
        <f>'raw data Crude oil'!AG2317</f>
        <v>59.545999999999999</v>
      </c>
      <c r="AH2316">
        <f>'raw data Crude oil'!AH2317</f>
        <v>59.576999999999998</v>
      </c>
      <c r="AI2316">
        <f>'raw data Crude oil'!AI2317</f>
        <v>59.618000000000002</v>
      </c>
      <c r="AJ2316">
        <f>'raw data Crude oil'!AJ2317</f>
        <v>59.683</v>
      </c>
      <c r="AK2316">
        <f>'raw data Crude oil'!AK2317</f>
        <v>59.728999999999999</v>
      </c>
    </row>
    <row r="2317" spans="1:37" x14ac:dyDescent="0.3">
      <c r="A2317" s="18">
        <f>'raw data Crude oil'!A2318</f>
        <v>46009</v>
      </c>
      <c r="B2317">
        <f>'raw data Crude oil'!B2318</f>
        <v>59.82</v>
      </c>
      <c r="C2317">
        <f>'raw data Crude oil'!C2318</f>
        <v>59.5</v>
      </c>
      <c r="D2317">
        <f>'raw data Crude oil'!D2318</f>
        <v>59.36</v>
      </c>
      <c r="E2317">
        <f>'raw data Crude oil'!E2318</f>
        <v>59.33</v>
      </c>
      <c r="F2317">
        <f>'raw data Crude oil'!F2318</f>
        <v>59.35</v>
      </c>
      <c r="G2317">
        <f>'raw data Crude oil'!G2318</f>
        <v>59.4</v>
      </c>
      <c r="H2317">
        <f>'raw data Crude oil'!H2318</f>
        <v>59.43</v>
      </c>
      <c r="I2317">
        <f>'raw data Crude oil'!I2318</f>
        <v>59.45</v>
      </c>
      <c r="J2317">
        <f>'raw data Crude oil'!J2318</f>
        <v>59.49</v>
      </c>
      <c r="K2317">
        <f>'raw data Crude oil'!K2318</f>
        <v>59.54</v>
      </c>
      <c r="L2317">
        <f>'raw data Crude oil'!L2318</f>
        <v>59.6</v>
      </c>
      <c r="M2317">
        <f>'raw data Crude oil'!M2318</f>
        <v>59.65</v>
      </c>
      <c r="N2317">
        <f>'raw data Crude oil'!N2318</f>
        <v>56.15</v>
      </c>
      <c r="O2317">
        <f>'raw data Crude oil'!O2318</f>
        <v>56</v>
      </c>
      <c r="P2317">
        <f>'raw data Crude oil'!P2318</f>
        <v>55.86</v>
      </c>
      <c r="Q2317">
        <f>'raw data Crude oil'!Q2318</f>
        <v>55.83</v>
      </c>
      <c r="R2317">
        <f>'raw data Crude oil'!R2318</f>
        <v>55.87</v>
      </c>
      <c r="S2317">
        <f>'raw data Crude oil'!S2318</f>
        <v>55.94</v>
      </c>
      <c r="T2317">
        <f>'raw data Crude oil'!T2318</f>
        <v>56.03</v>
      </c>
      <c r="U2317">
        <f>'raw data Crude oil'!U2318</f>
        <v>56.09</v>
      </c>
      <c r="V2317">
        <f>'raw data Crude oil'!V2318</f>
        <v>56.1</v>
      </c>
      <c r="W2317">
        <f>'raw data Crude oil'!W2318</f>
        <v>56.09</v>
      </c>
      <c r="X2317">
        <f>'raw data Crude oil'!X2318</f>
        <v>56.12</v>
      </c>
      <c r="Y2317">
        <f>'raw data Crude oil'!Y2318</f>
        <v>56.17</v>
      </c>
      <c r="Z2317">
        <f>'raw data Crude oil'!Z2318</f>
        <v>61.457999999999998</v>
      </c>
      <c r="AA2317">
        <f>'raw data Crude oil'!AA2318</f>
        <v>59.523000000000003</v>
      </c>
      <c r="AB2317">
        <f>'raw data Crude oil'!AB2318</f>
        <v>59.473999999999997</v>
      </c>
      <c r="AC2317">
        <f>'raw data Crude oil'!AC2318</f>
        <v>59.466000000000001</v>
      </c>
      <c r="AD2317">
        <f>'raw data Crude oil'!AD2318</f>
        <v>59.475999999999999</v>
      </c>
      <c r="AE2317">
        <f>'raw data Crude oil'!AE2318</f>
        <v>59.508000000000003</v>
      </c>
      <c r="AF2317">
        <f>'raw data Crude oil'!AF2318</f>
        <v>59.527000000000001</v>
      </c>
      <c r="AG2317">
        <f>'raw data Crude oil'!AG2318</f>
        <v>59.536000000000001</v>
      </c>
      <c r="AH2317">
        <f>'raw data Crude oil'!AH2318</f>
        <v>59.567999999999998</v>
      </c>
      <c r="AI2317">
        <f>'raw data Crude oil'!AI2318</f>
        <v>59.615000000000002</v>
      </c>
      <c r="AJ2317">
        <f>'raw data Crude oil'!AJ2318</f>
        <v>59.648000000000003</v>
      </c>
      <c r="AK2317">
        <f>'raw data Crude oil'!AK2318</f>
        <v>59.692999999999998</v>
      </c>
    </row>
    <row r="2318" spans="1:37" x14ac:dyDescent="0.3">
      <c r="A2318" s="18">
        <f>'raw data Crude oil'!A2319</f>
        <v>46010</v>
      </c>
      <c r="B2318">
        <f>'raw data Crude oil'!B2319</f>
        <v>60.47</v>
      </c>
      <c r="C2318">
        <f>'raw data Crude oil'!C2319</f>
        <v>60.05</v>
      </c>
      <c r="D2318">
        <f>'raw data Crude oil'!D2319</f>
        <v>59.83</v>
      </c>
      <c r="E2318">
        <f>'raw data Crude oil'!E2319</f>
        <v>59.75</v>
      </c>
      <c r="F2318">
        <f>'raw data Crude oil'!F2319</f>
        <v>59.74</v>
      </c>
      <c r="G2318">
        <f>'raw data Crude oil'!G2319</f>
        <v>59.76</v>
      </c>
      <c r="H2318">
        <f>'raw data Crude oil'!H2319</f>
        <v>59.77</v>
      </c>
      <c r="I2318">
        <f>'raw data Crude oil'!I2319</f>
        <v>59.78</v>
      </c>
      <c r="J2318">
        <f>'raw data Crude oil'!J2319</f>
        <v>59.81</v>
      </c>
      <c r="K2318">
        <f>'raw data Crude oil'!K2319</f>
        <v>59.85</v>
      </c>
      <c r="L2318">
        <f>'raw data Crude oil'!L2319</f>
        <v>59.9</v>
      </c>
      <c r="M2318">
        <f>'raw data Crude oil'!M2319</f>
        <v>59.94</v>
      </c>
      <c r="N2318">
        <f>'raw data Crude oil'!N2319</f>
        <v>56.66</v>
      </c>
      <c r="O2318">
        <f>'raw data Crude oil'!O2319</f>
        <v>56.52</v>
      </c>
      <c r="P2318">
        <f>'raw data Crude oil'!P2319</f>
        <v>56.36</v>
      </c>
      <c r="Q2318">
        <f>'raw data Crude oil'!Q2319</f>
        <v>56.29</v>
      </c>
      <c r="R2318">
        <f>'raw data Crude oil'!R2319</f>
        <v>56.29</v>
      </c>
      <c r="S2318">
        <f>'raw data Crude oil'!S2319</f>
        <v>56.34</v>
      </c>
      <c r="T2318">
        <f>'raw data Crude oil'!T2319</f>
        <v>56.4</v>
      </c>
      <c r="U2318">
        <f>'raw data Crude oil'!U2319</f>
        <v>56.43</v>
      </c>
      <c r="V2318">
        <f>'raw data Crude oil'!V2319</f>
        <v>56.42</v>
      </c>
      <c r="W2318">
        <f>'raw data Crude oil'!W2319</f>
        <v>56.4</v>
      </c>
      <c r="X2318">
        <f>'raw data Crude oil'!X2319</f>
        <v>56.41</v>
      </c>
      <c r="Y2318">
        <f>'raw data Crude oil'!Y2319</f>
        <v>56.44</v>
      </c>
      <c r="Z2318">
        <f>'raw data Crude oil'!Z2319</f>
        <v>61.667000000000002</v>
      </c>
      <c r="AA2318">
        <f>'raw data Crude oil'!AA2319</f>
        <v>60.17</v>
      </c>
      <c r="AB2318">
        <f>'raw data Crude oil'!AB2319</f>
        <v>60.081000000000003</v>
      </c>
      <c r="AC2318">
        <f>'raw data Crude oil'!AC2319</f>
        <v>59.97</v>
      </c>
      <c r="AD2318">
        <f>'raw data Crude oil'!AD2319</f>
        <v>59.912999999999997</v>
      </c>
      <c r="AE2318">
        <f>'raw data Crude oil'!AE2319</f>
        <v>59.902000000000001</v>
      </c>
      <c r="AF2318">
        <f>'raw data Crude oil'!AF2319</f>
        <v>59.881999999999998</v>
      </c>
      <c r="AG2318">
        <f>'raw data Crude oil'!AG2319</f>
        <v>59.875</v>
      </c>
      <c r="AH2318">
        <f>'raw data Crude oil'!AH2319</f>
        <v>59.89</v>
      </c>
      <c r="AI2318">
        <f>'raw data Crude oil'!AI2319</f>
        <v>59.920999999999999</v>
      </c>
      <c r="AJ2318">
        <f>'raw data Crude oil'!AJ2319</f>
        <v>59.948</v>
      </c>
      <c r="AK2318">
        <f>'raw data Crude oil'!AK2319</f>
        <v>59.982999999999997</v>
      </c>
    </row>
    <row r="2319" spans="1:37" x14ac:dyDescent="0.3">
      <c r="A2319" s="18">
        <f>'raw data Crude oil'!A2320</f>
        <v>46013</v>
      </c>
      <c r="B2319">
        <f>'raw data Crude oil'!B2320</f>
        <v>62.07</v>
      </c>
      <c r="C2319">
        <f>'raw data Crude oil'!C2320</f>
        <v>61.58</v>
      </c>
      <c r="D2319">
        <f>'raw data Crude oil'!D2320</f>
        <v>61.29</v>
      </c>
      <c r="E2319">
        <f>'raw data Crude oil'!E2320</f>
        <v>61.14</v>
      </c>
      <c r="F2319">
        <f>'raw data Crude oil'!F2320</f>
        <v>61.06</v>
      </c>
      <c r="G2319">
        <f>'raw data Crude oil'!G2320</f>
        <v>61.03</v>
      </c>
      <c r="H2319">
        <f>'raw data Crude oil'!H2320</f>
        <v>60.99</v>
      </c>
      <c r="I2319">
        <f>'raw data Crude oil'!I2320</f>
        <v>60.95</v>
      </c>
      <c r="J2319">
        <f>'raw data Crude oil'!J2320</f>
        <v>60.94</v>
      </c>
      <c r="K2319">
        <f>'raw data Crude oil'!K2320</f>
        <v>60.94</v>
      </c>
      <c r="L2319">
        <f>'raw data Crude oil'!L2320</f>
        <v>60.96</v>
      </c>
      <c r="M2319">
        <f>'raw data Crude oil'!M2320</f>
        <v>60.97</v>
      </c>
      <c r="N2319">
        <f>'raw data Crude oil'!N2320</f>
        <v>58.01</v>
      </c>
      <c r="O2319">
        <f>'raw data Crude oil'!O2320</f>
        <v>57.84</v>
      </c>
      <c r="P2319">
        <f>'raw data Crude oil'!P2320</f>
        <v>57.72</v>
      </c>
      <c r="Q2319">
        <f>'raw data Crude oil'!Q2320</f>
        <v>57.68</v>
      </c>
      <c r="R2319">
        <f>'raw data Crude oil'!R2320</f>
        <v>57.68</v>
      </c>
      <c r="S2319">
        <f>'raw data Crude oil'!S2320</f>
        <v>57.68</v>
      </c>
      <c r="T2319">
        <f>'raw data Crude oil'!T2320</f>
        <v>57.66</v>
      </c>
      <c r="U2319">
        <f>'raw data Crude oil'!U2320</f>
        <v>57.61</v>
      </c>
      <c r="V2319">
        <f>'raw data Crude oil'!V2320</f>
        <v>57.53</v>
      </c>
      <c r="W2319">
        <f>'raw data Crude oil'!W2320</f>
        <v>57.5</v>
      </c>
      <c r="X2319">
        <f>'raw data Crude oil'!X2320</f>
        <v>57.5</v>
      </c>
      <c r="Y2319">
        <f>'raw data Crude oil'!Y2320</f>
        <v>57.49</v>
      </c>
      <c r="Z2319">
        <f>'raw data Crude oil'!Z2320</f>
        <v>62.103999999999999</v>
      </c>
      <c r="AA2319">
        <f>'raw data Crude oil'!AA2320</f>
        <v>61.633000000000003</v>
      </c>
      <c r="AB2319">
        <f>'raw data Crude oil'!AB2320</f>
        <v>61.552999999999997</v>
      </c>
      <c r="AC2319">
        <f>'raw data Crude oil'!AC2320</f>
        <v>61.396000000000001</v>
      </c>
      <c r="AD2319">
        <f>'raw data Crude oil'!AD2320</f>
        <v>61.295999999999999</v>
      </c>
      <c r="AE2319">
        <f>'raw data Crude oil'!AE2320</f>
        <v>61.235999999999997</v>
      </c>
      <c r="AF2319">
        <f>'raw data Crude oil'!AF2320</f>
        <v>61.170999999999999</v>
      </c>
      <c r="AG2319">
        <f>'raw data Crude oil'!AG2320</f>
        <v>61.110999999999997</v>
      </c>
      <c r="AH2319">
        <f>'raw data Crude oil'!AH2320</f>
        <v>61.081000000000003</v>
      </c>
      <c r="AI2319">
        <f>'raw data Crude oil'!AI2320</f>
        <v>61.067</v>
      </c>
      <c r="AJ2319">
        <f>'raw data Crude oil'!AJ2320</f>
        <v>61.055999999999997</v>
      </c>
      <c r="AK2319">
        <f>'raw data Crude oil'!AK2320</f>
        <v>61.055999999999997</v>
      </c>
    </row>
    <row r="2320" spans="1:37" x14ac:dyDescent="0.3">
      <c r="A2320" s="18">
        <f>'raw data Crude oil'!A2321</f>
        <v>46014</v>
      </c>
      <c r="B2320">
        <f>'raw data Crude oil'!B2321</f>
        <v>62.38</v>
      </c>
      <c r="C2320">
        <f>'raw data Crude oil'!C2321</f>
        <v>61.87</v>
      </c>
      <c r="D2320">
        <f>'raw data Crude oil'!D2321</f>
        <v>61.54</v>
      </c>
      <c r="E2320">
        <f>'raw data Crude oil'!E2321</f>
        <v>61.38</v>
      </c>
      <c r="F2320">
        <f>'raw data Crude oil'!F2321</f>
        <v>61.3</v>
      </c>
      <c r="G2320">
        <f>'raw data Crude oil'!G2321</f>
        <v>61.27</v>
      </c>
      <c r="H2320">
        <f>'raw data Crude oil'!H2321</f>
        <v>61.23</v>
      </c>
      <c r="I2320">
        <f>'raw data Crude oil'!I2321</f>
        <v>61.18</v>
      </c>
      <c r="J2320">
        <f>'raw data Crude oil'!J2321</f>
        <v>61.16</v>
      </c>
      <c r="K2320">
        <f>'raw data Crude oil'!K2321</f>
        <v>61.15</v>
      </c>
      <c r="L2320">
        <f>'raw data Crude oil'!L2321</f>
        <v>61.16</v>
      </c>
      <c r="M2320">
        <f>'raw data Crude oil'!M2321</f>
        <v>61.15</v>
      </c>
      <c r="N2320">
        <f>'raw data Crude oil'!N2321</f>
        <v>58.38</v>
      </c>
      <c r="O2320">
        <f>'raw data Crude oil'!O2321</f>
        <v>58.13</v>
      </c>
      <c r="P2320">
        <f>'raw data Crude oil'!P2321</f>
        <v>57.97</v>
      </c>
      <c r="Q2320">
        <f>'raw data Crude oil'!Q2321</f>
        <v>57.91</v>
      </c>
      <c r="R2320">
        <f>'raw data Crude oil'!R2321</f>
        <v>57.9</v>
      </c>
      <c r="S2320">
        <f>'raw data Crude oil'!S2321</f>
        <v>57.9</v>
      </c>
      <c r="T2320">
        <f>'raw data Crude oil'!T2321</f>
        <v>57.88</v>
      </c>
      <c r="U2320">
        <f>'raw data Crude oil'!U2321</f>
        <v>57.83</v>
      </c>
      <c r="V2320">
        <f>'raw data Crude oil'!V2321</f>
        <v>57.75</v>
      </c>
      <c r="W2320">
        <f>'raw data Crude oil'!W2321</f>
        <v>57.7</v>
      </c>
      <c r="X2320">
        <f>'raw data Crude oil'!X2321</f>
        <v>57.7</v>
      </c>
      <c r="Y2320">
        <f>'raw data Crude oil'!Y2321</f>
        <v>57.67</v>
      </c>
      <c r="Z2320">
        <f>'raw data Crude oil'!Z2321</f>
        <v>62.125999999999998</v>
      </c>
      <c r="AA2320">
        <f>'raw data Crude oil'!AA2321</f>
        <v>61.677</v>
      </c>
      <c r="AB2320">
        <f>'raw data Crude oil'!AB2321</f>
        <v>61.652000000000001</v>
      </c>
      <c r="AC2320">
        <f>'raw data Crude oil'!AC2321</f>
        <v>61.557000000000002</v>
      </c>
      <c r="AD2320">
        <f>'raw data Crude oil'!AD2321</f>
        <v>61.47</v>
      </c>
      <c r="AE2320">
        <f>'raw data Crude oil'!AE2321</f>
        <v>61.418999999999997</v>
      </c>
      <c r="AF2320">
        <f>'raw data Crude oil'!AF2321</f>
        <v>61.368000000000002</v>
      </c>
      <c r="AG2320">
        <f>'raw data Crude oil'!AG2321</f>
        <v>61.314999999999998</v>
      </c>
      <c r="AH2320">
        <f>'raw data Crude oil'!AH2321</f>
        <v>61.284999999999997</v>
      </c>
      <c r="AI2320">
        <f>'raw data Crude oil'!AI2321</f>
        <v>61.261000000000003</v>
      </c>
      <c r="AJ2320">
        <f>'raw data Crude oil'!AJ2321</f>
        <v>61.241</v>
      </c>
      <c r="AK2320">
        <f>'raw data Crude oil'!AK2321</f>
        <v>61.22</v>
      </c>
    </row>
    <row r="2321" spans="1:37" x14ac:dyDescent="0.3">
      <c r="A2321" s="18">
        <f>'raw data Crude oil'!A2322</f>
        <v>46015</v>
      </c>
      <c r="B2321">
        <f>'raw data Crude oil'!B2322</f>
        <v>62.24</v>
      </c>
      <c r="C2321">
        <f>'raw data Crude oil'!C2322</f>
        <v>61.8</v>
      </c>
      <c r="D2321">
        <f>'raw data Crude oil'!D2322</f>
        <v>61.5</v>
      </c>
      <c r="E2321">
        <f>'raw data Crude oil'!E2322</f>
        <v>61.37</v>
      </c>
      <c r="F2321">
        <f>'raw data Crude oil'!F2322</f>
        <v>61.32</v>
      </c>
      <c r="G2321">
        <f>'raw data Crude oil'!G2322</f>
        <v>61.3</v>
      </c>
      <c r="H2321">
        <f>'raw data Crude oil'!H2322</f>
        <v>61.28</v>
      </c>
      <c r="I2321">
        <f>'raw data Crude oil'!I2322</f>
        <v>61.25</v>
      </c>
      <c r="J2321">
        <f>'raw data Crude oil'!J2322</f>
        <v>61.24</v>
      </c>
      <c r="K2321">
        <f>'raw data Crude oil'!K2322</f>
        <v>61.25</v>
      </c>
      <c r="L2321">
        <f>'raw data Crude oil'!L2322</f>
        <v>61.27</v>
      </c>
      <c r="M2321">
        <f>'raw data Crude oil'!M2322</f>
        <v>61.27</v>
      </c>
      <c r="N2321">
        <f>'raw data Crude oil'!N2322</f>
        <v>58.35</v>
      </c>
      <c r="O2321">
        <f>'raw data Crude oil'!O2322</f>
        <v>58.13</v>
      </c>
      <c r="P2321">
        <f>'raw data Crude oil'!P2322</f>
        <v>57.98</v>
      </c>
      <c r="Q2321">
        <f>'raw data Crude oil'!Q2322</f>
        <v>57.92</v>
      </c>
      <c r="R2321">
        <f>'raw data Crude oil'!R2322</f>
        <v>57.93</v>
      </c>
      <c r="S2321">
        <f>'raw data Crude oil'!S2322</f>
        <v>57.94</v>
      </c>
      <c r="T2321">
        <f>'raw data Crude oil'!T2322</f>
        <v>57.94</v>
      </c>
      <c r="U2321">
        <f>'raw data Crude oil'!U2322</f>
        <v>57.89</v>
      </c>
      <c r="V2321">
        <f>'raw data Crude oil'!V2322</f>
        <v>57.83</v>
      </c>
      <c r="W2321">
        <f>'raw data Crude oil'!W2322</f>
        <v>57.8</v>
      </c>
      <c r="X2321">
        <f>'raw data Crude oil'!X2322</f>
        <v>57.8</v>
      </c>
      <c r="Y2321">
        <f>'raw data Crude oil'!Y2322</f>
        <v>57.79</v>
      </c>
      <c r="Z2321">
        <f>'raw data Crude oil'!Z2322</f>
        <v>62.12</v>
      </c>
      <c r="AA2321">
        <f>'raw data Crude oil'!AA2322</f>
        <v>61.598999999999997</v>
      </c>
      <c r="AB2321">
        <f>'raw data Crude oil'!AB2322</f>
        <v>61.587000000000003</v>
      </c>
      <c r="AC2321">
        <f>'raw data Crude oil'!AC2322</f>
        <v>61.499000000000002</v>
      </c>
      <c r="AD2321">
        <f>'raw data Crude oil'!AD2322</f>
        <v>61.429000000000002</v>
      </c>
      <c r="AE2321">
        <f>'raw data Crude oil'!AE2322</f>
        <v>61.399000000000001</v>
      </c>
      <c r="AF2321">
        <f>'raw data Crude oil'!AF2322</f>
        <v>61.359000000000002</v>
      </c>
      <c r="AG2321">
        <f>'raw data Crude oil'!AG2322</f>
        <v>61.33</v>
      </c>
      <c r="AH2321">
        <f>'raw data Crude oil'!AH2322</f>
        <v>61.311</v>
      </c>
      <c r="AI2321">
        <f>'raw data Crude oil'!AI2322</f>
        <v>61.311</v>
      </c>
      <c r="AJ2321">
        <f>'raw data Crude oil'!AJ2322</f>
        <v>61.32</v>
      </c>
      <c r="AK2321">
        <f>'raw data Crude oil'!AK2322</f>
        <v>61.316000000000003</v>
      </c>
    </row>
    <row r="2322" spans="1:37" x14ac:dyDescent="0.3">
      <c r="A2322" s="18">
        <f>'raw data Crude oil'!A2323</f>
        <v>46017</v>
      </c>
      <c r="B2322">
        <f>'raw data Crude oil'!B2323</f>
        <v>60.64</v>
      </c>
      <c r="C2322">
        <f>'raw data Crude oil'!C2323</f>
        <v>60.24</v>
      </c>
      <c r="D2322">
        <f>'raw data Crude oil'!D2323</f>
        <v>59.97</v>
      </c>
      <c r="E2322">
        <f>'raw data Crude oil'!E2323</f>
        <v>59.85</v>
      </c>
      <c r="F2322">
        <f>'raw data Crude oil'!F2323</f>
        <v>59.83</v>
      </c>
      <c r="G2322">
        <f>'raw data Crude oil'!G2323</f>
        <v>59.85</v>
      </c>
      <c r="H2322">
        <f>'raw data Crude oil'!H2323</f>
        <v>59.86</v>
      </c>
      <c r="I2322">
        <f>'raw data Crude oil'!I2323</f>
        <v>59.87</v>
      </c>
      <c r="J2322">
        <f>'raw data Crude oil'!J2323</f>
        <v>59.9</v>
      </c>
      <c r="K2322">
        <f>'raw data Crude oil'!K2323</f>
        <v>59.94</v>
      </c>
      <c r="L2322">
        <f>'raw data Crude oil'!L2323</f>
        <v>59.99</v>
      </c>
      <c r="M2322">
        <f>'raw data Crude oil'!M2323</f>
        <v>60.02</v>
      </c>
      <c r="N2322">
        <f>'raw data Crude oil'!N2323</f>
        <v>56.74</v>
      </c>
      <c r="O2322">
        <f>'raw data Crude oil'!O2323</f>
        <v>56.56</v>
      </c>
      <c r="P2322">
        <f>'raw data Crude oil'!P2323</f>
        <v>56.45</v>
      </c>
      <c r="Q2322">
        <f>'raw data Crude oil'!Q2323</f>
        <v>56.43</v>
      </c>
      <c r="R2322">
        <f>'raw data Crude oil'!R2323</f>
        <v>56.47</v>
      </c>
      <c r="S2322">
        <f>'raw data Crude oil'!S2323</f>
        <v>56.53</v>
      </c>
      <c r="T2322">
        <f>'raw data Crude oil'!T2323</f>
        <v>56.57</v>
      </c>
      <c r="U2322">
        <f>'raw data Crude oil'!U2323</f>
        <v>56.56</v>
      </c>
      <c r="V2322">
        <f>'raw data Crude oil'!V2323</f>
        <v>56.53</v>
      </c>
      <c r="W2322">
        <f>'raw data Crude oil'!W2323</f>
        <v>56.55</v>
      </c>
      <c r="X2322">
        <f>'raw data Crude oil'!X2323</f>
        <v>56.58</v>
      </c>
      <c r="Y2322">
        <f>'raw data Crude oil'!Y2323</f>
        <v>56.6</v>
      </c>
      <c r="Z2322">
        <f>'raw data Crude oil'!Z2323</f>
        <v>61.911999999999999</v>
      </c>
      <c r="AA2322">
        <f>'raw data Crude oil'!AA2323</f>
        <v>60.031999999999996</v>
      </c>
      <c r="AB2322">
        <f>'raw data Crude oil'!AB2323</f>
        <v>60.048999999999999</v>
      </c>
      <c r="AC2322">
        <f>'raw data Crude oil'!AC2323</f>
        <v>59.948999999999998</v>
      </c>
      <c r="AD2322">
        <f>'raw data Crude oil'!AD2323</f>
        <v>59.890999999999998</v>
      </c>
      <c r="AE2322">
        <f>'raw data Crude oil'!AE2323</f>
        <v>59.89</v>
      </c>
      <c r="AF2322">
        <f>'raw data Crude oil'!AF2323</f>
        <v>59.88</v>
      </c>
      <c r="AG2322">
        <f>'raw data Crude oil'!AG2323</f>
        <v>59.875</v>
      </c>
      <c r="AH2322">
        <f>'raw data Crude oil'!AH2323</f>
        <v>59.898000000000003</v>
      </c>
      <c r="AI2322">
        <f>'raw data Crude oil'!AI2323</f>
        <v>59.926000000000002</v>
      </c>
      <c r="AJ2322">
        <f>'raw data Crude oil'!AJ2323</f>
        <v>59.960999999999999</v>
      </c>
      <c r="AK2322">
        <f>'raw data Crude oil'!AK2323</f>
        <v>59.981999999999999</v>
      </c>
    </row>
    <row r="2323" spans="1:37" x14ac:dyDescent="0.3">
      <c r="A2323" s="18">
        <f>'raw data Crude oil'!A2324</f>
        <v>46020</v>
      </c>
      <c r="B2323">
        <f>'raw data Crude oil'!B2324</f>
        <v>61.94</v>
      </c>
      <c r="C2323">
        <f>'raw data Crude oil'!C2324</f>
        <v>61.49</v>
      </c>
      <c r="D2323">
        <f>'raw data Crude oil'!D2324</f>
        <v>61.15</v>
      </c>
      <c r="E2323">
        <f>'raw data Crude oil'!E2324</f>
        <v>60.98</v>
      </c>
      <c r="F2323">
        <f>'raw data Crude oil'!F2324</f>
        <v>60.92</v>
      </c>
      <c r="G2323">
        <f>'raw data Crude oil'!G2324</f>
        <v>60.89</v>
      </c>
      <c r="H2323">
        <f>'raw data Crude oil'!H2324</f>
        <v>60.87</v>
      </c>
      <c r="I2323">
        <f>'raw data Crude oil'!I2324</f>
        <v>60.85</v>
      </c>
      <c r="J2323">
        <f>'raw data Crude oil'!J2324</f>
        <v>60.85</v>
      </c>
      <c r="K2323">
        <f>'raw data Crude oil'!K2324</f>
        <v>60.86</v>
      </c>
      <c r="L2323">
        <f>'raw data Crude oil'!L2324</f>
        <v>60.89</v>
      </c>
      <c r="M2323">
        <f>'raw data Crude oil'!M2324</f>
        <v>60.9</v>
      </c>
      <c r="N2323">
        <f>'raw data Crude oil'!N2324</f>
        <v>58.08</v>
      </c>
      <c r="O2323">
        <f>'raw data Crude oil'!O2324</f>
        <v>57.85</v>
      </c>
      <c r="P2323">
        <f>'raw data Crude oil'!P2324</f>
        <v>57.68</v>
      </c>
      <c r="Q2323">
        <f>'raw data Crude oil'!Q2324</f>
        <v>57.62</v>
      </c>
      <c r="R2323">
        <f>'raw data Crude oil'!R2324</f>
        <v>57.62</v>
      </c>
      <c r="S2323">
        <f>'raw data Crude oil'!S2324</f>
        <v>57.63</v>
      </c>
      <c r="T2323">
        <f>'raw data Crude oil'!T2324</f>
        <v>57.63</v>
      </c>
      <c r="U2323">
        <f>'raw data Crude oil'!U2324</f>
        <v>57.58</v>
      </c>
      <c r="V2323">
        <f>'raw data Crude oil'!V2324</f>
        <v>57.51</v>
      </c>
      <c r="W2323">
        <f>'raw data Crude oil'!W2324</f>
        <v>57.49</v>
      </c>
      <c r="X2323">
        <f>'raw data Crude oil'!X2324</f>
        <v>57.49</v>
      </c>
      <c r="Y2323">
        <f>'raw data Crude oil'!Y2324</f>
        <v>57.48</v>
      </c>
      <c r="Z2323">
        <f>'raw data Crude oil'!Z2324</f>
        <v>62.048000000000002</v>
      </c>
      <c r="AA2323">
        <f>'raw data Crude oil'!AA2324</f>
        <v>61.17</v>
      </c>
      <c r="AB2323">
        <f>'raw data Crude oil'!AB2324</f>
        <v>61.137</v>
      </c>
      <c r="AC2323">
        <f>'raw data Crude oil'!AC2324</f>
        <v>61.036999999999999</v>
      </c>
      <c r="AD2323">
        <f>'raw data Crude oil'!AD2324</f>
        <v>60.959000000000003</v>
      </c>
      <c r="AE2323">
        <f>'raw data Crude oil'!AE2324</f>
        <v>60.908999999999999</v>
      </c>
      <c r="AF2323">
        <f>'raw data Crude oil'!AF2324</f>
        <v>60.868000000000002</v>
      </c>
      <c r="AG2323">
        <f>'raw data Crude oil'!AG2324</f>
        <v>60.838000000000001</v>
      </c>
      <c r="AH2323">
        <f>'raw data Crude oil'!AH2324</f>
        <v>60.829000000000001</v>
      </c>
      <c r="AI2323">
        <f>'raw data Crude oil'!AI2324</f>
        <v>60.828000000000003</v>
      </c>
      <c r="AJ2323">
        <f>'raw data Crude oil'!AJ2324</f>
        <v>60.847000000000001</v>
      </c>
      <c r="AK2323">
        <f>'raw data Crude oil'!AK2324</f>
        <v>60.850999999999999</v>
      </c>
    </row>
    <row r="2324" spans="1:37" x14ac:dyDescent="0.3">
      <c r="A2324" s="18">
        <f>'raw data Crude oil'!A2325</f>
        <v>46021</v>
      </c>
      <c r="B2324">
        <f>'raw data Crude oil'!B2325</f>
        <v>61.92</v>
      </c>
      <c r="C2324">
        <f>'raw data Crude oil'!C2325</f>
        <v>61.33</v>
      </c>
      <c r="D2324">
        <f>'raw data Crude oil'!D2325</f>
        <v>61.03</v>
      </c>
      <c r="E2324">
        <f>'raw data Crude oil'!E2325</f>
        <v>60.87</v>
      </c>
      <c r="F2324">
        <f>'raw data Crude oil'!F2325</f>
        <v>60.81</v>
      </c>
      <c r="G2324">
        <f>'raw data Crude oil'!G2325</f>
        <v>60.77</v>
      </c>
      <c r="H2324">
        <f>'raw data Crude oil'!H2325</f>
        <v>60.74</v>
      </c>
      <c r="I2324">
        <f>'raw data Crude oil'!I2325</f>
        <v>60.72</v>
      </c>
      <c r="J2324">
        <f>'raw data Crude oil'!J2325</f>
        <v>60.72</v>
      </c>
      <c r="K2324">
        <f>'raw data Crude oil'!K2325</f>
        <v>60.74</v>
      </c>
      <c r="L2324">
        <f>'raw data Crude oil'!L2325</f>
        <v>60.77</v>
      </c>
      <c r="M2324">
        <f>'raw data Crude oil'!M2325</f>
        <v>60.78</v>
      </c>
      <c r="N2324">
        <f>'raw data Crude oil'!N2325</f>
        <v>57.95</v>
      </c>
      <c r="O2324">
        <f>'raw data Crude oil'!O2325</f>
        <v>57.74</v>
      </c>
      <c r="P2324">
        <f>'raw data Crude oil'!P2325</f>
        <v>57.58</v>
      </c>
      <c r="Q2324">
        <f>'raw data Crude oil'!Q2325</f>
        <v>57.52</v>
      </c>
      <c r="R2324">
        <f>'raw data Crude oil'!R2325</f>
        <v>57.53</v>
      </c>
      <c r="S2324">
        <f>'raw data Crude oil'!S2325</f>
        <v>57.55</v>
      </c>
      <c r="T2324">
        <f>'raw data Crude oil'!T2325</f>
        <v>57.55</v>
      </c>
      <c r="U2324">
        <f>'raw data Crude oil'!U2325</f>
        <v>57.52</v>
      </c>
      <c r="V2324">
        <f>'raw data Crude oil'!V2325</f>
        <v>57.45</v>
      </c>
      <c r="W2324">
        <f>'raw data Crude oil'!W2325</f>
        <v>57.42</v>
      </c>
      <c r="X2324">
        <f>'raw data Crude oil'!X2325</f>
        <v>57.42</v>
      </c>
      <c r="Y2324">
        <f>'raw data Crude oil'!Y2325</f>
        <v>57.41</v>
      </c>
      <c r="Z2324">
        <f>'raw data Crude oil'!Z2325</f>
        <v>62.037999999999997</v>
      </c>
      <c r="AA2324">
        <f>'raw data Crude oil'!AA2325</f>
        <v>60.892000000000003</v>
      </c>
      <c r="AB2324">
        <f>'raw data Crude oil'!AB2325</f>
        <v>60.872</v>
      </c>
      <c r="AC2324">
        <f>'raw data Crude oil'!AC2325</f>
        <v>60.781999999999996</v>
      </c>
      <c r="AD2324">
        <f>'raw data Crude oil'!AD2325</f>
        <v>60.703000000000003</v>
      </c>
      <c r="AE2324">
        <f>'raw data Crude oil'!AE2325</f>
        <v>60.652999999999999</v>
      </c>
      <c r="AF2324">
        <f>'raw data Crude oil'!AF2325</f>
        <v>60.603000000000002</v>
      </c>
      <c r="AG2324">
        <f>'raw data Crude oil'!AG2325</f>
        <v>60.573</v>
      </c>
      <c r="AH2324">
        <f>'raw data Crude oil'!AH2325</f>
        <v>60.567</v>
      </c>
      <c r="AI2324">
        <f>'raw data Crude oil'!AI2325</f>
        <v>60.576000000000001</v>
      </c>
      <c r="AJ2324">
        <f>'raw data Crude oil'!AJ2325</f>
        <v>60.6</v>
      </c>
      <c r="AK2324">
        <f>'raw data Crude oil'!AK2325</f>
        <v>60.606000000000002</v>
      </c>
    </row>
    <row r="2325" spans="1:37" x14ac:dyDescent="0.3">
      <c r="A2325" s="18">
        <f>'raw data Crude oil'!A2326</f>
        <v>46022</v>
      </c>
      <c r="B2325">
        <f>'raw data Crude oil'!B2326</f>
        <v>60.85</v>
      </c>
      <c r="C2325">
        <f>'raw data Crude oil'!C2326</f>
        <v>60.49</v>
      </c>
      <c r="D2325">
        <f>'raw data Crude oil'!D2326</f>
        <v>60.32</v>
      </c>
      <c r="E2325">
        <f>'raw data Crude oil'!E2326</f>
        <v>60.25</v>
      </c>
      <c r="F2325">
        <f>'raw data Crude oil'!F2326</f>
        <v>60.22</v>
      </c>
      <c r="G2325">
        <f>'raw data Crude oil'!G2326</f>
        <v>60.19</v>
      </c>
      <c r="H2325">
        <f>'raw data Crude oil'!H2326</f>
        <v>60.17</v>
      </c>
      <c r="I2325">
        <f>'raw data Crude oil'!I2326</f>
        <v>60.17</v>
      </c>
      <c r="J2325">
        <f>'raw data Crude oil'!J2326</f>
        <v>60.19</v>
      </c>
      <c r="K2325">
        <f>'raw data Crude oil'!K2326</f>
        <v>60.22</v>
      </c>
      <c r="L2325">
        <f>'raw data Crude oil'!L2326</f>
        <v>60.23</v>
      </c>
      <c r="M2325">
        <f>'raw data Crude oil'!M2326</f>
        <v>60.25</v>
      </c>
      <c r="N2325">
        <f>'raw data Crude oil'!N2326</f>
        <v>57.42</v>
      </c>
      <c r="O2325">
        <f>'raw data Crude oil'!O2326</f>
        <v>57.22</v>
      </c>
      <c r="P2325">
        <f>'raw data Crude oil'!P2326</f>
        <v>57.07</v>
      </c>
      <c r="Q2325">
        <f>'raw data Crude oil'!Q2326</f>
        <v>57</v>
      </c>
      <c r="R2325">
        <f>'raw data Crude oil'!R2326</f>
        <v>57.01</v>
      </c>
      <c r="S2325">
        <f>'raw data Crude oil'!S2326</f>
        <v>57.04</v>
      </c>
      <c r="T2325">
        <f>'raw data Crude oil'!T2326</f>
        <v>57.04</v>
      </c>
      <c r="U2325">
        <f>'raw data Crude oil'!U2326</f>
        <v>57.01</v>
      </c>
      <c r="V2325">
        <f>'raw data Crude oil'!V2326</f>
        <v>56.95</v>
      </c>
      <c r="W2325">
        <f>'raw data Crude oil'!W2326</f>
        <v>56.92</v>
      </c>
      <c r="X2325">
        <f>'raw data Crude oil'!X2326</f>
        <v>56.92</v>
      </c>
      <c r="Y2325">
        <f>'raw data Crude oil'!Y2326</f>
        <v>56.91</v>
      </c>
      <c r="Z2325">
        <f>'raw data Crude oil'!Z2326</f>
        <v>62.045999999999999</v>
      </c>
      <c r="AA2325">
        <f>'raw data Crude oil'!AA2326</f>
        <v>60.335999999999999</v>
      </c>
      <c r="AB2325">
        <f>'raw data Crude oil'!AB2326</f>
        <v>60.265000000000001</v>
      </c>
      <c r="AC2325">
        <f>'raw data Crude oil'!AC2326</f>
        <v>60.162999999999997</v>
      </c>
      <c r="AD2325">
        <f>'raw data Crude oil'!AD2326</f>
        <v>60.069000000000003</v>
      </c>
      <c r="AE2325">
        <f>'raw data Crude oil'!AE2326</f>
        <v>60.018999999999998</v>
      </c>
      <c r="AF2325">
        <f>'raw data Crude oil'!AF2326</f>
        <v>59.969000000000001</v>
      </c>
      <c r="AG2325">
        <f>'raw data Crude oil'!AG2326</f>
        <v>59.948999999999998</v>
      </c>
      <c r="AH2325">
        <f>'raw data Crude oil'!AH2326</f>
        <v>59.951000000000001</v>
      </c>
      <c r="AI2325">
        <f>'raw data Crude oil'!AI2326</f>
        <v>59.97</v>
      </c>
      <c r="AJ2325">
        <f>'raw data Crude oil'!AJ2326</f>
        <v>59.99</v>
      </c>
      <c r="AK2325">
        <f>'raw data Crude oil'!AK2326</f>
        <v>59.991</v>
      </c>
    </row>
    <row r="2326" spans="1:37" x14ac:dyDescent="0.3">
      <c r="A2326" s="18">
        <f>'raw data Crude oil'!A2327</f>
        <v>46024</v>
      </c>
      <c r="B2326">
        <f>'raw data Crude oil'!B2327</f>
        <v>60.75</v>
      </c>
      <c r="C2326">
        <f>'raw data Crude oil'!C2327</f>
        <v>60.43</v>
      </c>
      <c r="D2326">
        <f>'raw data Crude oil'!D2327</f>
        <v>60.28</v>
      </c>
      <c r="E2326">
        <f>'raw data Crude oil'!E2327</f>
        <v>60.24</v>
      </c>
      <c r="F2326">
        <f>'raw data Crude oil'!F2327</f>
        <v>60.24</v>
      </c>
      <c r="G2326">
        <f>'raw data Crude oil'!G2327</f>
        <v>60.24</v>
      </c>
      <c r="H2326">
        <f>'raw data Crude oil'!H2327</f>
        <v>60.24</v>
      </c>
      <c r="I2326">
        <f>'raw data Crude oil'!I2327</f>
        <v>60.26</v>
      </c>
      <c r="J2326">
        <f>'raw data Crude oil'!J2327</f>
        <v>60.29</v>
      </c>
      <c r="K2326">
        <f>'raw data Crude oil'!K2327</f>
        <v>60.34</v>
      </c>
      <c r="L2326">
        <f>'raw data Crude oil'!L2327</f>
        <v>60.36</v>
      </c>
      <c r="M2326">
        <f>'raw data Crude oil'!M2327</f>
        <v>60.4</v>
      </c>
      <c r="N2326">
        <f>'raw data Crude oil'!N2327</f>
        <v>57.32</v>
      </c>
      <c r="O2326">
        <f>'raw data Crude oil'!O2327</f>
        <v>57.12</v>
      </c>
      <c r="P2326">
        <f>'raw data Crude oil'!P2327</f>
        <v>56.98</v>
      </c>
      <c r="Q2326">
        <f>'raw data Crude oil'!Q2327</f>
        <v>56.93</v>
      </c>
      <c r="R2326">
        <f>'raw data Crude oil'!R2327</f>
        <v>56.98</v>
      </c>
      <c r="S2326">
        <f>'raw data Crude oil'!S2327</f>
        <v>57.03</v>
      </c>
      <c r="T2326">
        <f>'raw data Crude oil'!T2327</f>
        <v>57.06</v>
      </c>
      <c r="U2326">
        <f>'raw data Crude oil'!U2327</f>
        <v>57.05</v>
      </c>
      <c r="V2326">
        <f>'raw data Crude oil'!V2327</f>
        <v>57.01</v>
      </c>
      <c r="W2326">
        <f>'raw data Crude oil'!W2327</f>
        <v>57</v>
      </c>
      <c r="X2326">
        <f>'raw data Crude oil'!X2327</f>
        <v>57.01</v>
      </c>
      <c r="Y2326">
        <f>'raw data Crude oil'!Y2327</f>
        <v>57.02</v>
      </c>
      <c r="Z2326">
        <f>'raw data Crude oil'!Z2327</f>
        <v>62.045999999999999</v>
      </c>
      <c r="AA2326">
        <f>'raw data Crude oil'!AA2327</f>
        <v>59.87</v>
      </c>
      <c r="AB2326">
        <f>'raw data Crude oil'!AB2327</f>
        <v>59.927999999999997</v>
      </c>
      <c r="AC2326">
        <f>'raw data Crude oil'!AC2327</f>
        <v>59.933</v>
      </c>
      <c r="AD2326">
        <f>'raw data Crude oil'!AD2327</f>
        <v>59.924999999999997</v>
      </c>
      <c r="AE2326">
        <f>'raw data Crude oil'!AE2327</f>
        <v>59.914999999999999</v>
      </c>
      <c r="AF2326">
        <f>'raw data Crude oil'!AF2327</f>
        <v>59.914999999999999</v>
      </c>
      <c r="AG2326">
        <f>'raw data Crude oil'!AG2327</f>
        <v>59.914999999999999</v>
      </c>
      <c r="AH2326">
        <f>'raw data Crude oil'!AH2327</f>
        <v>59.945</v>
      </c>
      <c r="AI2326">
        <f>'raw data Crude oil'!AI2327</f>
        <v>59.991999999999997</v>
      </c>
      <c r="AJ2326">
        <f>'raw data Crude oil'!AJ2327</f>
        <v>60.026000000000003</v>
      </c>
      <c r="AK2326">
        <f>'raw data Crude oil'!AK2327</f>
        <v>60.031999999999996</v>
      </c>
    </row>
    <row r="2327" spans="1:37" x14ac:dyDescent="0.3">
      <c r="A2327" s="18">
        <f>'raw data Crude oil'!A2328</f>
        <v>46027</v>
      </c>
      <c r="B2327">
        <f>'raw data Crude oil'!B2328</f>
        <v>61.76</v>
      </c>
      <c r="C2327">
        <f>'raw data Crude oil'!C2328</f>
        <v>61.37</v>
      </c>
      <c r="D2327">
        <f>'raw data Crude oil'!D2328</f>
        <v>61.16</v>
      </c>
      <c r="E2327">
        <f>'raw data Crude oil'!E2328</f>
        <v>61.05</v>
      </c>
      <c r="F2327">
        <f>'raw data Crude oil'!F2328</f>
        <v>60.98</v>
      </c>
      <c r="G2327">
        <f>'raw data Crude oil'!G2328</f>
        <v>60.91</v>
      </c>
      <c r="H2327">
        <f>'raw data Crude oil'!H2328</f>
        <v>60.85</v>
      </c>
      <c r="I2327">
        <f>'raw data Crude oil'!I2328</f>
        <v>60.81</v>
      </c>
      <c r="J2327">
        <f>'raw data Crude oil'!J2328</f>
        <v>60.8</v>
      </c>
      <c r="K2327">
        <f>'raw data Crude oil'!K2328</f>
        <v>60.8</v>
      </c>
      <c r="L2327">
        <f>'raw data Crude oil'!L2328</f>
        <v>60.78</v>
      </c>
      <c r="M2327">
        <f>'raw data Crude oil'!M2328</f>
        <v>60.78</v>
      </c>
      <c r="N2327">
        <f>'raw data Crude oil'!N2328</f>
        <v>58.32</v>
      </c>
      <c r="O2327">
        <f>'raw data Crude oil'!O2328</f>
        <v>58.08</v>
      </c>
      <c r="P2327">
        <f>'raw data Crude oil'!P2328</f>
        <v>57.91</v>
      </c>
      <c r="Q2327">
        <f>'raw data Crude oil'!Q2328</f>
        <v>57.83</v>
      </c>
      <c r="R2327">
        <f>'raw data Crude oil'!R2328</f>
        <v>57.82</v>
      </c>
      <c r="S2327">
        <f>'raw data Crude oil'!S2328</f>
        <v>57.8</v>
      </c>
      <c r="T2327">
        <f>'raw data Crude oil'!T2328</f>
        <v>57.78</v>
      </c>
      <c r="U2327">
        <f>'raw data Crude oil'!U2328</f>
        <v>57.71</v>
      </c>
      <c r="V2327">
        <f>'raw data Crude oil'!V2328</f>
        <v>57.6</v>
      </c>
      <c r="W2327">
        <f>'raw data Crude oil'!W2328</f>
        <v>57.53</v>
      </c>
      <c r="X2327">
        <f>'raw data Crude oil'!X2328</f>
        <v>57.51</v>
      </c>
      <c r="Y2327">
        <f>'raw data Crude oil'!Y2328</f>
        <v>57.45</v>
      </c>
      <c r="Z2327">
        <f>'raw data Crude oil'!Z2328</f>
        <v>60.347999999999999</v>
      </c>
      <c r="AA2327">
        <f>'raw data Crude oil'!AA2328</f>
        <v>60.61</v>
      </c>
      <c r="AB2327">
        <f>'raw data Crude oil'!AB2328</f>
        <v>60.607999999999997</v>
      </c>
      <c r="AC2327">
        <f>'raw data Crude oil'!AC2328</f>
        <v>60.569000000000003</v>
      </c>
      <c r="AD2327">
        <f>'raw data Crude oil'!AD2328</f>
        <v>60.52</v>
      </c>
      <c r="AE2327">
        <f>'raw data Crude oil'!AE2328</f>
        <v>60.460999999999999</v>
      </c>
      <c r="AF2327">
        <f>'raw data Crude oil'!AF2328</f>
        <v>60.402000000000001</v>
      </c>
      <c r="AG2327">
        <f>'raw data Crude oil'!AG2328</f>
        <v>60.363</v>
      </c>
      <c r="AH2327">
        <f>'raw data Crude oil'!AH2328</f>
        <v>60.363999999999997</v>
      </c>
      <c r="AI2327">
        <f>'raw data Crude oil'!AI2328</f>
        <v>60.374000000000002</v>
      </c>
      <c r="AJ2327">
        <f>'raw data Crude oil'!AJ2328</f>
        <v>60.36</v>
      </c>
      <c r="AK2327">
        <f>'raw data Crude oil'!AK2328</f>
        <v>60.351999999999997</v>
      </c>
    </row>
    <row r="2328" spans="1:37" x14ac:dyDescent="0.3">
      <c r="A2328" s="18">
        <f>'raw data Crude oil'!A2329</f>
        <v>46028</v>
      </c>
      <c r="B2328">
        <f>'raw data Crude oil'!B2329</f>
        <v>60.7</v>
      </c>
      <c r="C2328">
        <f>'raw data Crude oil'!C2329</f>
        <v>60.31</v>
      </c>
      <c r="D2328">
        <f>'raw data Crude oil'!D2329</f>
        <v>60.1</v>
      </c>
      <c r="E2328">
        <f>'raw data Crude oil'!E2329</f>
        <v>60</v>
      </c>
      <c r="F2328">
        <f>'raw data Crude oil'!F2329</f>
        <v>59.95</v>
      </c>
      <c r="G2328">
        <f>'raw data Crude oil'!G2329</f>
        <v>59.92</v>
      </c>
      <c r="H2328">
        <f>'raw data Crude oil'!H2329</f>
        <v>59.89</v>
      </c>
      <c r="I2328">
        <f>'raw data Crude oil'!I2329</f>
        <v>59.89</v>
      </c>
      <c r="J2328">
        <f>'raw data Crude oil'!J2329</f>
        <v>59.91</v>
      </c>
      <c r="K2328">
        <f>'raw data Crude oil'!K2329</f>
        <v>59.95</v>
      </c>
      <c r="L2328">
        <f>'raw data Crude oil'!L2329</f>
        <v>59.96</v>
      </c>
      <c r="M2328">
        <f>'raw data Crude oil'!M2329</f>
        <v>59.98</v>
      </c>
      <c r="N2328">
        <f>'raw data Crude oil'!N2329</f>
        <v>57.13</v>
      </c>
      <c r="O2328">
        <f>'raw data Crude oil'!O2329</f>
        <v>56.94</v>
      </c>
      <c r="P2328">
        <f>'raw data Crude oil'!P2329</f>
        <v>56.77</v>
      </c>
      <c r="Q2328">
        <f>'raw data Crude oil'!Q2329</f>
        <v>56.69</v>
      </c>
      <c r="R2328">
        <f>'raw data Crude oil'!R2329</f>
        <v>56.69</v>
      </c>
      <c r="S2328">
        <f>'raw data Crude oil'!S2329</f>
        <v>56.7</v>
      </c>
      <c r="T2328">
        <f>'raw data Crude oil'!T2329</f>
        <v>56.69</v>
      </c>
      <c r="U2328">
        <f>'raw data Crude oil'!U2329</f>
        <v>56.65</v>
      </c>
      <c r="V2328">
        <f>'raw data Crude oil'!V2329</f>
        <v>56.59</v>
      </c>
      <c r="W2328">
        <f>'raw data Crude oil'!W2329</f>
        <v>56.56</v>
      </c>
      <c r="X2328">
        <f>'raw data Crude oil'!X2329</f>
        <v>56.56</v>
      </c>
      <c r="Y2328">
        <f>'raw data Crude oil'!Y2329</f>
        <v>56.54</v>
      </c>
      <c r="Z2328">
        <f>'raw data Crude oil'!Z2329</f>
        <v>59.134</v>
      </c>
      <c r="AA2328">
        <f>'raw data Crude oil'!AA2329</f>
        <v>59.433</v>
      </c>
      <c r="AB2328">
        <f>'raw data Crude oil'!AB2329</f>
        <v>59.457000000000001</v>
      </c>
      <c r="AC2328">
        <f>'raw data Crude oil'!AC2329</f>
        <v>59.451000000000001</v>
      </c>
      <c r="AD2328">
        <f>'raw data Crude oil'!AD2329</f>
        <v>59.42</v>
      </c>
      <c r="AE2328">
        <f>'raw data Crude oil'!AE2329</f>
        <v>59.408999999999999</v>
      </c>
      <c r="AF2328">
        <f>'raw data Crude oil'!AF2329</f>
        <v>59.405999999999999</v>
      </c>
      <c r="AG2328">
        <f>'raw data Crude oil'!AG2329</f>
        <v>59.424999999999997</v>
      </c>
      <c r="AH2328">
        <f>'raw data Crude oil'!AH2329</f>
        <v>59.457000000000001</v>
      </c>
      <c r="AI2328">
        <f>'raw data Crude oil'!AI2329</f>
        <v>59.496000000000002</v>
      </c>
      <c r="AJ2328">
        <f>'raw data Crude oil'!AJ2329</f>
        <v>59.526000000000003</v>
      </c>
      <c r="AK2328">
        <f>'raw data Crude oil'!AK2329</f>
        <v>59.524999999999999</v>
      </c>
    </row>
    <row r="2329" spans="1:37" x14ac:dyDescent="0.3">
      <c r="A2329" s="18">
        <f>'raw data Crude oil'!A2330</f>
        <v>46029</v>
      </c>
      <c r="B2329">
        <f>'raw data Crude oil'!B2330</f>
        <v>59.96</v>
      </c>
      <c r="C2329">
        <f>'raw data Crude oil'!C2330</f>
        <v>59.58</v>
      </c>
      <c r="D2329">
        <f>'raw data Crude oil'!D2330</f>
        <v>59.4</v>
      </c>
      <c r="E2329">
        <f>'raw data Crude oil'!E2330</f>
        <v>59.34</v>
      </c>
      <c r="F2329">
        <f>'raw data Crude oil'!F2330</f>
        <v>59.31</v>
      </c>
      <c r="G2329">
        <f>'raw data Crude oil'!G2330</f>
        <v>59.29</v>
      </c>
      <c r="H2329">
        <f>'raw data Crude oil'!H2330</f>
        <v>59.27</v>
      </c>
      <c r="I2329">
        <f>'raw data Crude oil'!I2330</f>
        <v>59.28</v>
      </c>
      <c r="J2329">
        <f>'raw data Crude oil'!J2330</f>
        <v>59.31</v>
      </c>
      <c r="K2329">
        <f>'raw data Crude oil'!K2330</f>
        <v>59.35</v>
      </c>
      <c r="L2329">
        <f>'raw data Crude oil'!L2330</f>
        <v>59.38</v>
      </c>
      <c r="M2329">
        <f>'raw data Crude oil'!M2330</f>
        <v>59.42</v>
      </c>
      <c r="N2329">
        <f>'raw data Crude oil'!N2330</f>
        <v>55.99</v>
      </c>
      <c r="O2329">
        <f>'raw data Crude oil'!O2330</f>
        <v>55.9</v>
      </c>
      <c r="P2329">
        <f>'raw data Crude oil'!P2330</f>
        <v>55.81</v>
      </c>
      <c r="Q2329">
        <f>'raw data Crude oil'!Q2330</f>
        <v>55.78</v>
      </c>
      <c r="R2329">
        <f>'raw data Crude oil'!R2330</f>
        <v>55.82</v>
      </c>
      <c r="S2329">
        <f>'raw data Crude oil'!S2330</f>
        <v>55.87</v>
      </c>
      <c r="T2329">
        <f>'raw data Crude oil'!T2330</f>
        <v>55.89</v>
      </c>
      <c r="U2329">
        <f>'raw data Crude oil'!U2330</f>
        <v>55.89</v>
      </c>
      <c r="V2329">
        <f>'raw data Crude oil'!V2330</f>
        <v>55.85</v>
      </c>
      <c r="W2329">
        <f>'raw data Crude oil'!W2330</f>
        <v>55.84</v>
      </c>
      <c r="X2329">
        <f>'raw data Crude oil'!X2330</f>
        <v>55.85</v>
      </c>
      <c r="Y2329">
        <f>'raw data Crude oil'!Y2330</f>
        <v>55.86</v>
      </c>
      <c r="Z2329">
        <f>'raw data Crude oil'!Z2330</f>
        <v>58.283999999999999</v>
      </c>
      <c r="AA2329">
        <f>'raw data Crude oil'!AA2330</f>
        <v>58.524999999999999</v>
      </c>
      <c r="AB2329">
        <f>'raw data Crude oil'!AB2330</f>
        <v>58.616</v>
      </c>
      <c r="AC2329">
        <f>'raw data Crude oil'!AC2330</f>
        <v>58.656999999999996</v>
      </c>
      <c r="AD2329">
        <f>'raw data Crude oil'!AD2330</f>
        <v>58.667000000000002</v>
      </c>
      <c r="AE2329">
        <f>'raw data Crude oil'!AE2330</f>
        <v>58.695999999999998</v>
      </c>
      <c r="AF2329">
        <f>'raw data Crude oil'!AF2330</f>
        <v>58.726999999999997</v>
      </c>
      <c r="AG2329">
        <f>'raw data Crude oil'!AG2330</f>
        <v>58.767000000000003</v>
      </c>
      <c r="AH2329">
        <f>'raw data Crude oil'!AH2330</f>
        <v>58.826999999999998</v>
      </c>
      <c r="AI2329">
        <f>'raw data Crude oil'!AI2330</f>
        <v>58.871000000000002</v>
      </c>
      <c r="AJ2329">
        <f>'raw data Crude oil'!AJ2330</f>
        <v>58.921999999999997</v>
      </c>
      <c r="AK2329">
        <f>'raw data Crude oil'!AK2330</f>
        <v>58.936</v>
      </c>
    </row>
    <row r="2330" spans="1:37" x14ac:dyDescent="0.3">
      <c r="A2330" s="18">
        <f>'raw data Crude oil'!A2331</f>
        <v>46030</v>
      </c>
      <c r="B2330">
        <f>'raw data Crude oil'!B2331</f>
        <v>61.99</v>
      </c>
      <c r="C2330">
        <f>'raw data Crude oil'!C2331</f>
        <v>61.49</v>
      </c>
      <c r="D2330">
        <f>'raw data Crude oil'!D2331</f>
        <v>61.22</v>
      </c>
      <c r="E2330">
        <f>'raw data Crude oil'!E2331</f>
        <v>61.08</v>
      </c>
      <c r="F2330">
        <f>'raw data Crude oil'!F2331</f>
        <v>61.01</v>
      </c>
      <c r="G2330">
        <f>'raw data Crude oil'!G2331</f>
        <v>60.95</v>
      </c>
      <c r="H2330">
        <f>'raw data Crude oil'!H2331</f>
        <v>60.89</v>
      </c>
      <c r="I2330">
        <f>'raw data Crude oil'!I2331</f>
        <v>60.86</v>
      </c>
      <c r="J2330">
        <f>'raw data Crude oil'!J2331</f>
        <v>60.85</v>
      </c>
      <c r="K2330">
        <f>'raw data Crude oil'!K2331</f>
        <v>60.85</v>
      </c>
      <c r="L2330">
        <f>'raw data Crude oil'!L2331</f>
        <v>60.84</v>
      </c>
      <c r="M2330">
        <f>'raw data Crude oil'!M2331</f>
        <v>60.84</v>
      </c>
      <c r="N2330">
        <f>'raw data Crude oil'!N2331</f>
        <v>57.76</v>
      </c>
      <c r="O2330">
        <f>'raw data Crude oil'!O2331</f>
        <v>57.64</v>
      </c>
      <c r="P2330">
        <f>'raw data Crude oil'!P2331</f>
        <v>57.53</v>
      </c>
      <c r="Q2330">
        <f>'raw data Crude oil'!Q2331</f>
        <v>57.48</v>
      </c>
      <c r="R2330">
        <f>'raw data Crude oil'!R2331</f>
        <v>57.48</v>
      </c>
      <c r="S2330">
        <f>'raw data Crude oil'!S2331</f>
        <v>57.49</v>
      </c>
      <c r="T2330">
        <f>'raw data Crude oil'!T2331</f>
        <v>57.47</v>
      </c>
      <c r="U2330">
        <f>'raw data Crude oil'!U2331</f>
        <v>57.42</v>
      </c>
      <c r="V2330">
        <f>'raw data Crude oil'!V2331</f>
        <v>57.34</v>
      </c>
      <c r="W2330">
        <f>'raw data Crude oil'!W2331</f>
        <v>57.29</v>
      </c>
      <c r="X2330">
        <f>'raw data Crude oil'!X2331</f>
        <v>57.27</v>
      </c>
      <c r="Y2330">
        <f>'raw data Crude oil'!Y2331</f>
        <v>57.24</v>
      </c>
      <c r="Z2330">
        <f>'raw data Crude oil'!Z2331</f>
        <v>60.081000000000003</v>
      </c>
      <c r="AA2330">
        <f>'raw data Crude oil'!AA2331</f>
        <v>60.744999999999997</v>
      </c>
      <c r="AB2330">
        <f>'raw data Crude oil'!AB2331</f>
        <v>60.716000000000001</v>
      </c>
      <c r="AC2330">
        <f>'raw data Crude oil'!AC2331</f>
        <v>60.652999999999999</v>
      </c>
      <c r="AD2330">
        <f>'raw data Crude oil'!AD2331</f>
        <v>60.582999999999998</v>
      </c>
      <c r="AE2330">
        <f>'raw data Crude oil'!AE2331</f>
        <v>60.524000000000001</v>
      </c>
      <c r="AF2330">
        <f>'raw data Crude oil'!AF2331</f>
        <v>60.466999999999999</v>
      </c>
      <c r="AG2330">
        <f>'raw data Crude oil'!AG2331</f>
        <v>60.438000000000002</v>
      </c>
      <c r="AH2330">
        <f>'raw data Crude oil'!AH2331</f>
        <v>60.43</v>
      </c>
      <c r="AI2330">
        <f>'raw data Crude oil'!AI2331</f>
        <v>60.424999999999997</v>
      </c>
      <c r="AJ2330">
        <f>'raw data Crude oil'!AJ2331</f>
        <v>60.424999999999997</v>
      </c>
      <c r="AK2330">
        <f>'raw data Crude oil'!AK2331</f>
        <v>60.414000000000001</v>
      </c>
    </row>
    <row r="2331" spans="1:37" x14ac:dyDescent="0.3">
      <c r="A2331" s="18">
        <f>'raw data Crude oil'!A2332</f>
        <v>46031</v>
      </c>
      <c r="B2331">
        <f>'raw data Crude oil'!B2332</f>
        <v>63.34</v>
      </c>
      <c r="C2331">
        <f>'raw data Crude oil'!C2332</f>
        <v>62.79</v>
      </c>
      <c r="D2331">
        <f>'raw data Crude oil'!D2332</f>
        <v>62.47</v>
      </c>
      <c r="E2331">
        <f>'raw data Crude oil'!E2332</f>
        <v>62.29</v>
      </c>
      <c r="F2331">
        <f>'raw data Crude oil'!F2332</f>
        <v>62.17</v>
      </c>
      <c r="G2331">
        <f>'raw data Crude oil'!G2332</f>
        <v>62.05</v>
      </c>
      <c r="H2331">
        <f>'raw data Crude oil'!H2332</f>
        <v>61.94</v>
      </c>
      <c r="I2331">
        <f>'raw data Crude oil'!I2332</f>
        <v>61.85</v>
      </c>
      <c r="J2331">
        <f>'raw data Crude oil'!J2332</f>
        <v>61.79</v>
      </c>
      <c r="K2331">
        <f>'raw data Crude oil'!K2332</f>
        <v>61.75</v>
      </c>
      <c r="L2331">
        <f>'raw data Crude oil'!L2332</f>
        <v>61.7</v>
      </c>
      <c r="M2331">
        <f>'raw data Crude oil'!M2332</f>
        <v>61.67</v>
      </c>
      <c r="N2331">
        <f>'raw data Crude oil'!N2332</f>
        <v>59.12</v>
      </c>
      <c r="O2331">
        <f>'raw data Crude oil'!O2332</f>
        <v>58.94</v>
      </c>
      <c r="P2331">
        <f>'raw data Crude oil'!P2332</f>
        <v>58.79</v>
      </c>
      <c r="Q2331">
        <f>'raw data Crude oil'!Q2332</f>
        <v>58.67</v>
      </c>
      <c r="R2331">
        <f>'raw data Crude oil'!R2332</f>
        <v>58.59</v>
      </c>
      <c r="S2331">
        <f>'raw data Crude oil'!S2332</f>
        <v>58.55</v>
      </c>
      <c r="T2331">
        <f>'raw data Crude oil'!T2332</f>
        <v>58.48</v>
      </c>
      <c r="U2331">
        <f>'raw data Crude oil'!U2332</f>
        <v>58.37</v>
      </c>
      <c r="V2331">
        <f>'raw data Crude oil'!V2332</f>
        <v>58.24</v>
      </c>
      <c r="W2331">
        <f>'raw data Crude oil'!W2332</f>
        <v>58.15</v>
      </c>
      <c r="X2331">
        <f>'raw data Crude oil'!X2332</f>
        <v>58.09</v>
      </c>
      <c r="Y2331">
        <f>'raw data Crude oil'!Y2332</f>
        <v>58.02</v>
      </c>
      <c r="Z2331">
        <f>'raw data Crude oil'!Z2332</f>
        <v>61.009</v>
      </c>
      <c r="AA2331">
        <f>'raw data Crude oil'!AA2332</f>
        <v>62</v>
      </c>
      <c r="AB2331">
        <f>'raw data Crude oil'!AB2332</f>
        <v>61.896999999999998</v>
      </c>
      <c r="AC2331">
        <f>'raw data Crude oil'!AC2332</f>
        <v>61.771000000000001</v>
      </c>
      <c r="AD2331">
        <f>'raw data Crude oil'!AD2332</f>
        <v>61.646999999999998</v>
      </c>
      <c r="AE2331">
        <f>'raw data Crude oil'!AE2332</f>
        <v>61.554000000000002</v>
      </c>
      <c r="AF2331">
        <f>'raw data Crude oil'!AF2332</f>
        <v>61.463999999999999</v>
      </c>
      <c r="AG2331">
        <f>'raw data Crude oil'!AG2332</f>
        <v>61.395000000000003</v>
      </c>
      <c r="AH2331">
        <f>'raw data Crude oil'!AH2332</f>
        <v>61.347999999999999</v>
      </c>
      <c r="AI2331">
        <f>'raw data Crude oil'!AI2332</f>
        <v>61.302999999999997</v>
      </c>
      <c r="AJ2331">
        <f>'raw data Crude oil'!AJ2332</f>
        <v>61.264000000000003</v>
      </c>
      <c r="AK2331">
        <f>'raw data Crude oil'!AK2332</f>
        <v>61.220999999999997</v>
      </c>
    </row>
    <row r="2332" spans="1:37" x14ac:dyDescent="0.3">
      <c r="A2332" s="18">
        <f>'raw data Crude oil'!A2333</f>
        <v>46034</v>
      </c>
      <c r="B2332">
        <f>'raw data Crude oil'!B2333</f>
        <v>63.87</v>
      </c>
      <c r="C2332">
        <f>'raw data Crude oil'!C2333</f>
        <v>63.22</v>
      </c>
      <c r="D2332">
        <f>'raw data Crude oil'!D2333</f>
        <v>62.85</v>
      </c>
      <c r="E2332">
        <f>'raw data Crude oil'!E2333</f>
        <v>62.64</v>
      </c>
      <c r="F2332">
        <f>'raw data Crude oil'!F2333</f>
        <v>62.5</v>
      </c>
      <c r="G2332">
        <f>'raw data Crude oil'!G2333</f>
        <v>62.37</v>
      </c>
      <c r="H2332">
        <f>'raw data Crude oil'!H2333</f>
        <v>62.25</v>
      </c>
      <c r="I2332">
        <f>'raw data Crude oil'!I2333</f>
        <v>62.17</v>
      </c>
      <c r="J2332">
        <f>'raw data Crude oil'!J2333</f>
        <v>62.11</v>
      </c>
      <c r="K2332">
        <f>'raw data Crude oil'!K2333</f>
        <v>62.06</v>
      </c>
      <c r="L2332">
        <f>'raw data Crude oil'!L2333</f>
        <v>62.01</v>
      </c>
      <c r="M2332">
        <f>'raw data Crude oil'!M2333</f>
        <v>61.97</v>
      </c>
      <c r="N2332">
        <f>'raw data Crude oil'!N2333</f>
        <v>59.5</v>
      </c>
      <c r="O2332">
        <f>'raw data Crude oil'!O2333</f>
        <v>59.32</v>
      </c>
      <c r="P2332">
        <f>'raw data Crude oil'!P2333</f>
        <v>59.14</v>
      </c>
      <c r="Q2332">
        <f>'raw data Crude oil'!Q2333</f>
        <v>59.01</v>
      </c>
      <c r="R2332">
        <f>'raw data Crude oil'!R2333</f>
        <v>58.92</v>
      </c>
      <c r="S2332">
        <f>'raw data Crude oil'!S2333</f>
        <v>58.87</v>
      </c>
      <c r="T2332">
        <f>'raw data Crude oil'!T2333</f>
        <v>58.8</v>
      </c>
      <c r="U2332">
        <f>'raw data Crude oil'!U2333</f>
        <v>58.69</v>
      </c>
      <c r="V2332">
        <f>'raw data Crude oil'!V2333</f>
        <v>58.56</v>
      </c>
      <c r="W2332">
        <f>'raw data Crude oil'!W2333</f>
        <v>58.46</v>
      </c>
      <c r="X2332">
        <f>'raw data Crude oil'!X2333</f>
        <v>58.4</v>
      </c>
      <c r="Y2332">
        <f>'raw data Crude oil'!Y2333</f>
        <v>58.33</v>
      </c>
      <c r="Z2332">
        <f>'raw data Crude oil'!Z2333</f>
        <v>61.058</v>
      </c>
      <c r="AA2332">
        <f>'raw data Crude oil'!AA2333</f>
        <v>62.116999999999997</v>
      </c>
      <c r="AB2332">
        <f>'raw data Crude oil'!AB2333</f>
        <v>62.055999999999997</v>
      </c>
      <c r="AC2332">
        <f>'raw data Crude oil'!AC2333</f>
        <v>61.975000000000001</v>
      </c>
      <c r="AD2332">
        <f>'raw data Crude oil'!AD2333</f>
        <v>61.872</v>
      </c>
      <c r="AE2332">
        <f>'raw data Crude oil'!AE2333</f>
        <v>61.786999999999999</v>
      </c>
      <c r="AF2332">
        <f>'raw data Crude oil'!AF2333</f>
        <v>61.698</v>
      </c>
      <c r="AG2332">
        <f>'raw data Crude oil'!AG2333</f>
        <v>61.639000000000003</v>
      </c>
      <c r="AH2332">
        <f>'raw data Crude oil'!AH2333</f>
        <v>61.607999999999997</v>
      </c>
      <c r="AI2332">
        <f>'raw data Crude oil'!AI2333</f>
        <v>61.567999999999998</v>
      </c>
      <c r="AJ2332">
        <f>'raw data Crude oil'!AJ2333</f>
        <v>61.523000000000003</v>
      </c>
      <c r="AK2332">
        <f>'raw data Crude oil'!AK2333</f>
        <v>61.473999999999997</v>
      </c>
    </row>
    <row r="2333" spans="1:37" x14ac:dyDescent="0.3">
      <c r="A2333" s="18">
        <f>'raw data Crude oil'!A2334</f>
        <v>46035</v>
      </c>
      <c r="B2333">
        <f>'raw data Crude oil'!B2334</f>
        <v>65.47</v>
      </c>
      <c r="C2333">
        <f>'raw data Crude oil'!C2334</f>
        <v>64.75</v>
      </c>
      <c r="D2333">
        <f>'raw data Crude oil'!D2334</f>
        <v>64.290000000000006</v>
      </c>
      <c r="E2333">
        <f>'raw data Crude oil'!E2334</f>
        <v>63.99</v>
      </c>
      <c r="F2333">
        <f>'raw data Crude oil'!F2334</f>
        <v>63.77</v>
      </c>
      <c r="G2333">
        <f>'raw data Crude oil'!G2334</f>
        <v>63.58</v>
      </c>
      <c r="H2333">
        <f>'raw data Crude oil'!H2334</f>
        <v>63.41</v>
      </c>
      <c r="I2333">
        <f>'raw data Crude oil'!I2334</f>
        <v>63.28</v>
      </c>
      <c r="J2333">
        <f>'raw data Crude oil'!J2334</f>
        <v>63.18</v>
      </c>
      <c r="K2333">
        <f>'raw data Crude oil'!K2334</f>
        <v>63.09</v>
      </c>
      <c r="L2333">
        <f>'raw data Crude oil'!L2334</f>
        <v>63</v>
      </c>
      <c r="M2333">
        <f>'raw data Crude oil'!M2334</f>
        <v>62.94</v>
      </c>
      <c r="N2333">
        <f>'raw data Crude oil'!N2334</f>
        <v>61.15</v>
      </c>
      <c r="O2333">
        <f>'raw data Crude oil'!O2334</f>
        <v>60.93</v>
      </c>
      <c r="P2333">
        <f>'raw data Crude oil'!P2334</f>
        <v>60.65</v>
      </c>
      <c r="Q2333">
        <f>'raw data Crude oil'!Q2334</f>
        <v>60.41</v>
      </c>
      <c r="R2333">
        <f>'raw data Crude oil'!R2334</f>
        <v>60.23</v>
      </c>
      <c r="S2333">
        <f>'raw data Crude oil'!S2334</f>
        <v>60.11</v>
      </c>
      <c r="T2333">
        <f>'raw data Crude oil'!T2334</f>
        <v>59.99</v>
      </c>
      <c r="U2333">
        <f>'raw data Crude oil'!U2334</f>
        <v>59.82</v>
      </c>
      <c r="V2333">
        <f>'raw data Crude oil'!V2334</f>
        <v>59.65</v>
      </c>
      <c r="W2333">
        <f>'raw data Crude oil'!W2334</f>
        <v>59.51</v>
      </c>
      <c r="X2333">
        <f>'raw data Crude oil'!X2334</f>
        <v>59.4</v>
      </c>
      <c r="Y2333">
        <f>'raw data Crude oil'!Y2334</f>
        <v>59.29</v>
      </c>
      <c r="Z2333">
        <f>'raw data Crude oil'!Z2334</f>
        <v>61.787999999999997</v>
      </c>
      <c r="AA2333">
        <f>'raw data Crude oil'!AA2334</f>
        <v>63.36</v>
      </c>
      <c r="AB2333">
        <f>'raw data Crude oil'!AB2334</f>
        <v>63.286000000000001</v>
      </c>
      <c r="AC2333">
        <f>'raw data Crude oil'!AC2334</f>
        <v>63.201999999999998</v>
      </c>
      <c r="AD2333">
        <f>'raw data Crude oil'!AD2334</f>
        <v>63.091000000000001</v>
      </c>
      <c r="AE2333">
        <f>'raw data Crude oil'!AE2334</f>
        <v>62.963000000000001</v>
      </c>
      <c r="AF2333">
        <f>'raw data Crude oil'!AF2334</f>
        <v>62.84</v>
      </c>
      <c r="AG2333">
        <f>'raw data Crude oil'!AG2334</f>
        <v>62.741</v>
      </c>
      <c r="AH2333">
        <f>'raw data Crude oil'!AH2334</f>
        <v>62.671999999999997</v>
      </c>
      <c r="AI2333">
        <f>'raw data Crude oil'!AI2334</f>
        <v>62.595999999999997</v>
      </c>
      <c r="AJ2333">
        <f>'raw data Crude oil'!AJ2334</f>
        <v>62.512</v>
      </c>
      <c r="AK2333">
        <f>'raw data Crude oil'!AK2334</f>
        <v>62.442999999999998</v>
      </c>
    </row>
    <row r="2334" spans="1:37" x14ac:dyDescent="0.3">
      <c r="A2334" s="18">
        <f>'raw data Crude oil'!A2335</f>
        <v>46036</v>
      </c>
      <c r="B2334">
        <f>'raw data Crude oil'!B2335</f>
        <v>66.52</v>
      </c>
      <c r="C2334">
        <f>'raw data Crude oil'!C2335</f>
        <v>65.83</v>
      </c>
      <c r="D2334">
        <f>'raw data Crude oil'!D2335</f>
        <v>65.36</v>
      </c>
      <c r="E2334">
        <f>'raw data Crude oil'!E2335</f>
        <v>65.03</v>
      </c>
      <c r="F2334">
        <f>'raw data Crude oil'!F2335</f>
        <v>64.760000000000005</v>
      </c>
      <c r="G2334">
        <f>'raw data Crude oil'!G2335</f>
        <v>64.53</v>
      </c>
      <c r="H2334">
        <f>'raw data Crude oil'!H2335</f>
        <v>64.319999999999993</v>
      </c>
      <c r="I2334">
        <f>'raw data Crude oil'!I2335</f>
        <v>64.16</v>
      </c>
      <c r="J2334">
        <f>'raw data Crude oil'!J2335</f>
        <v>64.03</v>
      </c>
      <c r="K2334">
        <f>'raw data Crude oil'!K2335</f>
        <v>63.92</v>
      </c>
      <c r="L2334">
        <f>'raw data Crude oil'!L2335</f>
        <v>63.82</v>
      </c>
      <c r="M2334">
        <f>'raw data Crude oil'!M2335</f>
        <v>63.75</v>
      </c>
      <c r="N2334">
        <f>'raw data Crude oil'!N2335</f>
        <v>62.02</v>
      </c>
      <c r="O2334">
        <f>'raw data Crude oil'!O2335</f>
        <v>61.88</v>
      </c>
      <c r="P2334">
        <f>'raw data Crude oil'!P2335</f>
        <v>61.63</v>
      </c>
      <c r="Q2334">
        <f>'raw data Crude oil'!Q2335</f>
        <v>61.4</v>
      </c>
      <c r="R2334">
        <f>'raw data Crude oil'!R2335</f>
        <v>61.19</v>
      </c>
      <c r="S2334">
        <f>'raw data Crude oil'!S2335</f>
        <v>61.02</v>
      </c>
      <c r="T2334">
        <f>'raw data Crude oil'!T2335</f>
        <v>60.85</v>
      </c>
      <c r="U2334">
        <f>'raw data Crude oil'!U2335</f>
        <v>60.66</v>
      </c>
      <c r="V2334">
        <f>'raw data Crude oil'!V2335</f>
        <v>60.45</v>
      </c>
      <c r="W2334">
        <f>'raw data Crude oil'!W2335</f>
        <v>60.28</v>
      </c>
      <c r="X2334">
        <f>'raw data Crude oil'!X2335</f>
        <v>60.14</v>
      </c>
      <c r="Y2334">
        <f>'raw data Crude oil'!Y2335</f>
        <v>60</v>
      </c>
      <c r="Z2334">
        <f>'raw data Crude oil'!Z2335</f>
        <v>62.689</v>
      </c>
      <c r="AA2334">
        <f>'raw data Crude oil'!AA2335</f>
        <v>64.997</v>
      </c>
      <c r="AB2334">
        <f>'raw data Crude oil'!AB2335</f>
        <v>64.807000000000002</v>
      </c>
      <c r="AC2334">
        <f>'raw data Crude oil'!AC2335</f>
        <v>64.558000000000007</v>
      </c>
      <c r="AD2334">
        <f>'raw data Crude oil'!AD2335</f>
        <v>64.308999999999997</v>
      </c>
      <c r="AE2334">
        <f>'raw data Crude oil'!AE2335</f>
        <v>64.090999999999994</v>
      </c>
      <c r="AF2334">
        <f>'raw data Crude oil'!AF2335</f>
        <v>63.911999999999999</v>
      </c>
      <c r="AG2334">
        <f>'raw data Crude oil'!AG2335</f>
        <v>63.768000000000001</v>
      </c>
      <c r="AH2334">
        <f>'raw data Crude oil'!AH2335</f>
        <v>63.668999999999997</v>
      </c>
      <c r="AI2334">
        <f>'raw data Crude oil'!AI2335</f>
        <v>63.57</v>
      </c>
      <c r="AJ2334">
        <f>'raw data Crude oil'!AJ2335</f>
        <v>63.475000000000001</v>
      </c>
      <c r="AK2334">
        <f>'raw data Crude oil'!AK2335</f>
        <v>63.381999999999998</v>
      </c>
    </row>
    <row r="2335" spans="1:37" x14ac:dyDescent="0.3">
      <c r="A2335" s="18">
        <f>'raw data Crude oil'!A2336</f>
        <v>46037</v>
      </c>
      <c r="B2335">
        <f>'raw data Crude oil'!B2336</f>
        <v>63.76</v>
      </c>
      <c r="C2335">
        <f>'raw data Crude oil'!C2336</f>
        <v>63.08</v>
      </c>
      <c r="D2335">
        <f>'raw data Crude oil'!D2336</f>
        <v>62.7</v>
      </c>
      <c r="E2335">
        <f>'raw data Crude oil'!E2336</f>
        <v>62.47</v>
      </c>
      <c r="F2335">
        <f>'raw data Crude oil'!F2336</f>
        <v>62.3</v>
      </c>
      <c r="G2335">
        <f>'raw data Crude oil'!G2336</f>
        <v>62.17</v>
      </c>
      <c r="H2335">
        <f>'raw data Crude oil'!H2336</f>
        <v>62.05</v>
      </c>
      <c r="I2335">
        <f>'raw data Crude oil'!I2336</f>
        <v>61.96</v>
      </c>
      <c r="J2335">
        <f>'raw data Crude oil'!J2336</f>
        <v>61.9</v>
      </c>
      <c r="K2335">
        <f>'raw data Crude oil'!K2336</f>
        <v>61.87</v>
      </c>
      <c r="L2335">
        <f>'raw data Crude oil'!L2336</f>
        <v>61.83</v>
      </c>
      <c r="M2335">
        <f>'raw data Crude oil'!M2336</f>
        <v>61.82</v>
      </c>
      <c r="N2335">
        <f>'raw data Crude oil'!N2336</f>
        <v>59.19</v>
      </c>
      <c r="O2335">
        <f>'raw data Crude oil'!O2336</f>
        <v>59.08</v>
      </c>
      <c r="P2335">
        <f>'raw data Crude oil'!P2336</f>
        <v>58.92</v>
      </c>
      <c r="Q2335">
        <f>'raw data Crude oil'!Q2336</f>
        <v>58.78</v>
      </c>
      <c r="R2335">
        <f>'raw data Crude oil'!R2336</f>
        <v>58.67</v>
      </c>
      <c r="S2335">
        <f>'raw data Crude oil'!S2336</f>
        <v>58.6</v>
      </c>
      <c r="T2335">
        <f>'raw data Crude oil'!T2336</f>
        <v>58.51</v>
      </c>
      <c r="U2335">
        <f>'raw data Crude oil'!U2336</f>
        <v>58.4</v>
      </c>
      <c r="V2335">
        <f>'raw data Crude oil'!V2336</f>
        <v>58.29</v>
      </c>
      <c r="W2335">
        <f>'raw data Crude oil'!W2336</f>
        <v>58.22</v>
      </c>
      <c r="X2335">
        <f>'raw data Crude oil'!X2336</f>
        <v>58.16</v>
      </c>
      <c r="Y2335">
        <f>'raw data Crude oil'!Y2336</f>
        <v>58.1</v>
      </c>
      <c r="Z2335">
        <f>'raw data Crude oil'!Z2336</f>
        <v>61.418999999999997</v>
      </c>
      <c r="AA2335">
        <f>'raw data Crude oil'!AA2336</f>
        <v>62.640999999999998</v>
      </c>
      <c r="AB2335">
        <f>'raw data Crude oil'!AB2336</f>
        <v>62.302</v>
      </c>
      <c r="AC2335">
        <f>'raw data Crude oil'!AC2336</f>
        <v>62.101999999999997</v>
      </c>
      <c r="AD2335">
        <f>'raw data Crude oil'!AD2336</f>
        <v>61.920999999999999</v>
      </c>
      <c r="AE2335">
        <f>'raw data Crude oil'!AE2336</f>
        <v>61.79</v>
      </c>
      <c r="AF2335">
        <f>'raw data Crude oil'!AF2336</f>
        <v>61.701999999999998</v>
      </c>
      <c r="AG2335">
        <f>'raw data Crude oil'!AG2336</f>
        <v>61.633000000000003</v>
      </c>
      <c r="AH2335">
        <f>'raw data Crude oil'!AH2336</f>
        <v>61.584000000000003</v>
      </c>
      <c r="AI2335">
        <f>'raw data Crude oil'!AI2336</f>
        <v>61.563000000000002</v>
      </c>
      <c r="AJ2335">
        <f>'raw data Crude oil'!AJ2336</f>
        <v>61.52</v>
      </c>
      <c r="AK2335">
        <f>'raw data Crude oil'!AK2336</f>
        <v>61.493000000000002</v>
      </c>
    </row>
    <row r="2336" spans="1:37" x14ac:dyDescent="0.3">
      <c r="A2336" s="18">
        <f>'raw data Crude oil'!A2337</f>
        <v>46038</v>
      </c>
      <c r="B2336">
        <f>'raw data Crude oil'!B2337</f>
        <v>64.13</v>
      </c>
      <c r="C2336">
        <f>'raw data Crude oil'!C2337</f>
        <v>63.46</v>
      </c>
      <c r="D2336">
        <f>'raw data Crude oil'!D2337</f>
        <v>63.05</v>
      </c>
      <c r="E2336">
        <f>'raw data Crude oil'!E2337</f>
        <v>62.8</v>
      </c>
      <c r="F2336">
        <f>'raw data Crude oil'!F2337</f>
        <v>62.6</v>
      </c>
      <c r="G2336">
        <f>'raw data Crude oil'!G2337</f>
        <v>62.44</v>
      </c>
      <c r="H2336">
        <f>'raw data Crude oil'!H2337</f>
        <v>62.31</v>
      </c>
      <c r="I2336">
        <f>'raw data Crude oil'!I2337</f>
        <v>62.21</v>
      </c>
      <c r="J2336">
        <f>'raw data Crude oil'!J2337</f>
        <v>62.14</v>
      </c>
      <c r="K2336">
        <f>'raw data Crude oil'!K2337</f>
        <v>62.1</v>
      </c>
      <c r="L2336">
        <f>'raw data Crude oil'!L2337</f>
        <v>62.05</v>
      </c>
      <c r="M2336">
        <f>'raw data Crude oil'!M2337</f>
        <v>62.03</v>
      </c>
      <c r="N2336">
        <f>'raw data Crude oil'!N2337</f>
        <v>59.44</v>
      </c>
      <c r="O2336">
        <f>'raw data Crude oil'!O2337</f>
        <v>59.34</v>
      </c>
      <c r="P2336">
        <f>'raw data Crude oil'!P2337</f>
        <v>59.2</v>
      </c>
      <c r="Q2336">
        <f>'raw data Crude oil'!Q2337</f>
        <v>59.06</v>
      </c>
      <c r="R2336">
        <f>'raw data Crude oil'!R2337</f>
        <v>58.94</v>
      </c>
      <c r="S2336">
        <f>'raw data Crude oil'!S2337</f>
        <v>58.85</v>
      </c>
      <c r="T2336">
        <f>'raw data Crude oil'!T2337</f>
        <v>58.75</v>
      </c>
      <c r="U2336">
        <f>'raw data Crude oil'!U2337</f>
        <v>58.64</v>
      </c>
      <c r="V2336">
        <f>'raw data Crude oil'!V2337</f>
        <v>58.51</v>
      </c>
      <c r="W2336">
        <f>'raw data Crude oil'!W2337</f>
        <v>58.44</v>
      </c>
      <c r="X2336">
        <f>'raw data Crude oil'!X2337</f>
        <v>58.37</v>
      </c>
      <c r="Y2336">
        <f>'raw data Crude oil'!Y2337</f>
        <v>58.32</v>
      </c>
      <c r="Z2336">
        <f>'raw data Crude oil'!Z2337</f>
        <v>61.665999999999997</v>
      </c>
      <c r="AA2336">
        <f>'raw data Crude oil'!AA2337</f>
        <v>63.27</v>
      </c>
      <c r="AB2336">
        <f>'raw data Crude oil'!AB2337</f>
        <v>62.819000000000003</v>
      </c>
      <c r="AC2336">
        <f>'raw data Crude oil'!AC2337</f>
        <v>62.567999999999998</v>
      </c>
      <c r="AD2336">
        <f>'raw data Crude oil'!AD2337</f>
        <v>62.362000000000002</v>
      </c>
      <c r="AE2336">
        <f>'raw data Crude oil'!AE2337</f>
        <v>62.201000000000001</v>
      </c>
      <c r="AF2336">
        <f>'raw data Crude oil'!AF2337</f>
        <v>62.08</v>
      </c>
      <c r="AG2336">
        <f>'raw data Crude oil'!AG2337</f>
        <v>61.999000000000002</v>
      </c>
      <c r="AH2336">
        <f>'raw data Crude oil'!AH2337</f>
        <v>61.957999999999998</v>
      </c>
      <c r="AI2336">
        <f>'raw data Crude oil'!AI2337</f>
        <v>61.927</v>
      </c>
      <c r="AJ2336">
        <f>'raw data Crude oil'!AJ2337</f>
        <v>61.872999999999998</v>
      </c>
      <c r="AK2336">
        <f>'raw data Crude oil'!AK2337</f>
        <v>61.835999999999999</v>
      </c>
    </row>
    <row r="2337" spans="1:37" x14ac:dyDescent="0.3">
      <c r="A2337" s="18">
        <f>'raw data Crude oil'!A2338</f>
        <v>46041</v>
      </c>
      <c r="B2337">
        <f>'raw data Crude oil'!B2338</f>
        <v>63.94</v>
      </c>
      <c r="C2337">
        <f>'raw data Crude oil'!C2338</f>
        <v>63.22</v>
      </c>
      <c r="D2337">
        <f>'raw data Crude oil'!D2338</f>
        <v>62.81</v>
      </c>
      <c r="E2337">
        <f>'raw data Crude oil'!E2338</f>
        <v>62.54</v>
      </c>
      <c r="F2337">
        <f>'raw data Crude oil'!F2338</f>
        <v>62.34</v>
      </c>
      <c r="G2337">
        <f>'raw data Crude oil'!G2338</f>
        <v>62.18</v>
      </c>
      <c r="H2337">
        <f>'raw data Crude oil'!H2338</f>
        <v>62.05</v>
      </c>
      <c r="I2337">
        <f>'raw data Crude oil'!I2338</f>
        <v>61.95</v>
      </c>
      <c r="J2337">
        <f>'raw data Crude oil'!J2338</f>
        <v>61.88</v>
      </c>
      <c r="K2337">
        <f>'raw data Crude oil'!K2338</f>
        <v>61.84</v>
      </c>
      <c r="L2337">
        <f>'raw data Crude oil'!L2338</f>
        <v>61.8</v>
      </c>
      <c r="M2337">
        <f>'raw data Crude oil'!M2338</f>
        <v>61.78</v>
      </c>
      <c r="N2337">
        <f>'raw data Crude oil'!N2338</f>
        <v>59.44</v>
      </c>
      <c r="O2337">
        <f>'raw data Crude oil'!O2338</f>
        <v>59.34</v>
      </c>
      <c r="P2337">
        <f>'raw data Crude oil'!P2338</f>
        <v>59.2</v>
      </c>
      <c r="Q2337">
        <f>'raw data Crude oil'!Q2338</f>
        <v>59.06</v>
      </c>
      <c r="R2337">
        <f>'raw data Crude oil'!R2338</f>
        <v>58.94</v>
      </c>
      <c r="S2337">
        <f>'raw data Crude oil'!S2338</f>
        <v>58.85</v>
      </c>
      <c r="T2337">
        <f>'raw data Crude oil'!T2338</f>
        <v>58.75</v>
      </c>
      <c r="U2337">
        <f>'raw data Crude oil'!U2338</f>
        <v>58.64</v>
      </c>
      <c r="V2337">
        <f>'raw data Crude oil'!V2338</f>
        <v>58.51</v>
      </c>
      <c r="W2337">
        <f>'raw data Crude oil'!W2338</f>
        <v>58.44</v>
      </c>
      <c r="X2337">
        <f>'raw data Crude oil'!X2338</f>
        <v>58.37</v>
      </c>
      <c r="Y2337">
        <f>'raw data Crude oil'!Y2338</f>
        <v>58.32</v>
      </c>
      <c r="Z2337">
        <f>'raw data Crude oil'!Z2338</f>
        <v>61.44</v>
      </c>
      <c r="AA2337">
        <f>'raw data Crude oil'!AA2338</f>
        <v>62.75</v>
      </c>
      <c r="AB2337">
        <f>'raw data Crude oil'!AB2338</f>
        <v>62.37</v>
      </c>
      <c r="AC2337">
        <f>'raw data Crude oil'!AC2338</f>
        <v>62.14</v>
      </c>
      <c r="AD2337">
        <f>'raw data Crude oil'!AD2338</f>
        <v>61.962000000000003</v>
      </c>
      <c r="AE2337">
        <f>'raw data Crude oil'!AE2338</f>
        <v>61.834000000000003</v>
      </c>
      <c r="AF2337">
        <f>'raw data Crude oil'!AF2338</f>
        <v>61.725999999999999</v>
      </c>
      <c r="AG2337">
        <f>'raw data Crude oil'!AG2338</f>
        <v>61.662999999999997</v>
      </c>
      <c r="AH2337">
        <f>'raw data Crude oil'!AH2338</f>
        <v>61.628</v>
      </c>
      <c r="AI2337">
        <f>'raw data Crude oil'!AI2338</f>
        <v>61.597999999999999</v>
      </c>
      <c r="AJ2337">
        <f>'raw data Crude oil'!AJ2338</f>
        <v>61.569000000000003</v>
      </c>
      <c r="AK2337">
        <f>'raw data Crude oil'!AK2338</f>
        <v>61.533000000000001</v>
      </c>
    </row>
    <row r="2338" spans="1:37" x14ac:dyDescent="0.3">
      <c r="A2338" s="18">
        <f>'raw data Crude oil'!A2339</f>
        <v>46042</v>
      </c>
      <c r="B2338">
        <f>'raw data Crude oil'!B2339</f>
        <v>64.92</v>
      </c>
      <c r="C2338">
        <f>'raw data Crude oil'!C2339</f>
        <v>64.19</v>
      </c>
      <c r="D2338">
        <f>'raw data Crude oil'!D2339</f>
        <v>63.76</v>
      </c>
      <c r="E2338">
        <f>'raw data Crude oil'!E2339</f>
        <v>63.48</v>
      </c>
      <c r="F2338">
        <f>'raw data Crude oil'!F2339</f>
        <v>63.27</v>
      </c>
      <c r="G2338">
        <f>'raw data Crude oil'!G2339</f>
        <v>63.1</v>
      </c>
      <c r="H2338">
        <f>'raw data Crude oil'!H2339</f>
        <v>62.96</v>
      </c>
      <c r="I2338">
        <f>'raw data Crude oil'!I2339</f>
        <v>62.86</v>
      </c>
      <c r="J2338">
        <f>'raw data Crude oil'!J2339</f>
        <v>62.79</v>
      </c>
      <c r="K2338">
        <f>'raw data Crude oil'!K2339</f>
        <v>62.74</v>
      </c>
      <c r="L2338">
        <f>'raw data Crude oil'!L2339</f>
        <v>62.69</v>
      </c>
      <c r="M2338">
        <f>'raw data Crude oil'!M2339</f>
        <v>62.66</v>
      </c>
      <c r="N2338">
        <f>'raw data Crude oil'!N2339</f>
        <v>60.34</v>
      </c>
      <c r="O2338">
        <f>'raw data Crude oil'!O2339</f>
        <v>60.36</v>
      </c>
      <c r="P2338">
        <f>'raw data Crude oil'!P2339</f>
        <v>60.09</v>
      </c>
      <c r="Q2338">
        <f>'raw data Crude oil'!Q2339</f>
        <v>59.86</v>
      </c>
      <c r="R2338">
        <f>'raw data Crude oil'!R2339</f>
        <v>59.7</v>
      </c>
      <c r="S2338">
        <f>'raw data Crude oil'!S2339</f>
        <v>59.57</v>
      </c>
      <c r="T2338">
        <f>'raw data Crude oil'!T2339</f>
        <v>59.46</v>
      </c>
      <c r="U2338">
        <f>'raw data Crude oil'!U2339</f>
        <v>59.33</v>
      </c>
      <c r="V2338">
        <f>'raw data Crude oil'!V2339</f>
        <v>59.19</v>
      </c>
      <c r="W2338">
        <f>'raw data Crude oil'!W2339</f>
        <v>59.1</v>
      </c>
      <c r="X2338">
        <f>'raw data Crude oil'!X2339</f>
        <v>59.03</v>
      </c>
      <c r="Y2338">
        <f>'raw data Crude oil'!Y2339</f>
        <v>58.97</v>
      </c>
      <c r="Z2338">
        <f>'raw data Crude oil'!Z2339</f>
        <v>61.762</v>
      </c>
      <c r="AA2338">
        <f>'raw data Crude oil'!AA2339</f>
        <v>63.783999999999999</v>
      </c>
      <c r="AB2338">
        <f>'raw data Crude oil'!AB2339</f>
        <v>63.341000000000001</v>
      </c>
      <c r="AC2338">
        <f>'raw data Crude oil'!AC2339</f>
        <v>63.12</v>
      </c>
      <c r="AD2338">
        <f>'raw data Crude oil'!AD2339</f>
        <v>62.939</v>
      </c>
      <c r="AE2338">
        <f>'raw data Crude oil'!AE2339</f>
        <v>62.804000000000002</v>
      </c>
      <c r="AF2338">
        <f>'raw data Crude oil'!AF2339</f>
        <v>62.698999999999998</v>
      </c>
      <c r="AG2338">
        <f>'raw data Crude oil'!AG2339</f>
        <v>62.643000000000001</v>
      </c>
      <c r="AH2338">
        <f>'raw data Crude oil'!AH2339</f>
        <v>62.607999999999997</v>
      </c>
      <c r="AI2338">
        <f>'raw data Crude oil'!AI2339</f>
        <v>62.567999999999998</v>
      </c>
      <c r="AJ2338">
        <f>'raw data Crude oil'!AJ2339</f>
        <v>62.529000000000003</v>
      </c>
      <c r="AK2338">
        <f>'raw data Crude oil'!AK2339</f>
        <v>62.481999999999999</v>
      </c>
    </row>
    <row r="2339" spans="1:37" x14ac:dyDescent="0.3">
      <c r="A2339" s="18">
        <f>'raw data Crude oil'!A2340</f>
        <v>46043</v>
      </c>
      <c r="B2339">
        <f>'raw data Crude oil'!B2340</f>
        <v>65.239999999999995</v>
      </c>
      <c r="C2339">
        <f>'raw data Crude oil'!C2340</f>
        <v>64.53</v>
      </c>
      <c r="D2339">
        <f>'raw data Crude oil'!D2340</f>
        <v>64.13</v>
      </c>
      <c r="E2339">
        <f>'raw data Crude oil'!E2340</f>
        <v>63.88</v>
      </c>
      <c r="F2339">
        <f>'raw data Crude oil'!F2340</f>
        <v>63.69</v>
      </c>
      <c r="G2339">
        <f>'raw data Crude oil'!G2340</f>
        <v>63.54</v>
      </c>
      <c r="H2339">
        <f>'raw data Crude oil'!H2340</f>
        <v>63.41</v>
      </c>
      <c r="I2339">
        <f>'raw data Crude oil'!I2340</f>
        <v>63.31</v>
      </c>
      <c r="J2339">
        <f>'raw data Crude oil'!J2340</f>
        <v>63.23</v>
      </c>
      <c r="K2339">
        <f>'raw data Crude oil'!K2340</f>
        <v>63.17</v>
      </c>
      <c r="L2339">
        <f>'raw data Crude oil'!L2340</f>
        <v>63.12</v>
      </c>
      <c r="M2339">
        <f>'raw data Crude oil'!M2340</f>
        <v>63.1</v>
      </c>
      <c r="N2339">
        <f>'raw data Crude oil'!N2340</f>
        <v>60.62</v>
      </c>
      <c r="O2339">
        <f>'raw data Crude oil'!O2340</f>
        <v>60.39</v>
      </c>
      <c r="P2339">
        <f>'raw data Crude oil'!P2340</f>
        <v>60.21</v>
      </c>
      <c r="Q2339">
        <f>'raw data Crude oil'!Q2340</f>
        <v>60.08</v>
      </c>
      <c r="R2339">
        <f>'raw data Crude oil'!R2340</f>
        <v>59.98</v>
      </c>
      <c r="S2339">
        <f>'raw data Crude oil'!S2340</f>
        <v>59.86</v>
      </c>
      <c r="T2339">
        <f>'raw data Crude oil'!T2340</f>
        <v>59.73</v>
      </c>
      <c r="U2339">
        <f>'raw data Crude oil'!U2340</f>
        <v>59.59</v>
      </c>
      <c r="V2339">
        <f>'raw data Crude oil'!V2340</f>
        <v>59.5</v>
      </c>
      <c r="W2339">
        <f>'raw data Crude oil'!W2340</f>
        <v>59.43</v>
      </c>
      <c r="X2339">
        <f>'raw data Crude oil'!X2340</f>
        <v>59.36</v>
      </c>
      <c r="Y2339">
        <f>'raw data Crude oil'!Y2340</f>
        <v>59.33</v>
      </c>
      <c r="Z2339">
        <f>'raw data Crude oil'!Z2340</f>
        <v>61.811999999999998</v>
      </c>
      <c r="AA2339">
        <f>'raw data Crude oil'!AA2340</f>
        <v>64.14</v>
      </c>
      <c r="AB2339">
        <f>'raw data Crude oil'!AB2340</f>
        <v>63.749000000000002</v>
      </c>
      <c r="AC2339">
        <f>'raw data Crude oil'!AC2340</f>
        <v>63.542000000000002</v>
      </c>
      <c r="AD2339">
        <f>'raw data Crude oil'!AD2340</f>
        <v>63.383000000000003</v>
      </c>
      <c r="AE2339">
        <f>'raw data Crude oil'!AE2340</f>
        <v>63.268999999999998</v>
      </c>
      <c r="AF2339">
        <f>'raw data Crude oil'!AF2340</f>
        <v>63.176000000000002</v>
      </c>
      <c r="AG2339">
        <f>'raw data Crude oil'!AG2340</f>
        <v>63.113</v>
      </c>
      <c r="AH2339">
        <f>'raw data Crude oil'!AH2340</f>
        <v>63.067</v>
      </c>
      <c r="AI2339">
        <f>'raw data Crude oil'!AI2340</f>
        <v>63.009</v>
      </c>
      <c r="AJ2339">
        <f>'raw data Crude oil'!AJ2340</f>
        <v>62.968000000000004</v>
      </c>
      <c r="AK2339">
        <f>'raw data Crude oil'!AK2340</f>
        <v>62.930999999999997</v>
      </c>
    </row>
    <row r="2340" spans="1:37" x14ac:dyDescent="0.3">
      <c r="A2340" s="18">
        <f>'raw data Crude oil'!A2341</f>
        <v>46044</v>
      </c>
      <c r="B2340">
        <f>'raw data Crude oil'!B2341</f>
        <v>64.06</v>
      </c>
      <c r="C2340">
        <f>'raw data Crude oil'!C2341</f>
        <v>63.34</v>
      </c>
      <c r="D2340">
        <f>'raw data Crude oil'!D2341</f>
        <v>62.97</v>
      </c>
      <c r="E2340">
        <f>'raw data Crude oil'!E2341</f>
        <v>62.76</v>
      </c>
      <c r="F2340">
        <f>'raw data Crude oil'!F2341</f>
        <v>62.61</v>
      </c>
      <c r="G2340">
        <f>'raw data Crude oil'!G2341</f>
        <v>62.5</v>
      </c>
      <c r="H2340">
        <f>'raw data Crude oil'!H2341</f>
        <v>62.41</v>
      </c>
      <c r="I2340">
        <f>'raw data Crude oil'!I2341</f>
        <v>62.33</v>
      </c>
      <c r="J2340">
        <f>'raw data Crude oil'!J2341</f>
        <v>62.29</v>
      </c>
      <c r="K2340">
        <f>'raw data Crude oil'!K2341</f>
        <v>62.26</v>
      </c>
      <c r="L2340">
        <f>'raw data Crude oil'!L2341</f>
        <v>62.24</v>
      </c>
      <c r="M2340">
        <f>'raw data Crude oil'!M2341</f>
        <v>62.25</v>
      </c>
      <c r="N2340">
        <f>'raw data Crude oil'!N2341</f>
        <v>59.36</v>
      </c>
      <c r="O2340">
        <f>'raw data Crude oil'!O2341</f>
        <v>59.17</v>
      </c>
      <c r="P2340">
        <f>'raw data Crude oil'!P2341</f>
        <v>59.04</v>
      </c>
      <c r="Q2340">
        <f>'raw data Crude oil'!Q2341</f>
        <v>58.96</v>
      </c>
      <c r="R2340">
        <f>'raw data Crude oil'!R2341</f>
        <v>58.9</v>
      </c>
      <c r="S2340">
        <f>'raw data Crude oil'!S2341</f>
        <v>58.84</v>
      </c>
      <c r="T2340">
        <f>'raw data Crude oil'!T2341</f>
        <v>58.75</v>
      </c>
      <c r="U2340">
        <f>'raw data Crude oil'!U2341</f>
        <v>58.65</v>
      </c>
      <c r="V2340">
        <f>'raw data Crude oil'!V2341</f>
        <v>58.6</v>
      </c>
      <c r="W2340">
        <f>'raw data Crude oil'!W2341</f>
        <v>58.57</v>
      </c>
      <c r="X2340">
        <f>'raw data Crude oil'!X2341</f>
        <v>58.55</v>
      </c>
      <c r="Y2340">
        <f>'raw data Crude oil'!Y2341</f>
        <v>58.56</v>
      </c>
      <c r="Z2340">
        <f>'raw data Crude oil'!Z2341</f>
        <v>61.274999999999999</v>
      </c>
      <c r="AA2340">
        <f>'raw data Crude oil'!AA2341</f>
        <v>62.5</v>
      </c>
      <c r="AB2340">
        <f>'raw data Crude oil'!AB2341</f>
        <v>62.33</v>
      </c>
      <c r="AC2340">
        <f>'raw data Crude oil'!AC2341</f>
        <v>62.268999999999998</v>
      </c>
      <c r="AD2340">
        <f>'raw data Crude oil'!AD2341</f>
        <v>62.207999999999998</v>
      </c>
      <c r="AE2340">
        <f>'raw data Crude oil'!AE2341</f>
        <v>62.156999999999996</v>
      </c>
      <c r="AF2340">
        <f>'raw data Crude oil'!AF2341</f>
        <v>62.116999999999997</v>
      </c>
      <c r="AG2340">
        <f>'raw data Crude oil'!AG2341</f>
        <v>62.098999999999997</v>
      </c>
      <c r="AH2340">
        <f>'raw data Crude oil'!AH2341</f>
        <v>62.087000000000003</v>
      </c>
      <c r="AI2340">
        <f>'raw data Crude oil'!AI2341</f>
        <v>62.063000000000002</v>
      </c>
      <c r="AJ2340">
        <f>'raw data Crude oil'!AJ2341</f>
        <v>62.052</v>
      </c>
      <c r="AK2340">
        <f>'raw data Crude oil'!AK2341</f>
        <v>62.069000000000003</v>
      </c>
    </row>
    <row r="2341" spans="1:37" x14ac:dyDescent="0.3">
      <c r="A2341" s="18">
        <f>'raw data Crude oil'!A2342</f>
        <v>46045</v>
      </c>
      <c r="B2341">
        <f>'raw data Crude oil'!B2342</f>
        <v>65.88</v>
      </c>
      <c r="C2341">
        <f>'raw data Crude oil'!C2342</f>
        <v>65.069999999999993</v>
      </c>
      <c r="D2341">
        <f>'raw data Crude oil'!D2342</f>
        <v>64.56</v>
      </c>
      <c r="E2341">
        <f>'raw data Crude oil'!E2342</f>
        <v>64.239999999999995</v>
      </c>
      <c r="F2341">
        <f>'raw data Crude oil'!F2342</f>
        <v>64</v>
      </c>
      <c r="G2341">
        <f>'raw data Crude oil'!G2342</f>
        <v>63.81</v>
      </c>
      <c r="H2341">
        <f>'raw data Crude oil'!H2342</f>
        <v>63.65</v>
      </c>
      <c r="I2341">
        <f>'raw data Crude oil'!I2342</f>
        <v>63.52</v>
      </c>
      <c r="J2341">
        <f>'raw data Crude oil'!J2342</f>
        <v>63.42</v>
      </c>
      <c r="K2341">
        <f>'raw data Crude oil'!K2342</f>
        <v>63.35</v>
      </c>
      <c r="L2341">
        <f>'raw data Crude oil'!L2342</f>
        <v>63.29</v>
      </c>
      <c r="M2341">
        <f>'raw data Crude oil'!M2342</f>
        <v>63.26</v>
      </c>
      <c r="N2341">
        <f>'raw data Crude oil'!N2342</f>
        <v>61.07</v>
      </c>
      <c r="O2341">
        <f>'raw data Crude oil'!O2342</f>
        <v>60.79</v>
      </c>
      <c r="P2341">
        <f>'raw data Crude oil'!P2342</f>
        <v>60.56</v>
      </c>
      <c r="Q2341">
        <f>'raw data Crude oil'!Q2342</f>
        <v>60.38</v>
      </c>
      <c r="R2341">
        <f>'raw data Crude oil'!R2342</f>
        <v>60.26</v>
      </c>
      <c r="S2341">
        <f>'raw data Crude oil'!S2342</f>
        <v>60.13</v>
      </c>
      <c r="T2341">
        <f>'raw data Crude oil'!T2342</f>
        <v>59.98</v>
      </c>
      <c r="U2341">
        <f>'raw data Crude oil'!U2342</f>
        <v>59.83</v>
      </c>
      <c r="V2341">
        <f>'raw data Crude oil'!V2342</f>
        <v>59.73</v>
      </c>
      <c r="W2341">
        <f>'raw data Crude oil'!W2342</f>
        <v>59.62</v>
      </c>
      <c r="X2341">
        <f>'raw data Crude oil'!X2342</f>
        <v>59.54</v>
      </c>
      <c r="Y2341">
        <f>'raw data Crude oil'!Y2342</f>
        <v>59.5</v>
      </c>
      <c r="Z2341">
        <f>'raw data Crude oil'!Z2342</f>
        <v>61.685000000000002</v>
      </c>
      <c r="AA2341">
        <f>'raw data Crude oil'!AA2342</f>
        <v>64.055999999999997</v>
      </c>
      <c r="AB2341">
        <f>'raw data Crude oil'!AB2342</f>
        <v>63.847000000000001</v>
      </c>
      <c r="AC2341">
        <f>'raw data Crude oil'!AC2342</f>
        <v>63.722000000000001</v>
      </c>
      <c r="AD2341">
        <f>'raw data Crude oil'!AD2342</f>
        <v>63.591000000000001</v>
      </c>
      <c r="AE2341">
        <f>'raw data Crude oil'!AE2342</f>
        <v>63.462000000000003</v>
      </c>
      <c r="AF2341">
        <f>'raw data Crude oil'!AF2342</f>
        <v>63.344000000000001</v>
      </c>
      <c r="AG2341">
        <f>'raw data Crude oil'!AG2342</f>
        <v>63.27</v>
      </c>
      <c r="AH2341">
        <f>'raw data Crude oil'!AH2342</f>
        <v>63.215000000000003</v>
      </c>
      <c r="AI2341">
        <f>'raw data Crude oil'!AI2342</f>
        <v>63.149000000000001</v>
      </c>
      <c r="AJ2341">
        <f>'raw data Crude oil'!AJ2342</f>
        <v>63.098999999999997</v>
      </c>
      <c r="AK2341">
        <f>'raw data Crude oil'!AK2342</f>
        <v>63.076999999999998</v>
      </c>
    </row>
    <row r="2342" spans="1:37" x14ac:dyDescent="0.3">
      <c r="A2342" s="18">
        <f>'raw data Crude oil'!A2343</f>
        <v>46048</v>
      </c>
      <c r="B2342">
        <f>'raw data Crude oil'!B2343</f>
        <v>65.59</v>
      </c>
      <c r="C2342">
        <f>'raw data Crude oil'!C2343</f>
        <v>64.77</v>
      </c>
      <c r="D2342">
        <f>'raw data Crude oil'!D2343</f>
        <v>64.31</v>
      </c>
      <c r="E2342">
        <f>'raw data Crude oil'!E2343</f>
        <v>64.040000000000006</v>
      </c>
      <c r="F2342">
        <f>'raw data Crude oil'!F2343</f>
        <v>63.85</v>
      </c>
      <c r="G2342">
        <f>'raw data Crude oil'!G2343</f>
        <v>63.69</v>
      </c>
      <c r="H2342">
        <f>'raw data Crude oil'!H2343</f>
        <v>63.56</v>
      </c>
      <c r="I2342">
        <f>'raw data Crude oil'!I2343</f>
        <v>63.45</v>
      </c>
      <c r="J2342">
        <f>'raw data Crude oil'!J2343</f>
        <v>63.37</v>
      </c>
      <c r="K2342">
        <f>'raw data Crude oil'!K2343</f>
        <v>63.32</v>
      </c>
      <c r="L2342">
        <f>'raw data Crude oil'!L2343</f>
        <v>63.28</v>
      </c>
      <c r="M2342">
        <f>'raw data Crude oil'!M2343</f>
        <v>63.27</v>
      </c>
      <c r="N2342">
        <f>'raw data Crude oil'!N2343</f>
        <v>60.63</v>
      </c>
      <c r="O2342">
        <f>'raw data Crude oil'!O2343</f>
        <v>60.42</v>
      </c>
      <c r="P2342">
        <f>'raw data Crude oil'!P2343</f>
        <v>60.26</v>
      </c>
      <c r="Q2342">
        <f>'raw data Crude oil'!Q2343</f>
        <v>60.16</v>
      </c>
      <c r="R2342">
        <f>'raw data Crude oil'!R2343</f>
        <v>60.08</v>
      </c>
      <c r="S2342">
        <f>'raw data Crude oil'!S2343</f>
        <v>59.98</v>
      </c>
      <c r="T2342">
        <f>'raw data Crude oil'!T2343</f>
        <v>59.86</v>
      </c>
      <c r="U2342">
        <f>'raw data Crude oil'!U2343</f>
        <v>59.73</v>
      </c>
      <c r="V2342">
        <f>'raw data Crude oil'!V2343</f>
        <v>59.65</v>
      </c>
      <c r="W2342">
        <f>'raw data Crude oil'!W2343</f>
        <v>59.58</v>
      </c>
      <c r="X2342">
        <f>'raw data Crude oil'!X2343</f>
        <v>59.52</v>
      </c>
      <c r="Y2342">
        <f>'raw data Crude oil'!Y2343</f>
        <v>59.5</v>
      </c>
      <c r="Z2342">
        <f>'raw data Crude oil'!Z2343</f>
        <v>61.567999999999998</v>
      </c>
      <c r="AA2342">
        <f>'raw data Crude oil'!AA2343</f>
        <v>63.384999999999998</v>
      </c>
      <c r="AB2342">
        <f>'raw data Crude oil'!AB2343</f>
        <v>63.411999999999999</v>
      </c>
      <c r="AC2342">
        <f>'raw data Crude oil'!AC2343</f>
        <v>63.360999999999997</v>
      </c>
      <c r="AD2342">
        <f>'raw data Crude oil'!AD2343</f>
        <v>63.290999999999997</v>
      </c>
      <c r="AE2342">
        <f>'raw data Crude oil'!AE2343</f>
        <v>63.212000000000003</v>
      </c>
      <c r="AF2342">
        <f>'raw data Crude oil'!AF2343</f>
        <v>63.145000000000003</v>
      </c>
      <c r="AG2342">
        <f>'raw data Crude oil'!AG2343</f>
        <v>63.112000000000002</v>
      </c>
      <c r="AH2342">
        <f>'raw data Crude oil'!AH2343</f>
        <v>63.088000000000001</v>
      </c>
      <c r="AI2342">
        <f>'raw data Crude oil'!AI2343</f>
        <v>63.048999999999999</v>
      </c>
      <c r="AJ2342">
        <f>'raw data Crude oil'!AJ2343</f>
        <v>63.021000000000001</v>
      </c>
      <c r="AK2342">
        <f>'raw data Crude oil'!AK2343</f>
        <v>63.02</v>
      </c>
    </row>
    <row r="2343" spans="1:37" x14ac:dyDescent="0.3">
      <c r="A2343" s="18">
        <f>'raw data Crude oil'!A2344</f>
        <v>46049</v>
      </c>
      <c r="B2343">
        <f>'raw data Crude oil'!B2344</f>
        <v>67.569999999999993</v>
      </c>
      <c r="C2343">
        <f>'raw data Crude oil'!C2344</f>
        <v>66.59</v>
      </c>
      <c r="D2343">
        <f>'raw data Crude oil'!D2344</f>
        <v>65.959999999999994</v>
      </c>
      <c r="E2343">
        <f>'raw data Crude oil'!E2344</f>
        <v>65.55</v>
      </c>
      <c r="F2343">
        <f>'raw data Crude oil'!F2344</f>
        <v>65.239999999999995</v>
      </c>
      <c r="G2343">
        <f>'raw data Crude oil'!G2344</f>
        <v>64.989999999999995</v>
      </c>
      <c r="H2343">
        <f>'raw data Crude oil'!H2344</f>
        <v>64.77</v>
      </c>
      <c r="I2343">
        <f>'raw data Crude oil'!I2344</f>
        <v>64.58</v>
      </c>
      <c r="J2343">
        <f>'raw data Crude oil'!J2344</f>
        <v>64.430000000000007</v>
      </c>
      <c r="K2343">
        <f>'raw data Crude oil'!K2344</f>
        <v>64.31</v>
      </c>
      <c r="L2343">
        <f>'raw data Crude oil'!L2344</f>
        <v>64.2</v>
      </c>
      <c r="M2343">
        <f>'raw data Crude oil'!M2344</f>
        <v>64.12</v>
      </c>
      <c r="N2343">
        <f>'raw data Crude oil'!N2344</f>
        <v>62.39</v>
      </c>
      <c r="O2343">
        <f>'raw data Crude oil'!O2344</f>
        <v>62.1</v>
      </c>
      <c r="P2343">
        <f>'raw data Crude oil'!P2344</f>
        <v>61.84</v>
      </c>
      <c r="Q2343">
        <f>'raw data Crude oil'!Q2344</f>
        <v>61.6</v>
      </c>
      <c r="R2343">
        <f>'raw data Crude oil'!R2344</f>
        <v>61.4</v>
      </c>
      <c r="S2343">
        <f>'raw data Crude oil'!S2344</f>
        <v>61.21</v>
      </c>
      <c r="T2343">
        <f>'raw data Crude oil'!T2344</f>
        <v>61.01</v>
      </c>
      <c r="U2343">
        <f>'raw data Crude oil'!U2344</f>
        <v>60.8</v>
      </c>
      <c r="V2343">
        <f>'raw data Crude oil'!V2344</f>
        <v>60.64</v>
      </c>
      <c r="W2343">
        <f>'raw data Crude oil'!W2344</f>
        <v>60.5</v>
      </c>
      <c r="X2343">
        <f>'raw data Crude oil'!X2344</f>
        <v>60.37</v>
      </c>
      <c r="Y2343">
        <f>'raw data Crude oil'!Y2344</f>
        <v>60.28</v>
      </c>
      <c r="Z2343">
        <f>'raw data Crude oil'!Z2344</f>
        <v>61.837000000000003</v>
      </c>
      <c r="AA2343">
        <f>'raw data Crude oil'!AA2344</f>
        <v>65.177999999999997</v>
      </c>
      <c r="AB2343">
        <f>'raw data Crude oil'!AB2344</f>
        <v>65.087000000000003</v>
      </c>
      <c r="AC2343">
        <f>'raw data Crude oil'!AC2344</f>
        <v>64.938000000000002</v>
      </c>
      <c r="AD2343">
        <f>'raw data Crude oil'!AD2344</f>
        <v>64.753</v>
      </c>
      <c r="AE2343">
        <f>'raw data Crude oil'!AE2344</f>
        <v>64.573999999999998</v>
      </c>
      <c r="AF2343">
        <f>'raw data Crude oil'!AF2344</f>
        <v>64.417000000000002</v>
      </c>
      <c r="AG2343">
        <f>'raw data Crude oil'!AG2344</f>
        <v>64.298000000000002</v>
      </c>
      <c r="AH2343">
        <f>'raw data Crude oil'!AH2344</f>
        <v>64.177999999999997</v>
      </c>
      <c r="AI2343">
        <f>'raw data Crude oil'!AI2344</f>
        <v>64.075999999999993</v>
      </c>
      <c r="AJ2343">
        <f>'raw data Crude oil'!AJ2344</f>
        <v>63.976999999999997</v>
      </c>
      <c r="AK2343">
        <f>'raw data Crude oil'!AK2344</f>
        <v>63.902999999999999</v>
      </c>
    </row>
    <row r="2344" spans="1:37" x14ac:dyDescent="0.3">
      <c r="A2344" s="18">
        <f>'raw data Crude oil'!A2345</f>
        <v>46050</v>
      </c>
      <c r="B2344">
        <f>'raw data Crude oil'!B2345</f>
        <v>68.400000000000006</v>
      </c>
      <c r="C2344">
        <f>'raw data Crude oil'!C2345</f>
        <v>67.37</v>
      </c>
      <c r="D2344">
        <f>'raw data Crude oil'!D2345</f>
        <v>66.739999999999995</v>
      </c>
      <c r="E2344">
        <f>'raw data Crude oil'!E2345</f>
        <v>66.28</v>
      </c>
      <c r="F2344">
        <f>'raw data Crude oil'!F2345</f>
        <v>65.91</v>
      </c>
      <c r="G2344">
        <f>'raw data Crude oil'!G2345</f>
        <v>65.599999999999994</v>
      </c>
      <c r="H2344">
        <f>'raw data Crude oil'!H2345</f>
        <v>65.33</v>
      </c>
      <c r="I2344">
        <f>'raw data Crude oil'!I2345</f>
        <v>65.09</v>
      </c>
      <c r="J2344">
        <f>'raw data Crude oil'!J2345</f>
        <v>64.89</v>
      </c>
      <c r="K2344">
        <f>'raw data Crude oil'!K2345</f>
        <v>64.73</v>
      </c>
      <c r="L2344">
        <f>'raw data Crude oil'!L2345</f>
        <v>64.58</v>
      </c>
      <c r="M2344">
        <f>'raw data Crude oil'!M2345</f>
        <v>64.47</v>
      </c>
      <c r="N2344">
        <f>'raw data Crude oil'!N2345</f>
        <v>63.21</v>
      </c>
      <c r="O2344">
        <f>'raw data Crude oil'!O2345</f>
        <v>62.91</v>
      </c>
      <c r="P2344">
        <f>'raw data Crude oil'!P2345</f>
        <v>62.59</v>
      </c>
      <c r="Q2344">
        <f>'raw data Crude oil'!Q2345</f>
        <v>62.29</v>
      </c>
      <c r="R2344">
        <f>'raw data Crude oil'!R2345</f>
        <v>62.02</v>
      </c>
      <c r="S2344">
        <f>'raw data Crude oil'!S2345</f>
        <v>61.76</v>
      </c>
      <c r="T2344">
        <f>'raw data Crude oil'!T2345</f>
        <v>61.5</v>
      </c>
      <c r="U2344">
        <f>'raw data Crude oil'!U2345</f>
        <v>61.24</v>
      </c>
      <c r="V2344">
        <f>'raw data Crude oil'!V2345</f>
        <v>61.03</v>
      </c>
      <c r="W2344">
        <f>'raw data Crude oil'!W2345</f>
        <v>60.85</v>
      </c>
      <c r="X2344">
        <f>'raw data Crude oil'!X2345</f>
        <v>60.69</v>
      </c>
      <c r="Y2344">
        <f>'raw data Crude oil'!Y2345</f>
        <v>60.58</v>
      </c>
      <c r="Z2344">
        <f>'raw data Crude oil'!Z2345</f>
        <v>61.881999999999998</v>
      </c>
      <c r="AA2344">
        <f>'raw data Crude oil'!AA2345</f>
        <v>65.789000000000001</v>
      </c>
      <c r="AB2344">
        <f>'raw data Crude oil'!AB2345</f>
        <v>65.769000000000005</v>
      </c>
      <c r="AC2344">
        <f>'raw data Crude oil'!AC2345</f>
        <v>65.63</v>
      </c>
      <c r="AD2344">
        <f>'raw data Crude oil'!AD2345</f>
        <v>65.441000000000003</v>
      </c>
      <c r="AE2344">
        <f>'raw data Crude oil'!AE2345</f>
        <v>65.221999999999994</v>
      </c>
      <c r="AF2344">
        <f>'raw data Crude oil'!AF2345</f>
        <v>65.013000000000005</v>
      </c>
      <c r="AG2344">
        <f>'raw data Crude oil'!AG2345</f>
        <v>64.834000000000003</v>
      </c>
      <c r="AH2344">
        <f>'raw data Crude oil'!AH2345</f>
        <v>64.676000000000002</v>
      </c>
      <c r="AI2344">
        <f>'raw data Crude oil'!AI2345</f>
        <v>64.527000000000001</v>
      </c>
      <c r="AJ2344">
        <f>'raw data Crude oil'!AJ2345</f>
        <v>64.39</v>
      </c>
      <c r="AK2344">
        <f>'raw data Crude oil'!AK2345</f>
        <v>64.241</v>
      </c>
    </row>
    <row r="2345" spans="1:37" x14ac:dyDescent="0.3">
      <c r="A2345" s="18">
        <f>'raw data Crude oil'!A2346</f>
        <v>46051</v>
      </c>
      <c r="B2345">
        <f>'raw data Crude oil'!B2346</f>
        <v>70.709999999999994</v>
      </c>
      <c r="C2345">
        <f>'raw data Crude oil'!C2346</f>
        <v>69.59</v>
      </c>
      <c r="D2345">
        <f>'raw data Crude oil'!D2346</f>
        <v>68.88</v>
      </c>
      <c r="E2345">
        <f>'raw data Crude oil'!E2346</f>
        <v>68.3</v>
      </c>
      <c r="F2345">
        <f>'raw data Crude oil'!F2346</f>
        <v>67.8</v>
      </c>
      <c r="G2345">
        <f>'raw data Crude oil'!G2346</f>
        <v>67.37</v>
      </c>
      <c r="H2345">
        <f>'raw data Crude oil'!H2346</f>
        <v>66.98</v>
      </c>
      <c r="I2345">
        <f>'raw data Crude oil'!I2346</f>
        <v>66.64</v>
      </c>
      <c r="J2345">
        <f>'raw data Crude oil'!J2346</f>
        <v>66.349999999999994</v>
      </c>
      <c r="K2345">
        <f>'raw data Crude oil'!K2346</f>
        <v>66.099999999999994</v>
      </c>
      <c r="L2345">
        <f>'raw data Crude oil'!L2346</f>
        <v>65.88</v>
      </c>
      <c r="M2345">
        <f>'raw data Crude oil'!M2346</f>
        <v>65.709999999999994</v>
      </c>
      <c r="N2345">
        <f>'raw data Crude oil'!N2346</f>
        <v>65.42</v>
      </c>
      <c r="O2345">
        <f>'raw data Crude oil'!O2346</f>
        <v>65.010000000000005</v>
      </c>
      <c r="P2345">
        <f>'raw data Crude oil'!P2346</f>
        <v>64.599999999999994</v>
      </c>
      <c r="Q2345">
        <f>'raw data Crude oil'!Q2346</f>
        <v>64.180000000000007</v>
      </c>
      <c r="R2345">
        <f>'raw data Crude oil'!R2346</f>
        <v>63.78</v>
      </c>
      <c r="S2345">
        <f>'raw data Crude oil'!S2346</f>
        <v>63.39</v>
      </c>
      <c r="T2345">
        <f>'raw data Crude oil'!T2346</f>
        <v>63.02</v>
      </c>
      <c r="U2345">
        <f>'raw data Crude oil'!U2346</f>
        <v>62.66</v>
      </c>
      <c r="V2345">
        <f>'raw data Crude oil'!V2346</f>
        <v>62.37</v>
      </c>
      <c r="W2345">
        <f>'raw data Crude oil'!W2346</f>
        <v>62.1</v>
      </c>
      <c r="X2345">
        <f>'raw data Crude oil'!X2346</f>
        <v>61.87</v>
      </c>
      <c r="Y2345">
        <f>'raw data Crude oil'!Y2346</f>
        <v>61.69</v>
      </c>
      <c r="Z2345">
        <f>'raw data Crude oil'!Z2346</f>
        <v>62.034999999999997</v>
      </c>
      <c r="AA2345">
        <f>'raw data Crude oil'!AA2346</f>
        <v>68.194999999999993</v>
      </c>
      <c r="AB2345">
        <f>'raw data Crude oil'!AB2346</f>
        <v>68.028999999999996</v>
      </c>
      <c r="AC2345">
        <f>'raw data Crude oil'!AC2346</f>
        <v>67.751000000000005</v>
      </c>
      <c r="AD2345">
        <f>'raw data Crude oil'!AD2346</f>
        <v>67.396000000000001</v>
      </c>
      <c r="AE2345">
        <f>'raw data Crude oil'!AE2346</f>
        <v>67.028999999999996</v>
      </c>
      <c r="AF2345">
        <f>'raw data Crude oil'!AF2346</f>
        <v>66.69</v>
      </c>
      <c r="AG2345">
        <f>'raw data Crude oil'!AG2346</f>
        <v>66.402000000000001</v>
      </c>
      <c r="AH2345">
        <f>'raw data Crude oil'!AH2346</f>
        <v>66.153999999999996</v>
      </c>
      <c r="AI2345">
        <f>'raw data Crude oil'!AI2346</f>
        <v>65.921000000000006</v>
      </c>
      <c r="AJ2345">
        <f>'raw data Crude oil'!AJ2346</f>
        <v>65.707999999999998</v>
      </c>
      <c r="AK2345">
        <f>'raw data Crude oil'!AK2346</f>
        <v>65.495999999999995</v>
      </c>
    </row>
    <row r="2346" spans="1:37" x14ac:dyDescent="0.3">
      <c r="A2346" s="18">
        <f>'raw data Crude oil'!A2347</f>
        <v>46052</v>
      </c>
      <c r="B2346">
        <f>'raw data Crude oil'!B2347</f>
        <v>70.69</v>
      </c>
      <c r="C2346">
        <f>'raw data Crude oil'!C2347</f>
        <v>69.319999999999993</v>
      </c>
      <c r="D2346">
        <f>'raw data Crude oil'!D2347</f>
        <v>68.61</v>
      </c>
      <c r="E2346">
        <f>'raw data Crude oil'!E2347</f>
        <v>68.040000000000006</v>
      </c>
      <c r="F2346">
        <f>'raw data Crude oil'!F2347</f>
        <v>67.58</v>
      </c>
      <c r="G2346">
        <f>'raw data Crude oil'!G2347</f>
        <v>67.180000000000007</v>
      </c>
      <c r="H2346">
        <f>'raw data Crude oil'!H2347</f>
        <v>66.819999999999993</v>
      </c>
      <c r="I2346">
        <f>'raw data Crude oil'!I2347</f>
        <v>66.510000000000005</v>
      </c>
      <c r="J2346">
        <f>'raw data Crude oil'!J2347</f>
        <v>66.239999999999995</v>
      </c>
      <c r="K2346">
        <f>'raw data Crude oil'!K2347</f>
        <v>66.02</v>
      </c>
      <c r="L2346">
        <f>'raw data Crude oil'!L2347</f>
        <v>65.81</v>
      </c>
      <c r="M2346">
        <f>'raw data Crude oil'!M2347</f>
        <v>65.66</v>
      </c>
      <c r="N2346">
        <f>'raw data Crude oil'!N2347</f>
        <v>65.209999999999994</v>
      </c>
      <c r="O2346">
        <f>'raw data Crude oil'!O2347</f>
        <v>64.739999999999995</v>
      </c>
      <c r="P2346">
        <f>'raw data Crude oil'!P2347</f>
        <v>64.319999999999993</v>
      </c>
      <c r="Q2346">
        <f>'raw data Crude oil'!Q2347</f>
        <v>63.93</v>
      </c>
      <c r="R2346">
        <f>'raw data Crude oil'!R2347</f>
        <v>63.55</v>
      </c>
      <c r="S2346">
        <f>'raw data Crude oil'!S2347</f>
        <v>63.2</v>
      </c>
      <c r="T2346">
        <f>'raw data Crude oil'!T2347</f>
        <v>62.85</v>
      </c>
      <c r="U2346">
        <f>'raw data Crude oil'!U2347</f>
        <v>62.51</v>
      </c>
      <c r="V2346">
        <f>'raw data Crude oil'!V2347</f>
        <v>62.24</v>
      </c>
      <c r="W2346">
        <f>'raw data Crude oil'!W2347</f>
        <v>62.01</v>
      </c>
      <c r="X2346">
        <f>'raw data Crude oil'!X2347</f>
        <v>61.8</v>
      </c>
      <c r="Y2346">
        <f>'raw data Crude oil'!Y2347</f>
        <v>61.65</v>
      </c>
      <c r="Z2346">
        <f>'raw data Crude oil'!Z2347</f>
        <v>61.969000000000001</v>
      </c>
      <c r="AA2346">
        <f>'raw data Crude oil'!AA2347</f>
        <v>67.956999999999994</v>
      </c>
      <c r="AB2346">
        <f>'raw data Crude oil'!AB2347</f>
        <v>67.756</v>
      </c>
      <c r="AC2346">
        <f>'raw data Crude oil'!AC2347</f>
        <v>67.48</v>
      </c>
      <c r="AD2346">
        <f>'raw data Crude oil'!AD2347</f>
        <v>67.165000000000006</v>
      </c>
      <c r="AE2346">
        <f>'raw data Crude oil'!AE2347</f>
        <v>66.828999999999994</v>
      </c>
      <c r="AF2346">
        <f>'raw data Crude oil'!AF2347</f>
        <v>66.525000000000006</v>
      </c>
      <c r="AG2346">
        <f>'raw data Crude oil'!AG2347</f>
        <v>66.254000000000005</v>
      </c>
      <c r="AH2346">
        <f>'raw data Crude oil'!AH2347</f>
        <v>66.010000000000005</v>
      </c>
      <c r="AI2346">
        <f>'raw data Crude oil'!AI2347</f>
        <v>65.83</v>
      </c>
      <c r="AJ2346">
        <f>'raw data Crude oil'!AJ2347</f>
        <v>65.623000000000005</v>
      </c>
      <c r="AK2346">
        <f>'raw data Crude oil'!AK2347</f>
        <v>65.471999999999994</v>
      </c>
    </row>
    <row r="2347" spans="1:37" x14ac:dyDescent="0.3">
      <c r="A2347" s="18">
        <f>'raw data Crude oil'!A2348</f>
        <v>46055</v>
      </c>
      <c r="B2347">
        <f>'raw data Crude oil'!B2348</f>
        <v>66.3</v>
      </c>
      <c r="C2347">
        <f>'raw data Crude oil'!C2348</f>
        <v>65.569999999999993</v>
      </c>
      <c r="D2347">
        <f>'raw data Crude oil'!D2348</f>
        <v>64.989999999999995</v>
      </c>
      <c r="E2347">
        <f>'raw data Crude oil'!E2348</f>
        <v>64.55</v>
      </c>
      <c r="F2347">
        <f>'raw data Crude oil'!F2348</f>
        <v>64.17</v>
      </c>
      <c r="G2347">
        <f>'raw data Crude oil'!G2348</f>
        <v>63.87</v>
      </c>
      <c r="H2347">
        <f>'raw data Crude oil'!H2348</f>
        <v>63.62</v>
      </c>
      <c r="I2347">
        <f>'raw data Crude oil'!I2348</f>
        <v>63.42</v>
      </c>
      <c r="J2347">
        <f>'raw data Crude oil'!J2348</f>
        <v>63.26</v>
      </c>
      <c r="K2347">
        <f>'raw data Crude oil'!K2348</f>
        <v>63.12</v>
      </c>
      <c r="L2347">
        <f>'raw data Crude oil'!L2348</f>
        <v>63.02</v>
      </c>
      <c r="M2347">
        <f>'raw data Crude oil'!M2348</f>
        <v>62.98</v>
      </c>
      <c r="N2347">
        <f>'raw data Crude oil'!N2348</f>
        <v>62.14</v>
      </c>
      <c r="O2347">
        <f>'raw data Crude oil'!O2348</f>
        <v>61.72</v>
      </c>
      <c r="P2347">
        <f>'raw data Crude oil'!P2348</f>
        <v>61.34</v>
      </c>
      <c r="Q2347">
        <f>'raw data Crude oil'!Q2348</f>
        <v>61</v>
      </c>
      <c r="R2347">
        <f>'raw data Crude oil'!R2348</f>
        <v>60.68</v>
      </c>
      <c r="S2347">
        <f>'raw data Crude oil'!S2348</f>
        <v>60.37</v>
      </c>
      <c r="T2347">
        <f>'raw data Crude oil'!T2348</f>
        <v>60.08</v>
      </c>
      <c r="U2347">
        <f>'raw data Crude oil'!U2348</f>
        <v>59.8</v>
      </c>
      <c r="V2347">
        <f>'raw data Crude oil'!V2348</f>
        <v>59.59</v>
      </c>
      <c r="W2347">
        <f>'raw data Crude oil'!W2348</f>
        <v>59.41</v>
      </c>
      <c r="X2347">
        <f>'raw data Crude oil'!X2348</f>
        <v>59.25</v>
      </c>
      <c r="Y2347">
        <f>'raw data Crude oil'!Y2348</f>
        <v>59.15</v>
      </c>
      <c r="Z2347">
        <f>'raw data Crude oil'!Z2348</f>
        <v>61.969000000000001</v>
      </c>
      <c r="AA2347">
        <f>'raw data Crude oil'!AA2348</f>
        <v>64.950999999999993</v>
      </c>
      <c r="AB2347">
        <f>'raw data Crude oil'!AB2348</f>
        <v>64.679000000000002</v>
      </c>
      <c r="AC2347">
        <f>'raw data Crude oil'!AC2348</f>
        <v>64.405000000000001</v>
      </c>
      <c r="AD2347">
        <f>'raw data Crude oil'!AD2348</f>
        <v>64.094999999999999</v>
      </c>
      <c r="AE2347">
        <f>'raw data Crude oil'!AE2348</f>
        <v>63.777999999999999</v>
      </c>
      <c r="AF2347">
        <f>'raw data Crude oil'!AF2348</f>
        <v>63.521999999999998</v>
      </c>
      <c r="AG2347">
        <f>'raw data Crude oil'!AG2348</f>
        <v>63.304000000000002</v>
      </c>
      <c r="AH2347">
        <f>'raw data Crude oil'!AH2348</f>
        <v>63.145000000000003</v>
      </c>
      <c r="AI2347">
        <f>'raw data Crude oil'!AI2348</f>
        <v>63.024000000000001</v>
      </c>
      <c r="AJ2347">
        <f>'raw data Crude oil'!AJ2348</f>
        <v>62.884999999999998</v>
      </c>
      <c r="AK2347">
        <f>'raw data Crude oil'!AK2348</f>
        <v>62.786000000000001</v>
      </c>
    </row>
    <row r="2348" spans="1:37" x14ac:dyDescent="0.3">
      <c r="A2348" s="18">
        <f>'raw data Crude oil'!A2349</f>
        <v>46056</v>
      </c>
      <c r="B2348">
        <f>'raw data Crude oil'!B2349</f>
        <v>67.33</v>
      </c>
      <c r="C2348">
        <f>'raw data Crude oil'!C2349</f>
        <v>66.680000000000007</v>
      </c>
      <c r="D2348">
        <f>'raw data Crude oil'!D2349</f>
        <v>66.16</v>
      </c>
      <c r="E2348">
        <f>'raw data Crude oil'!E2349</f>
        <v>65.739999999999995</v>
      </c>
      <c r="F2348">
        <f>'raw data Crude oil'!F2349</f>
        <v>65.37</v>
      </c>
      <c r="G2348">
        <f>'raw data Crude oil'!G2349</f>
        <v>65.069999999999993</v>
      </c>
      <c r="H2348">
        <f>'raw data Crude oil'!H2349</f>
        <v>64.81</v>
      </c>
      <c r="I2348">
        <f>'raw data Crude oil'!I2349</f>
        <v>64.58</v>
      </c>
      <c r="J2348">
        <f>'raw data Crude oil'!J2349</f>
        <v>64.400000000000006</v>
      </c>
      <c r="K2348">
        <f>'raw data Crude oil'!K2349</f>
        <v>64.23</v>
      </c>
      <c r="L2348">
        <f>'raw data Crude oil'!L2349</f>
        <v>64.11</v>
      </c>
      <c r="M2348">
        <f>'raw data Crude oil'!M2349</f>
        <v>64.05</v>
      </c>
      <c r="N2348">
        <f>'raw data Crude oil'!N2349</f>
        <v>63.21</v>
      </c>
      <c r="O2348">
        <f>'raw data Crude oil'!O2349</f>
        <v>62.83</v>
      </c>
      <c r="P2348">
        <f>'raw data Crude oil'!P2349</f>
        <v>62.48</v>
      </c>
      <c r="Q2348">
        <f>'raw data Crude oil'!Q2349</f>
        <v>62.15</v>
      </c>
      <c r="R2348">
        <f>'raw data Crude oil'!R2349</f>
        <v>61.84</v>
      </c>
      <c r="S2348">
        <f>'raw data Crude oil'!S2349</f>
        <v>61.54</v>
      </c>
      <c r="T2348">
        <f>'raw data Crude oil'!T2349</f>
        <v>61.24</v>
      </c>
      <c r="U2348">
        <f>'raw data Crude oil'!U2349</f>
        <v>60.96</v>
      </c>
      <c r="V2348">
        <f>'raw data Crude oil'!V2349</f>
        <v>60.73</v>
      </c>
      <c r="W2348">
        <f>'raw data Crude oil'!W2349</f>
        <v>60.54</v>
      </c>
      <c r="X2348">
        <f>'raw data Crude oil'!X2349</f>
        <v>60.38</v>
      </c>
      <c r="Y2348">
        <f>'raw data Crude oil'!Y2349</f>
        <v>60.25</v>
      </c>
      <c r="Z2348">
        <f>'raw data Crude oil'!Z2349</f>
        <v>66.379000000000005</v>
      </c>
      <c r="AA2348">
        <f>'raw data Crude oil'!AA2349</f>
        <v>66.146000000000001</v>
      </c>
      <c r="AB2348">
        <f>'raw data Crude oil'!AB2349</f>
        <v>65.784999999999997</v>
      </c>
      <c r="AC2348">
        <f>'raw data Crude oil'!AC2349</f>
        <v>65.433999999999997</v>
      </c>
      <c r="AD2348">
        <f>'raw data Crude oil'!AD2349</f>
        <v>65.093000000000004</v>
      </c>
      <c r="AE2348">
        <f>'raw data Crude oil'!AE2349</f>
        <v>64.792000000000002</v>
      </c>
      <c r="AF2348">
        <f>'raw data Crude oil'!AF2349</f>
        <v>64.539000000000001</v>
      </c>
      <c r="AG2348">
        <f>'raw data Crude oil'!AG2349</f>
        <v>64.343999999999994</v>
      </c>
      <c r="AH2348">
        <f>'raw data Crude oil'!AH2349</f>
        <v>64.177000000000007</v>
      </c>
      <c r="AI2348">
        <f>'raw data Crude oil'!AI2349</f>
        <v>64.013999999999996</v>
      </c>
      <c r="AJ2348">
        <f>'raw data Crude oil'!AJ2349</f>
        <v>63.895000000000003</v>
      </c>
      <c r="AK2348">
        <f>'raw data Crude oil'!AK2349</f>
        <v>63.844000000000001</v>
      </c>
    </row>
    <row r="2349" spans="1:37" x14ac:dyDescent="0.3">
      <c r="A2349" s="18">
        <f>'raw data Crude oil'!A2350</f>
        <v>46057</v>
      </c>
      <c r="B2349">
        <f>'raw data Crude oil'!B2350</f>
        <v>69.459999999999994</v>
      </c>
      <c r="C2349">
        <f>'raw data Crude oil'!C2350</f>
        <v>68.75</v>
      </c>
      <c r="D2349">
        <f>'raw data Crude oil'!D2350</f>
        <v>68.150000000000006</v>
      </c>
      <c r="E2349">
        <f>'raw data Crude oil'!E2350</f>
        <v>67.650000000000006</v>
      </c>
      <c r="F2349">
        <f>'raw data Crude oil'!F2350</f>
        <v>67.22</v>
      </c>
      <c r="G2349">
        <f>'raw data Crude oil'!G2350</f>
        <v>66.849999999999994</v>
      </c>
      <c r="H2349">
        <f>'raw data Crude oil'!H2350</f>
        <v>66.53</v>
      </c>
      <c r="I2349">
        <f>'raw data Crude oil'!I2350</f>
        <v>66.25</v>
      </c>
      <c r="J2349">
        <f>'raw data Crude oil'!J2350</f>
        <v>66.02</v>
      </c>
      <c r="K2349">
        <f>'raw data Crude oil'!K2350</f>
        <v>65.8</v>
      </c>
      <c r="L2349">
        <f>'raw data Crude oil'!L2350</f>
        <v>65.63</v>
      </c>
      <c r="M2349">
        <f>'raw data Crude oil'!M2350</f>
        <v>65.53</v>
      </c>
      <c r="N2349">
        <f>'raw data Crude oil'!N2350</f>
        <v>65.14</v>
      </c>
      <c r="O2349">
        <f>'raw data Crude oil'!O2350</f>
        <v>64.75</v>
      </c>
      <c r="P2349">
        <f>'raw data Crude oil'!P2350</f>
        <v>64.36</v>
      </c>
      <c r="Q2349">
        <f>'raw data Crude oil'!Q2350</f>
        <v>63.97</v>
      </c>
      <c r="R2349">
        <f>'raw data Crude oil'!R2350</f>
        <v>63.59</v>
      </c>
      <c r="S2349">
        <f>'raw data Crude oil'!S2350</f>
        <v>63.23</v>
      </c>
      <c r="T2349">
        <f>'raw data Crude oil'!T2350</f>
        <v>62.87</v>
      </c>
      <c r="U2349">
        <f>'raw data Crude oil'!U2350</f>
        <v>62.52</v>
      </c>
      <c r="V2349">
        <f>'raw data Crude oil'!V2350</f>
        <v>62.23</v>
      </c>
      <c r="W2349">
        <f>'raw data Crude oil'!W2350</f>
        <v>61.98</v>
      </c>
      <c r="X2349">
        <f>'raw data Crude oil'!X2350</f>
        <v>61.76</v>
      </c>
      <c r="Y2349">
        <f>'raw data Crude oil'!Y2350</f>
        <v>61.58</v>
      </c>
      <c r="Z2349">
        <f>'raw data Crude oil'!Z2350</f>
        <v>68.078999999999994</v>
      </c>
      <c r="AA2349">
        <f>'raw data Crude oil'!AA2350</f>
        <v>68.17</v>
      </c>
      <c r="AB2349">
        <f>'raw data Crude oil'!AB2350</f>
        <v>67.700999999999993</v>
      </c>
      <c r="AC2349">
        <f>'raw data Crude oil'!AC2350</f>
        <v>67.28</v>
      </c>
      <c r="AD2349">
        <f>'raw data Crude oil'!AD2350</f>
        <v>66.888999999999996</v>
      </c>
      <c r="AE2349">
        <f>'raw data Crude oil'!AE2350</f>
        <v>66.537999999999997</v>
      </c>
      <c r="AF2349">
        <f>'raw data Crude oil'!AF2350</f>
        <v>66.239000000000004</v>
      </c>
      <c r="AG2349">
        <f>'raw data Crude oil'!AG2350</f>
        <v>65.988</v>
      </c>
      <c r="AH2349">
        <f>'raw data Crude oil'!AH2350</f>
        <v>65.777000000000001</v>
      </c>
      <c r="AI2349">
        <f>'raw data Crude oil'!AI2350</f>
        <v>65.572000000000003</v>
      </c>
      <c r="AJ2349">
        <f>'raw data Crude oil'!AJ2350</f>
        <v>65.400999999999996</v>
      </c>
      <c r="AK2349">
        <f>'raw data Crude oil'!AK2350</f>
        <v>65.311999999999998</v>
      </c>
    </row>
    <row r="2350" spans="1:37" x14ac:dyDescent="0.3">
      <c r="A2350" s="18">
        <f>'raw data Crude oil'!A2351</f>
        <v>46058</v>
      </c>
      <c r="B2350">
        <f>'raw data Crude oil'!B2351</f>
        <v>67.55</v>
      </c>
      <c r="C2350">
        <f>'raw data Crude oil'!C2351</f>
        <v>66.98</v>
      </c>
      <c r="D2350">
        <f>'raw data Crude oil'!D2351</f>
        <v>66.489999999999995</v>
      </c>
      <c r="E2350">
        <f>'raw data Crude oil'!E2351</f>
        <v>66.08</v>
      </c>
      <c r="F2350">
        <f>'raw data Crude oil'!F2351</f>
        <v>65.72</v>
      </c>
      <c r="G2350">
        <f>'raw data Crude oil'!G2351</f>
        <v>65.41</v>
      </c>
      <c r="H2350">
        <f>'raw data Crude oil'!H2351</f>
        <v>65.150000000000006</v>
      </c>
      <c r="I2350">
        <f>'raw data Crude oil'!I2351</f>
        <v>64.930000000000007</v>
      </c>
      <c r="J2350">
        <f>'raw data Crude oil'!J2351</f>
        <v>64.739999999999995</v>
      </c>
      <c r="K2350">
        <f>'raw data Crude oil'!K2351</f>
        <v>64.58</v>
      </c>
      <c r="L2350">
        <f>'raw data Crude oil'!L2351</f>
        <v>64.459999999999994</v>
      </c>
      <c r="M2350">
        <f>'raw data Crude oil'!M2351</f>
        <v>64.400000000000006</v>
      </c>
      <c r="N2350">
        <f>'raw data Crude oil'!N2351</f>
        <v>63.29</v>
      </c>
      <c r="O2350">
        <f>'raw data Crude oil'!O2351</f>
        <v>63.01</v>
      </c>
      <c r="P2350">
        <f>'raw data Crude oil'!P2351</f>
        <v>62.73</v>
      </c>
      <c r="Q2350">
        <f>'raw data Crude oil'!Q2351</f>
        <v>62.44</v>
      </c>
      <c r="R2350">
        <f>'raw data Crude oil'!R2351</f>
        <v>62.14</v>
      </c>
      <c r="S2350">
        <f>'raw data Crude oil'!S2351</f>
        <v>61.84</v>
      </c>
      <c r="T2350">
        <f>'raw data Crude oil'!T2351</f>
        <v>61.55</v>
      </c>
      <c r="U2350">
        <f>'raw data Crude oil'!U2351</f>
        <v>61.26</v>
      </c>
      <c r="V2350">
        <f>'raw data Crude oil'!V2351</f>
        <v>61.03</v>
      </c>
      <c r="W2350">
        <f>'raw data Crude oil'!W2351</f>
        <v>60.82</v>
      </c>
      <c r="X2350">
        <f>'raw data Crude oil'!X2351</f>
        <v>60.65</v>
      </c>
      <c r="Y2350">
        <f>'raw data Crude oil'!Y2351</f>
        <v>60.52</v>
      </c>
      <c r="Z2350">
        <f>'raw data Crude oil'!Z2351</f>
        <v>66.853999999999999</v>
      </c>
      <c r="AA2350">
        <f>'raw data Crude oil'!AA2351</f>
        <v>66.575999999999993</v>
      </c>
      <c r="AB2350">
        <f>'raw data Crude oil'!AB2351</f>
        <v>66.114000000000004</v>
      </c>
      <c r="AC2350">
        <f>'raw data Crude oil'!AC2351</f>
        <v>65.722999999999999</v>
      </c>
      <c r="AD2350">
        <f>'raw data Crude oil'!AD2351</f>
        <v>65.382000000000005</v>
      </c>
      <c r="AE2350">
        <f>'raw data Crude oil'!AE2351</f>
        <v>65.081000000000003</v>
      </c>
      <c r="AF2350">
        <f>'raw data Crude oil'!AF2351</f>
        <v>64.83</v>
      </c>
      <c r="AG2350">
        <f>'raw data Crude oil'!AG2351</f>
        <v>64.619</v>
      </c>
      <c r="AH2350">
        <f>'raw data Crude oil'!AH2351</f>
        <v>64.457999999999998</v>
      </c>
      <c r="AI2350">
        <f>'raw data Crude oil'!AI2351</f>
        <v>64.313999999999993</v>
      </c>
      <c r="AJ2350">
        <f>'raw data Crude oil'!AJ2351</f>
        <v>64.194000000000003</v>
      </c>
      <c r="AK2350">
        <f>'raw data Crude oil'!AK2351</f>
        <v>64.144000000000005</v>
      </c>
    </row>
    <row r="2351" spans="1:37" x14ac:dyDescent="0.3">
      <c r="A2351" s="18">
        <f>'raw data Crude oil'!A2352</f>
        <v>46059</v>
      </c>
      <c r="B2351">
        <f>'raw data Crude oil'!B2352</f>
        <v>68.05</v>
      </c>
      <c r="C2351">
        <f>'raw data Crude oil'!C2352</f>
        <v>67.47</v>
      </c>
      <c r="D2351">
        <f>'raw data Crude oil'!D2352</f>
        <v>67</v>
      </c>
      <c r="E2351">
        <f>'raw data Crude oil'!E2352</f>
        <v>66.599999999999994</v>
      </c>
      <c r="F2351">
        <f>'raw data Crude oil'!F2352</f>
        <v>66.260000000000005</v>
      </c>
      <c r="G2351">
        <f>'raw data Crude oil'!G2352</f>
        <v>65.959999999999994</v>
      </c>
      <c r="H2351">
        <f>'raw data Crude oil'!H2352</f>
        <v>65.69</v>
      </c>
      <c r="I2351">
        <f>'raw data Crude oil'!I2352</f>
        <v>65.459999999999994</v>
      </c>
      <c r="J2351">
        <f>'raw data Crude oil'!J2352</f>
        <v>65.260000000000005</v>
      </c>
      <c r="K2351">
        <f>'raw data Crude oil'!K2352</f>
        <v>65.09</v>
      </c>
      <c r="L2351">
        <f>'raw data Crude oil'!L2352</f>
        <v>64.95</v>
      </c>
      <c r="M2351">
        <f>'raw data Crude oil'!M2352</f>
        <v>64.87</v>
      </c>
      <c r="N2351">
        <f>'raw data Crude oil'!N2352</f>
        <v>63.55</v>
      </c>
      <c r="O2351">
        <f>'raw data Crude oil'!O2352</f>
        <v>63.36</v>
      </c>
      <c r="P2351">
        <f>'raw data Crude oil'!P2352</f>
        <v>63.15</v>
      </c>
      <c r="Q2351">
        <f>'raw data Crude oil'!Q2352</f>
        <v>62.91</v>
      </c>
      <c r="R2351">
        <f>'raw data Crude oil'!R2352</f>
        <v>62.64</v>
      </c>
      <c r="S2351">
        <f>'raw data Crude oil'!S2352</f>
        <v>62.36</v>
      </c>
      <c r="T2351">
        <f>'raw data Crude oil'!T2352</f>
        <v>62.07</v>
      </c>
      <c r="U2351">
        <f>'raw data Crude oil'!U2352</f>
        <v>61.78</v>
      </c>
      <c r="V2351">
        <f>'raw data Crude oil'!V2352</f>
        <v>61.53</v>
      </c>
      <c r="W2351">
        <f>'raw data Crude oil'!W2352</f>
        <v>61.31</v>
      </c>
      <c r="X2351">
        <f>'raw data Crude oil'!X2352</f>
        <v>61.13</v>
      </c>
      <c r="Y2351">
        <f>'raw data Crude oil'!Y2352</f>
        <v>60.99</v>
      </c>
      <c r="Z2351">
        <f>'raw data Crude oil'!Z2352</f>
        <v>67.262</v>
      </c>
      <c r="AA2351">
        <f>'raw data Crude oil'!AA2352</f>
        <v>67.100999999999999</v>
      </c>
      <c r="AB2351">
        <f>'raw data Crude oil'!AB2352</f>
        <v>66.653999999999996</v>
      </c>
      <c r="AC2351">
        <f>'raw data Crude oil'!AC2352</f>
        <v>66.272999999999996</v>
      </c>
      <c r="AD2351">
        <f>'raw data Crude oil'!AD2352</f>
        <v>65.941999999999993</v>
      </c>
      <c r="AE2351">
        <f>'raw data Crude oil'!AE2352</f>
        <v>65.661000000000001</v>
      </c>
      <c r="AF2351">
        <f>'raw data Crude oil'!AF2352</f>
        <v>65.402000000000001</v>
      </c>
      <c r="AG2351">
        <f>'raw data Crude oil'!AG2352</f>
        <v>65.180000000000007</v>
      </c>
      <c r="AH2351">
        <f>'raw data Crude oil'!AH2352</f>
        <v>64.998000000000005</v>
      </c>
      <c r="AI2351">
        <f>'raw data Crude oil'!AI2352</f>
        <v>64.843000000000004</v>
      </c>
      <c r="AJ2351">
        <f>'raw data Crude oil'!AJ2352</f>
        <v>64.701999999999998</v>
      </c>
      <c r="AK2351">
        <f>'raw data Crude oil'!AK2352</f>
        <v>64.622</v>
      </c>
    </row>
    <row r="2352" spans="1:37" x14ac:dyDescent="0.3">
      <c r="A2352" s="18">
        <f>'raw data Crude oil'!A2353</f>
        <v>46062</v>
      </c>
      <c r="B2352">
        <f>'raw data Crude oil'!B2353</f>
        <v>69.040000000000006</v>
      </c>
      <c r="C2352">
        <f>'raw data Crude oil'!C2353</f>
        <v>68.42</v>
      </c>
      <c r="D2352">
        <f>'raw data Crude oil'!D2353</f>
        <v>67.930000000000007</v>
      </c>
      <c r="E2352">
        <f>'raw data Crude oil'!E2353</f>
        <v>67.52</v>
      </c>
      <c r="F2352">
        <f>'raw data Crude oil'!F2353</f>
        <v>67.17</v>
      </c>
      <c r="G2352">
        <f>'raw data Crude oil'!G2353</f>
        <v>66.849999999999994</v>
      </c>
      <c r="H2352">
        <f>'raw data Crude oil'!H2353</f>
        <v>66.56</v>
      </c>
      <c r="I2352">
        <f>'raw data Crude oil'!I2353</f>
        <v>66.3</v>
      </c>
      <c r="J2352">
        <f>'raw data Crude oil'!J2353</f>
        <v>66.069999999999993</v>
      </c>
      <c r="K2352">
        <f>'raw data Crude oil'!K2353</f>
        <v>65.87</v>
      </c>
      <c r="L2352">
        <f>'raw data Crude oil'!L2353</f>
        <v>65.7</v>
      </c>
      <c r="M2352">
        <f>'raw data Crude oil'!M2353</f>
        <v>65.59</v>
      </c>
      <c r="N2352">
        <f>'raw data Crude oil'!N2353</f>
        <v>64.36</v>
      </c>
      <c r="O2352">
        <f>'raw data Crude oil'!O2353</f>
        <v>64.2</v>
      </c>
      <c r="P2352">
        <f>'raw data Crude oil'!P2353</f>
        <v>64.02</v>
      </c>
      <c r="Q2352">
        <f>'raw data Crude oil'!Q2353</f>
        <v>63.8</v>
      </c>
      <c r="R2352">
        <f>'raw data Crude oil'!R2353</f>
        <v>63.54</v>
      </c>
      <c r="S2352">
        <f>'raw data Crude oil'!S2353</f>
        <v>63.26</v>
      </c>
      <c r="T2352">
        <f>'raw data Crude oil'!T2353</f>
        <v>62.95</v>
      </c>
      <c r="U2352">
        <f>'raw data Crude oil'!U2353</f>
        <v>62.64</v>
      </c>
      <c r="V2352">
        <f>'raw data Crude oil'!V2353</f>
        <v>62.36</v>
      </c>
      <c r="W2352">
        <f>'raw data Crude oil'!W2353</f>
        <v>62.11</v>
      </c>
      <c r="X2352">
        <f>'raw data Crude oil'!X2353</f>
        <v>61.9</v>
      </c>
      <c r="Y2352">
        <f>'raw data Crude oil'!Y2353</f>
        <v>61.73</v>
      </c>
      <c r="Z2352">
        <f>'raw data Crude oil'!Z2353</f>
        <v>67.742999999999995</v>
      </c>
      <c r="AA2352">
        <f>'raw data Crude oil'!AA2353</f>
        <v>67.878</v>
      </c>
      <c r="AB2352">
        <f>'raw data Crude oil'!AB2353</f>
        <v>67.488</v>
      </c>
      <c r="AC2352">
        <f>'raw data Crude oil'!AC2353</f>
        <v>67.146000000000001</v>
      </c>
      <c r="AD2352">
        <f>'raw data Crude oil'!AD2353</f>
        <v>66.81</v>
      </c>
      <c r="AE2352">
        <f>'raw data Crude oil'!AE2353</f>
        <v>66.519000000000005</v>
      </c>
      <c r="AF2352">
        <f>'raw data Crude oil'!AF2353</f>
        <v>66.256</v>
      </c>
      <c r="AG2352">
        <f>'raw data Crude oil'!AG2353</f>
        <v>66.02</v>
      </c>
      <c r="AH2352">
        <f>'raw data Crude oil'!AH2353</f>
        <v>65.811999999999998</v>
      </c>
      <c r="AI2352">
        <f>'raw data Crude oil'!AI2353</f>
        <v>65.626999999999995</v>
      </c>
      <c r="AJ2352">
        <f>'raw data Crude oil'!AJ2353</f>
        <v>65.453999999999994</v>
      </c>
      <c r="AK2352">
        <f>'raw data Crude oil'!AK2353</f>
        <v>65.346000000000004</v>
      </c>
    </row>
    <row r="2353" spans="1:37" x14ac:dyDescent="0.3">
      <c r="A2353" s="18">
        <f>'raw data Crude oil'!A2354</f>
        <v>46063</v>
      </c>
      <c r="B2353">
        <f>'raw data Crude oil'!B2354</f>
        <v>68.8</v>
      </c>
      <c r="C2353">
        <f>'raw data Crude oil'!C2354</f>
        <v>68.11</v>
      </c>
      <c r="D2353">
        <f>'raw data Crude oil'!D2354</f>
        <v>67.61</v>
      </c>
      <c r="E2353">
        <f>'raw data Crude oil'!E2354</f>
        <v>67.209999999999994</v>
      </c>
      <c r="F2353">
        <f>'raw data Crude oil'!F2354</f>
        <v>66.88</v>
      </c>
      <c r="G2353">
        <f>'raw data Crude oil'!G2354</f>
        <v>66.58</v>
      </c>
      <c r="H2353">
        <f>'raw data Crude oil'!H2354</f>
        <v>66.3</v>
      </c>
      <c r="I2353">
        <f>'raw data Crude oil'!I2354</f>
        <v>66.05</v>
      </c>
      <c r="J2353">
        <f>'raw data Crude oil'!J2354</f>
        <v>65.83</v>
      </c>
      <c r="K2353">
        <f>'raw data Crude oil'!K2354</f>
        <v>65.64</v>
      </c>
      <c r="L2353">
        <f>'raw data Crude oil'!L2354</f>
        <v>65.489999999999995</v>
      </c>
      <c r="M2353">
        <f>'raw data Crude oil'!M2354</f>
        <v>65.39</v>
      </c>
      <c r="N2353">
        <f>'raw data Crude oil'!N2354</f>
        <v>63.96</v>
      </c>
      <c r="O2353">
        <f>'raw data Crude oil'!O2354</f>
        <v>63.79</v>
      </c>
      <c r="P2353">
        <f>'raw data Crude oil'!P2354</f>
        <v>63.61</v>
      </c>
      <c r="Q2353">
        <f>'raw data Crude oil'!Q2354</f>
        <v>63.42</v>
      </c>
      <c r="R2353">
        <f>'raw data Crude oil'!R2354</f>
        <v>63.2</v>
      </c>
      <c r="S2353">
        <f>'raw data Crude oil'!S2354</f>
        <v>62.95</v>
      </c>
      <c r="T2353">
        <f>'raw data Crude oil'!T2354</f>
        <v>62.66</v>
      </c>
      <c r="U2353">
        <f>'raw data Crude oil'!U2354</f>
        <v>62.37</v>
      </c>
      <c r="V2353">
        <f>'raw data Crude oil'!V2354</f>
        <v>62.12</v>
      </c>
      <c r="W2353">
        <f>'raw data Crude oil'!W2354</f>
        <v>61.89</v>
      </c>
      <c r="X2353">
        <f>'raw data Crude oil'!X2354</f>
        <v>61.7</v>
      </c>
      <c r="Y2353">
        <f>'raw data Crude oil'!Y2354</f>
        <v>61.55</v>
      </c>
      <c r="Z2353">
        <f>'raw data Crude oil'!Z2354</f>
        <v>67.403000000000006</v>
      </c>
      <c r="AA2353">
        <f>'raw data Crude oil'!AA2354</f>
        <v>67.412000000000006</v>
      </c>
      <c r="AB2353">
        <f>'raw data Crude oil'!AB2354</f>
        <v>67.063999999999993</v>
      </c>
      <c r="AC2353">
        <f>'raw data Crude oil'!AC2354</f>
        <v>66.78</v>
      </c>
      <c r="AD2353">
        <f>'raw data Crude oil'!AD2354</f>
        <v>66.498000000000005</v>
      </c>
      <c r="AE2353">
        <f>'raw data Crude oil'!AE2354</f>
        <v>66.247</v>
      </c>
      <c r="AF2353">
        <f>'raw data Crude oil'!AF2354</f>
        <v>66.013999999999996</v>
      </c>
      <c r="AG2353">
        <f>'raw data Crude oil'!AG2354</f>
        <v>65.789000000000001</v>
      </c>
      <c r="AH2353">
        <f>'raw data Crude oil'!AH2354</f>
        <v>65.570999999999998</v>
      </c>
      <c r="AI2353">
        <f>'raw data Crude oil'!AI2354</f>
        <v>65.393000000000001</v>
      </c>
      <c r="AJ2353">
        <f>'raw data Crude oil'!AJ2354</f>
        <v>65.251000000000005</v>
      </c>
      <c r="AK2353">
        <f>'raw data Crude oil'!AK2354</f>
        <v>65.161000000000001</v>
      </c>
    </row>
    <row r="2354" spans="1:37" x14ac:dyDescent="0.3">
      <c r="A2354" s="18">
        <f>'raw data Crude oil'!A2355</f>
        <v>46064</v>
      </c>
      <c r="B2354">
        <f>'raw data Crude oil'!B2355</f>
        <v>69.400000000000006</v>
      </c>
      <c r="C2354">
        <f>'raw data Crude oil'!C2355</f>
        <v>68.75</v>
      </c>
      <c r="D2354">
        <f>'raw data Crude oil'!D2355</f>
        <v>68.25</v>
      </c>
      <c r="E2354">
        <f>'raw data Crude oil'!E2355</f>
        <v>67.84</v>
      </c>
      <c r="F2354">
        <f>'raw data Crude oil'!F2355</f>
        <v>67.48</v>
      </c>
      <c r="G2354">
        <f>'raw data Crude oil'!G2355</f>
        <v>67.14</v>
      </c>
      <c r="H2354">
        <f>'raw data Crude oil'!H2355</f>
        <v>66.81</v>
      </c>
      <c r="I2354">
        <f>'raw data Crude oil'!I2355</f>
        <v>66.52</v>
      </c>
      <c r="J2354">
        <f>'raw data Crude oil'!J2355</f>
        <v>66.25</v>
      </c>
      <c r="K2354">
        <f>'raw data Crude oil'!K2355</f>
        <v>66.010000000000005</v>
      </c>
      <c r="L2354">
        <f>'raw data Crude oil'!L2355</f>
        <v>65.819999999999993</v>
      </c>
      <c r="M2354">
        <f>'raw data Crude oil'!M2355</f>
        <v>65.680000000000007</v>
      </c>
      <c r="N2354">
        <f>'raw data Crude oil'!N2355</f>
        <v>64.63</v>
      </c>
      <c r="O2354">
        <f>'raw data Crude oil'!O2355</f>
        <v>64.459999999999994</v>
      </c>
      <c r="P2354">
        <f>'raw data Crude oil'!P2355</f>
        <v>64.260000000000005</v>
      </c>
      <c r="Q2354">
        <f>'raw data Crude oil'!Q2355</f>
        <v>64.040000000000006</v>
      </c>
      <c r="R2354">
        <f>'raw data Crude oil'!R2355</f>
        <v>63.78</v>
      </c>
      <c r="S2354">
        <f>'raw data Crude oil'!S2355</f>
        <v>63.49</v>
      </c>
      <c r="T2354">
        <f>'raw data Crude oil'!T2355</f>
        <v>63.17</v>
      </c>
      <c r="U2354">
        <f>'raw data Crude oil'!U2355</f>
        <v>62.84</v>
      </c>
      <c r="V2354">
        <f>'raw data Crude oil'!V2355</f>
        <v>62.54</v>
      </c>
      <c r="W2354">
        <f>'raw data Crude oil'!W2355</f>
        <v>62.27</v>
      </c>
      <c r="X2354">
        <f>'raw data Crude oil'!X2355</f>
        <v>62.04</v>
      </c>
      <c r="Y2354">
        <f>'raw data Crude oil'!Y2355</f>
        <v>61.84</v>
      </c>
      <c r="Z2354">
        <f>'raw data Crude oil'!Z2355</f>
        <v>67.688000000000002</v>
      </c>
      <c r="AA2354">
        <f>'raw data Crude oil'!AA2355</f>
        <v>67.903999999999996</v>
      </c>
      <c r="AB2354">
        <f>'raw data Crude oil'!AB2355</f>
        <v>67.58</v>
      </c>
      <c r="AC2354">
        <f>'raw data Crude oil'!AC2355</f>
        <v>67.317999999999998</v>
      </c>
      <c r="AD2354">
        <f>'raw data Crude oil'!AD2355</f>
        <v>67.037000000000006</v>
      </c>
      <c r="AE2354">
        <f>'raw data Crude oil'!AE2355</f>
        <v>66.766000000000005</v>
      </c>
      <c r="AF2354">
        <f>'raw data Crude oil'!AF2355</f>
        <v>66.501000000000005</v>
      </c>
      <c r="AG2354">
        <f>'raw data Crude oil'!AG2355</f>
        <v>66.248000000000005</v>
      </c>
      <c r="AH2354">
        <f>'raw data Crude oil'!AH2355</f>
        <v>65.989000000000004</v>
      </c>
      <c r="AI2354">
        <f>'raw data Crude oil'!AI2355</f>
        <v>65.760999999999996</v>
      </c>
      <c r="AJ2354">
        <f>'raw data Crude oil'!AJ2355</f>
        <v>65.576999999999998</v>
      </c>
      <c r="AK2354">
        <f>'raw data Crude oil'!AK2355</f>
        <v>65.45</v>
      </c>
    </row>
    <row r="2355" spans="1:37" x14ac:dyDescent="0.3">
      <c r="A2355" s="18">
        <f>'raw data Crude oil'!A2356</f>
        <v>46065</v>
      </c>
      <c r="B2355">
        <f>'raw data Crude oil'!B2356</f>
        <v>67.52</v>
      </c>
      <c r="C2355">
        <f>'raw data Crude oil'!C2356</f>
        <v>66.91</v>
      </c>
      <c r="D2355">
        <f>'raw data Crude oil'!D2356</f>
        <v>66.459999999999994</v>
      </c>
      <c r="E2355">
        <f>'raw data Crude oil'!E2356</f>
        <v>66.08</v>
      </c>
      <c r="F2355">
        <f>'raw data Crude oil'!F2356</f>
        <v>65.75</v>
      </c>
      <c r="G2355">
        <f>'raw data Crude oil'!G2356</f>
        <v>65.44</v>
      </c>
      <c r="H2355">
        <f>'raw data Crude oil'!H2356</f>
        <v>65.17</v>
      </c>
      <c r="I2355">
        <f>'raw data Crude oil'!I2356</f>
        <v>64.92</v>
      </c>
      <c r="J2355">
        <f>'raw data Crude oil'!J2356</f>
        <v>64.709999999999994</v>
      </c>
      <c r="K2355">
        <f>'raw data Crude oil'!K2356</f>
        <v>64.52</v>
      </c>
      <c r="L2355">
        <f>'raw data Crude oil'!L2356</f>
        <v>64.38</v>
      </c>
      <c r="M2355">
        <f>'raw data Crude oil'!M2356</f>
        <v>64.3</v>
      </c>
      <c r="N2355">
        <f>'raw data Crude oil'!N2356</f>
        <v>62.84</v>
      </c>
      <c r="O2355">
        <f>'raw data Crude oil'!O2356</f>
        <v>62.65</v>
      </c>
      <c r="P2355">
        <f>'raw data Crude oil'!P2356</f>
        <v>62.47</v>
      </c>
      <c r="Q2355">
        <f>'raw data Crude oil'!Q2356</f>
        <v>62.27</v>
      </c>
      <c r="R2355">
        <f>'raw data Crude oil'!R2356</f>
        <v>62.04</v>
      </c>
      <c r="S2355">
        <f>'raw data Crude oil'!S2356</f>
        <v>61.78</v>
      </c>
      <c r="T2355">
        <f>'raw data Crude oil'!T2356</f>
        <v>61.49</v>
      </c>
      <c r="U2355">
        <f>'raw data Crude oil'!U2356</f>
        <v>61.21</v>
      </c>
      <c r="V2355">
        <f>'raw data Crude oil'!V2356</f>
        <v>60.97</v>
      </c>
      <c r="W2355">
        <f>'raw data Crude oil'!W2356</f>
        <v>60.75</v>
      </c>
      <c r="X2355">
        <f>'raw data Crude oil'!X2356</f>
        <v>60.57</v>
      </c>
      <c r="Y2355">
        <f>'raw data Crude oil'!Y2356</f>
        <v>60.43</v>
      </c>
      <c r="Z2355">
        <f>'raw data Crude oil'!Z2356</f>
        <v>66.903999999999996</v>
      </c>
      <c r="AA2355">
        <f>'raw data Crude oil'!AA2356</f>
        <v>66.233000000000004</v>
      </c>
      <c r="AB2355">
        <f>'raw data Crude oil'!AB2356</f>
        <v>65.879000000000005</v>
      </c>
      <c r="AC2355">
        <f>'raw data Crude oil'!AC2356</f>
        <v>65.599000000000004</v>
      </c>
      <c r="AD2355">
        <f>'raw data Crude oil'!AD2356</f>
        <v>65.328999999999994</v>
      </c>
      <c r="AE2355">
        <f>'raw data Crude oil'!AE2356</f>
        <v>65.078000000000003</v>
      </c>
      <c r="AF2355">
        <f>'raw data Crude oil'!AF2356</f>
        <v>64.837000000000003</v>
      </c>
      <c r="AG2355">
        <f>'raw data Crude oil'!AG2356</f>
        <v>64.638000000000005</v>
      </c>
      <c r="AH2355">
        <f>'raw data Crude oil'!AH2356</f>
        <v>64.433000000000007</v>
      </c>
      <c r="AI2355">
        <f>'raw data Crude oil'!AI2356</f>
        <v>64.253</v>
      </c>
      <c r="AJ2355">
        <f>'raw data Crude oil'!AJ2356</f>
        <v>64.120999999999995</v>
      </c>
      <c r="AK2355">
        <f>'raw data Crude oil'!AK2356</f>
        <v>64.048000000000002</v>
      </c>
    </row>
    <row r="2356" spans="1:37" x14ac:dyDescent="0.3">
      <c r="A2356" s="18">
        <f>'raw data Crude oil'!A2357</f>
        <v>46066</v>
      </c>
      <c r="B2356">
        <f>'raw data Crude oil'!B2357</f>
        <v>67.75</v>
      </c>
      <c r="C2356">
        <f>'raw data Crude oil'!C2357</f>
        <v>67.09</v>
      </c>
      <c r="D2356">
        <f>'raw data Crude oil'!D2357</f>
        <v>66.599999999999994</v>
      </c>
      <c r="E2356">
        <f>'raw data Crude oil'!E2357</f>
        <v>66.2</v>
      </c>
      <c r="F2356">
        <f>'raw data Crude oil'!F2357</f>
        <v>65.819999999999993</v>
      </c>
      <c r="G2356">
        <f>'raw data Crude oil'!G2357</f>
        <v>65.48</v>
      </c>
      <c r="H2356">
        <f>'raw data Crude oil'!H2357</f>
        <v>65.17</v>
      </c>
      <c r="I2356">
        <f>'raw data Crude oil'!I2357</f>
        <v>64.91</v>
      </c>
      <c r="J2356">
        <f>'raw data Crude oil'!J2357</f>
        <v>64.69</v>
      </c>
      <c r="K2356">
        <f>'raw data Crude oil'!K2357</f>
        <v>64.510000000000005</v>
      </c>
      <c r="L2356">
        <f>'raw data Crude oil'!L2357</f>
        <v>64.37</v>
      </c>
      <c r="M2356">
        <f>'raw data Crude oil'!M2357</f>
        <v>64.290000000000006</v>
      </c>
      <c r="N2356">
        <f>'raw data Crude oil'!N2357</f>
        <v>62.89</v>
      </c>
      <c r="O2356">
        <f>'raw data Crude oil'!O2357</f>
        <v>62.75</v>
      </c>
      <c r="P2356">
        <f>'raw data Crude oil'!P2357</f>
        <v>62.58</v>
      </c>
      <c r="Q2356">
        <f>'raw data Crude oil'!Q2357</f>
        <v>62.37</v>
      </c>
      <c r="R2356">
        <f>'raw data Crude oil'!R2357</f>
        <v>62.1</v>
      </c>
      <c r="S2356">
        <f>'raw data Crude oil'!S2357</f>
        <v>61.81</v>
      </c>
      <c r="T2356">
        <f>'raw data Crude oil'!T2357</f>
        <v>61.5</v>
      </c>
      <c r="U2356">
        <f>'raw data Crude oil'!U2357</f>
        <v>61.19</v>
      </c>
      <c r="V2356">
        <f>'raw data Crude oil'!V2357</f>
        <v>60.93</v>
      </c>
      <c r="W2356">
        <f>'raw data Crude oil'!W2357</f>
        <v>60.71</v>
      </c>
      <c r="X2356">
        <f>'raw data Crude oil'!X2357</f>
        <v>60.53</v>
      </c>
      <c r="Y2356">
        <f>'raw data Crude oil'!Y2357</f>
        <v>60.39</v>
      </c>
      <c r="Z2356">
        <f>'raw data Crude oil'!Z2357</f>
        <v>67.061000000000007</v>
      </c>
      <c r="AA2356">
        <f>'raw data Crude oil'!AA2357</f>
        <v>66.451999999999998</v>
      </c>
      <c r="AB2356">
        <f>'raw data Crude oil'!AB2357</f>
        <v>66.040999999999997</v>
      </c>
      <c r="AC2356">
        <f>'raw data Crude oil'!AC2357</f>
        <v>65.72</v>
      </c>
      <c r="AD2356">
        <f>'raw data Crude oil'!AD2357</f>
        <v>65.409000000000006</v>
      </c>
      <c r="AE2356">
        <f>'raw data Crude oil'!AE2357</f>
        <v>65.117999999999995</v>
      </c>
      <c r="AF2356">
        <f>'raw data Crude oil'!AF2357</f>
        <v>64.843999999999994</v>
      </c>
      <c r="AG2356">
        <f>'raw data Crude oil'!AG2357</f>
        <v>64.628</v>
      </c>
      <c r="AH2356">
        <f>'raw data Crude oil'!AH2357</f>
        <v>64.415999999999997</v>
      </c>
      <c r="AI2356">
        <f>'raw data Crude oil'!AI2357</f>
        <v>64.242999999999995</v>
      </c>
      <c r="AJ2356">
        <f>'raw data Crude oil'!AJ2357</f>
        <v>64.111000000000004</v>
      </c>
      <c r="AK2356">
        <f>'raw data Crude oil'!AK2357</f>
        <v>64.037999999999997</v>
      </c>
    </row>
    <row r="2357" spans="1:37" x14ac:dyDescent="0.3">
      <c r="A2357" s="18">
        <f>'raw data Crude oil'!A2358</f>
        <v>46069</v>
      </c>
      <c r="B2357">
        <f>'raw data Crude oil'!B2358</f>
        <v>68.650000000000006</v>
      </c>
      <c r="C2357">
        <f>'raw data Crude oil'!C2358</f>
        <v>67.97</v>
      </c>
      <c r="D2357">
        <f>'raw data Crude oil'!D2358</f>
        <v>67.45</v>
      </c>
      <c r="E2357">
        <f>'raw data Crude oil'!E2358</f>
        <v>67.010000000000005</v>
      </c>
      <c r="F2357">
        <f>'raw data Crude oil'!F2358</f>
        <v>66.61</v>
      </c>
      <c r="G2357">
        <f>'raw data Crude oil'!G2358</f>
        <v>66.239999999999995</v>
      </c>
      <c r="H2357">
        <f>'raw data Crude oil'!H2358</f>
        <v>65.92</v>
      </c>
      <c r="I2357">
        <f>'raw data Crude oil'!I2358</f>
        <v>65.64</v>
      </c>
      <c r="J2357">
        <f>'raw data Crude oil'!J2358</f>
        <v>65.400000000000006</v>
      </c>
      <c r="K2357">
        <f>'raw data Crude oil'!K2358</f>
        <v>65.2</v>
      </c>
      <c r="L2357">
        <f>'raw data Crude oil'!L2358</f>
        <v>65.05</v>
      </c>
      <c r="M2357">
        <f>'raw data Crude oil'!M2358</f>
        <v>64.95</v>
      </c>
      <c r="N2357">
        <f>'raw data Crude oil'!N2358</f>
        <v>62.89</v>
      </c>
      <c r="O2357">
        <f>'raw data Crude oil'!O2358</f>
        <v>62.75</v>
      </c>
      <c r="P2357">
        <f>'raw data Crude oil'!P2358</f>
        <v>62.58</v>
      </c>
      <c r="Q2357">
        <f>'raw data Crude oil'!Q2358</f>
        <v>62.37</v>
      </c>
      <c r="R2357">
        <f>'raw data Crude oil'!R2358</f>
        <v>62.1</v>
      </c>
      <c r="S2357">
        <f>'raw data Crude oil'!S2358</f>
        <v>61.81</v>
      </c>
      <c r="T2357">
        <f>'raw data Crude oil'!T2358</f>
        <v>61.5</v>
      </c>
      <c r="U2357">
        <f>'raw data Crude oil'!U2358</f>
        <v>61.19</v>
      </c>
      <c r="V2357">
        <f>'raw data Crude oil'!V2358</f>
        <v>60.93</v>
      </c>
      <c r="W2357">
        <f>'raw data Crude oil'!W2358</f>
        <v>60.71</v>
      </c>
      <c r="X2357">
        <f>'raw data Crude oil'!X2358</f>
        <v>60.53</v>
      </c>
      <c r="Y2357">
        <f>'raw data Crude oil'!Y2358</f>
        <v>60.39</v>
      </c>
      <c r="Z2357">
        <f>'raw data Crude oil'!Z2358</f>
        <v>67.415999999999997</v>
      </c>
      <c r="AA2357">
        <f>'raw data Crude oil'!AA2358</f>
        <v>67.296999999999997</v>
      </c>
      <c r="AB2357">
        <f>'raw data Crude oil'!AB2358</f>
        <v>66.817999999999998</v>
      </c>
      <c r="AC2357">
        <f>'raw data Crude oil'!AC2358</f>
        <v>66.457999999999998</v>
      </c>
      <c r="AD2357">
        <f>'raw data Crude oil'!AD2358</f>
        <v>66.134</v>
      </c>
      <c r="AE2357">
        <f>'raw data Crude oil'!AE2358</f>
        <v>65.825000000000003</v>
      </c>
      <c r="AF2357">
        <f>'raw data Crude oil'!AF2358</f>
        <v>65.551000000000002</v>
      </c>
      <c r="AG2357">
        <f>'raw data Crude oil'!AG2358</f>
        <v>65.325000000000003</v>
      </c>
      <c r="AH2357">
        <f>'raw data Crude oil'!AH2358</f>
        <v>65.103999999999999</v>
      </c>
      <c r="AI2357">
        <f>'raw data Crude oil'!AI2358</f>
        <v>64.912000000000006</v>
      </c>
      <c r="AJ2357">
        <f>'raw data Crude oil'!AJ2358</f>
        <v>64.768000000000001</v>
      </c>
      <c r="AK2357">
        <f>'raw data Crude oil'!AK2358</f>
        <v>64.668999999999997</v>
      </c>
    </row>
    <row r="2358" spans="1:37" x14ac:dyDescent="0.3">
      <c r="A2358" s="18">
        <f>'raw data Crude oil'!A2359</f>
        <v>46070</v>
      </c>
      <c r="B2358">
        <f>'raw data Crude oil'!B2359</f>
        <v>67.42</v>
      </c>
      <c r="C2358">
        <f>'raw data Crude oil'!C2359</f>
        <v>66.87</v>
      </c>
      <c r="D2358">
        <f>'raw data Crude oil'!D2359</f>
        <v>66.42</v>
      </c>
      <c r="E2358">
        <f>'raw data Crude oil'!E2359</f>
        <v>66.02</v>
      </c>
      <c r="F2358">
        <f>'raw data Crude oil'!F2359</f>
        <v>65.64</v>
      </c>
      <c r="G2358">
        <f>'raw data Crude oil'!G2359</f>
        <v>65.3</v>
      </c>
      <c r="H2358">
        <f>'raw data Crude oil'!H2359</f>
        <v>65</v>
      </c>
      <c r="I2358">
        <f>'raw data Crude oil'!I2359</f>
        <v>64.75</v>
      </c>
      <c r="J2358">
        <f>'raw data Crude oil'!J2359</f>
        <v>64.540000000000006</v>
      </c>
      <c r="K2358">
        <f>'raw data Crude oil'!K2359</f>
        <v>64.37</v>
      </c>
      <c r="L2358">
        <f>'raw data Crude oil'!L2359</f>
        <v>64.23</v>
      </c>
      <c r="M2358">
        <f>'raw data Crude oil'!M2359</f>
        <v>64.150000000000006</v>
      </c>
      <c r="N2358">
        <f>'raw data Crude oil'!N2359</f>
        <v>62.33</v>
      </c>
      <c r="O2358">
        <f>'raw data Crude oil'!O2359</f>
        <v>62.26</v>
      </c>
      <c r="P2358">
        <f>'raw data Crude oil'!P2359</f>
        <v>62.13</v>
      </c>
      <c r="Q2358">
        <f>'raw data Crude oil'!Q2359</f>
        <v>61.95</v>
      </c>
      <c r="R2358">
        <f>'raw data Crude oil'!R2359</f>
        <v>61.72</v>
      </c>
      <c r="S2358">
        <f>'raw data Crude oil'!S2359</f>
        <v>61.45</v>
      </c>
      <c r="T2358">
        <f>'raw data Crude oil'!T2359</f>
        <v>61.17</v>
      </c>
      <c r="U2358">
        <f>'raw data Crude oil'!U2359</f>
        <v>60.89</v>
      </c>
      <c r="V2358">
        <f>'raw data Crude oil'!V2359</f>
        <v>60.66</v>
      </c>
      <c r="W2358">
        <f>'raw data Crude oil'!W2359</f>
        <v>60.47</v>
      </c>
      <c r="X2358">
        <f>'raw data Crude oil'!X2359</f>
        <v>60.31</v>
      </c>
      <c r="Y2358">
        <f>'raw data Crude oil'!Y2359</f>
        <v>60.19</v>
      </c>
      <c r="Z2358">
        <f>'raw data Crude oil'!Z2359</f>
        <v>66.933999999999997</v>
      </c>
      <c r="AA2358">
        <f>'raw data Crude oil'!AA2359</f>
        <v>66.180000000000007</v>
      </c>
      <c r="AB2358">
        <f>'raw data Crude oil'!AB2359</f>
        <v>65.763000000000005</v>
      </c>
      <c r="AC2358">
        <f>'raw data Crude oil'!AC2359</f>
        <v>65.45</v>
      </c>
      <c r="AD2358">
        <f>'raw data Crude oil'!AD2359</f>
        <v>65.171000000000006</v>
      </c>
      <c r="AE2358">
        <f>'raw data Crude oil'!AE2359</f>
        <v>64.902000000000001</v>
      </c>
      <c r="AF2358">
        <f>'raw data Crude oil'!AF2359</f>
        <v>64.66</v>
      </c>
      <c r="AG2358">
        <f>'raw data Crude oil'!AG2359</f>
        <v>64.462000000000003</v>
      </c>
      <c r="AH2358">
        <f>'raw data Crude oil'!AH2359</f>
        <v>64.27</v>
      </c>
      <c r="AI2358">
        <f>'raw data Crude oil'!AI2359</f>
        <v>64.105000000000004</v>
      </c>
      <c r="AJ2358">
        <f>'raw data Crude oil'!AJ2359</f>
        <v>63.97</v>
      </c>
      <c r="AK2358">
        <f>'raw data Crude oil'!AK2359</f>
        <v>63.898000000000003</v>
      </c>
    </row>
    <row r="2359" spans="1:37" x14ac:dyDescent="0.3">
      <c r="A2359" s="18">
        <f>'raw data Crude oil'!A2360</f>
        <v>46071</v>
      </c>
      <c r="B2359">
        <f>'raw data Crude oil'!B2360</f>
        <v>70.349999999999994</v>
      </c>
      <c r="C2359">
        <f>'raw data Crude oil'!C2360</f>
        <v>69.77</v>
      </c>
      <c r="D2359">
        <f>'raw data Crude oil'!D2360</f>
        <v>69.209999999999994</v>
      </c>
      <c r="E2359">
        <f>'raw data Crude oil'!E2360</f>
        <v>68.69</v>
      </c>
      <c r="F2359">
        <f>'raw data Crude oil'!F2360</f>
        <v>68.19</v>
      </c>
      <c r="G2359">
        <f>'raw data Crude oil'!G2360</f>
        <v>67.709999999999994</v>
      </c>
      <c r="H2359">
        <f>'raw data Crude oil'!H2360</f>
        <v>67.260000000000005</v>
      </c>
      <c r="I2359">
        <f>'raw data Crude oil'!I2360</f>
        <v>66.86</v>
      </c>
      <c r="J2359">
        <f>'raw data Crude oil'!J2360</f>
        <v>66.5</v>
      </c>
      <c r="K2359">
        <f>'raw data Crude oil'!K2360</f>
        <v>66.19</v>
      </c>
      <c r="L2359">
        <f>'raw data Crude oil'!L2360</f>
        <v>65.92</v>
      </c>
      <c r="M2359">
        <f>'raw data Crude oil'!M2360</f>
        <v>65.72</v>
      </c>
      <c r="N2359">
        <f>'raw data Crude oil'!N2360</f>
        <v>65.19</v>
      </c>
      <c r="O2359">
        <f>'raw data Crude oil'!O2360</f>
        <v>65.05</v>
      </c>
      <c r="P2359">
        <f>'raw data Crude oil'!P2360</f>
        <v>64.84</v>
      </c>
      <c r="Q2359">
        <f>'raw data Crude oil'!Q2360</f>
        <v>64.53</v>
      </c>
      <c r="R2359">
        <f>'raw data Crude oil'!R2360</f>
        <v>64.180000000000007</v>
      </c>
      <c r="S2359">
        <f>'raw data Crude oil'!S2360</f>
        <v>63.78</v>
      </c>
      <c r="T2359">
        <f>'raw data Crude oil'!T2360</f>
        <v>63.36</v>
      </c>
      <c r="U2359">
        <f>'raw data Crude oil'!U2360</f>
        <v>62.94</v>
      </c>
      <c r="V2359">
        <f>'raw data Crude oil'!V2360</f>
        <v>62.56</v>
      </c>
      <c r="W2359">
        <f>'raw data Crude oil'!W2360</f>
        <v>62.22</v>
      </c>
      <c r="X2359">
        <f>'raw data Crude oil'!X2360</f>
        <v>61.93</v>
      </c>
      <c r="Y2359">
        <f>'raw data Crude oil'!Y2360</f>
        <v>61.69</v>
      </c>
      <c r="Z2359">
        <f>'raw data Crude oil'!Z2360</f>
        <v>68.064999999999998</v>
      </c>
      <c r="AA2359">
        <f>'raw data Crude oil'!AA2360</f>
        <v>69.007999999999996</v>
      </c>
      <c r="AB2359">
        <f>'raw data Crude oil'!AB2360</f>
        <v>68.519000000000005</v>
      </c>
      <c r="AC2359">
        <f>'raw data Crude oil'!AC2360</f>
        <v>68.099999999999994</v>
      </c>
      <c r="AD2359">
        <f>'raw data Crude oil'!AD2360</f>
        <v>67.710999999999999</v>
      </c>
      <c r="AE2359">
        <f>'raw data Crude oil'!AE2360</f>
        <v>67.328999999999994</v>
      </c>
      <c r="AF2359">
        <f>'raw data Crude oil'!AF2360</f>
        <v>66.947000000000003</v>
      </c>
      <c r="AG2359">
        <f>'raw data Crude oil'!AG2360</f>
        <v>66.59</v>
      </c>
      <c r="AH2359">
        <f>'raw data Crude oil'!AH2360</f>
        <v>66.236999999999995</v>
      </c>
      <c r="AI2359">
        <f>'raw data Crude oil'!AI2360</f>
        <v>65.932000000000002</v>
      </c>
      <c r="AJ2359">
        <f>'raw data Crude oil'!AJ2360</f>
        <v>65.661000000000001</v>
      </c>
      <c r="AK2359">
        <f>'raw data Crude oil'!AK2360</f>
        <v>65.481999999999999</v>
      </c>
    </row>
    <row r="2360" spans="1:37" x14ac:dyDescent="0.3">
      <c r="A2360" s="18">
        <f>'raw data Crude oil'!A2361</f>
        <v>46072</v>
      </c>
      <c r="B2360">
        <f>'raw data Crude oil'!B2361</f>
        <v>71.66</v>
      </c>
      <c r="C2360">
        <f>'raw data Crude oil'!C2361</f>
        <v>71.27</v>
      </c>
      <c r="D2360">
        <f>'raw data Crude oil'!D2361</f>
        <v>70.680000000000007</v>
      </c>
      <c r="E2360">
        <f>'raw data Crude oil'!E2361</f>
        <v>70.040000000000006</v>
      </c>
      <c r="F2360">
        <f>'raw data Crude oil'!F2361</f>
        <v>69.41</v>
      </c>
      <c r="G2360">
        <f>'raw data Crude oil'!G2361</f>
        <v>68.83</v>
      </c>
      <c r="H2360">
        <f>'raw data Crude oil'!H2361</f>
        <v>68.3</v>
      </c>
      <c r="I2360">
        <f>'raw data Crude oil'!I2361</f>
        <v>67.819999999999993</v>
      </c>
      <c r="J2360">
        <f>'raw data Crude oil'!J2361</f>
        <v>67.400000000000006</v>
      </c>
      <c r="K2360">
        <f>'raw data Crude oil'!K2361</f>
        <v>67.03</v>
      </c>
      <c r="L2360">
        <f>'raw data Crude oil'!L2361</f>
        <v>66.72</v>
      </c>
      <c r="M2360">
        <f>'raw data Crude oil'!M2361</f>
        <v>66.489999999999995</v>
      </c>
      <c r="N2360">
        <f>'raw data Crude oil'!N2361</f>
        <v>66.430000000000007</v>
      </c>
      <c r="O2360">
        <f>'raw data Crude oil'!O2361</f>
        <v>66.400000000000006</v>
      </c>
      <c r="P2360">
        <f>'raw data Crude oil'!P2361</f>
        <v>66.2</v>
      </c>
      <c r="Q2360">
        <f>'raw data Crude oil'!Q2361</f>
        <v>65.87</v>
      </c>
      <c r="R2360">
        <f>'raw data Crude oil'!R2361</f>
        <v>65.45</v>
      </c>
      <c r="S2360">
        <f>'raw data Crude oil'!S2361</f>
        <v>64.95</v>
      </c>
      <c r="T2360">
        <f>'raw data Crude oil'!T2361</f>
        <v>64.430000000000007</v>
      </c>
      <c r="U2360">
        <f>'raw data Crude oil'!U2361</f>
        <v>63.9</v>
      </c>
      <c r="V2360">
        <f>'raw data Crude oil'!V2361</f>
        <v>63.43</v>
      </c>
      <c r="W2360">
        <f>'raw data Crude oil'!W2361</f>
        <v>63.01</v>
      </c>
      <c r="X2360">
        <f>'raw data Crude oil'!X2361</f>
        <v>62.65</v>
      </c>
      <c r="Y2360">
        <f>'raw data Crude oil'!Y2361</f>
        <v>62.36</v>
      </c>
      <c r="Z2360">
        <f>'raw data Crude oil'!Z2361</f>
        <v>68.572999999999993</v>
      </c>
      <c r="AA2360">
        <f>'raw data Crude oil'!AA2361</f>
        <v>70.37</v>
      </c>
      <c r="AB2360">
        <f>'raw data Crude oil'!AB2361</f>
        <v>69.838999999999999</v>
      </c>
      <c r="AC2360">
        <f>'raw data Crude oil'!AC2361</f>
        <v>69.296000000000006</v>
      </c>
      <c r="AD2360">
        <f>'raw data Crude oil'!AD2361</f>
        <v>68.805000000000007</v>
      </c>
      <c r="AE2360">
        <f>'raw data Crude oil'!AE2361</f>
        <v>68.323999999999998</v>
      </c>
      <c r="AF2360">
        <f>'raw data Crude oil'!AF2361</f>
        <v>67.863</v>
      </c>
      <c r="AG2360">
        <f>'raw data Crude oil'!AG2361</f>
        <v>67.459000000000003</v>
      </c>
      <c r="AH2360">
        <f>'raw data Crude oil'!AH2361</f>
        <v>67.069999999999993</v>
      </c>
      <c r="AI2360">
        <f>'raw data Crude oil'!AI2361</f>
        <v>66.716999999999999</v>
      </c>
      <c r="AJ2360">
        <f>'raw data Crude oil'!AJ2361</f>
        <v>66.421000000000006</v>
      </c>
      <c r="AK2360">
        <f>'raw data Crude oil'!AK2361</f>
        <v>66.221000000000004</v>
      </c>
    </row>
    <row r="2361" spans="1:37" x14ac:dyDescent="0.3">
      <c r="A2361" s="18">
        <f>'raw data Crude oil'!A2362</f>
        <v>46073</v>
      </c>
      <c r="B2361">
        <f>'raw data Crude oil'!B2362</f>
        <v>71.760000000000005</v>
      </c>
      <c r="C2361">
        <f>'raw data Crude oil'!C2362</f>
        <v>71.3</v>
      </c>
      <c r="D2361">
        <f>'raw data Crude oil'!D2362</f>
        <v>70.66</v>
      </c>
      <c r="E2361">
        <f>'raw data Crude oil'!E2362</f>
        <v>70.010000000000005</v>
      </c>
      <c r="F2361">
        <f>'raw data Crude oil'!F2362</f>
        <v>69.39</v>
      </c>
      <c r="G2361">
        <f>'raw data Crude oil'!G2362</f>
        <v>68.81</v>
      </c>
      <c r="H2361">
        <f>'raw data Crude oil'!H2362</f>
        <v>68.3</v>
      </c>
      <c r="I2361">
        <f>'raw data Crude oil'!I2362</f>
        <v>67.84</v>
      </c>
      <c r="J2361">
        <f>'raw data Crude oil'!J2362</f>
        <v>67.430000000000007</v>
      </c>
      <c r="K2361">
        <f>'raw data Crude oil'!K2362</f>
        <v>67.06</v>
      </c>
      <c r="L2361">
        <f>'raw data Crude oil'!L2362</f>
        <v>66.75</v>
      </c>
      <c r="M2361">
        <f>'raw data Crude oil'!M2362</f>
        <v>66.510000000000005</v>
      </c>
      <c r="N2361">
        <f>'raw data Crude oil'!N2362</f>
        <v>66.39</v>
      </c>
      <c r="O2361">
        <f>'raw data Crude oil'!O2362</f>
        <v>66.48</v>
      </c>
      <c r="P2361">
        <f>'raw data Crude oil'!P2362</f>
        <v>66.239999999999995</v>
      </c>
      <c r="Q2361">
        <f>'raw data Crude oil'!Q2362</f>
        <v>65.88</v>
      </c>
      <c r="R2361">
        <f>'raw data Crude oil'!R2362</f>
        <v>65.44</v>
      </c>
      <c r="S2361">
        <f>'raw data Crude oil'!S2362</f>
        <v>64.959999999999994</v>
      </c>
      <c r="T2361">
        <f>'raw data Crude oil'!T2362</f>
        <v>64.45</v>
      </c>
      <c r="U2361">
        <f>'raw data Crude oil'!U2362</f>
        <v>63.95</v>
      </c>
      <c r="V2361">
        <f>'raw data Crude oil'!V2362</f>
        <v>63.49</v>
      </c>
      <c r="W2361">
        <f>'raw data Crude oil'!W2362</f>
        <v>63.08</v>
      </c>
      <c r="X2361">
        <f>'raw data Crude oil'!X2362</f>
        <v>62.72</v>
      </c>
      <c r="Y2361">
        <f>'raw data Crude oil'!Y2362</f>
        <v>62.44</v>
      </c>
      <c r="Z2361">
        <f>'raw data Crude oil'!Z2362</f>
        <v>68.540000000000006</v>
      </c>
      <c r="AA2361">
        <f>'raw data Crude oil'!AA2362</f>
        <v>70.344999999999999</v>
      </c>
      <c r="AB2361">
        <f>'raw data Crude oil'!AB2362</f>
        <v>69.858999999999995</v>
      </c>
      <c r="AC2361">
        <f>'raw data Crude oil'!AC2362</f>
        <v>69.319999999999993</v>
      </c>
      <c r="AD2361">
        <f>'raw data Crude oil'!AD2362</f>
        <v>68.807000000000002</v>
      </c>
      <c r="AE2361">
        <f>'raw data Crude oil'!AE2362</f>
        <v>68.331999999999994</v>
      </c>
      <c r="AF2361">
        <f>'raw data Crude oil'!AF2362</f>
        <v>67.881</v>
      </c>
      <c r="AG2361">
        <f>'raw data Crude oil'!AG2362</f>
        <v>67.477000000000004</v>
      </c>
      <c r="AH2361">
        <f>'raw data Crude oil'!AH2362</f>
        <v>67.090999999999994</v>
      </c>
      <c r="AI2361">
        <f>'raw data Crude oil'!AI2362</f>
        <v>66.738</v>
      </c>
      <c r="AJ2361">
        <f>'raw data Crude oil'!AJ2362</f>
        <v>66.441999999999993</v>
      </c>
      <c r="AK2361">
        <f>'raw data Crude oil'!AK2362</f>
        <v>66.23</v>
      </c>
    </row>
    <row r="2362" spans="1:37" x14ac:dyDescent="0.3">
      <c r="A2362" s="18">
        <f>'raw data Crude oil'!A2363</f>
        <v>46076</v>
      </c>
      <c r="B2362">
        <f>'raw data Crude oil'!B2363</f>
        <v>71.489999999999995</v>
      </c>
      <c r="C2362">
        <f>'raw data Crude oil'!C2363</f>
        <v>71.11</v>
      </c>
      <c r="D2362">
        <f>'raw data Crude oil'!D2363</f>
        <v>70.540000000000006</v>
      </c>
      <c r="E2362">
        <f>'raw data Crude oil'!E2363</f>
        <v>69.94</v>
      </c>
      <c r="F2362">
        <f>'raw data Crude oil'!F2363</f>
        <v>69.36</v>
      </c>
      <c r="G2362">
        <f>'raw data Crude oil'!G2363</f>
        <v>68.819999999999993</v>
      </c>
      <c r="H2362">
        <f>'raw data Crude oil'!H2363</f>
        <v>68.33</v>
      </c>
      <c r="I2362">
        <f>'raw data Crude oil'!I2363</f>
        <v>67.900000000000006</v>
      </c>
      <c r="J2362">
        <f>'raw data Crude oil'!J2363</f>
        <v>67.52</v>
      </c>
      <c r="K2362">
        <f>'raw data Crude oil'!K2363</f>
        <v>67.180000000000007</v>
      </c>
      <c r="L2362">
        <f>'raw data Crude oil'!L2363</f>
        <v>66.88</v>
      </c>
      <c r="M2362">
        <f>'raw data Crude oil'!M2363</f>
        <v>66.64</v>
      </c>
      <c r="N2362">
        <f>'raw data Crude oil'!N2363</f>
        <v>66.31</v>
      </c>
      <c r="O2362">
        <f>'raw data Crude oil'!O2363</f>
        <v>66.13</v>
      </c>
      <c r="P2362">
        <f>'raw data Crude oil'!P2363</f>
        <v>65.83</v>
      </c>
      <c r="Q2362">
        <f>'raw data Crude oil'!Q2363</f>
        <v>65.45</v>
      </c>
      <c r="R2362">
        <f>'raw data Crude oil'!R2363</f>
        <v>65</v>
      </c>
      <c r="S2362">
        <f>'raw data Crude oil'!S2363</f>
        <v>64.52</v>
      </c>
      <c r="T2362">
        <f>'raw data Crude oil'!T2363</f>
        <v>64.040000000000006</v>
      </c>
      <c r="U2362">
        <f>'raw data Crude oil'!U2363</f>
        <v>63.61</v>
      </c>
      <c r="V2362">
        <f>'raw data Crude oil'!V2363</f>
        <v>63.23</v>
      </c>
      <c r="W2362">
        <f>'raw data Crude oil'!W2363</f>
        <v>62.89</v>
      </c>
      <c r="X2362">
        <f>'raw data Crude oil'!X2363</f>
        <v>62.6</v>
      </c>
      <c r="Y2362">
        <f>'raw data Crude oil'!Y2363</f>
        <v>62.38</v>
      </c>
      <c r="Z2362">
        <f>'raw data Crude oil'!Z2363</f>
        <v>68.412999999999997</v>
      </c>
      <c r="AA2362">
        <f>'raw data Crude oil'!AA2363</f>
        <v>70.024000000000001</v>
      </c>
      <c r="AB2362">
        <f>'raw data Crude oil'!AB2363</f>
        <v>69.593999999999994</v>
      </c>
      <c r="AC2362">
        <f>'raw data Crude oil'!AC2363</f>
        <v>69.144000000000005</v>
      </c>
      <c r="AD2362">
        <f>'raw data Crude oil'!AD2363</f>
        <v>68.664000000000001</v>
      </c>
      <c r="AE2362">
        <f>'raw data Crude oil'!AE2363</f>
        <v>68.203999999999994</v>
      </c>
      <c r="AF2362">
        <f>'raw data Crude oil'!AF2363</f>
        <v>67.772999999999996</v>
      </c>
      <c r="AG2362">
        <f>'raw data Crude oil'!AG2363</f>
        <v>67.403000000000006</v>
      </c>
      <c r="AH2362">
        <f>'raw data Crude oil'!AH2363</f>
        <v>67.045000000000002</v>
      </c>
      <c r="AI2362">
        <f>'raw data Crude oil'!AI2363</f>
        <v>66.75</v>
      </c>
      <c r="AJ2362">
        <f>'raw data Crude oil'!AJ2363</f>
        <v>66.47</v>
      </c>
      <c r="AK2362">
        <f>'raw data Crude oil'!AK2363</f>
        <v>66.254999999999995</v>
      </c>
    </row>
    <row r="2363" spans="1:37" x14ac:dyDescent="0.3">
      <c r="A2363" s="18">
        <f>'raw data Crude oil'!A2364</f>
        <v>46077</v>
      </c>
      <c r="B2363">
        <f>'raw data Crude oil'!B2364</f>
        <v>70.77</v>
      </c>
      <c r="C2363">
        <f>'raw data Crude oil'!C2364</f>
        <v>70.58</v>
      </c>
      <c r="D2363">
        <f>'raw data Crude oil'!D2364</f>
        <v>70.16</v>
      </c>
      <c r="E2363">
        <f>'raw data Crude oil'!E2364</f>
        <v>69.66</v>
      </c>
      <c r="F2363">
        <f>'raw data Crude oil'!F2364</f>
        <v>69.14</v>
      </c>
      <c r="G2363">
        <f>'raw data Crude oil'!G2364</f>
        <v>68.650000000000006</v>
      </c>
      <c r="H2363">
        <f>'raw data Crude oil'!H2364</f>
        <v>68.209999999999994</v>
      </c>
      <c r="I2363">
        <f>'raw data Crude oil'!I2364</f>
        <v>67.819999999999993</v>
      </c>
      <c r="J2363">
        <f>'raw data Crude oil'!J2364</f>
        <v>67.47</v>
      </c>
      <c r="K2363">
        <f>'raw data Crude oil'!K2364</f>
        <v>67.150000000000006</v>
      </c>
      <c r="L2363">
        <f>'raw data Crude oil'!L2364</f>
        <v>66.87</v>
      </c>
      <c r="M2363">
        <f>'raw data Crude oil'!M2364</f>
        <v>66.650000000000006</v>
      </c>
      <c r="N2363">
        <f>'raw data Crude oil'!N2364</f>
        <v>65.63</v>
      </c>
      <c r="O2363">
        <f>'raw data Crude oil'!O2364</f>
        <v>65.540000000000006</v>
      </c>
      <c r="P2363">
        <f>'raw data Crude oil'!P2364</f>
        <v>65.36</v>
      </c>
      <c r="Q2363">
        <f>'raw data Crude oil'!Q2364</f>
        <v>65.069999999999993</v>
      </c>
      <c r="R2363">
        <f>'raw data Crude oil'!R2364</f>
        <v>64.680000000000007</v>
      </c>
      <c r="S2363">
        <f>'raw data Crude oil'!S2364</f>
        <v>64.25</v>
      </c>
      <c r="T2363">
        <f>'raw data Crude oil'!T2364</f>
        <v>63.83</v>
      </c>
      <c r="U2363">
        <f>'raw data Crude oil'!U2364</f>
        <v>63.46</v>
      </c>
      <c r="V2363">
        <f>'raw data Crude oil'!V2364</f>
        <v>63.13</v>
      </c>
      <c r="W2363">
        <f>'raw data Crude oil'!W2364</f>
        <v>62.83</v>
      </c>
      <c r="X2363">
        <f>'raw data Crude oil'!X2364</f>
        <v>62.57</v>
      </c>
      <c r="Y2363">
        <f>'raw data Crude oil'!Y2364</f>
        <v>62.37</v>
      </c>
      <c r="Z2363">
        <f>'raw data Crude oil'!Z2364</f>
        <v>68.263000000000005</v>
      </c>
      <c r="AA2363">
        <f>'raw data Crude oil'!AA2364</f>
        <v>69.176000000000002</v>
      </c>
      <c r="AB2363">
        <f>'raw data Crude oil'!AB2364</f>
        <v>68.896000000000001</v>
      </c>
      <c r="AC2363">
        <f>'raw data Crude oil'!AC2364</f>
        <v>68.555000000000007</v>
      </c>
      <c r="AD2363">
        <f>'raw data Crude oil'!AD2364</f>
        <v>68.156000000000006</v>
      </c>
      <c r="AE2363">
        <f>'raw data Crude oil'!AE2364</f>
        <v>67.75</v>
      </c>
      <c r="AF2363">
        <f>'raw data Crude oil'!AF2364</f>
        <v>67.370999999999995</v>
      </c>
      <c r="AG2363">
        <f>'raw data Crude oil'!AG2364</f>
        <v>67.061999999999998</v>
      </c>
      <c r="AH2363">
        <f>'raw data Crude oil'!AH2364</f>
        <v>66.772999999999996</v>
      </c>
      <c r="AI2363">
        <f>'raw data Crude oil'!AI2364</f>
        <v>66.504000000000005</v>
      </c>
      <c r="AJ2363">
        <f>'raw data Crude oil'!AJ2364</f>
        <v>66.256</v>
      </c>
      <c r="AK2363">
        <f>'raw data Crude oil'!AK2364</f>
        <v>66.085999999999999</v>
      </c>
    </row>
    <row r="2364" spans="1:37" x14ac:dyDescent="0.3">
      <c r="A2364" s="18">
        <f>'raw data Crude oil'!A2365</f>
        <v>46078</v>
      </c>
      <c r="B2364">
        <f>'raw data Crude oil'!B2365</f>
        <v>70.849999999999994</v>
      </c>
      <c r="C2364">
        <f>'raw data Crude oil'!C2365</f>
        <v>70.69</v>
      </c>
      <c r="D2364">
        <f>'raw data Crude oil'!D2365</f>
        <v>70.25</v>
      </c>
      <c r="E2364">
        <f>'raw data Crude oil'!E2365</f>
        <v>69.760000000000005</v>
      </c>
      <c r="F2364">
        <f>'raw data Crude oil'!F2365</f>
        <v>69.25</v>
      </c>
      <c r="G2364">
        <f>'raw data Crude oil'!G2365</f>
        <v>68.75</v>
      </c>
      <c r="H2364">
        <f>'raw data Crude oil'!H2365</f>
        <v>68.3</v>
      </c>
      <c r="I2364">
        <f>'raw data Crude oil'!I2365</f>
        <v>67.900000000000006</v>
      </c>
      <c r="J2364">
        <f>'raw data Crude oil'!J2365</f>
        <v>67.55</v>
      </c>
      <c r="K2364">
        <f>'raw data Crude oil'!K2365</f>
        <v>67.23</v>
      </c>
      <c r="L2364">
        <f>'raw data Crude oil'!L2365</f>
        <v>66.95</v>
      </c>
      <c r="M2364">
        <f>'raw data Crude oil'!M2365</f>
        <v>66.72</v>
      </c>
      <c r="N2364">
        <f>'raw data Crude oil'!N2365</f>
        <v>65.42</v>
      </c>
      <c r="O2364">
        <f>'raw data Crude oil'!O2365</f>
        <v>65.33</v>
      </c>
      <c r="P2364">
        <f>'raw data Crude oil'!P2365</f>
        <v>65.17</v>
      </c>
      <c r="Q2364">
        <f>'raw data Crude oil'!Q2365</f>
        <v>64.92</v>
      </c>
      <c r="R2364">
        <f>'raw data Crude oil'!R2365</f>
        <v>64.569999999999993</v>
      </c>
      <c r="S2364">
        <f>'raw data Crude oil'!S2365</f>
        <v>64.16</v>
      </c>
      <c r="T2364">
        <f>'raw data Crude oil'!T2365</f>
        <v>63.74</v>
      </c>
      <c r="U2364">
        <f>'raw data Crude oil'!U2365</f>
        <v>63.38</v>
      </c>
      <c r="V2364">
        <f>'raw data Crude oil'!V2365</f>
        <v>63.05</v>
      </c>
      <c r="W2364">
        <f>'raw data Crude oil'!W2365</f>
        <v>62.76</v>
      </c>
      <c r="X2364">
        <f>'raw data Crude oil'!X2365</f>
        <v>62.5</v>
      </c>
      <c r="Y2364">
        <f>'raw data Crude oil'!Y2365</f>
        <v>62.29</v>
      </c>
      <c r="Z2364">
        <f>'raw data Crude oil'!Z2365</f>
        <v>68.287999999999997</v>
      </c>
      <c r="AA2364">
        <f>'raw data Crude oil'!AA2365</f>
        <v>69.498000000000005</v>
      </c>
      <c r="AB2364">
        <f>'raw data Crude oil'!AB2365</f>
        <v>69.153999999999996</v>
      </c>
      <c r="AC2364">
        <f>'raw data Crude oil'!AC2365</f>
        <v>68.793000000000006</v>
      </c>
      <c r="AD2364">
        <f>'raw data Crude oil'!AD2365</f>
        <v>68.382000000000005</v>
      </c>
      <c r="AE2364">
        <f>'raw data Crude oil'!AE2365</f>
        <v>67.963999999999999</v>
      </c>
      <c r="AF2364">
        <f>'raw data Crude oil'!AF2365</f>
        <v>67.578000000000003</v>
      </c>
      <c r="AG2364">
        <f>'raw data Crude oil'!AG2365</f>
        <v>67.241</v>
      </c>
      <c r="AH2364">
        <f>'raw data Crude oil'!AH2365</f>
        <v>66.933000000000007</v>
      </c>
      <c r="AI2364">
        <f>'raw data Crude oil'!AI2365</f>
        <v>66.646000000000001</v>
      </c>
      <c r="AJ2364">
        <f>'raw data Crude oil'!AJ2365</f>
        <v>66.378</v>
      </c>
      <c r="AK2364">
        <f>'raw data Crude oil'!AK2365</f>
        <v>66.198999999999998</v>
      </c>
    </row>
    <row r="2365" spans="1:37" x14ac:dyDescent="0.3">
      <c r="A2365" s="18">
        <f>'raw data Crude oil'!A2366</f>
        <v>46079</v>
      </c>
      <c r="B2365">
        <f>'raw data Crude oil'!B2366</f>
        <v>70.75</v>
      </c>
      <c r="C2365">
        <f>'raw data Crude oil'!C2366</f>
        <v>70.84</v>
      </c>
      <c r="D2365">
        <f>'raw data Crude oil'!D2366</f>
        <v>70.42</v>
      </c>
      <c r="E2365">
        <f>'raw data Crude oil'!E2366</f>
        <v>69.86</v>
      </c>
      <c r="F2365">
        <f>'raw data Crude oil'!F2366</f>
        <v>69.260000000000005</v>
      </c>
      <c r="G2365">
        <f>'raw data Crude oil'!G2366</f>
        <v>68.69</v>
      </c>
      <c r="H2365">
        <f>'raw data Crude oil'!H2366</f>
        <v>68.19</v>
      </c>
      <c r="I2365">
        <f>'raw data Crude oil'!I2366</f>
        <v>67.75</v>
      </c>
      <c r="J2365">
        <f>'raw data Crude oil'!J2366</f>
        <v>67.36</v>
      </c>
      <c r="K2365">
        <f>'raw data Crude oil'!K2366</f>
        <v>67.010000000000005</v>
      </c>
      <c r="L2365">
        <f>'raw data Crude oil'!L2366</f>
        <v>66.709999999999994</v>
      </c>
      <c r="M2365">
        <f>'raw data Crude oil'!M2366</f>
        <v>66.459999999999994</v>
      </c>
      <c r="N2365">
        <f>'raw data Crude oil'!N2366</f>
        <v>65.209999999999994</v>
      </c>
      <c r="O2365">
        <f>'raw data Crude oil'!O2366</f>
        <v>65.11</v>
      </c>
      <c r="P2365">
        <f>'raw data Crude oil'!P2366</f>
        <v>64.89</v>
      </c>
      <c r="Q2365">
        <f>'raw data Crude oil'!Q2366</f>
        <v>64.59</v>
      </c>
      <c r="R2365">
        <f>'raw data Crude oil'!R2366</f>
        <v>64.2</v>
      </c>
      <c r="S2365">
        <f>'raw data Crude oil'!S2366</f>
        <v>63.76</v>
      </c>
      <c r="T2365">
        <f>'raw data Crude oil'!T2366</f>
        <v>63.32</v>
      </c>
      <c r="U2365">
        <f>'raw data Crude oil'!U2366</f>
        <v>62.93</v>
      </c>
      <c r="V2365">
        <f>'raw data Crude oil'!V2366</f>
        <v>62.58</v>
      </c>
      <c r="W2365">
        <f>'raw data Crude oil'!W2366</f>
        <v>62.27</v>
      </c>
      <c r="X2365">
        <f>'raw data Crude oil'!X2366</f>
        <v>62</v>
      </c>
      <c r="Y2365">
        <f>'raw data Crude oil'!Y2366</f>
        <v>61.78</v>
      </c>
      <c r="Z2365">
        <f>'raw data Crude oil'!Z2366</f>
        <v>68.346999999999994</v>
      </c>
      <c r="AA2365">
        <f>'raw data Crude oil'!AA2366</f>
        <v>69.596999999999994</v>
      </c>
      <c r="AB2365">
        <f>'raw data Crude oil'!AB2366</f>
        <v>69.236999999999995</v>
      </c>
      <c r="AC2365">
        <f>'raw data Crude oil'!AC2366</f>
        <v>68.831999999999994</v>
      </c>
      <c r="AD2365">
        <f>'raw data Crude oil'!AD2366</f>
        <v>68.353999999999999</v>
      </c>
      <c r="AE2365">
        <f>'raw data Crude oil'!AE2366</f>
        <v>67.884</v>
      </c>
      <c r="AF2365">
        <f>'raw data Crude oil'!AF2366</f>
        <v>67.45</v>
      </c>
      <c r="AG2365">
        <f>'raw data Crude oil'!AG2366</f>
        <v>67.108999999999995</v>
      </c>
      <c r="AH2365">
        <f>'raw data Crude oil'!AH2366</f>
        <v>66.762</v>
      </c>
      <c r="AI2365">
        <f>'raw data Crude oil'!AI2366</f>
        <v>66.444999999999993</v>
      </c>
      <c r="AJ2365">
        <f>'raw data Crude oil'!AJ2366</f>
        <v>66.156000000000006</v>
      </c>
      <c r="AK2365">
        <f>'raw data Crude oil'!AK2366</f>
        <v>65.956999999999994</v>
      </c>
    </row>
    <row r="2366" spans="1:37" x14ac:dyDescent="0.3">
      <c r="A2366" s="18">
        <f>'raw data Crude oil'!A2367</f>
        <v>46080</v>
      </c>
      <c r="B2366">
        <f>'raw data Crude oil'!B2367</f>
        <v>72.48</v>
      </c>
      <c r="C2366">
        <f>'raw data Crude oil'!C2367</f>
        <v>72.87</v>
      </c>
      <c r="D2366">
        <f>'raw data Crude oil'!D2367</f>
        <v>72.290000000000006</v>
      </c>
      <c r="E2366">
        <f>'raw data Crude oil'!E2367</f>
        <v>71.61</v>
      </c>
      <c r="F2366">
        <f>'raw data Crude oil'!F2367</f>
        <v>70.88</v>
      </c>
      <c r="G2366">
        <f>'raw data Crude oil'!G2367</f>
        <v>70.2</v>
      </c>
      <c r="H2366">
        <f>'raw data Crude oil'!H2367</f>
        <v>69.61</v>
      </c>
      <c r="I2366">
        <f>'raw data Crude oil'!I2367</f>
        <v>69.09</v>
      </c>
      <c r="J2366">
        <f>'raw data Crude oil'!J2367</f>
        <v>68.64</v>
      </c>
      <c r="K2366">
        <f>'raw data Crude oil'!K2367</f>
        <v>68.239999999999995</v>
      </c>
      <c r="L2366">
        <f>'raw data Crude oil'!L2367</f>
        <v>67.89</v>
      </c>
      <c r="M2366">
        <f>'raw data Crude oil'!M2367</f>
        <v>67.599999999999994</v>
      </c>
      <c r="N2366">
        <f>'raw data Crude oil'!N2367</f>
        <v>67.02</v>
      </c>
      <c r="O2366">
        <f>'raw data Crude oil'!O2367</f>
        <v>66.89</v>
      </c>
      <c r="P2366">
        <f>'raw data Crude oil'!P2367</f>
        <v>66.56</v>
      </c>
      <c r="Q2366">
        <f>'raw data Crude oil'!Q2367</f>
        <v>66.180000000000007</v>
      </c>
      <c r="R2366">
        <f>'raw data Crude oil'!R2367</f>
        <v>65.7</v>
      </c>
      <c r="S2366">
        <f>'raw data Crude oil'!S2367</f>
        <v>65.150000000000006</v>
      </c>
      <c r="T2366">
        <f>'raw data Crude oil'!T2367</f>
        <v>64.62</v>
      </c>
      <c r="U2366">
        <f>'raw data Crude oil'!U2367</f>
        <v>64.14</v>
      </c>
      <c r="V2366">
        <f>'raw data Crude oil'!V2367</f>
        <v>63.73</v>
      </c>
      <c r="W2366">
        <f>'raw data Crude oil'!W2367</f>
        <v>63.35</v>
      </c>
      <c r="X2366">
        <f>'raw data Crude oil'!X2367</f>
        <v>63.03</v>
      </c>
      <c r="Y2366">
        <f>'raw data Crude oil'!Y2367</f>
        <v>62.77</v>
      </c>
      <c r="Z2366">
        <f>'raw data Crude oil'!Z2367</f>
        <v>68.403999999999996</v>
      </c>
      <c r="AA2366">
        <f>'raw data Crude oil'!AA2367</f>
        <v>71.528999999999996</v>
      </c>
      <c r="AB2366">
        <f>'raw data Crude oil'!AB2367</f>
        <v>71.007999999999996</v>
      </c>
      <c r="AC2366">
        <f>'raw data Crude oil'!AC2367</f>
        <v>70.486999999999995</v>
      </c>
      <c r="AD2366">
        <f>'raw data Crude oil'!AD2367</f>
        <v>69.915999999999997</v>
      </c>
      <c r="AE2366">
        <f>'raw data Crude oil'!AE2367</f>
        <v>69.370999999999995</v>
      </c>
      <c r="AF2366">
        <f>'raw data Crude oil'!AF2367</f>
        <v>68.872</v>
      </c>
      <c r="AG2366">
        <f>'raw data Crude oil'!AG2367</f>
        <v>68.462000000000003</v>
      </c>
      <c r="AH2366">
        <f>'raw data Crude oil'!AH2367</f>
        <v>68.06</v>
      </c>
      <c r="AI2366">
        <f>'raw data Crude oil'!AI2367</f>
        <v>67.692000000000007</v>
      </c>
      <c r="AJ2366">
        <f>'raw data Crude oil'!AJ2367</f>
        <v>67.356999999999999</v>
      </c>
      <c r="AK2366">
        <f>'raw data Crude oil'!AK2367</f>
        <v>67.120999999999995</v>
      </c>
    </row>
    <row r="2367" spans="1:37" x14ac:dyDescent="0.3">
      <c r="A2367" s="18">
        <f>'raw data Crude oil'!A2368</f>
        <v>46083</v>
      </c>
      <c r="B2367">
        <f>'raw data Crude oil'!B2368</f>
        <v>77.739999999999995</v>
      </c>
      <c r="C2367">
        <f>'raw data Crude oil'!C2368</f>
        <v>76.16</v>
      </c>
      <c r="D2367">
        <f>'raw data Crude oil'!D2368</f>
        <v>74.81</v>
      </c>
      <c r="E2367">
        <f>'raw data Crude oil'!E2368</f>
        <v>73.58</v>
      </c>
      <c r="F2367">
        <f>'raw data Crude oil'!F2368</f>
        <v>72.48</v>
      </c>
      <c r="G2367">
        <f>'raw data Crude oil'!G2368</f>
        <v>71.52</v>
      </c>
      <c r="H2367">
        <f>'raw data Crude oil'!H2368</f>
        <v>70.710000000000008</v>
      </c>
      <c r="I2367">
        <f>'raw data Crude oil'!I2368</f>
        <v>70.02</v>
      </c>
      <c r="J2367">
        <f>'raw data Crude oil'!J2368</f>
        <v>69.42</v>
      </c>
      <c r="K2367">
        <f>'raw data Crude oil'!K2368</f>
        <v>68.92</v>
      </c>
      <c r="L2367">
        <f>'raw data Crude oil'!L2368</f>
        <v>68.52</v>
      </c>
      <c r="M2367">
        <f>'raw data Crude oil'!M2368</f>
        <v>68.180000000000007</v>
      </c>
      <c r="N2367">
        <f>'raw data Crude oil'!N2368</f>
        <v>71.23</v>
      </c>
      <c r="O2367">
        <f>'raw data Crude oil'!O2368</f>
        <v>70.72</v>
      </c>
      <c r="P2367">
        <f>'raw data Crude oil'!P2368</f>
        <v>69.81</v>
      </c>
      <c r="Q2367">
        <f>'raw data Crude oil'!Q2368</f>
        <v>68.930000000000007</v>
      </c>
      <c r="R2367">
        <f>'raw data Crude oil'!R2368</f>
        <v>68.010000000000005</v>
      </c>
      <c r="S2367">
        <f>'raw data Crude oil'!S2368</f>
        <v>67.070000000000007</v>
      </c>
      <c r="T2367">
        <f>'raw data Crude oil'!T2368</f>
        <v>66.180000000000007</v>
      </c>
      <c r="U2367">
        <f>'raw data Crude oil'!U2368</f>
        <v>65.430000000000007</v>
      </c>
      <c r="V2367">
        <f>'raw data Crude oil'!V2368</f>
        <v>64.78</v>
      </c>
      <c r="W2367">
        <f>'raw data Crude oil'!W2368</f>
        <v>64.23</v>
      </c>
      <c r="X2367">
        <f>'raw data Crude oil'!X2368</f>
        <v>63.77</v>
      </c>
      <c r="Y2367">
        <f>'raw data Crude oil'!Y2368</f>
        <v>63.410000000000004</v>
      </c>
      <c r="Z2367">
        <f>'raw data Crude oil'!Z2368</f>
        <v>68.403999999999996</v>
      </c>
      <c r="AA2367">
        <f>'raw data Crude oil'!AA2368</f>
        <v>77.602000000000004</v>
      </c>
      <c r="AB2367">
        <f>'raw data Crude oil'!AB2368</f>
        <v>73.8</v>
      </c>
      <c r="AC2367">
        <f>'raw data Crude oil'!AC2368</f>
        <v>72.768000000000001</v>
      </c>
      <c r="AD2367">
        <f>'raw data Crude oil'!AD2368</f>
        <v>71.855000000000004</v>
      </c>
      <c r="AE2367">
        <f>'raw data Crude oil'!AE2368</f>
        <v>71.123999999999995</v>
      </c>
      <c r="AF2367">
        <f>'raw data Crude oil'!AF2368</f>
        <v>70.453000000000003</v>
      </c>
      <c r="AG2367">
        <f>'raw data Crude oil'!AG2368</f>
        <v>69.882000000000005</v>
      </c>
      <c r="AH2367">
        <f>'raw data Crude oil'!AH2368</f>
        <v>69.331000000000003</v>
      </c>
      <c r="AI2367">
        <f>'raw data Crude oil'!AI2368</f>
        <v>68.798000000000002</v>
      </c>
      <c r="AJ2367">
        <f>'raw data Crude oil'!AJ2368</f>
        <v>68.397999999999996</v>
      </c>
      <c r="AK2367">
        <f>'raw data Crude oil'!AK2368</f>
        <v>68.055999999999997</v>
      </c>
    </row>
    <row r="2368" spans="1:37" x14ac:dyDescent="0.3">
      <c r="A2368" s="18">
        <f>'raw data Crude oil'!A2369</f>
        <v>46084</v>
      </c>
      <c r="B2368">
        <f>'raw data Crude oil'!B2369</f>
        <v>81.400000000000006</v>
      </c>
      <c r="C2368">
        <f>'raw data Crude oil'!C2369</f>
        <v>78.38</v>
      </c>
      <c r="D2368">
        <f>'raw data Crude oil'!D2369</f>
        <v>76.28</v>
      </c>
      <c r="E2368">
        <f>'raw data Crude oil'!E2369</f>
        <v>74.67</v>
      </c>
      <c r="F2368">
        <f>'raw data Crude oil'!F2369</f>
        <v>73.37</v>
      </c>
      <c r="G2368">
        <f>'raw data Crude oil'!G2369</f>
        <v>72.25</v>
      </c>
      <c r="H2368">
        <f>'raw data Crude oil'!H2369</f>
        <v>71.3</v>
      </c>
      <c r="I2368">
        <f>'raw data Crude oil'!I2369</f>
        <v>70.489999999999995</v>
      </c>
      <c r="J2368">
        <f>'raw data Crude oil'!J2369</f>
        <v>69.77</v>
      </c>
      <c r="K2368">
        <f>'raw data Crude oil'!K2369</f>
        <v>69.180000000000007</v>
      </c>
      <c r="L2368">
        <f>'raw data Crude oil'!L2369</f>
        <v>68.72</v>
      </c>
      <c r="M2368">
        <f>'raw data Crude oil'!M2369</f>
        <v>68.34</v>
      </c>
      <c r="N2368">
        <f>'raw data Crude oil'!N2369</f>
        <v>74.56</v>
      </c>
      <c r="O2368">
        <f>'raw data Crude oil'!O2369</f>
        <v>73.55</v>
      </c>
      <c r="P2368">
        <f>'raw data Crude oil'!P2369</f>
        <v>71.88</v>
      </c>
      <c r="Q2368">
        <f>'raw data Crude oil'!Q2369</f>
        <v>70.489999999999995</v>
      </c>
      <c r="R2368">
        <f>'raw data Crude oil'!R2369</f>
        <v>69.25</v>
      </c>
      <c r="S2368">
        <f>'raw data Crude oil'!S2369</f>
        <v>68.11</v>
      </c>
      <c r="T2368">
        <f>'raw data Crude oil'!T2369</f>
        <v>67.03</v>
      </c>
      <c r="U2368">
        <f>'raw data Crude oil'!U2369</f>
        <v>66.09</v>
      </c>
      <c r="V2368">
        <f>'raw data Crude oil'!V2369</f>
        <v>65.290000000000006</v>
      </c>
      <c r="W2368">
        <f>'raw data Crude oil'!W2369</f>
        <v>64.59</v>
      </c>
      <c r="X2368">
        <f>'raw data Crude oil'!X2369</f>
        <v>64.03</v>
      </c>
      <c r="Y2368">
        <f>'raw data Crude oil'!Y2369</f>
        <v>63.6</v>
      </c>
      <c r="Z2368">
        <f>'raw data Crude oil'!Z2369</f>
        <v>79.689000000000007</v>
      </c>
      <c r="AA2368">
        <f>'raw data Crude oil'!AA2369</f>
        <v>74.543999999999997</v>
      </c>
      <c r="AB2368">
        <f>'raw data Crude oil'!AB2369</f>
        <v>73.150000000000006</v>
      </c>
      <c r="AC2368">
        <f>'raw data Crude oil'!AC2369</f>
        <v>72.171000000000006</v>
      </c>
      <c r="AD2368">
        <f>'raw data Crude oil'!AD2369</f>
        <v>71.36</v>
      </c>
      <c r="AE2368">
        <f>'raw data Crude oil'!AE2369</f>
        <v>70.649000000000001</v>
      </c>
      <c r="AF2368">
        <f>'raw data Crude oil'!AF2369</f>
        <v>70.039000000000001</v>
      </c>
      <c r="AG2368">
        <f>'raw data Crude oil'!AG2369</f>
        <v>69.477999999999994</v>
      </c>
      <c r="AH2368">
        <f>'raw data Crude oil'!AH2369</f>
        <v>68.957000000000008</v>
      </c>
      <c r="AI2368">
        <f>'raw data Crude oil'!AI2369</f>
        <v>68.513999999999996</v>
      </c>
      <c r="AJ2368">
        <f>'raw data Crude oil'!AJ2369</f>
        <v>68.131</v>
      </c>
      <c r="AK2368">
        <f>'raw data Crude oil'!AK2369</f>
        <v>67.804000000000002</v>
      </c>
    </row>
    <row r="2369" spans="1:37" x14ac:dyDescent="0.3">
      <c r="A2369" s="18">
        <f>'raw data Crude oil'!A2370</f>
        <v>46085</v>
      </c>
      <c r="B2369">
        <f>'raw data Crude oil'!B2370</f>
        <v>81.400000000000006</v>
      </c>
      <c r="C2369">
        <f>'raw data Crude oil'!C2370</f>
        <v>78.010000000000005</v>
      </c>
      <c r="D2369">
        <f>'raw data Crude oil'!D2370</f>
        <v>75.930000000000007</v>
      </c>
      <c r="E2369">
        <f>'raw data Crude oil'!E2370</f>
        <v>74.39</v>
      </c>
      <c r="F2369">
        <f>'raw data Crude oil'!F2370</f>
        <v>73.2</v>
      </c>
      <c r="G2369">
        <f>'raw data Crude oil'!G2370</f>
        <v>72.2</v>
      </c>
      <c r="H2369">
        <f>'raw data Crude oil'!H2370</f>
        <v>71.37</v>
      </c>
      <c r="I2369">
        <f>'raw data Crude oil'!I2370</f>
        <v>70.66</v>
      </c>
      <c r="J2369">
        <f>'raw data Crude oil'!J2370</f>
        <v>70.040000000000006</v>
      </c>
      <c r="K2369">
        <f>'raw data Crude oil'!K2370</f>
        <v>69.52</v>
      </c>
      <c r="L2369">
        <f>'raw data Crude oil'!L2370</f>
        <v>69.12</v>
      </c>
      <c r="M2369">
        <f>'raw data Crude oil'!M2370</f>
        <v>68.8</v>
      </c>
      <c r="N2369">
        <f>'raw data Crude oil'!N2370</f>
        <v>74.66</v>
      </c>
      <c r="O2369">
        <f>'raw data Crude oil'!O2370</f>
        <v>73.460000000000008</v>
      </c>
      <c r="P2369">
        <f>'raw data Crude oil'!P2370</f>
        <v>71.760000000000005</v>
      </c>
      <c r="Q2369">
        <f>'raw data Crude oil'!Q2370</f>
        <v>70.41</v>
      </c>
      <c r="R2369">
        <f>'raw data Crude oil'!R2370</f>
        <v>69.239999999999995</v>
      </c>
      <c r="S2369">
        <f>'raw data Crude oil'!S2370</f>
        <v>68.19</v>
      </c>
      <c r="T2369">
        <f>'raw data Crude oil'!T2370</f>
        <v>67.22</v>
      </c>
      <c r="U2369">
        <f>'raw data Crude oil'!U2370</f>
        <v>66.400000000000006</v>
      </c>
      <c r="V2369">
        <f>'raw data Crude oil'!V2370</f>
        <v>65.7</v>
      </c>
      <c r="W2369">
        <f>'raw data Crude oil'!W2370</f>
        <v>65.099999999999994</v>
      </c>
      <c r="X2369">
        <f>'raw data Crude oil'!X2370</f>
        <v>64.63</v>
      </c>
      <c r="Y2369">
        <f>'raw data Crude oil'!Y2370</f>
        <v>64.27</v>
      </c>
      <c r="Z2369">
        <f>'raw data Crude oil'!Z2370</f>
        <v>81.569000000000003</v>
      </c>
      <c r="AA2369">
        <f>'raw data Crude oil'!AA2370</f>
        <v>74.117000000000004</v>
      </c>
      <c r="AB2369">
        <f>'raw data Crude oil'!AB2370</f>
        <v>72.474000000000004</v>
      </c>
      <c r="AC2369">
        <f>'raw data Crude oil'!AC2370</f>
        <v>71.62</v>
      </c>
      <c r="AD2369">
        <f>'raw data Crude oil'!AD2370</f>
        <v>71.016000000000005</v>
      </c>
      <c r="AE2369">
        <f>'raw data Crude oil'!AE2370</f>
        <v>70.531000000000006</v>
      </c>
      <c r="AF2369">
        <f>'raw data Crude oil'!AF2370</f>
        <v>70.105000000000004</v>
      </c>
      <c r="AG2369">
        <f>'raw data Crude oil'!AG2370</f>
        <v>69.716999999999999</v>
      </c>
      <c r="AH2369">
        <f>'raw data Crude oil'!AH2370</f>
        <v>69.350000000000009</v>
      </c>
      <c r="AI2369">
        <f>'raw data Crude oil'!AI2370</f>
        <v>69.064000000000007</v>
      </c>
      <c r="AJ2369">
        <f>'raw data Crude oil'!AJ2370</f>
        <v>68.754000000000005</v>
      </c>
      <c r="AK2369">
        <f>'raw data Crude oil'!AK2370</f>
        <v>68.468000000000004</v>
      </c>
    </row>
    <row r="2370" spans="1:37" x14ac:dyDescent="0.3">
      <c r="A2370" s="18">
        <f>'raw data Crude oil'!A2371</f>
        <v>46086</v>
      </c>
      <c r="B2370">
        <f>'raw data Crude oil'!B2371</f>
        <v>85.41</v>
      </c>
      <c r="C2370">
        <f>'raw data Crude oil'!C2371</f>
        <v>81.040000000000006</v>
      </c>
      <c r="D2370">
        <f>'raw data Crude oil'!D2371</f>
        <v>77.92</v>
      </c>
      <c r="E2370">
        <f>'raw data Crude oil'!E2371</f>
        <v>75.960000000000008</v>
      </c>
      <c r="F2370">
        <f>'raw data Crude oil'!F2371</f>
        <v>74.66</v>
      </c>
      <c r="G2370">
        <f>'raw data Crude oil'!G2371</f>
        <v>73.59</v>
      </c>
      <c r="H2370">
        <f>'raw data Crude oil'!H2371</f>
        <v>72.7</v>
      </c>
      <c r="I2370">
        <f>'raw data Crude oil'!I2371</f>
        <v>71.930000000000007</v>
      </c>
      <c r="J2370">
        <f>'raw data Crude oil'!J2371</f>
        <v>71.25</v>
      </c>
      <c r="K2370">
        <f>'raw data Crude oil'!K2371</f>
        <v>70.680000000000007</v>
      </c>
      <c r="L2370">
        <f>'raw data Crude oil'!L2371</f>
        <v>70.239999999999995</v>
      </c>
      <c r="M2370">
        <f>'raw data Crude oil'!M2371</f>
        <v>69.89</v>
      </c>
      <c r="N2370">
        <f>'raw data Crude oil'!N2371</f>
        <v>81.010000000000005</v>
      </c>
      <c r="O2370">
        <f>'raw data Crude oil'!O2371</f>
        <v>78.64</v>
      </c>
      <c r="P2370">
        <f>'raw data Crude oil'!P2371</f>
        <v>75.52</v>
      </c>
      <c r="Q2370">
        <f>'raw data Crude oil'!Q2371</f>
        <v>73.180000000000007</v>
      </c>
      <c r="R2370">
        <f>'raw data Crude oil'!R2371</f>
        <v>71.460000000000008</v>
      </c>
      <c r="S2370">
        <f>'raw data Crude oil'!S2371</f>
        <v>70.16</v>
      </c>
      <c r="T2370">
        <f>'raw data Crude oil'!T2371</f>
        <v>69.040000000000006</v>
      </c>
      <c r="U2370">
        <f>'raw data Crude oil'!U2371</f>
        <v>68.11</v>
      </c>
      <c r="V2370">
        <f>'raw data Crude oil'!V2371</f>
        <v>67.31</v>
      </c>
      <c r="W2370">
        <f>'raw data Crude oil'!W2371</f>
        <v>66.59</v>
      </c>
      <c r="X2370">
        <f>'raw data Crude oil'!X2371</f>
        <v>66.03</v>
      </c>
      <c r="Y2370">
        <f>'raw data Crude oil'!Y2371</f>
        <v>65.599999999999994</v>
      </c>
      <c r="Z2370">
        <f>'raw data Crude oil'!Z2371</f>
        <v>92.612000000000009</v>
      </c>
      <c r="AA2370">
        <f>'raw data Crude oil'!AA2371</f>
        <v>80.055999999999997</v>
      </c>
      <c r="AB2370">
        <f>'raw data Crude oil'!AB2371</f>
        <v>76.347000000000008</v>
      </c>
      <c r="AC2370">
        <f>'raw data Crude oil'!AC2371</f>
        <v>74.483999999999995</v>
      </c>
      <c r="AD2370">
        <f>'raw data Crude oil'!AD2371</f>
        <v>73.448000000000008</v>
      </c>
      <c r="AE2370">
        <f>'raw data Crude oil'!AE2371</f>
        <v>72.608000000000004</v>
      </c>
      <c r="AF2370">
        <f>'raw data Crude oil'!AF2371</f>
        <v>71.977999999999994</v>
      </c>
      <c r="AG2370">
        <f>'raw data Crude oil'!AG2371</f>
        <v>71.402000000000001</v>
      </c>
      <c r="AH2370">
        <f>'raw data Crude oil'!AH2371</f>
        <v>70.861000000000004</v>
      </c>
      <c r="AI2370">
        <f>'raw data Crude oil'!AI2371</f>
        <v>70.328000000000003</v>
      </c>
      <c r="AJ2370">
        <f>'raw data Crude oil'!AJ2371</f>
        <v>69.983000000000004</v>
      </c>
      <c r="AK2370">
        <f>'raw data Crude oil'!AK2371</f>
        <v>69.686999999999998</v>
      </c>
    </row>
    <row r="2371" spans="1:37" x14ac:dyDescent="0.3">
      <c r="A2371" s="18">
        <f>'raw data Crude oil'!A2372</f>
        <v>46087</v>
      </c>
      <c r="B2371">
        <f>'raw data Crude oil'!B2372</f>
        <v>92.69</v>
      </c>
      <c r="C2371">
        <f>'raw data Crude oil'!C2372</f>
        <v>87.2</v>
      </c>
      <c r="D2371">
        <f>'raw data Crude oil'!D2372</f>
        <v>82.88</v>
      </c>
      <c r="E2371">
        <f>'raw data Crude oil'!E2372</f>
        <v>79.86</v>
      </c>
      <c r="F2371">
        <f>'raw data Crude oil'!F2372</f>
        <v>77.820000000000007</v>
      </c>
      <c r="G2371">
        <f>'raw data Crude oil'!G2372</f>
        <v>76.27</v>
      </c>
      <c r="H2371">
        <f>'raw data Crude oil'!H2372</f>
        <v>75.11</v>
      </c>
      <c r="I2371">
        <f>'raw data Crude oil'!I2372</f>
        <v>74.17</v>
      </c>
      <c r="J2371">
        <f>'raw data Crude oil'!J2372</f>
        <v>73.31</v>
      </c>
      <c r="K2371">
        <f>'raw data Crude oil'!K2372</f>
        <v>72.56</v>
      </c>
      <c r="L2371">
        <f>'raw data Crude oil'!L2372</f>
        <v>71.960000000000008</v>
      </c>
      <c r="M2371">
        <f>'raw data Crude oil'!M2372</f>
        <v>71.48</v>
      </c>
      <c r="N2371">
        <f>'raw data Crude oil'!N2372</f>
        <v>90.9</v>
      </c>
      <c r="O2371">
        <f>'raw data Crude oil'!O2372</f>
        <v>87.52</v>
      </c>
      <c r="P2371">
        <f>'raw data Crude oil'!P2372</f>
        <v>82.19</v>
      </c>
      <c r="Q2371">
        <f>'raw data Crude oil'!Q2372</f>
        <v>77.94</v>
      </c>
      <c r="R2371">
        <f>'raw data Crude oil'!R2372</f>
        <v>75.02</v>
      </c>
      <c r="S2371">
        <f>'raw data Crude oil'!S2372</f>
        <v>72.98</v>
      </c>
      <c r="T2371">
        <f>'raw data Crude oil'!T2372</f>
        <v>71.41</v>
      </c>
      <c r="U2371">
        <f>'raw data Crude oil'!U2372</f>
        <v>70.23</v>
      </c>
      <c r="V2371">
        <f>'raw data Crude oil'!V2372</f>
        <v>69.239999999999995</v>
      </c>
      <c r="W2371">
        <f>'raw data Crude oil'!W2372</f>
        <v>68.36</v>
      </c>
      <c r="X2371">
        <f>'raw data Crude oil'!X2372</f>
        <v>67.59</v>
      </c>
      <c r="Y2371">
        <f>'raw data Crude oil'!Y2372</f>
        <v>66.98</v>
      </c>
      <c r="Z2371">
        <f>'raw data Crude oil'!Z2372</f>
        <v>99.814000000000007</v>
      </c>
      <c r="AA2371">
        <f>'raw data Crude oil'!AA2372</f>
        <v>86.741</v>
      </c>
      <c r="AB2371">
        <f>'raw data Crude oil'!AB2372</f>
        <v>81.951999999999998</v>
      </c>
      <c r="AC2371">
        <f>'raw data Crude oil'!AC2372</f>
        <v>79.668999999999997</v>
      </c>
      <c r="AD2371">
        <f>'raw data Crude oil'!AD2372</f>
        <v>78.168000000000006</v>
      </c>
      <c r="AE2371">
        <f>'raw data Crude oil'!AE2372</f>
        <v>76.905000000000001</v>
      </c>
      <c r="AF2371">
        <f>'raw data Crude oil'!AF2372</f>
        <v>75.932000000000002</v>
      </c>
      <c r="AG2371">
        <f>'raw data Crude oil'!AG2372</f>
        <v>74.992000000000004</v>
      </c>
      <c r="AH2371">
        <f>'raw data Crude oil'!AH2372</f>
        <v>74.114000000000004</v>
      </c>
      <c r="AI2371">
        <f>'raw data Crude oil'!AI2372</f>
        <v>73.325000000000003</v>
      </c>
      <c r="AJ2371">
        <f>'raw data Crude oil'!AJ2372</f>
        <v>72.736000000000004</v>
      </c>
      <c r="AK2371">
        <f>'raw data Crude oil'!AK2372</f>
        <v>72.242000000000004</v>
      </c>
    </row>
    <row r="2372" spans="1:37" x14ac:dyDescent="0.3">
      <c r="A2372" s="18">
        <f>'raw data Crude oil'!A2373</f>
        <v>46090</v>
      </c>
      <c r="B2372">
        <f>'raw data Crude oil'!B2373</f>
        <v>98.960000000000008</v>
      </c>
      <c r="C2372">
        <f>'raw data Crude oil'!C2373</f>
        <v>93.72</v>
      </c>
      <c r="D2372">
        <f>'raw data Crude oil'!D2373</f>
        <v>88.95</v>
      </c>
      <c r="E2372">
        <f>'raw data Crude oil'!E2373</f>
        <v>85.23</v>
      </c>
      <c r="F2372">
        <f>'raw data Crude oil'!F2373</f>
        <v>82.4</v>
      </c>
      <c r="G2372">
        <f>'raw data Crude oil'!G2373</f>
        <v>80.150000000000006</v>
      </c>
      <c r="H2372">
        <f>'raw data Crude oil'!H2373</f>
        <v>78.41</v>
      </c>
      <c r="I2372">
        <f>'raw data Crude oil'!I2373</f>
        <v>77.06</v>
      </c>
      <c r="J2372">
        <f>'raw data Crude oil'!J2373</f>
        <v>75.88</v>
      </c>
      <c r="K2372">
        <f>'raw data Crude oil'!K2373</f>
        <v>74.900000000000006</v>
      </c>
      <c r="L2372">
        <f>'raw data Crude oil'!L2373</f>
        <v>74.11</v>
      </c>
      <c r="M2372">
        <f>'raw data Crude oil'!M2373</f>
        <v>73.47</v>
      </c>
      <c r="N2372">
        <f>'raw data Crude oil'!N2373</f>
        <v>94.77</v>
      </c>
      <c r="O2372">
        <f>'raw data Crude oil'!O2373</f>
        <v>91.48</v>
      </c>
      <c r="P2372">
        <f>'raw data Crude oil'!P2373</f>
        <v>86.67</v>
      </c>
      <c r="Q2372">
        <f>'raw data Crude oil'!Q2373</f>
        <v>82.25</v>
      </c>
      <c r="R2372">
        <f>'raw data Crude oil'!R2373</f>
        <v>78.78</v>
      </c>
      <c r="S2372">
        <f>'raw data Crude oil'!S2373</f>
        <v>76.14</v>
      </c>
      <c r="T2372">
        <f>'raw data Crude oil'!T2373</f>
        <v>74.02</v>
      </c>
      <c r="U2372">
        <f>'raw data Crude oil'!U2373</f>
        <v>72.44</v>
      </c>
      <c r="V2372">
        <f>'raw data Crude oil'!V2373</f>
        <v>71.17</v>
      </c>
      <c r="W2372">
        <f>'raw data Crude oil'!W2373</f>
        <v>70.08</v>
      </c>
      <c r="X2372">
        <f>'raw data Crude oil'!X2373</f>
        <v>69.19</v>
      </c>
      <c r="Y2372">
        <f>'raw data Crude oil'!Y2373</f>
        <v>68.489999999999995</v>
      </c>
      <c r="Z2372">
        <f>'raw data Crude oil'!Z2373</f>
        <v>109.05</v>
      </c>
      <c r="AA2372">
        <f>'raw data Crude oil'!AA2373</f>
        <v>93.423000000000002</v>
      </c>
      <c r="AB2372">
        <f>'raw data Crude oil'!AB2373</f>
        <v>88.233000000000004</v>
      </c>
      <c r="AC2372">
        <f>'raw data Crude oil'!AC2373</f>
        <v>85.531000000000006</v>
      </c>
      <c r="AD2372">
        <f>'raw data Crude oil'!AD2373</f>
        <v>83.451999999999998</v>
      </c>
      <c r="AE2372">
        <f>'raw data Crude oil'!AE2373</f>
        <v>81.543999999999997</v>
      </c>
      <c r="AF2372">
        <f>'raw data Crude oil'!AF2373</f>
        <v>80.073999999999998</v>
      </c>
      <c r="AG2372">
        <f>'raw data Crude oil'!AG2373</f>
        <v>78.707999999999998</v>
      </c>
      <c r="AH2372">
        <f>'raw data Crude oil'!AH2373</f>
        <v>77.522999999999996</v>
      </c>
      <c r="AI2372">
        <f>'raw data Crude oil'!AI2373</f>
        <v>76.518000000000001</v>
      </c>
      <c r="AJ2372">
        <f>'raw data Crude oil'!AJ2373</f>
        <v>75.768000000000001</v>
      </c>
      <c r="AK2372">
        <f>'raw data Crude oil'!AK2373</f>
        <v>75.125</v>
      </c>
    </row>
    <row r="2373" spans="1:37" x14ac:dyDescent="0.3">
      <c r="A2373" s="18">
        <f>'raw data Crude oil'!A2374</f>
        <v>46091</v>
      </c>
      <c r="B2373">
        <f>'raw data Crude oil'!B2374</f>
        <v>87.8</v>
      </c>
      <c r="C2373">
        <f>'raw data Crude oil'!C2374</f>
        <v>85.27</v>
      </c>
      <c r="D2373">
        <f>'raw data Crude oil'!D2374</f>
        <v>82.600000000000009</v>
      </c>
      <c r="E2373">
        <f>'raw data Crude oil'!E2374</f>
        <v>80.290000000000006</v>
      </c>
      <c r="F2373">
        <f>'raw data Crude oil'!F2374</f>
        <v>78.44</v>
      </c>
      <c r="G2373">
        <f>'raw data Crude oil'!G2374</f>
        <v>76.91</v>
      </c>
      <c r="H2373">
        <f>'raw data Crude oil'!H2374</f>
        <v>75.69</v>
      </c>
      <c r="I2373">
        <f>'raw data Crude oil'!I2374</f>
        <v>74.7</v>
      </c>
      <c r="J2373">
        <f>'raw data Crude oil'!J2374</f>
        <v>73.820000000000007</v>
      </c>
      <c r="K2373">
        <f>'raw data Crude oil'!K2374</f>
        <v>73.09</v>
      </c>
      <c r="L2373">
        <f>'raw data Crude oil'!L2374</f>
        <v>72.52</v>
      </c>
      <c r="M2373">
        <f>'raw data Crude oil'!M2374</f>
        <v>72.05</v>
      </c>
      <c r="N2373">
        <f>'raw data Crude oil'!N2374</f>
        <v>83.45</v>
      </c>
      <c r="O2373">
        <f>'raw data Crude oil'!O2374</f>
        <v>82.100000000000009</v>
      </c>
      <c r="P2373">
        <f>'raw data Crude oil'!P2374</f>
        <v>79.44</v>
      </c>
      <c r="Q2373">
        <f>'raw data Crude oil'!Q2374</f>
        <v>76.930000000000007</v>
      </c>
      <c r="R2373">
        <f>'raw data Crude oil'!R2374</f>
        <v>74.75</v>
      </c>
      <c r="S2373">
        <f>'raw data Crude oil'!S2374</f>
        <v>72.95</v>
      </c>
      <c r="T2373">
        <f>'raw data Crude oil'!T2374</f>
        <v>71.460000000000008</v>
      </c>
      <c r="U2373">
        <f>'raw data Crude oil'!U2374</f>
        <v>70.320000000000007</v>
      </c>
      <c r="V2373">
        <f>'raw data Crude oil'!V2374</f>
        <v>69.37</v>
      </c>
      <c r="W2373">
        <f>'raw data Crude oil'!W2374</f>
        <v>68.55</v>
      </c>
      <c r="X2373">
        <f>'raw data Crude oil'!X2374</f>
        <v>67.88</v>
      </c>
      <c r="Y2373">
        <f>'raw data Crude oil'!Y2374</f>
        <v>67.349999999999994</v>
      </c>
      <c r="Z2373">
        <f>'raw data Crude oil'!Z2374</f>
        <v>105.884</v>
      </c>
      <c r="AA2373">
        <f>'raw data Crude oil'!AA2374</f>
        <v>85.123000000000005</v>
      </c>
      <c r="AB2373">
        <f>'raw data Crude oil'!AB2374</f>
        <v>80.87</v>
      </c>
      <c r="AC2373">
        <f>'raw data Crude oil'!AC2374</f>
        <v>79.486000000000004</v>
      </c>
      <c r="AD2373">
        <f>'raw data Crude oil'!AD2374</f>
        <v>78.242999999999995</v>
      </c>
      <c r="AE2373">
        <f>'raw data Crude oil'!AE2374</f>
        <v>77.02</v>
      </c>
      <c r="AF2373">
        <f>'raw data Crude oil'!AF2374</f>
        <v>75.951999999999998</v>
      </c>
      <c r="AG2373">
        <f>'raw data Crude oil'!AG2374</f>
        <v>74.975000000000009</v>
      </c>
      <c r="AH2373">
        <f>'raw data Crude oil'!AH2374</f>
        <v>74.105000000000004</v>
      </c>
      <c r="AI2373">
        <f>'raw data Crude oil'!AI2374</f>
        <v>73.388000000000005</v>
      </c>
      <c r="AJ2373">
        <f>'raw data Crude oil'!AJ2374</f>
        <v>72.872</v>
      </c>
      <c r="AK2373">
        <f>'raw data Crude oil'!AK2374</f>
        <v>72.436999999999998</v>
      </c>
    </row>
    <row r="2374" spans="1:37" x14ac:dyDescent="0.3">
      <c r="A2374" s="18">
        <f>'raw data Crude oil'!A2375</f>
        <v>46092</v>
      </c>
      <c r="B2374">
        <f>'raw data Crude oil'!B2375</f>
        <v>91.98</v>
      </c>
      <c r="C2374">
        <f>'raw data Crude oil'!C2375</f>
        <v>89.350000000000009</v>
      </c>
      <c r="D2374">
        <f>'raw data Crude oil'!D2375</f>
        <v>86.710000000000008</v>
      </c>
      <c r="E2374">
        <f>'raw data Crude oil'!E2375</f>
        <v>84.320000000000007</v>
      </c>
      <c r="F2374">
        <f>'raw data Crude oil'!F2375</f>
        <v>82.28</v>
      </c>
      <c r="G2374">
        <f>'raw data Crude oil'!G2375</f>
        <v>80.510000000000005</v>
      </c>
      <c r="H2374">
        <f>'raw data Crude oil'!H2375</f>
        <v>79.03</v>
      </c>
      <c r="I2374">
        <f>'raw data Crude oil'!I2375</f>
        <v>77.77</v>
      </c>
      <c r="J2374">
        <f>'raw data Crude oil'!J2375</f>
        <v>76.63</v>
      </c>
      <c r="K2374">
        <f>'raw data Crude oil'!K2375</f>
        <v>75.64</v>
      </c>
      <c r="L2374">
        <f>'raw data Crude oil'!L2375</f>
        <v>74.83</v>
      </c>
      <c r="M2374">
        <f>'raw data Crude oil'!M2375</f>
        <v>74.17</v>
      </c>
      <c r="N2374">
        <f>'raw data Crude oil'!N2375</f>
        <v>87.25</v>
      </c>
      <c r="O2374">
        <f>'raw data Crude oil'!O2375</f>
        <v>86.070000000000007</v>
      </c>
      <c r="P2374">
        <f>'raw data Crude oil'!P2375</f>
        <v>83.48</v>
      </c>
      <c r="Q2374">
        <f>'raw data Crude oil'!Q2375</f>
        <v>81.040000000000006</v>
      </c>
      <c r="R2374">
        <f>'raw data Crude oil'!R2375</f>
        <v>78.820000000000007</v>
      </c>
      <c r="S2374">
        <f>'raw data Crude oil'!S2375</f>
        <v>76.820000000000007</v>
      </c>
      <c r="T2374">
        <f>'raw data Crude oil'!T2375</f>
        <v>75.040000000000006</v>
      </c>
      <c r="U2374">
        <f>'raw data Crude oil'!U2375</f>
        <v>73.58</v>
      </c>
      <c r="V2374">
        <f>'raw data Crude oil'!V2375</f>
        <v>72.31</v>
      </c>
      <c r="W2374">
        <f>'raw data Crude oil'!W2375</f>
        <v>71.2</v>
      </c>
      <c r="X2374">
        <f>'raw data Crude oil'!X2375</f>
        <v>70.25</v>
      </c>
      <c r="Y2374">
        <f>'raw data Crude oil'!Y2375</f>
        <v>69.489999999999995</v>
      </c>
      <c r="Z2374">
        <f>'raw data Crude oil'!Z2375</f>
        <v>114.578</v>
      </c>
      <c r="AA2374">
        <f>'raw data Crude oil'!AA2375</f>
        <v>89.873999999999995</v>
      </c>
      <c r="AB2374">
        <f>'raw data Crude oil'!AB2375</f>
        <v>85.424000000000007</v>
      </c>
      <c r="AC2374">
        <f>'raw data Crude oil'!AC2375</f>
        <v>83.164000000000001</v>
      </c>
      <c r="AD2374">
        <f>'raw data Crude oil'!AD2375</f>
        <v>81.739000000000004</v>
      </c>
      <c r="AE2374">
        <f>'raw data Crude oil'!AE2375</f>
        <v>80.388000000000005</v>
      </c>
      <c r="AF2374">
        <f>'raw data Crude oil'!AF2375</f>
        <v>79.174999999999997</v>
      </c>
      <c r="AG2374">
        <f>'raw data Crude oil'!AG2375</f>
        <v>78.016999999999996</v>
      </c>
      <c r="AH2374">
        <f>'raw data Crude oil'!AH2375</f>
        <v>76.947000000000003</v>
      </c>
      <c r="AI2374">
        <f>'raw data Crude oil'!AI2375</f>
        <v>75.94</v>
      </c>
      <c r="AJ2374">
        <f>'raw data Crude oil'!AJ2375</f>
        <v>75.182000000000002</v>
      </c>
      <c r="AK2374">
        <f>'raw data Crude oil'!AK2375</f>
        <v>74.564000000000007</v>
      </c>
    </row>
    <row r="2375" spans="1:37" x14ac:dyDescent="0.3">
      <c r="A2375" s="18">
        <f>'raw data Crude oil'!A2376</f>
        <v>46093</v>
      </c>
      <c r="B2375">
        <f>'raw data Crude oil'!B2376</f>
        <v>100.46000000000001</v>
      </c>
      <c r="C2375">
        <f>'raw data Crude oil'!C2376</f>
        <v>96.63</v>
      </c>
      <c r="D2375">
        <f>'raw data Crude oil'!D2376</f>
        <v>92.88</v>
      </c>
      <c r="E2375">
        <f>'raw data Crude oil'!E2376</f>
        <v>89.55</v>
      </c>
      <c r="F2375">
        <f>'raw data Crude oil'!F2376</f>
        <v>86.8</v>
      </c>
      <c r="G2375">
        <f>'raw data Crude oil'!G2376</f>
        <v>84.42</v>
      </c>
      <c r="H2375">
        <f>'raw data Crude oil'!H2376</f>
        <v>82.41</v>
      </c>
      <c r="I2375">
        <f>'raw data Crude oil'!I2376</f>
        <v>80.72</v>
      </c>
      <c r="J2375">
        <f>'raw data Crude oil'!J2376</f>
        <v>79.239999999999995</v>
      </c>
      <c r="K2375">
        <f>'raw data Crude oil'!K2376</f>
        <v>77.98</v>
      </c>
      <c r="L2375">
        <f>'raw data Crude oil'!L2376</f>
        <v>76.97</v>
      </c>
      <c r="M2375">
        <f>'raw data Crude oil'!M2376</f>
        <v>76.150000000000006</v>
      </c>
      <c r="N2375">
        <f>'raw data Crude oil'!N2376</f>
        <v>95.73</v>
      </c>
      <c r="O2375">
        <f>'raw data Crude oil'!O2376</f>
        <v>94.43</v>
      </c>
      <c r="P2375">
        <f>'raw data Crude oil'!P2376</f>
        <v>90.48</v>
      </c>
      <c r="Q2375">
        <f>'raw data Crude oil'!Q2376</f>
        <v>86.97</v>
      </c>
      <c r="R2375">
        <f>'raw data Crude oil'!R2376</f>
        <v>83.93</v>
      </c>
      <c r="S2375">
        <f>'raw data Crude oil'!S2376</f>
        <v>81.28</v>
      </c>
      <c r="T2375">
        <f>'raw data Crude oil'!T2376</f>
        <v>78.89</v>
      </c>
      <c r="U2375">
        <f>'raw data Crude oil'!U2376</f>
        <v>76.88</v>
      </c>
      <c r="V2375">
        <f>'raw data Crude oil'!V2376</f>
        <v>75.17</v>
      </c>
      <c r="W2375">
        <f>'raw data Crude oil'!W2376</f>
        <v>73.710000000000008</v>
      </c>
      <c r="X2375">
        <f>'raw data Crude oil'!X2376</f>
        <v>72.5</v>
      </c>
      <c r="Y2375">
        <f>'raw data Crude oil'!Y2376</f>
        <v>71.53</v>
      </c>
      <c r="Z2375">
        <f>'raw data Crude oil'!Z2376</f>
        <v>124.768</v>
      </c>
      <c r="AA2375">
        <f>'raw data Crude oil'!AA2376</f>
        <v>101.211</v>
      </c>
      <c r="AB2375">
        <f>'raw data Crude oil'!AB2376</f>
        <v>93.260999999999996</v>
      </c>
      <c r="AC2375">
        <f>'raw data Crude oil'!AC2376</f>
        <v>89.754000000000005</v>
      </c>
      <c r="AD2375">
        <f>'raw data Crude oil'!AD2376</f>
        <v>87.234999999999999</v>
      </c>
      <c r="AE2375">
        <f>'raw data Crude oil'!AE2376</f>
        <v>84.992000000000004</v>
      </c>
      <c r="AF2375">
        <f>'raw data Crude oil'!AF2376</f>
        <v>83.162000000000006</v>
      </c>
      <c r="AG2375">
        <f>'raw data Crude oil'!AG2376</f>
        <v>81.483000000000004</v>
      </c>
      <c r="AH2375">
        <f>'raw data Crude oil'!AH2376</f>
        <v>80.007999999999996</v>
      </c>
      <c r="AI2375">
        <f>'raw data Crude oil'!AI2376</f>
        <v>78.677999999999997</v>
      </c>
      <c r="AJ2375">
        <f>'raw data Crude oil'!AJ2376</f>
        <v>77.679000000000002</v>
      </c>
      <c r="AK2375">
        <f>'raw data Crude oil'!AK2376</f>
        <v>76.838999999999999</v>
      </c>
    </row>
    <row r="2376" spans="1:37" x14ac:dyDescent="0.3">
      <c r="A2376" s="18">
        <f>'raw data Crude oil'!A2377</f>
        <v>46094</v>
      </c>
      <c r="B2376">
        <f>'raw data Crude oil'!B2377</f>
        <v>103.14</v>
      </c>
      <c r="C2376">
        <f>'raw data Crude oil'!C2377</f>
        <v>98.91</v>
      </c>
      <c r="D2376">
        <f>'raw data Crude oil'!D2377</f>
        <v>94.67</v>
      </c>
      <c r="E2376">
        <f>'raw data Crude oil'!E2377</f>
        <v>91.03</v>
      </c>
      <c r="F2376">
        <f>'raw data Crude oil'!F2377</f>
        <v>88.11</v>
      </c>
      <c r="G2376">
        <f>'raw data Crude oil'!G2377</f>
        <v>85.66</v>
      </c>
      <c r="H2376">
        <f>'raw data Crude oil'!H2377</f>
        <v>83.64</v>
      </c>
      <c r="I2376">
        <f>'raw data Crude oil'!I2377</f>
        <v>81.97</v>
      </c>
      <c r="J2376">
        <f>'raw data Crude oil'!J2377</f>
        <v>80.48</v>
      </c>
      <c r="K2376">
        <f>'raw data Crude oil'!K2377</f>
        <v>79.210000000000008</v>
      </c>
      <c r="L2376">
        <f>'raw data Crude oil'!L2377</f>
        <v>78.150000000000006</v>
      </c>
      <c r="M2376">
        <f>'raw data Crude oil'!M2377</f>
        <v>77.27</v>
      </c>
      <c r="N2376">
        <f>'raw data Crude oil'!N2377</f>
        <v>98.710000000000008</v>
      </c>
      <c r="O2376">
        <f>'raw data Crude oil'!O2377</f>
        <v>96.84</v>
      </c>
      <c r="P2376">
        <f>'raw data Crude oil'!P2377</f>
        <v>92.48</v>
      </c>
      <c r="Q2376">
        <f>'raw data Crude oil'!Q2377</f>
        <v>88.55</v>
      </c>
      <c r="R2376">
        <f>'raw data Crude oil'!R2377</f>
        <v>85.25</v>
      </c>
      <c r="S2376">
        <f>'raw data Crude oil'!S2377</f>
        <v>82.52</v>
      </c>
      <c r="T2376">
        <f>'raw data Crude oil'!T2377</f>
        <v>80.08</v>
      </c>
      <c r="U2376">
        <f>'raw data Crude oil'!U2377</f>
        <v>78.03</v>
      </c>
      <c r="V2376">
        <f>'raw data Crude oil'!V2377</f>
        <v>76.320000000000007</v>
      </c>
      <c r="W2376">
        <f>'raw data Crude oil'!W2377</f>
        <v>74.84</v>
      </c>
      <c r="X2376">
        <f>'raw data Crude oil'!X2377</f>
        <v>73.61</v>
      </c>
      <c r="Y2376">
        <f>'raw data Crude oil'!Y2377</f>
        <v>72.62</v>
      </c>
      <c r="Z2376">
        <f>'raw data Crude oil'!Z2377</f>
        <v>127.598</v>
      </c>
      <c r="AA2376">
        <f>'raw data Crude oil'!AA2377</f>
        <v>104.298</v>
      </c>
      <c r="AB2376">
        <f>'raw data Crude oil'!AB2377</f>
        <v>95.466999999999999</v>
      </c>
      <c r="AC2376">
        <f>'raw data Crude oil'!AC2377</f>
        <v>91.644000000000005</v>
      </c>
      <c r="AD2376">
        <f>'raw data Crude oil'!AD2377</f>
        <v>89.111999999999995</v>
      </c>
      <c r="AE2376">
        <f>'raw data Crude oil'!AE2377</f>
        <v>86.894999999999996</v>
      </c>
      <c r="AF2376">
        <f>'raw data Crude oil'!AF2377</f>
        <v>85.084000000000003</v>
      </c>
      <c r="AG2376">
        <f>'raw data Crude oil'!AG2377</f>
        <v>83.483999999999995</v>
      </c>
      <c r="AH2376">
        <f>'raw data Crude oil'!AH2377</f>
        <v>81.994</v>
      </c>
      <c r="AI2376">
        <f>'raw data Crude oil'!AI2377</f>
        <v>80.683999999999997</v>
      </c>
      <c r="AJ2376">
        <f>'raw data Crude oil'!AJ2377</f>
        <v>79.626000000000005</v>
      </c>
      <c r="AK2376">
        <f>'raw data Crude oil'!AK2377</f>
        <v>78.730999999999995</v>
      </c>
    </row>
    <row r="2377" spans="1:37" x14ac:dyDescent="0.3">
      <c r="A2377" s="18">
        <f>'raw data Crude oil'!A2378</f>
        <v>46097</v>
      </c>
      <c r="B2377">
        <f>'raw data Crude oil'!B2378</f>
        <v>100.21000000000001</v>
      </c>
      <c r="C2377">
        <f>'raw data Crude oil'!C2378</f>
        <v>96.04</v>
      </c>
      <c r="D2377">
        <f>'raw data Crude oil'!D2378</f>
        <v>91.76</v>
      </c>
      <c r="E2377">
        <f>'raw data Crude oil'!E2378</f>
        <v>88.22</v>
      </c>
      <c r="F2377">
        <f>'raw data Crude oil'!F2378</f>
        <v>85.52</v>
      </c>
      <c r="G2377">
        <f>'raw data Crude oil'!G2378</f>
        <v>83.4</v>
      </c>
      <c r="H2377">
        <f>'raw data Crude oil'!H2378</f>
        <v>81.75</v>
      </c>
      <c r="I2377">
        <f>'raw data Crude oil'!I2378</f>
        <v>80.42</v>
      </c>
      <c r="J2377">
        <f>'raw data Crude oil'!J2378</f>
        <v>79.23</v>
      </c>
      <c r="K2377">
        <f>'raw data Crude oil'!K2378</f>
        <v>78.19</v>
      </c>
      <c r="L2377">
        <f>'raw data Crude oil'!L2378</f>
        <v>77.320000000000007</v>
      </c>
      <c r="M2377">
        <f>'raw data Crude oil'!M2378</f>
        <v>76.59</v>
      </c>
      <c r="N2377">
        <f>'raw data Crude oil'!N2378</f>
        <v>93.5</v>
      </c>
      <c r="O2377">
        <f>'raw data Crude oil'!O2378</f>
        <v>92.460000000000008</v>
      </c>
      <c r="P2377">
        <f>'raw data Crude oil'!P2378</f>
        <v>88.54</v>
      </c>
      <c r="Q2377">
        <f>'raw data Crude oil'!Q2378</f>
        <v>84.99</v>
      </c>
      <c r="R2377">
        <f>'raw data Crude oil'!R2378</f>
        <v>82.04</v>
      </c>
      <c r="S2377">
        <f>'raw data Crude oil'!S2378</f>
        <v>79.67</v>
      </c>
      <c r="T2377">
        <f>'raw data Crude oil'!T2378</f>
        <v>77.67</v>
      </c>
      <c r="U2377">
        <f>'raw data Crude oil'!U2378</f>
        <v>76.08</v>
      </c>
      <c r="V2377">
        <f>'raw data Crude oil'!V2378</f>
        <v>74.77</v>
      </c>
      <c r="W2377">
        <f>'raw data Crude oil'!W2378</f>
        <v>73.63</v>
      </c>
      <c r="X2377">
        <f>'raw data Crude oil'!X2378</f>
        <v>72.67</v>
      </c>
      <c r="Y2377">
        <f>'raw data Crude oil'!Y2378</f>
        <v>71.91</v>
      </c>
      <c r="Z2377">
        <f>'raw data Crude oil'!Z2378</f>
        <v>131.95699999999999</v>
      </c>
      <c r="AA2377">
        <f>'raw data Crude oil'!AA2378</f>
        <v>102.386</v>
      </c>
      <c r="AB2377">
        <f>'raw data Crude oil'!AB2378</f>
        <v>92.411000000000001</v>
      </c>
      <c r="AC2377">
        <f>'raw data Crude oil'!AC2378</f>
        <v>88.528000000000006</v>
      </c>
      <c r="AD2377">
        <f>'raw data Crude oil'!AD2378</f>
        <v>86.376999999999995</v>
      </c>
      <c r="AE2377">
        <f>'raw data Crude oil'!AE2378</f>
        <v>84.546999999999997</v>
      </c>
      <c r="AF2377">
        <f>'raw data Crude oil'!AF2378</f>
        <v>83.087000000000003</v>
      </c>
      <c r="AG2377">
        <f>'raw data Crude oil'!AG2378</f>
        <v>81.837000000000003</v>
      </c>
      <c r="AH2377">
        <f>'raw data Crude oil'!AH2378</f>
        <v>80.677000000000007</v>
      </c>
      <c r="AI2377">
        <f>'raw data Crude oil'!AI2378</f>
        <v>79.466000000000008</v>
      </c>
      <c r="AJ2377">
        <f>'raw data Crude oil'!AJ2378</f>
        <v>78.623999999999995</v>
      </c>
      <c r="AK2377">
        <f>'raw data Crude oil'!AK2378</f>
        <v>77.881</v>
      </c>
    </row>
    <row r="2378" spans="1:37" x14ac:dyDescent="0.3">
      <c r="A2378" s="18">
        <f>'raw data Crude oil'!A2379</f>
        <v>46098</v>
      </c>
      <c r="B2378">
        <f>'raw data Crude oil'!B2379</f>
        <v>103.42</v>
      </c>
      <c r="C2378">
        <f>'raw data Crude oil'!C2379</f>
        <v>99.39</v>
      </c>
      <c r="D2378">
        <f>'raw data Crude oil'!D2379</f>
        <v>95.02</v>
      </c>
      <c r="E2378">
        <f>'raw data Crude oil'!E2379</f>
        <v>91.210000000000008</v>
      </c>
      <c r="F2378">
        <f>'raw data Crude oil'!F2379</f>
        <v>88.210000000000008</v>
      </c>
      <c r="G2378">
        <f>'raw data Crude oil'!G2379</f>
        <v>85.79</v>
      </c>
      <c r="H2378">
        <f>'raw data Crude oil'!H2379</f>
        <v>83.95</v>
      </c>
      <c r="I2378">
        <f>'raw data Crude oil'!I2379</f>
        <v>82.47</v>
      </c>
      <c r="J2378">
        <f>'raw data Crude oil'!J2379</f>
        <v>81.14</v>
      </c>
      <c r="K2378">
        <f>'raw data Crude oil'!K2379</f>
        <v>79.960000000000008</v>
      </c>
      <c r="L2378">
        <f>'raw data Crude oil'!L2379</f>
        <v>78.95</v>
      </c>
      <c r="M2378">
        <f>'raw data Crude oil'!M2379</f>
        <v>78.11</v>
      </c>
      <c r="N2378">
        <f>'raw data Crude oil'!N2379</f>
        <v>96.210000000000008</v>
      </c>
      <c r="O2378">
        <f>'raw data Crude oil'!O2379</f>
        <v>95.53</v>
      </c>
      <c r="P2378">
        <f>'raw data Crude oil'!P2379</f>
        <v>91.64</v>
      </c>
      <c r="Q2378">
        <f>'raw data Crude oil'!Q2379</f>
        <v>87.8</v>
      </c>
      <c r="R2378">
        <f>'raw data Crude oil'!R2379</f>
        <v>84.42</v>
      </c>
      <c r="S2378">
        <f>'raw data Crude oil'!S2379</f>
        <v>81.69</v>
      </c>
      <c r="T2378">
        <f>'raw data Crude oil'!T2379</f>
        <v>79.47</v>
      </c>
      <c r="U2378">
        <f>'raw data Crude oil'!U2379</f>
        <v>77.760000000000005</v>
      </c>
      <c r="V2378">
        <f>'raw data Crude oil'!V2379</f>
        <v>76.36</v>
      </c>
      <c r="W2378">
        <f>'raw data Crude oil'!W2379</f>
        <v>75.12</v>
      </c>
      <c r="X2378">
        <f>'raw data Crude oil'!X2379</f>
        <v>74.06</v>
      </c>
      <c r="Y2378">
        <f>'raw data Crude oil'!Y2379</f>
        <v>73.17</v>
      </c>
      <c r="Z2378">
        <f>'raw data Crude oil'!Z2379</f>
        <v>132.66300000000001</v>
      </c>
      <c r="AA2378">
        <f>'raw data Crude oil'!AA2379</f>
        <v>102.312</v>
      </c>
      <c r="AB2378">
        <f>'raw data Crude oil'!AB2379</f>
        <v>93.099000000000004</v>
      </c>
      <c r="AC2378">
        <f>'raw data Crude oil'!AC2379</f>
        <v>89.941000000000003</v>
      </c>
      <c r="AD2378">
        <f>'raw data Crude oil'!AD2379</f>
        <v>87.795000000000002</v>
      </c>
      <c r="AE2378">
        <f>'raw data Crude oil'!AE2379</f>
        <v>85.945000000000007</v>
      </c>
      <c r="AF2378">
        <f>'raw data Crude oil'!AF2379</f>
        <v>84.465000000000003</v>
      </c>
      <c r="AG2378">
        <f>'raw data Crude oil'!AG2379</f>
        <v>83.135000000000005</v>
      </c>
      <c r="AH2378">
        <f>'raw data Crude oil'!AH2379</f>
        <v>81.905000000000001</v>
      </c>
      <c r="AI2378">
        <f>'raw data Crude oil'!AI2379</f>
        <v>80.689000000000007</v>
      </c>
      <c r="AJ2378">
        <f>'raw data Crude oil'!AJ2379</f>
        <v>79.728999999999999</v>
      </c>
      <c r="AK2378">
        <f>'raw data Crude oil'!AK2379</f>
        <v>78.897000000000006</v>
      </c>
    </row>
    <row r="2379" spans="1:37" x14ac:dyDescent="0.3">
      <c r="A2379" s="18">
        <f>'raw data Crude oil'!A2380</f>
        <v>46099</v>
      </c>
      <c r="B2379">
        <f>'raw data Crude oil'!B2380</f>
        <v>107.38</v>
      </c>
      <c r="C2379">
        <f>'raw data Crude oil'!C2380</f>
        <v>102.92</v>
      </c>
      <c r="D2379">
        <f>'raw data Crude oil'!D2380</f>
        <v>98.16</v>
      </c>
      <c r="E2379">
        <f>'raw data Crude oil'!E2380</f>
        <v>94.01</v>
      </c>
      <c r="F2379">
        <f>'raw data Crude oil'!F2380</f>
        <v>90.76</v>
      </c>
      <c r="G2379">
        <f>'raw data Crude oil'!G2380</f>
        <v>88.19</v>
      </c>
      <c r="H2379">
        <f>'raw data Crude oil'!H2380</f>
        <v>86.26</v>
      </c>
      <c r="I2379">
        <f>'raw data Crude oil'!I2380</f>
        <v>84.74</v>
      </c>
      <c r="J2379">
        <f>'raw data Crude oil'!J2380</f>
        <v>83.39</v>
      </c>
      <c r="K2379">
        <f>'raw data Crude oil'!K2380</f>
        <v>82.210000000000008</v>
      </c>
      <c r="L2379">
        <f>'raw data Crude oil'!L2380</f>
        <v>81.23</v>
      </c>
      <c r="M2379">
        <f>'raw data Crude oil'!M2380</f>
        <v>80.39</v>
      </c>
      <c r="N2379">
        <f>'raw data Crude oil'!N2380</f>
        <v>96.320000000000007</v>
      </c>
      <c r="O2379">
        <f>'raw data Crude oil'!O2380</f>
        <v>95.460000000000008</v>
      </c>
      <c r="P2379">
        <f>'raw data Crude oil'!P2380</f>
        <v>92.43</v>
      </c>
      <c r="Q2379">
        <f>'raw data Crude oil'!Q2380</f>
        <v>89.08</v>
      </c>
      <c r="R2379">
        <f>'raw data Crude oil'!R2380</f>
        <v>85.93</v>
      </c>
      <c r="S2379">
        <f>'raw data Crude oil'!S2380</f>
        <v>83.25</v>
      </c>
      <c r="T2379">
        <f>'raw data Crude oil'!T2380</f>
        <v>80.97</v>
      </c>
      <c r="U2379">
        <f>'raw data Crude oil'!U2380</f>
        <v>79.239999999999995</v>
      </c>
      <c r="V2379">
        <f>'raw data Crude oil'!V2380</f>
        <v>77.86</v>
      </c>
      <c r="W2379">
        <f>'raw data Crude oil'!W2380</f>
        <v>76.69</v>
      </c>
      <c r="X2379">
        <f>'raw data Crude oil'!X2380</f>
        <v>75.69</v>
      </c>
      <c r="Y2379">
        <f>'raw data Crude oil'!Y2380</f>
        <v>74.88</v>
      </c>
      <c r="Z2379">
        <f>'raw data Crude oil'!Z2380</f>
        <v>136.41200000000001</v>
      </c>
      <c r="AA2379">
        <f>'raw data Crude oil'!AA2380</f>
        <v>107.11800000000001</v>
      </c>
      <c r="AB2379">
        <f>'raw data Crude oil'!AB2380</f>
        <v>96.783000000000001</v>
      </c>
      <c r="AC2379">
        <f>'raw data Crude oil'!AC2380</f>
        <v>93.266000000000005</v>
      </c>
      <c r="AD2379">
        <f>'raw data Crude oil'!AD2380</f>
        <v>90.591999999999999</v>
      </c>
      <c r="AE2379">
        <f>'raw data Crude oil'!AE2380</f>
        <v>88.376000000000005</v>
      </c>
      <c r="AF2379">
        <f>'raw data Crude oil'!AF2380</f>
        <v>86.731000000000009</v>
      </c>
      <c r="AG2379">
        <f>'raw data Crude oil'!AG2380</f>
        <v>85.319000000000003</v>
      </c>
      <c r="AH2379">
        <f>'raw data Crude oil'!AH2380</f>
        <v>84.013999999999996</v>
      </c>
      <c r="AI2379">
        <f>'raw data Crude oil'!AI2380</f>
        <v>82.820999999999998</v>
      </c>
      <c r="AJ2379">
        <f>'raw data Crude oil'!AJ2380</f>
        <v>81.888000000000005</v>
      </c>
      <c r="AK2379">
        <f>'raw data Crude oil'!AK2380</f>
        <v>81.055000000000007</v>
      </c>
    </row>
    <row r="2380" spans="1:37" x14ac:dyDescent="0.3">
      <c r="A2380" s="18">
        <f>'raw data Crude oil'!A2381</f>
        <v>46100</v>
      </c>
      <c r="B2380">
        <f>'raw data Crude oil'!B2381</f>
        <v>108.65</v>
      </c>
      <c r="C2380">
        <f>'raw data Crude oil'!C2381</f>
        <v>103.78</v>
      </c>
      <c r="D2380">
        <f>'raw data Crude oil'!D2381</f>
        <v>98.460000000000008</v>
      </c>
      <c r="E2380">
        <f>'raw data Crude oil'!E2381</f>
        <v>94.05</v>
      </c>
      <c r="F2380">
        <f>'raw data Crude oil'!F2381</f>
        <v>90.89</v>
      </c>
      <c r="G2380">
        <f>'raw data Crude oil'!G2381</f>
        <v>88.39</v>
      </c>
      <c r="H2380">
        <f>'raw data Crude oil'!H2381</f>
        <v>86.570000000000007</v>
      </c>
      <c r="I2380">
        <f>'raw data Crude oil'!I2381</f>
        <v>85.18</v>
      </c>
      <c r="J2380">
        <f>'raw data Crude oil'!J2381</f>
        <v>83.960000000000008</v>
      </c>
      <c r="K2380">
        <f>'raw data Crude oil'!K2381</f>
        <v>82.92</v>
      </c>
      <c r="L2380">
        <f>'raw data Crude oil'!L2381</f>
        <v>82.070000000000007</v>
      </c>
      <c r="M2380">
        <f>'raw data Crude oil'!M2381</f>
        <v>81.320000000000007</v>
      </c>
      <c r="N2380">
        <f>'raw data Crude oil'!N2381</f>
        <v>96.14</v>
      </c>
      <c r="O2380">
        <f>'raw data Crude oil'!O2381</f>
        <v>95.55</v>
      </c>
      <c r="P2380">
        <f>'raw data Crude oil'!P2381</f>
        <v>92.960000000000008</v>
      </c>
      <c r="Q2380">
        <f>'raw data Crude oil'!Q2381</f>
        <v>89.97</v>
      </c>
      <c r="R2380">
        <f>'raw data Crude oil'!R2381</f>
        <v>86.64</v>
      </c>
      <c r="S2380">
        <f>'raw data Crude oil'!S2381</f>
        <v>83.76</v>
      </c>
      <c r="T2380">
        <f>'raw data Crude oil'!T2381</f>
        <v>81.37</v>
      </c>
      <c r="U2380">
        <f>'raw data Crude oil'!U2381</f>
        <v>79.680000000000007</v>
      </c>
      <c r="V2380">
        <f>'raw data Crude oil'!V2381</f>
        <v>78.41</v>
      </c>
      <c r="W2380">
        <f>'raw data Crude oil'!W2381</f>
        <v>77.350000000000009</v>
      </c>
      <c r="X2380">
        <f>'raw data Crude oil'!X2381</f>
        <v>76.5</v>
      </c>
      <c r="Y2380">
        <f>'raw data Crude oil'!Y2381</f>
        <v>75.83</v>
      </c>
      <c r="Z2380">
        <f>'raw data Crude oil'!Z2381</f>
        <v>136.321</v>
      </c>
      <c r="AA2380">
        <f>'raw data Crude oil'!AA2381</f>
        <v>108.157</v>
      </c>
      <c r="AB2380">
        <f>'raw data Crude oil'!AB2381</f>
        <v>97.54</v>
      </c>
      <c r="AC2380">
        <f>'raw data Crude oil'!AC2381</f>
        <v>93.820999999999998</v>
      </c>
      <c r="AD2380">
        <f>'raw data Crude oil'!AD2381</f>
        <v>91.231000000000009</v>
      </c>
      <c r="AE2380">
        <f>'raw data Crude oil'!AE2381</f>
        <v>89.117000000000004</v>
      </c>
      <c r="AF2380">
        <f>'raw data Crude oil'!AF2381</f>
        <v>87.606999999999999</v>
      </c>
      <c r="AG2380">
        <f>'raw data Crude oil'!AG2381</f>
        <v>86.284999999999997</v>
      </c>
      <c r="AH2380">
        <f>'raw data Crude oil'!AH2381</f>
        <v>85.09</v>
      </c>
      <c r="AI2380">
        <f>'raw data Crude oil'!AI2381</f>
        <v>84.022999999999996</v>
      </c>
      <c r="AJ2380">
        <f>'raw data Crude oil'!AJ2381</f>
        <v>83.213000000000008</v>
      </c>
      <c r="AK2380">
        <f>'raw data Crude oil'!AK2381</f>
        <v>82.469000000000008</v>
      </c>
    </row>
    <row r="2381" spans="1:37" x14ac:dyDescent="0.3">
      <c r="A2381" s="18">
        <f>'raw data Crude oil'!A2382</f>
        <v>46101</v>
      </c>
      <c r="B2381">
        <f>'raw data Crude oil'!B2382</f>
        <v>108.62</v>
      </c>
      <c r="C2381">
        <f>'raw data Crude oil'!C2382</f>
        <v>104.42</v>
      </c>
      <c r="D2381">
        <f>'raw data Crude oil'!D2382</f>
        <v>98.97</v>
      </c>
      <c r="E2381">
        <f>'raw data Crude oil'!E2382</f>
        <v>94.36</v>
      </c>
      <c r="F2381">
        <f>'raw data Crude oil'!F2382</f>
        <v>91.100000000000009</v>
      </c>
      <c r="G2381">
        <f>'raw data Crude oil'!G2382</f>
        <v>88.570000000000007</v>
      </c>
      <c r="H2381">
        <f>'raw data Crude oil'!H2382</f>
        <v>86.78</v>
      </c>
      <c r="I2381">
        <f>'raw data Crude oil'!I2382</f>
        <v>85.39</v>
      </c>
      <c r="J2381">
        <f>'raw data Crude oil'!J2382</f>
        <v>84.24</v>
      </c>
      <c r="K2381">
        <f>'raw data Crude oil'!K2382</f>
        <v>83.23</v>
      </c>
      <c r="L2381">
        <f>'raw data Crude oil'!L2382</f>
        <v>82.31</v>
      </c>
      <c r="M2381">
        <f>'raw data Crude oil'!M2382</f>
        <v>81.69</v>
      </c>
      <c r="N2381">
        <f>'raw data Crude oil'!N2382</f>
        <v>96</v>
      </c>
      <c r="O2381">
        <f>'raw data Crude oil'!O2382</f>
        <v>95.09</v>
      </c>
      <c r="P2381">
        <f>'raw data Crude oil'!P2382</f>
        <v>92.570000000000007</v>
      </c>
      <c r="Q2381">
        <f>'raw data Crude oil'!Q2382</f>
        <v>89.42</v>
      </c>
      <c r="R2381">
        <f>'raw data Crude oil'!R2382</f>
        <v>86.06</v>
      </c>
      <c r="S2381">
        <f>'raw data Crude oil'!S2382</f>
        <v>83.3</v>
      </c>
      <c r="T2381">
        <f>'raw data Crude oil'!T2382</f>
        <v>81.09</v>
      </c>
      <c r="U2381">
        <f>'raw data Crude oil'!U2382</f>
        <v>79.53</v>
      </c>
      <c r="V2381">
        <f>'raw data Crude oil'!V2382</f>
        <v>78.3</v>
      </c>
      <c r="W2381">
        <f>'raw data Crude oil'!W2382</f>
        <v>77.36</v>
      </c>
      <c r="X2381">
        <f>'raw data Crude oil'!X2382</f>
        <v>76.59</v>
      </c>
      <c r="Y2381">
        <f>'raw data Crude oil'!Y2382</f>
        <v>75.98</v>
      </c>
      <c r="Z2381" t="str">
        <f>'raw data Crude oil'!Z2382</f>
        <v/>
      </c>
      <c r="AA2381">
        <f>'raw data Crude oil'!AA2382</f>
        <v>109.45</v>
      </c>
      <c r="AB2381">
        <f>'raw data Crude oil'!AB2382</f>
        <v>98.86</v>
      </c>
      <c r="AC2381">
        <f>'raw data Crude oil'!AC2382</f>
        <v>94.49</v>
      </c>
      <c r="AD2381">
        <f>'raw data Crude oil'!AD2382</f>
        <v>91.67</v>
      </c>
      <c r="AE2381" t="str">
        <f>'raw data Crude oil'!AE2382</f>
        <v/>
      </c>
      <c r="AF2381" t="str">
        <f>'raw data Crude oil'!AF2382</f>
        <v/>
      </c>
      <c r="AG2381" t="str">
        <f>'raw data Crude oil'!AG2382</f>
        <v/>
      </c>
      <c r="AH2381" t="str">
        <f>'raw data Crude oil'!AH2382</f>
        <v/>
      </c>
      <c r="AI2381" t="str">
        <f>'raw data Crude oil'!AI2382</f>
        <v/>
      </c>
      <c r="AJ2381" t="str">
        <f>'raw data Crude oil'!AJ2382</f>
        <v/>
      </c>
      <c r="AK2381" t="str">
        <f>'raw data Crude oil'!AK2382</f>
        <v/>
      </c>
    </row>
    <row r="2382" spans="1:37" x14ac:dyDescent="0.3">
      <c r="A2382" s="18">
        <f>'raw data Crude oil'!A2383</f>
        <v>0</v>
      </c>
      <c r="B2382">
        <f>'raw data Crude oil'!B2383</f>
        <v>0</v>
      </c>
      <c r="C2382">
        <f>'raw data Crude oil'!C2383</f>
        <v>0</v>
      </c>
      <c r="D2382">
        <f>'raw data Crude oil'!D2383</f>
        <v>0</v>
      </c>
      <c r="E2382">
        <f>'raw data Crude oil'!E2383</f>
        <v>0</v>
      </c>
      <c r="F2382">
        <f>'raw data Crude oil'!F2383</f>
        <v>0</v>
      </c>
      <c r="G2382">
        <f>'raw data Crude oil'!G2383</f>
        <v>0</v>
      </c>
      <c r="H2382">
        <f>'raw data Crude oil'!H2383</f>
        <v>0</v>
      </c>
      <c r="I2382">
        <f>'raw data Crude oil'!I2383</f>
        <v>0</v>
      </c>
      <c r="J2382">
        <f>'raw data Crude oil'!J2383</f>
        <v>0</v>
      </c>
      <c r="K2382">
        <f>'raw data Crude oil'!K2383</f>
        <v>0</v>
      </c>
      <c r="L2382">
        <f>'raw data Crude oil'!L2383</f>
        <v>0</v>
      </c>
      <c r="M2382">
        <f>'raw data Crude oil'!M2383</f>
        <v>0</v>
      </c>
      <c r="N2382">
        <f>'raw data Crude oil'!N2383</f>
        <v>0</v>
      </c>
      <c r="O2382">
        <f>'raw data Crude oil'!O2383</f>
        <v>0</v>
      </c>
      <c r="P2382">
        <f>'raw data Crude oil'!P2383</f>
        <v>0</v>
      </c>
      <c r="Q2382">
        <f>'raw data Crude oil'!Q2383</f>
        <v>0</v>
      </c>
      <c r="R2382">
        <f>'raw data Crude oil'!R2383</f>
        <v>0</v>
      </c>
      <c r="S2382">
        <f>'raw data Crude oil'!S2383</f>
        <v>0</v>
      </c>
      <c r="T2382">
        <f>'raw data Crude oil'!T2383</f>
        <v>0</v>
      </c>
      <c r="U2382">
        <f>'raw data Crude oil'!U2383</f>
        <v>0</v>
      </c>
      <c r="V2382">
        <f>'raw data Crude oil'!V2383</f>
        <v>0</v>
      </c>
      <c r="W2382">
        <f>'raw data Crude oil'!W2383</f>
        <v>0</v>
      </c>
      <c r="X2382">
        <f>'raw data Crude oil'!X2383</f>
        <v>0</v>
      </c>
      <c r="Y2382">
        <f>'raw data Crude oil'!Y2383</f>
        <v>0</v>
      </c>
      <c r="Z2382">
        <f>'raw data Crude oil'!Z2383</f>
        <v>0</v>
      </c>
      <c r="AA2382">
        <f>'raw data Crude oil'!AA2383</f>
        <v>0</v>
      </c>
      <c r="AB2382">
        <f>'raw data Crude oil'!AB2383</f>
        <v>0</v>
      </c>
      <c r="AC2382">
        <f>'raw data Crude oil'!AC2383</f>
        <v>0</v>
      </c>
      <c r="AD2382">
        <f>'raw data Crude oil'!AD2383</f>
        <v>0</v>
      </c>
      <c r="AE2382">
        <f>'raw data Crude oil'!AE2383</f>
        <v>0</v>
      </c>
      <c r="AF2382">
        <f>'raw data Crude oil'!AF2383</f>
        <v>0</v>
      </c>
      <c r="AG2382">
        <f>'raw data Crude oil'!AG2383</f>
        <v>0</v>
      </c>
      <c r="AH2382">
        <f>'raw data Crude oil'!AH2383</f>
        <v>0</v>
      </c>
      <c r="AI2382">
        <f>'raw data Crude oil'!AI2383</f>
        <v>0</v>
      </c>
      <c r="AJ2382">
        <f>'raw data Crude oil'!AJ2383</f>
        <v>0</v>
      </c>
      <c r="AK2382">
        <f>'raw data Crude oil'!AK2383</f>
        <v>0</v>
      </c>
    </row>
    <row r="2383" spans="1:37" x14ac:dyDescent="0.3">
      <c r="A2383" s="18">
        <f>'raw data Crude oil'!A2384</f>
        <v>0</v>
      </c>
      <c r="B2383">
        <f>'raw data Crude oil'!B2384</f>
        <v>0</v>
      </c>
      <c r="C2383">
        <f>'raw data Crude oil'!C2384</f>
        <v>0</v>
      </c>
      <c r="D2383">
        <f>'raw data Crude oil'!D2384</f>
        <v>0</v>
      </c>
      <c r="E2383">
        <f>'raw data Crude oil'!E2384</f>
        <v>0</v>
      </c>
      <c r="F2383">
        <f>'raw data Crude oil'!F2384</f>
        <v>0</v>
      </c>
      <c r="G2383">
        <f>'raw data Crude oil'!G2384</f>
        <v>0</v>
      </c>
      <c r="H2383">
        <f>'raw data Crude oil'!H2384</f>
        <v>0</v>
      </c>
      <c r="I2383">
        <f>'raw data Crude oil'!I2384</f>
        <v>0</v>
      </c>
      <c r="J2383">
        <f>'raw data Crude oil'!J2384</f>
        <v>0</v>
      </c>
      <c r="K2383">
        <f>'raw data Crude oil'!K2384</f>
        <v>0</v>
      </c>
      <c r="L2383">
        <f>'raw data Crude oil'!L2384</f>
        <v>0</v>
      </c>
      <c r="M2383">
        <f>'raw data Crude oil'!M2384</f>
        <v>0</v>
      </c>
      <c r="N2383">
        <f>'raw data Crude oil'!N2384</f>
        <v>0</v>
      </c>
      <c r="O2383">
        <f>'raw data Crude oil'!O2384</f>
        <v>0</v>
      </c>
      <c r="P2383">
        <f>'raw data Crude oil'!P2384</f>
        <v>0</v>
      </c>
      <c r="Q2383">
        <f>'raw data Crude oil'!Q2384</f>
        <v>0</v>
      </c>
      <c r="R2383">
        <f>'raw data Crude oil'!R2384</f>
        <v>0</v>
      </c>
      <c r="S2383">
        <f>'raw data Crude oil'!S2384</f>
        <v>0</v>
      </c>
      <c r="T2383">
        <f>'raw data Crude oil'!T2384</f>
        <v>0</v>
      </c>
      <c r="U2383">
        <f>'raw data Crude oil'!U2384</f>
        <v>0</v>
      </c>
      <c r="V2383">
        <f>'raw data Crude oil'!V2384</f>
        <v>0</v>
      </c>
      <c r="W2383">
        <f>'raw data Crude oil'!W2384</f>
        <v>0</v>
      </c>
      <c r="X2383">
        <f>'raw data Crude oil'!X2384</f>
        <v>0</v>
      </c>
      <c r="Y2383">
        <f>'raw data Crude oil'!Y2384</f>
        <v>0</v>
      </c>
      <c r="Z2383">
        <f>'raw data Crude oil'!Z2384</f>
        <v>0</v>
      </c>
      <c r="AA2383">
        <f>'raw data Crude oil'!AA2384</f>
        <v>0</v>
      </c>
      <c r="AB2383">
        <f>'raw data Crude oil'!AB2384</f>
        <v>0</v>
      </c>
      <c r="AC2383">
        <f>'raw data Crude oil'!AC2384</f>
        <v>0</v>
      </c>
      <c r="AD2383">
        <f>'raw data Crude oil'!AD2384</f>
        <v>0</v>
      </c>
      <c r="AE2383">
        <f>'raw data Crude oil'!AE2384</f>
        <v>0</v>
      </c>
      <c r="AF2383">
        <f>'raw data Crude oil'!AF2384</f>
        <v>0</v>
      </c>
      <c r="AG2383">
        <f>'raw data Crude oil'!AG2384</f>
        <v>0</v>
      </c>
      <c r="AH2383">
        <f>'raw data Crude oil'!AH2384</f>
        <v>0</v>
      </c>
      <c r="AI2383">
        <f>'raw data Crude oil'!AI2384</f>
        <v>0</v>
      </c>
      <c r="AJ2383">
        <f>'raw data Crude oil'!AJ2384</f>
        <v>0</v>
      </c>
      <c r="AK2383">
        <f>'raw data Crude oil'!AK2384</f>
        <v>0</v>
      </c>
    </row>
    <row r="2384" spans="1:37" x14ac:dyDescent="0.3">
      <c r="A2384" s="18">
        <f>'raw data Crude oil'!A2385</f>
        <v>0</v>
      </c>
      <c r="B2384">
        <f>'raw data Crude oil'!B2385</f>
        <v>0</v>
      </c>
      <c r="C2384">
        <f>'raw data Crude oil'!C2385</f>
        <v>0</v>
      </c>
      <c r="D2384">
        <f>'raw data Crude oil'!D2385</f>
        <v>0</v>
      </c>
      <c r="E2384">
        <f>'raw data Crude oil'!E2385</f>
        <v>0</v>
      </c>
      <c r="F2384">
        <f>'raw data Crude oil'!F2385</f>
        <v>0</v>
      </c>
      <c r="G2384">
        <f>'raw data Crude oil'!G2385</f>
        <v>0</v>
      </c>
      <c r="H2384">
        <f>'raw data Crude oil'!H2385</f>
        <v>0</v>
      </c>
      <c r="I2384">
        <f>'raw data Crude oil'!I2385</f>
        <v>0</v>
      </c>
      <c r="J2384">
        <f>'raw data Crude oil'!J2385</f>
        <v>0</v>
      </c>
      <c r="K2384">
        <f>'raw data Crude oil'!K2385</f>
        <v>0</v>
      </c>
      <c r="L2384">
        <f>'raw data Crude oil'!L2385</f>
        <v>0</v>
      </c>
      <c r="M2384">
        <f>'raw data Crude oil'!M2385</f>
        <v>0</v>
      </c>
      <c r="N2384">
        <f>'raw data Crude oil'!N2385</f>
        <v>0</v>
      </c>
      <c r="O2384">
        <f>'raw data Crude oil'!O2385</f>
        <v>0</v>
      </c>
      <c r="P2384">
        <f>'raw data Crude oil'!P2385</f>
        <v>0</v>
      </c>
      <c r="Q2384">
        <f>'raw data Crude oil'!Q2385</f>
        <v>0</v>
      </c>
      <c r="R2384">
        <f>'raw data Crude oil'!R2385</f>
        <v>0</v>
      </c>
      <c r="S2384">
        <f>'raw data Crude oil'!S2385</f>
        <v>0</v>
      </c>
      <c r="T2384">
        <f>'raw data Crude oil'!T2385</f>
        <v>0</v>
      </c>
      <c r="U2384">
        <f>'raw data Crude oil'!U2385</f>
        <v>0</v>
      </c>
      <c r="V2384">
        <f>'raw data Crude oil'!V2385</f>
        <v>0</v>
      </c>
      <c r="W2384">
        <f>'raw data Crude oil'!W2385</f>
        <v>0</v>
      </c>
      <c r="X2384">
        <f>'raw data Crude oil'!X2385</f>
        <v>0</v>
      </c>
      <c r="Y2384">
        <f>'raw data Crude oil'!Y2385</f>
        <v>0</v>
      </c>
      <c r="Z2384">
        <f>'raw data Crude oil'!Z2385</f>
        <v>0</v>
      </c>
      <c r="AA2384">
        <f>'raw data Crude oil'!AA2385</f>
        <v>0</v>
      </c>
      <c r="AB2384">
        <f>'raw data Crude oil'!AB2385</f>
        <v>0</v>
      </c>
      <c r="AC2384">
        <f>'raw data Crude oil'!AC2385</f>
        <v>0</v>
      </c>
      <c r="AD2384">
        <f>'raw data Crude oil'!AD2385</f>
        <v>0</v>
      </c>
      <c r="AE2384">
        <f>'raw data Crude oil'!AE2385</f>
        <v>0</v>
      </c>
      <c r="AF2384">
        <f>'raw data Crude oil'!AF2385</f>
        <v>0</v>
      </c>
      <c r="AG2384">
        <f>'raw data Crude oil'!AG2385</f>
        <v>0</v>
      </c>
      <c r="AH2384">
        <f>'raw data Crude oil'!AH2385</f>
        <v>0</v>
      </c>
      <c r="AI2384">
        <f>'raw data Crude oil'!AI2385</f>
        <v>0</v>
      </c>
      <c r="AJ2384">
        <f>'raw data Crude oil'!AJ2385</f>
        <v>0</v>
      </c>
      <c r="AK2384">
        <f>'raw data Crude oil'!AK2385</f>
        <v>0</v>
      </c>
    </row>
    <row r="2385" spans="1:37" x14ac:dyDescent="0.3">
      <c r="A2385" s="18">
        <f>'raw data Crude oil'!A2386</f>
        <v>0</v>
      </c>
      <c r="B2385">
        <f>'raw data Crude oil'!B2386</f>
        <v>0</v>
      </c>
      <c r="C2385">
        <f>'raw data Crude oil'!C2386</f>
        <v>0</v>
      </c>
      <c r="D2385">
        <f>'raw data Crude oil'!D2386</f>
        <v>0</v>
      </c>
      <c r="E2385">
        <f>'raw data Crude oil'!E2386</f>
        <v>0</v>
      </c>
      <c r="F2385">
        <f>'raw data Crude oil'!F2386</f>
        <v>0</v>
      </c>
      <c r="G2385">
        <f>'raw data Crude oil'!G2386</f>
        <v>0</v>
      </c>
      <c r="H2385">
        <f>'raw data Crude oil'!H2386</f>
        <v>0</v>
      </c>
      <c r="I2385">
        <f>'raw data Crude oil'!I2386</f>
        <v>0</v>
      </c>
      <c r="J2385">
        <f>'raw data Crude oil'!J2386</f>
        <v>0</v>
      </c>
      <c r="K2385">
        <f>'raw data Crude oil'!K2386</f>
        <v>0</v>
      </c>
      <c r="L2385">
        <f>'raw data Crude oil'!L2386</f>
        <v>0</v>
      </c>
      <c r="M2385">
        <f>'raw data Crude oil'!M2386</f>
        <v>0</v>
      </c>
      <c r="N2385">
        <f>'raw data Crude oil'!N2386</f>
        <v>0</v>
      </c>
      <c r="O2385">
        <f>'raw data Crude oil'!O2386</f>
        <v>0</v>
      </c>
      <c r="P2385">
        <f>'raw data Crude oil'!P2386</f>
        <v>0</v>
      </c>
      <c r="Q2385">
        <f>'raw data Crude oil'!Q2386</f>
        <v>0</v>
      </c>
      <c r="R2385">
        <f>'raw data Crude oil'!R2386</f>
        <v>0</v>
      </c>
      <c r="S2385">
        <f>'raw data Crude oil'!S2386</f>
        <v>0</v>
      </c>
      <c r="T2385">
        <f>'raw data Crude oil'!T2386</f>
        <v>0</v>
      </c>
      <c r="U2385">
        <f>'raw data Crude oil'!U2386</f>
        <v>0</v>
      </c>
      <c r="V2385">
        <f>'raw data Crude oil'!V2386</f>
        <v>0</v>
      </c>
      <c r="W2385">
        <f>'raw data Crude oil'!W2386</f>
        <v>0</v>
      </c>
      <c r="X2385">
        <f>'raw data Crude oil'!X2386</f>
        <v>0</v>
      </c>
      <c r="Y2385">
        <f>'raw data Crude oil'!Y2386</f>
        <v>0</v>
      </c>
      <c r="Z2385">
        <f>'raw data Crude oil'!Z2386</f>
        <v>0</v>
      </c>
      <c r="AA2385">
        <f>'raw data Crude oil'!AA2386</f>
        <v>0</v>
      </c>
      <c r="AB2385">
        <f>'raw data Crude oil'!AB2386</f>
        <v>0</v>
      </c>
      <c r="AC2385">
        <f>'raw data Crude oil'!AC2386</f>
        <v>0</v>
      </c>
      <c r="AD2385">
        <f>'raw data Crude oil'!AD2386</f>
        <v>0</v>
      </c>
      <c r="AE2385">
        <f>'raw data Crude oil'!AE2386</f>
        <v>0</v>
      </c>
      <c r="AF2385">
        <f>'raw data Crude oil'!AF2386</f>
        <v>0</v>
      </c>
      <c r="AG2385">
        <f>'raw data Crude oil'!AG2386</f>
        <v>0</v>
      </c>
      <c r="AH2385">
        <f>'raw data Crude oil'!AH2386</f>
        <v>0</v>
      </c>
      <c r="AI2385">
        <f>'raw data Crude oil'!AI2386</f>
        <v>0</v>
      </c>
      <c r="AJ2385">
        <f>'raw data Crude oil'!AJ2386</f>
        <v>0</v>
      </c>
      <c r="AK2385">
        <f>'raw data Crude oil'!AK2386</f>
        <v>0</v>
      </c>
    </row>
    <row r="2386" spans="1:37" x14ac:dyDescent="0.3">
      <c r="A2386" s="18">
        <f>'raw data Crude oil'!A2387</f>
        <v>0</v>
      </c>
      <c r="B2386">
        <f>'raw data Crude oil'!B2387</f>
        <v>0</v>
      </c>
      <c r="C2386">
        <f>'raw data Crude oil'!C2387</f>
        <v>0</v>
      </c>
      <c r="D2386">
        <f>'raw data Crude oil'!D2387</f>
        <v>0</v>
      </c>
      <c r="E2386">
        <f>'raw data Crude oil'!E2387</f>
        <v>0</v>
      </c>
      <c r="F2386">
        <f>'raw data Crude oil'!F2387</f>
        <v>0</v>
      </c>
      <c r="G2386">
        <f>'raw data Crude oil'!G2387</f>
        <v>0</v>
      </c>
      <c r="H2386">
        <f>'raw data Crude oil'!H2387</f>
        <v>0</v>
      </c>
      <c r="I2386">
        <f>'raw data Crude oil'!I2387</f>
        <v>0</v>
      </c>
      <c r="J2386">
        <f>'raw data Crude oil'!J2387</f>
        <v>0</v>
      </c>
      <c r="K2386">
        <f>'raw data Crude oil'!K2387</f>
        <v>0</v>
      </c>
      <c r="L2386">
        <f>'raw data Crude oil'!L2387</f>
        <v>0</v>
      </c>
      <c r="M2386">
        <f>'raw data Crude oil'!M2387</f>
        <v>0</v>
      </c>
      <c r="N2386">
        <f>'raw data Crude oil'!N2387</f>
        <v>0</v>
      </c>
      <c r="O2386">
        <f>'raw data Crude oil'!O2387</f>
        <v>0</v>
      </c>
      <c r="P2386">
        <f>'raw data Crude oil'!P2387</f>
        <v>0</v>
      </c>
      <c r="Q2386">
        <f>'raw data Crude oil'!Q2387</f>
        <v>0</v>
      </c>
      <c r="R2386">
        <f>'raw data Crude oil'!R2387</f>
        <v>0</v>
      </c>
      <c r="S2386">
        <f>'raw data Crude oil'!S2387</f>
        <v>0</v>
      </c>
      <c r="T2386">
        <f>'raw data Crude oil'!T2387</f>
        <v>0</v>
      </c>
      <c r="U2386">
        <f>'raw data Crude oil'!U2387</f>
        <v>0</v>
      </c>
      <c r="V2386">
        <f>'raw data Crude oil'!V2387</f>
        <v>0</v>
      </c>
      <c r="W2386">
        <f>'raw data Crude oil'!W2387</f>
        <v>0</v>
      </c>
      <c r="X2386">
        <f>'raw data Crude oil'!X2387</f>
        <v>0</v>
      </c>
      <c r="Y2386">
        <f>'raw data Crude oil'!Y2387</f>
        <v>0</v>
      </c>
      <c r="Z2386">
        <f>'raw data Crude oil'!Z2387</f>
        <v>0</v>
      </c>
      <c r="AA2386">
        <f>'raw data Crude oil'!AA2387</f>
        <v>0</v>
      </c>
      <c r="AB2386">
        <f>'raw data Crude oil'!AB2387</f>
        <v>0</v>
      </c>
      <c r="AC2386">
        <f>'raw data Crude oil'!AC2387</f>
        <v>0</v>
      </c>
      <c r="AD2386">
        <f>'raw data Crude oil'!AD2387</f>
        <v>0</v>
      </c>
      <c r="AE2386">
        <f>'raw data Crude oil'!AE2387</f>
        <v>0</v>
      </c>
      <c r="AF2386">
        <f>'raw data Crude oil'!AF2387</f>
        <v>0</v>
      </c>
      <c r="AG2386">
        <f>'raw data Crude oil'!AG2387</f>
        <v>0</v>
      </c>
      <c r="AH2386">
        <f>'raw data Crude oil'!AH2387</f>
        <v>0</v>
      </c>
      <c r="AI2386">
        <f>'raw data Crude oil'!AI2387</f>
        <v>0</v>
      </c>
      <c r="AJ2386">
        <f>'raw data Crude oil'!AJ2387</f>
        <v>0</v>
      </c>
      <c r="AK2386">
        <f>'raw data Crude oil'!AK2387</f>
        <v>0</v>
      </c>
    </row>
    <row r="2387" spans="1:37" x14ac:dyDescent="0.3">
      <c r="A2387" s="18">
        <f>'raw data Crude oil'!A2388</f>
        <v>0</v>
      </c>
      <c r="B2387">
        <f>'raw data Crude oil'!B2388</f>
        <v>0</v>
      </c>
      <c r="C2387">
        <f>'raw data Crude oil'!C2388</f>
        <v>0</v>
      </c>
      <c r="D2387">
        <f>'raw data Crude oil'!D2388</f>
        <v>0</v>
      </c>
      <c r="E2387">
        <f>'raw data Crude oil'!E2388</f>
        <v>0</v>
      </c>
      <c r="F2387">
        <f>'raw data Crude oil'!F2388</f>
        <v>0</v>
      </c>
      <c r="G2387">
        <f>'raw data Crude oil'!G2388</f>
        <v>0</v>
      </c>
      <c r="H2387">
        <f>'raw data Crude oil'!H2388</f>
        <v>0</v>
      </c>
      <c r="I2387">
        <f>'raw data Crude oil'!I2388</f>
        <v>0</v>
      </c>
      <c r="J2387">
        <f>'raw data Crude oil'!J2388</f>
        <v>0</v>
      </c>
      <c r="K2387">
        <f>'raw data Crude oil'!K2388</f>
        <v>0</v>
      </c>
      <c r="L2387">
        <f>'raw data Crude oil'!L2388</f>
        <v>0</v>
      </c>
      <c r="M2387">
        <f>'raw data Crude oil'!M2388</f>
        <v>0</v>
      </c>
      <c r="N2387">
        <f>'raw data Crude oil'!N2388</f>
        <v>0</v>
      </c>
      <c r="O2387">
        <f>'raw data Crude oil'!O2388</f>
        <v>0</v>
      </c>
      <c r="P2387">
        <f>'raw data Crude oil'!P2388</f>
        <v>0</v>
      </c>
      <c r="Q2387">
        <f>'raw data Crude oil'!Q2388</f>
        <v>0</v>
      </c>
      <c r="R2387">
        <f>'raw data Crude oil'!R2388</f>
        <v>0</v>
      </c>
      <c r="S2387">
        <f>'raw data Crude oil'!S2388</f>
        <v>0</v>
      </c>
      <c r="T2387">
        <f>'raw data Crude oil'!T2388</f>
        <v>0</v>
      </c>
      <c r="U2387">
        <f>'raw data Crude oil'!U2388</f>
        <v>0</v>
      </c>
      <c r="V2387">
        <f>'raw data Crude oil'!V2388</f>
        <v>0</v>
      </c>
      <c r="W2387">
        <f>'raw data Crude oil'!W2388</f>
        <v>0</v>
      </c>
      <c r="X2387">
        <f>'raw data Crude oil'!X2388</f>
        <v>0</v>
      </c>
      <c r="Y2387">
        <f>'raw data Crude oil'!Y2388</f>
        <v>0</v>
      </c>
      <c r="Z2387">
        <f>'raw data Crude oil'!Z2388</f>
        <v>0</v>
      </c>
      <c r="AA2387">
        <f>'raw data Crude oil'!AA2388</f>
        <v>0</v>
      </c>
      <c r="AB2387">
        <f>'raw data Crude oil'!AB2388</f>
        <v>0</v>
      </c>
      <c r="AC2387">
        <f>'raw data Crude oil'!AC2388</f>
        <v>0</v>
      </c>
      <c r="AD2387">
        <f>'raw data Crude oil'!AD2388</f>
        <v>0</v>
      </c>
      <c r="AE2387">
        <f>'raw data Crude oil'!AE2388</f>
        <v>0</v>
      </c>
      <c r="AF2387">
        <f>'raw data Crude oil'!AF2388</f>
        <v>0</v>
      </c>
      <c r="AG2387">
        <f>'raw data Crude oil'!AG2388</f>
        <v>0</v>
      </c>
      <c r="AH2387">
        <f>'raw data Crude oil'!AH2388</f>
        <v>0</v>
      </c>
      <c r="AI2387">
        <f>'raw data Crude oil'!AI2388</f>
        <v>0</v>
      </c>
      <c r="AJ2387">
        <f>'raw data Crude oil'!AJ2388</f>
        <v>0</v>
      </c>
      <c r="AK2387">
        <f>'raw data Crude oil'!AK2388</f>
        <v>0</v>
      </c>
    </row>
    <row r="2388" spans="1:37" x14ac:dyDescent="0.3">
      <c r="A2388" s="18">
        <f>'raw data Crude oil'!A2389</f>
        <v>0</v>
      </c>
      <c r="B2388">
        <f>'raw data Crude oil'!B2389</f>
        <v>0</v>
      </c>
      <c r="C2388">
        <f>'raw data Crude oil'!C2389</f>
        <v>0</v>
      </c>
      <c r="D2388">
        <f>'raw data Crude oil'!D2389</f>
        <v>0</v>
      </c>
      <c r="E2388">
        <f>'raw data Crude oil'!E2389</f>
        <v>0</v>
      </c>
      <c r="F2388">
        <f>'raw data Crude oil'!F2389</f>
        <v>0</v>
      </c>
      <c r="G2388">
        <f>'raw data Crude oil'!G2389</f>
        <v>0</v>
      </c>
      <c r="H2388">
        <f>'raw data Crude oil'!H2389</f>
        <v>0</v>
      </c>
      <c r="I2388">
        <f>'raw data Crude oil'!I2389</f>
        <v>0</v>
      </c>
      <c r="J2388">
        <f>'raw data Crude oil'!J2389</f>
        <v>0</v>
      </c>
      <c r="K2388">
        <f>'raw data Crude oil'!K2389</f>
        <v>0</v>
      </c>
      <c r="L2388">
        <f>'raw data Crude oil'!L2389</f>
        <v>0</v>
      </c>
      <c r="M2388">
        <f>'raw data Crude oil'!M2389</f>
        <v>0</v>
      </c>
      <c r="N2388">
        <f>'raw data Crude oil'!N2389</f>
        <v>0</v>
      </c>
      <c r="O2388">
        <f>'raw data Crude oil'!O2389</f>
        <v>0</v>
      </c>
      <c r="P2388">
        <f>'raw data Crude oil'!P2389</f>
        <v>0</v>
      </c>
      <c r="Q2388">
        <f>'raw data Crude oil'!Q2389</f>
        <v>0</v>
      </c>
      <c r="R2388">
        <f>'raw data Crude oil'!R2389</f>
        <v>0</v>
      </c>
      <c r="S2388">
        <f>'raw data Crude oil'!S2389</f>
        <v>0</v>
      </c>
      <c r="T2388">
        <f>'raw data Crude oil'!T2389</f>
        <v>0</v>
      </c>
      <c r="U2388">
        <f>'raw data Crude oil'!U2389</f>
        <v>0</v>
      </c>
      <c r="V2388">
        <f>'raw data Crude oil'!V2389</f>
        <v>0</v>
      </c>
      <c r="W2388">
        <f>'raw data Crude oil'!W2389</f>
        <v>0</v>
      </c>
      <c r="X2388">
        <f>'raw data Crude oil'!X2389</f>
        <v>0</v>
      </c>
      <c r="Y2388">
        <f>'raw data Crude oil'!Y2389</f>
        <v>0</v>
      </c>
      <c r="Z2388">
        <f>'raw data Crude oil'!Z2389</f>
        <v>0</v>
      </c>
      <c r="AA2388">
        <f>'raw data Crude oil'!AA2389</f>
        <v>0</v>
      </c>
      <c r="AB2388">
        <f>'raw data Crude oil'!AB2389</f>
        <v>0</v>
      </c>
      <c r="AC2388">
        <f>'raw data Crude oil'!AC2389</f>
        <v>0</v>
      </c>
      <c r="AD2388">
        <f>'raw data Crude oil'!AD2389</f>
        <v>0</v>
      </c>
      <c r="AE2388">
        <f>'raw data Crude oil'!AE2389</f>
        <v>0</v>
      </c>
      <c r="AF2388">
        <f>'raw data Crude oil'!AF2389</f>
        <v>0</v>
      </c>
      <c r="AG2388">
        <f>'raw data Crude oil'!AG2389</f>
        <v>0</v>
      </c>
      <c r="AH2388">
        <f>'raw data Crude oil'!AH2389</f>
        <v>0</v>
      </c>
      <c r="AI2388">
        <f>'raw data Crude oil'!AI2389</f>
        <v>0</v>
      </c>
      <c r="AJ2388">
        <f>'raw data Crude oil'!AJ2389</f>
        <v>0</v>
      </c>
      <c r="AK2388">
        <f>'raw data Crude oil'!AK2389</f>
        <v>0</v>
      </c>
    </row>
    <row r="2389" spans="1:37" x14ac:dyDescent="0.3">
      <c r="A2389" s="18">
        <f>'raw data Crude oil'!A2390</f>
        <v>0</v>
      </c>
      <c r="B2389">
        <f>'raw data Crude oil'!B2390</f>
        <v>0</v>
      </c>
      <c r="C2389">
        <f>'raw data Crude oil'!C2390</f>
        <v>0</v>
      </c>
      <c r="D2389">
        <f>'raw data Crude oil'!D2390</f>
        <v>0</v>
      </c>
      <c r="E2389">
        <f>'raw data Crude oil'!E2390</f>
        <v>0</v>
      </c>
      <c r="F2389">
        <f>'raw data Crude oil'!F2390</f>
        <v>0</v>
      </c>
      <c r="G2389">
        <f>'raw data Crude oil'!G2390</f>
        <v>0</v>
      </c>
      <c r="H2389">
        <f>'raw data Crude oil'!H2390</f>
        <v>0</v>
      </c>
      <c r="I2389">
        <f>'raw data Crude oil'!I2390</f>
        <v>0</v>
      </c>
      <c r="J2389">
        <f>'raw data Crude oil'!J2390</f>
        <v>0</v>
      </c>
      <c r="K2389">
        <f>'raw data Crude oil'!K2390</f>
        <v>0</v>
      </c>
      <c r="L2389">
        <f>'raw data Crude oil'!L2390</f>
        <v>0</v>
      </c>
      <c r="M2389">
        <f>'raw data Crude oil'!M2390</f>
        <v>0</v>
      </c>
      <c r="N2389">
        <f>'raw data Crude oil'!N2390</f>
        <v>0</v>
      </c>
      <c r="O2389">
        <f>'raw data Crude oil'!O2390</f>
        <v>0</v>
      </c>
      <c r="P2389">
        <f>'raw data Crude oil'!P2390</f>
        <v>0</v>
      </c>
      <c r="Q2389">
        <f>'raw data Crude oil'!Q2390</f>
        <v>0</v>
      </c>
      <c r="R2389">
        <f>'raw data Crude oil'!R2390</f>
        <v>0</v>
      </c>
      <c r="S2389">
        <f>'raw data Crude oil'!S2390</f>
        <v>0</v>
      </c>
      <c r="T2389">
        <f>'raw data Crude oil'!T2390</f>
        <v>0</v>
      </c>
      <c r="U2389">
        <f>'raw data Crude oil'!U2390</f>
        <v>0</v>
      </c>
      <c r="V2389">
        <f>'raw data Crude oil'!V2390</f>
        <v>0</v>
      </c>
      <c r="W2389">
        <f>'raw data Crude oil'!W2390</f>
        <v>0</v>
      </c>
      <c r="X2389">
        <f>'raw data Crude oil'!X2390</f>
        <v>0</v>
      </c>
      <c r="Y2389">
        <f>'raw data Crude oil'!Y2390</f>
        <v>0</v>
      </c>
      <c r="Z2389">
        <f>'raw data Crude oil'!Z2390</f>
        <v>0</v>
      </c>
      <c r="AA2389">
        <f>'raw data Crude oil'!AA2390</f>
        <v>0</v>
      </c>
      <c r="AB2389">
        <f>'raw data Crude oil'!AB2390</f>
        <v>0</v>
      </c>
      <c r="AC2389">
        <f>'raw data Crude oil'!AC2390</f>
        <v>0</v>
      </c>
      <c r="AD2389">
        <f>'raw data Crude oil'!AD2390</f>
        <v>0</v>
      </c>
      <c r="AE2389">
        <f>'raw data Crude oil'!AE2390</f>
        <v>0</v>
      </c>
      <c r="AF2389">
        <f>'raw data Crude oil'!AF2390</f>
        <v>0</v>
      </c>
      <c r="AG2389">
        <f>'raw data Crude oil'!AG2390</f>
        <v>0</v>
      </c>
      <c r="AH2389">
        <f>'raw data Crude oil'!AH2390</f>
        <v>0</v>
      </c>
      <c r="AI2389">
        <f>'raw data Crude oil'!AI2390</f>
        <v>0</v>
      </c>
      <c r="AJ2389">
        <f>'raw data Crude oil'!AJ2390</f>
        <v>0</v>
      </c>
      <c r="AK2389">
        <f>'raw data Crude oil'!AK2390</f>
        <v>0</v>
      </c>
    </row>
    <row r="2390" spans="1:37" x14ac:dyDescent="0.3">
      <c r="A2390" s="18">
        <f>'raw data Crude oil'!A2391</f>
        <v>0</v>
      </c>
      <c r="B2390">
        <f>'raw data Crude oil'!B2391</f>
        <v>0</v>
      </c>
      <c r="C2390">
        <f>'raw data Crude oil'!C2391</f>
        <v>0</v>
      </c>
      <c r="D2390">
        <f>'raw data Crude oil'!D2391</f>
        <v>0</v>
      </c>
      <c r="E2390">
        <f>'raw data Crude oil'!E2391</f>
        <v>0</v>
      </c>
      <c r="F2390">
        <f>'raw data Crude oil'!F2391</f>
        <v>0</v>
      </c>
      <c r="G2390">
        <f>'raw data Crude oil'!G2391</f>
        <v>0</v>
      </c>
      <c r="H2390">
        <f>'raw data Crude oil'!H2391</f>
        <v>0</v>
      </c>
      <c r="I2390">
        <f>'raw data Crude oil'!I2391</f>
        <v>0</v>
      </c>
      <c r="J2390">
        <f>'raw data Crude oil'!J2391</f>
        <v>0</v>
      </c>
      <c r="K2390">
        <f>'raw data Crude oil'!K2391</f>
        <v>0</v>
      </c>
      <c r="L2390">
        <f>'raw data Crude oil'!L2391</f>
        <v>0</v>
      </c>
      <c r="M2390">
        <f>'raw data Crude oil'!M2391</f>
        <v>0</v>
      </c>
      <c r="N2390">
        <f>'raw data Crude oil'!N2391</f>
        <v>0</v>
      </c>
      <c r="O2390">
        <f>'raw data Crude oil'!O2391</f>
        <v>0</v>
      </c>
      <c r="P2390">
        <f>'raw data Crude oil'!P2391</f>
        <v>0</v>
      </c>
      <c r="Q2390">
        <f>'raw data Crude oil'!Q2391</f>
        <v>0</v>
      </c>
      <c r="R2390">
        <f>'raw data Crude oil'!R2391</f>
        <v>0</v>
      </c>
      <c r="S2390">
        <f>'raw data Crude oil'!S2391</f>
        <v>0</v>
      </c>
      <c r="T2390">
        <f>'raw data Crude oil'!T2391</f>
        <v>0</v>
      </c>
      <c r="U2390">
        <f>'raw data Crude oil'!U2391</f>
        <v>0</v>
      </c>
      <c r="V2390">
        <f>'raw data Crude oil'!V2391</f>
        <v>0</v>
      </c>
      <c r="W2390">
        <f>'raw data Crude oil'!W2391</f>
        <v>0</v>
      </c>
      <c r="X2390">
        <f>'raw data Crude oil'!X2391</f>
        <v>0</v>
      </c>
      <c r="Y2390">
        <f>'raw data Crude oil'!Y2391</f>
        <v>0</v>
      </c>
      <c r="Z2390">
        <f>'raw data Crude oil'!Z2391</f>
        <v>0</v>
      </c>
      <c r="AA2390">
        <f>'raw data Crude oil'!AA2391</f>
        <v>0</v>
      </c>
      <c r="AB2390">
        <f>'raw data Crude oil'!AB2391</f>
        <v>0</v>
      </c>
      <c r="AC2390">
        <f>'raw data Crude oil'!AC2391</f>
        <v>0</v>
      </c>
      <c r="AD2390">
        <f>'raw data Crude oil'!AD2391</f>
        <v>0</v>
      </c>
      <c r="AE2390">
        <f>'raw data Crude oil'!AE2391</f>
        <v>0</v>
      </c>
      <c r="AF2390">
        <f>'raw data Crude oil'!AF2391</f>
        <v>0</v>
      </c>
      <c r="AG2390">
        <f>'raw data Crude oil'!AG2391</f>
        <v>0</v>
      </c>
      <c r="AH2390">
        <f>'raw data Crude oil'!AH2391</f>
        <v>0</v>
      </c>
      <c r="AI2390">
        <f>'raw data Crude oil'!AI2391</f>
        <v>0</v>
      </c>
      <c r="AJ2390">
        <f>'raw data Crude oil'!AJ2391</f>
        <v>0</v>
      </c>
      <c r="AK2390">
        <f>'raw data Crude oil'!AK2391</f>
        <v>0</v>
      </c>
    </row>
    <row r="2391" spans="1:37" x14ac:dyDescent="0.3">
      <c r="A2391" s="18">
        <f>'raw data Crude oil'!A2392</f>
        <v>0</v>
      </c>
      <c r="B2391">
        <f>'raw data Crude oil'!B2392</f>
        <v>0</v>
      </c>
      <c r="C2391">
        <f>'raw data Crude oil'!C2392</f>
        <v>0</v>
      </c>
      <c r="D2391">
        <f>'raw data Crude oil'!D2392</f>
        <v>0</v>
      </c>
      <c r="E2391">
        <f>'raw data Crude oil'!E2392</f>
        <v>0</v>
      </c>
      <c r="F2391">
        <f>'raw data Crude oil'!F2392</f>
        <v>0</v>
      </c>
      <c r="G2391">
        <f>'raw data Crude oil'!G2392</f>
        <v>0</v>
      </c>
      <c r="H2391">
        <f>'raw data Crude oil'!H2392</f>
        <v>0</v>
      </c>
      <c r="I2391">
        <f>'raw data Crude oil'!I2392</f>
        <v>0</v>
      </c>
      <c r="J2391">
        <f>'raw data Crude oil'!J2392</f>
        <v>0</v>
      </c>
      <c r="K2391">
        <f>'raw data Crude oil'!K2392</f>
        <v>0</v>
      </c>
      <c r="L2391">
        <f>'raw data Crude oil'!L2392</f>
        <v>0</v>
      </c>
      <c r="M2391">
        <f>'raw data Crude oil'!M2392</f>
        <v>0</v>
      </c>
      <c r="N2391">
        <f>'raw data Crude oil'!N2392</f>
        <v>0</v>
      </c>
      <c r="O2391">
        <f>'raw data Crude oil'!O2392</f>
        <v>0</v>
      </c>
      <c r="P2391">
        <f>'raw data Crude oil'!P2392</f>
        <v>0</v>
      </c>
      <c r="Q2391">
        <f>'raw data Crude oil'!Q2392</f>
        <v>0</v>
      </c>
      <c r="R2391">
        <f>'raw data Crude oil'!R2392</f>
        <v>0</v>
      </c>
      <c r="S2391">
        <f>'raw data Crude oil'!S2392</f>
        <v>0</v>
      </c>
      <c r="T2391">
        <f>'raw data Crude oil'!T2392</f>
        <v>0</v>
      </c>
      <c r="U2391">
        <f>'raw data Crude oil'!U2392</f>
        <v>0</v>
      </c>
      <c r="V2391">
        <f>'raw data Crude oil'!V2392</f>
        <v>0</v>
      </c>
      <c r="W2391">
        <f>'raw data Crude oil'!W2392</f>
        <v>0</v>
      </c>
      <c r="X2391">
        <f>'raw data Crude oil'!X2392</f>
        <v>0</v>
      </c>
      <c r="Y2391">
        <f>'raw data Crude oil'!Y2392</f>
        <v>0</v>
      </c>
      <c r="Z2391">
        <f>'raw data Crude oil'!Z2392</f>
        <v>0</v>
      </c>
      <c r="AA2391">
        <f>'raw data Crude oil'!AA2392</f>
        <v>0</v>
      </c>
      <c r="AB2391">
        <f>'raw data Crude oil'!AB2392</f>
        <v>0</v>
      </c>
      <c r="AC2391">
        <f>'raw data Crude oil'!AC2392</f>
        <v>0</v>
      </c>
      <c r="AD2391">
        <f>'raw data Crude oil'!AD2392</f>
        <v>0</v>
      </c>
      <c r="AE2391">
        <f>'raw data Crude oil'!AE2392</f>
        <v>0</v>
      </c>
      <c r="AF2391">
        <f>'raw data Crude oil'!AF2392</f>
        <v>0</v>
      </c>
      <c r="AG2391">
        <f>'raw data Crude oil'!AG2392</f>
        <v>0</v>
      </c>
      <c r="AH2391">
        <f>'raw data Crude oil'!AH2392</f>
        <v>0</v>
      </c>
      <c r="AI2391">
        <f>'raw data Crude oil'!AI2392</f>
        <v>0</v>
      </c>
      <c r="AJ2391">
        <f>'raw data Crude oil'!AJ2392</f>
        <v>0</v>
      </c>
      <c r="AK2391">
        <f>'raw data Crude oil'!AK2392</f>
        <v>0</v>
      </c>
    </row>
    <row r="2392" spans="1:37" x14ac:dyDescent="0.3">
      <c r="A2392" s="18">
        <f>'raw data Crude oil'!A2393</f>
        <v>0</v>
      </c>
      <c r="B2392">
        <f>'raw data Crude oil'!B2393</f>
        <v>0</v>
      </c>
      <c r="C2392">
        <f>'raw data Crude oil'!C2393</f>
        <v>0</v>
      </c>
      <c r="D2392">
        <f>'raw data Crude oil'!D2393</f>
        <v>0</v>
      </c>
      <c r="E2392">
        <f>'raw data Crude oil'!E2393</f>
        <v>0</v>
      </c>
      <c r="F2392">
        <f>'raw data Crude oil'!F2393</f>
        <v>0</v>
      </c>
      <c r="G2392">
        <f>'raw data Crude oil'!G2393</f>
        <v>0</v>
      </c>
      <c r="H2392">
        <f>'raw data Crude oil'!H2393</f>
        <v>0</v>
      </c>
      <c r="I2392">
        <f>'raw data Crude oil'!I2393</f>
        <v>0</v>
      </c>
      <c r="J2392">
        <f>'raw data Crude oil'!J2393</f>
        <v>0</v>
      </c>
      <c r="K2392">
        <f>'raw data Crude oil'!K2393</f>
        <v>0</v>
      </c>
      <c r="L2392">
        <f>'raw data Crude oil'!L2393</f>
        <v>0</v>
      </c>
      <c r="M2392">
        <f>'raw data Crude oil'!M2393</f>
        <v>0</v>
      </c>
      <c r="N2392">
        <f>'raw data Crude oil'!N2393</f>
        <v>0</v>
      </c>
      <c r="O2392">
        <f>'raw data Crude oil'!O2393</f>
        <v>0</v>
      </c>
      <c r="P2392">
        <f>'raw data Crude oil'!P2393</f>
        <v>0</v>
      </c>
      <c r="Q2392">
        <f>'raw data Crude oil'!Q2393</f>
        <v>0</v>
      </c>
      <c r="R2392">
        <f>'raw data Crude oil'!R2393</f>
        <v>0</v>
      </c>
      <c r="S2392">
        <f>'raw data Crude oil'!S2393</f>
        <v>0</v>
      </c>
      <c r="T2392">
        <f>'raw data Crude oil'!T2393</f>
        <v>0</v>
      </c>
      <c r="U2392">
        <f>'raw data Crude oil'!U2393</f>
        <v>0</v>
      </c>
      <c r="V2392">
        <f>'raw data Crude oil'!V2393</f>
        <v>0</v>
      </c>
      <c r="W2392">
        <f>'raw data Crude oil'!W2393</f>
        <v>0</v>
      </c>
      <c r="X2392">
        <f>'raw data Crude oil'!X2393</f>
        <v>0</v>
      </c>
      <c r="Y2392">
        <f>'raw data Crude oil'!Y2393</f>
        <v>0</v>
      </c>
      <c r="Z2392">
        <f>'raw data Crude oil'!Z2393</f>
        <v>0</v>
      </c>
      <c r="AA2392">
        <f>'raw data Crude oil'!AA2393</f>
        <v>0</v>
      </c>
      <c r="AB2392">
        <f>'raw data Crude oil'!AB2393</f>
        <v>0</v>
      </c>
      <c r="AC2392">
        <f>'raw data Crude oil'!AC2393</f>
        <v>0</v>
      </c>
      <c r="AD2392">
        <f>'raw data Crude oil'!AD2393</f>
        <v>0</v>
      </c>
      <c r="AE2392">
        <f>'raw data Crude oil'!AE2393</f>
        <v>0</v>
      </c>
      <c r="AF2392">
        <f>'raw data Crude oil'!AF2393</f>
        <v>0</v>
      </c>
      <c r="AG2392">
        <f>'raw data Crude oil'!AG2393</f>
        <v>0</v>
      </c>
      <c r="AH2392">
        <f>'raw data Crude oil'!AH2393</f>
        <v>0</v>
      </c>
      <c r="AI2392">
        <f>'raw data Crude oil'!AI2393</f>
        <v>0</v>
      </c>
      <c r="AJ2392">
        <f>'raw data Crude oil'!AJ2393</f>
        <v>0</v>
      </c>
      <c r="AK2392">
        <f>'raw data Crude oil'!AK2393</f>
        <v>0</v>
      </c>
    </row>
    <row r="2393" spans="1:37" x14ac:dyDescent="0.3">
      <c r="A2393" s="18">
        <f>'raw data Crude oil'!A2394</f>
        <v>0</v>
      </c>
      <c r="B2393">
        <f>'raw data Crude oil'!B2394</f>
        <v>0</v>
      </c>
      <c r="C2393">
        <f>'raw data Crude oil'!C2394</f>
        <v>0</v>
      </c>
      <c r="D2393">
        <f>'raw data Crude oil'!D2394</f>
        <v>0</v>
      </c>
      <c r="E2393">
        <f>'raw data Crude oil'!E2394</f>
        <v>0</v>
      </c>
      <c r="F2393">
        <f>'raw data Crude oil'!F2394</f>
        <v>0</v>
      </c>
      <c r="G2393">
        <f>'raw data Crude oil'!G2394</f>
        <v>0</v>
      </c>
      <c r="H2393">
        <f>'raw data Crude oil'!H2394</f>
        <v>0</v>
      </c>
      <c r="I2393">
        <f>'raw data Crude oil'!I2394</f>
        <v>0</v>
      </c>
      <c r="J2393">
        <f>'raw data Crude oil'!J2394</f>
        <v>0</v>
      </c>
      <c r="K2393">
        <f>'raw data Crude oil'!K2394</f>
        <v>0</v>
      </c>
      <c r="L2393">
        <f>'raw data Crude oil'!L2394</f>
        <v>0</v>
      </c>
      <c r="M2393">
        <f>'raw data Crude oil'!M2394</f>
        <v>0</v>
      </c>
      <c r="N2393">
        <f>'raw data Crude oil'!N2394</f>
        <v>0</v>
      </c>
      <c r="O2393">
        <f>'raw data Crude oil'!O2394</f>
        <v>0</v>
      </c>
      <c r="P2393">
        <f>'raw data Crude oil'!P2394</f>
        <v>0</v>
      </c>
      <c r="Q2393">
        <f>'raw data Crude oil'!Q2394</f>
        <v>0</v>
      </c>
      <c r="R2393">
        <f>'raw data Crude oil'!R2394</f>
        <v>0</v>
      </c>
      <c r="S2393">
        <f>'raw data Crude oil'!S2394</f>
        <v>0</v>
      </c>
      <c r="T2393">
        <f>'raw data Crude oil'!T2394</f>
        <v>0</v>
      </c>
      <c r="U2393">
        <f>'raw data Crude oil'!U2394</f>
        <v>0</v>
      </c>
      <c r="V2393">
        <f>'raw data Crude oil'!V2394</f>
        <v>0</v>
      </c>
      <c r="W2393">
        <f>'raw data Crude oil'!W2394</f>
        <v>0</v>
      </c>
      <c r="X2393">
        <f>'raw data Crude oil'!X2394</f>
        <v>0</v>
      </c>
      <c r="Y2393">
        <f>'raw data Crude oil'!Y2394</f>
        <v>0</v>
      </c>
      <c r="Z2393">
        <f>'raw data Crude oil'!Z2394</f>
        <v>0</v>
      </c>
      <c r="AA2393">
        <f>'raw data Crude oil'!AA2394</f>
        <v>0</v>
      </c>
      <c r="AB2393">
        <f>'raw data Crude oil'!AB2394</f>
        <v>0</v>
      </c>
      <c r="AC2393">
        <f>'raw data Crude oil'!AC2394</f>
        <v>0</v>
      </c>
      <c r="AD2393">
        <f>'raw data Crude oil'!AD2394</f>
        <v>0</v>
      </c>
      <c r="AE2393">
        <f>'raw data Crude oil'!AE2394</f>
        <v>0</v>
      </c>
      <c r="AF2393">
        <f>'raw data Crude oil'!AF2394</f>
        <v>0</v>
      </c>
      <c r="AG2393">
        <f>'raw data Crude oil'!AG2394</f>
        <v>0</v>
      </c>
      <c r="AH2393">
        <f>'raw data Crude oil'!AH2394</f>
        <v>0</v>
      </c>
      <c r="AI2393">
        <f>'raw data Crude oil'!AI2394</f>
        <v>0</v>
      </c>
      <c r="AJ2393">
        <f>'raw data Crude oil'!AJ2394</f>
        <v>0</v>
      </c>
      <c r="AK2393">
        <f>'raw data Crude oil'!AK2394</f>
        <v>0</v>
      </c>
    </row>
    <row r="2394" spans="1:37" x14ac:dyDescent="0.3">
      <c r="A2394" s="18">
        <f>'raw data Crude oil'!A2395</f>
        <v>0</v>
      </c>
      <c r="B2394">
        <f>'raw data Crude oil'!B2395</f>
        <v>0</v>
      </c>
      <c r="C2394">
        <f>'raw data Crude oil'!C2395</f>
        <v>0</v>
      </c>
      <c r="D2394">
        <f>'raw data Crude oil'!D2395</f>
        <v>0</v>
      </c>
      <c r="E2394">
        <f>'raw data Crude oil'!E2395</f>
        <v>0</v>
      </c>
      <c r="F2394">
        <f>'raw data Crude oil'!F2395</f>
        <v>0</v>
      </c>
      <c r="G2394">
        <f>'raw data Crude oil'!G2395</f>
        <v>0</v>
      </c>
      <c r="H2394">
        <f>'raw data Crude oil'!H2395</f>
        <v>0</v>
      </c>
      <c r="I2394">
        <f>'raw data Crude oil'!I2395</f>
        <v>0</v>
      </c>
      <c r="J2394">
        <f>'raw data Crude oil'!J2395</f>
        <v>0</v>
      </c>
      <c r="K2394">
        <f>'raw data Crude oil'!K2395</f>
        <v>0</v>
      </c>
      <c r="L2394">
        <f>'raw data Crude oil'!L2395</f>
        <v>0</v>
      </c>
      <c r="M2394">
        <f>'raw data Crude oil'!M2395</f>
        <v>0</v>
      </c>
      <c r="N2394">
        <f>'raw data Crude oil'!N2395</f>
        <v>0</v>
      </c>
      <c r="O2394">
        <f>'raw data Crude oil'!O2395</f>
        <v>0</v>
      </c>
      <c r="P2394">
        <f>'raw data Crude oil'!P2395</f>
        <v>0</v>
      </c>
      <c r="Q2394">
        <f>'raw data Crude oil'!Q2395</f>
        <v>0</v>
      </c>
      <c r="R2394">
        <f>'raw data Crude oil'!R2395</f>
        <v>0</v>
      </c>
      <c r="S2394">
        <f>'raw data Crude oil'!S2395</f>
        <v>0</v>
      </c>
      <c r="T2394">
        <f>'raw data Crude oil'!T2395</f>
        <v>0</v>
      </c>
      <c r="U2394">
        <f>'raw data Crude oil'!U2395</f>
        <v>0</v>
      </c>
      <c r="V2394">
        <f>'raw data Crude oil'!V2395</f>
        <v>0</v>
      </c>
      <c r="W2394">
        <f>'raw data Crude oil'!W2395</f>
        <v>0</v>
      </c>
      <c r="X2394">
        <f>'raw data Crude oil'!X2395</f>
        <v>0</v>
      </c>
      <c r="Y2394">
        <f>'raw data Crude oil'!Y2395</f>
        <v>0</v>
      </c>
      <c r="Z2394">
        <f>'raw data Crude oil'!Z2395</f>
        <v>0</v>
      </c>
      <c r="AA2394">
        <f>'raw data Crude oil'!AA2395</f>
        <v>0</v>
      </c>
      <c r="AB2394">
        <f>'raw data Crude oil'!AB2395</f>
        <v>0</v>
      </c>
      <c r="AC2394">
        <f>'raw data Crude oil'!AC2395</f>
        <v>0</v>
      </c>
      <c r="AD2394">
        <f>'raw data Crude oil'!AD2395</f>
        <v>0</v>
      </c>
      <c r="AE2394">
        <f>'raw data Crude oil'!AE2395</f>
        <v>0</v>
      </c>
      <c r="AF2394">
        <f>'raw data Crude oil'!AF2395</f>
        <v>0</v>
      </c>
      <c r="AG2394">
        <f>'raw data Crude oil'!AG2395</f>
        <v>0</v>
      </c>
      <c r="AH2394">
        <f>'raw data Crude oil'!AH2395</f>
        <v>0</v>
      </c>
      <c r="AI2394">
        <f>'raw data Crude oil'!AI2395</f>
        <v>0</v>
      </c>
      <c r="AJ2394">
        <f>'raw data Crude oil'!AJ2395</f>
        <v>0</v>
      </c>
      <c r="AK2394">
        <f>'raw data Crude oil'!AK2395</f>
        <v>0</v>
      </c>
    </row>
    <row r="2395" spans="1:37" x14ac:dyDescent="0.3">
      <c r="A2395" s="18">
        <f>'raw data Crude oil'!A2396</f>
        <v>0</v>
      </c>
      <c r="B2395">
        <f>'raw data Crude oil'!B2396</f>
        <v>0</v>
      </c>
      <c r="C2395">
        <f>'raw data Crude oil'!C2396</f>
        <v>0</v>
      </c>
      <c r="D2395">
        <f>'raw data Crude oil'!D2396</f>
        <v>0</v>
      </c>
      <c r="E2395">
        <f>'raw data Crude oil'!E2396</f>
        <v>0</v>
      </c>
      <c r="F2395">
        <f>'raw data Crude oil'!F2396</f>
        <v>0</v>
      </c>
      <c r="G2395">
        <f>'raw data Crude oil'!G2396</f>
        <v>0</v>
      </c>
      <c r="H2395">
        <f>'raw data Crude oil'!H2396</f>
        <v>0</v>
      </c>
      <c r="I2395">
        <f>'raw data Crude oil'!I2396</f>
        <v>0</v>
      </c>
      <c r="J2395">
        <f>'raw data Crude oil'!J2396</f>
        <v>0</v>
      </c>
      <c r="K2395">
        <f>'raw data Crude oil'!K2396</f>
        <v>0</v>
      </c>
      <c r="L2395">
        <f>'raw data Crude oil'!L2396</f>
        <v>0</v>
      </c>
      <c r="M2395">
        <f>'raw data Crude oil'!M2396</f>
        <v>0</v>
      </c>
      <c r="N2395">
        <f>'raw data Crude oil'!N2396</f>
        <v>0</v>
      </c>
      <c r="O2395">
        <f>'raw data Crude oil'!O2396</f>
        <v>0</v>
      </c>
      <c r="P2395">
        <f>'raw data Crude oil'!P2396</f>
        <v>0</v>
      </c>
      <c r="Q2395">
        <f>'raw data Crude oil'!Q2396</f>
        <v>0</v>
      </c>
      <c r="R2395">
        <f>'raw data Crude oil'!R2396</f>
        <v>0</v>
      </c>
      <c r="S2395">
        <f>'raw data Crude oil'!S2396</f>
        <v>0</v>
      </c>
      <c r="T2395">
        <f>'raw data Crude oil'!T2396</f>
        <v>0</v>
      </c>
      <c r="U2395">
        <f>'raw data Crude oil'!U2396</f>
        <v>0</v>
      </c>
      <c r="V2395">
        <f>'raw data Crude oil'!V2396</f>
        <v>0</v>
      </c>
      <c r="W2395">
        <f>'raw data Crude oil'!W2396</f>
        <v>0</v>
      </c>
      <c r="X2395">
        <f>'raw data Crude oil'!X2396</f>
        <v>0</v>
      </c>
      <c r="Y2395">
        <f>'raw data Crude oil'!Y2396</f>
        <v>0</v>
      </c>
      <c r="Z2395">
        <f>'raw data Crude oil'!Z2396</f>
        <v>0</v>
      </c>
      <c r="AA2395">
        <f>'raw data Crude oil'!AA2396</f>
        <v>0</v>
      </c>
      <c r="AB2395">
        <f>'raw data Crude oil'!AB2396</f>
        <v>0</v>
      </c>
      <c r="AC2395">
        <f>'raw data Crude oil'!AC2396</f>
        <v>0</v>
      </c>
      <c r="AD2395">
        <f>'raw data Crude oil'!AD2396</f>
        <v>0</v>
      </c>
      <c r="AE2395">
        <f>'raw data Crude oil'!AE2396</f>
        <v>0</v>
      </c>
      <c r="AF2395">
        <f>'raw data Crude oil'!AF2396</f>
        <v>0</v>
      </c>
      <c r="AG2395">
        <f>'raw data Crude oil'!AG2396</f>
        <v>0</v>
      </c>
      <c r="AH2395">
        <f>'raw data Crude oil'!AH2396</f>
        <v>0</v>
      </c>
      <c r="AI2395">
        <f>'raw data Crude oil'!AI2396</f>
        <v>0</v>
      </c>
      <c r="AJ2395">
        <f>'raw data Crude oil'!AJ2396</f>
        <v>0</v>
      </c>
      <c r="AK2395">
        <f>'raw data Crude oil'!AK2396</f>
        <v>0</v>
      </c>
    </row>
    <row r="2396" spans="1:37" x14ac:dyDescent="0.3">
      <c r="A2396" s="18">
        <f>'raw data Crude oil'!A2397</f>
        <v>0</v>
      </c>
      <c r="B2396">
        <f>'raw data Crude oil'!B2397</f>
        <v>0</v>
      </c>
      <c r="C2396">
        <f>'raw data Crude oil'!C2397</f>
        <v>0</v>
      </c>
      <c r="D2396">
        <f>'raw data Crude oil'!D2397</f>
        <v>0</v>
      </c>
      <c r="E2396">
        <f>'raw data Crude oil'!E2397</f>
        <v>0</v>
      </c>
      <c r="F2396">
        <f>'raw data Crude oil'!F2397</f>
        <v>0</v>
      </c>
      <c r="G2396">
        <f>'raw data Crude oil'!G2397</f>
        <v>0</v>
      </c>
      <c r="H2396">
        <f>'raw data Crude oil'!H2397</f>
        <v>0</v>
      </c>
      <c r="I2396">
        <f>'raw data Crude oil'!I2397</f>
        <v>0</v>
      </c>
      <c r="J2396">
        <f>'raw data Crude oil'!J2397</f>
        <v>0</v>
      </c>
      <c r="K2396">
        <f>'raw data Crude oil'!K2397</f>
        <v>0</v>
      </c>
      <c r="L2396">
        <f>'raw data Crude oil'!L2397</f>
        <v>0</v>
      </c>
      <c r="M2396">
        <f>'raw data Crude oil'!M2397</f>
        <v>0</v>
      </c>
      <c r="N2396">
        <f>'raw data Crude oil'!N2397</f>
        <v>0</v>
      </c>
      <c r="O2396">
        <f>'raw data Crude oil'!O2397</f>
        <v>0</v>
      </c>
      <c r="P2396">
        <f>'raw data Crude oil'!P2397</f>
        <v>0</v>
      </c>
      <c r="Q2396">
        <f>'raw data Crude oil'!Q2397</f>
        <v>0</v>
      </c>
      <c r="R2396">
        <f>'raw data Crude oil'!R2397</f>
        <v>0</v>
      </c>
      <c r="S2396">
        <f>'raw data Crude oil'!S2397</f>
        <v>0</v>
      </c>
      <c r="T2396">
        <f>'raw data Crude oil'!T2397</f>
        <v>0</v>
      </c>
      <c r="U2396">
        <f>'raw data Crude oil'!U2397</f>
        <v>0</v>
      </c>
      <c r="V2396">
        <f>'raw data Crude oil'!V2397</f>
        <v>0</v>
      </c>
      <c r="W2396">
        <f>'raw data Crude oil'!W2397</f>
        <v>0</v>
      </c>
      <c r="X2396">
        <f>'raw data Crude oil'!X2397</f>
        <v>0</v>
      </c>
      <c r="Y2396">
        <f>'raw data Crude oil'!Y2397</f>
        <v>0</v>
      </c>
      <c r="Z2396">
        <f>'raw data Crude oil'!Z2397</f>
        <v>0</v>
      </c>
      <c r="AA2396">
        <f>'raw data Crude oil'!AA2397</f>
        <v>0</v>
      </c>
      <c r="AB2396">
        <f>'raw data Crude oil'!AB2397</f>
        <v>0</v>
      </c>
      <c r="AC2396">
        <f>'raw data Crude oil'!AC2397</f>
        <v>0</v>
      </c>
      <c r="AD2396">
        <f>'raw data Crude oil'!AD2397</f>
        <v>0</v>
      </c>
      <c r="AE2396">
        <f>'raw data Crude oil'!AE2397</f>
        <v>0</v>
      </c>
      <c r="AF2396">
        <f>'raw data Crude oil'!AF2397</f>
        <v>0</v>
      </c>
      <c r="AG2396">
        <f>'raw data Crude oil'!AG2397</f>
        <v>0</v>
      </c>
      <c r="AH2396">
        <f>'raw data Crude oil'!AH2397</f>
        <v>0</v>
      </c>
      <c r="AI2396">
        <f>'raw data Crude oil'!AI2397</f>
        <v>0</v>
      </c>
      <c r="AJ2396">
        <f>'raw data Crude oil'!AJ2397</f>
        <v>0</v>
      </c>
      <c r="AK2396">
        <f>'raw data Crude oil'!AK2397</f>
        <v>0</v>
      </c>
    </row>
    <row r="2397" spans="1:37" x14ac:dyDescent="0.3">
      <c r="A2397" s="18">
        <f>'raw data Crude oil'!A2398</f>
        <v>0</v>
      </c>
      <c r="B2397">
        <f>'raw data Crude oil'!B2398</f>
        <v>0</v>
      </c>
      <c r="C2397">
        <f>'raw data Crude oil'!C2398</f>
        <v>0</v>
      </c>
      <c r="D2397">
        <f>'raw data Crude oil'!D2398</f>
        <v>0</v>
      </c>
      <c r="E2397">
        <f>'raw data Crude oil'!E2398</f>
        <v>0</v>
      </c>
      <c r="F2397">
        <f>'raw data Crude oil'!F2398</f>
        <v>0</v>
      </c>
      <c r="G2397">
        <f>'raw data Crude oil'!G2398</f>
        <v>0</v>
      </c>
      <c r="H2397">
        <f>'raw data Crude oil'!H2398</f>
        <v>0</v>
      </c>
      <c r="I2397">
        <f>'raw data Crude oil'!I2398</f>
        <v>0</v>
      </c>
      <c r="J2397">
        <f>'raw data Crude oil'!J2398</f>
        <v>0</v>
      </c>
      <c r="K2397">
        <f>'raw data Crude oil'!K2398</f>
        <v>0</v>
      </c>
      <c r="L2397">
        <f>'raw data Crude oil'!L2398</f>
        <v>0</v>
      </c>
      <c r="M2397">
        <f>'raw data Crude oil'!M2398</f>
        <v>0</v>
      </c>
      <c r="N2397">
        <f>'raw data Crude oil'!N2398</f>
        <v>0</v>
      </c>
      <c r="O2397">
        <f>'raw data Crude oil'!O2398</f>
        <v>0</v>
      </c>
      <c r="P2397">
        <f>'raw data Crude oil'!P2398</f>
        <v>0</v>
      </c>
      <c r="Q2397">
        <f>'raw data Crude oil'!Q2398</f>
        <v>0</v>
      </c>
      <c r="R2397">
        <f>'raw data Crude oil'!R2398</f>
        <v>0</v>
      </c>
      <c r="S2397">
        <f>'raw data Crude oil'!S2398</f>
        <v>0</v>
      </c>
      <c r="T2397">
        <f>'raw data Crude oil'!T2398</f>
        <v>0</v>
      </c>
      <c r="U2397">
        <f>'raw data Crude oil'!U2398</f>
        <v>0</v>
      </c>
      <c r="V2397">
        <f>'raw data Crude oil'!V2398</f>
        <v>0</v>
      </c>
      <c r="W2397">
        <f>'raw data Crude oil'!W2398</f>
        <v>0</v>
      </c>
      <c r="X2397">
        <f>'raw data Crude oil'!X2398</f>
        <v>0</v>
      </c>
      <c r="Y2397">
        <f>'raw data Crude oil'!Y2398</f>
        <v>0</v>
      </c>
      <c r="Z2397">
        <f>'raw data Crude oil'!Z2398</f>
        <v>0</v>
      </c>
      <c r="AA2397">
        <f>'raw data Crude oil'!AA2398</f>
        <v>0</v>
      </c>
      <c r="AB2397">
        <f>'raw data Crude oil'!AB2398</f>
        <v>0</v>
      </c>
      <c r="AC2397">
        <f>'raw data Crude oil'!AC2398</f>
        <v>0</v>
      </c>
      <c r="AD2397">
        <f>'raw data Crude oil'!AD2398</f>
        <v>0</v>
      </c>
      <c r="AE2397">
        <f>'raw data Crude oil'!AE2398</f>
        <v>0</v>
      </c>
      <c r="AF2397">
        <f>'raw data Crude oil'!AF2398</f>
        <v>0</v>
      </c>
      <c r="AG2397">
        <f>'raw data Crude oil'!AG2398</f>
        <v>0</v>
      </c>
      <c r="AH2397">
        <f>'raw data Crude oil'!AH2398</f>
        <v>0</v>
      </c>
      <c r="AI2397">
        <f>'raw data Crude oil'!AI2398</f>
        <v>0</v>
      </c>
      <c r="AJ2397">
        <f>'raw data Crude oil'!AJ2398</f>
        <v>0</v>
      </c>
      <c r="AK2397">
        <f>'raw data Crude oil'!AK2398</f>
        <v>0</v>
      </c>
    </row>
    <row r="2398" spans="1:37" x14ac:dyDescent="0.3">
      <c r="A2398" s="18">
        <f>'raw data Crude oil'!A2399</f>
        <v>0</v>
      </c>
      <c r="B2398">
        <f>'raw data Crude oil'!B2399</f>
        <v>0</v>
      </c>
      <c r="C2398">
        <f>'raw data Crude oil'!C2399</f>
        <v>0</v>
      </c>
      <c r="D2398">
        <f>'raw data Crude oil'!D2399</f>
        <v>0</v>
      </c>
      <c r="E2398">
        <f>'raw data Crude oil'!E2399</f>
        <v>0</v>
      </c>
      <c r="F2398">
        <f>'raw data Crude oil'!F2399</f>
        <v>0</v>
      </c>
      <c r="G2398">
        <f>'raw data Crude oil'!G2399</f>
        <v>0</v>
      </c>
      <c r="H2398">
        <f>'raw data Crude oil'!H2399</f>
        <v>0</v>
      </c>
      <c r="I2398">
        <f>'raw data Crude oil'!I2399</f>
        <v>0</v>
      </c>
      <c r="J2398">
        <f>'raw data Crude oil'!J2399</f>
        <v>0</v>
      </c>
      <c r="K2398">
        <f>'raw data Crude oil'!K2399</f>
        <v>0</v>
      </c>
      <c r="L2398">
        <f>'raw data Crude oil'!L2399</f>
        <v>0</v>
      </c>
      <c r="M2398">
        <f>'raw data Crude oil'!M2399</f>
        <v>0</v>
      </c>
      <c r="N2398">
        <f>'raw data Crude oil'!N2399</f>
        <v>0</v>
      </c>
      <c r="O2398">
        <f>'raw data Crude oil'!O2399</f>
        <v>0</v>
      </c>
      <c r="P2398">
        <f>'raw data Crude oil'!P2399</f>
        <v>0</v>
      </c>
      <c r="Q2398">
        <f>'raw data Crude oil'!Q2399</f>
        <v>0</v>
      </c>
      <c r="R2398">
        <f>'raw data Crude oil'!R2399</f>
        <v>0</v>
      </c>
      <c r="S2398">
        <f>'raw data Crude oil'!S2399</f>
        <v>0</v>
      </c>
      <c r="T2398">
        <f>'raw data Crude oil'!T2399</f>
        <v>0</v>
      </c>
      <c r="U2398">
        <f>'raw data Crude oil'!U2399</f>
        <v>0</v>
      </c>
      <c r="V2398">
        <f>'raw data Crude oil'!V2399</f>
        <v>0</v>
      </c>
      <c r="W2398">
        <f>'raw data Crude oil'!W2399</f>
        <v>0</v>
      </c>
      <c r="X2398">
        <f>'raw data Crude oil'!X2399</f>
        <v>0</v>
      </c>
      <c r="Y2398">
        <f>'raw data Crude oil'!Y2399</f>
        <v>0</v>
      </c>
      <c r="Z2398">
        <f>'raw data Crude oil'!Z2399</f>
        <v>0</v>
      </c>
      <c r="AA2398">
        <f>'raw data Crude oil'!AA2399</f>
        <v>0</v>
      </c>
      <c r="AB2398">
        <f>'raw data Crude oil'!AB2399</f>
        <v>0</v>
      </c>
      <c r="AC2398">
        <f>'raw data Crude oil'!AC2399</f>
        <v>0</v>
      </c>
      <c r="AD2398">
        <f>'raw data Crude oil'!AD2399</f>
        <v>0</v>
      </c>
      <c r="AE2398">
        <f>'raw data Crude oil'!AE2399</f>
        <v>0</v>
      </c>
      <c r="AF2398">
        <f>'raw data Crude oil'!AF2399</f>
        <v>0</v>
      </c>
      <c r="AG2398">
        <f>'raw data Crude oil'!AG2399</f>
        <v>0</v>
      </c>
      <c r="AH2398">
        <f>'raw data Crude oil'!AH2399</f>
        <v>0</v>
      </c>
      <c r="AI2398">
        <f>'raw data Crude oil'!AI2399</f>
        <v>0</v>
      </c>
      <c r="AJ2398">
        <f>'raw data Crude oil'!AJ2399</f>
        <v>0</v>
      </c>
      <c r="AK2398">
        <f>'raw data Crude oil'!AK2399</f>
        <v>0</v>
      </c>
    </row>
    <row r="2399" spans="1:37" x14ac:dyDescent="0.3">
      <c r="A2399" s="18">
        <f>'raw data Crude oil'!A2400</f>
        <v>0</v>
      </c>
      <c r="B2399">
        <f>'raw data Crude oil'!B2400</f>
        <v>0</v>
      </c>
      <c r="C2399">
        <f>'raw data Crude oil'!C2400</f>
        <v>0</v>
      </c>
      <c r="D2399">
        <f>'raw data Crude oil'!D2400</f>
        <v>0</v>
      </c>
      <c r="E2399">
        <f>'raw data Crude oil'!E2400</f>
        <v>0</v>
      </c>
      <c r="F2399">
        <f>'raw data Crude oil'!F2400</f>
        <v>0</v>
      </c>
      <c r="G2399">
        <f>'raw data Crude oil'!G2400</f>
        <v>0</v>
      </c>
      <c r="H2399">
        <f>'raw data Crude oil'!H2400</f>
        <v>0</v>
      </c>
      <c r="I2399">
        <f>'raw data Crude oil'!I2400</f>
        <v>0</v>
      </c>
      <c r="J2399">
        <f>'raw data Crude oil'!J2400</f>
        <v>0</v>
      </c>
      <c r="K2399">
        <f>'raw data Crude oil'!K2400</f>
        <v>0</v>
      </c>
      <c r="L2399">
        <f>'raw data Crude oil'!L2400</f>
        <v>0</v>
      </c>
      <c r="M2399">
        <f>'raw data Crude oil'!M2400</f>
        <v>0</v>
      </c>
      <c r="N2399">
        <f>'raw data Crude oil'!N2400</f>
        <v>0</v>
      </c>
      <c r="O2399">
        <f>'raw data Crude oil'!O2400</f>
        <v>0</v>
      </c>
      <c r="P2399">
        <f>'raw data Crude oil'!P2400</f>
        <v>0</v>
      </c>
      <c r="Q2399">
        <f>'raw data Crude oil'!Q2400</f>
        <v>0</v>
      </c>
      <c r="R2399">
        <f>'raw data Crude oil'!R2400</f>
        <v>0</v>
      </c>
      <c r="S2399">
        <f>'raw data Crude oil'!S2400</f>
        <v>0</v>
      </c>
      <c r="T2399">
        <f>'raw data Crude oil'!T2400</f>
        <v>0</v>
      </c>
      <c r="U2399">
        <f>'raw data Crude oil'!U2400</f>
        <v>0</v>
      </c>
      <c r="V2399">
        <f>'raw data Crude oil'!V2400</f>
        <v>0</v>
      </c>
      <c r="W2399">
        <f>'raw data Crude oil'!W2400</f>
        <v>0</v>
      </c>
      <c r="X2399">
        <f>'raw data Crude oil'!X2400</f>
        <v>0</v>
      </c>
      <c r="Y2399">
        <f>'raw data Crude oil'!Y2400</f>
        <v>0</v>
      </c>
      <c r="Z2399">
        <f>'raw data Crude oil'!Z2400</f>
        <v>0</v>
      </c>
      <c r="AA2399">
        <f>'raw data Crude oil'!AA2400</f>
        <v>0</v>
      </c>
      <c r="AB2399">
        <f>'raw data Crude oil'!AB2400</f>
        <v>0</v>
      </c>
      <c r="AC2399">
        <f>'raw data Crude oil'!AC2400</f>
        <v>0</v>
      </c>
      <c r="AD2399">
        <f>'raw data Crude oil'!AD2400</f>
        <v>0</v>
      </c>
      <c r="AE2399">
        <f>'raw data Crude oil'!AE2400</f>
        <v>0</v>
      </c>
      <c r="AF2399">
        <f>'raw data Crude oil'!AF2400</f>
        <v>0</v>
      </c>
      <c r="AG2399">
        <f>'raw data Crude oil'!AG2400</f>
        <v>0</v>
      </c>
      <c r="AH2399">
        <f>'raw data Crude oil'!AH2400</f>
        <v>0</v>
      </c>
      <c r="AI2399">
        <f>'raw data Crude oil'!AI2400</f>
        <v>0</v>
      </c>
      <c r="AJ2399">
        <f>'raw data Crude oil'!AJ2400</f>
        <v>0</v>
      </c>
      <c r="AK2399">
        <f>'raw data Crude oil'!AK2400</f>
        <v>0</v>
      </c>
    </row>
    <row r="2400" spans="1:37" x14ac:dyDescent="0.3">
      <c r="A2400" s="18">
        <f>'raw data Crude oil'!A2401</f>
        <v>0</v>
      </c>
      <c r="B2400">
        <f>'raw data Crude oil'!B2401</f>
        <v>0</v>
      </c>
      <c r="C2400">
        <f>'raw data Crude oil'!C2401</f>
        <v>0</v>
      </c>
      <c r="D2400">
        <f>'raw data Crude oil'!D2401</f>
        <v>0</v>
      </c>
      <c r="E2400">
        <f>'raw data Crude oil'!E2401</f>
        <v>0</v>
      </c>
      <c r="F2400">
        <f>'raw data Crude oil'!F2401</f>
        <v>0</v>
      </c>
      <c r="G2400">
        <f>'raw data Crude oil'!G2401</f>
        <v>0</v>
      </c>
      <c r="H2400">
        <f>'raw data Crude oil'!H2401</f>
        <v>0</v>
      </c>
      <c r="I2400">
        <f>'raw data Crude oil'!I2401</f>
        <v>0</v>
      </c>
      <c r="J2400">
        <f>'raw data Crude oil'!J2401</f>
        <v>0</v>
      </c>
      <c r="K2400">
        <f>'raw data Crude oil'!K2401</f>
        <v>0</v>
      </c>
      <c r="L2400">
        <f>'raw data Crude oil'!L2401</f>
        <v>0</v>
      </c>
      <c r="M2400">
        <f>'raw data Crude oil'!M2401</f>
        <v>0</v>
      </c>
      <c r="N2400">
        <f>'raw data Crude oil'!N2401</f>
        <v>0</v>
      </c>
      <c r="O2400">
        <f>'raw data Crude oil'!O2401</f>
        <v>0</v>
      </c>
      <c r="P2400">
        <f>'raw data Crude oil'!P2401</f>
        <v>0</v>
      </c>
      <c r="Q2400">
        <f>'raw data Crude oil'!Q2401</f>
        <v>0</v>
      </c>
      <c r="R2400">
        <f>'raw data Crude oil'!R2401</f>
        <v>0</v>
      </c>
      <c r="S2400">
        <f>'raw data Crude oil'!S2401</f>
        <v>0</v>
      </c>
      <c r="T2400">
        <f>'raw data Crude oil'!T2401</f>
        <v>0</v>
      </c>
      <c r="U2400">
        <f>'raw data Crude oil'!U2401</f>
        <v>0</v>
      </c>
      <c r="V2400">
        <f>'raw data Crude oil'!V2401</f>
        <v>0</v>
      </c>
      <c r="W2400">
        <f>'raw data Crude oil'!W2401</f>
        <v>0</v>
      </c>
      <c r="X2400">
        <f>'raw data Crude oil'!X2401</f>
        <v>0</v>
      </c>
      <c r="Y2400">
        <f>'raw data Crude oil'!Y2401</f>
        <v>0</v>
      </c>
      <c r="Z2400">
        <f>'raw data Crude oil'!Z2401</f>
        <v>0</v>
      </c>
      <c r="AA2400">
        <f>'raw data Crude oil'!AA2401</f>
        <v>0</v>
      </c>
      <c r="AB2400">
        <f>'raw data Crude oil'!AB2401</f>
        <v>0</v>
      </c>
      <c r="AC2400">
        <f>'raw data Crude oil'!AC2401</f>
        <v>0</v>
      </c>
      <c r="AD2400">
        <f>'raw data Crude oil'!AD2401</f>
        <v>0</v>
      </c>
      <c r="AE2400">
        <f>'raw data Crude oil'!AE2401</f>
        <v>0</v>
      </c>
      <c r="AF2400">
        <f>'raw data Crude oil'!AF2401</f>
        <v>0</v>
      </c>
      <c r="AG2400">
        <f>'raw data Crude oil'!AG2401</f>
        <v>0</v>
      </c>
      <c r="AH2400">
        <f>'raw data Crude oil'!AH2401</f>
        <v>0</v>
      </c>
      <c r="AI2400">
        <f>'raw data Crude oil'!AI2401</f>
        <v>0</v>
      </c>
      <c r="AJ2400">
        <f>'raw data Crude oil'!AJ2401</f>
        <v>0</v>
      </c>
      <c r="AK2400">
        <f>'raw data Crude oil'!AK2401</f>
        <v>0</v>
      </c>
    </row>
    <row r="2401" spans="1:37" x14ac:dyDescent="0.3">
      <c r="A2401" s="18">
        <f>'raw data Crude oil'!A2402</f>
        <v>0</v>
      </c>
      <c r="B2401">
        <f>'raw data Crude oil'!B2402</f>
        <v>0</v>
      </c>
      <c r="C2401">
        <f>'raw data Crude oil'!C2402</f>
        <v>0</v>
      </c>
      <c r="D2401">
        <f>'raw data Crude oil'!D2402</f>
        <v>0</v>
      </c>
      <c r="E2401">
        <f>'raw data Crude oil'!E2402</f>
        <v>0</v>
      </c>
      <c r="F2401">
        <f>'raw data Crude oil'!F2402</f>
        <v>0</v>
      </c>
      <c r="G2401">
        <f>'raw data Crude oil'!G2402</f>
        <v>0</v>
      </c>
      <c r="H2401">
        <f>'raw data Crude oil'!H2402</f>
        <v>0</v>
      </c>
      <c r="I2401">
        <f>'raw data Crude oil'!I2402</f>
        <v>0</v>
      </c>
      <c r="J2401">
        <f>'raw data Crude oil'!J2402</f>
        <v>0</v>
      </c>
      <c r="K2401">
        <f>'raw data Crude oil'!K2402</f>
        <v>0</v>
      </c>
      <c r="L2401">
        <f>'raw data Crude oil'!L2402</f>
        <v>0</v>
      </c>
      <c r="M2401">
        <f>'raw data Crude oil'!M2402</f>
        <v>0</v>
      </c>
      <c r="N2401">
        <f>'raw data Crude oil'!N2402</f>
        <v>0</v>
      </c>
      <c r="O2401">
        <f>'raw data Crude oil'!O2402</f>
        <v>0</v>
      </c>
      <c r="P2401">
        <f>'raw data Crude oil'!P2402</f>
        <v>0</v>
      </c>
      <c r="Q2401">
        <f>'raw data Crude oil'!Q2402</f>
        <v>0</v>
      </c>
      <c r="R2401">
        <f>'raw data Crude oil'!R2402</f>
        <v>0</v>
      </c>
      <c r="S2401">
        <f>'raw data Crude oil'!S2402</f>
        <v>0</v>
      </c>
      <c r="T2401">
        <f>'raw data Crude oil'!T2402</f>
        <v>0</v>
      </c>
      <c r="U2401">
        <f>'raw data Crude oil'!U2402</f>
        <v>0</v>
      </c>
      <c r="V2401">
        <f>'raw data Crude oil'!V2402</f>
        <v>0</v>
      </c>
      <c r="W2401">
        <f>'raw data Crude oil'!W2402</f>
        <v>0</v>
      </c>
      <c r="X2401">
        <f>'raw data Crude oil'!X2402</f>
        <v>0</v>
      </c>
      <c r="Y2401">
        <f>'raw data Crude oil'!Y2402</f>
        <v>0</v>
      </c>
      <c r="Z2401">
        <f>'raw data Crude oil'!Z2402</f>
        <v>0</v>
      </c>
      <c r="AA2401">
        <f>'raw data Crude oil'!AA2402</f>
        <v>0</v>
      </c>
      <c r="AB2401">
        <f>'raw data Crude oil'!AB2402</f>
        <v>0</v>
      </c>
      <c r="AC2401">
        <f>'raw data Crude oil'!AC2402</f>
        <v>0</v>
      </c>
      <c r="AD2401">
        <f>'raw data Crude oil'!AD2402</f>
        <v>0</v>
      </c>
      <c r="AE2401">
        <f>'raw data Crude oil'!AE2402</f>
        <v>0</v>
      </c>
      <c r="AF2401">
        <f>'raw data Crude oil'!AF2402</f>
        <v>0</v>
      </c>
      <c r="AG2401">
        <f>'raw data Crude oil'!AG2402</f>
        <v>0</v>
      </c>
      <c r="AH2401">
        <f>'raw data Crude oil'!AH2402</f>
        <v>0</v>
      </c>
      <c r="AI2401">
        <f>'raw data Crude oil'!AI2402</f>
        <v>0</v>
      </c>
      <c r="AJ2401">
        <f>'raw data Crude oil'!AJ2402</f>
        <v>0</v>
      </c>
      <c r="AK2401">
        <f>'raw data Crude oil'!AK2402</f>
        <v>0</v>
      </c>
    </row>
    <row r="2402" spans="1:37" x14ac:dyDescent="0.3">
      <c r="A2402" s="18">
        <f>'raw data Crude oil'!A2403</f>
        <v>0</v>
      </c>
      <c r="B2402">
        <f>'raw data Crude oil'!B2403</f>
        <v>0</v>
      </c>
      <c r="C2402">
        <f>'raw data Crude oil'!C2403</f>
        <v>0</v>
      </c>
      <c r="D2402">
        <f>'raw data Crude oil'!D2403</f>
        <v>0</v>
      </c>
      <c r="E2402">
        <f>'raw data Crude oil'!E2403</f>
        <v>0</v>
      </c>
      <c r="F2402">
        <f>'raw data Crude oil'!F2403</f>
        <v>0</v>
      </c>
      <c r="G2402">
        <f>'raw data Crude oil'!G2403</f>
        <v>0</v>
      </c>
      <c r="H2402">
        <f>'raw data Crude oil'!H2403</f>
        <v>0</v>
      </c>
      <c r="I2402">
        <f>'raw data Crude oil'!I2403</f>
        <v>0</v>
      </c>
      <c r="J2402">
        <f>'raw data Crude oil'!J2403</f>
        <v>0</v>
      </c>
      <c r="K2402">
        <f>'raw data Crude oil'!K2403</f>
        <v>0</v>
      </c>
      <c r="L2402">
        <f>'raw data Crude oil'!L2403</f>
        <v>0</v>
      </c>
      <c r="M2402">
        <f>'raw data Crude oil'!M2403</f>
        <v>0</v>
      </c>
      <c r="N2402">
        <f>'raw data Crude oil'!N2403</f>
        <v>0</v>
      </c>
      <c r="O2402">
        <f>'raw data Crude oil'!O2403</f>
        <v>0</v>
      </c>
      <c r="P2402">
        <f>'raw data Crude oil'!P2403</f>
        <v>0</v>
      </c>
      <c r="Q2402">
        <f>'raw data Crude oil'!Q2403</f>
        <v>0</v>
      </c>
      <c r="R2402">
        <f>'raw data Crude oil'!R2403</f>
        <v>0</v>
      </c>
      <c r="S2402">
        <f>'raw data Crude oil'!S2403</f>
        <v>0</v>
      </c>
      <c r="T2402">
        <f>'raw data Crude oil'!T2403</f>
        <v>0</v>
      </c>
      <c r="U2402">
        <f>'raw data Crude oil'!U2403</f>
        <v>0</v>
      </c>
      <c r="V2402">
        <f>'raw data Crude oil'!V2403</f>
        <v>0</v>
      </c>
      <c r="W2402">
        <f>'raw data Crude oil'!W2403</f>
        <v>0</v>
      </c>
      <c r="X2402">
        <f>'raw data Crude oil'!X2403</f>
        <v>0</v>
      </c>
      <c r="Y2402">
        <f>'raw data Crude oil'!Y2403</f>
        <v>0</v>
      </c>
      <c r="Z2402">
        <f>'raw data Crude oil'!Z2403</f>
        <v>0</v>
      </c>
      <c r="AA2402">
        <f>'raw data Crude oil'!AA2403</f>
        <v>0</v>
      </c>
      <c r="AB2402">
        <f>'raw data Crude oil'!AB2403</f>
        <v>0</v>
      </c>
      <c r="AC2402">
        <f>'raw data Crude oil'!AC2403</f>
        <v>0</v>
      </c>
      <c r="AD2402">
        <f>'raw data Crude oil'!AD2403</f>
        <v>0</v>
      </c>
      <c r="AE2402">
        <f>'raw data Crude oil'!AE2403</f>
        <v>0</v>
      </c>
      <c r="AF2402">
        <f>'raw data Crude oil'!AF2403</f>
        <v>0</v>
      </c>
      <c r="AG2402">
        <f>'raw data Crude oil'!AG2403</f>
        <v>0</v>
      </c>
      <c r="AH2402">
        <f>'raw data Crude oil'!AH2403</f>
        <v>0</v>
      </c>
      <c r="AI2402">
        <f>'raw data Crude oil'!AI2403</f>
        <v>0</v>
      </c>
      <c r="AJ2402">
        <f>'raw data Crude oil'!AJ2403</f>
        <v>0</v>
      </c>
      <c r="AK2402">
        <f>'raw data Crude oil'!AK2403</f>
        <v>0</v>
      </c>
    </row>
    <row r="2403" spans="1:37" x14ac:dyDescent="0.3">
      <c r="A2403" s="18">
        <f>'raw data Crude oil'!A2404</f>
        <v>0</v>
      </c>
      <c r="B2403">
        <f>'raw data Crude oil'!B2404</f>
        <v>0</v>
      </c>
      <c r="C2403">
        <f>'raw data Crude oil'!C2404</f>
        <v>0</v>
      </c>
      <c r="D2403">
        <f>'raw data Crude oil'!D2404</f>
        <v>0</v>
      </c>
      <c r="E2403">
        <f>'raw data Crude oil'!E2404</f>
        <v>0</v>
      </c>
      <c r="F2403">
        <f>'raw data Crude oil'!F2404</f>
        <v>0</v>
      </c>
      <c r="G2403">
        <f>'raw data Crude oil'!G2404</f>
        <v>0</v>
      </c>
      <c r="H2403">
        <f>'raw data Crude oil'!H2404</f>
        <v>0</v>
      </c>
      <c r="I2403">
        <f>'raw data Crude oil'!I2404</f>
        <v>0</v>
      </c>
      <c r="J2403">
        <f>'raw data Crude oil'!J2404</f>
        <v>0</v>
      </c>
      <c r="K2403">
        <f>'raw data Crude oil'!K2404</f>
        <v>0</v>
      </c>
      <c r="L2403">
        <f>'raw data Crude oil'!L2404</f>
        <v>0</v>
      </c>
      <c r="M2403">
        <f>'raw data Crude oil'!M2404</f>
        <v>0</v>
      </c>
      <c r="N2403">
        <f>'raw data Crude oil'!N2404</f>
        <v>0</v>
      </c>
      <c r="O2403">
        <f>'raw data Crude oil'!O2404</f>
        <v>0</v>
      </c>
      <c r="P2403">
        <f>'raw data Crude oil'!P2404</f>
        <v>0</v>
      </c>
      <c r="Q2403">
        <f>'raw data Crude oil'!Q2404</f>
        <v>0</v>
      </c>
      <c r="R2403">
        <f>'raw data Crude oil'!R2404</f>
        <v>0</v>
      </c>
      <c r="S2403">
        <f>'raw data Crude oil'!S2404</f>
        <v>0</v>
      </c>
      <c r="T2403">
        <f>'raw data Crude oil'!T2404</f>
        <v>0</v>
      </c>
      <c r="U2403">
        <f>'raw data Crude oil'!U2404</f>
        <v>0</v>
      </c>
      <c r="V2403">
        <f>'raw data Crude oil'!V2404</f>
        <v>0</v>
      </c>
      <c r="W2403">
        <f>'raw data Crude oil'!W2404</f>
        <v>0</v>
      </c>
      <c r="X2403">
        <f>'raw data Crude oil'!X2404</f>
        <v>0</v>
      </c>
      <c r="Y2403">
        <f>'raw data Crude oil'!Y2404</f>
        <v>0</v>
      </c>
      <c r="Z2403">
        <f>'raw data Crude oil'!Z2404</f>
        <v>0</v>
      </c>
      <c r="AA2403">
        <f>'raw data Crude oil'!AA2404</f>
        <v>0</v>
      </c>
      <c r="AB2403">
        <f>'raw data Crude oil'!AB2404</f>
        <v>0</v>
      </c>
      <c r="AC2403">
        <f>'raw data Crude oil'!AC2404</f>
        <v>0</v>
      </c>
      <c r="AD2403">
        <f>'raw data Crude oil'!AD2404</f>
        <v>0</v>
      </c>
      <c r="AE2403">
        <f>'raw data Crude oil'!AE2404</f>
        <v>0</v>
      </c>
      <c r="AF2403">
        <f>'raw data Crude oil'!AF2404</f>
        <v>0</v>
      </c>
      <c r="AG2403">
        <f>'raw data Crude oil'!AG2404</f>
        <v>0</v>
      </c>
      <c r="AH2403">
        <f>'raw data Crude oil'!AH2404</f>
        <v>0</v>
      </c>
      <c r="AI2403">
        <f>'raw data Crude oil'!AI2404</f>
        <v>0</v>
      </c>
      <c r="AJ2403">
        <f>'raw data Crude oil'!AJ2404</f>
        <v>0</v>
      </c>
      <c r="AK2403">
        <f>'raw data Crude oil'!AK2404</f>
        <v>0</v>
      </c>
    </row>
    <row r="2404" spans="1:37" x14ac:dyDescent="0.3">
      <c r="A2404" s="18">
        <f>'raw data Crude oil'!A2405</f>
        <v>0</v>
      </c>
      <c r="B2404">
        <f>'raw data Crude oil'!B2405</f>
        <v>0</v>
      </c>
      <c r="C2404">
        <f>'raw data Crude oil'!C2405</f>
        <v>0</v>
      </c>
      <c r="D2404">
        <f>'raw data Crude oil'!D2405</f>
        <v>0</v>
      </c>
      <c r="E2404">
        <f>'raw data Crude oil'!E2405</f>
        <v>0</v>
      </c>
      <c r="F2404">
        <f>'raw data Crude oil'!F2405</f>
        <v>0</v>
      </c>
      <c r="G2404">
        <f>'raw data Crude oil'!G2405</f>
        <v>0</v>
      </c>
      <c r="H2404">
        <f>'raw data Crude oil'!H2405</f>
        <v>0</v>
      </c>
      <c r="I2404">
        <f>'raw data Crude oil'!I2405</f>
        <v>0</v>
      </c>
      <c r="J2404">
        <f>'raw data Crude oil'!J2405</f>
        <v>0</v>
      </c>
      <c r="K2404">
        <f>'raw data Crude oil'!K2405</f>
        <v>0</v>
      </c>
      <c r="L2404">
        <f>'raw data Crude oil'!L2405</f>
        <v>0</v>
      </c>
      <c r="M2404">
        <f>'raw data Crude oil'!M2405</f>
        <v>0</v>
      </c>
      <c r="N2404">
        <f>'raw data Crude oil'!N2405</f>
        <v>0</v>
      </c>
      <c r="O2404">
        <f>'raw data Crude oil'!O2405</f>
        <v>0</v>
      </c>
      <c r="P2404">
        <f>'raw data Crude oil'!P2405</f>
        <v>0</v>
      </c>
      <c r="Q2404">
        <f>'raw data Crude oil'!Q2405</f>
        <v>0</v>
      </c>
      <c r="R2404">
        <f>'raw data Crude oil'!R2405</f>
        <v>0</v>
      </c>
      <c r="S2404">
        <f>'raw data Crude oil'!S2405</f>
        <v>0</v>
      </c>
      <c r="T2404">
        <f>'raw data Crude oil'!T2405</f>
        <v>0</v>
      </c>
      <c r="U2404">
        <f>'raw data Crude oil'!U2405</f>
        <v>0</v>
      </c>
      <c r="V2404">
        <f>'raw data Crude oil'!V2405</f>
        <v>0</v>
      </c>
      <c r="W2404">
        <f>'raw data Crude oil'!W2405</f>
        <v>0</v>
      </c>
      <c r="X2404">
        <f>'raw data Crude oil'!X2405</f>
        <v>0</v>
      </c>
      <c r="Y2404">
        <f>'raw data Crude oil'!Y2405</f>
        <v>0</v>
      </c>
      <c r="Z2404">
        <f>'raw data Crude oil'!Z2405</f>
        <v>0</v>
      </c>
      <c r="AA2404">
        <f>'raw data Crude oil'!AA2405</f>
        <v>0</v>
      </c>
      <c r="AB2404">
        <f>'raw data Crude oil'!AB2405</f>
        <v>0</v>
      </c>
      <c r="AC2404">
        <f>'raw data Crude oil'!AC2405</f>
        <v>0</v>
      </c>
      <c r="AD2404">
        <f>'raw data Crude oil'!AD2405</f>
        <v>0</v>
      </c>
      <c r="AE2404">
        <f>'raw data Crude oil'!AE2405</f>
        <v>0</v>
      </c>
      <c r="AF2404">
        <f>'raw data Crude oil'!AF2405</f>
        <v>0</v>
      </c>
      <c r="AG2404">
        <f>'raw data Crude oil'!AG2405</f>
        <v>0</v>
      </c>
      <c r="AH2404">
        <f>'raw data Crude oil'!AH2405</f>
        <v>0</v>
      </c>
      <c r="AI2404">
        <f>'raw data Crude oil'!AI2405</f>
        <v>0</v>
      </c>
      <c r="AJ2404">
        <f>'raw data Crude oil'!AJ2405</f>
        <v>0</v>
      </c>
      <c r="AK2404">
        <f>'raw data Crude oil'!AK2405</f>
        <v>0</v>
      </c>
    </row>
    <row r="2405" spans="1:37" x14ac:dyDescent="0.3">
      <c r="A2405" s="18">
        <f>'raw data Crude oil'!A2406</f>
        <v>0</v>
      </c>
      <c r="B2405">
        <f>'raw data Crude oil'!B2406</f>
        <v>0</v>
      </c>
      <c r="C2405">
        <f>'raw data Crude oil'!C2406</f>
        <v>0</v>
      </c>
      <c r="D2405">
        <f>'raw data Crude oil'!D2406</f>
        <v>0</v>
      </c>
      <c r="E2405">
        <f>'raw data Crude oil'!E2406</f>
        <v>0</v>
      </c>
      <c r="F2405">
        <f>'raw data Crude oil'!F2406</f>
        <v>0</v>
      </c>
      <c r="G2405">
        <f>'raw data Crude oil'!G2406</f>
        <v>0</v>
      </c>
      <c r="H2405">
        <f>'raw data Crude oil'!H2406</f>
        <v>0</v>
      </c>
      <c r="I2405">
        <f>'raw data Crude oil'!I2406</f>
        <v>0</v>
      </c>
      <c r="J2405">
        <f>'raw data Crude oil'!J2406</f>
        <v>0</v>
      </c>
      <c r="K2405">
        <f>'raw data Crude oil'!K2406</f>
        <v>0</v>
      </c>
      <c r="L2405">
        <f>'raw data Crude oil'!L2406</f>
        <v>0</v>
      </c>
      <c r="M2405">
        <f>'raw data Crude oil'!M2406</f>
        <v>0</v>
      </c>
      <c r="N2405">
        <f>'raw data Crude oil'!N2406</f>
        <v>0</v>
      </c>
      <c r="O2405">
        <f>'raw data Crude oil'!O2406</f>
        <v>0</v>
      </c>
      <c r="P2405">
        <f>'raw data Crude oil'!P2406</f>
        <v>0</v>
      </c>
      <c r="Q2405">
        <f>'raw data Crude oil'!Q2406</f>
        <v>0</v>
      </c>
      <c r="R2405">
        <f>'raw data Crude oil'!R2406</f>
        <v>0</v>
      </c>
      <c r="S2405">
        <f>'raw data Crude oil'!S2406</f>
        <v>0</v>
      </c>
      <c r="T2405">
        <f>'raw data Crude oil'!T2406</f>
        <v>0</v>
      </c>
      <c r="U2405">
        <f>'raw data Crude oil'!U2406</f>
        <v>0</v>
      </c>
      <c r="V2405">
        <f>'raw data Crude oil'!V2406</f>
        <v>0</v>
      </c>
      <c r="W2405">
        <f>'raw data Crude oil'!W2406</f>
        <v>0</v>
      </c>
      <c r="X2405">
        <f>'raw data Crude oil'!X2406</f>
        <v>0</v>
      </c>
      <c r="Y2405">
        <f>'raw data Crude oil'!Y2406</f>
        <v>0</v>
      </c>
      <c r="Z2405">
        <f>'raw data Crude oil'!Z2406</f>
        <v>0</v>
      </c>
      <c r="AA2405">
        <f>'raw data Crude oil'!AA2406</f>
        <v>0</v>
      </c>
      <c r="AB2405">
        <f>'raw data Crude oil'!AB2406</f>
        <v>0</v>
      </c>
      <c r="AC2405">
        <f>'raw data Crude oil'!AC2406</f>
        <v>0</v>
      </c>
      <c r="AD2405">
        <f>'raw data Crude oil'!AD2406</f>
        <v>0</v>
      </c>
      <c r="AE2405">
        <f>'raw data Crude oil'!AE2406</f>
        <v>0</v>
      </c>
      <c r="AF2405">
        <f>'raw data Crude oil'!AF2406</f>
        <v>0</v>
      </c>
      <c r="AG2405">
        <f>'raw data Crude oil'!AG2406</f>
        <v>0</v>
      </c>
      <c r="AH2405">
        <f>'raw data Crude oil'!AH2406</f>
        <v>0</v>
      </c>
      <c r="AI2405">
        <f>'raw data Crude oil'!AI2406</f>
        <v>0</v>
      </c>
      <c r="AJ2405">
        <f>'raw data Crude oil'!AJ2406</f>
        <v>0</v>
      </c>
      <c r="AK2405">
        <f>'raw data Crude oil'!AK2406</f>
        <v>0</v>
      </c>
    </row>
    <row r="2406" spans="1:37" x14ac:dyDescent="0.3">
      <c r="A2406" s="18">
        <f>'raw data Crude oil'!A2407</f>
        <v>0</v>
      </c>
      <c r="B2406">
        <f>'raw data Crude oil'!B2407</f>
        <v>0</v>
      </c>
      <c r="C2406">
        <f>'raw data Crude oil'!C2407</f>
        <v>0</v>
      </c>
      <c r="D2406">
        <f>'raw data Crude oil'!D2407</f>
        <v>0</v>
      </c>
      <c r="E2406">
        <f>'raw data Crude oil'!E2407</f>
        <v>0</v>
      </c>
      <c r="F2406">
        <f>'raw data Crude oil'!F2407</f>
        <v>0</v>
      </c>
      <c r="G2406">
        <f>'raw data Crude oil'!G2407</f>
        <v>0</v>
      </c>
      <c r="H2406">
        <f>'raw data Crude oil'!H2407</f>
        <v>0</v>
      </c>
      <c r="I2406">
        <f>'raw data Crude oil'!I2407</f>
        <v>0</v>
      </c>
      <c r="J2406">
        <f>'raw data Crude oil'!J2407</f>
        <v>0</v>
      </c>
      <c r="K2406">
        <f>'raw data Crude oil'!K2407</f>
        <v>0</v>
      </c>
      <c r="L2406">
        <f>'raw data Crude oil'!L2407</f>
        <v>0</v>
      </c>
      <c r="M2406">
        <f>'raw data Crude oil'!M2407</f>
        <v>0</v>
      </c>
      <c r="N2406">
        <f>'raw data Crude oil'!N2407</f>
        <v>0</v>
      </c>
      <c r="O2406">
        <f>'raw data Crude oil'!O2407</f>
        <v>0</v>
      </c>
      <c r="P2406">
        <f>'raw data Crude oil'!P2407</f>
        <v>0</v>
      </c>
      <c r="Q2406">
        <f>'raw data Crude oil'!Q2407</f>
        <v>0</v>
      </c>
      <c r="R2406">
        <f>'raw data Crude oil'!R2407</f>
        <v>0</v>
      </c>
      <c r="S2406">
        <f>'raw data Crude oil'!S2407</f>
        <v>0</v>
      </c>
      <c r="T2406">
        <f>'raw data Crude oil'!T2407</f>
        <v>0</v>
      </c>
      <c r="U2406">
        <f>'raw data Crude oil'!U2407</f>
        <v>0</v>
      </c>
      <c r="V2406">
        <f>'raw data Crude oil'!V2407</f>
        <v>0</v>
      </c>
      <c r="W2406">
        <f>'raw data Crude oil'!W2407</f>
        <v>0</v>
      </c>
      <c r="X2406">
        <f>'raw data Crude oil'!X2407</f>
        <v>0</v>
      </c>
      <c r="Y2406">
        <f>'raw data Crude oil'!Y2407</f>
        <v>0</v>
      </c>
      <c r="Z2406">
        <f>'raw data Crude oil'!Z2407</f>
        <v>0</v>
      </c>
      <c r="AA2406">
        <f>'raw data Crude oil'!AA2407</f>
        <v>0</v>
      </c>
      <c r="AB2406">
        <f>'raw data Crude oil'!AB2407</f>
        <v>0</v>
      </c>
      <c r="AC2406">
        <f>'raw data Crude oil'!AC2407</f>
        <v>0</v>
      </c>
      <c r="AD2406">
        <f>'raw data Crude oil'!AD2407</f>
        <v>0</v>
      </c>
      <c r="AE2406">
        <f>'raw data Crude oil'!AE2407</f>
        <v>0</v>
      </c>
      <c r="AF2406">
        <f>'raw data Crude oil'!AF2407</f>
        <v>0</v>
      </c>
      <c r="AG2406">
        <f>'raw data Crude oil'!AG2407</f>
        <v>0</v>
      </c>
      <c r="AH2406">
        <f>'raw data Crude oil'!AH2407</f>
        <v>0</v>
      </c>
      <c r="AI2406">
        <f>'raw data Crude oil'!AI2407</f>
        <v>0</v>
      </c>
      <c r="AJ2406">
        <f>'raw data Crude oil'!AJ2407</f>
        <v>0</v>
      </c>
      <c r="AK2406">
        <f>'raw data Crude oil'!AK2407</f>
        <v>0</v>
      </c>
    </row>
    <row r="2407" spans="1:37" x14ac:dyDescent="0.3">
      <c r="A2407" s="18">
        <f>'raw data Crude oil'!A2408</f>
        <v>0</v>
      </c>
      <c r="B2407">
        <f>'raw data Crude oil'!B2408</f>
        <v>0</v>
      </c>
      <c r="C2407">
        <f>'raw data Crude oil'!C2408</f>
        <v>0</v>
      </c>
      <c r="D2407">
        <f>'raw data Crude oil'!D2408</f>
        <v>0</v>
      </c>
      <c r="E2407">
        <f>'raw data Crude oil'!E2408</f>
        <v>0</v>
      </c>
      <c r="F2407">
        <f>'raw data Crude oil'!F2408</f>
        <v>0</v>
      </c>
      <c r="G2407">
        <f>'raw data Crude oil'!G2408</f>
        <v>0</v>
      </c>
      <c r="H2407">
        <f>'raw data Crude oil'!H2408</f>
        <v>0</v>
      </c>
      <c r="I2407">
        <f>'raw data Crude oil'!I2408</f>
        <v>0</v>
      </c>
      <c r="J2407">
        <f>'raw data Crude oil'!J2408</f>
        <v>0</v>
      </c>
      <c r="K2407">
        <f>'raw data Crude oil'!K2408</f>
        <v>0</v>
      </c>
      <c r="L2407">
        <f>'raw data Crude oil'!L2408</f>
        <v>0</v>
      </c>
      <c r="M2407">
        <f>'raw data Crude oil'!M2408</f>
        <v>0</v>
      </c>
      <c r="N2407">
        <f>'raw data Crude oil'!N2408</f>
        <v>0</v>
      </c>
      <c r="O2407">
        <f>'raw data Crude oil'!O2408</f>
        <v>0</v>
      </c>
      <c r="P2407">
        <f>'raw data Crude oil'!P2408</f>
        <v>0</v>
      </c>
      <c r="Q2407">
        <f>'raw data Crude oil'!Q2408</f>
        <v>0</v>
      </c>
      <c r="R2407">
        <f>'raw data Crude oil'!R2408</f>
        <v>0</v>
      </c>
      <c r="S2407">
        <f>'raw data Crude oil'!S2408</f>
        <v>0</v>
      </c>
      <c r="T2407">
        <f>'raw data Crude oil'!T2408</f>
        <v>0</v>
      </c>
      <c r="U2407">
        <f>'raw data Crude oil'!U2408</f>
        <v>0</v>
      </c>
      <c r="V2407">
        <f>'raw data Crude oil'!V2408</f>
        <v>0</v>
      </c>
      <c r="W2407">
        <f>'raw data Crude oil'!W2408</f>
        <v>0</v>
      </c>
      <c r="X2407">
        <f>'raw data Crude oil'!X2408</f>
        <v>0</v>
      </c>
      <c r="Y2407">
        <f>'raw data Crude oil'!Y2408</f>
        <v>0</v>
      </c>
      <c r="Z2407">
        <f>'raw data Crude oil'!Z2408</f>
        <v>0</v>
      </c>
      <c r="AA2407">
        <f>'raw data Crude oil'!AA2408</f>
        <v>0</v>
      </c>
      <c r="AB2407">
        <f>'raw data Crude oil'!AB2408</f>
        <v>0</v>
      </c>
      <c r="AC2407">
        <f>'raw data Crude oil'!AC2408</f>
        <v>0</v>
      </c>
      <c r="AD2407">
        <f>'raw data Crude oil'!AD2408</f>
        <v>0</v>
      </c>
      <c r="AE2407">
        <f>'raw data Crude oil'!AE2408</f>
        <v>0</v>
      </c>
      <c r="AF2407">
        <f>'raw data Crude oil'!AF2408</f>
        <v>0</v>
      </c>
      <c r="AG2407">
        <f>'raw data Crude oil'!AG2408</f>
        <v>0</v>
      </c>
      <c r="AH2407">
        <f>'raw data Crude oil'!AH2408</f>
        <v>0</v>
      </c>
      <c r="AI2407">
        <f>'raw data Crude oil'!AI2408</f>
        <v>0</v>
      </c>
      <c r="AJ2407">
        <f>'raw data Crude oil'!AJ2408</f>
        <v>0</v>
      </c>
      <c r="AK2407">
        <f>'raw data Crude oil'!AK2408</f>
        <v>0</v>
      </c>
    </row>
    <row r="2408" spans="1:37" x14ac:dyDescent="0.3">
      <c r="A2408" s="18">
        <f>'raw data Crude oil'!A2409</f>
        <v>0</v>
      </c>
      <c r="B2408">
        <f>'raw data Crude oil'!B2409</f>
        <v>0</v>
      </c>
      <c r="C2408">
        <f>'raw data Crude oil'!C2409</f>
        <v>0</v>
      </c>
      <c r="D2408">
        <f>'raw data Crude oil'!D2409</f>
        <v>0</v>
      </c>
      <c r="E2408">
        <f>'raw data Crude oil'!E2409</f>
        <v>0</v>
      </c>
      <c r="F2408">
        <f>'raw data Crude oil'!F2409</f>
        <v>0</v>
      </c>
      <c r="G2408">
        <f>'raw data Crude oil'!G2409</f>
        <v>0</v>
      </c>
      <c r="H2408">
        <f>'raw data Crude oil'!H2409</f>
        <v>0</v>
      </c>
      <c r="I2408">
        <f>'raw data Crude oil'!I2409</f>
        <v>0</v>
      </c>
      <c r="J2408">
        <f>'raw data Crude oil'!J2409</f>
        <v>0</v>
      </c>
      <c r="K2408">
        <f>'raw data Crude oil'!K2409</f>
        <v>0</v>
      </c>
      <c r="L2408">
        <f>'raw data Crude oil'!L2409</f>
        <v>0</v>
      </c>
      <c r="M2408">
        <f>'raw data Crude oil'!M2409</f>
        <v>0</v>
      </c>
      <c r="N2408">
        <f>'raw data Crude oil'!N2409</f>
        <v>0</v>
      </c>
      <c r="O2408">
        <f>'raw data Crude oil'!O2409</f>
        <v>0</v>
      </c>
      <c r="P2408">
        <f>'raw data Crude oil'!P2409</f>
        <v>0</v>
      </c>
      <c r="Q2408">
        <f>'raw data Crude oil'!Q2409</f>
        <v>0</v>
      </c>
      <c r="R2408">
        <f>'raw data Crude oil'!R2409</f>
        <v>0</v>
      </c>
      <c r="S2408">
        <f>'raw data Crude oil'!S2409</f>
        <v>0</v>
      </c>
      <c r="T2408">
        <f>'raw data Crude oil'!T2409</f>
        <v>0</v>
      </c>
      <c r="U2408">
        <f>'raw data Crude oil'!U2409</f>
        <v>0</v>
      </c>
      <c r="V2408">
        <f>'raw data Crude oil'!V2409</f>
        <v>0</v>
      </c>
      <c r="W2408">
        <f>'raw data Crude oil'!W2409</f>
        <v>0</v>
      </c>
      <c r="X2408">
        <f>'raw data Crude oil'!X2409</f>
        <v>0</v>
      </c>
      <c r="Y2408">
        <f>'raw data Crude oil'!Y2409</f>
        <v>0</v>
      </c>
      <c r="Z2408">
        <f>'raw data Crude oil'!Z2409</f>
        <v>0</v>
      </c>
      <c r="AA2408">
        <f>'raw data Crude oil'!AA2409</f>
        <v>0</v>
      </c>
      <c r="AB2408">
        <f>'raw data Crude oil'!AB2409</f>
        <v>0</v>
      </c>
      <c r="AC2408">
        <f>'raw data Crude oil'!AC2409</f>
        <v>0</v>
      </c>
      <c r="AD2408">
        <f>'raw data Crude oil'!AD2409</f>
        <v>0</v>
      </c>
      <c r="AE2408">
        <f>'raw data Crude oil'!AE2409</f>
        <v>0</v>
      </c>
      <c r="AF2408">
        <f>'raw data Crude oil'!AF2409</f>
        <v>0</v>
      </c>
      <c r="AG2408">
        <f>'raw data Crude oil'!AG2409</f>
        <v>0</v>
      </c>
      <c r="AH2408">
        <f>'raw data Crude oil'!AH2409</f>
        <v>0</v>
      </c>
      <c r="AI2408">
        <f>'raw data Crude oil'!AI2409</f>
        <v>0</v>
      </c>
      <c r="AJ2408">
        <f>'raw data Crude oil'!AJ2409</f>
        <v>0</v>
      </c>
      <c r="AK2408">
        <f>'raw data Crude oil'!AK2409</f>
        <v>0</v>
      </c>
    </row>
    <row r="2409" spans="1:37" x14ac:dyDescent="0.3">
      <c r="A2409" s="18">
        <f>'raw data Crude oil'!A2410</f>
        <v>0</v>
      </c>
      <c r="B2409">
        <f>'raw data Crude oil'!B2410</f>
        <v>0</v>
      </c>
      <c r="C2409">
        <f>'raw data Crude oil'!C2410</f>
        <v>0</v>
      </c>
      <c r="D2409">
        <f>'raw data Crude oil'!D2410</f>
        <v>0</v>
      </c>
      <c r="E2409">
        <f>'raw data Crude oil'!E2410</f>
        <v>0</v>
      </c>
      <c r="F2409">
        <f>'raw data Crude oil'!F2410</f>
        <v>0</v>
      </c>
      <c r="G2409">
        <f>'raw data Crude oil'!G2410</f>
        <v>0</v>
      </c>
      <c r="H2409">
        <f>'raw data Crude oil'!H2410</f>
        <v>0</v>
      </c>
      <c r="I2409">
        <f>'raw data Crude oil'!I2410</f>
        <v>0</v>
      </c>
      <c r="J2409">
        <f>'raw data Crude oil'!J2410</f>
        <v>0</v>
      </c>
      <c r="K2409">
        <f>'raw data Crude oil'!K2410</f>
        <v>0</v>
      </c>
      <c r="L2409">
        <f>'raw data Crude oil'!L2410</f>
        <v>0</v>
      </c>
      <c r="M2409">
        <f>'raw data Crude oil'!M2410</f>
        <v>0</v>
      </c>
      <c r="N2409">
        <f>'raw data Crude oil'!N2410</f>
        <v>0</v>
      </c>
      <c r="O2409">
        <f>'raw data Crude oil'!O2410</f>
        <v>0</v>
      </c>
      <c r="P2409">
        <f>'raw data Crude oil'!P2410</f>
        <v>0</v>
      </c>
      <c r="Q2409">
        <f>'raw data Crude oil'!Q2410</f>
        <v>0</v>
      </c>
      <c r="R2409">
        <f>'raw data Crude oil'!R2410</f>
        <v>0</v>
      </c>
      <c r="S2409">
        <f>'raw data Crude oil'!S2410</f>
        <v>0</v>
      </c>
      <c r="T2409">
        <f>'raw data Crude oil'!T2410</f>
        <v>0</v>
      </c>
      <c r="U2409">
        <f>'raw data Crude oil'!U2410</f>
        <v>0</v>
      </c>
      <c r="V2409">
        <f>'raw data Crude oil'!V2410</f>
        <v>0</v>
      </c>
      <c r="W2409">
        <f>'raw data Crude oil'!W2410</f>
        <v>0</v>
      </c>
      <c r="X2409">
        <f>'raw data Crude oil'!X2410</f>
        <v>0</v>
      </c>
      <c r="Y2409">
        <f>'raw data Crude oil'!Y2410</f>
        <v>0</v>
      </c>
      <c r="Z2409">
        <f>'raw data Crude oil'!Z2410</f>
        <v>0</v>
      </c>
      <c r="AA2409">
        <f>'raw data Crude oil'!AA2410</f>
        <v>0</v>
      </c>
      <c r="AB2409">
        <f>'raw data Crude oil'!AB2410</f>
        <v>0</v>
      </c>
      <c r="AC2409">
        <f>'raw data Crude oil'!AC2410</f>
        <v>0</v>
      </c>
      <c r="AD2409">
        <f>'raw data Crude oil'!AD2410</f>
        <v>0</v>
      </c>
      <c r="AE2409">
        <f>'raw data Crude oil'!AE2410</f>
        <v>0</v>
      </c>
      <c r="AF2409">
        <f>'raw data Crude oil'!AF2410</f>
        <v>0</v>
      </c>
      <c r="AG2409">
        <f>'raw data Crude oil'!AG2410</f>
        <v>0</v>
      </c>
      <c r="AH2409">
        <f>'raw data Crude oil'!AH2410</f>
        <v>0</v>
      </c>
      <c r="AI2409">
        <f>'raw data Crude oil'!AI2410</f>
        <v>0</v>
      </c>
      <c r="AJ2409">
        <f>'raw data Crude oil'!AJ2410</f>
        <v>0</v>
      </c>
      <c r="AK2409">
        <f>'raw data Crude oil'!AK2410</f>
        <v>0</v>
      </c>
    </row>
    <row r="2410" spans="1:37" x14ac:dyDescent="0.3">
      <c r="A2410" s="18">
        <f>'raw data Crude oil'!A2411</f>
        <v>0</v>
      </c>
      <c r="B2410">
        <f>'raw data Crude oil'!B2411</f>
        <v>0</v>
      </c>
      <c r="C2410">
        <f>'raw data Crude oil'!C2411</f>
        <v>0</v>
      </c>
      <c r="D2410">
        <f>'raw data Crude oil'!D2411</f>
        <v>0</v>
      </c>
      <c r="E2410">
        <f>'raw data Crude oil'!E2411</f>
        <v>0</v>
      </c>
      <c r="F2410">
        <f>'raw data Crude oil'!F2411</f>
        <v>0</v>
      </c>
      <c r="G2410">
        <f>'raw data Crude oil'!G2411</f>
        <v>0</v>
      </c>
      <c r="H2410">
        <f>'raw data Crude oil'!H2411</f>
        <v>0</v>
      </c>
      <c r="I2410">
        <f>'raw data Crude oil'!I2411</f>
        <v>0</v>
      </c>
      <c r="J2410">
        <f>'raw data Crude oil'!J2411</f>
        <v>0</v>
      </c>
      <c r="K2410">
        <f>'raw data Crude oil'!K2411</f>
        <v>0</v>
      </c>
      <c r="L2410">
        <f>'raw data Crude oil'!L2411</f>
        <v>0</v>
      </c>
      <c r="M2410">
        <f>'raw data Crude oil'!M2411</f>
        <v>0</v>
      </c>
      <c r="N2410">
        <f>'raw data Crude oil'!N2411</f>
        <v>0</v>
      </c>
      <c r="O2410">
        <f>'raw data Crude oil'!O2411</f>
        <v>0</v>
      </c>
      <c r="P2410">
        <f>'raw data Crude oil'!P2411</f>
        <v>0</v>
      </c>
      <c r="Q2410">
        <f>'raw data Crude oil'!Q2411</f>
        <v>0</v>
      </c>
      <c r="R2410">
        <f>'raw data Crude oil'!R2411</f>
        <v>0</v>
      </c>
      <c r="S2410">
        <f>'raw data Crude oil'!S2411</f>
        <v>0</v>
      </c>
      <c r="T2410">
        <f>'raw data Crude oil'!T2411</f>
        <v>0</v>
      </c>
      <c r="U2410">
        <f>'raw data Crude oil'!U2411</f>
        <v>0</v>
      </c>
      <c r="V2410">
        <f>'raw data Crude oil'!V2411</f>
        <v>0</v>
      </c>
      <c r="W2410">
        <f>'raw data Crude oil'!W2411</f>
        <v>0</v>
      </c>
      <c r="X2410">
        <f>'raw data Crude oil'!X2411</f>
        <v>0</v>
      </c>
      <c r="Y2410">
        <f>'raw data Crude oil'!Y2411</f>
        <v>0</v>
      </c>
      <c r="Z2410">
        <f>'raw data Crude oil'!Z2411</f>
        <v>0</v>
      </c>
      <c r="AA2410">
        <f>'raw data Crude oil'!AA2411</f>
        <v>0</v>
      </c>
      <c r="AB2410">
        <f>'raw data Crude oil'!AB2411</f>
        <v>0</v>
      </c>
      <c r="AC2410">
        <f>'raw data Crude oil'!AC2411</f>
        <v>0</v>
      </c>
      <c r="AD2410">
        <f>'raw data Crude oil'!AD2411</f>
        <v>0</v>
      </c>
      <c r="AE2410">
        <f>'raw data Crude oil'!AE2411</f>
        <v>0</v>
      </c>
      <c r="AF2410">
        <f>'raw data Crude oil'!AF2411</f>
        <v>0</v>
      </c>
      <c r="AG2410">
        <f>'raw data Crude oil'!AG2411</f>
        <v>0</v>
      </c>
      <c r="AH2410">
        <f>'raw data Crude oil'!AH2411</f>
        <v>0</v>
      </c>
      <c r="AI2410">
        <f>'raw data Crude oil'!AI2411</f>
        <v>0</v>
      </c>
      <c r="AJ2410">
        <f>'raw data Crude oil'!AJ2411</f>
        <v>0</v>
      </c>
      <c r="AK2410">
        <f>'raw data Crude oil'!AK2411</f>
        <v>0</v>
      </c>
    </row>
    <row r="2411" spans="1:37" x14ac:dyDescent="0.3">
      <c r="A2411" s="18">
        <f>'raw data Crude oil'!A2412</f>
        <v>0</v>
      </c>
      <c r="B2411">
        <f>'raw data Crude oil'!B2412</f>
        <v>0</v>
      </c>
      <c r="C2411">
        <f>'raw data Crude oil'!C2412</f>
        <v>0</v>
      </c>
      <c r="D2411">
        <f>'raw data Crude oil'!D2412</f>
        <v>0</v>
      </c>
      <c r="E2411">
        <f>'raw data Crude oil'!E2412</f>
        <v>0</v>
      </c>
      <c r="F2411">
        <f>'raw data Crude oil'!F2412</f>
        <v>0</v>
      </c>
      <c r="G2411">
        <f>'raw data Crude oil'!G2412</f>
        <v>0</v>
      </c>
      <c r="H2411">
        <f>'raw data Crude oil'!H2412</f>
        <v>0</v>
      </c>
      <c r="I2411">
        <f>'raw data Crude oil'!I2412</f>
        <v>0</v>
      </c>
      <c r="J2411">
        <f>'raw data Crude oil'!J2412</f>
        <v>0</v>
      </c>
      <c r="K2411">
        <f>'raw data Crude oil'!K2412</f>
        <v>0</v>
      </c>
      <c r="L2411">
        <f>'raw data Crude oil'!L2412</f>
        <v>0</v>
      </c>
      <c r="M2411">
        <f>'raw data Crude oil'!M2412</f>
        <v>0</v>
      </c>
      <c r="N2411">
        <f>'raw data Crude oil'!N2412</f>
        <v>0</v>
      </c>
      <c r="O2411">
        <f>'raw data Crude oil'!O2412</f>
        <v>0</v>
      </c>
      <c r="P2411">
        <f>'raw data Crude oil'!P2412</f>
        <v>0</v>
      </c>
      <c r="Q2411">
        <f>'raw data Crude oil'!Q2412</f>
        <v>0</v>
      </c>
      <c r="R2411">
        <f>'raw data Crude oil'!R2412</f>
        <v>0</v>
      </c>
      <c r="S2411">
        <f>'raw data Crude oil'!S2412</f>
        <v>0</v>
      </c>
      <c r="T2411">
        <f>'raw data Crude oil'!T2412</f>
        <v>0</v>
      </c>
      <c r="U2411">
        <f>'raw data Crude oil'!U2412</f>
        <v>0</v>
      </c>
      <c r="V2411">
        <f>'raw data Crude oil'!V2412</f>
        <v>0</v>
      </c>
      <c r="W2411">
        <f>'raw data Crude oil'!W2412</f>
        <v>0</v>
      </c>
      <c r="X2411">
        <f>'raw data Crude oil'!X2412</f>
        <v>0</v>
      </c>
      <c r="Y2411">
        <f>'raw data Crude oil'!Y2412</f>
        <v>0</v>
      </c>
      <c r="Z2411">
        <f>'raw data Crude oil'!Z2412</f>
        <v>0</v>
      </c>
      <c r="AA2411">
        <f>'raw data Crude oil'!AA2412</f>
        <v>0</v>
      </c>
      <c r="AB2411">
        <f>'raw data Crude oil'!AB2412</f>
        <v>0</v>
      </c>
      <c r="AC2411">
        <f>'raw data Crude oil'!AC2412</f>
        <v>0</v>
      </c>
      <c r="AD2411">
        <f>'raw data Crude oil'!AD2412</f>
        <v>0</v>
      </c>
      <c r="AE2411">
        <f>'raw data Crude oil'!AE2412</f>
        <v>0</v>
      </c>
      <c r="AF2411">
        <f>'raw data Crude oil'!AF2412</f>
        <v>0</v>
      </c>
      <c r="AG2411">
        <f>'raw data Crude oil'!AG2412</f>
        <v>0</v>
      </c>
      <c r="AH2411">
        <f>'raw data Crude oil'!AH2412</f>
        <v>0</v>
      </c>
      <c r="AI2411">
        <f>'raw data Crude oil'!AI2412</f>
        <v>0</v>
      </c>
      <c r="AJ2411">
        <f>'raw data Crude oil'!AJ2412</f>
        <v>0</v>
      </c>
      <c r="AK2411">
        <f>'raw data Crude oil'!AK2412</f>
        <v>0</v>
      </c>
    </row>
    <row r="2412" spans="1:37" x14ac:dyDescent="0.3">
      <c r="A2412" s="18">
        <f>'raw data Crude oil'!A2413</f>
        <v>0</v>
      </c>
      <c r="B2412">
        <f>'raw data Crude oil'!B2413</f>
        <v>0</v>
      </c>
      <c r="C2412">
        <f>'raw data Crude oil'!C2413</f>
        <v>0</v>
      </c>
      <c r="D2412">
        <f>'raw data Crude oil'!D2413</f>
        <v>0</v>
      </c>
      <c r="E2412">
        <f>'raw data Crude oil'!E2413</f>
        <v>0</v>
      </c>
      <c r="F2412">
        <f>'raw data Crude oil'!F2413</f>
        <v>0</v>
      </c>
      <c r="G2412">
        <f>'raw data Crude oil'!G2413</f>
        <v>0</v>
      </c>
      <c r="H2412">
        <f>'raw data Crude oil'!H2413</f>
        <v>0</v>
      </c>
      <c r="I2412">
        <f>'raw data Crude oil'!I2413</f>
        <v>0</v>
      </c>
      <c r="J2412">
        <f>'raw data Crude oil'!J2413</f>
        <v>0</v>
      </c>
      <c r="K2412">
        <f>'raw data Crude oil'!K2413</f>
        <v>0</v>
      </c>
      <c r="L2412">
        <f>'raw data Crude oil'!L2413</f>
        <v>0</v>
      </c>
      <c r="M2412">
        <f>'raw data Crude oil'!M2413</f>
        <v>0</v>
      </c>
      <c r="N2412">
        <f>'raw data Crude oil'!N2413</f>
        <v>0</v>
      </c>
      <c r="O2412">
        <f>'raw data Crude oil'!O2413</f>
        <v>0</v>
      </c>
      <c r="P2412">
        <f>'raw data Crude oil'!P2413</f>
        <v>0</v>
      </c>
      <c r="Q2412">
        <f>'raw data Crude oil'!Q2413</f>
        <v>0</v>
      </c>
      <c r="R2412">
        <f>'raw data Crude oil'!R2413</f>
        <v>0</v>
      </c>
      <c r="S2412">
        <f>'raw data Crude oil'!S2413</f>
        <v>0</v>
      </c>
      <c r="T2412">
        <f>'raw data Crude oil'!T2413</f>
        <v>0</v>
      </c>
      <c r="U2412">
        <f>'raw data Crude oil'!U2413</f>
        <v>0</v>
      </c>
      <c r="V2412">
        <f>'raw data Crude oil'!V2413</f>
        <v>0</v>
      </c>
      <c r="W2412">
        <f>'raw data Crude oil'!W2413</f>
        <v>0</v>
      </c>
      <c r="X2412">
        <f>'raw data Crude oil'!X2413</f>
        <v>0</v>
      </c>
      <c r="Y2412">
        <f>'raw data Crude oil'!Y2413</f>
        <v>0</v>
      </c>
      <c r="Z2412">
        <f>'raw data Crude oil'!Z2413</f>
        <v>0</v>
      </c>
      <c r="AA2412">
        <f>'raw data Crude oil'!AA2413</f>
        <v>0</v>
      </c>
      <c r="AB2412">
        <f>'raw data Crude oil'!AB2413</f>
        <v>0</v>
      </c>
      <c r="AC2412">
        <f>'raw data Crude oil'!AC2413</f>
        <v>0</v>
      </c>
      <c r="AD2412">
        <f>'raw data Crude oil'!AD2413</f>
        <v>0</v>
      </c>
      <c r="AE2412">
        <f>'raw data Crude oil'!AE2413</f>
        <v>0</v>
      </c>
      <c r="AF2412">
        <f>'raw data Crude oil'!AF2413</f>
        <v>0</v>
      </c>
      <c r="AG2412">
        <f>'raw data Crude oil'!AG2413</f>
        <v>0</v>
      </c>
      <c r="AH2412">
        <f>'raw data Crude oil'!AH2413</f>
        <v>0</v>
      </c>
      <c r="AI2412">
        <f>'raw data Crude oil'!AI2413</f>
        <v>0</v>
      </c>
      <c r="AJ2412">
        <f>'raw data Crude oil'!AJ2413</f>
        <v>0</v>
      </c>
      <c r="AK2412">
        <f>'raw data Crude oil'!AK2413</f>
        <v>0</v>
      </c>
    </row>
    <row r="2413" spans="1:37" x14ac:dyDescent="0.3">
      <c r="A2413" s="18">
        <f>'raw data Crude oil'!A2414</f>
        <v>0</v>
      </c>
      <c r="B2413">
        <f>'raw data Crude oil'!B2414</f>
        <v>0</v>
      </c>
      <c r="C2413">
        <f>'raw data Crude oil'!C2414</f>
        <v>0</v>
      </c>
      <c r="D2413">
        <f>'raw data Crude oil'!D2414</f>
        <v>0</v>
      </c>
      <c r="E2413">
        <f>'raw data Crude oil'!E2414</f>
        <v>0</v>
      </c>
      <c r="F2413">
        <f>'raw data Crude oil'!F2414</f>
        <v>0</v>
      </c>
      <c r="G2413">
        <f>'raw data Crude oil'!G2414</f>
        <v>0</v>
      </c>
      <c r="H2413">
        <f>'raw data Crude oil'!H2414</f>
        <v>0</v>
      </c>
      <c r="I2413">
        <f>'raw data Crude oil'!I2414</f>
        <v>0</v>
      </c>
      <c r="J2413">
        <f>'raw data Crude oil'!J2414</f>
        <v>0</v>
      </c>
      <c r="K2413">
        <f>'raw data Crude oil'!K2414</f>
        <v>0</v>
      </c>
      <c r="L2413">
        <f>'raw data Crude oil'!L2414</f>
        <v>0</v>
      </c>
      <c r="M2413">
        <f>'raw data Crude oil'!M2414</f>
        <v>0</v>
      </c>
      <c r="N2413">
        <f>'raw data Crude oil'!N2414</f>
        <v>0</v>
      </c>
      <c r="O2413">
        <f>'raw data Crude oil'!O2414</f>
        <v>0</v>
      </c>
      <c r="P2413">
        <f>'raw data Crude oil'!P2414</f>
        <v>0</v>
      </c>
      <c r="Q2413">
        <f>'raw data Crude oil'!Q2414</f>
        <v>0</v>
      </c>
      <c r="R2413">
        <f>'raw data Crude oil'!R2414</f>
        <v>0</v>
      </c>
      <c r="S2413">
        <f>'raw data Crude oil'!S2414</f>
        <v>0</v>
      </c>
      <c r="T2413">
        <f>'raw data Crude oil'!T2414</f>
        <v>0</v>
      </c>
      <c r="U2413">
        <f>'raw data Crude oil'!U2414</f>
        <v>0</v>
      </c>
      <c r="V2413">
        <f>'raw data Crude oil'!V2414</f>
        <v>0</v>
      </c>
      <c r="W2413">
        <f>'raw data Crude oil'!W2414</f>
        <v>0</v>
      </c>
      <c r="X2413">
        <f>'raw data Crude oil'!X2414</f>
        <v>0</v>
      </c>
      <c r="Y2413">
        <f>'raw data Crude oil'!Y2414</f>
        <v>0</v>
      </c>
      <c r="Z2413">
        <f>'raw data Crude oil'!Z2414</f>
        <v>0</v>
      </c>
      <c r="AA2413">
        <f>'raw data Crude oil'!AA2414</f>
        <v>0</v>
      </c>
      <c r="AB2413">
        <f>'raw data Crude oil'!AB2414</f>
        <v>0</v>
      </c>
      <c r="AC2413">
        <f>'raw data Crude oil'!AC2414</f>
        <v>0</v>
      </c>
      <c r="AD2413">
        <f>'raw data Crude oil'!AD2414</f>
        <v>0</v>
      </c>
      <c r="AE2413">
        <f>'raw data Crude oil'!AE2414</f>
        <v>0</v>
      </c>
      <c r="AF2413">
        <f>'raw data Crude oil'!AF2414</f>
        <v>0</v>
      </c>
      <c r="AG2413">
        <f>'raw data Crude oil'!AG2414</f>
        <v>0</v>
      </c>
      <c r="AH2413">
        <f>'raw data Crude oil'!AH2414</f>
        <v>0</v>
      </c>
      <c r="AI2413">
        <f>'raw data Crude oil'!AI2414</f>
        <v>0</v>
      </c>
      <c r="AJ2413">
        <f>'raw data Crude oil'!AJ2414</f>
        <v>0</v>
      </c>
      <c r="AK2413">
        <f>'raw data Crude oil'!AK2414</f>
        <v>0</v>
      </c>
    </row>
    <row r="2414" spans="1:37" x14ac:dyDescent="0.3">
      <c r="A2414" s="18">
        <f>'raw data Crude oil'!A2415</f>
        <v>0</v>
      </c>
      <c r="B2414">
        <f>'raw data Crude oil'!B2415</f>
        <v>0</v>
      </c>
      <c r="C2414">
        <f>'raw data Crude oil'!C2415</f>
        <v>0</v>
      </c>
      <c r="D2414">
        <f>'raw data Crude oil'!D2415</f>
        <v>0</v>
      </c>
      <c r="E2414">
        <f>'raw data Crude oil'!E2415</f>
        <v>0</v>
      </c>
      <c r="F2414">
        <f>'raw data Crude oil'!F2415</f>
        <v>0</v>
      </c>
      <c r="G2414">
        <f>'raw data Crude oil'!G2415</f>
        <v>0</v>
      </c>
      <c r="H2414">
        <f>'raw data Crude oil'!H2415</f>
        <v>0</v>
      </c>
      <c r="I2414">
        <f>'raw data Crude oil'!I2415</f>
        <v>0</v>
      </c>
      <c r="J2414">
        <f>'raw data Crude oil'!J2415</f>
        <v>0</v>
      </c>
      <c r="K2414">
        <f>'raw data Crude oil'!K2415</f>
        <v>0</v>
      </c>
      <c r="L2414">
        <f>'raw data Crude oil'!L2415</f>
        <v>0</v>
      </c>
      <c r="M2414">
        <f>'raw data Crude oil'!M2415</f>
        <v>0</v>
      </c>
      <c r="N2414">
        <f>'raw data Crude oil'!N2415</f>
        <v>0</v>
      </c>
      <c r="O2414">
        <f>'raw data Crude oil'!O2415</f>
        <v>0</v>
      </c>
      <c r="P2414">
        <f>'raw data Crude oil'!P2415</f>
        <v>0</v>
      </c>
      <c r="Q2414">
        <f>'raw data Crude oil'!Q2415</f>
        <v>0</v>
      </c>
      <c r="R2414">
        <f>'raw data Crude oil'!R2415</f>
        <v>0</v>
      </c>
      <c r="S2414">
        <f>'raw data Crude oil'!S2415</f>
        <v>0</v>
      </c>
      <c r="T2414">
        <f>'raw data Crude oil'!T2415</f>
        <v>0</v>
      </c>
      <c r="U2414">
        <f>'raw data Crude oil'!U2415</f>
        <v>0</v>
      </c>
      <c r="V2414">
        <f>'raw data Crude oil'!V2415</f>
        <v>0</v>
      </c>
      <c r="W2414">
        <f>'raw data Crude oil'!W2415</f>
        <v>0</v>
      </c>
      <c r="X2414">
        <f>'raw data Crude oil'!X2415</f>
        <v>0</v>
      </c>
      <c r="Y2414">
        <f>'raw data Crude oil'!Y2415</f>
        <v>0</v>
      </c>
      <c r="Z2414">
        <f>'raw data Crude oil'!Z2415</f>
        <v>0</v>
      </c>
      <c r="AA2414">
        <f>'raw data Crude oil'!AA2415</f>
        <v>0</v>
      </c>
      <c r="AB2414">
        <f>'raw data Crude oil'!AB2415</f>
        <v>0</v>
      </c>
      <c r="AC2414">
        <f>'raw data Crude oil'!AC2415</f>
        <v>0</v>
      </c>
      <c r="AD2414">
        <f>'raw data Crude oil'!AD2415</f>
        <v>0</v>
      </c>
      <c r="AE2414">
        <f>'raw data Crude oil'!AE2415</f>
        <v>0</v>
      </c>
      <c r="AF2414">
        <f>'raw data Crude oil'!AF2415</f>
        <v>0</v>
      </c>
      <c r="AG2414">
        <f>'raw data Crude oil'!AG2415</f>
        <v>0</v>
      </c>
      <c r="AH2414">
        <f>'raw data Crude oil'!AH2415</f>
        <v>0</v>
      </c>
      <c r="AI2414">
        <f>'raw data Crude oil'!AI2415</f>
        <v>0</v>
      </c>
      <c r="AJ2414">
        <f>'raw data Crude oil'!AJ2415</f>
        <v>0</v>
      </c>
      <c r="AK2414">
        <f>'raw data Crude oil'!AK2415</f>
        <v>0</v>
      </c>
    </row>
    <row r="2415" spans="1:37" x14ac:dyDescent="0.3">
      <c r="A2415" s="18">
        <f>'raw data Crude oil'!A2416</f>
        <v>0</v>
      </c>
      <c r="B2415">
        <f>'raw data Crude oil'!B2416</f>
        <v>0</v>
      </c>
      <c r="C2415">
        <f>'raw data Crude oil'!C2416</f>
        <v>0</v>
      </c>
      <c r="D2415">
        <f>'raw data Crude oil'!D2416</f>
        <v>0</v>
      </c>
      <c r="E2415">
        <f>'raw data Crude oil'!E2416</f>
        <v>0</v>
      </c>
      <c r="F2415">
        <f>'raw data Crude oil'!F2416</f>
        <v>0</v>
      </c>
      <c r="G2415">
        <f>'raw data Crude oil'!G2416</f>
        <v>0</v>
      </c>
      <c r="H2415">
        <f>'raw data Crude oil'!H2416</f>
        <v>0</v>
      </c>
      <c r="I2415">
        <f>'raw data Crude oil'!I2416</f>
        <v>0</v>
      </c>
      <c r="J2415">
        <f>'raw data Crude oil'!J2416</f>
        <v>0</v>
      </c>
      <c r="K2415">
        <f>'raw data Crude oil'!K2416</f>
        <v>0</v>
      </c>
      <c r="L2415">
        <f>'raw data Crude oil'!L2416</f>
        <v>0</v>
      </c>
      <c r="M2415">
        <f>'raw data Crude oil'!M2416</f>
        <v>0</v>
      </c>
      <c r="N2415">
        <f>'raw data Crude oil'!N2416</f>
        <v>0</v>
      </c>
      <c r="O2415">
        <f>'raw data Crude oil'!O2416</f>
        <v>0</v>
      </c>
      <c r="P2415">
        <f>'raw data Crude oil'!P2416</f>
        <v>0</v>
      </c>
      <c r="Q2415">
        <f>'raw data Crude oil'!Q2416</f>
        <v>0</v>
      </c>
      <c r="R2415">
        <f>'raw data Crude oil'!R2416</f>
        <v>0</v>
      </c>
      <c r="S2415">
        <f>'raw data Crude oil'!S2416</f>
        <v>0</v>
      </c>
      <c r="T2415">
        <f>'raw data Crude oil'!T2416</f>
        <v>0</v>
      </c>
      <c r="U2415">
        <f>'raw data Crude oil'!U2416</f>
        <v>0</v>
      </c>
      <c r="V2415">
        <f>'raw data Crude oil'!V2416</f>
        <v>0</v>
      </c>
      <c r="W2415">
        <f>'raw data Crude oil'!W2416</f>
        <v>0</v>
      </c>
      <c r="X2415">
        <f>'raw data Crude oil'!X2416</f>
        <v>0</v>
      </c>
      <c r="Y2415">
        <f>'raw data Crude oil'!Y2416</f>
        <v>0</v>
      </c>
      <c r="Z2415">
        <f>'raw data Crude oil'!Z2416</f>
        <v>0</v>
      </c>
      <c r="AA2415">
        <f>'raw data Crude oil'!AA2416</f>
        <v>0</v>
      </c>
      <c r="AB2415">
        <f>'raw data Crude oil'!AB2416</f>
        <v>0</v>
      </c>
      <c r="AC2415">
        <f>'raw data Crude oil'!AC2416</f>
        <v>0</v>
      </c>
      <c r="AD2415">
        <f>'raw data Crude oil'!AD2416</f>
        <v>0</v>
      </c>
      <c r="AE2415">
        <f>'raw data Crude oil'!AE2416</f>
        <v>0</v>
      </c>
      <c r="AF2415">
        <f>'raw data Crude oil'!AF2416</f>
        <v>0</v>
      </c>
      <c r="AG2415">
        <f>'raw data Crude oil'!AG2416</f>
        <v>0</v>
      </c>
      <c r="AH2415">
        <f>'raw data Crude oil'!AH2416</f>
        <v>0</v>
      </c>
      <c r="AI2415">
        <f>'raw data Crude oil'!AI2416</f>
        <v>0</v>
      </c>
      <c r="AJ2415">
        <f>'raw data Crude oil'!AJ2416</f>
        <v>0</v>
      </c>
      <c r="AK2415">
        <f>'raw data Crude oil'!AK2416</f>
        <v>0</v>
      </c>
    </row>
    <row r="2416" spans="1:37" x14ac:dyDescent="0.3">
      <c r="A2416" s="18">
        <f>'raw data Crude oil'!A2417</f>
        <v>0</v>
      </c>
      <c r="B2416">
        <f>'raw data Crude oil'!B2417</f>
        <v>0</v>
      </c>
      <c r="C2416">
        <f>'raw data Crude oil'!C2417</f>
        <v>0</v>
      </c>
      <c r="D2416">
        <f>'raw data Crude oil'!D2417</f>
        <v>0</v>
      </c>
      <c r="E2416">
        <f>'raw data Crude oil'!E2417</f>
        <v>0</v>
      </c>
      <c r="F2416">
        <f>'raw data Crude oil'!F2417</f>
        <v>0</v>
      </c>
      <c r="G2416">
        <f>'raw data Crude oil'!G2417</f>
        <v>0</v>
      </c>
      <c r="H2416">
        <f>'raw data Crude oil'!H2417</f>
        <v>0</v>
      </c>
      <c r="I2416">
        <f>'raw data Crude oil'!I2417</f>
        <v>0</v>
      </c>
      <c r="J2416">
        <f>'raw data Crude oil'!J2417</f>
        <v>0</v>
      </c>
      <c r="K2416">
        <f>'raw data Crude oil'!K2417</f>
        <v>0</v>
      </c>
      <c r="L2416">
        <f>'raw data Crude oil'!L2417</f>
        <v>0</v>
      </c>
      <c r="M2416">
        <f>'raw data Crude oil'!M2417</f>
        <v>0</v>
      </c>
      <c r="N2416">
        <f>'raw data Crude oil'!N2417</f>
        <v>0</v>
      </c>
      <c r="O2416">
        <f>'raw data Crude oil'!O2417</f>
        <v>0</v>
      </c>
      <c r="P2416">
        <f>'raw data Crude oil'!P2417</f>
        <v>0</v>
      </c>
      <c r="Q2416">
        <f>'raw data Crude oil'!Q2417</f>
        <v>0</v>
      </c>
      <c r="R2416">
        <f>'raw data Crude oil'!R2417</f>
        <v>0</v>
      </c>
      <c r="S2416">
        <f>'raw data Crude oil'!S2417</f>
        <v>0</v>
      </c>
      <c r="T2416">
        <f>'raw data Crude oil'!T2417</f>
        <v>0</v>
      </c>
      <c r="U2416">
        <f>'raw data Crude oil'!U2417</f>
        <v>0</v>
      </c>
      <c r="V2416">
        <f>'raw data Crude oil'!V2417</f>
        <v>0</v>
      </c>
      <c r="W2416">
        <f>'raw data Crude oil'!W2417</f>
        <v>0</v>
      </c>
      <c r="X2416">
        <f>'raw data Crude oil'!X2417</f>
        <v>0</v>
      </c>
      <c r="Y2416">
        <f>'raw data Crude oil'!Y2417</f>
        <v>0</v>
      </c>
      <c r="Z2416">
        <f>'raw data Crude oil'!Z2417</f>
        <v>0</v>
      </c>
      <c r="AA2416">
        <f>'raw data Crude oil'!AA2417</f>
        <v>0</v>
      </c>
      <c r="AB2416">
        <f>'raw data Crude oil'!AB2417</f>
        <v>0</v>
      </c>
      <c r="AC2416">
        <f>'raw data Crude oil'!AC2417</f>
        <v>0</v>
      </c>
      <c r="AD2416">
        <f>'raw data Crude oil'!AD2417</f>
        <v>0</v>
      </c>
      <c r="AE2416">
        <f>'raw data Crude oil'!AE2417</f>
        <v>0</v>
      </c>
      <c r="AF2416">
        <f>'raw data Crude oil'!AF2417</f>
        <v>0</v>
      </c>
      <c r="AG2416">
        <f>'raw data Crude oil'!AG2417</f>
        <v>0</v>
      </c>
      <c r="AH2416">
        <f>'raw data Crude oil'!AH2417</f>
        <v>0</v>
      </c>
      <c r="AI2416">
        <f>'raw data Crude oil'!AI2417</f>
        <v>0</v>
      </c>
      <c r="AJ2416">
        <f>'raw data Crude oil'!AJ2417</f>
        <v>0</v>
      </c>
      <c r="AK2416">
        <f>'raw data Crude oil'!AK2417</f>
        <v>0</v>
      </c>
    </row>
    <row r="2417" spans="1:37" x14ac:dyDescent="0.3">
      <c r="A2417" s="18">
        <f>'raw data Crude oil'!A2418</f>
        <v>0</v>
      </c>
      <c r="B2417">
        <f>'raw data Crude oil'!B2418</f>
        <v>0</v>
      </c>
      <c r="C2417">
        <f>'raw data Crude oil'!C2418</f>
        <v>0</v>
      </c>
      <c r="D2417">
        <f>'raw data Crude oil'!D2418</f>
        <v>0</v>
      </c>
      <c r="E2417">
        <f>'raw data Crude oil'!E2418</f>
        <v>0</v>
      </c>
      <c r="F2417">
        <f>'raw data Crude oil'!F2418</f>
        <v>0</v>
      </c>
      <c r="G2417">
        <f>'raw data Crude oil'!G2418</f>
        <v>0</v>
      </c>
      <c r="H2417">
        <f>'raw data Crude oil'!H2418</f>
        <v>0</v>
      </c>
      <c r="I2417">
        <f>'raw data Crude oil'!I2418</f>
        <v>0</v>
      </c>
      <c r="J2417">
        <f>'raw data Crude oil'!J2418</f>
        <v>0</v>
      </c>
      <c r="K2417">
        <f>'raw data Crude oil'!K2418</f>
        <v>0</v>
      </c>
      <c r="L2417">
        <f>'raw data Crude oil'!L2418</f>
        <v>0</v>
      </c>
      <c r="M2417">
        <f>'raw data Crude oil'!M2418</f>
        <v>0</v>
      </c>
      <c r="N2417">
        <f>'raw data Crude oil'!N2418</f>
        <v>0</v>
      </c>
      <c r="O2417">
        <f>'raw data Crude oil'!O2418</f>
        <v>0</v>
      </c>
      <c r="P2417">
        <f>'raw data Crude oil'!P2418</f>
        <v>0</v>
      </c>
      <c r="Q2417">
        <f>'raw data Crude oil'!Q2418</f>
        <v>0</v>
      </c>
      <c r="R2417">
        <f>'raw data Crude oil'!R2418</f>
        <v>0</v>
      </c>
      <c r="S2417">
        <f>'raw data Crude oil'!S2418</f>
        <v>0</v>
      </c>
      <c r="T2417">
        <f>'raw data Crude oil'!T2418</f>
        <v>0</v>
      </c>
      <c r="U2417">
        <f>'raw data Crude oil'!U2418</f>
        <v>0</v>
      </c>
      <c r="V2417">
        <f>'raw data Crude oil'!V2418</f>
        <v>0</v>
      </c>
      <c r="W2417">
        <f>'raw data Crude oil'!W2418</f>
        <v>0</v>
      </c>
      <c r="X2417">
        <f>'raw data Crude oil'!X2418</f>
        <v>0</v>
      </c>
      <c r="Y2417">
        <f>'raw data Crude oil'!Y2418</f>
        <v>0</v>
      </c>
      <c r="Z2417">
        <f>'raw data Crude oil'!Z2418</f>
        <v>0</v>
      </c>
      <c r="AA2417">
        <f>'raw data Crude oil'!AA2418</f>
        <v>0</v>
      </c>
      <c r="AB2417">
        <f>'raw data Crude oil'!AB2418</f>
        <v>0</v>
      </c>
      <c r="AC2417">
        <f>'raw data Crude oil'!AC2418</f>
        <v>0</v>
      </c>
      <c r="AD2417">
        <f>'raw data Crude oil'!AD2418</f>
        <v>0</v>
      </c>
      <c r="AE2417">
        <f>'raw data Crude oil'!AE2418</f>
        <v>0</v>
      </c>
      <c r="AF2417">
        <f>'raw data Crude oil'!AF2418</f>
        <v>0</v>
      </c>
      <c r="AG2417">
        <f>'raw data Crude oil'!AG2418</f>
        <v>0</v>
      </c>
      <c r="AH2417">
        <f>'raw data Crude oil'!AH2418</f>
        <v>0</v>
      </c>
      <c r="AI2417">
        <f>'raw data Crude oil'!AI2418</f>
        <v>0</v>
      </c>
      <c r="AJ2417">
        <f>'raw data Crude oil'!AJ2418</f>
        <v>0</v>
      </c>
      <c r="AK2417">
        <f>'raw data Crude oil'!AK2418</f>
        <v>0</v>
      </c>
    </row>
    <row r="2418" spans="1:37" x14ac:dyDescent="0.3">
      <c r="A2418" s="18">
        <f>'raw data Crude oil'!A2419</f>
        <v>0</v>
      </c>
      <c r="B2418">
        <f>'raw data Crude oil'!B2419</f>
        <v>0</v>
      </c>
      <c r="C2418">
        <f>'raw data Crude oil'!C2419</f>
        <v>0</v>
      </c>
      <c r="D2418">
        <f>'raw data Crude oil'!D2419</f>
        <v>0</v>
      </c>
      <c r="E2418">
        <f>'raw data Crude oil'!E2419</f>
        <v>0</v>
      </c>
      <c r="F2418">
        <f>'raw data Crude oil'!F2419</f>
        <v>0</v>
      </c>
      <c r="G2418">
        <f>'raw data Crude oil'!G2419</f>
        <v>0</v>
      </c>
      <c r="H2418">
        <f>'raw data Crude oil'!H2419</f>
        <v>0</v>
      </c>
      <c r="I2418">
        <f>'raw data Crude oil'!I2419</f>
        <v>0</v>
      </c>
      <c r="J2418">
        <f>'raw data Crude oil'!J2419</f>
        <v>0</v>
      </c>
      <c r="K2418">
        <f>'raw data Crude oil'!K2419</f>
        <v>0</v>
      </c>
      <c r="L2418">
        <f>'raw data Crude oil'!L2419</f>
        <v>0</v>
      </c>
      <c r="M2418">
        <f>'raw data Crude oil'!M2419</f>
        <v>0</v>
      </c>
      <c r="N2418">
        <f>'raw data Crude oil'!N2419</f>
        <v>0</v>
      </c>
      <c r="O2418">
        <f>'raw data Crude oil'!O2419</f>
        <v>0</v>
      </c>
      <c r="P2418">
        <f>'raw data Crude oil'!P2419</f>
        <v>0</v>
      </c>
      <c r="Q2418">
        <f>'raw data Crude oil'!Q2419</f>
        <v>0</v>
      </c>
      <c r="R2418">
        <f>'raw data Crude oil'!R2419</f>
        <v>0</v>
      </c>
      <c r="S2418">
        <f>'raw data Crude oil'!S2419</f>
        <v>0</v>
      </c>
      <c r="T2418">
        <f>'raw data Crude oil'!T2419</f>
        <v>0</v>
      </c>
      <c r="U2418">
        <f>'raw data Crude oil'!U2419</f>
        <v>0</v>
      </c>
      <c r="V2418">
        <f>'raw data Crude oil'!V2419</f>
        <v>0</v>
      </c>
      <c r="W2418">
        <f>'raw data Crude oil'!W2419</f>
        <v>0</v>
      </c>
      <c r="X2418">
        <f>'raw data Crude oil'!X2419</f>
        <v>0</v>
      </c>
      <c r="Y2418">
        <f>'raw data Crude oil'!Y2419</f>
        <v>0</v>
      </c>
      <c r="Z2418">
        <f>'raw data Crude oil'!Z2419</f>
        <v>0</v>
      </c>
      <c r="AA2418">
        <f>'raw data Crude oil'!AA2419</f>
        <v>0</v>
      </c>
      <c r="AB2418">
        <f>'raw data Crude oil'!AB2419</f>
        <v>0</v>
      </c>
      <c r="AC2418">
        <f>'raw data Crude oil'!AC2419</f>
        <v>0</v>
      </c>
      <c r="AD2418">
        <f>'raw data Crude oil'!AD2419</f>
        <v>0</v>
      </c>
      <c r="AE2418">
        <f>'raw data Crude oil'!AE2419</f>
        <v>0</v>
      </c>
      <c r="AF2418">
        <f>'raw data Crude oil'!AF2419</f>
        <v>0</v>
      </c>
      <c r="AG2418">
        <f>'raw data Crude oil'!AG2419</f>
        <v>0</v>
      </c>
      <c r="AH2418">
        <f>'raw data Crude oil'!AH2419</f>
        <v>0</v>
      </c>
      <c r="AI2418">
        <f>'raw data Crude oil'!AI2419</f>
        <v>0</v>
      </c>
      <c r="AJ2418">
        <f>'raw data Crude oil'!AJ2419</f>
        <v>0</v>
      </c>
      <c r="AK2418">
        <f>'raw data Crude oil'!AK2419</f>
        <v>0</v>
      </c>
    </row>
    <row r="2419" spans="1:37" x14ac:dyDescent="0.3">
      <c r="A2419" s="18">
        <f>'raw data Crude oil'!A2420</f>
        <v>0</v>
      </c>
      <c r="B2419">
        <f>'raw data Crude oil'!B2420</f>
        <v>0</v>
      </c>
      <c r="C2419">
        <f>'raw data Crude oil'!C2420</f>
        <v>0</v>
      </c>
      <c r="D2419">
        <f>'raw data Crude oil'!D2420</f>
        <v>0</v>
      </c>
      <c r="E2419">
        <f>'raw data Crude oil'!E2420</f>
        <v>0</v>
      </c>
      <c r="F2419">
        <f>'raw data Crude oil'!F2420</f>
        <v>0</v>
      </c>
      <c r="G2419">
        <f>'raw data Crude oil'!G2420</f>
        <v>0</v>
      </c>
      <c r="H2419">
        <f>'raw data Crude oil'!H2420</f>
        <v>0</v>
      </c>
      <c r="I2419">
        <f>'raw data Crude oil'!I2420</f>
        <v>0</v>
      </c>
      <c r="J2419">
        <f>'raw data Crude oil'!J2420</f>
        <v>0</v>
      </c>
      <c r="K2419">
        <f>'raw data Crude oil'!K2420</f>
        <v>0</v>
      </c>
      <c r="L2419">
        <f>'raw data Crude oil'!L2420</f>
        <v>0</v>
      </c>
      <c r="M2419">
        <f>'raw data Crude oil'!M2420</f>
        <v>0</v>
      </c>
      <c r="N2419">
        <f>'raw data Crude oil'!N2420</f>
        <v>0</v>
      </c>
      <c r="O2419">
        <f>'raw data Crude oil'!O2420</f>
        <v>0</v>
      </c>
      <c r="P2419">
        <f>'raw data Crude oil'!P2420</f>
        <v>0</v>
      </c>
      <c r="Q2419">
        <f>'raw data Crude oil'!Q2420</f>
        <v>0</v>
      </c>
      <c r="R2419">
        <f>'raw data Crude oil'!R2420</f>
        <v>0</v>
      </c>
      <c r="S2419">
        <f>'raw data Crude oil'!S2420</f>
        <v>0</v>
      </c>
      <c r="T2419">
        <f>'raw data Crude oil'!T2420</f>
        <v>0</v>
      </c>
      <c r="U2419">
        <f>'raw data Crude oil'!U2420</f>
        <v>0</v>
      </c>
      <c r="V2419">
        <f>'raw data Crude oil'!V2420</f>
        <v>0</v>
      </c>
      <c r="W2419">
        <f>'raw data Crude oil'!W2420</f>
        <v>0</v>
      </c>
      <c r="X2419">
        <f>'raw data Crude oil'!X2420</f>
        <v>0</v>
      </c>
      <c r="Y2419">
        <f>'raw data Crude oil'!Y2420</f>
        <v>0</v>
      </c>
      <c r="Z2419">
        <f>'raw data Crude oil'!Z2420</f>
        <v>0</v>
      </c>
      <c r="AA2419">
        <f>'raw data Crude oil'!AA2420</f>
        <v>0</v>
      </c>
      <c r="AB2419">
        <f>'raw data Crude oil'!AB2420</f>
        <v>0</v>
      </c>
      <c r="AC2419">
        <f>'raw data Crude oil'!AC2420</f>
        <v>0</v>
      </c>
      <c r="AD2419">
        <f>'raw data Crude oil'!AD2420</f>
        <v>0</v>
      </c>
      <c r="AE2419">
        <f>'raw data Crude oil'!AE2420</f>
        <v>0</v>
      </c>
      <c r="AF2419">
        <f>'raw data Crude oil'!AF2420</f>
        <v>0</v>
      </c>
      <c r="AG2419">
        <f>'raw data Crude oil'!AG2420</f>
        <v>0</v>
      </c>
      <c r="AH2419">
        <f>'raw data Crude oil'!AH2420</f>
        <v>0</v>
      </c>
      <c r="AI2419">
        <f>'raw data Crude oil'!AI2420</f>
        <v>0</v>
      </c>
      <c r="AJ2419">
        <f>'raw data Crude oil'!AJ2420</f>
        <v>0</v>
      </c>
      <c r="AK2419">
        <f>'raw data Crude oil'!AK2420</f>
        <v>0</v>
      </c>
    </row>
    <row r="2420" spans="1:37" x14ac:dyDescent="0.3">
      <c r="A2420" s="18">
        <f>'raw data Crude oil'!A2421</f>
        <v>0</v>
      </c>
      <c r="B2420">
        <f>'raw data Crude oil'!B2421</f>
        <v>0</v>
      </c>
      <c r="C2420">
        <f>'raw data Crude oil'!C2421</f>
        <v>0</v>
      </c>
      <c r="D2420">
        <f>'raw data Crude oil'!D2421</f>
        <v>0</v>
      </c>
      <c r="E2420">
        <f>'raw data Crude oil'!E2421</f>
        <v>0</v>
      </c>
      <c r="F2420">
        <f>'raw data Crude oil'!F2421</f>
        <v>0</v>
      </c>
      <c r="G2420">
        <f>'raw data Crude oil'!G2421</f>
        <v>0</v>
      </c>
      <c r="H2420">
        <f>'raw data Crude oil'!H2421</f>
        <v>0</v>
      </c>
      <c r="I2420">
        <f>'raw data Crude oil'!I2421</f>
        <v>0</v>
      </c>
      <c r="J2420">
        <f>'raw data Crude oil'!J2421</f>
        <v>0</v>
      </c>
      <c r="K2420">
        <f>'raw data Crude oil'!K2421</f>
        <v>0</v>
      </c>
      <c r="L2420">
        <f>'raw data Crude oil'!L2421</f>
        <v>0</v>
      </c>
      <c r="M2420">
        <f>'raw data Crude oil'!M2421</f>
        <v>0</v>
      </c>
      <c r="N2420">
        <f>'raw data Crude oil'!N2421</f>
        <v>0</v>
      </c>
      <c r="O2420">
        <f>'raw data Crude oil'!O2421</f>
        <v>0</v>
      </c>
      <c r="P2420">
        <f>'raw data Crude oil'!P2421</f>
        <v>0</v>
      </c>
      <c r="Q2420">
        <f>'raw data Crude oil'!Q2421</f>
        <v>0</v>
      </c>
      <c r="R2420">
        <f>'raw data Crude oil'!R2421</f>
        <v>0</v>
      </c>
      <c r="S2420">
        <f>'raw data Crude oil'!S2421</f>
        <v>0</v>
      </c>
      <c r="T2420">
        <f>'raw data Crude oil'!T2421</f>
        <v>0</v>
      </c>
      <c r="U2420">
        <f>'raw data Crude oil'!U2421</f>
        <v>0</v>
      </c>
      <c r="V2420">
        <f>'raw data Crude oil'!V2421</f>
        <v>0</v>
      </c>
      <c r="W2420">
        <f>'raw data Crude oil'!W2421</f>
        <v>0</v>
      </c>
      <c r="X2420">
        <f>'raw data Crude oil'!X2421</f>
        <v>0</v>
      </c>
      <c r="Y2420">
        <f>'raw data Crude oil'!Y2421</f>
        <v>0</v>
      </c>
      <c r="Z2420">
        <f>'raw data Crude oil'!Z2421</f>
        <v>0</v>
      </c>
      <c r="AA2420">
        <f>'raw data Crude oil'!AA2421</f>
        <v>0</v>
      </c>
      <c r="AB2420">
        <f>'raw data Crude oil'!AB2421</f>
        <v>0</v>
      </c>
      <c r="AC2420">
        <f>'raw data Crude oil'!AC2421</f>
        <v>0</v>
      </c>
      <c r="AD2420">
        <f>'raw data Crude oil'!AD2421</f>
        <v>0</v>
      </c>
      <c r="AE2420">
        <f>'raw data Crude oil'!AE2421</f>
        <v>0</v>
      </c>
      <c r="AF2420">
        <f>'raw data Crude oil'!AF2421</f>
        <v>0</v>
      </c>
      <c r="AG2420">
        <f>'raw data Crude oil'!AG2421</f>
        <v>0</v>
      </c>
      <c r="AH2420">
        <f>'raw data Crude oil'!AH2421</f>
        <v>0</v>
      </c>
      <c r="AI2420">
        <f>'raw data Crude oil'!AI2421</f>
        <v>0</v>
      </c>
      <c r="AJ2420">
        <f>'raw data Crude oil'!AJ2421</f>
        <v>0</v>
      </c>
      <c r="AK2420">
        <f>'raw data Crude oil'!AK2421</f>
        <v>0</v>
      </c>
    </row>
    <row r="2421" spans="1:37" x14ac:dyDescent="0.3">
      <c r="A2421" s="18">
        <f>'raw data Crude oil'!A2422</f>
        <v>0</v>
      </c>
      <c r="B2421">
        <f>'raw data Crude oil'!B2422</f>
        <v>0</v>
      </c>
      <c r="C2421">
        <f>'raw data Crude oil'!C2422</f>
        <v>0</v>
      </c>
      <c r="D2421">
        <f>'raw data Crude oil'!D2422</f>
        <v>0</v>
      </c>
      <c r="E2421">
        <f>'raw data Crude oil'!E2422</f>
        <v>0</v>
      </c>
      <c r="F2421">
        <f>'raw data Crude oil'!F2422</f>
        <v>0</v>
      </c>
      <c r="G2421">
        <f>'raw data Crude oil'!G2422</f>
        <v>0</v>
      </c>
      <c r="H2421">
        <f>'raw data Crude oil'!H2422</f>
        <v>0</v>
      </c>
      <c r="I2421">
        <f>'raw data Crude oil'!I2422</f>
        <v>0</v>
      </c>
      <c r="J2421">
        <f>'raw data Crude oil'!J2422</f>
        <v>0</v>
      </c>
      <c r="K2421">
        <f>'raw data Crude oil'!K2422</f>
        <v>0</v>
      </c>
      <c r="L2421">
        <f>'raw data Crude oil'!L2422</f>
        <v>0</v>
      </c>
      <c r="M2421">
        <f>'raw data Crude oil'!M2422</f>
        <v>0</v>
      </c>
      <c r="N2421">
        <f>'raw data Crude oil'!N2422</f>
        <v>0</v>
      </c>
      <c r="O2421">
        <f>'raw data Crude oil'!O2422</f>
        <v>0</v>
      </c>
      <c r="P2421">
        <f>'raw data Crude oil'!P2422</f>
        <v>0</v>
      </c>
      <c r="Q2421">
        <f>'raw data Crude oil'!Q2422</f>
        <v>0</v>
      </c>
      <c r="R2421">
        <f>'raw data Crude oil'!R2422</f>
        <v>0</v>
      </c>
      <c r="S2421">
        <f>'raw data Crude oil'!S2422</f>
        <v>0</v>
      </c>
      <c r="T2421">
        <f>'raw data Crude oil'!T2422</f>
        <v>0</v>
      </c>
      <c r="U2421">
        <f>'raw data Crude oil'!U2422</f>
        <v>0</v>
      </c>
      <c r="V2421">
        <f>'raw data Crude oil'!V2422</f>
        <v>0</v>
      </c>
      <c r="W2421">
        <f>'raw data Crude oil'!W2422</f>
        <v>0</v>
      </c>
      <c r="X2421">
        <f>'raw data Crude oil'!X2422</f>
        <v>0</v>
      </c>
      <c r="Y2421">
        <f>'raw data Crude oil'!Y2422</f>
        <v>0</v>
      </c>
      <c r="Z2421">
        <f>'raw data Crude oil'!Z2422</f>
        <v>0</v>
      </c>
      <c r="AA2421">
        <f>'raw data Crude oil'!AA2422</f>
        <v>0</v>
      </c>
      <c r="AB2421">
        <f>'raw data Crude oil'!AB2422</f>
        <v>0</v>
      </c>
      <c r="AC2421">
        <f>'raw data Crude oil'!AC2422</f>
        <v>0</v>
      </c>
      <c r="AD2421">
        <f>'raw data Crude oil'!AD2422</f>
        <v>0</v>
      </c>
      <c r="AE2421">
        <f>'raw data Crude oil'!AE2422</f>
        <v>0</v>
      </c>
      <c r="AF2421">
        <f>'raw data Crude oil'!AF2422</f>
        <v>0</v>
      </c>
      <c r="AG2421">
        <f>'raw data Crude oil'!AG2422</f>
        <v>0</v>
      </c>
      <c r="AH2421">
        <f>'raw data Crude oil'!AH2422</f>
        <v>0</v>
      </c>
      <c r="AI2421">
        <f>'raw data Crude oil'!AI2422</f>
        <v>0</v>
      </c>
      <c r="AJ2421">
        <f>'raw data Crude oil'!AJ2422</f>
        <v>0</v>
      </c>
      <c r="AK2421">
        <f>'raw data Crude oil'!AK2422</f>
        <v>0</v>
      </c>
    </row>
    <row r="2422" spans="1:37" x14ac:dyDescent="0.3">
      <c r="A2422" s="18">
        <f>'raw data Crude oil'!A2423</f>
        <v>0</v>
      </c>
      <c r="B2422">
        <f>'raw data Crude oil'!B2423</f>
        <v>0</v>
      </c>
      <c r="C2422">
        <f>'raw data Crude oil'!C2423</f>
        <v>0</v>
      </c>
      <c r="D2422">
        <f>'raw data Crude oil'!D2423</f>
        <v>0</v>
      </c>
      <c r="E2422">
        <f>'raw data Crude oil'!E2423</f>
        <v>0</v>
      </c>
      <c r="F2422">
        <f>'raw data Crude oil'!F2423</f>
        <v>0</v>
      </c>
      <c r="G2422">
        <f>'raw data Crude oil'!G2423</f>
        <v>0</v>
      </c>
      <c r="H2422">
        <f>'raw data Crude oil'!H2423</f>
        <v>0</v>
      </c>
      <c r="I2422">
        <f>'raw data Crude oil'!I2423</f>
        <v>0</v>
      </c>
      <c r="J2422">
        <f>'raw data Crude oil'!J2423</f>
        <v>0</v>
      </c>
      <c r="K2422">
        <f>'raw data Crude oil'!K2423</f>
        <v>0</v>
      </c>
      <c r="L2422">
        <f>'raw data Crude oil'!L2423</f>
        <v>0</v>
      </c>
      <c r="M2422">
        <f>'raw data Crude oil'!M2423</f>
        <v>0</v>
      </c>
      <c r="N2422">
        <f>'raw data Crude oil'!N2423</f>
        <v>0</v>
      </c>
      <c r="O2422">
        <f>'raw data Crude oil'!O2423</f>
        <v>0</v>
      </c>
      <c r="P2422">
        <f>'raw data Crude oil'!P2423</f>
        <v>0</v>
      </c>
      <c r="Q2422">
        <f>'raw data Crude oil'!Q2423</f>
        <v>0</v>
      </c>
      <c r="R2422">
        <f>'raw data Crude oil'!R2423</f>
        <v>0</v>
      </c>
      <c r="S2422">
        <f>'raw data Crude oil'!S2423</f>
        <v>0</v>
      </c>
      <c r="T2422">
        <f>'raw data Crude oil'!T2423</f>
        <v>0</v>
      </c>
      <c r="U2422">
        <f>'raw data Crude oil'!U2423</f>
        <v>0</v>
      </c>
      <c r="V2422">
        <f>'raw data Crude oil'!V2423</f>
        <v>0</v>
      </c>
      <c r="W2422">
        <f>'raw data Crude oil'!W2423</f>
        <v>0</v>
      </c>
      <c r="X2422">
        <f>'raw data Crude oil'!X2423</f>
        <v>0</v>
      </c>
      <c r="Y2422">
        <f>'raw data Crude oil'!Y2423</f>
        <v>0</v>
      </c>
      <c r="Z2422">
        <f>'raw data Crude oil'!Z2423</f>
        <v>0</v>
      </c>
      <c r="AA2422">
        <f>'raw data Crude oil'!AA2423</f>
        <v>0</v>
      </c>
      <c r="AB2422">
        <f>'raw data Crude oil'!AB2423</f>
        <v>0</v>
      </c>
      <c r="AC2422">
        <f>'raw data Crude oil'!AC2423</f>
        <v>0</v>
      </c>
      <c r="AD2422">
        <f>'raw data Crude oil'!AD2423</f>
        <v>0</v>
      </c>
      <c r="AE2422">
        <f>'raw data Crude oil'!AE2423</f>
        <v>0</v>
      </c>
      <c r="AF2422">
        <f>'raw data Crude oil'!AF2423</f>
        <v>0</v>
      </c>
      <c r="AG2422">
        <f>'raw data Crude oil'!AG2423</f>
        <v>0</v>
      </c>
      <c r="AH2422">
        <f>'raw data Crude oil'!AH2423</f>
        <v>0</v>
      </c>
      <c r="AI2422">
        <f>'raw data Crude oil'!AI2423</f>
        <v>0</v>
      </c>
      <c r="AJ2422">
        <f>'raw data Crude oil'!AJ2423</f>
        <v>0</v>
      </c>
      <c r="AK2422">
        <f>'raw data Crude oil'!AK2423</f>
        <v>0</v>
      </c>
    </row>
    <row r="2423" spans="1:37" x14ac:dyDescent="0.3">
      <c r="A2423" s="18">
        <f>'raw data Crude oil'!A2424</f>
        <v>0</v>
      </c>
      <c r="B2423">
        <f>'raw data Crude oil'!B2424</f>
        <v>0</v>
      </c>
      <c r="C2423">
        <f>'raw data Crude oil'!C2424</f>
        <v>0</v>
      </c>
      <c r="D2423">
        <f>'raw data Crude oil'!D2424</f>
        <v>0</v>
      </c>
      <c r="E2423">
        <f>'raw data Crude oil'!E2424</f>
        <v>0</v>
      </c>
      <c r="F2423">
        <f>'raw data Crude oil'!F2424</f>
        <v>0</v>
      </c>
      <c r="G2423">
        <f>'raw data Crude oil'!G2424</f>
        <v>0</v>
      </c>
      <c r="H2423">
        <f>'raw data Crude oil'!H2424</f>
        <v>0</v>
      </c>
      <c r="I2423">
        <f>'raw data Crude oil'!I2424</f>
        <v>0</v>
      </c>
      <c r="J2423">
        <f>'raw data Crude oil'!J2424</f>
        <v>0</v>
      </c>
      <c r="K2423">
        <f>'raw data Crude oil'!K2424</f>
        <v>0</v>
      </c>
      <c r="L2423">
        <f>'raw data Crude oil'!L2424</f>
        <v>0</v>
      </c>
      <c r="M2423">
        <f>'raw data Crude oil'!M2424</f>
        <v>0</v>
      </c>
      <c r="N2423">
        <f>'raw data Crude oil'!N2424</f>
        <v>0</v>
      </c>
      <c r="O2423">
        <f>'raw data Crude oil'!O2424</f>
        <v>0</v>
      </c>
      <c r="P2423">
        <f>'raw data Crude oil'!P2424</f>
        <v>0</v>
      </c>
      <c r="Q2423">
        <f>'raw data Crude oil'!Q2424</f>
        <v>0</v>
      </c>
      <c r="R2423">
        <f>'raw data Crude oil'!R2424</f>
        <v>0</v>
      </c>
      <c r="S2423">
        <f>'raw data Crude oil'!S2424</f>
        <v>0</v>
      </c>
      <c r="T2423">
        <f>'raw data Crude oil'!T2424</f>
        <v>0</v>
      </c>
      <c r="U2423">
        <f>'raw data Crude oil'!U2424</f>
        <v>0</v>
      </c>
      <c r="V2423">
        <f>'raw data Crude oil'!V2424</f>
        <v>0</v>
      </c>
      <c r="W2423">
        <f>'raw data Crude oil'!W2424</f>
        <v>0</v>
      </c>
      <c r="X2423">
        <f>'raw data Crude oil'!X2424</f>
        <v>0</v>
      </c>
      <c r="Y2423">
        <f>'raw data Crude oil'!Y2424</f>
        <v>0</v>
      </c>
      <c r="Z2423">
        <f>'raw data Crude oil'!Z2424</f>
        <v>0</v>
      </c>
      <c r="AA2423">
        <f>'raw data Crude oil'!AA2424</f>
        <v>0</v>
      </c>
      <c r="AB2423">
        <f>'raw data Crude oil'!AB2424</f>
        <v>0</v>
      </c>
      <c r="AC2423">
        <f>'raw data Crude oil'!AC2424</f>
        <v>0</v>
      </c>
      <c r="AD2423">
        <f>'raw data Crude oil'!AD2424</f>
        <v>0</v>
      </c>
      <c r="AE2423">
        <f>'raw data Crude oil'!AE2424</f>
        <v>0</v>
      </c>
      <c r="AF2423">
        <f>'raw data Crude oil'!AF2424</f>
        <v>0</v>
      </c>
      <c r="AG2423">
        <f>'raw data Crude oil'!AG2424</f>
        <v>0</v>
      </c>
      <c r="AH2423">
        <f>'raw data Crude oil'!AH2424</f>
        <v>0</v>
      </c>
      <c r="AI2423">
        <f>'raw data Crude oil'!AI2424</f>
        <v>0</v>
      </c>
      <c r="AJ2423">
        <f>'raw data Crude oil'!AJ2424</f>
        <v>0</v>
      </c>
      <c r="AK2423">
        <f>'raw data Crude oil'!AK2424</f>
        <v>0</v>
      </c>
    </row>
    <row r="2424" spans="1:37" x14ac:dyDescent="0.3">
      <c r="A2424" s="18">
        <f>'raw data Crude oil'!A2425</f>
        <v>0</v>
      </c>
      <c r="B2424">
        <f>'raw data Crude oil'!B2425</f>
        <v>0</v>
      </c>
      <c r="C2424">
        <f>'raw data Crude oil'!C2425</f>
        <v>0</v>
      </c>
      <c r="D2424">
        <f>'raw data Crude oil'!D2425</f>
        <v>0</v>
      </c>
      <c r="E2424">
        <f>'raw data Crude oil'!E2425</f>
        <v>0</v>
      </c>
      <c r="F2424">
        <f>'raw data Crude oil'!F2425</f>
        <v>0</v>
      </c>
      <c r="G2424">
        <f>'raw data Crude oil'!G2425</f>
        <v>0</v>
      </c>
      <c r="H2424">
        <f>'raw data Crude oil'!H2425</f>
        <v>0</v>
      </c>
      <c r="I2424">
        <f>'raw data Crude oil'!I2425</f>
        <v>0</v>
      </c>
      <c r="J2424">
        <f>'raw data Crude oil'!J2425</f>
        <v>0</v>
      </c>
      <c r="K2424">
        <f>'raw data Crude oil'!K2425</f>
        <v>0</v>
      </c>
      <c r="L2424">
        <f>'raw data Crude oil'!L2425</f>
        <v>0</v>
      </c>
      <c r="M2424">
        <f>'raw data Crude oil'!M2425</f>
        <v>0</v>
      </c>
      <c r="N2424">
        <f>'raw data Crude oil'!N2425</f>
        <v>0</v>
      </c>
      <c r="O2424">
        <f>'raw data Crude oil'!O2425</f>
        <v>0</v>
      </c>
      <c r="P2424">
        <f>'raw data Crude oil'!P2425</f>
        <v>0</v>
      </c>
      <c r="Q2424">
        <f>'raw data Crude oil'!Q2425</f>
        <v>0</v>
      </c>
      <c r="R2424">
        <f>'raw data Crude oil'!R2425</f>
        <v>0</v>
      </c>
      <c r="S2424">
        <f>'raw data Crude oil'!S2425</f>
        <v>0</v>
      </c>
      <c r="T2424">
        <f>'raw data Crude oil'!T2425</f>
        <v>0</v>
      </c>
      <c r="U2424">
        <f>'raw data Crude oil'!U2425</f>
        <v>0</v>
      </c>
      <c r="V2424">
        <f>'raw data Crude oil'!V2425</f>
        <v>0</v>
      </c>
      <c r="W2424">
        <f>'raw data Crude oil'!W2425</f>
        <v>0</v>
      </c>
      <c r="X2424">
        <f>'raw data Crude oil'!X2425</f>
        <v>0</v>
      </c>
      <c r="Y2424">
        <f>'raw data Crude oil'!Y2425</f>
        <v>0</v>
      </c>
      <c r="Z2424">
        <f>'raw data Crude oil'!Z2425</f>
        <v>0</v>
      </c>
      <c r="AA2424">
        <f>'raw data Crude oil'!AA2425</f>
        <v>0</v>
      </c>
      <c r="AB2424">
        <f>'raw data Crude oil'!AB2425</f>
        <v>0</v>
      </c>
      <c r="AC2424">
        <f>'raw data Crude oil'!AC2425</f>
        <v>0</v>
      </c>
      <c r="AD2424">
        <f>'raw data Crude oil'!AD2425</f>
        <v>0</v>
      </c>
      <c r="AE2424">
        <f>'raw data Crude oil'!AE2425</f>
        <v>0</v>
      </c>
      <c r="AF2424">
        <f>'raw data Crude oil'!AF2425</f>
        <v>0</v>
      </c>
      <c r="AG2424">
        <f>'raw data Crude oil'!AG2425</f>
        <v>0</v>
      </c>
      <c r="AH2424">
        <f>'raw data Crude oil'!AH2425</f>
        <v>0</v>
      </c>
      <c r="AI2424">
        <f>'raw data Crude oil'!AI2425</f>
        <v>0</v>
      </c>
      <c r="AJ2424">
        <f>'raw data Crude oil'!AJ2425</f>
        <v>0</v>
      </c>
      <c r="AK2424">
        <f>'raw data Crude oil'!AK2425</f>
        <v>0</v>
      </c>
    </row>
    <row r="2425" spans="1:37" x14ac:dyDescent="0.3">
      <c r="A2425" s="18">
        <f>'raw data Crude oil'!A2426</f>
        <v>0</v>
      </c>
      <c r="B2425">
        <f>'raw data Crude oil'!B2426</f>
        <v>0</v>
      </c>
      <c r="C2425">
        <f>'raw data Crude oil'!C2426</f>
        <v>0</v>
      </c>
      <c r="D2425">
        <f>'raw data Crude oil'!D2426</f>
        <v>0</v>
      </c>
      <c r="E2425">
        <f>'raw data Crude oil'!E2426</f>
        <v>0</v>
      </c>
      <c r="F2425">
        <f>'raw data Crude oil'!F2426</f>
        <v>0</v>
      </c>
      <c r="G2425">
        <f>'raw data Crude oil'!G2426</f>
        <v>0</v>
      </c>
      <c r="H2425">
        <f>'raw data Crude oil'!H2426</f>
        <v>0</v>
      </c>
      <c r="I2425">
        <f>'raw data Crude oil'!I2426</f>
        <v>0</v>
      </c>
      <c r="J2425">
        <f>'raw data Crude oil'!J2426</f>
        <v>0</v>
      </c>
      <c r="K2425">
        <f>'raw data Crude oil'!K2426</f>
        <v>0</v>
      </c>
      <c r="L2425">
        <f>'raw data Crude oil'!L2426</f>
        <v>0</v>
      </c>
      <c r="M2425">
        <f>'raw data Crude oil'!M2426</f>
        <v>0</v>
      </c>
      <c r="N2425">
        <f>'raw data Crude oil'!N2426</f>
        <v>0</v>
      </c>
      <c r="O2425">
        <f>'raw data Crude oil'!O2426</f>
        <v>0</v>
      </c>
      <c r="P2425">
        <f>'raw data Crude oil'!P2426</f>
        <v>0</v>
      </c>
      <c r="Q2425">
        <f>'raw data Crude oil'!Q2426</f>
        <v>0</v>
      </c>
      <c r="R2425">
        <f>'raw data Crude oil'!R2426</f>
        <v>0</v>
      </c>
      <c r="S2425">
        <f>'raw data Crude oil'!S2426</f>
        <v>0</v>
      </c>
      <c r="T2425">
        <f>'raw data Crude oil'!T2426</f>
        <v>0</v>
      </c>
      <c r="U2425">
        <f>'raw data Crude oil'!U2426</f>
        <v>0</v>
      </c>
      <c r="V2425">
        <f>'raw data Crude oil'!V2426</f>
        <v>0</v>
      </c>
      <c r="W2425">
        <f>'raw data Crude oil'!W2426</f>
        <v>0</v>
      </c>
      <c r="X2425">
        <f>'raw data Crude oil'!X2426</f>
        <v>0</v>
      </c>
      <c r="Y2425">
        <f>'raw data Crude oil'!Y2426</f>
        <v>0</v>
      </c>
      <c r="Z2425">
        <f>'raw data Crude oil'!Z2426</f>
        <v>0</v>
      </c>
      <c r="AA2425">
        <f>'raw data Crude oil'!AA2426</f>
        <v>0</v>
      </c>
      <c r="AB2425">
        <f>'raw data Crude oil'!AB2426</f>
        <v>0</v>
      </c>
      <c r="AC2425">
        <f>'raw data Crude oil'!AC2426</f>
        <v>0</v>
      </c>
      <c r="AD2425">
        <f>'raw data Crude oil'!AD2426</f>
        <v>0</v>
      </c>
      <c r="AE2425">
        <f>'raw data Crude oil'!AE2426</f>
        <v>0</v>
      </c>
      <c r="AF2425">
        <f>'raw data Crude oil'!AF2426</f>
        <v>0</v>
      </c>
      <c r="AG2425">
        <f>'raw data Crude oil'!AG2426</f>
        <v>0</v>
      </c>
      <c r="AH2425">
        <f>'raw data Crude oil'!AH2426</f>
        <v>0</v>
      </c>
      <c r="AI2425">
        <f>'raw data Crude oil'!AI2426</f>
        <v>0</v>
      </c>
      <c r="AJ2425">
        <f>'raw data Crude oil'!AJ2426</f>
        <v>0</v>
      </c>
      <c r="AK2425">
        <f>'raw data Crude oil'!AK2426</f>
        <v>0</v>
      </c>
    </row>
    <row r="2426" spans="1:37" x14ac:dyDescent="0.3">
      <c r="A2426" s="18">
        <f>'raw data Crude oil'!A2427</f>
        <v>0</v>
      </c>
      <c r="B2426">
        <f>'raw data Crude oil'!B2427</f>
        <v>0</v>
      </c>
      <c r="C2426">
        <f>'raw data Crude oil'!C2427</f>
        <v>0</v>
      </c>
      <c r="D2426">
        <f>'raw data Crude oil'!D2427</f>
        <v>0</v>
      </c>
      <c r="E2426">
        <f>'raw data Crude oil'!E2427</f>
        <v>0</v>
      </c>
      <c r="F2426">
        <f>'raw data Crude oil'!F2427</f>
        <v>0</v>
      </c>
      <c r="G2426">
        <f>'raw data Crude oil'!G2427</f>
        <v>0</v>
      </c>
      <c r="H2426">
        <f>'raw data Crude oil'!H2427</f>
        <v>0</v>
      </c>
      <c r="I2426">
        <f>'raw data Crude oil'!I2427</f>
        <v>0</v>
      </c>
      <c r="J2426">
        <f>'raw data Crude oil'!J2427</f>
        <v>0</v>
      </c>
      <c r="K2426">
        <f>'raw data Crude oil'!K2427</f>
        <v>0</v>
      </c>
      <c r="L2426">
        <f>'raw data Crude oil'!L2427</f>
        <v>0</v>
      </c>
      <c r="M2426">
        <f>'raw data Crude oil'!M2427</f>
        <v>0</v>
      </c>
      <c r="N2426">
        <f>'raw data Crude oil'!N2427</f>
        <v>0</v>
      </c>
      <c r="O2426">
        <f>'raw data Crude oil'!O2427</f>
        <v>0</v>
      </c>
      <c r="P2426">
        <f>'raw data Crude oil'!P2427</f>
        <v>0</v>
      </c>
      <c r="Q2426">
        <f>'raw data Crude oil'!Q2427</f>
        <v>0</v>
      </c>
      <c r="R2426">
        <f>'raw data Crude oil'!R2427</f>
        <v>0</v>
      </c>
      <c r="S2426">
        <f>'raw data Crude oil'!S2427</f>
        <v>0</v>
      </c>
      <c r="T2426">
        <f>'raw data Crude oil'!T2427</f>
        <v>0</v>
      </c>
      <c r="U2426">
        <f>'raw data Crude oil'!U2427</f>
        <v>0</v>
      </c>
      <c r="V2426">
        <f>'raw data Crude oil'!V2427</f>
        <v>0</v>
      </c>
      <c r="W2426">
        <f>'raw data Crude oil'!W2427</f>
        <v>0</v>
      </c>
      <c r="X2426">
        <f>'raw data Crude oil'!X2427</f>
        <v>0</v>
      </c>
      <c r="Y2426">
        <f>'raw data Crude oil'!Y2427</f>
        <v>0</v>
      </c>
      <c r="Z2426">
        <f>'raw data Crude oil'!Z2427</f>
        <v>0</v>
      </c>
      <c r="AA2426">
        <f>'raw data Crude oil'!AA2427</f>
        <v>0</v>
      </c>
      <c r="AB2426">
        <f>'raw data Crude oil'!AB2427</f>
        <v>0</v>
      </c>
      <c r="AC2426">
        <f>'raw data Crude oil'!AC2427</f>
        <v>0</v>
      </c>
      <c r="AD2426">
        <f>'raw data Crude oil'!AD2427</f>
        <v>0</v>
      </c>
      <c r="AE2426">
        <f>'raw data Crude oil'!AE2427</f>
        <v>0</v>
      </c>
      <c r="AF2426">
        <f>'raw data Crude oil'!AF2427</f>
        <v>0</v>
      </c>
      <c r="AG2426">
        <f>'raw data Crude oil'!AG2427</f>
        <v>0</v>
      </c>
      <c r="AH2426">
        <f>'raw data Crude oil'!AH2427</f>
        <v>0</v>
      </c>
      <c r="AI2426">
        <f>'raw data Crude oil'!AI2427</f>
        <v>0</v>
      </c>
      <c r="AJ2426">
        <f>'raw data Crude oil'!AJ2427</f>
        <v>0</v>
      </c>
      <c r="AK2426">
        <f>'raw data Crude oil'!AK2427</f>
        <v>0</v>
      </c>
    </row>
    <row r="2427" spans="1:37" x14ac:dyDescent="0.3">
      <c r="A2427" s="18">
        <f>'raw data Crude oil'!A2428</f>
        <v>0</v>
      </c>
      <c r="B2427">
        <f>'raw data Crude oil'!B2428</f>
        <v>0</v>
      </c>
      <c r="C2427">
        <f>'raw data Crude oil'!C2428</f>
        <v>0</v>
      </c>
      <c r="D2427">
        <f>'raw data Crude oil'!D2428</f>
        <v>0</v>
      </c>
      <c r="E2427">
        <f>'raw data Crude oil'!E2428</f>
        <v>0</v>
      </c>
      <c r="F2427">
        <f>'raw data Crude oil'!F2428</f>
        <v>0</v>
      </c>
      <c r="G2427">
        <f>'raw data Crude oil'!G2428</f>
        <v>0</v>
      </c>
      <c r="H2427">
        <f>'raw data Crude oil'!H2428</f>
        <v>0</v>
      </c>
      <c r="I2427">
        <f>'raw data Crude oil'!I2428</f>
        <v>0</v>
      </c>
      <c r="J2427">
        <f>'raw data Crude oil'!J2428</f>
        <v>0</v>
      </c>
      <c r="K2427">
        <f>'raw data Crude oil'!K2428</f>
        <v>0</v>
      </c>
      <c r="L2427">
        <f>'raw data Crude oil'!L2428</f>
        <v>0</v>
      </c>
      <c r="M2427">
        <f>'raw data Crude oil'!M2428</f>
        <v>0</v>
      </c>
      <c r="N2427">
        <f>'raw data Crude oil'!N2428</f>
        <v>0</v>
      </c>
      <c r="O2427">
        <f>'raw data Crude oil'!O2428</f>
        <v>0</v>
      </c>
      <c r="P2427">
        <f>'raw data Crude oil'!P2428</f>
        <v>0</v>
      </c>
      <c r="Q2427">
        <f>'raw data Crude oil'!Q2428</f>
        <v>0</v>
      </c>
      <c r="R2427">
        <f>'raw data Crude oil'!R2428</f>
        <v>0</v>
      </c>
      <c r="S2427">
        <f>'raw data Crude oil'!S2428</f>
        <v>0</v>
      </c>
      <c r="T2427">
        <f>'raw data Crude oil'!T2428</f>
        <v>0</v>
      </c>
      <c r="U2427">
        <f>'raw data Crude oil'!U2428</f>
        <v>0</v>
      </c>
      <c r="V2427">
        <f>'raw data Crude oil'!V2428</f>
        <v>0</v>
      </c>
      <c r="W2427">
        <f>'raw data Crude oil'!W2428</f>
        <v>0</v>
      </c>
      <c r="X2427">
        <f>'raw data Crude oil'!X2428</f>
        <v>0</v>
      </c>
      <c r="Y2427">
        <f>'raw data Crude oil'!Y2428</f>
        <v>0</v>
      </c>
      <c r="Z2427">
        <f>'raw data Crude oil'!Z2428</f>
        <v>0</v>
      </c>
      <c r="AA2427">
        <f>'raw data Crude oil'!AA2428</f>
        <v>0</v>
      </c>
      <c r="AB2427">
        <f>'raw data Crude oil'!AB2428</f>
        <v>0</v>
      </c>
      <c r="AC2427">
        <f>'raw data Crude oil'!AC2428</f>
        <v>0</v>
      </c>
      <c r="AD2427">
        <f>'raw data Crude oil'!AD2428</f>
        <v>0</v>
      </c>
      <c r="AE2427">
        <f>'raw data Crude oil'!AE2428</f>
        <v>0</v>
      </c>
      <c r="AF2427">
        <f>'raw data Crude oil'!AF2428</f>
        <v>0</v>
      </c>
      <c r="AG2427">
        <f>'raw data Crude oil'!AG2428</f>
        <v>0</v>
      </c>
      <c r="AH2427">
        <f>'raw data Crude oil'!AH2428</f>
        <v>0</v>
      </c>
      <c r="AI2427">
        <f>'raw data Crude oil'!AI2428</f>
        <v>0</v>
      </c>
      <c r="AJ2427">
        <f>'raw data Crude oil'!AJ2428</f>
        <v>0</v>
      </c>
      <c r="AK2427">
        <f>'raw data Crude oil'!AK2428</f>
        <v>0</v>
      </c>
    </row>
    <row r="2428" spans="1:37" x14ac:dyDescent="0.3">
      <c r="A2428" s="18">
        <f>'raw data Crude oil'!A2429</f>
        <v>0</v>
      </c>
      <c r="B2428">
        <f>'raw data Crude oil'!B2429</f>
        <v>0</v>
      </c>
      <c r="C2428">
        <f>'raw data Crude oil'!C2429</f>
        <v>0</v>
      </c>
      <c r="D2428">
        <f>'raw data Crude oil'!D2429</f>
        <v>0</v>
      </c>
      <c r="E2428">
        <f>'raw data Crude oil'!E2429</f>
        <v>0</v>
      </c>
      <c r="F2428">
        <f>'raw data Crude oil'!F2429</f>
        <v>0</v>
      </c>
      <c r="G2428">
        <f>'raw data Crude oil'!G2429</f>
        <v>0</v>
      </c>
      <c r="H2428">
        <f>'raw data Crude oil'!H2429</f>
        <v>0</v>
      </c>
      <c r="I2428">
        <f>'raw data Crude oil'!I2429</f>
        <v>0</v>
      </c>
      <c r="J2428">
        <f>'raw data Crude oil'!J2429</f>
        <v>0</v>
      </c>
      <c r="K2428">
        <f>'raw data Crude oil'!K2429</f>
        <v>0</v>
      </c>
      <c r="L2428">
        <f>'raw data Crude oil'!L2429</f>
        <v>0</v>
      </c>
      <c r="M2428">
        <f>'raw data Crude oil'!M2429</f>
        <v>0</v>
      </c>
      <c r="N2428">
        <f>'raw data Crude oil'!N2429</f>
        <v>0</v>
      </c>
      <c r="O2428">
        <f>'raw data Crude oil'!O2429</f>
        <v>0</v>
      </c>
      <c r="P2428">
        <f>'raw data Crude oil'!P2429</f>
        <v>0</v>
      </c>
      <c r="Q2428">
        <f>'raw data Crude oil'!Q2429</f>
        <v>0</v>
      </c>
      <c r="R2428">
        <f>'raw data Crude oil'!R2429</f>
        <v>0</v>
      </c>
      <c r="S2428">
        <f>'raw data Crude oil'!S2429</f>
        <v>0</v>
      </c>
      <c r="T2428">
        <f>'raw data Crude oil'!T2429</f>
        <v>0</v>
      </c>
      <c r="U2428">
        <f>'raw data Crude oil'!U2429</f>
        <v>0</v>
      </c>
      <c r="V2428">
        <f>'raw data Crude oil'!V2429</f>
        <v>0</v>
      </c>
      <c r="W2428">
        <f>'raw data Crude oil'!W2429</f>
        <v>0</v>
      </c>
      <c r="X2428">
        <f>'raw data Crude oil'!X2429</f>
        <v>0</v>
      </c>
      <c r="Y2428">
        <f>'raw data Crude oil'!Y2429</f>
        <v>0</v>
      </c>
      <c r="Z2428">
        <f>'raw data Crude oil'!Z2429</f>
        <v>0</v>
      </c>
      <c r="AA2428">
        <f>'raw data Crude oil'!AA2429</f>
        <v>0</v>
      </c>
      <c r="AB2428">
        <f>'raw data Crude oil'!AB2429</f>
        <v>0</v>
      </c>
      <c r="AC2428">
        <f>'raw data Crude oil'!AC2429</f>
        <v>0</v>
      </c>
      <c r="AD2428">
        <f>'raw data Crude oil'!AD2429</f>
        <v>0</v>
      </c>
      <c r="AE2428">
        <f>'raw data Crude oil'!AE2429</f>
        <v>0</v>
      </c>
      <c r="AF2428">
        <f>'raw data Crude oil'!AF2429</f>
        <v>0</v>
      </c>
      <c r="AG2428">
        <f>'raw data Crude oil'!AG2429</f>
        <v>0</v>
      </c>
      <c r="AH2428">
        <f>'raw data Crude oil'!AH2429</f>
        <v>0</v>
      </c>
      <c r="AI2428">
        <f>'raw data Crude oil'!AI2429</f>
        <v>0</v>
      </c>
      <c r="AJ2428">
        <f>'raw data Crude oil'!AJ2429</f>
        <v>0</v>
      </c>
      <c r="AK2428">
        <f>'raw data Crude oil'!AK2429</f>
        <v>0</v>
      </c>
    </row>
    <row r="2429" spans="1:37" x14ac:dyDescent="0.3">
      <c r="A2429" s="18">
        <f>'raw data Crude oil'!A2430</f>
        <v>0</v>
      </c>
      <c r="B2429">
        <f>'raw data Crude oil'!B2430</f>
        <v>0</v>
      </c>
      <c r="C2429">
        <f>'raw data Crude oil'!C2430</f>
        <v>0</v>
      </c>
      <c r="D2429">
        <f>'raw data Crude oil'!D2430</f>
        <v>0</v>
      </c>
      <c r="E2429">
        <f>'raw data Crude oil'!E2430</f>
        <v>0</v>
      </c>
      <c r="F2429">
        <f>'raw data Crude oil'!F2430</f>
        <v>0</v>
      </c>
      <c r="G2429">
        <f>'raw data Crude oil'!G2430</f>
        <v>0</v>
      </c>
      <c r="H2429">
        <f>'raw data Crude oil'!H2430</f>
        <v>0</v>
      </c>
      <c r="I2429">
        <f>'raw data Crude oil'!I2430</f>
        <v>0</v>
      </c>
      <c r="J2429">
        <f>'raw data Crude oil'!J2430</f>
        <v>0</v>
      </c>
      <c r="K2429">
        <f>'raw data Crude oil'!K2430</f>
        <v>0</v>
      </c>
      <c r="L2429">
        <f>'raw data Crude oil'!L2430</f>
        <v>0</v>
      </c>
      <c r="M2429">
        <f>'raw data Crude oil'!M2430</f>
        <v>0</v>
      </c>
      <c r="N2429">
        <f>'raw data Crude oil'!N2430</f>
        <v>0</v>
      </c>
      <c r="O2429">
        <f>'raw data Crude oil'!O2430</f>
        <v>0</v>
      </c>
      <c r="P2429">
        <f>'raw data Crude oil'!P2430</f>
        <v>0</v>
      </c>
      <c r="Q2429">
        <f>'raw data Crude oil'!Q2430</f>
        <v>0</v>
      </c>
      <c r="R2429">
        <f>'raw data Crude oil'!R2430</f>
        <v>0</v>
      </c>
      <c r="S2429">
        <f>'raw data Crude oil'!S2430</f>
        <v>0</v>
      </c>
      <c r="T2429">
        <f>'raw data Crude oil'!T2430</f>
        <v>0</v>
      </c>
      <c r="U2429">
        <f>'raw data Crude oil'!U2430</f>
        <v>0</v>
      </c>
      <c r="V2429">
        <f>'raw data Crude oil'!V2430</f>
        <v>0</v>
      </c>
      <c r="W2429">
        <f>'raw data Crude oil'!W2430</f>
        <v>0</v>
      </c>
      <c r="X2429">
        <f>'raw data Crude oil'!X2430</f>
        <v>0</v>
      </c>
      <c r="Y2429">
        <f>'raw data Crude oil'!Y2430</f>
        <v>0</v>
      </c>
      <c r="Z2429">
        <f>'raw data Crude oil'!Z2430</f>
        <v>0</v>
      </c>
      <c r="AA2429">
        <f>'raw data Crude oil'!AA2430</f>
        <v>0</v>
      </c>
      <c r="AB2429">
        <f>'raw data Crude oil'!AB2430</f>
        <v>0</v>
      </c>
      <c r="AC2429">
        <f>'raw data Crude oil'!AC2430</f>
        <v>0</v>
      </c>
      <c r="AD2429">
        <f>'raw data Crude oil'!AD2430</f>
        <v>0</v>
      </c>
      <c r="AE2429">
        <f>'raw data Crude oil'!AE2430</f>
        <v>0</v>
      </c>
      <c r="AF2429">
        <f>'raw data Crude oil'!AF2430</f>
        <v>0</v>
      </c>
      <c r="AG2429">
        <f>'raw data Crude oil'!AG2430</f>
        <v>0</v>
      </c>
      <c r="AH2429">
        <f>'raw data Crude oil'!AH2430</f>
        <v>0</v>
      </c>
      <c r="AI2429">
        <f>'raw data Crude oil'!AI2430</f>
        <v>0</v>
      </c>
      <c r="AJ2429">
        <f>'raw data Crude oil'!AJ2430</f>
        <v>0</v>
      </c>
      <c r="AK2429">
        <f>'raw data Crude oil'!AK2430</f>
        <v>0</v>
      </c>
    </row>
    <row r="2430" spans="1:37" x14ac:dyDescent="0.3">
      <c r="A2430" s="18">
        <f>'raw data Crude oil'!A2431</f>
        <v>0</v>
      </c>
      <c r="B2430">
        <f>'raw data Crude oil'!B2431</f>
        <v>0</v>
      </c>
      <c r="C2430">
        <f>'raw data Crude oil'!C2431</f>
        <v>0</v>
      </c>
      <c r="D2430">
        <f>'raw data Crude oil'!D2431</f>
        <v>0</v>
      </c>
      <c r="E2430">
        <f>'raw data Crude oil'!E2431</f>
        <v>0</v>
      </c>
      <c r="F2430">
        <f>'raw data Crude oil'!F2431</f>
        <v>0</v>
      </c>
      <c r="G2430">
        <f>'raw data Crude oil'!G2431</f>
        <v>0</v>
      </c>
      <c r="H2430">
        <f>'raw data Crude oil'!H2431</f>
        <v>0</v>
      </c>
      <c r="I2430">
        <f>'raw data Crude oil'!I2431</f>
        <v>0</v>
      </c>
      <c r="J2430">
        <f>'raw data Crude oil'!J2431</f>
        <v>0</v>
      </c>
      <c r="K2430">
        <f>'raw data Crude oil'!K2431</f>
        <v>0</v>
      </c>
      <c r="L2430">
        <f>'raw data Crude oil'!L2431</f>
        <v>0</v>
      </c>
      <c r="M2430">
        <f>'raw data Crude oil'!M2431</f>
        <v>0</v>
      </c>
      <c r="N2430">
        <f>'raw data Crude oil'!N2431</f>
        <v>0</v>
      </c>
      <c r="O2430">
        <f>'raw data Crude oil'!O2431</f>
        <v>0</v>
      </c>
      <c r="P2430">
        <f>'raw data Crude oil'!P2431</f>
        <v>0</v>
      </c>
      <c r="Q2430">
        <f>'raw data Crude oil'!Q2431</f>
        <v>0</v>
      </c>
      <c r="R2430">
        <f>'raw data Crude oil'!R2431</f>
        <v>0</v>
      </c>
      <c r="S2430">
        <f>'raw data Crude oil'!S2431</f>
        <v>0</v>
      </c>
      <c r="T2430">
        <f>'raw data Crude oil'!T2431</f>
        <v>0</v>
      </c>
      <c r="U2430">
        <f>'raw data Crude oil'!U2431</f>
        <v>0</v>
      </c>
      <c r="V2430">
        <f>'raw data Crude oil'!V2431</f>
        <v>0</v>
      </c>
      <c r="W2430">
        <f>'raw data Crude oil'!W2431</f>
        <v>0</v>
      </c>
      <c r="X2430">
        <f>'raw data Crude oil'!X2431</f>
        <v>0</v>
      </c>
      <c r="Y2430">
        <f>'raw data Crude oil'!Y2431</f>
        <v>0</v>
      </c>
      <c r="Z2430">
        <f>'raw data Crude oil'!Z2431</f>
        <v>0</v>
      </c>
      <c r="AA2430">
        <f>'raw data Crude oil'!AA2431</f>
        <v>0</v>
      </c>
      <c r="AB2430">
        <f>'raw data Crude oil'!AB2431</f>
        <v>0</v>
      </c>
      <c r="AC2430">
        <f>'raw data Crude oil'!AC2431</f>
        <v>0</v>
      </c>
      <c r="AD2430">
        <f>'raw data Crude oil'!AD2431</f>
        <v>0</v>
      </c>
      <c r="AE2430">
        <f>'raw data Crude oil'!AE2431</f>
        <v>0</v>
      </c>
      <c r="AF2430">
        <f>'raw data Crude oil'!AF2431</f>
        <v>0</v>
      </c>
      <c r="AG2430">
        <f>'raw data Crude oil'!AG2431</f>
        <v>0</v>
      </c>
      <c r="AH2430">
        <f>'raw data Crude oil'!AH2431</f>
        <v>0</v>
      </c>
      <c r="AI2430">
        <f>'raw data Crude oil'!AI2431</f>
        <v>0</v>
      </c>
      <c r="AJ2430">
        <f>'raw data Crude oil'!AJ2431</f>
        <v>0</v>
      </c>
      <c r="AK2430">
        <f>'raw data Crude oil'!AK2431</f>
        <v>0</v>
      </c>
    </row>
    <row r="2431" spans="1:37" x14ac:dyDescent="0.3">
      <c r="A2431" s="18">
        <f>'raw data Crude oil'!A2432</f>
        <v>0</v>
      </c>
      <c r="B2431">
        <f>'raw data Crude oil'!B2432</f>
        <v>0</v>
      </c>
      <c r="C2431">
        <f>'raw data Crude oil'!C2432</f>
        <v>0</v>
      </c>
      <c r="D2431">
        <f>'raw data Crude oil'!D2432</f>
        <v>0</v>
      </c>
      <c r="E2431">
        <f>'raw data Crude oil'!E2432</f>
        <v>0</v>
      </c>
      <c r="F2431">
        <f>'raw data Crude oil'!F2432</f>
        <v>0</v>
      </c>
      <c r="G2431">
        <f>'raw data Crude oil'!G2432</f>
        <v>0</v>
      </c>
      <c r="H2431">
        <f>'raw data Crude oil'!H2432</f>
        <v>0</v>
      </c>
      <c r="I2431">
        <f>'raw data Crude oil'!I2432</f>
        <v>0</v>
      </c>
      <c r="J2431">
        <f>'raw data Crude oil'!J2432</f>
        <v>0</v>
      </c>
      <c r="K2431">
        <f>'raw data Crude oil'!K2432</f>
        <v>0</v>
      </c>
      <c r="L2431">
        <f>'raw data Crude oil'!L2432</f>
        <v>0</v>
      </c>
      <c r="M2431">
        <f>'raw data Crude oil'!M2432</f>
        <v>0</v>
      </c>
      <c r="N2431">
        <f>'raw data Crude oil'!N2432</f>
        <v>0</v>
      </c>
      <c r="O2431">
        <f>'raw data Crude oil'!O2432</f>
        <v>0</v>
      </c>
      <c r="P2431">
        <f>'raw data Crude oil'!P2432</f>
        <v>0</v>
      </c>
      <c r="Q2431">
        <f>'raw data Crude oil'!Q2432</f>
        <v>0</v>
      </c>
      <c r="R2431">
        <f>'raw data Crude oil'!R2432</f>
        <v>0</v>
      </c>
      <c r="S2431">
        <f>'raw data Crude oil'!S2432</f>
        <v>0</v>
      </c>
      <c r="T2431">
        <f>'raw data Crude oil'!T2432</f>
        <v>0</v>
      </c>
      <c r="U2431">
        <f>'raw data Crude oil'!U2432</f>
        <v>0</v>
      </c>
      <c r="V2431">
        <f>'raw data Crude oil'!V2432</f>
        <v>0</v>
      </c>
      <c r="W2431">
        <f>'raw data Crude oil'!W2432</f>
        <v>0</v>
      </c>
      <c r="X2431">
        <f>'raw data Crude oil'!X2432</f>
        <v>0</v>
      </c>
      <c r="Y2431">
        <f>'raw data Crude oil'!Y2432</f>
        <v>0</v>
      </c>
      <c r="Z2431">
        <f>'raw data Crude oil'!Z2432</f>
        <v>0</v>
      </c>
      <c r="AA2431">
        <f>'raw data Crude oil'!AA2432</f>
        <v>0</v>
      </c>
      <c r="AB2431">
        <f>'raw data Crude oil'!AB2432</f>
        <v>0</v>
      </c>
      <c r="AC2431">
        <f>'raw data Crude oil'!AC2432</f>
        <v>0</v>
      </c>
      <c r="AD2431">
        <f>'raw data Crude oil'!AD2432</f>
        <v>0</v>
      </c>
      <c r="AE2431">
        <f>'raw data Crude oil'!AE2432</f>
        <v>0</v>
      </c>
      <c r="AF2431">
        <f>'raw data Crude oil'!AF2432</f>
        <v>0</v>
      </c>
      <c r="AG2431">
        <f>'raw data Crude oil'!AG2432</f>
        <v>0</v>
      </c>
      <c r="AH2431">
        <f>'raw data Crude oil'!AH2432</f>
        <v>0</v>
      </c>
      <c r="AI2431">
        <f>'raw data Crude oil'!AI2432</f>
        <v>0</v>
      </c>
      <c r="AJ2431">
        <f>'raw data Crude oil'!AJ2432</f>
        <v>0</v>
      </c>
      <c r="AK2431">
        <f>'raw data Crude oil'!AK2432</f>
        <v>0</v>
      </c>
    </row>
    <row r="2432" spans="1:37" x14ac:dyDescent="0.3">
      <c r="A2432" s="18">
        <f>'raw data Crude oil'!A2433</f>
        <v>0</v>
      </c>
      <c r="B2432">
        <f>'raw data Crude oil'!B2433</f>
        <v>0</v>
      </c>
      <c r="C2432">
        <f>'raw data Crude oil'!C2433</f>
        <v>0</v>
      </c>
      <c r="D2432">
        <f>'raw data Crude oil'!D2433</f>
        <v>0</v>
      </c>
      <c r="E2432">
        <f>'raw data Crude oil'!E2433</f>
        <v>0</v>
      </c>
      <c r="F2432">
        <f>'raw data Crude oil'!F2433</f>
        <v>0</v>
      </c>
      <c r="G2432">
        <f>'raw data Crude oil'!G2433</f>
        <v>0</v>
      </c>
      <c r="H2432">
        <f>'raw data Crude oil'!H2433</f>
        <v>0</v>
      </c>
      <c r="I2432">
        <f>'raw data Crude oil'!I2433</f>
        <v>0</v>
      </c>
      <c r="J2432">
        <f>'raw data Crude oil'!J2433</f>
        <v>0</v>
      </c>
      <c r="K2432">
        <f>'raw data Crude oil'!K2433</f>
        <v>0</v>
      </c>
      <c r="L2432">
        <f>'raw data Crude oil'!L2433</f>
        <v>0</v>
      </c>
      <c r="M2432">
        <f>'raw data Crude oil'!M2433</f>
        <v>0</v>
      </c>
      <c r="N2432">
        <f>'raw data Crude oil'!N2433</f>
        <v>0</v>
      </c>
      <c r="O2432">
        <f>'raw data Crude oil'!O2433</f>
        <v>0</v>
      </c>
      <c r="P2432">
        <f>'raw data Crude oil'!P2433</f>
        <v>0</v>
      </c>
      <c r="Q2432">
        <f>'raw data Crude oil'!Q2433</f>
        <v>0</v>
      </c>
      <c r="R2432">
        <f>'raw data Crude oil'!R2433</f>
        <v>0</v>
      </c>
      <c r="S2432">
        <f>'raw data Crude oil'!S2433</f>
        <v>0</v>
      </c>
      <c r="T2432">
        <f>'raw data Crude oil'!T2433</f>
        <v>0</v>
      </c>
      <c r="U2432">
        <f>'raw data Crude oil'!U2433</f>
        <v>0</v>
      </c>
      <c r="V2432">
        <f>'raw data Crude oil'!V2433</f>
        <v>0</v>
      </c>
      <c r="W2432">
        <f>'raw data Crude oil'!W2433</f>
        <v>0</v>
      </c>
      <c r="X2432">
        <f>'raw data Crude oil'!X2433</f>
        <v>0</v>
      </c>
      <c r="Y2432">
        <f>'raw data Crude oil'!Y2433</f>
        <v>0</v>
      </c>
      <c r="Z2432">
        <f>'raw data Crude oil'!Z2433</f>
        <v>0</v>
      </c>
      <c r="AA2432">
        <f>'raw data Crude oil'!AA2433</f>
        <v>0</v>
      </c>
      <c r="AB2432">
        <f>'raw data Crude oil'!AB2433</f>
        <v>0</v>
      </c>
      <c r="AC2432">
        <f>'raw data Crude oil'!AC2433</f>
        <v>0</v>
      </c>
      <c r="AD2432">
        <f>'raw data Crude oil'!AD2433</f>
        <v>0</v>
      </c>
      <c r="AE2432">
        <f>'raw data Crude oil'!AE2433</f>
        <v>0</v>
      </c>
      <c r="AF2432">
        <f>'raw data Crude oil'!AF2433</f>
        <v>0</v>
      </c>
      <c r="AG2432">
        <f>'raw data Crude oil'!AG2433</f>
        <v>0</v>
      </c>
      <c r="AH2432">
        <f>'raw data Crude oil'!AH2433</f>
        <v>0</v>
      </c>
      <c r="AI2432">
        <f>'raw data Crude oil'!AI2433</f>
        <v>0</v>
      </c>
      <c r="AJ2432">
        <f>'raw data Crude oil'!AJ2433</f>
        <v>0</v>
      </c>
      <c r="AK2432">
        <f>'raw data Crude oil'!AK2433</f>
        <v>0</v>
      </c>
    </row>
    <row r="2433" spans="1:37" x14ac:dyDescent="0.3">
      <c r="A2433" s="18">
        <f>'raw data Crude oil'!A2434</f>
        <v>0</v>
      </c>
      <c r="B2433">
        <f>'raw data Crude oil'!B2434</f>
        <v>0</v>
      </c>
      <c r="C2433">
        <f>'raw data Crude oil'!C2434</f>
        <v>0</v>
      </c>
      <c r="D2433">
        <f>'raw data Crude oil'!D2434</f>
        <v>0</v>
      </c>
      <c r="E2433">
        <f>'raw data Crude oil'!E2434</f>
        <v>0</v>
      </c>
      <c r="F2433">
        <f>'raw data Crude oil'!F2434</f>
        <v>0</v>
      </c>
      <c r="G2433">
        <f>'raw data Crude oil'!G2434</f>
        <v>0</v>
      </c>
      <c r="H2433">
        <f>'raw data Crude oil'!H2434</f>
        <v>0</v>
      </c>
      <c r="I2433">
        <f>'raw data Crude oil'!I2434</f>
        <v>0</v>
      </c>
      <c r="J2433">
        <f>'raw data Crude oil'!J2434</f>
        <v>0</v>
      </c>
      <c r="K2433">
        <f>'raw data Crude oil'!K2434</f>
        <v>0</v>
      </c>
      <c r="L2433">
        <f>'raw data Crude oil'!L2434</f>
        <v>0</v>
      </c>
      <c r="M2433">
        <f>'raw data Crude oil'!M2434</f>
        <v>0</v>
      </c>
      <c r="N2433">
        <f>'raw data Crude oil'!N2434</f>
        <v>0</v>
      </c>
      <c r="O2433">
        <f>'raw data Crude oil'!O2434</f>
        <v>0</v>
      </c>
      <c r="P2433">
        <f>'raw data Crude oil'!P2434</f>
        <v>0</v>
      </c>
      <c r="Q2433">
        <f>'raw data Crude oil'!Q2434</f>
        <v>0</v>
      </c>
      <c r="R2433">
        <f>'raw data Crude oil'!R2434</f>
        <v>0</v>
      </c>
      <c r="S2433">
        <f>'raw data Crude oil'!S2434</f>
        <v>0</v>
      </c>
      <c r="T2433">
        <f>'raw data Crude oil'!T2434</f>
        <v>0</v>
      </c>
      <c r="U2433">
        <f>'raw data Crude oil'!U2434</f>
        <v>0</v>
      </c>
      <c r="V2433">
        <f>'raw data Crude oil'!V2434</f>
        <v>0</v>
      </c>
      <c r="W2433">
        <f>'raw data Crude oil'!W2434</f>
        <v>0</v>
      </c>
      <c r="X2433">
        <f>'raw data Crude oil'!X2434</f>
        <v>0</v>
      </c>
      <c r="Y2433">
        <f>'raw data Crude oil'!Y2434</f>
        <v>0</v>
      </c>
      <c r="Z2433">
        <f>'raw data Crude oil'!Z2434</f>
        <v>0</v>
      </c>
      <c r="AA2433">
        <f>'raw data Crude oil'!AA2434</f>
        <v>0</v>
      </c>
      <c r="AB2433">
        <f>'raw data Crude oil'!AB2434</f>
        <v>0</v>
      </c>
      <c r="AC2433">
        <f>'raw data Crude oil'!AC2434</f>
        <v>0</v>
      </c>
      <c r="AD2433">
        <f>'raw data Crude oil'!AD2434</f>
        <v>0</v>
      </c>
      <c r="AE2433">
        <f>'raw data Crude oil'!AE2434</f>
        <v>0</v>
      </c>
      <c r="AF2433">
        <f>'raw data Crude oil'!AF2434</f>
        <v>0</v>
      </c>
      <c r="AG2433">
        <f>'raw data Crude oil'!AG2434</f>
        <v>0</v>
      </c>
      <c r="AH2433">
        <f>'raw data Crude oil'!AH2434</f>
        <v>0</v>
      </c>
      <c r="AI2433">
        <f>'raw data Crude oil'!AI2434</f>
        <v>0</v>
      </c>
      <c r="AJ2433">
        <f>'raw data Crude oil'!AJ2434</f>
        <v>0</v>
      </c>
      <c r="AK2433">
        <f>'raw data Crude oil'!AK2434</f>
        <v>0</v>
      </c>
    </row>
    <row r="2434" spans="1:37" x14ac:dyDescent="0.3">
      <c r="A2434" s="18">
        <f>'raw data Crude oil'!A2435</f>
        <v>0</v>
      </c>
      <c r="B2434">
        <f>'raw data Crude oil'!B2435</f>
        <v>0</v>
      </c>
      <c r="C2434">
        <f>'raw data Crude oil'!C2435</f>
        <v>0</v>
      </c>
      <c r="D2434">
        <f>'raw data Crude oil'!D2435</f>
        <v>0</v>
      </c>
      <c r="E2434">
        <f>'raw data Crude oil'!E2435</f>
        <v>0</v>
      </c>
      <c r="F2434">
        <f>'raw data Crude oil'!F2435</f>
        <v>0</v>
      </c>
      <c r="G2434">
        <f>'raw data Crude oil'!G2435</f>
        <v>0</v>
      </c>
      <c r="H2434">
        <f>'raw data Crude oil'!H2435</f>
        <v>0</v>
      </c>
      <c r="I2434">
        <f>'raw data Crude oil'!I2435</f>
        <v>0</v>
      </c>
      <c r="J2434">
        <f>'raw data Crude oil'!J2435</f>
        <v>0</v>
      </c>
      <c r="K2434">
        <f>'raw data Crude oil'!K2435</f>
        <v>0</v>
      </c>
      <c r="L2434">
        <f>'raw data Crude oil'!L2435</f>
        <v>0</v>
      </c>
      <c r="M2434">
        <f>'raw data Crude oil'!M2435</f>
        <v>0</v>
      </c>
      <c r="N2434">
        <f>'raw data Crude oil'!N2435</f>
        <v>0</v>
      </c>
      <c r="O2434">
        <f>'raw data Crude oil'!O2435</f>
        <v>0</v>
      </c>
      <c r="P2434">
        <f>'raw data Crude oil'!P2435</f>
        <v>0</v>
      </c>
      <c r="Q2434">
        <f>'raw data Crude oil'!Q2435</f>
        <v>0</v>
      </c>
      <c r="R2434">
        <f>'raw data Crude oil'!R2435</f>
        <v>0</v>
      </c>
      <c r="S2434">
        <f>'raw data Crude oil'!S2435</f>
        <v>0</v>
      </c>
      <c r="T2434">
        <f>'raw data Crude oil'!T2435</f>
        <v>0</v>
      </c>
      <c r="U2434">
        <f>'raw data Crude oil'!U2435</f>
        <v>0</v>
      </c>
      <c r="V2434">
        <f>'raw data Crude oil'!V2435</f>
        <v>0</v>
      </c>
      <c r="W2434">
        <f>'raw data Crude oil'!W2435</f>
        <v>0</v>
      </c>
      <c r="X2434">
        <f>'raw data Crude oil'!X2435</f>
        <v>0</v>
      </c>
      <c r="Y2434">
        <f>'raw data Crude oil'!Y2435</f>
        <v>0</v>
      </c>
      <c r="Z2434">
        <f>'raw data Crude oil'!Z2435</f>
        <v>0</v>
      </c>
      <c r="AA2434">
        <f>'raw data Crude oil'!AA2435</f>
        <v>0</v>
      </c>
      <c r="AB2434">
        <f>'raw data Crude oil'!AB2435</f>
        <v>0</v>
      </c>
      <c r="AC2434">
        <f>'raw data Crude oil'!AC2435</f>
        <v>0</v>
      </c>
      <c r="AD2434">
        <f>'raw data Crude oil'!AD2435</f>
        <v>0</v>
      </c>
      <c r="AE2434">
        <f>'raw data Crude oil'!AE2435</f>
        <v>0</v>
      </c>
      <c r="AF2434">
        <f>'raw data Crude oil'!AF2435</f>
        <v>0</v>
      </c>
      <c r="AG2434">
        <f>'raw data Crude oil'!AG2435</f>
        <v>0</v>
      </c>
      <c r="AH2434">
        <f>'raw data Crude oil'!AH2435</f>
        <v>0</v>
      </c>
      <c r="AI2434">
        <f>'raw data Crude oil'!AI2435</f>
        <v>0</v>
      </c>
      <c r="AJ2434">
        <f>'raw data Crude oil'!AJ2435</f>
        <v>0</v>
      </c>
      <c r="AK2434">
        <f>'raw data Crude oil'!AK2435</f>
        <v>0</v>
      </c>
    </row>
    <row r="2435" spans="1:37" x14ac:dyDescent="0.3">
      <c r="A2435" s="18">
        <f>'raw data Crude oil'!A2436</f>
        <v>0</v>
      </c>
      <c r="B2435">
        <f>'raw data Crude oil'!B2436</f>
        <v>0</v>
      </c>
      <c r="C2435">
        <f>'raw data Crude oil'!C2436</f>
        <v>0</v>
      </c>
      <c r="D2435">
        <f>'raw data Crude oil'!D2436</f>
        <v>0</v>
      </c>
      <c r="E2435">
        <f>'raw data Crude oil'!E2436</f>
        <v>0</v>
      </c>
      <c r="F2435">
        <f>'raw data Crude oil'!F2436</f>
        <v>0</v>
      </c>
      <c r="G2435">
        <f>'raw data Crude oil'!G2436</f>
        <v>0</v>
      </c>
      <c r="H2435">
        <f>'raw data Crude oil'!H2436</f>
        <v>0</v>
      </c>
      <c r="I2435">
        <f>'raw data Crude oil'!I2436</f>
        <v>0</v>
      </c>
      <c r="J2435">
        <f>'raw data Crude oil'!J2436</f>
        <v>0</v>
      </c>
      <c r="K2435">
        <f>'raw data Crude oil'!K2436</f>
        <v>0</v>
      </c>
      <c r="L2435">
        <f>'raw data Crude oil'!L2436</f>
        <v>0</v>
      </c>
      <c r="M2435">
        <f>'raw data Crude oil'!M2436</f>
        <v>0</v>
      </c>
      <c r="N2435">
        <f>'raw data Crude oil'!N2436</f>
        <v>0</v>
      </c>
      <c r="O2435">
        <f>'raw data Crude oil'!O2436</f>
        <v>0</v>
      </c>
      <c r="P2435">
        <f>'raw data Crude oil'!P2436</f>
        <v>0</v>
      </c>
      <c r="Q2435">
        <f>'raw data Crude oil'!Q2436</f>
        <v>0</v>
      </c>
      <c r="R2435">
        <f>'raw data Crude oil'!R2436</f>
        <v>0</v>
      </c>
      <c r="S2435">
        <f>'raw data Crude oil'!S2436</f>
        <v>0</v>
      </c>
      <c r="T2435">
        <f>'raw data Crude oil'!T2436</f>
        <v>0</v>
      </c>
      <c r="U2435">
        <f>'raw data Crude oil'!U2436</f>
        <v>0</v>
      </c>
      <c r="V2435">
        <f>'raw data Crude oil'!V2436</f>
        <v>0</v>
      </c>
      <c r="W2435">
        <f>'raw data Crude oil'!W2436</f>
        <v>0</v>
      </c>
      <c r="X2435">
        <f>'raw data Crude oil'!X2436</f>
        <v>0</v>
      </c>
      <c r="Y2435">
        <f>'raw data Crude oil'!Y2436</f>
        <v>0</v>
      </c>
      <c r="Z2435">
        <f>'raw data Crude oil'!Z2436</f>
        <v>0</v>
      </c>
      <c r="AA2435">
        <f>'raw data Crude oil'!AA2436</f>
        <v>0</v>
      </c>
      <c r="AB2435">
        <f>'raw data Crude oil'!AB2436</f>
        <v>0</v>
      </c>
      <c r="AC2435">
        <f>'raw data Crude oil'!AC2436</f>
        <v>0</v>
      </c>
      <c r="AD2435">
        <f>'raw data Crude oil'!AD2436</f>
        <v>0</v>
      </c>
      <c r="AE2435">
        <f>'raw data Crude oil'!AE2436</f>
        <v>0</v>
      </c>
      <c r="AF2435">
        <f>'raw data Crude oil'!AF2436</f>
        <v>0</v>
      </c>
      <c r="AG2435">
        <f>'raw data Crude oil'!AG2436</f>
        <v>0</v>
      </c>
      <c r="AH2435">
        <f>'raw data Crude oil'!AH2436</f>
        <v>0</v>
      </c>
      <c r="AI2435">
        <f>'raw data Crude oil'!AI2436</f>
        <v>0</v>
      </c>
      <c r="AJ2435">
        <f>'raw data Crude oil'!AJ2436</f>
        <v>0</v>
      </c>
      <c r="AK2435">
        <f>'raw data Crude oil'!AK2436</f>
        <v>0</v>
      </c>
    </row>
    <row r="2436" spans="1:37" x14ac:dyDescent="0.3">
      <c r="A2436" s="18">
        <f>'raw data Crude oil'!A2437</f>
        <v>0</v>
      </c>
      <c r="B2436">
        <f>'raw data Crude oil'!B2437</f>
        <v>0</v>
      </c>
      <c r="C2436">
        <f>'raw data Crude oil'!C2437</f>
        <v>0</v>
      </c>
      <c r="D2436">
        <f>'raw data Crude oil'!D2437</f>
        <v>0</v>
      </c>
      <c r="E2436">
        <f>'raw data Crude oil'!E2437</f>
        <v>0</v>
      </c>
      <c r="F2436">
        <f>'raw data Crude oil'!F2437</f>
        <v>0</v>
      </c>
      <c r="G2436">
        <f>'raw data Crude oil'!G2437</f>
        <v>0</v>
      </c>
      <c r="H2436">
        <f>'raw data Crude oil'!H2437</f>
        <v>0</v>
      </c>
      <c r="I2436">
        <f>'raw data Crude oil'!I2437</f>
        <v>0</v>
      </c>
      <c r="J2436">
        <f>'raw data Crude oil'!J2437</f>
        <v>0</v>
      </c>
      <c r="K2436">
        <f>'raw data Crude oil'!K2437</f>
        <v>0</v>
      </c>
      <c r="L2436">
        <f>'raw data Crude oil'!L2437</f>
        <v>0</v>
      </c>
      <c r="M2436">
        <f>'raw data Crude oil'!M2437</f>
        <v>0</v>
      </c>
      <c r="N2436">
        <f>'raw data Crude oil'!N2437</f>
        <v>0</v>
      </c>
      <c r="O2436">
        <f>'raw data Crude oil'!O2437</f>
        <v>0</v>
      </c>
      <c r="P2436">
        <f>'raw data Crude oil'!P2437</f>
        <v>0</v>
      </c>
      <c r="Q2436">
        <f>'raw data Crude oil'!Q2437</f>
        <v>0</v>
      </c>
      <c r="R2436">
        <f>'raw data Crude oil'!R2437</f>
        <v>0</v>
      </c>
      <c r="S2436">
        <f>'raw data Crude oil'!S2437</f>
        <v>0</v>
      </c>
      <c r="T2436">
        <f>'raw data Crude oil'!T2437</f>
        <v>0</v>
      </c>
      <c r="U2436">
        <f>'raw data Crude oil'!U2437</f>
        <v>0</v>
      </c>
      <c r="V2436">
        <f>'raw data Crude oil'!V2437</f>
        <v>0</v>
      </c>
      <c r="W2436">
        <f>'raw data Crude oil'!W2437</f>
        <v>0</v>
      </c>
      <c r="X2436">
        <f>'raw data Crude oil'!X2437</f>
        <v>0</v>
      </c>
      <c r="Y2436">
        <f>'raw data Crude oil'!Y2437</f>
        <v>0</v>
      </c>
      <c r="Z2436">
        <f>'raw data Crude oil'!Z2437</f>
        <v>0</v>
      </c>
      <c r="AA2436">
        <f>'raw data Crude oil'!AA2437</f>
        <v>0</v>
      </c>
      <c r="AB2436">
        <f>'raw data Crude oil'!AB2437</f>
        <v>0</v>
      </c>
      <c r="AC2436">
        <f>'raw data Crude oil'!AC2437</f>
        <v>0</v>
      </c>
      <c r="AD2436">
        <f>'raw data Crude oil'!AD2437</f>
        <v>0</v>
      </c>
      <c r="AE2436">
        <f>'raw data Crude oil'!AE2437</f>
        <v>0</v>
      </c>
      <c r="AF2436">
        <f>'raw data Crude oil'!AF2437</f>
        <v>0</v>
      </c>
      <c r="AG2436">
        <f>'raw data Crude oil'!AG2437</f>
        <v>0</v>
      </c>
      <c r="AH2436">
        <f>'raw data Crude oil'!AH2437</f>
        <v>0</v>
      </c>
      <c r="AI2436">
        <f>'raw data Crude oil'!AI2437</f>
        <v>0</v>
      </c>
      <c r="AJ2436">
        <f>'raw data Crude oil'!AJ2437</f>
        <v>0</v>
      </c>
      <c r="AK2436">
        <f>'raw data Crude oil'!AK2437</f>
        <v>0</v>
      </c>
    </row>
    <row r="2437" spans="1:37" x14ac:dyDescent="0.3">
      <c r="A2437" s="18">
        <f>'raw data Crude oil'!A2438</f>
        <v>0</v>
      </c>
      <c r="B2437">
        <f>'raw data Crude oil'!B2438</f>
        <v>0</v>
      </c>
      <c r="C2437">
        <f>'raw data Crude oil'!C2438</f>
        <v>0</v>
      </c>
      <c r="D2437">
        <f>'raw data Crude oil'!D2438</f>
        <v>0</v>
      </c>
      <c r="E2437">
        <f>'raw data Crude oil'!E2438</f>
        <v>0</v>
      </c>
      <c r="F2437">
        <f>'raw data Crude oil'!F2438</f>
        <v>0</v>
      </c>
      <c r="G2437">
        <f>'raw data Crude oil'!G2438</f>
        <v>0</v>
      </c>
      <c r="H2437">
        <f>'raw data Crude oil'!H2438</f>
        <v>0</v>
      </c>
      <c r="I2437">
        <f>'raw data Crude oil'!I2438</f>
        <v>0</v>
      </c>
      <c r="J2437">
        <f>'raw data Crude oil'!J2438</f>
        <v>0</v>
      </c>
      <c r="K2437">
        <f>'raw data Crude oil'!K2438</f>
        <v>0</v>
      </c>
      <c r="L2437">
        <f>'raw data Crude oil'!L2438</f>
        <v>0</v>
      </c>
      <c r="M2437">
        <f>'raw data Crude oil'!M2438</f>
        <v>0</v>
      </c>
      <c r="N2437">
        <f>'raw data Crude oil'!N2438</f>
        <v>0</v>
      </c>
      <c r="O2437">
        <f>'raw data Crude oil'!O2438</f>
        <v>0</v>
      </c>
      <c r="P2437">
        <f>'raw data Crude oil'!P2438</f>
        <v>0</v>
      </c>
      <c r="Q2437">
        <f>'raw data Crude oil'!Q2438</f>
        <v>0</v>
      </c>
      <c r="R2437">
        <f>'raw data Crude oil'!R2438</f>
        <v>0</v>
      </c>
      <c r="S2437">
        <f>'raw data Crude oil'!S2438</f>
        <v>0</v>
      </c>
      <c r="T2437">
        <f>'raw data Crude oil'!T2438</f>
        <v>0</v>
      </c>
      <c r="U2437">
        <f>'raw data Crude oil'!U2438</f>
        <v>0</v>
      </c>
      <c r="V2437">
        <f>'raw data Crude oil'!V2438</f>
        <v>0</v>
      </c>
      <c r="W2437">
        <f>'raw data Crude oil'!W2438</f>
        <v>0</v>
      </c>
      <c r="X2437">
        <f>'raw data Crude oil'!X2438</f>
        <v>0</v>
      </c>
      <c r="Y2437">
        <f>'raw data Crude oil'!Y2438</f>
        <v>0</v>
      </c>
      <c r="Z2437">
        <f>'raw data Crude oil'!Z2438</f>
        <v>0</v>
      </c>
      <c r="AA2437">
        <f>'raw data Crude oil'!AA2438</f>
        <v>0</v>
      </c>
      <c r="AB2437">
        <f>'raw data Crude oil'!AB2438</f>
        <v>0</v>
      </c>
      <c r="AC2437">
        <f>'raw data Crude oil'!AC2438</f>
        <v>0</v>
      </c>
      <c r="AD2437">
        <f>'raw data Crude oil'!AD2438</f>
        <v>0</v>
      </c>
      <c r="AE2437">
        <f>'raw data Crude oil'!AE2438</f>
        <v>0</v>
      </c>
      <c r="AF2437">
        <f>'raw data Crude oil'!AF2438</f>
        <v>0</v>
      </c>
      <c r="AG2437">
        <f>'raw data Crude oil'!AG2438</f>
        <v>0</v>
      </c>
      <c r="AH2437">
        <f>'raw data Crude oil'!AH2438</f>
        <v>0</v>
      </c>
      <c r="AI2437">
        <f>'raw data Crude oil'!AI2438</f>
        <v>0</v>
      </c>
      <c r="AJ2437">
        <f>'raw data Crude oil'!AJ2438</f>
        <v>0</v>
      </c>
      <c r="AK2437">
        <f>'raw data Crude oil'!AK2438</f>
        <v>0</v>
      </c>
    </row>
    <row r="2438" spans="1:37" x14ac:dyDescent="0.3">
      <c r="A2438" s="18">
        <f>'raw data Crude oil'!A2439</f>
        <v>0</v>
      </c>
      <c r="B2438">
        <f>'raw data Crude oil'!B2439</f>
        <v>0</v>
      </c>
      <c r="C2438">
        <f>'raw data Crude oil'!C2439</f>
        <v>0</v>
      </c>
      <c r="D2438">
        <f>'raw data Crude oil'!D2439</f>
        <v>0</v>
      </c>
      <c r="E2438">
        <f>'raw data Crude oil'!E2439</f>
        <v>0</v>
      </c>
      <c r="F2438">
        <f>'raw data Crude oil'!F2439</f>
        <v>0</v>
      </c>
      <c r="G2438">
        <f>'raw data Crude oil'!G2439</f>
        <v>0</v>
      </c>
      <c r="H2438">
        <f>'raw data Crude oil'!H2439</f>
        <v>0</v>
      </c>
      <c r="I2438">
        <f>'raw data Crude oil'!I2439</f>
        <v>0</v>
      </c>
      <c r="J2438">
        <f>'raw data Crude oil'!J2439</f>
        <v>0</v>
      </c>
      <c r="K2438">
        <f>'raw data Crude oil'!K2439</f>
        <v>0</v>
      </c>
      <c r="L2438">
        <f>'raw data Crude oil'!L2439</f>
        <v>0</v>
      </c>
      <c r="M2438">
        <f>'raw data Crude oil'!M2439</f>
        <v>0</v>
      </c>
      <c r="N2438">
        <f>'raw data Crude oil'!N2439</f>
        <v>0</v>
      </c>
      <c r="O2438">
        <f>'raw data Crude oil'!O2439</f>
        <v>0</v>
      </c>
      <c r="P2438">
        <f>'raw data Crude oil'!P2439</f>
        <v>0</v>
      </c>
      <c r="Q2438">
        <f>'raw data Crude oil'!Q2439</f>
        <v>0</v>
      </c>
      <c r="R2438">
        <f>'raw data Crude oil'!R2439</f>
        <v>0</v>
      </c>
      <c r="S2438">
        <f>'raw data Crude oil'!S2439</f>
        <v>0</v>
      </c>
      <c r="T2438">
        <f>'raw data Crude oil'!T2439</f>
        <v>0</v>
      </c>
      <c r="U2438">
        <f>'raw data Crude oil'!U2439</f>
        <v>0</v>
      </c>
      <c r="V2438">
        <f>'raw data Crude oil'!V2439</f>
        <v>0</v>
      </c>
      <c r="W2438">
        <f>'raw data Crude oil'!W2439</f>
        <v>0</v>
      </c>
      <c r="X2438">
        <f>'raw data Crude oil'!X2439</f>
        <v>0</v>
      </c>
      <c r="Y2438">
        <f>'raw data Crude oil'!Y2439</f>
        <v>0</v>
      </c>
      <c r="Z2438">
        <f>'raw data Crude oil'!Z2439</f>
        <v>0</v>
      </c>
      <c r="AA2438">
        <f>'raw data Crude oil'!AA2439</f>
        <v>0</v>
      </c>
      <c r="AB2438">
        <f>'raw data Crude oil'!AB2439</f>
        <v>0</v>
      </c>
      <c r="AC2438">
        <f>'raw data Crude oil'!AC2439</f>
        <v>0</v>
      </c>
      <c r="AD2438">
        <f>'raw data Crude oil'!AD2439</f>
        <v>0</v>
      </c>
      <c r="AE2438">
        <f>'raw data Crude oil'!AE2439</f>
        <v>0</v>
      </c>
      <c r="AF2438">
        <f>'raw data Crude oil'!AF2439</f>
        <v>0</v>
      </c>
      <c r="AG2438">
        <f>'raw data Crude oil'!AG2439</f>
        <v>0</v>
      </c>
      <c r="AH2438">
        <f>'raw data Crude oil'!AH2439</f>
        <v>0</v>
      </c>
      <c r="AI2438">
        <f>'raw data Crude oil'!AI2439</f>
        <v>0</v>
      </c>
      <c r="AJ2438">
        <f>'raw data Crude oil'!AJ2439</f>
        <v>0</v>
      </c>
      <c r="AK2438">
        <f>'raw data Crude oil'!AK2439</f>
        <v>0</v>
      </c>
    </row>
    <row r="2439" spans="1:37" x14ac:dyDescent="0.3">
      <c r="A2439" s="18">
        <f>'raw data Crude oil'!A2440</f>
        <v>0</v>
      </c>
      <c r="B2439">
        <f>'raw data Crude oil'!B2440</f>
        <v>0</v>
      </c>
      <c r="C2439">
        <f>'raw data Crude oil'!C2440</f>
        <v>0</v>
      </c>
      <c r="D2439">
        <f>'raw data Crude oil'!D2440</f>
        <v>0</v>
      </c>
      <c r="E2439">
        <f>'raw data Crude oil'!E2440</f>
        <v>0</v>
      </c>
      <c r="F2439">
        <f>'raw data Crude oil'!F2440</f>
        <v>0</v>
      </c>
      <c r="G2439">
        <f>'raw data Crude oil'!G2440</f>
        <v>0</v>
      </c>
      <c r="H2439">
        <f>'raw data Crude oil'!H2440</f>
        <v>0</v>
      </c>
      <c r="I2439">
        <f>'raw data Crude oil'!I2440</f>
        <v>0</v>
      </c>
      <c r="J2439">
        <f>'raw data Crude oil'!J2440</f>
        <v>0</v>
      </c>
      <c r="K2439">
        <f>'raw data Crude oil'!K2440</f>
        <v>0</v>
      </c>
      <c r="L2439">
        <f>'raw data Crude oil'!L2440</f>
        <v>0</v>
      </c>
      <c r="M2439">
        <f>'raw data Crude oil'!M2440</f>
        <v>0</v>
      </c>
      <c r="N2439">
        <f>'raw data Crude oil'!N2440</f>
        <v>0</v>
      </c>
      <c r="O2439">
        <f>'raw data Crude oil'!O2440</f>
        <v>0</v>
      </c>
      <c r="P2439">
        <f>'raw data Crude oil'!P2440</f>
        <v>0</v>
      </c>
      <c r="Q2439">
        <f>'raw data Crude oil'!Q2440</f>
        <v>0</v>
      </c>
      <c r="R2439">
        <f>'raw data Crude oil'!R2440</f>
        <v>0</v>
      </c>
      <c r="S2439">
        <f>'raw data Crude oil'!S2440</f>
        <v>0</v>
      </c>
      <c r="T2439">
        <f>'raw data Crude oil'!T2440</f>
        <v>0</v>
      </c>
      <c r="U2439">
        <f>'raw data Crude oil'!U2440</f>
        <v>0</v>
      </c>
      <c r="V2439">
        <f>'raw data Crude oil'!V2440</f>
        <v>0</v>
      </c>
      <c r="W2439">
        <f>'raw data Crude oil'!W2440</f>
        <v>0</v>
      </c>
      <c r="X2439">
        <f>'raw data Crude oil'!X2440</f>
        <v>0</v>
      </c>
      <c r="Y2439">
        <f>'raw data Crude oil'!Y2440</f>
        <v>0</v>
      </c>
      <c r="Z2439">
        <f>'raw data Crude oil'!Z2440</f>
        <v>0</v>
      </c>
      <c r="AA2439">
        <f>'raw data Crude oil'!AA2440</f>
        <v>0</v>
      </c>
      <c r="AB2439">
        <f>'raw data Crude oil'!AB2440</f>
        <v>0</v>
      </c>
      <c r="AC2439">
        <f>'raw data Crude oil'!AC2440</f>
        <v>0</v>
      </c>
      <c r="AD2439">
        <f>'raw data Crude oil'!AD2440</f>
        <v>0</v>
      </c>
      <c r="AE2439">
        <f>'raw data Crude oil'!AE2440</f>
        <v>0</v>
      </c>
      <c r="AF2439">
        <f>'raw data Crude oil'!AF2440</f>
        <v>0</v>
      </c>
      <c r="AG2439">
        <f>'raw data Crude oil'!AG2440</f>
        <v>0</v>
      </c>
      <c r="AH2439">
        <f>'raw data Crude oil'!AH2440</f>
        <v>0</v>
      </c>
      <c r="AI2439">
        <f>'raw data Crude oil'!AI2440</f>
        <v>0</v>
      </c>
      <c r="AJ2439">
        <f>'raw data Crude oil'!AJ2440</f>
        <v>0</v>
      </c>
      <c r="AK2439">
        <f>'raw data Crude oil'!AK2440</f>
        <v>0</v>
      </c>
    </row>
    <row r="2440" spans="1:37" x14ac:dyDescent="0.3">
      <c r="A2440" s="18">
        <f>'raw data Crude oil'!A2441</f>
        <v>0</v>
      </c>
      <c r="B2440">
        <f>'raw data Crude oil'!B2441</f>
        <v>0</v>
      </c>
      <c r="C2440">
        <f>'raw data Crude oil'!C2441</f>
        <v>0</v>
      </c>
      <c r="D2440">
        <f>'raw data Crude oil'!D2441</f>
        <v>0</v>
      </c>
      <c r="E2440">
        <f>'raw data Crude oil'!E2441</f>
        <v>0</v>
      </c>
      <c r="F2440">
        <f>'raw data Crude oil'!F2441</f>
        <v>0</v>
      </c>
      <c r="G2440">
        <f>'raw data Crude oil'!G2441</f>
        <v>0</v>
      </c>
      <c r="H2440">
        <f>'raw data Crude oil'!H2441</f>
        <v>0</v>
      </c>
      <c r="I2440">
        <f>'raw data Crude oil'!I2441</f>
        <v>0</v>
      </c>
      <c r="J2440">
        <f>'raw data Crude oil'!J2441</f>
        <v>0</v>
      </c>
      <c r="K2440">
        <f>'raw data Crude oil'!K2441</f>
        <v>0</v>
      </c>
      <c r="L2440">
        <f>'raw data Crude oil'!L2441</f>
        <v>0</v>
      </c>
      <c r="M2440">
        <f>'raw data Crude oil'!M2441</f>
        <v>0</v>
      </c>
      <c r="N2440">
        <f>'raw data Crude oil'!N2441</f>
        <v>0</v>
      </c>
      <c r="O2440">
        <f>'raw data Crude oil'!O2441</f>
        <v>0</v>
      </c>
      <c r="P2440">
        <f>'raw data Crude oil'!P2441</f>
        <v>0</v>
      </c>
      <c r="Q2440">
        <f>'raw data Crude oil'!Q2441</f>
        <v>0</v>
      </c>
      <c r="R2440">
        <f>'raw data Crude oil'!R2441</f>
        <v>0</v>
      </c>
      <c r="S2440">
        <f>'raw data Crude oil'!S2441</f>
        <v>0</v>
      </c>
      <c r="T2440">
        <f>'raw data Crude oil'!T2441</f>
        <v>0</v>
      </c>
      <c r="U2440">
        <f>'raw data Crude oil'!U2441</f>
        <v>0</v>
      </c>
      <c r="V2440">
        <f>'raw data Crude oil'!V2441</f>
        <v>0</v>
      </c>
      <c r="W2440">
        <f>'raw data Crude oil'!W2441</f>
        <v>0</v>
      </c>
      <c r="X2440">
        <f>'raw data Crude oil'!X2441</f>
        <v>0</v>
      </c>
      <c r="Y2440">
        <f>'raw data Crude oil'!Y2441</f>
        <v>0</v>
      </c>
      <c r="Z2440">
        <f>'raw data Crude oil'!Z2441</f>
        <v>0</v>
      </c>
      <c r="AA2440">
        <f>'raw data Crude oil'!AA2441</f>
        <v>0</v>
      </c>
      <c r="AB2440">
        <f>'raw data Crude oil'!AB2441</f>
        <v>0</v>
      </c>
      <c r="AC2440">
        <f>'raw data Crude oil'!AC2441</f>
        <v>0</v>
      </c>
      <c r="AD2440">
        <f>'raw data Crude oil'!AD2441</f>
        <v>0</v>
      </c>
      <c r="AE2440">
        <f>'raw data Crude oil'!AE2441</f>
        <v>0</v>
      </c>
      <c r="AF2440">
        <f>'raw data Crude oil'!AF2441</f>
        <v>0</v>
      </c>
      <c r="AG2440">
        <f>'raw data Crude oil'!AG2441</f>
        <v>0</v>
      </c>
      <c r="AH2440">
        <f>'raw data Crude oil'!AH2441</f>
        <v>0</v>
      </c>
      <c r="AI2440">
        <f>'raw data Crude oil'!AI2441</f>
        <v>0</v>
      </c>
      <c r="AJ2440">
        <f>'raw data Crude oil'!AJ2441</f>
        <v>0</v>
      </c>
      <c r="AK2440">
        <f>'raw data Crude oil'!AK2441</f>
        <v>0</v>
      </c>
    </row>
    <row r="2441" spans="1:37" x14ac:dyDescent="0.3">
      <c r="A2441" s="18">
        <f>'raw data Crude oil'!A2442</f>
        <v>0</v>
      </c>
      <c r="B2441">
        <f>'raw data Crude oil'!B2442</f>
        <v>0</v>
      </c>
      <c r="C2441">
        <f>'raw data Crude oil'!C2442</f>
        <v>0</v>
      </c>
      <c r="D2441">
        <f>'raw data Crude oil'!D2442</f>
        <v>0</v>
      </c>
      <c r="E2441">
        <f>'raw data Crude oil'!E2442</f>
        <v>0</v>
      </c>
      <c r="F2441">
        <f>'raw data Crude oil'!F2442</f>
        <v>0</v>
      </c>
      <c r="G2441">
        <f>'raw data Crude oil'!G2442</f>
        <v>0</v>
      </c>
      <c r="H2441">
        <f>'raw data Crude oil'!H2442</f>
        <v>0</v>
      </c>
      <c r="I2441">
        <f>'raw data Crude oil'!I2442</f>
        <v>0</v>
      </c>
      <c r="J2441">
        <f>'raw data Crude oil'!J2442</f>
        <v>0</v>
      </c>
      <c r="K2441">
        <f>'raw data Crude oil'!K2442</f>
        <v>0</v>
      </c>
      <c r="L2441">
        <f>'raw data Crude oil'!L2442</f>
        <v>0</v>
      </c>
      <c r="M2441">
        <f>'raw data Crude oil'!M2442</f>
        <v>0</v>
      </c>
      <c r="N2441">
        <f>'raw data Crude oil'!N2442</f>
        <v>0</v>
      </c>
      <c r="O2441">
        <f>'raw data Crude oil'!O2442</f>
        <v>0</v>
      </c>
      <c r="P2441">
        <f>'raw data Crude oil'!P2442</f>
        <v>0</v>
      </c>
      <c r="Q2441">
        <f>'raw data Crude oil'!Q2442</f>
        <v>0</v>
      </c>
      <c r="R2441">
        <f>'raw data Crude oil'!R2442</f>
        <v>0</v>
      </c>
      <c r="S2441">
        <f>'raw data Crude oil'!S2442</f>
        <v>0</v>
      </c>
      <c r="T2441">
        <f>'raw data Crude oil'!T2442</f>
        <v>0</v>
      </c>
      <c r="U2441">
        <f>'raw data Crude oil'!U2442</f>
        <v>0</v>
      </c>
      <c r="V2441">
        <f>'raw data Crude oil'!V2442</f>
        <v>0</v>
      </c>
      <c r="W2441">
        <f>'raw data Crude oil'!W2442</f>
        <v>0</v>
      </c>
      <c r="X2441">
        <f>'raw data Crude oil'!X2442</f>
        <v>0</v>
      </c>
      <c r="Y2441">
        <f>'raw data Crude oil'!Y2442</f>
        <v>0</v>
      </c>
      <c r="Z2441">
        <f>'raw data Crude oil'!Z2442</f>
        <v>0</v>
      </c>
      <c r="AA2441">
        <f>'raw data Crude oil'!AA2442</f>
        <v>0</v>
      </c>
      <c r="AB2441">
        <f>'raw data Crude oil'!AB2442</f>
        <v>0</v>
      </c>
      <c r="AC2441">
        <f>'raw data Crude oil'!AC2442</f>
        <v>0</v>
      </c>
      <c r="AD2441">
        <f>'raw data Crude oil'!AD2442</f>
        <v>0</v>
      </c>
      <c r="AE2441">
        <f>'raw data Crude oil'!AE2442</f>
        <v>0</v>
      </c>
      <c r="AF2441">
        <f>'raw data Crude oil'!AF2442</f>
        <v>0</v>
      </c>
      <c r="AG2441">
        <f>'raw data Crude oil'!AG2442</f>
        <v>0</v>
      </c>
      <c r="AH2441">
        <f>'raw data Crude oil'!AH2442</f>
        <v>0</v>
      </c>
      <c r="AI2441">
        <f>'raw data Crude oil'!AI2442</f>
        <v>0</v>
      </c>
      <c r="AJ2441">
        <f>'raw data Crude oil'!AJ2442</f>
        <v>0</v>
      </c>
      <c r="AK2441">
        <f>'raw data Crude oil'!AK2442</f>
        <v>0</v>
      </c>
    </row>
    <row r="2442" spans="1:37" x14ac:dyDescent="0.3">
      <c r="A2442" s="18">
        <f>'raw data Crude oil'!A2443</f>
        <v>0</v>
      </c>
      <c r="B2442">
        <f>'raw data Crude oil'!B2443</f>
        <v>0</v>
      </c>
      <c r="C2442">
        <f>'raw data Crude oil'!C2443</f>
        <v>0</v>
      </c>
      <c r="D2442">
        <f>'raw data Crude oil'!D2443</f>
        <v>0</v>
      </c>
      <c r="E2442">
        <f>'raw data Crude oil'!E2443</f>
        <v>0</v>
      </c>
      <c r="F2442">
        <f>'raw data Crude oil'!F2443</f>
        <v>0</v>
      </c>
      <c r="G2442">
        <f>'raw data Crude oil'!G2443</f>
        <v>0</v>
      </c>
      <c r="H2442">
        <f>'raw data Crude oil'!H2443</f>
        <v>0</v>
      </c>
      <c r="I2442">
        <f>'raw data Crude oil'!I2443</f>
        <v>0</v>
      </c>
      <c r="J2442">
        <f>'raw data Crude oil'!J2443</f>
        <v>0</v>
      </c>
      <c r="K2442">
        <f>'raw data Crude oil'!K2443</f>
        <v>0</v>
      </c>
      <c r="L2442">
        <f>'raw data Crude oil'!L2443</f>
        <v>0</v>
      </c>
      <c r="M2442">
        <f>'raw data Crude oil'!M2443</f>
        <v>0</v>
      </c>
      <c r="N2442">
        <f>'raw data Crude oil'!N2443</f>
        <v>0</v>
      </c>
      <c r="O2442">
        <f>'raw data Crude oil'!O2443</f>
        <v>0</v>
      </c>
      <c r="P2442">
        <f>'raw data Crude oil'!P2443</f>
        <v>0</v>
      </c>
      <c r="Q2442">
        <f>'raw data Crude oil'!Q2443</f>
        <v>0</v>
      </c>
      <c r="R2442">
        <f>'raw data Crude oil'!R2443</f>
        <v>0</v>
      </c>
      <c r="S2442">
        <f>'raw data Crude oil'!S2443</f>
        <v>0</v>
      </c>
      <c r="T2442">
        <f>'raw data Crude oil'!T2443</f>
        <v>0</v>
      </c>
      <c r="U2442">
        <f>'raw data Crude oil'!U2443</f>
        <v>0</v>
      </c>
      <c r="V2442">
        <f>'raw data Crude oil'!V2443</f>
        <v>0</v>
      </c>
      <c r="W2442">
        <f>'raw data Crude oil'!W2443</f>
        <v>0</v>
      </c>
      <c r="X2442">
        <f>'raw data Crude oil'!X2443</f>
        <v>0</v>
      </c>
      <c r="Y2442">
        <f>'raw data Crude oil'!Y2443</f>
        <v>0</v>
      </c>
      <c r="Z2442">
        <f>'raw data Crude oil'!Z2443</f>
        <v>0</v>
      </c>
      <c r="AA2442">
        <f>'raw data Crude oil'!AA2443</f>
        <v>0</v>
      </c>
      <c r="AB2442">
        <f>'raw data Crude oil'!AB2443</f>
        <v>0</v>
      </c>
      <c r="AC2442">
        <f>'raw data Crude oil'!AC2443</f>
        <v>0</v>
      </c>
      <c r="AD2442">
        <f>'raw data Crude oil'!AD2443</f>
        <v>0</v>
      </c>
      <c r="AE2442">
        <f>'raw data Crude oil'!AE2443</f>
        <v>0</v>
      </c>
      <c r="AF2442">
        <f>'raw data Crude oil'!AF2443</f>
        <v>0</v>
      </c>
      <c r="AG2442">
        <f>'raw data Crude oil'!AG2443</f>
        <v>0</v>
      </c>
      <c r="AH2442">
        <f>'raw data Crude oil'!AH2443</f>
        <v>0</v>
      </c>
      <c r="AI2442">
        <f>'raw data Crude oil'!AI2443</f>
        <v>0</v>
      </c>
      <c r="AJ2442">
        <f>'raw data Crude oil'!AJ2443</f>
        <v>0</v>
      </c>
      <c r="AK2442">
        <f>'raw data Crude oil'!AK2443</f>
        <v>0</v>
      </c>
    </row>
    <row r="2443" spans="1:37" x14ac:dyDescent="0.3">
      <c r="A2443" s="18">
        <f>'raw data Crude oil'!A2444</f>
        <v>0</v>
      </c>
      <c r="B2443">
        <f>'raw data Crude oil'!B2444</f>
        <v>0</v>
      </c>
      <c r="C2443">
        <f>'raw data Crude oil'!C2444</f>
        <v>0</v>
      </c>
      <c r="D2443">
        <f>'raw data Crude oil'!D2444</f>
        <v>0</v>
      </c>
      <c r="E2443">
        <f>'raw data Crude oil'!E2444</f>
        <v>0</v>
      </c>
      <c r="F2443">
        <f>'raw data Crude oil'!F2444</f>
        <v>0</v>
      </c>
      <c r="G2443">
        <f>'raw data Crude oil'!G2444</f>
        <v>0</v>
      </c>
      <c r="H2443">
        <f>'raw data Crude oil'!H2444</f>
        <v>0</v>
      </c>
      <c r="I2443">
        <f>'raw data Crude oil'!I2444</f>
        <v>0</v>
      </c>
      <c r="J2443">
        <f>'raw data Crude oil'!J2444</f>
        <v>0</v>
      </c>
      <c r="K2443">
        <f>'raw data Crude oil'!K2444</f>
        <v>0</v>
      </c>
      <c r="L2443">
        <f>'raw data Crude oil'!L2444</f>
        <v>0</v>
      </c>
      <c r="M2443">
        <f>'raw data Crude oil'!M2444</f>
        <v>0</v>
      </c>
      <c r="N2443">
        <f>'raw data Crude oil'!N2444</f>
        <v>0</v>
      </c>
      <c r="O2443">
        <f>'raw data Crude oil'!O2444</f>
        <v>0</v>
      </c>
      <c r="P2443">
        <f>'raw data Crude oil'!P2444</f>
        <v>0</v>
      </c>
      <c r="Q2443">
        <f>'raw data Crude oil'!Q2444</f>
        <v>0</v>
      </c>
      <c r="R2443">
        <f>'raw data Crude oil'!R2444</f>
        <v>0</v>
      </c>
      <c r="S2443">
        <f>'raw data Crude oil'!S2444</f>
        <v>0</v>
      </c>
      <c r="T2443">
        <f>'raw data Crude oil'!T2444</f>
        <v>0</v>
      </c>
      <c r="U2443">
        <f>'raw data Crude oil'!U2444</f>
        <v>0</v>
      </c>
      <c r="V2443">
        <f>'raw data Crude oil'!V2444</f>
        <v>0</v>
      </c>
      <c r="W2443">
        <f>'raw data Crude oil'!W2444</f>
        <v>0</v>
      </c>
      <c r="X2443">
        <f>'raw data Crude oil'!X2444</f>
        <v>0</v>
      </c>
      <c r="Y2443">
        <f>'raw data Crude oil'!Y2444</f>
        <v>0</v>
      </c>
      <c r="Z2443">
        <f>'raw data Crude oil'!Z2444</f>
        <v>0</v>
      </c>
      <c r="AA2443">
        <f>'raw data Crude oil'!AA2444</f>
        <v>0</v>
      </c>
      <c r="AB2443">
        <f>'raw data Crude oil'!AB2444</f>
        <v>0</v>
      </c>
      <c r="AC2443">
        <f>'raw data Crude oil'!AC2444</f>
        <v>0</v>
      </c>
      <c r="AD2443">
        <f>'raw data Crude oil'!AD2444</f>
        <v>0</v>
      </c>
      <c r="AE2443">
        <f>'raw data Crude oil'!AE2444</f>
        <v>0</v>
      </c>
      <c r="AF2443">
        <f>'raw data Crude oil'!AF2444</f>
        <v>0</v>
      </c>
      <c r="AG2443">
        <f>'raw data Crude oil'!AG2444</f>
        <v>0</v>
      </c>
      <c r="AH2443">
        <f>'raw data Crude oil'!AH2444</f>
        <v>0</v>
      </c>
      <c r="AI2443">
        <f>'raw data Crude oil'!AI2444</f>
        <v>0</v>
      </c>
      <c r="AJ2443">
        <f>'raw data Crude oil'!AJ2444</f>
        <v>0</v>
      </c>
      <c r="AK2443">
        <f>'raw data Crude oil'!AK2444</f>
        <v>0</v>
      </c>
    </row>
    <row r="2444" spans="1:37" x14ac:dyDescent="0.3">
      <c r="A2444" s="18">
        <f>'raw data Crude oil'!A2445</f>
        <v>0</v>
      </c>
      <c r="B2444">
        <f>'raw data Crude oil'!B2445</f>
        <v>0</v>
      </c>
      <c r="C2444">
        <f>'raw data Crude oil'!C2445</f>
        <v>0</v>
      </c>
      <c r="D2444">
        <f>'raw data Crude oil'!D2445</f>
        <v>0</v>
      </c>
      <c r="E2444">
        <f>'raw data Crude oil'!E2445</f>
        <v>0</v>
      </c>
      <c r="F2444">
        <f>'raw data Crude oil'!F2445</f>
        <v>0</v>
      </c>
      <c r="G2444">
        <f>'raw data Crude oil'!G2445</f>
        <v>0</v>
      </c>
      <c r="H2444">
        <f>'raw data Crude oil'!H2445</f>
        <v>0</v>
      </c>
      <c r="I2444">
        <f>'raw data Crude oil'!I2445</f>
        <v>0</v>
      </c>
      <c r="J2444">
        <f>'raw data Crude oil'!J2445</f>
        <v>0</v>
      </c>
      <c r="K2444">
        <f>'raw data Crude oil'!K2445</f>
        <v>0</v>
      </c>
      <c r="L2444">
        <f>'raw data Crude oil'!L2445</f>
        <v>0</v>
      </c>
      <c r="M2444">
        <f>'raw data Crude oil'!M2445</f>
        <v>0</v>
      </c>
      <c r="N2444">
        <f>'raw data Crude oil'!N2445</f>
        <v>0</v>
      </c>
      <c r="O2444">
        <f>'raw data Crude oil'!O2445</f>
        <v>0</v>
      </c>
      <c r="P2444">
        <f>'raw data Crude oil'!P2445</f>
        <v>0</v>
      </c>
      <c r="Q2444">
        <f>'raw data Crude oil'!Q2445</f>
        <v>0</v>
      </c>
      <c r="R2444">
        <f>'raw data Crude oil'!R2445</f>
        <v>0</v>
      </c>
      <c r="S2444">
        <f>'raw data Crude oil'!S2445</f>
        <v>0</v>
      </c>
      <c r="T2444">
        <f>'raw data Crude oil'!T2445</f>
        <v>0</v>
      </c>
      <c r="U2444">
        <f>'raw data Crude oil'!U2445</f>
        <v>0</v>
      </c>
      <c r="V2444">
        <f>'raw data Crude oil'!V2445</f>
        <v>0</v>
      </c>
      <c r="W2444">
        <f>'raw data Crude oil'!W2445</f>
        <v>0</v>
      </c>
      <c r="X2444">
        <f>'raw data Crude oil'!X2445</f>
        <v>0</v>
      </c>
      <c r="Y2444">
        <f>'raw data Crude oil'!Y2445</f>
        <v>0</v>
      </c>
      <c r="Z2444">
        <f>'raw data Crude oil'!Z2445</f>
        <v>0</v>
      </c>
      <c r="AA2444">
        <f>'raw data Crude oil'!AA2445</f>
        <v>0</v>
      </c>
      <c r="AB2444">
        <f>'raw data Crude oil'!AB2445</f>
        <v>0</v>
      </c>
      <c r="AC2444">
        <f>'raw data Crude oil'!AC2445</f>
        <v>0</v>
      </c>
      <c r="AD2444">
        <f>'raw data Crude oil'!AD2445</f>
        <v>0</v>
      </c>
      <c r="AE2444">
        <f>'raw data Crude oil'!AE2445</f>
        <v>0</v>
      </c>
      <c r="AF2444">
        <f>'raw data Crude oil'!AF2445</f>
        <v>0</v>
      </c>
      <c r="AG2444">
        <f>'raw data Crude oil'!AG2445</f>
        <v>0</v>
      </c>
      <c r="AH2444">
        <f>'raw data Crude oil'!AH2445</f>
        <v>0</v>
      </c>
      <c r="AI2444">
        <f>'raw data Crude oil'!AI2445</f>
        <v>0</v>
      </c>
      <c r="AJ2444">
        <f>'raw data Crude oil'!AJ2445</f>
        <v>0</v>
      </c>
      <c r="AK2444">
        <f>'raw data Crude oil'!AK2445</f>
        <v>0</v>
      </c>
    </row>
    <row r="2445" spans="1:37" x14ac:dyDescent="0.3">
      <c r="A2445" s="18">
        <f>'raw data Crude oil'!A2446</f>
        <v>0</v>
      </c>
      <c r="B2445">
        <f>'raw data Crude oil'!B2446</f>
        <v>0</v>
      </c>
      <c r="C2445">
        <f>'raw data Crude oil'!C2446</f>
        <v>0</v>
      </c>
      <c r="D2445">
        <f>'raw data Crude oil'!D2446</f>
        <v>0</v>
      </c>
      <c r="E2445">
        <f>'raw data Crude oil'!E2446</f>
        <v>0</v>
      </c>
      <c r="F2445">
        <f>'raw data Crude oil'!F2446</f>
        <v>0</v>
      </c>
      <c r="G2445">
        <f>'raw data Crude oil'!G2446</f>
        <v>0</v>
      </c>
      <c r="H2445">
        <f>'raw data Crude oil'!H2446</f>
        <v>0</v>
      </c>
      <c r="I2445">
        <f>'raw data Crude oil'!I2446</f>
        <v>0</v>
      </c>
      <c r="J2445">
        <f>'raw data Crude oil'!J2446</f>
        <v>0</v>
      </c>
      <c r="K2445">
        <f>'raw data Crude oil'!K2446</f>
        <v>0</v>
      </c>
      <c r="L2445">
        <f>'raw data Crude oil'!L2446</f>
        <v>0</v>
      </c>
      <c r="M2445">
        <f>'raw data Crude oil'!M2446</f>
        <v>0</v>
      </c>
      <c r="N2445">
        <f>'raw data Crude oil'!N2446</f>
        <v>0</v>
      </c>
      <c r="O2445">
        <f>'raw data Crude oil'!O2446</f>
        <v>0</v>
      </c>
      <c r="P2445">
        <f>'raw data Crude oil'!P2446</f>
        <v>0</v>
      </c>
      <c r="Q2445">
        <f>'raw data Crude oil'!Q2446</f>
        <v>0</v>
      </c>
      <c r="R2445">
        <f>'raw data Crude oil'!R2446</f>
        <v>0</v>
      </c>
      <c r="S2445">
        <f>'raw data Crude oil'!S2446</f>
        <v>0</v>
      </c>
      <c r="T2445">
        <f>'raw data Crude oil'!T2446</f>
        <v>0</v>
      </c>
      <c r="U2445">
        <f>'raw data Crude oil'!U2446</f>
        <v>0</v>
      </c>
      <c r="V2445">
        <f>'raw data Crude oil'!V2446</f>
        <v>0</v>
      </c>
      <c r="W2445">
        <f>'raw data Crude oil'!W2446</f>
        <v>0</v>
      </c>
      <c r="X2445">
        <f>'raw data Crude oil'!X2446</f>
        <v>0</v>
      </c>
      <c r="Y2445">
        <f>'raw data Crude oil'!Y2446</f>
        <v>0</v>
      </c>
      <c r="Z2445">
        <f>'raw data Crude oil'!Z2446</f>
        <v>0</v>
      </c>
      <c r="AA2445">
        <f>'raw data Crude oil'!AA2446</f>
        <v>0</v>
      </c>
      <c r="AB2445">
        <f>'raw data Crude oil'!AB2446</f>
        <v>0</v>
      </c>
      <c r="AC2445">
        <f>'raw data Crude oil'!AC2446</f>
        <v>0</v>
      </c>
      <c r="AD2445">
        <f>'raw data Crude oil'!AD2446</f>
        <v>0</v>
      </c>
      <c r="AE2445">
        <f>'raw data Crude oil'!AE2446</f>
        <v>0</v>
      </c>
      <c r="AF2445">
        <f>'raw data Crude oil'!AF2446</f>
        <v>0</v>
      </c>
      <c r="AG2445">
        <f>'raw data Crude oil'!AG2446</f>
        <v>0</v>
      </c>
      <c r="AH2445">
        <f>'raw data Crude oil'!AH2446</f>
        <v>0</v>
      </c>
      <c r="AI2445">
        <f>'raw data Crude oil'!AI2446</f>
        <v>0</v>
      </c>
      <c r="AJ2445">
        <f>'raw data Crude oil'!AJ2446</f>
        <v>0</v>
      </c>
      <c r="AK2445">
        <f>'raw data Crude oil'!AK2446</f>
        <v>0</v>
      </c>
    </row>
    <row r="2446" spans="1:37" x14ac:dyDescent="0.3">
      <c r="A2446" s="18">
        <f>'raw data Crude oil'!A2447</f>
        <v>0</v>
      </c>
      <c r="B2446">
        <f>'raw data Crude oil'!B2447</f>
        <v>0</v>
      </c>
      <c r="C2446">
        <f>'raw data Crude oil'!C2447</f>
        <v>0</v>
      </c>
      <c r="D2446">
        <f>'raw data Crude oil'!D2447</f>
        <v>0</v>
      </c>
      <c r="E2446">
        <f>'raw data Crude oil'!E2447</f>
        <v>0</v>
      </c>
      <c r="F2446">
        <f>'raw data Crude oil'!F2447</f>
        <v>0</v>
      </c>
      <c r="G2446">
        <f>'raw data Crude oil'!G2447</f>
        <v>0</v>
      </c>
      <c r="H2446">
        <f>'raw data Crude oil'!H2447</f>
        <v>0</v>
      </c>
      <c r="I2446">
        <f>'raw data Crude oil'!I2447</f>
        <v>0</v>
      </c>
      <c r="J2446">
        <f>'raw data Crude oil'!J2447</f>
        <v>0</v>
      </c>
      <c r="K2446">
        <f>'raw data Crude oil'!K2447</f>
        <v>0</v>
      </c>
      <c r="L2446">
        <f>'raw data Crude oil'!L2447</f>
        <v>0</v>
      </c>
      <c r="M2446">
        <f>'raw data Crude oil'!M2447</f>
        <v>0</v>
      </c>
      <c r="N2446">
        <f>'raw data Crude oil'!N2447</f>
        <v>0</v>
      </c>
      <c r="O2446">
        <f>'raw data Crude oil'!O2447</f>
        <v>0</v>
      </c>
      <c r="P2446">
        <f>'raw data Crude oil'!P2447</f>
        <v>0</v>
      </c>
      <c r="Q2446">
        <f>'raw data Crude oil'!Q2447</f>
        <v>0</v>
      </c>
      <c r="R2446">
        <f>'raw data Crude oil'!R2447</f>
        <v>0</v>
      </c>
      <c r="S2446">
        <f>'raw data Crude oil'!S2447</f>
        <v>0</v>
      </c>
      <c r="T2446">
        <f>'raw data Crude oil'!T2447</f>
        <v>0</v>
      </c>
      <c r="U2446">
        <f>'raw data Crude oil'!U2447</f>
        <v>0</v>
      </c>
      <c r="V2446">
        <f>'raw data Crude oil'!V2447</f>
        <v>0</v>
      </c>
      <c r="W2446">
        <f>'raw data Crude oil'!W2447</f>
        <v>0</v>
      </c>
      <c r="X2446">
        <f>'raw data Crude oil'!X2447</f>
        <v>0</v>
      </c>
      <c r="Y2446">
        <f>'raw data Crude oil'!Y2447</f>
        <v>0</v>
      </c>
      <c r="Z2446">
        <f>'raw data Crude oil'!Z2447</f>
        <v>0</v>
      </c>
      <c r="AA2446">
        <f>'raw data Crude oil'!AA2447</f>
        <v>0</v>
      </c>
      <c r="AB2446">
        <f>'raw data Crude oil'!AB2447</f>
        <v>0</v>
      </c>
      <c r="AC2446">
        <f>'raw data Crude oil'!AC2447</f>
        <v>0</v>
      </c>
      <c r="AD2446">
        <f>'raw data Crude oil'!AD2447</f>
        <v>0</v>
      </c>
      <c r="AE2446">
        <f>'raw data Crude oil'!AE2447</f>
        <v>0</v>
      </c>
      <c r="AF2446">
        <f>'raw data Crude oil'!AF2447</f>
        <v>0</v>
      </c>
      <c r="AG2446">
        <f>'raw data Crude oil'!AG2447</f>
        <v>0</v>
      </c>
      <c r="AH2446">
        <f>'raw data Crude oil'!AH2447</f>
        <v>0</v>
      </c>
      <c r="AI2446">
        <f>'raw data Crude oil'!AI2447</f>
        <v>0</v>
      </c>
      <c r="AJ2446">
        <f>'raw data Crude oil'!AJ2447</f>
        <v>0</v>
      </c>
      <c r="AK2446">
        <f>'raw data Crude oil'!AK2447</f>
        <v>0</v>
      </c>
    </row>
    <row r="2447" spans="1:37" x14ac:dyDescent="0.3">
      <c r="A2447" s="18">
        <f>'raw data Crude oil'!A2448</f>
        <v>0</v>
      </c>
      <c r="B2447">
        <f>'raw data Crude oil'!B2448</f>
        <v>0</v>
      </c>
      <c r="C2447">
        <f>'raw data Crude oil'!C2448</f>
        <v>0</v>
      </c>
      <c r="D2447">
        <f>'raw data Crude oil'!D2448</f>
        <v>0</v>
      </c>
      <c r="E2447">
        <f>'raw data Crude oil'!E2448</f>
        <v>0</v>
      </c>
      <c r="F2447">
        <f>'raw data Crude oil'!F2448</f>
        <v>0</v>
      </c>
      <c r="G2447">
        <f>'raw data Crude oil'!G2448</f>
        <v>0</v>
      </c>
      <c r="H2447">
        <f>'raw data Crude oil'!H2448</f>
        <v>0</v>
      </c>
      <c r="I2447">
        <f>'raw data Crude oil'!I2448</f>
        <v>0</v>
      </c>
      <c r="J2447">
        <f>'raw data Crude oil'!J2448</f>
        <v>0</v>
      </c>
      <c r="K2447">
        <f>'raw data Crude oil'!K2448</f>
        <v>0</v>
      </c>
      <c r="L2447">
        <f>'raw data Crude oil'!L2448</f>
        <v>0</v>
      </c>
      <c r="M2447">
        <f>'raw data Crude oil'!M2448</f>
        <v>0</v>
      </c>
      <c r="N2447">
        <f>'raw data Crude oil'!N2448</f>
        <v>0</v>
      </c>
      <c r="O2447">
        <f>'raw data Crude oil'!O2448</f>
        <v>0</v>
      </c>
      <c r="P2447">
        <f>'raw data Crude oil'!P2448</f>
        <v>0</v>
      </c>
      <c r="Q2447">
        <f>'raw data Crude oil'!Q2448</f>
        <v>0</v>
      </c>
      <c r="R2447">
        <f>'raw data Crude oil'!R2448</f>
        <v>0</v>
      </c>
      <c r="S2447">
        <f>'raw data Crude oil'!S2448</f>
        <v>0</v>
      </c>
      <c r="T2447">
        <f>'raw data Crude oil'!T2448</f>
        <v>0</v>
      </c>
      <c r="U2447">
        <f>'raw data Crude oil'!U2448</f>
        <v>0</v>
      </c>
      <c r="V2447">
        <f>'raw data Crude oil'!V2448</f>
        <v>0</v>
      </c>
      <c r="W2447">
        <f>'raw data Crude oil'!W2448</f>
        <v>0</v>
      </c>
      <c r="X2447">
        <f>'raw data Crude oil'!X2448</f>
        <v>0</v>
      </c>
      <c r="Y2447">
        <f>'raw data Crude oil'!Y2448</f>
        <v>0</v>
      </c>
      <c r="Z2447">
        <f>'raw data Crude oil'!Z2448</f>
        <v>0</v>
      </c>
      <c r="AA2447">
        <f>'raw data Crude oil'!AA2448</f>
        <v>0</v>
      </c>
      <c r="AB2447">
        <f>'raw data Crude oil'!AB2448</f>
        <v>0</v>
      </c>
      <c r="AC2447">
        <f>'raw data Crude oil'!AC2448</f>
        <v>0</v>
      </c>
      <c r="AD2447">
        <f>'raw data Crude oil'!AD2448</f>
        <v>0</v>
      </c>
      <c r="AE2447">
        <f>'raw data Crude oil'!AE2448</f>
        <v>0</v>
      </c>
      <c r="AF2447">
        <f>'raw data Crude oil'!AF2448</f>
        <v>0</v>
      </c>
      <c r="AG2447">
        <f>'raw data Crude oil'!AG2448</f>
        <v>0</v>
      </c>
      <c r="AH2447">
        <f>'raw data Crude oil'!AH2448</f>
        <v>0</v>
      </c>
      <c r="AI2447">
        <f>'raw data Crude oil'!AI2448</f>
        <v>0</v>
      </c>
      <c r="AJ2447">
        <f>'raw data Crude oil'!AJ2448</f>
        <v>0</v>
      </c>
      <c r="AK2447">
        <f>'raw data Crude oil'!AK2448</f>
        <v>0</v>
      </c>
    </row>
    <row r="2448" spans="1:37" x14ac:dyDescent="0.3">
      <c r="A2448" s="18">
        <f>'raw data Crude oil'!A2449</f>
        <v>0</v>
      </c>
      <c r="B2448">
        <f>'raw data Crude oil'!B2449</f>
        <v>0</v>
      </c>
      <c r="C2448">
        <f>'raw data Crude oil'!C2449</f>
        <v>0</v>
      </c>
      <c r="D2448">
        <f>'raw data Crude oil'!D2449</f>
        <v>0</v>
      </c>
      <c r="E2448">
        <f>'raw data Crude oil'!E2449</f>
        <v>0</v>
      </c>
      <c r="F2448">
        <f>'raw data Crude oil'!F2449</f>
        <v>0</v>
      </c>
      <c r="G2448">
        <f>'raw data Crude oil'!G2449</f>
        <v>0</v>
      </c>
      <c r="H2448">
        <f>'raw data Crude oil'!H2449</f>
        <v>0</v>
      </c>
      <c r="I2448">
        <f>'raw data Crude oil'!I2449</f>
        <v>0</v>
      </c>
      <c r="J2448">
        <f>'raw data Crude oil'!J2449</f>
        <v>0</v>
      </c>
      <c r="K2448">
        <f>'raw data Crude oil'!K2449</f>
        <v>0</v>
      </c>
      <c r="L2448">
        <f>'raw data Crude oil'!L2449</f>
        <v>0</v>
      </c>
      <c r="M2448">
        <f>'raw data Crude oil'!M2449</f>
        <v>0</v>
      </c>
      <c r="N2448">
        <f>'raw data Crude oil'!N2449</f>
        <v>0</v>
      </c>
      <c r="O2448">
        <f>'raw data Crude oil'!O2449</f>
        <v>0</v>
      </c>
      <c r="P2448">
        <f>'raw data Crude oil'!P2449</f>
        <v>0</v>
      </c>
      <c r="Q2448">
        <f>'raw data Crude oil'!Q2449</f>
        <v>0</v>
      </c>
      <c r="R2448">
        <f>'raw data Crude oil'!R2449</f>
        <v>0</v>
      </c>
      <c r="S2448">
        <f>'raw data Crude oil'!S2449</f>
        <v>0</v>
      </c>
      <c r="T2448">
        <f>'raw data Crude oil'!T2449</f>
        <v>0</v>
      </c>
      <c r="U2448">
        <f>'raw data Crude oil'!U2449</f>
        <v>0</v>
      </c>
      <c r="V2448">
        <f>'raw data Crude oil'!V2449</f>
        <v>0</v>
      </c>
      <c r="W2448">
        <f>'raw data Crude oil'!W2449</f>
        <v>0</v>
      </c>
      <c r="X2448">
        <f>'raw data Crude oil'!X2449</f>
        <v>0</v>
      </c>
      <c r="Y2448">
        <f>'raw data Crude oil'!Y2449</f>
        <v>0</v>
      </c>
      <c r="Z2448">
        <f>'raw data Crude oil'!Z2449</f>
        <v>0</v>
      </c>
      <c r="AA2448">
        <f>'raw data Crude oil'!AA2449</f>
        <v>0</v>
      </c>
      <c r="AB2448">
        <f>'raw data Crude oil'!AB2449</f>
        <v>0</v>
      </c>
      <c r="AC2448">
        <f>'raw data Crude oil'!AC2449</f>
        <v>0</v>
      </c>
      <c r="AD2448">
        <f>'raw data Crude oil'!AD2449</f>
        <v>0</v>
      </c>
      <c r="AE2448">
        <f>'raw data Crude oil'!AE2449</f>
        <v>0</v>
      </c>
      <c r="AF2448">
        <f>'raw data Crude oil'!AF2449</f>
        <v>0</v>
      </c>
      <c r="AG2448">
        <f>'raw data Crude oil'!AG2449</f>
        <v>0</v>
      </c>
      <c r="AH2448">
        <f>'raw data Crude oil'!AH2449</f>
        <v>0</v>
      </c>
      <c r="AI2448">
        <f>'raw data Crude oil'!AI2449</f>
        <v>0</v>
      </c>
      <c r="AJ2448">
        <f>'raw data Crude oil'!AJ2449</f>
        <v>0</v>
      </c>
      <c r="AK2448">
        <f>'raw data Crude oil'!AK2449</f>
        <v>0</v>
      </c>
    </row>
    <row r="2449" spans="1:37" x14ac:dyDescent="0.3">
      <c r="A2449" s="18">
        <f>'raw data Crude oil'!A2450</f>
        <v>0</v>
      </c>
      <c r="B2449">
        <f>'raw data Crude oil'!B2450</f>
        <v>0</v>
      </c>
      <c r="C2449">
        <f>'raw data Crude oil'!C2450</f>
        <v>0</v>
      </c>
      <c r="D2449">
        <f>'raw data Crude oil'!D2450</f>
        <v>0</v>
      </c>
      <c r="E2449">
        <f>'raw data Crude oil'!E2450</f>
        <v>0</v>
      </c>
      <c r="F2449">
        <f>'raw data Crude oil'!F2450</f>
        <v>0</v>
      </c>
      <c r="G2449">
        <f>'raw data Crude oil'!G2450</f>
        <v>0</v>
      </c>
      <c r="H2449">
        <f>'raw data Crude oil'!H2450</f>
        <v>0</v>
      </c>
      <c r="I2449">
        <f>'raw data Crude oil'!I2450</f>
        <v>0</v>
      </c>
      <c r="J2449">
        <f>'raw data Crude oil'!J2450</f>
        <v>0</v>
      </c>
      <c r="K2449">
        <f>'raw data Crude oil'!K2450</f>
        <v>0</v>
      </c>
      <c r="L2449">
        <f>'raw data Crude oil'!L2450</f>
        <v>0</v>
      </c>
      <c r="M2449">
        <f>'raw data Crude oil'!M2450</f>
        <v>0</v>
      </c>
      <c r="N2449">
        <f>'raw data Crude oil'!N2450</f>
        <v>0</v>
      </c>
      <c r="O2449">
        <f>'raw data Crude oil'!O2450</f>
        <v>0</v>
      </c>
      <c r="P2449">
        <f>'raw data Crude oil'!P2450</f>
        <v>0</v>
      </c>
      <c r="Q2449">
        <f>'raw data Crude oil'!Q2450</f>
        <v>0</v>
      </c>
      <c r="R2449">
        <f>'raw data Crude oil'!R2450</f>
        <v>0</v>
      </c>
      <c r="S2449">
        <f>'raw data Crude oil'!S2450</f>
        <v>0</v>
      </c>
      <c r="T2449">
        <f>'raw data Crude oil'!T2450</f>
        <v>0</v>
      </c>
      <c r="U2449">
        <f>'raw data Crude oil'!U2450</f>
        <v>0</v>
      </c>
      <c r="V2449">
        <f>'raw data Crude oil'!V2450</f>
        <v>0</v>
      </c>
      <c r="W2449">
        <f>'raw data Crude oil'!W2450</f>
        <v>0</v>
      </c>
      <c r="X2449">
        <f>'raw data Crude oil'!X2450</f>
        <v>0</v>
      </c>
      <c r="Y2449">
        <f>'raw data Crude oil'!Y2450</f>
        <v>0</v>
      </c>
      <c r="Z2449">
        <f>'raw data Crude oil'!Z2450</f>
        <v>0</v>
      </c>
      <c r="AA2449">
        <f>'raw data Crude oil'!AA2450</f>
        <v>0</v>
      </c>
      <c r="AB2449">
        <f>'raw data Crude oil'!AB2450</f>
        <v>0</v>
      </c>
      <c r="AC2449">
        <f>'raw data Crude oil'!AC2450</f>
        <v>0</v>
      </c>
      <c r="AD2449">
        <f>'raw data Crude oil'!AD2450</f>
        <v>0</v>
      </c>
      <c r="AE2449">
        <f>'raw data Crude oil'!AE2450</f>
        <v>0</v>
      </c>
      <c r="AF2449">
        <f>'raw data Crude oil'!AF2450</f>
        <v>0</v>
      </c>
      <c r="AG2449">
        <f>'raw data Crude oil'!AG2450</f>
        <v>0</v>
      </c>
      <c r="AH2449">
        <f>'raw data Crude oil'!AH2450</f>
        <v>0</v>
      </c>
      <c r="AI2449">
        <f>'raw data Crude oil'!AI2450</f>
        <v>0</v>
      </c>
      <c r="AJ2449">
        <f>'raw data Crude oil'!AJ2450</f>
        <v>0</v>
      </c>
      <c r="AK2449">
        <f>'raw data Crude oil'!AK2450</f>
        <v>0</v>
      </c>
    </row>
    <row r="2450" spans="1:37" x14ac:dyDescent="0.3">
      <c r="A2450" s="18">
        <f>'raw data Crude oil'!A2451</f>
        <v>0</v>
      </c>
      <c r="B2450">
        <f>'raw data Crude oil'!B2451</f>
        <v>0</v>
      </c>
      <c r="C2450">
        <f>'raw data Crude oil'!C2451</f>
        <v>0</v>
      </c>
      <c r="D2450">
        <f>'raw data Crude oil'!D2451</f>
        <v>0</v>
      </c>
      <c r="E2450">
        <f>'raw data Crude oil'!E2451</f>
        <v>0</v>
      </c>
      <c r="F2450">
        <f>'raw data Crude oil'!F2451</f>
        <v>0</v>
      </c>
      <c r="G2450">
        <f>'raw data Crude oil'!G2451</f>
        <v>0</v>
      </c>
      <c r="H2450">
        <f>'raw data Crude oil'!H2451</f>
        <v>0</v>
      </c>
      <c r="I2450">
        <f>'raw data Crude oil'!I2451</f>
        <v>0</v>
      </c>
      <c r="J2450">
        <f>'raw data Crude oil'!J2451</f>
        <v>0</v>
      </c>
      <c r="K2450">
        <f>'raw data Crude oil'!K2451</f>
        <v>0</v>
      </c>
      <c r="L2450">
        <f>'raw data Crude oil'!L2451</f>
        <v>0</v>
      </c>
      <c r="M2450">
        <f>'raw data Crude oil'!M2451</f>
        <v>0</v>
      </c>
      <c r="N2450">
        <f>'raw data Crude oil'!N2451</f>
        <v>0</v>
      </c>
      <c r="O2450">
        <f>'raw data Crude oil'!O2451</f>
        <v>0</v>
      </c>
      <c r="P2450">
        <f>'raw data Crude oil'!P2451</f>
        <v>0</v>
      </c>
      <c r="Q2450">
        <f>'raw data Crude oil'!Q2451</f>
        <v>0</v>
      </c>
      <c r="R2450">
        <f>'raw data Crude oil'!R2451</f>
        <v>0</v>
      </c>
      <c r="S2450">
        <f>'raw data Crude oil'!S2451</f>
        <v>0</v>
      </c>
      <c r="T2450">
        <f>'raw data Crude oil'!T2451</f>
        <v>0</v>
      </c>
      <c r="U2450">
        <f>'raw data Crude oil'!U2451</f>
        <v>0</v>
      </c>
      <c r="V2450">
        <f>'raw data Crude oil'!V2451</f>
        <v>0</v>
      </c>
      <c r="W2450">
        <f>'raw data Crude oil'!W2451</f>
        <v>0</v>
      </c>
      <c r="X2450">
        <f>'raw data Crude oil'!X2451</f>
        <v>0</v>
      </c>
      <c r="Y2450">
        <f>'raw data Crude oil'!Y2451</f>
        <v>0</v>
      </c>
      <c r="Z2450">
        <f>'raw data Crude oil'!Z2451</f>
        <v>0</v>
      </c>
      <c r="AA2450">
        <f>'raw data Crude oil'!AA2451</f>
        <v>0</v>
      </c>
      <c r="AB2450">
        <f>'raw data Crude oil'!AB2451</f>
        <v>0</v>
      </c>
      <c r="AC2450">
        <f>'raw data Crude oil'!AC2451</f>
        <v>0</v>
      </c>
      <c r="AD2450">
        <f>'raw data Crude oil'!AD2451</f>
        <v>0</v>
      </c>
      <c r="AE2450">
        <f>'raw data Crude oil'!AE2451</f>
        <v>0</v>
      </c>
      <c r="AF2450">
        <f>'raw data Crude oil'!AF2451</f>
        <v>0</v>
      </c>
      <c r="AG2450">
        <f>'raw data Crude oil'!AG2451</f>
        <v>0</v>
      </c>
      <c r="AH2450">
        <f>'raw data Crude oil'!AH2451</f>
        <v>0</v>
      </c>
      <c r="AI2450">
        <f>'raw data Crude oil'!AI2451</f>
        <v>0</v>
      </c>
      <c r="AJ2450">
        <f>'raw data Crude oil'!AJ2451</f>
        <v>0</v>
      </c>
      <c r="AK2450">
        <f>'raw data Crude oil'!AK2451</f>
        <v>0</v>
      </c>
    </row>
    <row r="2451" spans="1:37" x14ac:dyDescent="0.3">
      <c r="A2451" s="18">
        <f>'raw data Crude oil'!A2452</f>
        <v>0</v>
      </c>
      <c r="B2451">
        <f>'raw data Crude oil'!B2452</f>
        <v>0</v>
      </c>
      <c r="C2451">
        <f>'raw data Crude oil'!C2452</f>
        <v>0</v>
      </c>
      <c r="D2451">
        <f>'raw data Crude oil'!D2452</f>
        <v>0</v>
      </c>
      <c r="E2451">
        <f>'raw data Crude oil'!E2452</f>
        <v>0</v>
      </c>
      <c r="F2451">
        <f>'raw data Crude oil'!F2452</f>
        <v>0</v>
      </c>
      <c r="G2451">
        <f>'raw data Crude oil'!G2452</f>
        <v>0</v>
      </c>
      <c r="H2451">
        <f>'raw data Crude oil'!H2452</f>
        <v>0</v>
      </c>
      <c r="I2451">
        <f>'raw data Crude oil'!I2452</f>
        <v>0</v>
      </c>
      <c r="J2451">
        <f>'raw data Crude oil'!J2452</f>
        <v>0</v>
      </c>
      <c r="K2451">
        <f>'raw data Crude oil'!K2452</f>
        <v>0</v>
      </c>
      <c r="L2451">
        <f>'raw data Crude oil'!L2452</f>
        <v>0</v>
      </c>
      <c r="M2451">
        <f>'raw data Crude oil'!M2452</f>
        <v>0</v>
      </c>
      <c r="N2451">
        <f>'raw data Crude oil'!N2452</f>
        <v>0</v>
      </c>
      <c r="O2451">
        <f>'raw data Crude oil'!O2452</f>
        <v>0</v>
      </c>
      <c r="P2451">
        <f>'raw data Crude oil'!P2452</f>
        <v>0</v>
      </c>
      <c r="Q2451">
        <f>'raw data Crude oil'!Q2452</f>
        <v>0</v>
      </c>
      <c r="R2451">
        <f>'raw data Crude oil'!R2452</f>
        <v>0</v>
      </c>
      <c r="S2451">
        <f>'raw data Crude oil'!S2452</f>
        <v>0</v>
      </c>
      <c r="T2451">
        <f>'raw data Crude oil'!T2452</f>
        <v>0</v>
      </c>
      <c r="U2451">
        <f>'raw data Crude oil'!U2452</f>
        <v>0</v>
      </c>
      <c r="V2451">
        <f>'raw data Crude oil'!V2452</f>
        <v>0</v>
      </c>
      <c r="W2451">
        <f>'raw data Crude oil'!W2452</f>
        <v>0</v>
      </c>
      <c r="X2451">
        <f>'raw data Crude oil'!X2452</f>
        <v>0</v>
      </c>
      <c r="Y2451">
        <f>'raw data Crude oil'!Y2452</f>
        <v>0</v>
      </c>
      <c r="Z2451">
        <f>'raw data Crude oil'!Z2452</f>
        <v>0</v>
      </c>
      <c r="AA2451">
        <f>'raw data Crude oil'!AA2452</f>
        <v>0</v>
      </c>
      <c r="AB2451">
        <f>'raw data Crude oil'!AB2452</f>
        <v>0</v>
      </c>
      <c r="AC2451">
        <f>'raw data Crude oil'!AC2452</f>
        <v>0</v>
      </c>
      <c r="AD2451">
        <f>'raw data Crude oil'!AD2452</f>
        <v>0</v>
      </c>
      <c r="AE2451">
        <f>'raw data Crude oil'!AE2452</f>
        <v>0</v>
      </c>
      <c r="AF2451">
        <f>'raw data Crude oil'!AF2452</f>
        <v>0</v>
      </c>
      <c r="AG2451">
        <f>'raw data Crude oil'!AG2452</f>
        <v>0</v>
      </c>
      <c r="AH2451">
        <f>'raw data Crude oil'!AH2452</f>
        <v>0</v>
      </c>
      <c r="AI2451">
        <f>'raw data Crude oil'!AI2452</f>
        <v>0</v>
      </c>
      <c r="AJ2451">
        <f>'raw data Crude oil'!AJ2452</f>
        <v>0</v>
      </c>
      <c r="AK2451">
        <f>'raw data Crude oil'!AK2452</f>
        <v>0</v>
      </c>
    </row>
    <row r="2452" spans="1:37" x14ac:dyDescent="0.3">
      <c r="A2452" s="18">
        <f>'raw data Crude oil'!A2453</f>
        <v>0</v>
      </c>
      <c r="B2452">
        <f>'raw data Crude oil'!B2453</f>
        <v>0</v>
      </c>
      <c r="C2452">
        <f>'raw data Crude oil'!C2453</f>
        <v>0</v>
      </c>
      <c r="D2452">
        <f>'raw data Crude oil'!D2453</f>
        <v>0</v>
      </c>
      <c r="E2452">
        <f>'raw data Crude oil'!E2453</f>
        <v>0</v>
      </c>
      <c r="F2452">
        <f>'raw data Crude oil'!F2453</f>
        <v>0</v>
      </c>
      <c r="G2452">
        <f>'raw data Crude oil'!G2453</f>
        <v>0</v>
      </c>
      <c r="H2452">
        <f>'raw data Crude oil'!H2453</f>
        <v>0</v>
      </c>
      <c r="I2452">
        <f>'raw data Crude oil'!I2453</f>
        <v>0</v>
      </c>
      <c r="J2452">
        <f>'raw data Crude oil'!J2453</f>
        <v>0</v>
      </c>
      <c r="K2452">
        <f>'raw data Crude oil'!K2453</f>
        <v>0</v>
      </c>
      <c r="L2452">
        <f>'raw data Crude oil'!L2453</f>
        <v>0</v>
      </c>
      <c r="M2452">
        <f>'raw data Crude oil'!M2453</f>
        <v>0</v>
      </c>
      <c r="N2452">
        <f>'raw data Crude oil'!N2453</f>
        <v>0</v>
      </c>
      <c r="O2452">
        <f>'raw data Crude oil'!O2453</f>
        <v>0</v>
      </c>
      <c r="P2452">
        <f>'raw data Crude oil'!P2453</f>
        <v>0</v>
      </c>
      <c r="Q2452">
        <f>'raw data Crude oil'!Q2453</f>
        <v>0</v>
      </c>
      <c r="R2452">
        <f>'raw data Crude oil'!R2453</f>
        <v>0</v>
      </c>
      <c r="S2452">
        <f>'raw data Crude oil'!S2453</f>
        <v>0</v>
      </c>
      <c r="T2452">
        <f>'raw data Crude oil'!T2453</f>
        <v>0</v>
      </c>
      <c r="U2452">
        <f>'raw data Crude oil'!U2453</f>
        <v>0</v>
      </c>
      <c r="V2452">
        <f>'raw data Crude oil'!V2453</f>
        <v>0</v>
      </c>
      <c r="W2452">
        <f>'raw data Crude oil'!W2453</f>
        <v>0</v>
      </c>
      <c r="X2452">
        <f>'raw data Crude oil'!X2453</f>
        <v>0</v>
      </c>
      <c r="Y2452">
        <f>'raw data Crude oil'!Y2453</f>
        <v>0</v>
      </c>
      <c r="Z2452">
        <f>'raw data Crude oil'!Z2453</f>
        <v>0</v>
      </c>
      <c r="AA2452">
        <f>'raw data Crude oil'!AA2453</f>
        <v>0</v>
      </c>
      <c r="AB2452">
        <f>'raw data Crude oil'!AB2453</f>
        <v>0</v>
      </c>
      <c r="AC2452">
        <f>'raw data Crude oil'!AC2453</f>
        <v>0</v>
      </c>
      <c r="AD2452">
        <f>'raw data Crude oil'!AD2453</f>
        <v>0</v>
      </c>
      <c r="AE2452">
        <f>'raw data Crude oil'!AE2453</f>
        <v>0</v>
      </c>
      <c r="AF2452">
        <f>'raw data Crude oil'!AF2453</f>
        <v>0</v>
      </c>
      <c r="AG2452">
        <f>'raw data Crude oil'!AG2453</f>
        <v>0</v>
      </c>
      <c r="AH2452">
        <f>'raw data Crude oil'!AH2453</f>
        <v>0</v>
      </c>
      <c r="AI2452">
        <f>'raw data Crude oil'!AI2453</f>
        <v>0</v>
      </c>
      <c r="AJ2452">
        <f>'raw data Crude oil'!AJ2453</f>
        <v>0</v>
      </c>
      <c r="AK2452">
        <f>'raw data Crude oil'!AK2453</f>
        <v>0</v>
      </c>
    </row>
    <row r="2453" spans="1:37" x14ac:dyDescent="0.3">
      <c r="A2453" s="18">
        <f>'raw data Crude oil'!A2454</f>
        <v>0</v>
      </c>
      <c r="B2453">
        <f>'raw data Crude oil'!B2454</f>
        <v>0</v>
      </c>
      <c r="C2453">
        <f>'raw data Crude oil'!C2454</f>
        <v>0</v>
      </c>
      <c r="D2453">
        <f>'raw data Crude oil'!D2454</f>
        <v>0</v>
      </c>
      <c r="E2453">
        <f>'raw data Crude oil'!E2454</f>
        <v>0</v>
      </c>
      <c r="F2453">
        <f>'raw data Crude oil'!F2454</f>
        <v>0</v>
      </c>
      <c r="G2453">
        <f>'raw data Crude oil'!G2454</f>
        <v>0</v>
      </c>
      <c r="H2453">
        <f>'raw data Crude oil'!H2454</f>
        <v>0</v>
      </c>
      <c r="I2453">
        <f>'raw data Crude oil'!I2454</f>
        <v>0</v>
      </c>
      <c r="J2453">
        <f>'raw data Crude oil'!J2454</f>
        <v>0</v>
      </c>
      <c r="K2453">
        <f>'raw data Crude oil'!K2454</f>
        <v>0</v>
      </c>
      <c r="L2453">
        <f>'raw data Crude oil'!L2454</f>
        <v>0</v>
      </c>
      <c r="M2453">
        <f>'raw data Crude oil'!M2454</f>
        <v>0</v>
      </c>
      <c r="N2453">
        <f>'raw data Crude oil'!N2454</f>
        <v>0</v>
      </c>
      <c r="O2453">
        <f>'raw data Crude oil'!O2454</f>
        <v>0</v>
      </c>
      <c r="P2453">
        <f>'raw data Crude oil'!P2454</f>
        <v>0</v>
      </c>
      <c r="Q2453">
        <f>'raw data Crude oil'!Q2454</f>
        <v>0</v>
      </c>
      <c r="R2453">
        <f>'raw data Crude oil'!R2454</f>
        <v>0</v>
      </c>
      <c r="S2453">
        <f>'raw data Crude oil'!S2454</f>
        <v>0</v>
      </c>
      <c r="T2453">
        <f>'raw data Crude oil'!T2454</f>
        <v>0</v>
      </c>
      <c r="U2453">
        <f>'raw data Crude oil'!U2454</f>
        <v>0</v>
      </c>
      <c r="V2453">
        <f>'raw data Crude oil'!V2454</f>
        <v>0</v>
      </c>
      <c r="W2453">
        <f>'raw data Crude oil'!W2454</f>
        <v>0</v>
      </c>
      <c r="X2453">
        <f>'raw data Crude oil'!X2454</f>
        <v>0</v>
      </c>
      <c r="Y2453">
        <f>'raw data Crude oil'!Y2454</f>
        <v>0</v>
      </c>
      <c r="Z2453">
        <f>'raw data Crude oil'!Z2454</f>
        <v>0</v>
      </c>
      <c r="AA2453">
        <f>'raw data Crude oil'!AA2454</f>
        <v>0</v>
      </c>
      <c r="AB2453">
        <f>'raw data Crude oil'!AB2454</f>
        <v>0</v>
      </c>
      <c r="AC2453">
        <f>'raw data Crude oil'!AC2454</f>
        <v>0</v>
      </c>
      <c r="AD2453">
        <f>'raw data Crude oil'!AD2454</f>
        <v>0</v>
      </c>
      <c r="AE2453">
        <f>'raw data Crude oil'!AE2454</f>
        <v>0</v>
      </c>
      <c r="AF2453">
        <f>'raw data Crude oil'!AF2454</f>
        <v>0</v>
      </c>
      <c r="AG2453">
        <f>'raw data Crude oil'!AG2454</f>
        <v>0</v>
      </c>
      <c r="AH2453">
        <f>'raw data Crude oil'!AH2454</f>
        <v>0</v>
      </c>
      <c r="AI2453">
        <f>'raw data Crude oil'!AI2454</f>
        <v>0</v>
      </c>
      <c r="AJ2453">
        <f>'raw data Crude oil'!AJ2454</f>
        <v>0</v>
      </c>
      <c r="AK2453">
        <f>'raw data Crude oil'!AK2454</f>
        <v>0</v>
      </c>
    </row>
    <row r="2454" spans="1:37" x14ac:dyDescent="0.3">
      <c r="A2454" s="18">
        <f>'raw data Crude oil'!A2455</f>
        <v>0</v>
      </c>
      <c r="B2454">
        <f>'raw data Crude oil'!B2455</f>
        <v>0</v>
      </c>
      <c r="C2454">
        <f>'raw data Crude oil'!C2455</f>
        <v>0</v>
      </c>
      <c r="D2454">
        <f>'raw data Crude oil'!D2455</f>
        <v>0</v>
      </c>
      <c r="E2454">
        <f>'raw data Crude oil'!E2455</f>
        <v>0</v>
      </c>
      <c r="F2454">
        <f>'raw data Crude oil'!F2455</f>
        <v>0</v>
      </c>
      <c r="G2454">
        <f>'raw data Crude oil'!G2455</f>
        <v>0</v>
      </c>
      <c r="H2454">
        <f>'raw data Crude oil'!H2455</f>
        <v>0</v>
      </c>
      <c r="I2454">
        <f>'raw data Crude oil'!I2455</f>
        <v>0</v>
      </c>
      <c r="J2454">
        <f>'raw data Crude oil'!J2455</f>
        <v>0</v>
      </c>
      <c r="K2454">
        <f>'raw data Crude oil'!K2455</f>
        <v>0</v>
      </c>
      <c r="L2454">
        <f>'raw data Crude oil'!L2455</f>
        <v>0</v>
      </c>
      <c r="M2454">
        <f>'raw data Crude oil'!M2455</f>
        <v>0</v>
      </c>
      <c r="N2454">
        <f>'raw data Crude oil'!N2455</f>
        <v>0</v>
      </c>
      <c r="O2454">
        <f>'raw data Crude oil'!O2455</f>
        <v>0</v>
      </c>
      <c r="P2454">
        <f>'raw data Crude oil'!P2455</f>
        <v>0</v>
      </c>
      <c r="Q2454">
        <f>'raw data Crude oil'!Q2455</f>
        <v>0</v>
      </c>
      <c r="R2454">
        <f>'raw data Crude oil'!R2455</f>
        <v>0</v>
      </c>
      <c r="S2454">
        <f>'raw data Crude oil'!S2455</f>
        <v>0</v>
      </c>
      <c r="T2454">
        <f>'raw data Crude oil'!T2455</f>
        <v>0</v>
      </c>
      <c r="U2454">
        <f>'raw data Crude oil'!U2455</f>
        <v>0</v>
      </c>
      <c r="V2454">
        <f>'raw data Crude oil'!V2455</f>
        <v>0</v>
      </c>
      <c r="W2454">
        <f>'raw data Crude oil'!W2455</f>
        <v>0</v>
      </c>
      <c r="X2454">
        <f>'raw data Crude oil'!X2455</f>
        <v>0</v>
      </c>
      <c r="Y2454">
        <f>'raw data Crude oil'!Y2455</f>
        <v>0</v>
      </c>
      <c r="Z2454">
        <f>'raw data Crude oil'!Z2455</f>
        <v>0</v>
      </c>
      <c r="AA2454">
        <f>'raw data Crude oil'!AA2455</f>
        <v>0</v>
      </c>
      <c r="AB2454">
        <f>'raw data Crude oil'!AB2455</f>
        <v>0</v>
      </c>
      <c r="AC2454">
        <f>'raw data Crude oil'!AC2455</f>
        <v>0</v>
      </c>
      <c r="AD2454">
        <f>'raw data Crude oil'!AD2455</f>
        <v>0</v>
      </c>
      <c r="AE2454">
        <f>'raw data Crude oil'!AE2455</f>
        <v>0</v>
      </c>
      <c r="AF2454">
        <f>'raw data Crude oil'!AF2455</f>
        <v>0</v>
      </c>
      <c r="AG2454">
        <f>'raw data Crude oil'!AG2455</f>
        <v>0</v>
      </c>
      <c r="AH2454">
        <f>'raw data Crude oil'!AH2455</f>
        <v>0</v>
      </c>
      <c r="AI2454">
        <f>'raw data Crude oil'!AI2455</f>
        <v>0</v>
      </c>
      <c r="AJ2454">
        <f>'raw data Crude oil'!AJ2455</f>
        <v>0</v>
      </c>
      <c r="AK2454">
        <f>'raw data Crude oil'!AK2455</f>
        <v>0</v>
      </c>
    </row>
    <row r="2455" spans="1:37" x14ac:dyDescent="0.3">
      <c r="A2455" s="18">
        <f>'raw data Crude oil'!A2456</f>
        <v>0</v>
      </c>
      <c r="B2455">
        <f>'raw data Crude oil'!B2456</f>
        <v>0</v>
      </c>
      <c r="C2455">
        <f>'raw data Crude oil'!C2456</f>
        <v>0</v>
      </c>
      <c r="D2455">
        <f>'raw data Crude oil'!D2456</f>
        <v>0</v>
      </c>
      <c r="E2455">
        <f>'raw data Crude oil'!E2456</f>
        <v>0</v>
      </c>
      <c r="F2455">
        <f>'raw data Crude oil'!F2456</f>
        <v>0</v>
      </c>
      <c r="G2455">
        <f>'raw data Crude oil'!G2456</f>
        <v>0</v>
      </c>
      <c r="H2455">
        <f>'raw data Crude oil'!H2456</f>
        <v>0</v>
      </c>
      <c r="I2455">
        <f>'raw data Crude oil'!I2456</f>
        <v>0</v>
      </c>
      <c r="J2455">
        <f>'raw data Crude oil'!J2456</f>
        <v>0</v>
      </c>
      <c r="K2455">
        <f>'raw data Crude oil'!K2456</f>
        <v>0</v>
      </c>
      <c r="L2455">
        <f>'raw data Crude oil'!L2456</f>
        <v>0</v>
      </c>
      <c r="M2455">
        <f>'raw data Crude oil'!M2456</f>
        <v>0</v>
      </c>
      <c r="N2455">
        <f>'raw data Crude oil'!N2456</f>
        <v>0</v>
      </c>
      <c r="O2455">
        <f>'raw data Crude oil'!O2456</f>
        <v>0</v>
      </c>
      <c r="P2455">
        <f>'raw data Crude oil'!P2456</f>
        <v>0</v>
      </c>
      <c r="Q2455">
        <f>'raw data Crude oil'!Q2456</f>
        <v>0</v>
      </c>
      <c r="R2455">
        <f>'raw data Crude oil'!R2456</f>
        <v>0</v>
      </c>
      <c r="S2455">
        <f>'raw data Crude oil'!S2456</f>
        <v>0</v>
      </c>
      <c r="T2455">
        <f>'raw data Crude oil'!T2456</f>
        <v>0</v>
      </c>
      <c r="U2455">
        <f>'raw data Crude oil'!U2456</f>
        <v>0</v>
      </c>
      <c r="V2455">
        <f>'raw data Crude oil'!V2456</f>
        <v>0</v>
      </c>
      <c r="W2455">
        <f>'raw data Crude oil'!W2456</f>
        <v>0</v>
      </c>
      <c r="X2455">
        <f>'raw data Crude oil'!X2456</f>
        <v>0</v>
      </c>
      <c r="Y2455">
        <f>'raw data Crude oil'!Y2456</f>
        <v>0</v>
      </c>
      <c r="Z2455">
        <f>'raw data Crude oil'!Z2456</f>
        <v>0</v>
      </c>
      <c r="AA2455">
        <f>'raw data Crude oil'!AA2456</f>
        <v>0</v>
      </c>
      <c r="AB2455">
        <f>'raw data Crude oil'!AB2456</f>
        <v>0</v>
      </c>
      <c r="AC2455">
        <f>'raw data Crude oil'!AC2456</f>
        <v>0</v>
      </c>
      <c r="AD2455">
        <f>'raw data Crude oil'!AD2456</f>
        <v>0</v>
      </c>
      <c r="AE2455">
        <f>'raw data Crude oil'!AE2456</f>
        <v>0</v>
      </c>
      <c r="AF2455">
        <f>'raw data Crude oil'!AF2456</f>
        <v>0</v>
      </c>
      <c r="AG2455">
        <f>'raw data Crude oil'!AG2456</f>
        <v>0</v>
      </c>
      <c r="AH2455">
        <f>'raw data Crude oil'!AH2456</f>
        <v>0</v>
      </c>
      <c r="AI2455">
        <f>'raw data Crude oil'!AI2456</f>
        <v>0</v>
      </c>
      <c r="AJ2455">
        <f>'raw data Crude oil'!AJ2456</f>
        <v>0</v>
      </c>
      <c r="AK2455">
        <f>'raw data Crude oil'!AK2456</f>
        <v>0</v>
      </c>
    </row>
    <row r="2456" spans="1:37" x14ac:dyDescent="0.3">
      <c r="A2456" s="18">
        <f>'raw data Crude oil'!A2457</f>
        <v>0</v>
      </c>
      <c r="B2456">
        <f>'raw data Crude oil'!B2457</f>
        <v>0</v>
      </c>
      <c r="C2456">
        <f>'raw data Crude oil'!C2457</f>
        <v>0</v>
      </c>
      <c r="D2456">
        <f>'raw data Crude oil'!D2457</f>
        <v>0</v>
      </c>
      <c r="E2456">
        <f>'raw data Crude oil'!E2457</f>
        <v>0</v>
      </c>
      <c r="F2456">
        <f>'raw data Crude oil'!F2457</f>
        <v>0</v>
      </c>
      <c r="G2456">
        <f>'raw data Crude oil'!G2457</f>
        <v>0</v>
      </c>
      <c r="H2456">
        <f>'raw data Crude oil'!H2457</f>
        <v>0</v>
      </c>
      <c r="I2456">
        <f>'raw data Crude oil'!I2457</f>
        <v>0</v>
      </c>
      <c r="J2456">
        <f>'raw data Crude oil'!J2457</f>
        <v>0</v>
      </c>
      <c r="K2456">
        <f>'raw data Crude oil'!K2457</f>
        <v>0</v>
      </c>
      <c r="L2456">
        <f>'raw data Crude oil'!L2457</f>
        <v>0</v>
      </c>
      <c r="M2456">
        <f>'raw data Crude oil'!M2457</f>
        <v>0</v>
      </c>
      <c r="N2456">
        <f>'raw data Crude oil'!N2457</f>
        <v>0</v>
      </c>
      <c r="O2456">
        <f>'raw data Crude oil'!O2457</f>
        <v>0</v>
      </c>
      <c r="P2456">
        <f>'raw data Crude oil'!P2457</f>
        <v>0</v>
      </c>
      <c r="Q2456">
        <f>'raw data Crude oil'!Q2457</f>
        <v>0</v>
      </c>
      <c r="R2456">
        <f>'raw data Crude oil'!R2457</f>
        <v>0</v>
      </c>
      <c r="S2456">
        <f>'raw data Crude oil'!S2457</f>
        <v>0</v>
      </c>
      <c r="T2456">
        <f>'raw data Crude oil'!T2457</f>
        <v>0</v>
      </c>
      <c r="U2456">
        <f>'raw data Crude oil'!U2457</f>
        <v>0</v>
      </c>
      <c r="V2456">
        <f>'raw data Crude oil'!V2457</f>
        <v>0</v>
      </c>
      <c r="W2456">
        <f>'raw data Crude oil'!W2457</f>
        <v>0</v>
      </c>
      <c r="X2456">
        <f>'raw data Crude oil'!X2457</f>
        <v>0</v>
      </c>
      <c r="Y2456">
        <f>'raw data Crude oil'!Y2457</f>
        <v>0</v>
      </c>
      <c r="Z2456">
        <f>'raw data Crude oil'!Z2457</f>
        <v>0</v>
      </c>
      <c r="AA2456">
        <f>'raw data Crude oil'!AA2457</f>
        <v>0</v>
      </c>
      <c r="AB2456">
        <f>'raw data Crude oil'!AB2457</f>
        <v>0</v>
      </c>
      <c r="AC2456">
        <f>'raw data Crude oil'!AC2457</f>
        <v>0</v>
      </c>
      <c r="AD2456">
        <f>'raw data Crude oil'!AD2457</f>
        <v>0</v>
      </c>
      <c r="AE2456">
        <f>'raw data Crude oil'!AE2457</f>
        <v>0</v>
      </c>
      <c r="AF2456">
        <f>'raw data Crude oil'!AF2457</f>
        <v>0</v>
      </c>
      <c r="AG2456">
        <f>'raw data Crude oil'!AG2457</f>
        <v>0</v>
      </c>
      <c r="AH2456">
        <f>'raw data Crude oil'!AH2457</f>
        <v>0</v>
      </c>
      <c r="AI2456">
        <f>'raw data Crude oil'!AI2457</f>
        <v>0</v>
      </c>
      <c r="AJ2456">
        <f>'raw data Crude oil'!AJ2457</f>
        <v>0</v>
      </c>
      <c r="AK2456">
        <f>'raw data Crude oil'!AK2457</f>
        <v>0</v>
      </c>
    </row>
    <row r="2457" spans="1:37" x14ac:dyDescent="0.3">
      <c r="A2457" s="18">
        <f>'raw data Crude oil'!A2458</f>
        <v>0</v>
      </c>
      <c r="B2457">
        <f>'raw data Crude oil'!B2458</f>
        <v>0</v>
      </c>
      <c r="C2457">
        <f>'raw data Crude oil'!C2458</f>
        <v>0</v>
      </c>
      <c r="D2457">
        <f>'raw data Crude oil'!D2458</f>
        <v>0</v>
      </c>
      <c r="E2457">
        <f>'raw data Crude oil'!E2458</f>
        <v>0</v>
      </c>
      <c r="F2457">
        <f>'raw data Crude oil'!F2458</f>
        <v>0</v>
      </c>
      <c r="G2457">
        <f>'raw data Crude oil'!G2458</f>
        <v>0</v>
      </c>
      <c r="H2457">
        <f>'raw data Crude oil'!H2458</f>
        <v>0</v>
      </c>
      <c r="I2457">
        <f>'raw data Crude oil'!I2458</f>
        <v>0</v>
      </c>
      <c r="J2457">
        <f>'raw data Crude oil'!J2458</f>
        <v>0</v>
      </c>
      <c r="K2457">
        <f>'raw data Crude oil'!K2458</f>
        <v>0</v>
      </c>
      <c r="L2457">
        <f>'raw data Crude oil'!L2458</f>
        <v>0</v>
      </c>
      <c r="M2457">
        <f>'raw data Crude oil'!M2458</f>
        <v>0</v>
      </c>
      <c r="N2457">
        <f>'raw data Crude oil'!N2458</f>
        <v>0</v>
      </c>
      <c r="O2457">
        <f>'raw data Crude oil'!O2458</f>
        <v>0</v>
      </c>
      <c r="P2457">
        <f>'raw data Crude oil'!P2458</f>
        <v>0</v>
      </c>
      <c r="Q2457">
        <f>'raw data Crude oil'!Q2458</f>
        <v>0</v>
      </c>
      <c r="R2457">
        <f>'raw data Crude oil'!R2458</f>
        <v>0</v>
      </c>
      <c r="S2457">
        <f>'raw data Crude oil'!S2458</f>
        <v>0</v>
      </c>
      <c r="T2457">
        <f>'raw data Crude oil'!T2458</f>
        <v>0</v>
      </c>
      <c r="U2457">
        <f>'raw data Crude oil'!U2458</f>
        <v>0</v>
      </c>
      <c r="V2457">
        <f>'raw data Crude oil'!V2458</f>
        <v>0</v>
      </c>
      <c r="W2457">
        <f>'raw data Crude oil'!W2458</f>
        <v>0</v>
      </c>
      <c r="X2457">
        <f>'raw data Crude oil'!X2458</f>
        <v>0</v>
      </c>
      <c r="Y2457">
        <f>'raw data Crude oil'!Y2458</f>
        <v>0</v>
      </c>
      <c r="Z2457">
        <f>'raw data Crude oil'!Z2458</f>
        <v>0</v>
      </c>
      <c r="AA2457">
        <f>'raw data Crude oil'!AA2458</f>
        <v>0</v>
      </c>
      <c r="AB2457">
        <f>'raw data Crude oil'!AB2458</f>
        <v>0</v>
      </c>
      <c r="AC2457">
        <f>'raw data Crude oil'!AC2458</f>
        <v>0</v>
      </c>
      <c r="AD2457">
        <f>'raw data Crude oil'!AD2458</f>
        <v>0</v>
      </c>
      <c r="AE2457">
        <f>'raw data Crude oil'!AE2458</f>
        <v>0</v>
      </c>
      <c r="AF2457">
        <f>'raw data Crude oil'!AF2458</f>
        <v>0</v>
      </c>
      <c r="AG2457">
        <f>'raw data Crude oil'!AG2458</f>
        <v>0</v>
      </c>
      <c r="AH2457">
        <f>'raw data Crude oil'!AH2458</f>
        <v>0</v>
      </c>
      <c r="AI2457">
        <f>'raw data Crude oil'!AI2458</f>
        <v>0</v>
      </c>
      <c r="AJ2457">
        <f>'raw data Crude oil'!AJ2458</f>
        <v>0</v>
      </c>
      <c r="AK2457">
        <f>'raw data Crude oil'!AK2458</f>
        <v>0</v>
      </c>
    </row>
    <row r="2458" spans="1:37" x14ac:dyDescent="0.3">
      <c r="A2458" s="18">
        <f>'raw data Crude oil'!A2459</f>
        <v>0</v>
      </c>
      <c r="B2458">
        <f>'raw data Crude oil'!B2459</f>
        <v>0</v>
      </c>
      <c r="C2458">
        <f>'raw data Crude oil'!C2459</f>
        <v>0</v>
      </c>
      <c r="D2458">
        <f>'raw data Crude oil'!D2459</f>
        <v>0</v>
      </c>
      <c r="E2458">
        <f>'raw data Crude oil'!E2459</f>
        <v>0</v>
      </c>
      <c r="F2458">
        <f>'raw data Crude oil'!F2459</f>
        <v>0</v>
      </c>
      <c r="G2458">
        <f>'raw data Crude oil'!G2459</f>
        <v>0</v>
      </c>
      <c r="H2458">
        <f>'raw data Crude oil'!H2459</f>
        <v>0</v>
      </c>
      <c r="I2458">
        <f>'raw data Crude oil'!I2459</f>
        <v>0</v>
      </c>
      <c r="J2458">
        <f>'raw data Crude oil'!J2459</f>
        <v>0</v>
      </c>
      <c r="K2458">
        <f>'raw data Crude oil'!K2459</f>
        <v>0</v>
      </c>
      <c r="L2458">
        <f>'raw data Crude oil'!L2459</f>
        <v>0</v>
      </c>
      <c r="M2458">
        <f>'raw data Crude oil'!M2459</f>
        <v>0</v>
      </c>
      <c r="N2458">
        <f>'raw data Crude oil'!N2459</f>
        <v>0</v>
      </c>
      <c r="O2458">
        <f>'raw data Crude oil'!O2459</f>
        <v>0</v>
      </c>
      <c r="P2458">
        <f>'raw data Crude oil'!P2459</f>
        <v>0</v>
      </c>
      <c r="Q2458">
        <f>'raw data Crude oil'!Q2459</f>
        <v>0</v>
      </c>
      <c r="R2458">
        <f>'raw data Crude oil'!R2459</f>
        <v>0</v>
      </c>
      <c r="S2458">
        <f>'raw data Crude oil'!S2459</f>
        <v>0</v>
      </c>
      <c r="T2458">
        <f>'raw data Crude oil'!T2459</f>
        <v>0</v>
      </c>
      <c r="U2458">
        <f>'raw data Crude oil'!U2459</f>
        <v>0</v>
      </c>
      <c r="V2458">
        <f>'raw data Crude oil'!V2459</f>
        <v>0</v>
      </c>
      <c r="W2458">
        <f>'raw data Crude oil'!W2459</f>
        <v>0</v>
      </c>
      <c r="X2458">
        <f>'raw data Crude oil'!X2459</f>
        <v>0</v>
      </c>
      <c r="Y2458">
        <f>'raw data Crude oil'!Y2459</f>
        <v>0</v>
      </c>
      <c r="Z2458">
        <f>'raw data Crude oil'!Z2459</f>
        <v>0</v>
      </c>
      <c r="AA2458">
        <f>'raw data Crude oil'!AA2459</f>
        <v>0</v>
      </c>
      <c r="AB2458">
        <f>'raw data Crude oil'!AB2459</f>
        <v>0</v>
      </c>
      <c r="AC2458">
        <f>'raw data Crude oil'!AC2459</f>
        <v>0</v>
      </c>
      <c r="AD2458">
        <f>'raw data Crude oil'!AD2459</f>
        <v>0</v>
      </c>
      <c r="AE2458">
        <f>'raw data Crude oil'!AE2459</f>
        <v>0</v>
      </c>
      <c r="AF2458">
        <f>'raw data Crude oil'!AF2459</f>
        <v>0</v>
      </c>
      <c r="AG2458">
        <f>'raw data Crude oil'!AG2459</f>
        <v>0</v>
      </c>
      <c r="AH2458">
        <f>'raw data Crude oil'!AH2459</f>
        <v>0</v>
      </c>
      <c r="AI2458">
        <f>'raw data Crude oil'!AI2459</f>
        <v>0</v>
      </c>
      <c r="AJ2458">
        <f>'raw data Crude oil'!AJ2459</f>
        <v>0</v>
      </c>
      <c r="AK2458">
        <f>'raw data Crude oil'!AK2459</f>
        <v>0</v>
      </c>
    </row>
    <row r="2459" spans="1:37" x14ac:dyDescent="0.3">
      <c r="A2459" s="18">
        <f>'raw data Crude oil'!A2460</f>
        <v>0</v>
      </c>
      <c r="B2459">
        <f>'raw data Crude oil'!B2460</f>
        <v>0</v>
      </c>
      <c r="C2459">
        <f>'raw data Crude oil'!C2460</f>
        <v>0</v>
      </c>
      <c r="D2459">
        <f>'raw data Crude oil'!D2460</f>
        <v>0</v>
      </c>
      <c r="E2459">
        <f>'raw data Crude oil'!E2460</f>
        <v>0</v>
      </c>
      <c r="F2459">
        <f>'raw data Crude oil'!F2460</f>
        <v>0</v>
      </c>
      <c r="G2459">
        <f>'raw data Crude oil'!G2460</f>
        <v>0</v>
      </c>
      <c r="H2459">
        <f>'raw data Crude oil'!H2460</f>
        <v>0</v>
      </c>
      <c r="I2459">
        <f>'raw data Crude oil'!I2460</f>
        <v>0</v>
      </c>
      <c r="J2459">
        <f>'raw data Crude oil'!J2460</f>
        <v>0</v>
      </c>
      <c r="K2459">
        <f>'raw data Crude oil'!K2460</f>
        <v>0</v>
      </c>
      <c r="L2459">
        <f>'raw data Crude oil'!L2460</f>
        <v>0</v>
      </c>
      <c r="M2459">
        <f>'raw data Crude oil'!M2460</f>
        <v>0</v>
      </c>
      <c r="N2459">
        <f>'raw data Crude oil'!N2460</f>
        <v>0</v>
      </c>
      <c r="O2459">
        <f>'raw data Crude oil'!O2460</f>
        <v>0</v>
      </c>
      <c r="P2459">
        <f>'raw data Crude oil'!P2460</f>
        <v>0</v>
      </c>
      <c r="Q2459">
        <f>'raw data Crude oil'!Q2460</f>
        <v>0</v>
      </c>
      <c r="R2459">
        <f>'raw data Crude oil'!R2460</f>
        <v>0</v>
      </c>
      <c r="S2459">
        <f>'raw data Crude oil'!S2460</f>
        <v>0</v>
      </c>
      <c r="T2459">
        <f>'raw data Crude oil'!T2460</f>
        <v>0</v>
      </c>
      <c r="U2459">
        <f>'raw data Crude oil'!U2460</f>
        <v>0</v>
      </c>
      <c r="V2459">
        <f>'raw data Crude oil'!V2460</f>
        <v>0</v>
      </c>
      <c r="W2459">
        <f>'raw data Crude oil'!W2460</f>
        <v>0</v>
      </c>
      <c r="X2459">
        <f>'raw data Crude oil'!X2460</f>
        <v>0</v>
      </c>
      <c r="Y2459">
        <f>'raw data Crude oil'!Y2460</f>
        <v>0</v>
      </c>
      <c r="Z2459">
        <f>'raw data Crude oil'!Z2460</f>
        <v>0</v>
      </c>
      <c r="AA2459">
        <f>'raw data Crude oil'!AA2460</f>
        <v>0</v>
      </c>
      <c r="AB2459">
        <f>'raw data Crude oil'!AB2460</f>
        <v>0</v>
      </c>
      <c r="AC2459">
        <f>'raw data Crude oil'!AC2460</f>
        <v>0</v>
      </c>
      <c r="AD2459">
        <f>'raw data Crude oil'!AD2460</f>
        <v>0</v>
      </c>
      <c r="AE2459">
        <f>'raw data Crude oil'!AE2460</f>
        <v>0</v>
      </c>
      <c r="AF2459">
        <f>'raw data Crude oil'!AF2460</f>
        <v>0</v>
      </c>
      <c r="AG2459">
        <f>'raw data Crude oil'!AG2460</f>
        <v>0</v>
      </c>
      <c r="AH2459">
        <f>'raw data Crude oil'!AH2460</f>
        <v>0</v>
      </c>
      <c r="AI2459">
        <f>'raw data Crude oil'!AI2460</f>
        <v>0</v>
      </c>
      <c r="AJ2459">
        <f>'raw data Crude oil'!AJ2460</f>
        <v>0</v>
      </c>
      <c r="AK2459">
        <f>'raw data Crude oil'!AK2460</f>
        <v>0</v>
      </c>
    </row>
    <row r="2460" spans="1:37" x14ac:dyDescent="0.3">
      <c r="A2460" s="18">
        <f>'raw data Crude oil'!A2461</f>
        <v>0</v>
      </c>
      <c r="B2460">
        <f>'raw data Crude oil'!B2461</f>
        <v>0</v>
      </c>
      <c r="C2460">
        <f>'raw data Crude oil'!C2461</f>
        <v>0</v>
      </c>
      <c r="D2460">
        <f>'raw data Crude oil'!D2461</f>
        <v>0</v>
      </c>
      <c r="E2460">
        <f>'raw data Crude oil'!E2461</f>
        <v>0</v>
      </c>
      <c r="F2460">
        <f>'raw data Crude oil'!F2461</f>
        <v>0</v>
      </c>
      <c r="G2460">
        <f>'raw data Crude oil'!G2461</f>
        <v>0</v>
      </c>
      <c r="H2460">
        <f>'raw data Crude oil'!H2461</f>
        <v>0</v>
      </c>
      <c r="I2460">
        <f>'raw data Crude oil'!I2461</f>
        <v>0</v>
      </c>
      <c r="J2460">
        <f>'raw data Crude oil'!J2461</f>
        <v>0</v>
      </c>
      <c r="K2460">
        <f>'raw data Crude oil'!K2461</f>
        <v>0</v>
      </c>
      <c r="L2460">
        <f>'raw data Crude oil'!L2461</f>
        <v>0</v>
      </c>
      <c r="M2460">
        <f>'raw data Crude oil'!M2461</f>
        <v>0</v>
      </c>
      <c r="N2460">
        <f>'raw data Crude oil'!N2461</f>
        <v>0</v>
      </c>
      <c r="O2460">
        <f>'raw data Crude oil'!O2461</f>
        <v>0</v>
      </c>
      <c r="P2460">
        <f>'raw data Crude oil'!P2461</f>
        <v>0</v>
      </c>
      <c r="Q2460">
        <f>'raw data Crude oil'!Q2461</f>
        <v>0</v>
      </c>
      <c r="R2460">
        <f>'raw data Crude oil'!R2461</f>
        <v>0</v>
      </c>
      <c r="S2460">
        <f>'raw data Crude oil'!S2461</f>
        <v>0</v>
      </c>
      <c r="T2460">
        <f>'raw data Crude oil'!T2461</f>
        <v>0</v>
      </c>
      <c r="U2460">
        <f>'raw data Crude oil'!U2461</f>
        <v>0</v>
      </c>
      <c r="V2460">
        <f>'raw data Crude oil'!V2461</f>
        <v>0</v>
      </c>
      <c r="W2460">
        <f>'raw data Crude oil'!W2461</f>
        <v>0</v>
      </c>
      <c r="X2460">
        <f>'raw data Crude oil'!X2461</f>
        <v>0</v>
      </c>
      <c r="Y2460">
        <f>'raw data Crude oil'!Y2461</f>
        <v>0</v>
      </c>
      <c r="Z2460">
        <f>'raw data Crude oil'!Z2461</f>
        <v>0</v>
      </c>
      <c r="AA2460">
        <f>'raw data Crude oil'!AA2461</f>
        <v>0</v>
      </c>
      <c r="AB2460">
        <f>'raw data Crude oil'!AB2461</f>
        <v>0</v>
      </c>
      <c r="AC2460">
        <f>'raw data Crude oil'!AC2461</f>
        <v>0</v>
      </c>
      <c r="AD2460">
        <f>'raw data Crude oil'!AD2461</f>
        <v>0</v>
      </c>
      <c r="AE2460">
        <f>'raw data Crude oil'!AE2461</f>
        <v>0</v>
      </c>
      <c r="AF2460">
        <f>'raw data Crude oil'!AF2461</f>
        <v>0</v>
      </c>
      <c r="AG2460">
        <f>'raw data Crude oil'!AG2461</f>
        <v>0</v>
      </c>
      <c r="AH2460">
        <f>'raw data Crude oil'!AH2461</f>
        <v>0</v>
      </c>
      <c r="AI2460">
        <f>'raw data Crude oil'!AI2461</f>
        <v>0</v>
      </c>
      <c r="AJ2460">
        <f>'raw data Crude oil'!AJ2461</f>
        <v>0</v>
      </c>
      <c r="AK2460">
        <f>'raw data Crude oil'!AK2461</f>
        <v>0</v>
      </c>
    </row>
    <row r="2461" spans="1:37" x14ac:dyDescent="0.3">
      <c r="A2461" s="18">
        <f>'raw data Crude oil'!A2462</f>
        <v>0</v>
      </c>
      <c r="B2461">
        <f>'raw data Crude oil'!B2462</f>
        <v>0</v>
      </c>
      <c r="C2461">
        <f>'raw data Crude oil'!C2462</f>
        <v>0</v>
      </c>
      <c r="D2461">
        <f>'raw data Crude oil'!D2462</f>
        <v>0</v>
      </c>
      <c r="E2461">
        <f>'raw data Crude oil'!E2462</f>
        <v>0</v>
      </c>
      <c r="F2461">
        <f>'raw data Crude oil'!F2462</f>
        <v>0</v>
      </c>
      <c r="G2461">
        <f>'raw data Crude oil'!G2462</f>
        <v>0</v>
      </c>
      <c r="H2461">
        <f>'raw data Crude oil'!H2462</f>
        <v>0</v>
      </c>
      <c r="I2461">
        <f>'raw data Crude oil'!I2462</f>
        <v>0</v>
      </c>
      <c r="J2461">
        <f>'raw data Crude oil'!J2462</f>
        <v>0</v>
      </c>
      <c r="K2461">
        <f>'raw data Crude oil'!K2462</f>
        <v>0</v>
      </c>
      <c r="L2461">
        <f>'raw data Crude oil'!L2462</f>
        <v>0</v>
      </c>
      <c r="M2461">
        <f>'raw data Crude oil'!M2462</f>
        <v>0</v>
      </c>
      <c r="N2461">
        <f>'raw data Crude oil'!N2462</f>
        <v>0</v>
      </c>
      <c r="O2461">
        <f>'raw data Crude oil'!O2462</f>
        <v>0</v>
      </c>
      <c r="P2461">
        <f>'raw data Crude oil'!P2462</f>
        <v>0</v>
      </c>
      <c r="Q2461">
        <f>'raw data Crude oil'!Q2462</f>
        <v>0</v>
      </c>
      <c r="R2461">
        <f>'raw data Crude oil'!R2462</f>
        <v>0</v>
      </c>
      <c r="S2461">
        <f>'raw data Crude oil'!S2462</f>
        <v>0</v>
      </c>
      <c r="T2461">
        <f>'raw data Crude oil'!T2462</f>
        <v>0</v>
      </c>
      <c r="U2461">
        <f>'raw data Crude oil'!U2462</f>
        <v>0</v>
      </c>
      <c r="V2461">
        <f>'raw data Crude oil'!V2462</f>
        <v>0</v>
      </c>
      <c r="W2461">
        <f>'raw data Crude oil'!W2462</f>
        <v>0</v>
      </c>
      <c r="X2461">
        <f>'raw data Crude oil'!X2462</f>
        <v>0</v>
      </c>
      <c r="Y2461">
        <f>'raw data Crude oil'!Y2462</f>
        <v>0</v>
      </c>
      <c r="Z2461">
        <f>'raw data Crude oil'!Z2462</f>
        <v>0</v>
      </c>
      <c r="AA2461">
        <f>'raw data Crude oil'!AA2462</f>
        <v>0</v>
      </c>
      <c r="AB2461">
        <f>'raw data Crude oil'!AB2462</f>
        <v>0</v>
      </c>
      <c r="AC2461">
        <f>'raw data Crude oil'!AC2462</f>
        <v>0</v>
      </c>
      <c r="AD2461">
        <f>'raw data Crude oil'!AD2462</f>
        <v>0</v>
      </c>
      <c r="AE2461">
        <f>'raw data Crude oil'!AE2462</f>
        <v>0</v>
      </c>
      <c r="AF2461">
        <f>'raw data Crude oil'!AF2462</f>
        <v>0</v>
      </c>
      <c r="AG2461">
        <f>'raw data Crude oil'!AG2462</f>
        <v>0</v>
      </c>
      <c r="AH2461">
        <f>'raw data Crude oil'!AH2462</f>
        <v>0</v>
      </c>
      <c r="AI2461">
        <f>'raw data Crude oil'!AI2462</f>
        <v>0</v>
      </c>
      <c r="AJ2461">
        <f>'raw data Crude oil'!AJ2462</f>
        <v>0</v>
      </c>
      <c r="AK2461">
        <f>'raw data Crude oil'!AK2462</f>
        <v>0</v>
      </c>
    </row>
    <row r="2462" spans="1:37" x14ac:dyDescent="0.3">
      <c r="A2462" s="18">
        <f>'raw data Crude oil'!A2463</f>
        <v>0</v>
      </c>
      <c r="B2462">
        <f>'raw data Crude oil'!B2463</f>
        <v>0</v>
      </c>
      <c r="C2462">
        <f>'raw data Crude oil'!C2463</f>
        <v>0</v>
      </c>
      <c r="D2462">
        <f>'raw data Crude oil'!D2463</f>
        <v>0</v>
      </c>
      <c r="E2462">
        <f>'raw data Crude oil'!E2463</f>
        <v>0</v>
      </c>
      <c r="F2462">
        <f>'raw data Crude oil'!F2463</f>
        <v>0</v>
      </c>
      <c r="G2462">
        <f>'raw data Crude oil'!G2463</f>
        <v>0</v>
      </c>
      <c r="H2462">
        <f>'raw data Crude oil'!H2463</f>
        <v>0</v>
      </c>
      <c r="I2462">
        <f>'raw data Crude oil'!I2463</f>
        <v>0</v>
      </c>
      <c r="J2462">
        <f>'raw data Crude oil'!J2463</f>
        <v>0</v>
      </c>
      <c r="K2462">
        <f>'raw data Crude oil'!K2463</f>
        <v>0</v>
      </c>
      <c r="L2462">
        <f>'raw data Crude oil'!L2463</f>
        <v>0</v>
      </c>
      <c r="M2462">
        <f>'raw data Crude oil'!M2463</f>
        <v>0</v>
      </c>
      <c r="N2462">
        <f>'raw data Crude oil'!N2463</f>
        <v>0</v>
      </c>
      <c r="O2462">
        <f>'raw data Crude oil'!O2463</f>
        <v>0</v>
      </c>
      <c r="P2462">
        <f>'raw data Crude oil'!P2463</f>
        <v>0</v>
      </c>
      <c r="Q2462">
        <f>'raw data Crude oil'!Q2463</f>
        <v>0</v>
      </c>
      <c r="R2462">
        <f>'raw data Crude oil'!R2463</f>
        <v>0</v>
      </c>
      <c r="S2462">
        <f>'raw data Crude oil'!S2463</f>
        <v>0</v>
      </c>
      <c r="T2462">
        <f>'raw data Crude oil'!T2463</f>
        <v>0</v>
      </c>
      <c r="U2462">
        <f>'raw data Crude oil'!U2463</f>
        <v>0</v>
      </c>
      <c r="V2462">
        <f>'raw data Crude oil'!V2463</f>
        <v>0</v>
      </c>
      <c r="W2462">
        <f>'raw data Crude oil'!W2463</f>
        <v>0</v>
      </c>
      <c r="X2462">
        <f>'raw data Crude oil'!X2463</f>
        <v>0</v>
      </c>
      <c r="Y2462">
        <f>'raw data Crude oil'!Y2463</f>
        <v>0</v>
      </c>
      <c r="Z2462">
        <f>'raw data Crude oil'!Z2463</f>
        <v>0</v>
      </c>
      <c r="AA2462">
        <f>'raw data Crude oil'!AA2463</f>
        <v>0</v>
      </c>
      <c r="AB2462">
        <f>'raw data Crude oil'!AB2463</f>
        <v>0</v>
      </c>
      <c r="AC2462">
        <f>'raw data Crude oil'!AC2463</f>
        <v>0</v>
      </c>
      <c r="AD2462">
        <f>'raw data Crude oil'!AD2463</f>
        <v>0</v>
      </c>
      <c r="AE2462">
        <f>'raw data Crude oil'!AE2463</f>
        <v>0</v>
      </c>
      <c r="AF2462">
        <f>'raw data Crude oil'!AF2463</f>
        <v>0</v>
      </c>
      <c r="AG2462">
        <f>'raw data Crude oil'!AG2463</f>
        <v>0</v>
      </c>
      <c r="AH2462">
        <f>'raw data Crude oil'!AH2463</f>
        <v>0</v>
      </c>
      <c r="AI2462">
        <f>'raw data Crude oil'!AI2463</f>
        <v>0</v>
      </c>
      <c r="AJ2462">
        <f>'raw data Crude oil'!AJ2463</f>
        <v>0</v>
      </c>
      <c r="AK2462">
        <f>'raw data Crude oil'!AK2463</f>
        <v>0</v>
      </c>
    </row>
    <row r="2463" spans="1:37" x14ac:dyDescent="0.3">
      <c r="A2463" s="18">
        <f>'raw data Crude oil'!A2464</f>
        <v>0</v>
      </c>
      <c r="B2463">
        <f>'raw data Crude oil'!B2464</f>
        <v>0</v>
      </c>
      <c r="C2463">
        <f>'raw data Crude oil'!C2464</f>
        <v>0</v>
      </c>
      <c r="D2463">
        <f>'raw data Crude oil'!D2464</f>
        <v>0</v>
      </c>
      <c r="E2463">
        <f>'raw data Crude oil'!E2464</f>
        <v>0</v>
      </c>
      <c r="F2463">
        <f>'raw data Crude oil'!F2464</f>
        <v>0</v>
      </c>
      <c r="G2463">
        <f>'raw data Crude oil'!G2464</f>
        <v>0</v>
      </c>
      <c r="H2463">
        <f>'raw data Crude oil'!H2464</f>
        <v>0</v>
      </c>
      <c r="I2463">
        <f>'raw data Crude oil'!I2464</f>
        <v>0</v>
      </c>
      <c r="J2463">
        <f>'raw data Crude oil'!J2464</f>
        <v>0</v>
      </c>
      <c r="K2463">
        <f>'raw data Crude oil'!K2464</f>
        <v>0</v>
      </c>
      <c r="L2463">
        <f>'raw data Crude oil'!L2464</f>
        <v>0</v>
      </c>
      <c r="M2463">
        <f>'raw data Crude oil'!M2464</f>
        <v>0</v>
      </c>
      <c r="N2463">
        <f>'raw data Crude oil'!N2464</f>
        <v>0</v>
      </c>
      <c r="O2463">
        <f>'raw data Crude oil'!O2464</f>
        <v>0</v>
      </c>
      <c r="P2463">
        <f>'raw data Crude oil'!P2464</f>
        <v>0</v>
      </c>
      <c r="Q2463">
        <f>'raw data Crude oil'!Q2464</f>
        <v>0</v>
      </c>
      <c r="R2463">
        <f>'raw data Crude oil'!R2464</f>
        <v>0</v>
      </c>
      <c r="S2463">
        <f>'raw data Crude oil'!S2464</f>
        <v>0</v>
      </c>
      <c r="T2463">
        <f>'raw data Crude oil'!T2464</f>
        <v>0</v>
      </c>
      <c r="U2463">
        <f>'raw data Crude oil'!U2464</f>
        <v>0</v>
      </c>
      <c r="V2463">
        <f>'raw data Crude oil'!V2464</f>
        <v>0</v>
      </c>
      <c r="W2463">
        <f>'raw data Crude oil'!W2464</f>
        <v>0</v>
      </c>
      <c r="X2463">
        <f>'raw data Crude oil'!X2464</f>
        <v>0</v>
      </c>
      <c r="Y2463">
        <f>'raw data Crude oil'!Y2464</f>
        <v>0</v>
      </c>
      <c r="Z2463">
        <f>'raw data Crude oil'!Z2464</f>
        <v>0</v>
      </c>
      <c r="AA2463">
        <f>'raw data Crude oil'!AA2464</f>
        <v>0</v>
      </c>
      <c r="AB2463">
        <f>'raw data Crude oil'!AB2464</f>
        <v>0</v>
      </c>
      <c r="AC2463">
        <f>'raw data Crude oil'!AC2464</f>
        <v>0</v>
      </c>
      <c r="AD2463">
        <f>'raw data Crude oil'!AD2464</f>
        <v>0</v>
      </c>
      <c r="AE2463">
        <f>'raw data Crude oil'!AE2464</f>
        <v>0</v>
      </c>
      <c r="AF2463">
        <f>'raw data Crude oil'!AF2464</f>
        <v>0</v>
      </c>
      <c r="AG2463">
        <f>'raw data Crude oil'!AG2464</f>
        <v>0</v>
      </c>
      <c r="AH2463">
        <f>'raw data Crude oil'!AH2464</f>
        <v>0</v>
      </c>
      <c r="AI2463">
        <f>'raw data Crude oil'!AI2464</f>
        <v>0</v>
      </c>
      <c r="AJ2463">
        <f>'raw data Crude oil'!AJ2464</f>
        <v>0</v>
      </c>
      <c r="AK2463">
        <f>'raw data Crude oil'!AK2464</f>
        <v>0</v>
      </c>
    </row>
    <row r="2464" spans="1:37" x14ac:dyDescent="0.3">
      <c r="A2464" s="18">
        <f>'raw data Crude oil'!A2465</f>
        <v>0</v>
      </c>
      <c r="B2464">
        <f>'raw data Crude oil'!B2465</f>
        <v>0</v>
      </c>
      <c r="C2464">
        <f>'raw data Crude oil'!C2465</f>
        <v>0</v>
      </c>
      <c r="D2464">
        <f>'raw data Crude oil'!D2465</f>
        <v>0</v>
      </c>
      <c r="E2464">
        <f>'raw data Crude oil'!E2465</f>
        <v>0</v>
      </c>
      <c r="F2464">
        <f>'raw data Crude oil'!F2465</f>
        <v>0</v>
      </c>
      <c r="G2464">
        <f>'raw data Crude oil'!G2465</f>
        <v>0</v>
      </c>
      <c r="H2464">
        <f>'raw data Crude oil'!H2465</f>
        <v>0</v>
      </c>
      <c r="I2464">
        <f>'raw data Crude oil'!I2465</f>
        <v>0</v>
      </c>
      <c r="J2464">
        <f>'raw data Crude oil'!J2465</f>
        <v>0</v>
      </c>
      <c r="K2464">
        <f>'raw data Crude oil'!K2465</f>
        <v>0</v>
      </c>
      <c r="L2464">
        <f>'raw data Crude oil'!L2465</f>
        <v>0</v>
      </c>
      <c r="M2464">
        <f>'raw data Crude oil'!M2465</f>
        <v>0</v>
      </c>
      <c r="N2464">
        <f>'raw data Crude oil'!N2465</f>
        <v>0</v>
      </c>
      <c r="O2464">
        <f>'raw data Crude oil'!O2465</f>
        <v>0</v>
      </c>
      <c r="P2464">
        <f>'raw data Crude oil'!P2465</f>
        <v>0</v>
      </c>
      <c r="Q2464">
        <f>'raw data Crude oil'!Q2465</f>
        <v>0</v>
      </c>
      <c r="R2464">
        <f>'raw data Crude oil'!R2465</f>
        <v>0</v>
      </c>
      <c r="S2464">
        <f>'raw data Crude oil'!S2465</f>
        <v>0</v>
      </c>
      <c r="T2464">
        <f>'raw data Crude oil'!T2465</f>
        <v>0</v>
      </c>
      <c r="U2464">
        <f>'raw data Crude oil'!U2465</f>
        <v>0</v>
      </c>
      <c r="V2464">
        <f>'raw data Crude oil'!V2465</f>
        <v>0</v>
      </c>
      <c r="W2464">
        <f>'raw data Crude oil'!W2465</f>
        <v>0</v>
      </c>
      <c r="X2464">
        <f>'raw data Crude oil'!X2465</f>
        <v>0</v>
      </c>
      <c r="Y2464">
        <f>'raw data Crude oil'!Y2465</f>
        <v>0</v>
      </c>
      <c r="Z2464">
        <f>'raw data Crude oil'!Z2465</f>
        <v>0</v>
      </c>
      <c r="AA2464">
        <f>'raw data Crude oil'!AA2465</f>
        <v>0</v>
      </c>
      <c r="AB2464">
        <f>'raw data Crude oil'!AB2465</f>
        <v>0</v>
      </c>
      <c r="AC2464">
        <f>'raw data Crude oil'!AC2465</f>
        <v>0</v>
      </c>
      <c r="AD2464">
        <f>'raw data Crude oil'!AD2465</f>
        <v>0</v>
      </c>
      <c r="AE2464">
        <f>'raw data Crude oil'!AE2465</f>
        <v>0</v>
      </c>
      <c r="AF2464">
        <f>'raw data Crude oil'!AF2465</f>
        <v>0</v>
      </c>
      <c r="AG2464">
        <f>'raw data Crude oil'!AG2465</f>
        <v>0</v>
      </c>
      <c r="AH2464">
        <f>'raw data Crude oil'!AH2465</f>
        <v>0</v>
      </c>
      <c r="AI2464">
        <f>'raw data Crude oil'!AI2465</f>
        <v>0</v>
      </c>
      <c r="AJ2464">
        <f>'raw data Crude oil'!AJ2465</f>
        <v>0</v>
      </c>
      <c r="AK2464">
        <f>'raw data Crude oil'!AK2465</f>
        <v>0</v>
      </c>
    </row>
    <row r="2465" spans="1:37" x14ac:dyDescent="0.3">
      <c r="A2465" s="18">
        <f>'raw data Crude oil'!A2466</f>
        <v>0</v>
      </c>
      <c r="B2465">
        <f>'raw data Crude oil'!B2466</f>
        <v>0</v>
      </c>
      <c r="C2465">
        <f>'raw data Crude oil'!C2466</f>
        <v>0</v>
      </c>
      <c r="D2465">
        <f>'raw data Crude oil'!D2466</f>
        <v>0</v>
      </c>
      <c r="E2465">
        <f>'raw data Crude oil'!E2466</f>
        <v>0</v>
      </c>
      <c r="F2465">
        <f>'raw data Crude oil'!F2466</f>
        <v>0</v>
      </c>
      <c r="G2465">
        <f>'raw data Crude oil'!G2466</f>
        <v>0</v>
      </c>
      <c r="H2465">
        <f>'raw data Crude oil'!H2466</f>
        <v>0</v>
      </c>
      <c r="I2465">
        <f>'raw data Crude oil'!I2466</f>
        <v>0</v>
      </c>
      <c r="J2465">
        <f>'raw data Crude oil'!J2466</f>
        <v>0</v>
      </c>
      <c r="K2465">
        <f>'raw data Crude oil'!K2466</f>
        <v>0</v>
      </c>
      <c r="L2465">
        <f>'raw data Crude oil'!L2466</f>
        <v>0</v>
      </c>
      <c r="M2465">
        <f>'raw data Crude oil'!M2466</f>
        <v>0</v>
      </c>
      <c r="N2465">
        <f>'raw data Crude oil'!N2466</f>
        <v>0</v>
      </c>
      <c r="O2465">
        <f>'raw data Crude oil'!O2466</f>
        <v>0</v>
      </c>
      <c r="P2465">
        <f>'raw data Crude oil'!P2466</f>
        <v>0</v>
      </c>
      <c r="Q2465">
        <f>'raw data Crude oil'!Q2466</f>
        <v>0</v>
      </c>
      <c r="R2465">
        <f>'raw data Crude oil'!R2466</f>
        <v>0</v>
      </c>
      <c r="S2465">
        <f>'raw data Crude oil'!S2466</f>
        <v>0</v>
      </c>
      <c r="T2465">
        <f>'raw data Crude oil'!T2466</f>
        <v>0</v>
      </c>
      <c r="U2465">
        <f>'raw data Crude oil'!U2466</f>
        <v>0</v>
      </c>
      <c r="V2465">
        <f>'raw data Crude oil'!V2466</f>
        <v>0</v>
      </c>
      <c r="W2465">
        <f>'raw data Crude oil'!W2466</f>
        <v>0</v>
      </c>
      <c r="X2465">
        <f>'raw data Crude oil'!X2466</f>
        <v>0</v>
      </c>
      <c r="Y2465">
        <f>'raw data Crude oil'!Y2466</f>
        <v>0</v>
      </c>
      <c r="Z2465">
        <f>'raw data Crude oil'!Z2466</f>
        <v>0</v>
      </c>
      <c r="AA2465">
        <f>'raw data Crude oil'!AA2466</f>
        <v>0</v>
      </c>
      <c r="AB2465">
        <f>'raw data Crude oil'!AB2466</f>
        <v>0</v>
      </c>
      <c r="AC2465">
        <f>'raw data Crude oil'!AC2466</f>
        <v>0</v>
      </c>
      <c r="AD2465">
        <f>'raw data Crude oil'!AD2466</f>
        <v>0</v>
      </c>
      <c r="AE2465">
        <f>'raw data Crude oil'!AE2466</f>
        <v>0</v>
      </c>
      <c r="AF2465">
        <f>'raw data Crude oil'!AF2466</f>
        <v>0</v>
      </c>
      <c r="AG2465">
        <f>'raw data Crude oil'!AG2466</f>
        <v>0</v>
      </c>
      <c r="AH2465">
        <f>'raw data Crude oil'!AH2466</f>
        <v>0</v>
      </c>
      <c r="AI2465">
        <f>'raw data Crude oil'!AI2466</f>
        <v>0</v>
      </c>
      <c r="AJ2465">
        <f>'raw data Crude oil'!AJ2466</f>
        <v>0</v>
      </c>
      <c r="AK2465">
        <f>'raw data Crude oil'!AK2466</f>
        <v>0</v>
      </c>
    </row>
    <row r="2466" spans="1:37" x14ac:dyDescent="0.3">
      <c r="A2466" s="18">
        <f>'raw data Crude oil'!A2467</f>
        <v>0</v>
      </c>
      <c r="B2466">
        <f>'raw data Crude oil'!B2467</f>
        <v>0</v>
      </c>
      <c r="C2466">
        <f>'raw data Crude oil'!C2467</f>
        <v>0</v>
      </c>
      <c r="D2466">
        <f>'raw data Crude oil'!D2467</f>
        <v>0</v>
      </c>
      <c r="E2466">
        <f>'raw data Crude oil'!E2467</f>
        <v>0</v>
      </c>
      <c r="F2466">
        <f>'raw data Crude oil'!F2467</f>
        <v>0</v>
      </c>
      <c r="G2466">
        <f>'raw data Crude oil'!G2467</f>
        <v>0</v>
      </c>
      <c r="H2466">
        <f>'raw data Crude oil'!H2467</f>
        <v>0</v>
      </c>
      <c r="I2466">
        <f>'raw data Crude oil'!I2467</f>
        <v>0</v>
      </c>
      <c r="J2466">
        <f>'raw data Crude oil'!J2467</f>
        <v>0</v>
      </c>
      <c r="K2466">
        <f>'raw data Crude oil'!K2467</f>
        <v>0</v>
      </c>
      <c r="L2466">
        <f>'raw data Crude oil'!L2467</f>
        <v>0</v>
      </c>
      <c r="M2466">
        <f>'raw data Crude oil'!M2467</f>
        <v>0</v>
      </c>
      <c r="N2466">
        <f>'raw data Crude oil'!N2467</f>
        <v>0</v>
      </c>
      <c r="O2466">
        <f>'raw data Crude oil'!O2467</f>
        <v>0</v>
      </c>
      <c r="P2466">
        <f>'raw data Crude oil'!P2467</f>
        <v>0</v>
      </c>
      <c r="Q2466">
        <f>'raw data Crude oil'!Q2467</f>
        <v>0</v>
      </c>
      <c r="R2466">
        <f>'raw data Crude oil'!R2467</f>
        <v>0</v>
      </c>
      <c r="S2466">
        <f>'raw data Crude oil'!S2467</f>
        <v>0</v>
      </c>
      <c r="T2466">
        <f>'raw data Crude oil'!T2467</f>
        <v>0</v>
      </c>
      <c r="U2466">
        <f>'raw data Crude oil'!U2467</f>
        <v>0</v>
      </c>
      <c r="V2466">
        <f>'raw data Crude oil'!V2467</f>
        <v>0</v>
      </c>
      <c r="W2466">
        <f>'raw data Crude oil'!W2467</f>
        <v>0</v>
      </c>
      <c r="X2466">
        <f>'raw data Crude oil'!X2467</f>
        <v>0</v>
      </c>
      <c r="Y2466">
        <f>'raw data Crude oil'!Y2467</f>
        <v>0</v>
      </c>
      <c r="Z2466">
        <f>'raw data Crude oil'!Z2467</f>
        <v>0</v>
      </c>
      <c r="AA2466">
        <f>'raw data Crude oil'!AA2467</f>
        <v>0</v>
      </c>
      <c r="AB2466">
        <f>'raw data Crude oil'!AB2467</f>
        <v>0</v>
      </c>
      <c r="AC2466">
        <f>'raw data Crude oil'!AC2467</f>
        <v>0</v>
      </c>
      <c r="AD2466">
        <f>'raw data Crude oil'!AD2467</f>
        <v>0</v>
      </c>
      <c r="AE2466">
        <f>'raw data Crude oil'!AE2467</f>
        <v>0</v>
      </c>
      <c r="AF2466">
        <f>'raw data Crude oil'!AF2467</f>
        <v>0</v>
      </c>
      <c r="AG2466">
        <f>'raw data Crude oil'!AG2467</f>
        <v>0</v>
      </c>
      <c r="AH2466">
        <f>'raw data Crude oil'!AH2467</f>
        <v>0</v>
      </c>
      <c r="AI2466">
        <f>'raw data Crude oil'!AI2467</f>
        <v>0</v>
      </c>
      <c r="AJ2466">
        <f>'raw data Crude oil'!AJ2467</f>
        <v>0</v>
      </c>
      <c r="AK2466">
        <f>'raw data Crude oil'!AK2467</f>
        <v>0</v>
      </c>
    </row>
    <row r="2467" spans="1:37" x14ac:dyDescent="0.3">
      <c r="A2467" s="18">
        <f>'raw data Crude oil'!A2468</f>
        <v>0</v>
      </c>
      <c r="B2467">
        <f>'raw data Crude oil'!B2468</f>
        <v>0</v>
      </c>
      <c r="C2467">
        <f>'raw data Crude oil'!C2468</f>
        <v>0</v>
      </c>
      <c r="D2467">
        <f>'raw data Crude oil'!D2468</f>
        <v>0</v>
      </c>
      <c r="E2467">
        <f>'raw data Crude oil'!E2468</f>
        <v>0</v>
      </c>
      <c r="F2467">
        <f>'raw data Crude oil'!F2468</f>
        <v>0</v>
      </c>
      <c r="G2467">
        <f>'raw data Crude oil'!G2468</f>
        <v>0</v>
      </c>
      <c r="H2467">
        <f>'raw data Crude oil'!H2468</f>
        <v>0</v>
      </c>
      <c r="I2467">
        <f>'raw data Crude oil'!I2468</f>
        <v>0</v>
      </c>
      <c r="J2467">
        <f>'raw data Crude oil'!J2468</f>
        <v>0</v>
      </c>
      <c r="K2467">
        <f>'raw data Crude oil'!K2468</f>
        <v>0</v>
      </c>
      <c r="L2467">
        <f>'raw data Crude oil'!L2468</f>
        <v>0</v>
      </c>
      <c r="M2467">
        <f>'raw data Crude oil'!M2468</f>
        <v>0</v>
      </c>
      <c r="N2467">
        <f>'raw data Crude oil'!N2468</f>
        <v>0</v>
      </c>
      <c r="O2467">
        <f>'raw data Crude oil'!O2468</f>
        <v>0</v>
      </c>
      <c r="P2467">
        <f>'raw data Crude oil'!P2468</f>
        <v>0</v>
      </c>
      <c r="Q2467">
        <f>'raw data Crude oil'!Q2468</f>
        <v>0</v>
      </c>
      <c r="R2467">
        <f>'raw data Crude oil'!R2468</f>
        <v>0</v>
      </c>
      <c r="S2467">
        <f>'raw data Crude oil'!S2468</f>
        <v>0</v>
      </c>
      <c r="T2467">
        <f>'raw data Crude oil'!T2468</f>
        <v>0</v>
      </c>
      <c r="U2467">
        <f>'raw data Crude oil'!U2468</f>
        <v>0</v>
      </c>
      <c r="V2467">
        <f>'raw data Crude oil'!V2468</f>
        <v>0</v>
      </c>
      <c r="W2467">
        <f>'raw data Crude oil'!W2468</f>
        <v>0</v>
      </c>
      <c r="X2467">
        <f>'raw data Crude oil'!X2468</f>
        <v>0</v>
      </c>
      <c r="Y2467">
        <f>'raw data Crude oil'!Y2468</f>
        <v>0</v>
      </c>
      <c r="Z2467">
        <f>'raw data Crude oil'!Z2468</f>
        <v>0</v>
      </c>
      <c r="AA2467">
        <f>'raw data Crude oil'!AA2468</f>
        <v>0</v>
      </c>
      <c r="AB2467">
        <f>'raw data Crude oil'!AB2468</f>
        <v>0</v>
      </c>
      <c r="AC2467">
        <f>'raw data Crude oil'!AC2468</f>
        <v>0</v>
      </c>
      <c r="AD2467">
        <f>'raw data Crude oil'!AD2468</f>
        <v>0</v>
      </c>
      <c r="AE2467">
        <f>'raw data Crude oil'!AE2468</f>
        <v>0</v>
      </c>
      <c r="AF2467">
        <f>'raw data Crude oil'!AF2468</f>
        <v>0</v>
      </c>
      <c r="AG2467">
        <f>'raw data Crude oil'!AG2468</f>
        <v>0</v>
      </c>
      <c r="AH2467">
        <f>'raw data Crude oil'!AH2468</f>
        <v>0</v>
      </c>
      <c r="AI2467">
        <f>'raw data Crude oil'!AI2468</f>
        <v>0</v>
      </c>
      <c r="AJ2467">
        <f>'raw data Crude oil'!AJ2468</f>
        <v>0</v>
      </c>
      <c r="AK2467">
        <f>'raw data Crude oil'!AK2468</f>
        <v>0</v>
      </c>
    </row>
    <row r="2468" spans="1:37" x14ac:dyDescent="0.3">
      <c r="A2468" s="18">
        <f>'raw data Crude oil'!A2469</f>
        <v>0</v>
      </c>
      <c r="B2468">
        <f>'raw data Crude oil'!B2469</f>
        <v>0</v>
      </c>
      <c r="C2468">
        <f>'raw data Crude oil'!C2469</f>
        <v>0</v>
      </c>
      <c r="D2468">
        <f>'raw data Crude oil'!D2469</f>
        <v>0</v>
      </c>
      <c r="E2468">
        <f>'raw data Crude oil'!E2469</f>
        <v>0</v>
      </c>
      <c r="F2468">
        <f>'raw data Crude oil'!F2469</f>
        <v>0</v>
      </c>
      <c r="G2468">
        <f>'raw data Crude oil'!G2469</f>
        <v>0</v>
      </c>
      <c r="H2468">
        <f>'raw data Crude oil'!H2469</f>
        <v>0</v>
      </c>
      <c r="I2468">
        <f>'raw data Crude oil'!I2469</f>
        <v>0</v>
      </c>
      <c r="J2468">
        <f>'raw data Crude oil'!J2469</f>
        <v>0</v>
      </c>
      <c r="K2468">
        <f>'raw data Crude oil'!K2469</f>
        <v>0</v>
      </c>
      <c r="L2468">
        <f>'raw data Crude oil'!L2469</f>
        <v>0</v>
      </c>
      <c r="M2468">
        <f>'raw data Crude oil'!M2469</f>
        <v>0</v>
      </c>
      <c r="N2468">
        <f>'raw data Crude oil'!N2469</f>
        <v>0</v>
      </c>
      <c r="O2468">
        <f>'raw data Crude oil'!O2469</f>
        <v>0</v>
      </c>
      <c r="P2468">
        <f>'raw data Crude oil'!P2469</f>
        <v>0</v>
      </c>
      <c r="Q2468">
        <f>'raw data Crude oil'!Q2469</f>
        <v>0</v>
      </c>
      <c r="R2468">
        <f>'raw data Crude oil'!R2469</f>
        <v>0</v>
      </c>
      <c r="S2468">
        <f>'raw data Crude oil'!S2469</f>
        <v>0</v>
      </c>
      <c r="T2468">
        <f>'raw data Crude oil'!T2469</f>
        <v>0</v>
      </c>
      <c r="U2468">
        <f>'raw data Crude oil'!U2469</f>
        <v>0</v>
      </c>
      <c r="V2468">
        <f>'raw data Crude oil'!V2469</f>
        <v>0</v>
      </c>
      <c r="W2468">
        <f>'raw data Crude oil'!W2469</f>
        <v>0</v>
      </c>
      <c r="X2468">
        <f>'raw data Crude oil'!X2469</f>
        <v>0</v>
      </c>
      <c r="Y2468">
        <f>'raw data Crude oil'!Y2469</f>
        <v>0</v>
      </c>
      <c r="Z2468">
        <f>'raw data Crude oil'!Z2469</f>
        <v>0</v>
      </c>
      <c r="AA2468">
        <f>'raw data Crude oil'!AA2469</f>
        <v>0</v>
      </c>
      <c r="AB2468">
        <f>'raw data Crude oil'!AB2469</f>
        <v>0</v>
      </c>
      <c r="AC2468">
        <f>'raw data Crude oil'!AC2469</f>
        <v>0</v>
      </c>
      <c r="AD2468">
        <f>'raw data Crude oil'!AD2469</f>
        <v>0</v>
      </c>
      <c r="AE2468">
        <f>'raw data Crude oil'!AE2469</f>
        <v>0</v>
      </c>
      <c r="AF2468">
        <f>'raw data Crude oil'!AF2469</f>
        <v>0</v>
      </c>
      <c r="AG2468">
        <f>'raw data Crude oil'!AG2469</f>
        <v>0</v>
      </c>
      <c r="AH2468">
        <f>'raw data Crude oil'!AH2469</f>
        <v>0</v>
      </c>
      <c r="AI2468">
        <f>'raw data Crude oil'!AI2469</f>
        <v>0</v>
      </c>
      <c r="AJ2468">
        <f>'raw data Crude oil'!AJ2469</f>
        <v>0</v>
      </c>
      <c r="AK2468">
        <f>'raw data Crude oil'!AK2469</f>
        <v>0</v>
      </c>
    </row>
    <row r="2469" spans="1:37" x14ac:dyDescent="0.3">
      <c r="A2469" s="18">
        <f>'raw data Crude oil'!A2470</f>
        <v>0</v>
      </c>
      <c r="B2469">
        <f>'raw data Crude oil'!B2470</f>
        <v>0</v>
      </c>
      <c r="C2469">
        <f>'raw data Crude oil'!C2470</f>
        <v>0</v>
      </c>
      <c r="D2469">
        <f>'raw data Crude oil'!D2470</f>
        <v>0</v>
      </c>
      <c r="E2469">
        <f>'raw data Crude oil'!E2470</f>
        <v>0</v>
      </c>
      <c r="F2469">
        <f>'raw data Crude oil'!F2470</f>
        <v>0</v>
      </c>
      <c r="G2469">
        <f>'raw data Crude oil'!G2470</f>
        <v>0</v>
      </c>
      <c r="H2469">
        <f>'raw data Crude oil'!H2470</f>
        <v>0</v>
      </c>
      <c r="I2469">
        <f>'raw data Crude oil'!I2470</f>
        <v>0</v>
      </c>
      <c r="J2469">
        <f>'raw data Crude oil'!J2470</f>
        <v>0</v>
      </c>
      <c r="K2469">
        <f>'raw data Crude oil'!K2470</f>
        <v>0</v>
      </c>
      <c r="L2469">
        <f>'raw data Crude oil'!L2470</f>
        <v>0</v>
      </c>
      <c r="M2469">
        <f>'raw data Crude oil'!M2470</f>
        <v>0</v>
      </c>
      <c r="N2469">
        <f>'raw data Crude oil'!N2470</f>
        <v>0</v>
      </c>
      <c r="O2469">
        <f>'raw data Crude oil'!O2470</f>
        <v>0</v>
      </c>
      <c r="P2469">
        <f>'raw data Crude oil'!P2470</f>
        <v>0</v>
      </c>
      <c r="Q2469">
        <f>'raw data Crude oil'!Q2470</f>
        <v>0</v>
      </c>
      <c r="R2469">
        <f>'raw data Crude oil'!R2470</f>
        <v>0</v>
      </c>
      <c r="S2469">
        <f>'raw data Crude oil'!S2470</f>
        <v>0</v>
      </c>
      <c r="T2469">
        <f>'raw data Crude oil'!T2470</f>
        <v>0</v>
      </c>
      <c r="U2469">
        <f>'raw data Crude oil'!U2470</f>
        <v>0</v>
      </c>
      <c r="V2469">
        <f>'raw data Crude oil'!V2470</f>
        <v>0</v>
      </c>
      <c r="W2469">
        <f>'raw data Crude oil'!W2470</f>
        <v>0</v>
      </c>
      <c r="X2469">
        <f>'raw data Crude oil'!X2470</f>
        <v>0</v>
      </c>
      <c r="Y2469">
        <f>'raw data Crude oil'!Y2470</f>
        <v>0</v>
      </c>
      <c r="Z2469">
        <f>'raw data Crude oil'!Z2470</f>
        <v>0</v>
      </c>
      <c r="AA2469">
        <f>'raw data Crude oil'!AA2470</f>
        <v>0</v>
      </c>
      <c r="AB2469">
        <f>'raw data Crude oil'!AB2470</f>
        <v>0</v>
      </c>
      <c r="AC2469">
        <f>'raw data Crude oil'!AC2470</f>
        <v>0</v>
      </c>
      <c r="AD2469">
        <f>'raw data Crude oil'!AD2470</f>
        <v>0</v>
      </c>
      <c r="AE2469">
        <f>'raw data Crude oil'!AE2470</f>
        <v>0</v>
      </c>
      <c r="AF2469">
        <f>'raw data Crude oil'!AF2470</f>
        <v>0</v>
      </c>
      <c r="AG2469">
        <f>'raw data Crude oil'!AG2470</f>
        <v>0</v>
      </c>
      <c r="AH2469">
        <f>'raw data Crude oil'!AH2470</f>
        <v>0</v>
      </c>
      <c r="AI2469">
        <f>'raw data Crude oil'!AI2470</f>
        <v>0</v>
      </c>
      <c r="AJ2469">
        <f>'raw data Crude oil'!AJ2470</f>
        <v>0</v>
      </c>
      <c r="AK2469">
        <f>'raw data Crude oil'!AK2470</f>
        <v>0</v>
      </c>
    </row>
    <row r="2470" spans="1:37" x14ac:dyDescent="0.3">
      <c r="A2470" s="18">
        <f>'raw data Crude oil'!A2471</f>
        <v>0</v>
      </c>
      <c r="B2470">
        <f>'raw data Crude oil'!B2471</f>
        <v>0</v>
      </c>
      <c r="C2470">
        <f>'raw data Crude oil'!C2471</f>
        <v>0</v>
      </c>
      <c r="D2470">
        <f>'raw data Crude oil'!D2471</f>
        <v>0</v>
      </c>
      <c r="E2470">
        <f>'raw data Crude oil'!E2471</f>
        <v>0</v>
      </c>
      <c r="F2470">
        <f>'raw data Crude oil'!F2471</f>
        <v>0</v>
      </c>
      <c r="G2470">
        <f>'raw data Crude oil'!G2471</f>
        <v>0</v>
      </c>
      <c r="H2470">
        <f>'raw data Crude oil'!H2471</f>
        <v>0</v>
      </c>
      <c r="I2470">
        <f>'raw data Crude oil'!I2471</f>
        <v>0</v>
      </c>
      <c r="J2470">
        <f>'raw data Crude oil'!J2471</f>
        <v>0</v>
      </c>
      <c r="K2470">
        <f>'raw data Crude oil'!K2471</f>
        <v>0</v>
      </c>
      <c r="L2470">
        <f>'raw data Crude oil'!L2471</f>
        <v>0</v>
      </c>
      <c r="M2470">
        <f>'raw data Crude oil'!M2471</f>
        <v>0</v>
      </c>
      <c r="N2470">
        <f>'raw data Crude oil'!N2471</f>
        <v>0</v>
      </c>
      <c r="O2470">
        <f>'raw data Crude oil'!O2471</f>
        <v>0</v>
      </c>
      <c r="P2470">
        <f>'raw data Crude oil'!P2471</f>
        <v>0</v>
      </c>
      <c r="Q2470">
        <f>'raw data Crude oil'!Q2471</f>
        <v>0</v>
      </c>
      <c r="R2470">
        <f>'raw data Crude oil'!R2471</f>
        <v>0</v>
      </c>
      <c r="S2470">
        <f>'raw data Crude oil'!S2471</f>
        <v>0</v>
      </c>
      <c r="T2470">
        <f>'raw data Crude oil'!T2471</f>
        <v>0</v>
      </c>
      <c r="U2470">
        <f>'raw data Crude oil'!U2471</f>
        <v>0</v>
      </c>
      <c r="V2470">
        <f>'raw data Crude oil'!V2471</f>
        <v>0</v>
      </c>
      <c r="W2470">
        <f>'raw data Crude oil'!W2471</f>
        <v>0</v>
      </c>
      <c r="X2470">
        <f>'raw data Crude oil'!X2471</f>
        <v>0</v>
      </c>
      <c r="Y2470">
        <f>'raw data Crude oil'!Y2471</f>
        <v>0</v>
      </c>
      <c r="Z2470">
        <f>'raw data Crude oil'!Z2471</f>
        <v>0</v>
      </c>
      <c r="AA2470">
        <f>'raw data Crude oil'!AA2471</f>
        <v>0</v>
      </c>
      <c r="AB2470">
        <f>'raw data Crude oil'!AB2471</f>
        <v>0</v>
      </c>
      <c r="AC2470">
        <f>'raw data Crude oil'!AC2471</f>
        <v>0</v>
      </c>
      <c r="AD2470">
        <f>'raw data Crude oil'!AD2471</f>
        <v>0</v>
      </c>
      <c r="AE2470">
        <f>'raw data Crude oil'!AE2471</f>
        <v>0</v>
      </c>
      <c r="AF2470">
        <f>'raw data Crude oil'!AF2471</f>
        <v>0</v>
      </c>
      <c r="AG2470">
        <f>'raw data Crude oil'!AG2471</f>
        <v>0</v>
      </c>
      <c r="AH2470">
        <f>'raw data Crude oil'!AH2471</f>
        <v>0</v>
      </c>
      <c r="AI2470">
        <f>'raw data Crude oil'!AI2471</f>
        <v>0</v>
      </c>
      <c r="AJ2470">
        <f>'raw data Crude oil'!AJ2471</f>
        <v>0</v>
      </c>
      <c r="AK2470">
        <f>'raw data Crude oil'!AK2471</f>
        <v>0</v>
      </c>
    </row>
    <row r="2471" spans="1:37" x14ac:dyDescent="0.3">
      <c r="A2471" s="18">
        <f>'raw data Crude oil'!A2472</f>
        <v>0</v>
      </c>
      <c r="B2471">
        <f>'raw data Crude oil'!B2472</f>
        <v>0</v>
      </c>
      <c r="C2471">
        <f>'raw data Crude oil'!C2472</f>
        <v>0</v>
      </c>
      <c r="D2471">
        <f>'raw data Crude oil'!D2472</f>
        <v>0</v>
      </c>
      <c r="E2471">
        <f>'raw data Crude oil'!E2472</f>
        <v>0</v>
      </c>
      <c r="F2471">
        <f>'raw data Crude oil'!F2472</f>
        <v>0</v>
      </c>
      <c r="G2471">
        <f>'raw data Crude oil'!G2472</f>
        <v>0</v>
      </c>
      <c r="H2471">
        <f>'raw data Crude oil'!H2472</f>
        <v>0</v>
      </c>
      <c r="I2471">
        <f>'raw data Crude oil'!I2472</f>
        <v>0</v>
      </c>
      <c r="J2471">
        <f>'raw data Crude oil'!J2472</f>
        <v>0</v>
      </c>
      <c r="K2471">
        <f>'raw data Crude oil'!K2472</f>
        <v>0</v>
      </c>
      <c r="L2471">
        <f>'raw data Crude oil'!L2472</f>
        <v>0</v>
      </c>
      <c r="M2471">
        <f>'raw data Crude oil'!M2472</f>
        <v>0</v>
      </c>
      <c r="N2471">
        <f>'raw data Crude oil'!N2472</f>
        <v>0</v>
      </c>
      <c r="O2471">
        <f>'raw data Crude oil'!O2472</f>
        <v>0</v>
      </c>
      <c r="P2471">
        <f>'raw data Crude oil'!P2472</f>
        <v>0</v>
      </c>
      <c r="Q2471">
        <f>'raw data Crude oil'!Q2472</f>
        <v>0</v>
      </c>
      <c r="R2471">
        <f>'raw data Crude oil'!R2472</f>
        <v>0</v>
      </c>
      <c r="S2471">
        <f>'raw data Crude oil'!S2472</f>
        <v>0</v>
      </c>
      <c r="T2471">
        <f>'raw data Crude oil'!T2472</f>
        <v>0</v>
      </c>
      <c r="U2471">
        <f>'raw data Crude oil'!U2472</f>
        <v>0</v>
      </c>
      <c r="V2471">
        <f>'raw data Crude oil'!V2472</f>
        <v>0</v>
      </c>
      <c r="W2471">
        <f>'raw data Crude oil'!W2472</f>
        <v>0</v>
      </c>
      <c r="X2471">
        <f>'raw data Crude oil'!X2472</f>
        <v>0</v>
      </c>
      <c r="Y2471">
        <f>'raw data Crude oil'!Y2472</f>
        <v>0</v>
      </c>
      <c r="Z2471">
        <f>'raw data Crude oil'!Z2472</f>
        <v>0</v>
      </c>
      <c r="AA2471">
        <f>'raw data Crude oil'!AA2472</f>
        <v>0</v>
      </c>
      <c r="AB2471">
        <f>'raw data Crude oil'!AB2472</f>
        <v>0</v>
      </c>
      <c r="AC2471">
        <f>'raw data Crude oil'!AC2472</f>
        <v>0</v>
      </c>
      <c r="AD2471">
        <f>'raw data Crude oil'!AD2472</f>
        <v>0</v>
      </c>
      <c r="AE2471">
        <f>'raw data Crude oil'!AE2472</f>
        <v>0</v>
      </c>
      <c r="AF2471">
        <f>'raw data Crude oil'!AF2472</f>
        <v>0</v>
      </c>
      <c r="AG2471">
        <f>'raw data Crude oil'!AG2472</f>
        <v>0</v>
      </c>
      <c r="AH2471">
        <f>'raw data Crude oil'!AH2472</f>
        <v>0</v>
      </c>
      <c r="AI2471">
        <f>'raw data Crude oil'!AI2472</f>
        <v>0</v>
      </c>
      <c r="AJ2471">
        <f>'raw data Crude oil'!AJ2472</f>
        <v>0</v>
      </c>
      <c r="AK2471">
        <f>'raw data Crude oil'!AK2472</f>
        <v>0</v>
      </c>
    </row>
    <row r="2472" spans="1:37" x14ac:dyDescent="0.3">
      <c r="A2472" s="18">
        <f>'raw data Crude oil'!A2473</f>
        <v>0</v>
      </c>
      <c r="B2472">
        <f>'raw data Crude oil'!B2473</f>
        <v>0</v>
      </c>
      <c r="C2472">
        <f>'raw data Crude oil'!C2473</f>
        <v>0</v>
      </c>
      <c r="D2472">
        <f>'raw data Crude oil'!D2473</f>
        <v>0</v>
      </c>
      <c r="E2472">
        <f>'raw data Crude oil'!E2473</f>
        <v>0</v>
      </c>
      <c r="F2472">
        <f>'raw data Crude oil'!F2473</f>
        <v>0</v>
      </c>
      <c r="G2472">
        <f>'raw data Crude oil'!G2473</f>
        <v>0</v>
      </c>
      <c r="H2472">
        <f>'raw data Crude oil'!H2473</f>
        <v>0</v>
      </c>
      <c r="I2472">
        <f>'raw data Crude oil'!I2473</f>
        <v>0</v>
      </c>
      <c r="J2472">
        <f>'raw data Crude oil'!J2473</f>
        <v>0</v>
      </c>
      <c r="K2472">
        <f>'raw data Crude oil'!K2473</f>
        <v>0</v>
      </c>
      <c r="L2472">
        <f>'raw data Crude oil'!L2473</f>
        <v>0</v>
      </c>
      <c r="M2472">
        <f>'raw data Crude oil'!M2473</f>
        <v>0</v>
      </c>
      <c r="N2472">
        <f>'raw data Crude oil'!N2473</f>
        <v>0</v>
      </c>
      <c r="O2472">
        <f>'raw data Crude oil'!O2473</f>
        <v>0</v>
      </c>
      <c r="P2472">
        <f>'raw data Crude oil'!P2473</f>
        <v>0</v>
      </c>
      <c r="Q2472">
        <f>'raw data Crude oil'!Q2473</f>
        <v>0</v>
      </c>
      <c r="R2472">
        <f>'raw data Crude oil'!R2473</f>
        <v>0</v>
      </c>
      <c r="S2472">
        <f>'raw data Crude oil'!S2473</f>
        <v>0</v>
      </c>
      <c r="T2472">
        <f>'raw data Crude oil'!T2473</f>
        <v>0</v>
      </c>
      <c r="U2472">
        <f>'raw data Crude oil'!U2473</f>
        <v>0</v>
      </c>
      <c r="V2472">
        <f>'raw data Crude oil'!V2473</f>
        <v>0</v>
      </c>
      <c r="W2472">
        <f>'raw data Crude oil'!W2473</f>
        <v>0</v>
      </c>
      <c r="X2472">
        <f>'raw data Crude oil'!X2473</f>
        <v>0</v>
      </c>
      <c r="Y2472">
        <f>'raw data Crude oil'!Y2473</f>
        <v>0</v>
      </c>
      <c r="Z2472">
        <f>'raw data Crude oil'!Z2473</f>
        <v>0</v>
      </c>
      <c r="AA2472">
        <f>'raw data Crude oil'!AA2473</f>
        <v>0</v>
      </c>
      <c r="AB2472">
        <f>'raw data Crude oil'!AB2473</f>
        <v>0</v>
      </c>
      <c r="AC2472">
        <f>'raw data Crude oil'!AC2473</f>
        <v>0</v>
      </c>
      <c r="AD2472">
        <f>'raw data Crude oil'!AD2473</f>
        <v>0</v>
      </c>
      <c r="AE2472">
        <f>'raw data Crude oil'!AE2473</f>
        <v>0</v>
      </c>
      <c r="AF2472">
        <f>'raw data Crude oil'!AF2473</f>
        <v>0</v>
      </c>
      <c r="AG2472">
        <f>'raw data Crude oil'!AG2473</f>
        <v>0</v>
      </c>
      <c r="AH2472">
        <f>'raw data Crude oil'!AH2473</f>
        <v>0</v>
      </c>
      <c r="AI2472">
        <f>'raw data Crude oil'!AI2473</f>
        <v>0</v>
      </c>
      <c r="AJ2472">
        <f>'raw data Crude oil'!AJ2473</f>
        <v>0</v>
      </c>
      <c r="AK2472">
        <f>'raw data Crude oil'!AK2473</f>
        <v>0</v>
      </c>
    </row>
    <row r="2473" spans="1:37" x14ac:dyDescent="0.3">
      <c r="A2473" s="18">
        <f>'raw data Crude oil'!A2474</f>
        <v>0</v>
      </c>
      <c r="B2473">
        <f>'raw data Crude oil'!B2474</f>
        <v>0</v>
      </c>
      <c r="C2473">
        <f>'raw data Crude oil'!C2474</f>
        <v>0</v>
      </c>
      <c r="D2473">
        <f>'raw data Crude oil'!D2474</f>
        <v>0</v>
      </c>
      <c r="E2473">
        <f>'raw data Crude oil'!E2474</f>
        <v>0</v>
      </c>
      <c r="F2473">
        <f>'raw data Crude oil'!F2474</f>
        <v>0</v>
      </c>
      <c r="G2473">
        <f>'raw data Crude oil'!G2474</f>
        <v>0</v>
      </c>
      <c r="H2473">
        <f>'raw data Crude oil'!H2474</f>
        <v>0</v>
      </c>
      <c r="I2473">
        <f>'raw data Crude oil'!I2474</f>
        <v>0</v>
      </c>
      <c r="J2473">
        <f>'raw data Crude oil'!J2474</f>
        <v>0</v>
      </c>
      <c r="K2473">
        <f>'raw data Crude oil'!K2474</f>
        <v>0</v>
      </c>
      <c r="L2473">
        <f>'raw data Crude oil'!L2474</f>
        <v>0</v>
      </c>
      <c r="M2473">
        <f>'raw data Crude oil'!M2474</f>
        <v>0</v>
      </c>
      <c r="N2473">
        <f>'raw data Crude oil'!N2474</f>
        <v>0</v>
      </c>
      <c r="O2473">
        <f>'raw data Crude oil'!O2474</f>
        <v>0</v>
      </c>
      <c r="P2473">
        <f>'raw data Crude oil'!P2474</f>
        <v>0</v>
      </c>
      <c r="Q2473">
        <f>'raw data Crude oil'!Q2474</f>
        <v>0</v>
      </c>
      <c r="R2473">
        <f>'raw data Crude oil'!R2474</f>
        <v>0</v>
      </c>
      <c r="S2473">
        <f>'raw data Crude oil'!S2474</f>
        <v>0</v>
      </c>
      <c r="T2473">
        <f>'raw data Crude oil'!T2474</f>
        <v>0</v>
      </c>
      <c r="U2473">
        <f>'raw data Crude oil'!U2474</f>
        <v>0</v>
      </c>
      <c r="V2473">
        <f>'raw data Crude oil'!V2474</f>
        <v>0</v>
      </c>
      <c r="W2473">
        <f>'raw data Crude oil'!W2474</f>
        <v>0</v>
      </c>
      <c r="X2473">
        <f>'raw data Crude oil'!X2474</f>
        <v>0</v>
      </c>
      <c r="Y2473">
        <f>'raw data Crude oil'!Y2474</f>
        <v>0</v>
      </c>
      <c r="Z2473">
        <f>'raw data Crude oil'!Z2474</f>
        <v>0</v>
      </c>
      <c r="AA2473">
        <f>'raw data Crude oil'!AA2474</f>
        <v>0</v>
      </c>
      <c r="AB2473">
        <f>'raw data Crude oil'!AB2474</f>
        <v>0</v>
      </c>
      <c r="AC2473">
        <f>'raw data Crude oil'!AC2474</f>
        <v>0</v>
      </c>
      <c r="AD2473">
        <f>'raw data Crude oil'!AD2474</f>
        <v>0</v>
      </c>
      <c r="AE2473">
        <f>'raw data Crude oil'!AE2474</f>
        <v>0</v>
      </c>
      <c r="AF2473">
        <f>'raw data Crude oil'!AF2474</f>
        <v>0</v>
      </c>
      <c r="AG2473">
        <f>'raw data Crude oil'!AG2474</f>
        <v>0</v>
      </c>
      <c r="AH2473">
        <f>'raw data Crude oil'!AH2474</f>
        <v>0</v>
      </c>
      <c r="AI2473">
        <f>'raw data Crude oil'!AI2474</f>
        <v>0</v>
      </c>
      <c r="AJ2473">
        <f>'raw data Crude oil'!AJ2474</f>
        <v>0</v>
      </c>
      <c r="AK2473">
        <f>'raw data Crude oil'!AK2474</f>
        <v>0</v>
      </c>
    </row>
    <row r="2474" spans="1:37" x14ac:dyDescent="0.3">
      <c r="A2474" s="18">
        <f>'raw data Crude oil'!A2475</f>
        <v>0</v>
      </c>
      <c r="B2474">
        <f>'raw data Crude oil'!B2475</f>
        <v>0</v>
      </c>
      <c r="C2474">
        <f>'raw data Crude oil'!C2475</f>
        <v>0</v>
      </c>
      <c r="D2474">
        <f>'raw data Crude oil'!D2475</f>
        <v>0</v>
      </c>
      <c r="E2474">
        <f>'raw data Crude oil'!E2475</f>
        <v>0</v>
      </c>
      <c r="F2474">
        <f>'raw data Crude oil'!F2475</f>
        <v>0</v>
      </c>
      <c r="G2474">
        <f>'raw data Crude oil'!G2475</f>
        <v>0</v>
      </c>
      <c r="H2474">
        <f>'raw data Crude oil'!H2475</f>
        <v>0</v>
      </c>
      <c r="I2474">
        <f>'raw data Crude oil'!I2475</f>
        <v>0</v>
      </c>
      <c r="J2474">
        <f>'raw data Crude oil'!J2475</f>
        <v>0</v>
      </c>
      <c r="K2474">
        <f>'raw data Crude oil'!K2475</f>
        <v>0</v>
      </c>
      <c r="L2474">
        <f>'raw data Crude oil'!L2475</f>
        <v>0</v>
      </c>
      <c r="M2474">
        <f>'raw data Crude oil'!M2475</f>
        <v>0</v>
      </c>
      <c r="N2474">
        <f>'raw data Crude oil'!N2475</f>
        <v>0</v>
      </c>
      <c r="O2474">
        <f>'raw data Crude oil'!O2475</f>
        <v>0</v>
      </c>
      <c r="P2474">
        <f>'raw data Crude oil'!P2475</f>
        <v>0</v>
      </c>
      <c r="Q2474">
        <f>'raw data Crude oil'!Q2475</f>
        <v>0</v>
      </c>
      <c r="R2474">
        <f>'raw data Crude oil'!R2475</f>
        <v>0</v>
      </c>
      <c r="S2474">
        <f>'raw data Crude oil'!S2475</f>
        <v>0</v>
      </c>
      <c r="T2474">
        <f>'raw data Crude oil'!T2475</f>
        <v>0</v>
      </c>
      <c r="U2474">
        <f>'raw data Crude oil'!U2475</f>
        <v>0</v>
      </c>
      <c r="V2474">
        <f>'raw data Crude oil'!V2475</f>
        <v>0</v>
      </c>
      <c r="W2474">
        <f>'raw data Crude oil'!W2475</f>
        <v>0</v>
      </c>
      <c r="X2474">
        <f>'raw data Crude oil'!X2475</f>
        <v>0</v>
      </c>
      <c r="Y2474">
        <f>'raw data Crude oil'!Y2475</f>
        <v>0</v>
      </c>
      <c r="Z2474">
        <f>'raw data Crude oil'!Z2475</f>
        <v>0</v>
      </c>
      <c r="AA2474">
        <f>'raw data Crude oil'!AA2475</f>
        <v>0</v>
      </c>
      <c r="AB2474">
        <f>'raw data Crude oil'!AB2475</f>
        <v>0</v>
      </c>
      <c r="AC2474">
        <f>'raw data Crude oil'!AC2475</f>
        <v>0</v>
      </c>
      <c r="AD2474">
        <f>'raw data Crude oil'!AD2475</f>
        <v>0</v>
      </c>
      <c r="AE2474">
        <f>'raw data Crude oil'!AE2475</f>
        <v>0</v>
      </c>
      <c r="AF2474">
        <f>'raw data Crude oil'!AF2475</f>
        <v>0</v>
      </c>
      <c r="AG2474">
        <f>'raw data Crude oil'!AG2475</f>
        <v>0</v>
      </c>
      <c r="AH2474">
        <f>'raw data Crude oil'!AH2475</f>
        <v>0</v>
      </c>
      <c r="AI2474">
        <f>'raw data Crude oil'!AI2475</f>
        <v>0</v>
      </c>
      <c r="AJ2474">
        <f>'raw data Crude oil'!AJ2475</f>
        <v>0</v>
      </c>
      <c r="AK2474">
        <f>'raw data Crude oil'!AK2475</f>
        <v>0</v>
      </c>
    </row>
    <row r="2475" spans="1:37" x14ac:dyDescent="0.3">
      <c r="A2475" s="18">
        <f>'raw data Crude oil'!A2476</f>
        <v>0</v>
      </c>
      <c r="B2475">
        <f>'raw data Crude oil'!B2476</f>
        <v>0</v>
      </c>
      <c r="C2475">
        <f>'raw data Crude oil'!C2476</f>
        <v>0</v>
      </c>
      <c r="D2475">
        <f>'raw data Crude oil'!D2476</f>
        <v>0</v>
      </c>
      <c r="E2475">
        <f>'raw data Crude oil'!E2476</f>
        <v>0</v>
      </c>
      <c r="F2475">
        <f>'raw data Crude oil'!F2476</f>
        <v>0</v>
      </c>
      <c r="G2475">
        <f>'raw data Crude oil'!G2476</f>
        <v>0</v>
      </c>
      <c r="H2475">
        <f>'raw data Crude oil'!H2476</f>
        <v>0</v>
      </c>
      <c r="I2475">
        <f>'raw data Crude oil'!I2476</f>
        <v>0</v>
      </c>
      <c r="J2475">
        <f>'raw data Crude oil'!J2476</f>
        <v>0</v>
      </c>
      <c r="K2475">
        <f>'raw data Crude oil'!K2476</f>
        <v>0</v>
      </c>
      <c r="L2475">
        <f>'raw data Crude oil'!L2476</f>
        <v>0</v>
      </c>
      <c r="M2475">
        <f>'raw data Crude oil'!M2476</f>
        <v>0</v>
      </c>
      <c r="N2475">
        <f>'raw data Crude oil'!N2476</f>
        <v>0</v>
      </c>
      <c r="O2475">
        <f>'raw data Crude oil'!O2476</f>
        <v>0</v>
      </c>
      <c r="P2475">
        <f>'raw data Crude oil'!P2476</f>
        <v>0</v>
      </c>
      <c r="Q2475">
        <f>'raw data Crude oil'!Q2476</f>
        <v>0</v>
      </c>
      <c r="R2475">
        <f>'raw data Crude oil'!R2476</f>
        <v>0</v>
      </c>
      <c r="S2475">
        <f>'raw data Crude oil'!S2476</f>
        <v>0</v>
      </c>
      <c r="T2475">
        <f>'raw data Crude oil'!T2476</f>
        <v>0</v>
      </c>
      <c r="U2475">
        <f>'raw data Crude oil'!U2476</f>
        <v>0</v>
      </c>
      <c r="V2475">
        <f>'raw data Crude oil'!V2476</f>
        <v>0</v>
      </c>
      <c r="W2475">
        <f>'raw data Crude oil'!W2476</f>
        <v>0</v>
      </c>
      <c r="X2475">
        <f>'raw data Crude oil'!X2476</f>
        <v>0</v>
      </c>
      <c r="Y2475">
        <f>'raw data Crude oil'!Y2476</f>
        <v>0</v>
      </c>
      <c r="Z2475">
        <f>'raw data Crude oil'!Z2476</f>
        <v>0</v>
      </c>
      <c r="AA2475">
        <f>'raw data Crude oil'!AA2476</f>
        <v>0</v>
      </c>
      <c r="AB2475">
        <f>'raw data Crude oil'!AB2476</f>
        <v>0</v>
      </c>
      <c r="AC2475">
        <f>'raw data Crude oil'!AC2476</f>
        <v>0</v>
      </c>
      <c r="AD2475">
        <f>'raw data Crude oil'!AD2476</f>
        <v>0</v>
      </c>
      <c r="AE2475">
        <f>'raw data Crude oil'!AE2476</f>
        <v>0</v>
      </c>
      <c r="AF2475">
        <f>'raw data Crude oil'!AF2476</f>
        <v>0</v>
      </c>
      <c r="AG2475">
        <f>'raw data Crude oil'!AG2476</f>
        <v>0</v>
      </c>
      <c r="AH2475">
        <f>'raw data Crude oil'!AH2476</f>
        <v>0</v>
      </c>
      <c r="AI2475">
        <f>'raw data Crude oil'!AI2476</f>
        <v>0</v>
      </c>
      <c r="AJ2475">
        <f>'raw data Crude oil'!AJ2476</f>
        <v>0</v>
      </c>
      <c r="AK2475">
        <f>'raw data Crude oil'!AK2476</f>
        <v>0</v>
      </c>
    </row>
    <row r="2476" spans="1:37" x14ac:dyDescent="0.3">
      <c r="A2476" s="18">
        <f>'raw data Crude oil'!A2477</f>
        <v>0</v>
      </c>
      <c r="B2476">
        <f>'raw data Crude oil'!B2477</f>
        <v>0</v>
      </c>
      <c r="C2476">
        <f>'raw data Crude oil'!C2477</f>
        <v>0</v>
      </c>
      <c r="D2476">
        <f>'raw data Crude oil'!D2477</f>
        <v>0</v>
      </c>
      <c r="E2476">
        <f>'raw data Crude oil'!E2477</f>
        <v>0</v>
      </c>
      <c r="F2476">
        <f>'raw data Crude oil'!F2477</f>
        <v>0</v>
      </c>
      <c r="G2476">
        <f>'raw data Crude oil'!G2477</f>
        <v>0</v>
      </c>
      <c r="H2476">
        <f>'raw data Crude oil'!H2477</f>
        <v>0</v>
      </c>
      <c r="I2476">
        <f>'raw data Crude oil'!I2477</f>
        <v>0</v>
      </c>
      <c r="J2476">
        <f>'raw data Crude oil'!J2477</f>
        <v>0</v>
      </c>
      <c r="K2476">
        <f>'raw data Crude oil'!K2477</f>
        <v>0</v>
      </c>
      <c r="L2476">
        <f>'raw data Crude oil'!L2477</f>
        <v>0</v>
      </c>
      <c r="M2476">
        <f>'raw data Crude oil'!M2477</f>
        <v>0</v>
      </c>
      <c r="N2476">
        <f>'raw data Crude oil'!N2477</f>
        <v>0</v>
      </c>
      <c r="O2476">
        <f>'raw data Crude oil'!O2477</f>
        <v>0</v>
      </c>
      <c r="P2476">
        <f>'raw data Crude oil'!P2477</f>
        <v>0</v>
      </c>
      <c r="Q2476">
        <f>'raw data Crude oil'!Q2477</f>
        <v>0</v>
      </c>
      <c r="R2476">
        <f>'raw data Crude oil'!R2477</f>
        <v>0</v>
      </c>
      <c r="S2476">
        <f>'raw data Crude oil'!S2477</f>
        <v>0</v>
      </c>
      <c r="T2476">
        <f>'raw data Crude oil'!T2477</f>
        <v>0</v>
      </c>
      <c r="U2476">
        <f>'raw data Crude oil'!U2477</f>
        <v>0</v>
      </c>
      <c r="V2476">
        <f>'raw data Crude oil'!V2477</f>
        <v>0</v>
      </c>
      <c r="W2476">
        <f>'raw data Crude oil'!W2477</f>
        <v>0</v>
      </c>
      <c r="X2476">
        <f>'raw data Crude oil'!X2477</f>
        <v>0</v>
      </c>
      <c r="Y2476">
        <f>'raw data Crude oil'!Y2477</f>
        <v>0</v>
      </c>
      <c r="Z2476">
        <f>'raw data Crude oil'!Z2477</f>
        <v>0</v>
      </c>
      <c r="AA2476">
        <f>'raw data Crude oil'!AA2477</f>
        <v>0</v>
      </c>
      <c r="AB2476">
        <f>'raw data Crude oil'!AB2477</f>
        <v>0</v>
      </c>
      <c r="AC2476">
        <f>'raw data Crude oil'!AC2477</f>
        <v>0</v>
      </c>
      <c r="AD2476">
        <f>'raw data Crude oil'!AD2477</f>
        <v>0</v>
      </c>
      <c r="AE2476">
        <f>'raw data Crude oil'!AE2477</f>
        <v>0</v>
      </c>
      <c r="AF2476">
        <f>'raw data Crude oil'!AF2477</f>
        <v>0</v>
      </c>
      <c r="AG2476">
        <f>'raw data Crude oil'!AG2477</f>
        <v>0</v>
      </c>
      <c r="AH2476">
        <f>'raw data Crude oil'!AH2477</f>
        <v>0</v>
      </c>
      <c r="AI2476">
        <f>'raw data Crude oil'!AI2477</f>
        <v>0</v>
      </c>
      <c r="AJ2476">
        <f>'raw data Crude oil'!AJ2477</f>
        <v>0</v>
      </c>
      <c r="AK2476">
        <f>'raw data Crude oil'!AK2477</f>
        <v>0</v>
      </c>
    </row>
    <row r="2477" spans="1:37" x14ac:dyDescent="0.3">
      <c r="A2477" s="18">
        <f>'raw data Crude oil'!A2478</f>
        <v>0</v>
      </c>
      <c r="B2477">
        <f>'raw data Crude oil'!B2478</f>
        <v>0</v>
      </c>
      <c r="C2477">
        <f>'raw data Crude oil'!C2478</f>
        <v>0</v>
      </c>
      <c r="D2477">
        <f>'raw data Crude oil'!D2478</f>
        <v>0</v>
      </c>
      <c r="E2477">
        <f>'raw data Crude oil'!E2478</f>
        <v>0</v>
      </c>
      <c r="F2477">
        <f>'raw data Crude oil'!F2478</f>
        <v>0</v>
      </c>
      <c r="G2477">
        <f>'raw data Crude oil'!G2478</f>
        <v>0</v>
      </c>
      <c r="H2477">
        <f>'raw data Crude oil'!H2478</f>
        <v>0</v>
      </c>
      <c r="I2477">
        <f>'raw data Crude oil'!I2478</f>
        <v>0</v>
      </c>
      <c r="J2477">
        <f>'raw data Crude oil'!J2478</f>
        <v>0</v>
      </c>
      <c r="K2477">
        <f>'raw data Crude oil'!K2478</f>
        <v>0</v>
      </c>
      <c r="L2477">
        <f>'raw data Crude oil'!L2478</f>
        <v>0</v>
      </c>
      <c r="M2477">
        <f>'raw data Crude oil'!M2478</f>
        <v>0</v>
      </c>
      <c r="N2477">
        <f>'raw data Crude oil'!N2478</f>
        <v>0</v>
      </c>
      <c r="O2477">
        <f>'raw data Crude oil'!O2478</f>
        <v>0</v>
      </c>
      <c r="P2477">
        <f>'raw data Crude oil'!P2478</f>
        <v>0</v>
      </c>
      <c r="Q2477">
        <f>'raw data Crude oil'!Q2478</f>
        <v>0</v>
      </c>
      <c r="R2477">
        <f>'raw data Crude oil'!R2478</f>
        <v>0</v>
      </c>
      <c r="S2477">
        <f>'raw data Crude oil'!S2478</f>
        <v>0</v>
      </c>
      <c r="T2477">
        <f>'raw data Crude oil'!T2478</f>
        <v>0</v>
      </c>
      <c r="U2477">
        <f>'raw data Crude oil'!U2478</f>
        <v>0</v>
      </c>
      <c r="V2477">
        <f>'raw data Crude oil'!V2478</f>
        <v>0</v>
      </c>
      <c r="W2477">
        <f>'raw data Crude oil'!W2478</f>
        <v>0</v>
      </c>
      <c r="X2477">
        <f>'raw data Crude oil'!X2478</f>
        <v>0</v>
      </c>
      <c r="Y2477">
        <f>'raw data Crude oil'!Y2478</f>
        <v>0</v>
      </c>
      <c r="Z2477">
        <f>'raw data Crude oil'!Z2478</f>
        <v>0</v>
      </c>
      <c r="AA2477">
        <f>'raw data Crude oil'!AA2478</f>
        <v>0</v>
      </c>
      <c r="AB2477">
        <f>'raw data Crude oil'!AB2478</f>
        <v>0</v>
      </c>
      <c r="AC2477">
        <f>'raw data Crude oil'!AC2478</f>
        <v>0</v>
      </c>
      <c r="AD2477">
        <f>'raw data Crude oil'!AD2478</f>
        <v>0</v>
      </c>
      <c r="AE2477">
        <f>'raw data Crude oil'!AE2478</f>
        <v>0</v>
      </c>
      <c r="AF2477">
        <f>'raw data Crude oil'!AF2478</f>
        <v>0</v>
      </c>
      <c r="AG2477">
        <f>'raw data Crude oil'!AG2478</f>
        <v>0</v>
      </c>
      <c r="AH2477">
        <f>'raw data Crude oil'!AH2478</f>
        <v>0</v>
      </c>
      <c r="AI2477">
        <f>'raw data Crude oil'!AI2478</f>
        <v>0</v>
      </c>
      <c r="AJ2477">
        <f>'raw data Crude oil'!AJ2478</f>
        <v>0</v>
      </c>
      <c r="AK2477">
        <f>'raw data Crude oil'!AK2478</f>
        <v>0</v>
      </c>
    </row>
    <row r="2478" spans="1:37" x14ac:dyDescent="0.3">
      <c r="A2478" s="18">
        <f>'raw data Crude oil'!A2479</f>
        <v>0</v>
      </c>
      <c r="B2478">
        <f>'raw data Crude oil'!B2479</f>
        <v>0</v>
      </c>
      <c r="C2478">
        <f>'raw data Crude oil'!C2479</f>
        <v>0</v>
      </c>
      <c r="D2478">
        <f>'raw data Crude oil'!D2479</f>
        <v>0</v>
      </c>
      <c r="E2478">
        <f>'raw data Crude oil'!E2479</f>
        <v>0</v>
      </c>
      <c r="F2478">
        <f>'raw data Crude oil'!F2479</f>
        <v>0</v>
      </c>
      <c r="G2478">
        <f>'raw data Crude oil'!G2479</f>
        <v>0</v>
      </c>
      <c r="H2478">
        <f>'raw data Crude oil'!H2479</f>
        <v>0</v>
      </c>
      <c r="I2478">
        <f>'raw data Crude oil'!I2479</f>
        <v>0</v>
      </c>
      <c r="J2478">
        <f>'raw data Crude oil'!J2479</f>
        <v>0</v>
      </c>
      <c r="K2478">
        <f>'raw data Crude oil'!K2479</f>
        <v>0</v>
      </c>
      <c r="L2478">
        <f>'raw data Crude oil'!L2479</f>
        <v>0</v>
      </c>
      <c r="M2478">
        <f>'raw data Crude oil'!M2479</f>
        <v>0</v>
      </c>
      <c r="N2478">
        <f>'raw data Crude oil'!N2479</f>
        <v>0</v>
      </c>
      <c r="O2478">
        <f>'raw data Crude oil'!O2479</f>
        <v>0</v>
      </c>
      <c r="P2478">
        <f>'raw data Crude oil'!P2479</f>
        <v>0</v>
      </c>
      <c r="Q2478">
        <f>'raw data Crude oil'!Q2479</f>
        <v>0</v>
      </c>
      <c r="R2478">
        <f>'raw data Crude oil'!R2479</f>
        <v>0</v>
      </c>
      <c r="S2478">
        <f>'raw data Crude oil'!S2479</f>
        <v>0</v>
      </c>
      <c r="T2478">
        <f>'raw data Crude oil'!T2479</f>
        <v>0</v>
      </c>
      <c r="U2478">
        <f>'raw data Crude oil'!U2479</f>
        <v>0</v>
      </c>
      <c r="V2478">
        <f>'raw data Crude oil'!V2479</f>
        <v>0</v>
      </c>
      <c r="W2478">
        <f>'raw data Crude oil'!W2479</f>
        <v>0</v>
      </c>
      <c r="X2478">
        <f>'raw data Crude oil'!X2479</f>
        <v>0</v>
      </c>
      <c r="Y2478">
        <f>'raw data Crude oil'!Y2479</f>
        <v>0</v>
      </c>
      <c r="Z2478">
        <f>'raw data Crude oil'!Z2479</f>
        <v>0</v>
      </c>
      <c r="AA2478">
        <f>'raw data Crude oil'!AA2479</f>
        <v>0</v>
      </c>
      <c r="AB2478">
        <f>'raw data Crude oil'!AB2479</f>
        <v>0</v>
      </c>
      <c r="AC2478">
        <f>'raw data Crude oil'!AC2479</f>
        <v>0</v>
      </c>
      <c r="AD2478">
        <f>'raw data Crude oil'!AD2479</f>
        <v>0</v>
      </c>
      <c r="AE2478">
        <f>'raw data Crude oil'!AE2479</f>
        <v>0</v>
      </c>
      <c r="AF2478">
        <f>'raw data Crude oil'!AF2479</f>
        <v>0</v>
      </c>
      <c r="AG2478">
        <f>'raw data Crude oil'!AG2479</f>
        <v>0</v>
      </c>
      <c r="AH2478">
        <f>'raw data Crude oil'!AH2479</f>
        <v>0</v>
      </c>
      <c r="AI2478">
        <f>'raw data Crude oil'!AI2479</f>
        <v>0</v>
      </c>
      <c r="AJ2478">
        <f>'raw data Crude oil'!AJ2479</f>
        <v>0</v>
      </c>
      <c r="AK2478">
        <f>'raw data Crude oil'!AK2479</f>
        <v>0</v>
      </c>
    </row>
    <row r="2479" spans="1:37" x14ac:dyDescent="0.3">
      <c r="A2479" s="18">
        <f>'raw data Crude oil'!A2480</f>
        <v>0</v>
      </c>
      <c r="B2479">
        <f>'raw data Crude oil'!B2480</f>
        <v>0</v>
      </c>
      <c r="C2479">
        <f>'raw data Crude oil'!C2480</f>
        <v>0</v>
      </c>
      <c r="D2479">
        <f>'raw data Crude oil'!D2480</f>
        <v>0</v>
      </c>
      <c r="E2479">
        <f>'raw data Crude oil'!E2480</f>
        <v>0</v>
      </c>
      <c r="F2479">
        <f>'raw data Crude oil'!F2480</f>
        <v>0</v>
      </c>
      <c r="G2479">
        <f>'raw data Crude oil'!G2480</f>
        <v>0</v>
      </c>
      <c r="H2479">
        <f>'raw data Crude oil'!H2480</f>
        <v>0</v>
      </c>
      <c r="I2479">
        <f>'raw data Crude oil'!I2480</f>
        <v>0</v>
      </c>
      <c r="J2479">
        <f>'raw data Crude oil'!J2480</f>
        <v>0</v>
      </c>
      <c r="K2479">
        <f>'raw data Crude oil'!K2480</f>
        <v>0</v>
      </c>
      <c r="L2479">
        <f>'raw data Crude oil'!L2480</f>
        <v>0</v>
      </c>
      <c r="M2479">
        <f>'raw data Crude oil'!M2480</f>
        <v>0</v>
      </c>
      <c r="N2479">
        <f>'raw data Crude oil'!N2480</f>
        <v>0</v>
      </c>
      <c r="O2479">
        <f>'raw data Crude oil'!O2480</f>
        <v>0</v>
      </c>
      <c r="P2479">
        <f>'raw data Crude oil'!P2480</f>
        <v>0</v>
      </c>
      <c r="Q2479">
        <f>'raw data Crude oil'!Q2480</f>
        <v>0</v>
      </c>
      <c r="R2479">
        <f>'raw data Crude oil'!R2480</f>
        <v>0</v>
      </c>
      <c r="S2479">
        <f>'raw data Crude oil'!S2480</f>
        <v>0</v>
      </c>
      <c r="T2479">
        <f>'raw data Crude oil'!T2480</f>
        <v>0</v>
      </c>
      <c r="U2479">
        <f>'raw data Crude oil'!U2480</f>
        <v>0</v>
      </c>
      <c r="V2479">
        <f>'raw data Crude oil'!V2480</f>
        <v>0</v>
      </c>
      <c r="W2479">
        <f>'raw data Crude oil'!W2480</f>
        <v>0</v>
      </c>
      <c r="X2479">
        <f>'raw data Crude oil'!X2480</f>
        <v>0</v>
      </c>
      <c r="Y2479">
        <f>'raw data Crude oil'!Y2480</f>
        <v>0</v>
      </c>
      <c r="Z2479">
        <f>'raw data Crude oil'!Z2480</f>
        <v>0</v>
      </c>
      <c r="AA2479">
        <f>'raw data Crude oil'!AA2480</f>
        <v>0</v>
      </c>
      <c r="AB2479">
        <f>'raw data Crude oil'!AB2480</f>
        <v>0</v>
      </c>
      <c r="AC2479">
        <f>'raw data Crude oil'!AC2480</f>
        <v>0</v>
      </c>
      <c r="AD2479">
        <f>'raw data Crude oil'!AD2480</f>
        <v>0</v>
      </c>
      <c r="AE2479">
        <f>'raw data Crude oil'!AE2480</f>
        <v>0</v>
      </c>
      <c r="AF2479">
        <f>'raw data Crude oil'!AF2480</f>
        <v>0</v>
      </c>
      <c r="AG2479">
        <f>'raw data Crude oil'!AG2480</f>
        <v>0</v>
      </c>
      <c r="AH2479">
        <f>'raw data Crude oil'!AH2480</f>
        <v>0</v>
      </c>
      <c r="AI2479">
        <f>'raw data Crude oil'!AI2480</f>
        <v>0</v>
      </c>
      <c r="AJ2479">
        <f>'raw data Crude oil'!AJ2480</f>
        <v>0</v>
      </c>
      <c r="AK2479">
        <f>'raw data Crude oil'!AK2480</f>
        <v>0</v>
      </c>
    </row>
    <row r="2480" spans="1:37" x14ac:dyDescent="0.3">
      <c r="A2480" s="18">
        <f>'raw data Crude oil'!A2481</f>
        <v>0</v>
      </c>
      <c r="B2480">
        <f>'raw data Crude oil'!B2481</f>
        <v>0</v>
      </c>
      <c r="C2480">
        <f>'raw data Crude oil'!C2481</f>
        <v>0</v>
      </c>
      <c r="D2480">
        <f>'raw data Crude oil'!D2481</f>
        <v>0</v>
      </c>
      <c r="E2480">
        <f>'raw data Crude oil'!E2481</f>
        <v>0</v>
      </c>
      <c r="F2480">
        <f>'raw data Crude oil'!F2481</f>
        <v>0</v>
      </c>
      <c r="G2480">
        <f>'raw data Crude oil'!G2481</f>
        <v>0</v>
      </c>
      <c r="H2480">
        <f>'raw data Crude oil'!H2481</f>
        <v>0</v>
      </c>
      <c r="I2480">
        <f>'raw data Crude oil'!I2481</f>
        <v>0</v>
      </c>
      <c r="J2480">
        <f>'raw data Crude oil'!J2481</f>
        <v>0</v>
      </c>
      <c r="K2480">
        <f>'raw data Crude oil'!K2481</f>
        <v>0</v>
      </c>
      <c r="L2480">
        <f>'raw data Crude oil'!L2481</f>
        <v>0</v>
      </c>
      <c r="M2480">
        <f>'raw data Crude oil'!M2481</f>
        <v>0</v>
      </c>
      <c r="N2480">
        <f>'raw data Crude oil'!N2481</f>
        <v>0</v>
      </c>
      <c r="O2480">
        <f>'raw data Crude oil'!O2481</f>
        <v>0</v>
      </c>
      <c r="P2480">
        <f>'raw data Crude oil'!P2481</f>
        <v>0</v>
      </c>
      <c r="Q2480">
        <f>'raw data Crude oil'!Q2481</f>
        <v>0</v>
      </c>
      <c r="R2480">
        <f>'raw data Crude oil'!R2481</f>
        <v>0</v>
      </c>
      <c r="S2480">
        <f>'raw data Crude oil'!S2481</f>
        <v>0</v>
      </c>
      <c r="T2480">
        <f>'raw data Crude oil'!T2481</f>
        <v>0</v>
      </c>
      <c r="U2480">
        <f>'raw data Crude oil'!U2481</f>
        <v>0</v>
      </c>
      <c r="V2480">
        <f>'raw data Crude oil'!V2481</f>
        <v>0</v>
      </c>
      <c r="W2480">
        <f>'raw data Crude oil'!W2481</f>
        <v>0</v>
      </c>
      <c r="X2480">
        <f>'raw data Crude oil'!X2481</f>
        <v>0</v>
      </c>
      <c r="Y2480">
        <f>'raw data Crude oil'!Y2481</f>
        <v>0</v>
      </c>
      <c r="Z2480">
        <f>'raw data Crude oil'!Z2481</f>
        <v>0</v>
      </c>
      <c r="AA2480">
        <f>'raw data Crude oil'!AA2481</f>
        <v>0</v>
      </c>
      <c r="AB2480">
        <f>'raw data Crude oil'!AB2481</f>
        <v>0</v>
      </c>
      <c r="AC2480">
        <f>'raw data Crude oil'!AC2481</f>
        <v>0</v>
      </c>
      <c r="AD2480">
        <f>'raw data Crude oil'!AD2481</f>
        <v>0</v>
      </c>
      <c r="AE2480">
        <f>'raw data Crude oil'!AE2481</f>
        <v>0</v>
      </c>
      <c r="AF2480">
        <f>'raw data Crude oil'!AF2481</f>
        <v>0</v>
      </c>
      <c r="AG2480">
        <f>'raw data Crude oil'!AG2481</f>
        <v>0</v>
      </c>
      <c r="AH2480">
        <f>'raw data Crude oil'!AH2481</f>
        <v>0</v>
      </c>
      <c r="AI2480">
        <f>'raw data Crude oil'!AI2481</f>
        <v>0</v>
      </c>
      <c r="AJ2480">
        <f>'raw data Crude oil'!AJ2481</f>
        <v>0</v>
      </c>
      <c r="AK2480">
        <f>'raw data Crude oil'!AK2481</f>
        <v>0</v>
      </c>
    </row>
    <row r="2481" spans="1:37" x14ac:dyDescent="0.3">
      <c r="A2481" s="18">
        <f>'raw data Crude oil'!A2482</f>
        <v>0</v>
      </c>
      <c r="B2481">
        <f>'raw data Crude oil'!B2482</f>
        <v>0</v>
      </c>
      <c r="C2481">
        <f>'raw data Crude oil'!C2482</f>
        <v>0</v>
      </c>
      <c r="D2481">
        <f>'raw data Crude oil'!D2482</f>
        <v>0</v>
      </c>
      <c r="E2481">
        <f>'raw data Crude oil'!E2482</f>
        <v>0</v>
      </c>
      <c r="F2481">
        <f>'raw data Crude oil'!F2482</f>
        <v>0</v>
      </c>
      <c r="G2481">
        <f>'raw data Crude oil'!G2482</f>
        <v>0</v>
      </c>
      <c r="H2481">
        <f>'raw data Crude oil'!H2482</f>
        <v>0</v>
      </c>
      <c r="I2481">
        <f>'raw data Crude oil'!I2482</f>
        <v>0</v>
      </c>
      <c r="J2481">
        <f>'raw data Crude oil'!J2482</f>
        <v>0</v>
      </c>
      <c r="K2481">
        <f>'raw data Crude oil'!K2482</f>
        <v>0</v>
      </c>
      <c r="L2481">
        <f>'raw data Crude oil'!L2482</f>
        <v>0</v>
      </c>
      <c r="M2481">
        <f>'raw data Crude oil'!M2482</f>
        <v>0</v>
      </c>
      <c r="N2481">
        <f>'raw data Crude oil'!N2482</f>
        <v>0</v>
      </c>
      <c r="O2481">
        <f>'raw data Crude oil'!O2482</f>
        <v>0</v>
      </c>
      <c r="P2481">
        <f>'raw data Crude oil'!P2482</f>
        <v>0</v>
      </c>
      <c r="Q2481">
        <f>'raw data Crude oil'!Q2482</f>
        <v>0</v>
      </c>
      <c r="R2481">
        <f>'raw data Crude oil'!R2482</f>
        <v>0</v>
      </c>
      <c r="S2481">
        <f>'raw data Crude oil'!S2482</f>
        <v>0</v>
      </c>
      <c r="T2481">
        <f>'raw data Crude oil'!T2482</f>
        <v>0</v>
      </c>
      <c r="U2481">
        <f>'raw data Crude oil'!U2482</f>
        <v>0</v>
      </c>
      <c r="V2481">
        <f>'raw data Crude oil'!V2482</f>
        <v>0</v>
      </c>
      <c r="W2481">
        <f>'raw data Crude oil'!W2482</f>
        <v>0</v>
      </c>
      <c r="X2481">
        <f>'raw data Crude oil'!X2482</f>
        <v>0</v>
      </c>
      <c r="Y2481">
        <f>'raw data Crude oil'!Y2482</f>
        <v>0</v>
      </c>
      <c r="Z2481">
        <f>'raw data Crude oil'!Z2482</f>
        <v>0</v>
      </c>
      <c r="AA2481">
        <f>'raw data Crude oil'!AA2482</f>
        <v>0</v>
      </c>
      <c r="AB2481">
        <f>'raw data Crude oil'!AB2482</f>
        <v>0</v>
      </c>
      <c r="AC2481">
        <f>'raw data Crude oil'!AC2482</f>
        <v>0</v>
      </c>
      <c r="AD2481">
        <f>'raw data Crude oil'!AD2482</f>
        <v>0</v>
      </c>
      <c r="AE2481">
        <f>'raw data Crude oil'!AE2482</f>
        <v>0</v>
      </c>
      <c r="AF2481">
        <f>'raw data Crude oil'!AF2482</f>
        <v>0</v>
      </c>
      <c r="AG2481">
        <f>'raw data Crude oil'!AG2482</f>
        <v>0</v>
      </c>
      <c r="AH2481">
        <f>'raw data Crude oil'!AH2482</f>
        <v>0</v>
      </c>
      <c r="AI2481">
        <f>'raw data Crude oil'!AI2482</f>
        <v>0</v>
      </c>
      <c r="AJ2481">
        <f>'raw data Crude oil'!AJ2482</f>
        <v>0</v>
      </c>
      <c r="AK2481">
        <f>'raw data Crude oil'!AK2482</f>
        <v>0</v>
      </c>
    </row>
    <row r="2482" spans="1:37" x14ac:dyDescent="0.3">
      <c r="A2482" s="18">
        <f>'raw data Crude oil'!A2483</f>
        <v>0</v>
      </c>
      <c r="B2482">
        <f>'raw data Crude oil'!B2483</f>
        <v>0</v>
      </c>
      <c r="C2482">
        <f>'raw data Crude oil'!C2483</f>
        <v>0</v>
      </c>
      <c r="D2482">
        <f>'raw data Crude oil'!D2483</f>
        <v>0</v>
      </c>
      <c r="E2482">
        <f>'raw data Crude oil'!E2483</f>
        <v>0</v>
      </c>
      <c r="F2482">
        <f>'raw data Crude oil'!F2483</f>
        <v>0</v>
      </c>
      <c r="G2482">
        <f>'raw data Crude oil'!G2483</f>
        <v>0</v>
      </c>
      <c r="H2482">
        <f>'raw data Crude oil'!H2483</f>
        <v>0</v>
      </c>
      <c r="I2482">
        <f>'raw data Crude oil'!I2483</f>
        <v>0</v>
      </c>
      <c r="J2482">
        <f>'raw data Crude oil'!J2483</f>
        <v>0</v>
      </c>
      <c r="K2482">
        <f>'raw data Crude oil'!K2483</f>
        <v>0</v>
      </c>
      <c r="L2482">
        <f>'raw data Crude oil'!L2483</f>
        <v>0</v>
      </c>
      <c r="M2482">
        <f>'raw data Crude oil'!M2483</f>
        <v>0</v>
      </c>
      <c r="N2482">
        <f>'raw data Crude oil'!N2483</f>
        <v>0</v>
      </c>
      <c r="O2482">
        <f>'raw data Crude oil'!O2483</f>
        <v>0</v>
      </c>
      <c r="P2482">
        <f>'raw data Crude oil'!P2483</f>
        <v>0</v>
      </c>
      <c r="Q2482">
        <f>'raw data Crude oil'!Q2483</f>
        <v>0</v>
      </c>
      <c r="R2482">
        <f>'raw data Crude oil'!R2483</f>
        <v>0</v>
      </c>
      <c r="S2482">
        <f>'raw data Crude oil'!S2483</f>
        <v>0</v>
      </c>
      <c r="T2482">
        <f>'raw data Crude oil'!T2483</f>
        <v>0</v>
      </c>
      <c r="U2482">
        <f>'raw data Crude oil'!U2483</f>
        <v>0</v>
      </c>
      <c r="V2482">
        <f>'raw data Crude oil'!V2483</f>
        <v>0</v>
      </c>
      <c r="W2482">
        <f>'raw data Crude oil'!W2483</f>
        <v>0</v>
      </c>
      <c r="X2482">
        <f>'raw data Crude oil'!X2483</f>
        <v>0</v>
      </c>
      <c r="Y2482">
        <f>'raw data Crude oil'!Y2483</f>
        <v>0</v>
      </c>
      <c r="Z2482">
        <f>'raw data Crude oil'!Z2483</f>
        <v>0</v>
      </c>
      <c r="AA2482">
        <f>'raw data Crude oil'!AA2483</f>
        <v>0</v>
      </c>
      <c r="AB2482">
        <f>'raw data Crude oil'!AB2483</f>
        <v>0</v>
      </c>
      <c r="AC2482">
        <f>'raw data Crude oil'!AC2483</f>
        <v>0</v>
      </c>
      <c r="AD2482">
        <f>'raw data Crude oil'!AD2483</f>
        <v>0</v>
      </c>
      <c r="AE2482">
        <f>'raw data Crude oil'!AE2483</f>
        <v>0</v>
      </c>
      <c r="AF2482">
        <f>'raw data Crude oil'!AF2483</f>
        <v>0</v>
      </c>
      <c r="AG2482">
        <f>'raw data Crude oil'!AG2483</f>
        <v>0</v>
      </c>
      <c r="AH2482">
        <f>'raw data Crude oil'!AH2483</f>
        <v>0</v>
      </c>
      <c r="AI2482">
        <f>'raw data Crude oil'!AI2483</f>
        <v>0</v>
      </c>
      <c r="AJ2482">
        <f>'raw data Crude oil'!AJ2483</f>
        <v>0</v>
      </c>
      <c r="AK2482">
        <f>'raw data Crude oil'!AK2483</f>
        <v>0</v>
      </c>
    </row>
    <row r="2483" spans="1:37" x14ac:dyDescent="0.3">
      <c r="A2483" s="18">
        <f>'raw data Crude oil'!A2484</f>
        <v>0</v>
      </c>
      <c r="B2483">
        <f>'raw data Crude oil'!B2484</f>
        <v>0</v>
      </c>
      <c r="C2483">
        <f>'raw data Crude oil'!C2484</f>
        <v>0</v>
      </c>
      <c r="D2483">
        <f>'raw data Crude oil'!D2484</f>
        <v>0</v>
      </c>
      <c r="E2483">
        <f>'raw data Crude oil'!E2484</f>
        <v>0</v>
      </c>
      <c r="F2483">
        <f>'raw data Crude oil'!F2484</f>
        <v>0</v>
      </c>
      <c r="G2483">
        <f>'raw data Crude oil'!G2484</f>
        <v>0</v>
      </c>
      <c r="H2483">
        <f>'raw data Crude oil'!H2484</f>
        <v>0</v>
      </c>
      <c r="I2483">
        <f>'raw data Crude oil'!I2484</f>
        <v>0</v>
      </c>
      <c r="J2483">
        <f>'raw data Crude oil'!J2484</f>
        <v>0</v>
      </c>
      <c r="K2483">
        <f>'raw data Crude oil'!K2484</f>
        <v>0</v>
      </c>
      <c r="L2483">
        <f>'raw data Crude oil'!L2484</f>
        <v>0</v>
      </c>
      <c r="M2483">
        <f>'raw data Crude oil'!M2484</f>
        <v>0</v>
      </c>
      <c r="N2483">
        <f>'raw data Crude oil'!N2484</f>
        <v>0</v>
      </c>
      <c r="O2483">
        <f>'raw data Crude oil'!O2484</f>
        <v>0</v>
      </c>
      <c r="P2483">
        <f>'raw data Crude oil'!P2484</f>
        <v>0</v>
      </c>
      <c r="Q2483">
        <f>'raw data Crude oil'!Q2484</f>
        <v>0</v>
      </c>
      <c r="R2483">
        <f>'raw data Crude oil'!R2484</f>
        <v>0</v>
      </c>
      <c r="S2483">
        <f>'raw data Crude oil'!S2484</f>
        <v>0</v>
      </c>
      <c r="T2483">
        <f>'raw data Crude oil'!T2484</f>
        <v>0</v>
      </c>
      <c r="U2483">
        <f>'raw data Crude oil'!U2484</f>
        <v>0</v>
      </c>
      <c r="V2483">
        <f>'raw data Crude oil'!V2484</f>
        <v>0</v>
      </c>
      <c r="W2483">
        <f>'raw data Crude oil'!W2484</f>
        <v>0</v>
      </c>
      <c r="X2483">
        <f>'raw data Crude oil'!X2484</f>
        <v>0</v>
      </c>
      <c r="Y2483">
        <f>'raw data Crude oil'!Y2484</f>
        <v>0</v>
      </c>
      <c r="Z2483">
        <f>'raw data Crude oil'!Z2484</f>
        <v>0</v>
      </c>
      <c r="AA2483">
        <f>'raw data Crude oil'!AA2484</f>
        <v>0</v>
      </c>
      <c r="AB2483">
        <f>'raw data Crude oil'!AB2484</f>
        <v>0</v>
      </c>
      <c r="AC2483">
        <f>'raw data Crude oil'!AC2484</f>
        <v>0</v>
      </c>
      <c r="AD2483">
        <f>'raw data Crude oil'!AD2484</f>
        <v>0</v>
      </c>
      <c r="AE2483">
        <f>'raw data Crude oil'!AE2484</f>
        <v>0</v>
      </c>
      <c r="AF2483">
        <f>'raw data Crude oil'!AF2484</f>
        <v>0</v>
      </c>
      <c r="AG2483">
        <f>'raw data Crude oil'!AG2484</f>
        <v>0</v>
      </c>
      <c r="AH2483">
        <f>'raw data Crude oil'!AH2484</f>
        <v>0</v>
      </c>
      <c r="AI2483">
        <f>'raw data Crude oil'!AI2484</f>
        <v>0</v>
      </c>
      <c r="AJ2483">
        <f>'raw data Crude oil'!AJ2484</f>
        <v>0</v>
      </c>
      <c r="AK2483">
        <f>'raw data Crude oil'!AK2484</f>
        <v>0</v>
      </c>
    </row>
    <row r="2484" spans="1:37" x14ac:dyDescent="0.3">
      <c r="A2484" s="18">
        <f>'raw data Crude oil'!A2485</f>
        <v>0</v>
      </c>
      <c r="B2484">
        <f>'raw data Crude oil'!B2485</f>
        <v>0</v>
      </c>
      <c r="C2484">
        <f>'raw data Crude oil'!C2485</f>
        <v>0</v>
      </c>
      <c r="D2484">
        <f>'raw data Crude oil'!D2485</f>
        <v>0</v>
      </c>
      <c r="E2484">
        <f>'raw data Crude oil'!E2485</f>
        <v>0</v>
      </c>
      <c r="F2484">
        <f>'raw data Crude oil'!F2485</f>
        <v>0</v>
      </c>
      <c r="G2484">
        <f>'raw data Crude oil'!G2485</f>
        <v>0</v>
      </c>
      <c r="H2484">
        <f>'raw data Crude oil'!H2485</f>
        <v>0</v>
      </c>
      <c r="I2484">
        <f>'raw data Crude oil'!I2485</f>
        <v>0</v>
      </c>
      <c r="J2484">
        <f>'raw data Crude oil'!J2485</f>
        <v>0</v>
      </c>
      <c r="K2484">
        <f>'raw data Crude oil'!K2485</f>
        <v>0</v>
      </c>
      <c r="L2484">
        <f>'raw data Crude oil'!L2485</f>
        <v>0</v>
      </c>
      <c r="M2484">
        <f>'raw data Crude oil'!M2485</f>
        <v>0</v>
      </c>
      <c r="N2484">
        <f>'raw data Crude oil'!N2485</f>
        <v>0</v>
      </c>
      <c r="O2484">
        <f>'raw data Crude oil'!O2485</f>
        <v>0</v>
      </c>
      <c r="P2484">
        <f>'raw data Crude oil'!P2485</f>
        <v>0</v>
      </c>
      <c r="Q2484">
        <f>'raw data Crude oil'!Q2485</f>
        <v>0</v>
      </c>
      <c r="R2484">
        <f>'raw data Crude oil'!R2485</f>
        <v>0</v>
      </c>
      <c r="S2484">
        <f>'raw data Crude oil'!S2485</f>
        <v>0</v>
      </c>
      <c r="T2484">
        <f>'raw data Crude oil'!T2485</f>
        <v>0</v>
      </c>
      <c r="U2484">
        <f>'raw data Crude oil'!U2485</f>
        <v>0</v>
      </c>
      <c r="V2484">
        <f>'raw data Crude oil'!V2485</f>
        <v>0</v>
      </c>
      <c r="W2484">
        <f>'raw data Crude oil'!W2485</f>
        <v>0</v>
      </c>
      <c r="X2484">
        <f>'raw data Crude oil'!X2485</f>
        <v>0</v>
      </c>
      <c r="Y2484">
        <f>'raw data Crude oil'!Y2485</f>
        <v>0</v>
      </c>
      <c r="Z2484">
        <f>'raw data Crude oil'!Z2485</f>
        <v>0</v>
      </c>
      <c r="AA2484">
        <f>'raw data Crude oil'!AA2485</f>
        <v>0</v>
      </c>
      <c r="AB2484">
        <f>'raw data Crude oil'!AB2485</f>
        <v>0</v>
      </c>
      <c r="AC2484">
        <f>'raw data Crude oil'!AC2485</f>
        <v>0</v>
      </c>
      <c r="AD2484">
        <f>'raw data Crude oil'!AD2485</f>
        <v>0</v>
      </c>
      <c r="AE2484">
        <f>'raw data Crude oil'!AE2485</f>
        <v>0</v>
      </c>
      <c r="AF2484">
        <f>'raw data Crude oil'!AF2485</f>
        <v>0</v>
      </c>
      <c r="AG2484">
        <f>'raw data Crude oil'!AG2485</f>
        <v>0</v>
      </c>
      <c r="AH2484">
        <f>'raw data Crude oil'!AH2485</f>
        <v>0</v>
      </c>
      <c r="AI2484">
        <f>'raw data Crude oil'!AI2485</f>
        <v>0</v>
      </c>
      <c r="AJ2484">
        <f>'raw data Crude oil'!AJ2485</f>
        <v>0</v>
      </c>
      <c r="AK2484">
        <f>'raw data Crude oil'!AK2485</f>
        <v>0</v>
      </c>
    </row>
    <row r="2485" spans="1:37" x14ac:dyDescent="0.3">
      <c r="A2485" s="18">
        <f>'raw data Crude oil'!A2486</f>
        <v>0</v>
      </c>
      <c r="B2485">
        <f>'raw data Crude oil'!B2486</f>
        <v>0</v>
      </c>
      <c r="C2485">
        <f>'raw data Crude oil'!C2486</f>
        <v>0</v>
      </c>
      <c r="D2485">
        <f>'raw data Crude oil'!D2486</f>
        <v>0</v>
      </c>
      <c r="E2485">
        <f>'raw data Crude oil'!E2486</f>
        <v>0</v>
      </c>
      <c r="F2485">
        <f>'raw data Crude oil'!F2486</f>
        <v>0</v>
      </c>
      <c r="G2485">
        <f>'raw data Crude oil'!G2486</f>
        <v>0</v>
      </c>
      <c r="H2485">
        <f>'raw data Crude oil'!H2486</f>
        <v>0</v>
      </c>
      <c r="I2485">
        <f>'raw data Crude oil'!I2486</f>
        <v>0</v>
      </c>
      <c r="J2485">
        <f>'raw data Crude oil'!J2486</f>
        <v>0</v>
      </c>
      <c r="K2485">
        <f>'raw data Crude oil'!K2486</f>
        <v>0</v>
      </c>
      <c r="L2485">
        <f>'raw data Crude oil'!L2486</f>
        <v>0</v>
      </c>
      <c r="M2485">
        <f>'raw data Crude oil'!M2486</f>
        <v>0</v>
      </c>
      <c r="N2485">
        <f>'raw data Crude oil'!N2486</f>
        <v>0</v>
      </c>
      <c r="O2485">
        <f>'raw data Crude oil'!O2486</f>
        <v>0</v>
      </c>
      <c r="P2485">
        <f>'raw data Crude oil'!P2486</f>
        <v>0</v>
      </c>
      <c r="Q2485">
        <f>'raw data Crude oil'!Q2486</f>
        <v>0</v>
      </c>
      <c r="R2485">
        <f>'raw data Crude oil'!R2486</f>
        <v>0</v>
      </c>
      <c r="S2485">
        <f>'raw data Crude oil'!S2486</f>
        <v>0</v>
      </c>
      <c r="T2485">
        <f>'raw data Crude oil'!T2486</f>
        <v>0</v>
      </c>
      <c r="U2485">
        <f>'raw data Crude oil'!U2486</f>
        <v>0</v>
      </c>
      <c r="V2485">
        <f>'raw data Crude oil'!V2486</f>
        <v>0</v>
      </c>
      <c r="W2485">
        <f>'raw data Crude oil'!W2486</f>
        <v>0</v>
      </c>
      <c r="X2485">
        <f>'raw data Crude oil'!X2486</f>
        <v>0</v>
      </c>
      <c r="Y2485">
        <f>'raw data Crude oil'!Y2486</f>
        <v>0</v>
      </c>
      <c r="Z2485">
        <f>'raw data Crude oil'!Z2486</f>
        <v>0</v>
      </c>
      <c r="AA2485">
        <f>'raw data Crude oil'!AA2486</f>
        <v>0</v>
      </c>
      <c r="AB2485">
        <f>'raw data Crude oil'!AB2486</f>
        <v>0</v>
      </c>
      <c r="AC2485">
        <f>'raw data Crude oil'!AC2486</f>
        <v>0</v>
      </c>
      <c r="AD2485">
        <f>'raw data Crude oil'!AD2486</f>
        <v>0</v>
      </c>
      <c r="AE2485">
        <f>'raw data Crude oil'!AE2486</f>
        <v>0</v>
      </c>
      <c r="AF2485">
        <f>'raw data Crude oil'!AF2486</f>
        <v>0</v>
      </c>
      <c r="AG2485">
        <f>'raw data Crude oil'!AG2486</f>
        <v>0</v>
      </c>
      <c r="AH2485">
        <f>'raw data Crude oil'!AH2486</f>
        <v>0</v>
      </c>
      <c r="AI2485">
        <f>'raw data Crude oil'!AI2486</f>
        <v>0</v>
      </c>
      <c r="AJ2485">
        <f>'raw data Crude oil'!AJ2486</f>
        <v>0</v>
      </c>
      <c r="AK2485">
        <f>'raw data Crude oil'!AK2486</f>
        <v>0</v>
      </c>
    </row>
    <row r="2486" spans="1:37" x14ac:dyDescent="0.3">
      <c r="A2486" s="18">
        <f>'raw data Crude oil'!A2487</f>
        <v>0</v>
      </c>
      <c r="B2486">
        <f>'raw data Crude oil'!B2487</f>
        <v>0</v>
      </c>
      <c r="C2486">
        <f>'raw data Crude oil'!C2487</f>
        <v>0</v>
      </c>
      <c r="D2486">
        <f>'raw data Crude oil'!D2487</f>
        <v>0</v>
      </c>
      <c r="E2486">
        <f>'raw data Crude oil'!E2487</f>
        <v>0</v>
      </c>
      <c r="F2486">
        <f>'raw data Crude oil'!F2487</f>
        <v>0</v>
      </c>
      <c r="G2486">
        <f>'raw data Crude oil'!G2487</f>
        <v>0</v>
      </c>
      <c r="H2486">
        <f>'raw data Crude oil'!H2487</f>
        <v>0</v>
      </c>
      <c r="I2486">
        <f>'raw data Crude oil'!I2487</f>
        <v>0</v>
      </c>
      <c r="J2486">
        <f>'raw data Crude oil'!J2487</f>
        <v>0</v>
      </c>
      <c r="K2486">
        <f>'raw data Crude oil'!K2487</f>
        <v>0</v>
      </c>
      <c r="L2486">
        <f>'raw data Crude oil'!L2487</f>
        <v>0</v>
      </c>
      <c r="M2486">
        <f>'raw data Crude oil'!M2487</f>
        <v>0</v>
      </c>
      <c r="N2486">
        <f>'raw data Crude oil'!N2487</f>
        <v>0</v>
      </c>
      <c r="O2486">
        <f>'raw data Crude oil'!O2487</f>
        <v>0</v>
      </c>
      <c r="P2486">
        <f>'raw data Crude oil'!P2487</f>
        <v>0</v>
      </c>
      <c r="Q2486">
        <f>'raw data Crude oil'!Q2487</f>
        <v>0</v>
      </c>
      <c r="R2486">
        <f>'raw data Crude oil'!R2487</f>
        <v>0</v>
      </c>
      <c r="S2486">
        <f>'raw data Crude oil'!S2487</f>
        <v>0</v>
      </c>
      <c r="T2486">
        <f>'raw data Crude oil'!T2487</f>
        <v>0</v>
      </c>
      <c r="U2486">
        <f>'raw data Crude oil'!U2487</f>
        <v>0</v>
      </c>
      <c r="V2486">
        <f>'raw data Crude oil'!V2487</f>
        <v>0</v>
      </c>
      <c r="W2486">
        <f>'raw data Crude oil'!W2487</f>
        <v>0</v>
      </c>
      <c r="X2486">
        <f>'raw data Crude oil'!X2487</f>
        <v>0</v>
      </c>
      <c r="Y2486">
        <f>'raw data Crude oil'!Y2487</f>
        <v>0</v>
      </c>
      <c r="Z2486">
        <f>'raw data Crude oil'!Z2487</f>
        <v>0</v>
      </c>
      <c r="AA2486">
        <f>'raw data Crude oil'!AA2487</f>
        <v>0</v>
      </c>
      <c r="AB2486">
        <f>'raw data Crude oil'!AB2487</f>
        <v>0</v>
      </c>
      <c r="AC2486">
        <f>'raw data Crude oil'!AC2487</f>
        <v>0</v>
      </c>
      <c r="AD2486">
        <f>'raw data Crude oil'!AD2487</f>
        <v>0</v>
      </c>
      <c r="AE2486">
        <f>'raw data Crude oil'!AE2487</f>
        <v>0</v>
      </c>
      <c r="AF2486">
        <f>'raw data Crude oil'!AF2487</f>
        <v>0</v>
      </c>
      <c r="AG2486">
        <f>'raw data Crude oil'!AG2487</f>
        <v>0</v>
      </c>
      <c r="AH2486">
        <f>'raw data Crude oil'!AH2487</f>
        <v>0</v>
      </c>
      <c r="AI2486">
        <f>'raw data Crude oil'!AI2487</f>
        <v>0</v>
      </c>
      <c r="AJ2486">
        <f>'raw data Crude oil'!AJ2487</f>
        <v>0</v>
      </c>
      <c r="AK2486">
        <f>'raw data Crude oil'!AK2487</f>
        <v>0</v>
      </c>
    </row>
    <row r="2487" spans="1:37" x14ac:dyDescent="0.3">
      <c r="A2487" s="18">
        <f>'raw data Crude oil'!A2488</f>
        <v>0</v>
      </c>
      <c r="B2487">
        <f>'raw data Crude oil'!B2488</f>
        <v>0</v>
      </c>
      <c r="C2487">
        <f>'raw data Crude oil'!C2488</f>
        <v>0</v>
      </c>
      <c r="D2487">
        <f>'raw data Crude oil'!D2488</f>
        <v>0</v>
      </c>
      <c r="E2487">
        <f>'raw data Crude oil'!E2488</f>
        <v>0</v>
      </c>
      <c r="F2487">
        <f>'raw data Crude oil'!F2488</f>
        <v>0</v>
      </c>
      <c r="G2487">
        <f>'raw data Crude oil'!G2488</f>
        <v>0</v>
      </c>
      <c r="H2487">
        <f>'raw data Crude oil'!H2488</f>
        <v>0</v>
      </c>
      <c r="I2487">
        <f>'raw data Crude oil'!I2488</f>
        <v>0</v>
      </c>
      <c r="J2487">
        <f>'raw data Crude oil'!J2488</f>
        <v>0</v>
      </c>
      <c r="K2487">
        <f>'raw data Crude oil'!K2488</f>
        <v>0</v>
      </c>
      <c r="L2487">
        <f>'raw data Crude oil'!L2488</f>
        <v>0</v>
      </c>
      <c r="M2487">
        <f>'raw data Crude oil'!M2488</f>
        <v>0</v>
      </c>
      <c r="N2487">
        <f>'raw data Crude oil'!N2488</f>
        <v>0</v>
      </c>
      <c r="O2487">
        <f>'raw data Crude oil'!O2488</f>
        <v>0</v>
      </c>
      <c r="P2487">
        <f>'raw data Crude oil'!P2488</f>
        <v>0</v>
      </c>
      <c r="Q2487">
        <f>'raw data Crude oil'!Q2488</f>
        <v>0</v>
      </c>
      <c r="R2487">
        <f>'raw data Crude oil'!R2488</f>
        <v>0</v>
      </c>
      <c r="S2487">
        <f>'raw data Crude oil'!S2488</f>
        <v>0</v>
      </c>
      <c r="T2487">
        <f>'raw data Crude oil'!T2488</f>
        <v>0</v>
      </c>
      <c r="U2487">
        <f>'raw data Crude oil'!U2488</f>
        <v>0</v>
      </c>
      <c r="V2487">
        <f>'raw data Crude oil'!V2488</f>
        <v>0</v>
      </c>
      <c r="W2487">
        <f>'raw data Crude oil'!W2488</f>
        <v>0</v>
      </c>
      <c r="X2487">
        <f>'raw data Crude oil'!X2488</f>
        <v>0</v>
      </c>
      <c r="Y2487">
        <f>'raw data Crude oil'!Y2488</f>
        <v>0</v>
      </c>
      <c r="Z2487">
        <f>'raw data Crude oil'!Z2488</f>
        <v>0</v>
      </c>
      <c r="AA2487">
        <f>'raw data Crude oil'!AA2488</f>
        <v>0</v>
      </c>
      <c r="AB2487">
        <f>'raw data Crude oil'!AB2488</f>
        <v>0</v>
      </c>
      <c r="AC2487">
        <f>'raw data Crude oil'!AC2488</f>
        <v>0</v>
      </c>
      <c r="AD2487">
        <f>'raw data Crude oil'!AD2488</f>
        <v>0</v>
      </c>
      <c r="AE2487">
        <f>'raw data Crude oil'!AE2488</f>
        <v>0</v>
      </c>
      <c r="AF2487">
        <f>'raw data Crude oil'!AF2488</f>
        <v>0</v>
      </c>
      <c r="AG2487">
        <f>'raw data Crude oil'!AG2488</f>
        <v>0</v>
      </c>
      <c r="AH2487">
        <f>'raw data Crude oil'!AH2488</f>
        <v>0</v>
      </c>
      <c r="AI2487">
        <f>'raw data Crude oil'!AI2488</f>
        <v>0</v>
      </c>
      <c r="AJ2487">
        <f>'raw data Crude oil'!AJ2488</f>
        <v>0</v>
      </c>
      <c r="AK2487">
        <f>'raw data Crude oil'!AK2488</f>
        <v>0</v>
      </c>
    </row>
    <row r="2488" spans="1:37" x14ac:dyDescent="0.3">
      <c r="A2488" s="18">
        <f>'raw data Crude oil'!A2489</f>
        <v>0</v>
      </c>
      <c r="B2488">
        <f>'raw data Crude oil'!B2489</f>
        <v>0</v>
      </c>
      <c r="C2488">
        <f>'raw data Crude oil'!C2489</f>
        <v>0</v>
      </c>
      <c r="D2488">
        <f>'raw data Crude oil'!D2489</f>
        <v>0</v>
      </c>
      <c r="E2488">
        <f>'raw data Crude oil'!E2489</f>
        <v>0</v>
      </c>
      <c r="F2488">
        <f>'raw data Crude oil'!F2489</f>
        <v>0</v>
      </c>
      <c r="G2488">
        <f>'raw data Crude oil'!G2489</f>
        <v>0</v>
      </c>
      <c r="H2488">
        <f>'raw data Crude oil'!H2489</f>
        <v>0</v>
      </c>
      <c r="I2488">
        <f>'raw data Crude oil'!I2489</f>
        <v>0</v>
      </c>
      <c r="J2488">
        <f>'raw data Crude oil'!J2489</f>
        <v>0</v>
      </c>
      <c r="K2488">
        <f>'raw data Crude oil'!K2489</f>
        <v>0</v>
      </c>
      <c r="L2488">
        <f>'raw data Crude oil'!L2489</f>
        <v>0</v>
      </c>
      <c r="M2488">
        <f>'raw data Crude oil'!M2489</f>
        <v>0</v>
      </c>
      <c r="N2488">
        <f>'raw data Crude oil'!N2489</f>
        <v>0</v>
      </c>
      <c r="O2488">
        <f>'raw data Crude oil'!O2489</f>
        <v>0</v>
      </c>
      <c r="P2488">
        <f>'raw data Crude oil'!P2489</f>
        <v>0</v>
      </c>
      <c r="Q2488">
        <f>'raw data Crude oil'!Q2489</f>
        <v>0</v>
      </c>
      <c r="R2488">
        <f>'raw data Crude oil'!R2489</f>
        <v>0</v>
      </c>
      <c r="S2488">
        <f>'raw data Crude oil'!S2489</f>
        <v>0</v>
      </c>
      <c r="T2488">
        <f>'raw data Crude oil'!T2489</f>
        <v>0</v>
      </c>
      <c r="U2488">
        <f>'raw data Crude oil'!U2489</f>
        <v>0</v>
      </c>
      <c r="V2488">
        <f>'raw data Crude oil'!V2489</f>
        <v>0</v>
      </c>
      <c r="W2488">
        <f>'raw data Crude oil'!W2489</f>
        <v>0</v>
      </c>
      <c r="X2488">
        <f>'raw data Crude oil'!X2489</f>
        <v>0</v>
      </c>
      <c r="Y2488">
        <f>'raw data Crude oil'!Y2489</f>
        <v>0</v>
      </c>
      <c r="Z2488">
        <f>'raw data Crude oil'!Z2489</f>
        <v>0</v>
      </c>
      <c r="AA2488">
        <f>'raw data Crude oil'!AA2489</f>
        <v>0</v>
      </c>
      <c r="AB2488">
        <f>'raw data Crude oil'!AB2489</f>
        <v>0</v>
      </c>
      <c r="AC2488">
        <f>'raw data Crude oil'!AC2489</f>
        <v>0</v>
      </c>
      <c r="AD2488">
        <f>'raw data Crude oil'!AD2489</f>
        <v>0</v>
      </c>
      <c r="AE2488">
        <f>'raw data Crude oil'!AE2489</f>
        <v>0</v>
      </c>
      <c r="AF2488">
        <f>'raw data Crude oil'!AF2489</f>
        <v>0</v>
      </c>
      <c r="AG2488">
        <f>'raw data Crude oil'!AG2489</f>
        <v>0</v>
      </c>
      <c r="AH2488">
        <f>'raw data Crude oil'!AH2489</f>
        <v>0</v>
      </c>
      <c r="AI2488">
        <f>'raw data Crude oil'!AI2489</f>
        <v>0</v>
      </c>
      <c r="AJ2488">
        <f>'raw data Crude oil'!AJ2489</f>
        <v>0</v>
      </c>
      <c r="AK2488">
        <f>'raw data Crude oil'!AK2489</f>
        <v>0</v>
      </c>
    </row>
    <row r="2489" spans="1:37" x14ac:dyDescent="0.3">
      <c r="A2489" s="18">
        <f>'raw data Crude oil'!A2490</f>
        <v>0</v>
      </c>
      <c r="B2489">
        <f>'raw data Crude oil'!B2490</f>
        <v>0</v>
      </c>
      <c r="C2489">
        <f>'raw data Crude oil'!C2490</f>
        <v>0</v>
      </c>
      <c r="D2489">
        <f>'raw data Crude oil'!D2490</f>
        <v>0</v>
      </c>
      <c r="E2489">
        <f>'raw data Crude oil'!E2490</f>
        <v>0</v>
      </c>
      <c r="F2489">
        <f>'raw data Crude oil'!F2490</f>
        <v>0</v>
      </c>
      <c r="G2489">
        <f>'raw data Crude oil'!G2490</f>
        <v>0</v>
      </c>
      <c r="H2489">
        <f>'raw data Crude oil'!H2490</f>
        <v>0</v>
      </c>
      <c r="I2489">
        <f>'raw data Crude oil'!I2490</f>
        <v>0</v>
      </c>
      <c r="J2489">
        <f>'raw data Crude oil'!J2490</f>
        <v>0</v>
      </c>
      <c r="K2489">
        <f>'raw data Crude oil'!K2490</f>
        <v>0</v>
      </c>
      <c r="L2489">
        <f>'raw data Crude oil'!L2490</f>
        <v>0</v>
      </c>
      <c r="M2489">
        <f>'raw data Crude oil'!M2490</f>
        <v>0</v>
      </c>
      <c r="N2489">
        <f>'raw data Crude oil'!N2490</f>
        <v>0</v>
      </c>
      <c r="O2489">
        <f>'raw data Crude oil'!O2490</f>
        <v>0</v>
      </c>
      <c r="P2489">
        <f>'raw data Crude oil'!P2490</f>
        <v>0</v>
      </c>
      <c r="Q2489">
        <f>'raw data Crude oil'!Q2490</f>
        <v>0</v>
      </c>
      <c r="R2489">
        <f>'raw data Crude oil'!R2490</f>
        <v>0</v>
      </c>
      <c r="S2489">
        <f>'raw data Crude oil'!S2490</f>
        <v>0</v>
      </c>
      <c r="T2489">
        <f>'raw data Crude oil'!T2490</f>
        <v>0</v>
      </c>
      <c r="U2489">
        <f>'raw data Crude oil'!U2490</f>
        <v>0</v>
      </c>
      <c r="V2489">
        <f>'raw data Crude oil'!V2490</f>
        <v>0</v>
      </c>
      <c r="W2489">
        <f>'raw data Crude oil'!W2490</f>
        <v>0</v>
      </c>
      <c r="X2489">
        <f>'raw data Crude oil'!X2490</f>
        <v>0</v>
      </c>
      <c r="Y2489">
        <f>'raw data Crude oil'!Y2490</f>
        <v>0</v>
      </c>
      <c r="Z2489">
        <f>'raw data Crude oil'!Z2490</f>
        <v>0</v>
      </c>
      <c r="AA2489">
        <f>'raw data Crude oil'!AA2490</f>
        <v>0</v>
      </c>
      <c r="AB2489">
        <f>'raw data Crude oil'!AB2490</f>
        <v>0</v>
      </c>
      <c r="AC2489">
        <f>'raw data Crude oil'!AC2490</f>
        <v>0</v>
      </c>
      <c r="AD2489">
        <f>'raw data Crude oil'!AD2490</f>
        <v>0</v>
      </c>
      <c r="AE2489">
        <f>'raw data Crude oil'!AE2490</f>
        <v>0</v>
      </c>
      <c r="AF2489">
        <f>'raw data Crude oil'!AF2490</f>
        <v>0</v>
      </c>
      <c r="AG2489">
        <f>'raw data Crude oil'!AG2490</f>
        <v>0</v>
      </c>
      <c r="AH2489">
        <f>'raw data Crude oil'!AH2490</f>
        <v>0</v>
      </c>
      <c r="AI2489">
        <f>'raw data Crude oil'!AI2490</f>
        <v>0</v>
      </c>
      <c r="AJ2489">
        <f>'raw data Crude oil'!AJ2490</f>
        <v>0</v>
      </c>
      <c r="AK2489">
        <f>'raw data Crude oil'!AK2490</f>
        <v>0</v>
      </c>
    </row>
    <row r="2490" spans="1:37" x14ac:dyDescent="0.3">
      <c r="A2490" s="18">
        <f>'raw data Crude oil'!A2491</f>
        <v>0</v>
      </c>
      <c r="B2490">
        <f>'raw data Crude oil'!B2491</f>
        <v>0</v>
      </c>
      <c r="C2490">
        <f>'raw data Crude oil'!C2491</f>
        <v>0</v>
      </c>
      <c r="D2490">
        <f>'raw data Crude oil'!D2491</f>
        <v>0</v>
      </c>
      <c r="E2490">
        <f>'raw data Crude oil'!E2491</f>
        <v>0</v>
      </c>
      <c r="F2490">
        <f>'raw data Crude oil'!F2491</f>
        <v>0</v>
      </c>
      <c r="G2490">
        <f>'raw data Crude oil'!G2491</f>
        <v>0</v>
      </c>
      <c r="H2490">
        <f>'raw data Crude oil'!H2491</f>
        <v>0</v>
      </c>
      <c r="I2490">
        <f>'raw data Crude oil'!I2491</f>
        <v>0</v>
      </c>
      <c r="J2490">
        <f>'raw data Crude oil'!J2491</f>
        <v>0</v>
      </c>
      <c r="K2490">
        <f>'raw data Crude oil'!K2491</f>
        <v>0</v>
      </c>
      <c r="L2490">
        <f>'raw data Crude oil'!L2491</f>
        <v>0</v>
      </c>
      <c r="M2490">
        <f>'raw data Crude oil'!M2491</f>
        <v>0</v>
      </c>
      <c r="N2490">
        <f>'raw data Crude oil'!N2491</f>
        <v>0</v>
      </c>
      <c r="O2490">
        <f>'raw data Crude oil'!O2491</f>
        <v>0</v>
      </c>
      <c r="P2490">
        <f>'raw data Crude oil'!P2491</f>
        <v>0</v>
      </c>
      <c r="Q2490">
        <f>'raw data Crude oil'!Q2491</f>
        <v>0</v>
      </c>
      <c r="R2490">
        <f>'raw data Crude oil'!R2491</f>
        <v>0</v>
      </c>
      <c r="S2490">
        <f>'raw data Crude oil'!S2491</f>
        <v>0</v>
      </c>
      <c r="T2490">
        <f>'raw data Crude oil'!T2491</f>
        <v>0</v>
      </c>
      <c r="U2490">
        <f>'raw data Crude oil'!U2491</f>
        <v>0</v>
      </c>
      <c r="V2490">
        <f>'raw data Crude oil'!V2491</f>
        <v>0</v>
      </c>
      <c r="W2490">
        <f>'raw data Crude oil'!W2491</f>
        <v>0</v>
      </c>
      <c r="X2490">
        <f>'raw data Crude oil'!X2491</f>
        <v>0</v>
      </c>
      <c r="Y2490">
        <f>'raw data Crude oil'!Y2491</f>
        <v>0</v>
      </c>
      <c r="Z2490">
        <f>'raw data Crude oil'!Z2491</f>
        <v>0</v>
      </c>
      <c r="AA2490">
        <f>'raw data Crude oil'!AA2491</f>
        <v>0</v>
      </c>
      <c r="AB2490">
        <f>'raw data Crude oil'!AB2491</f>
        <v>0</v>
      </c>
      <c r="AC2490">
        <f>'raw data Crude oil'!AC2491</f>
        <v>0</v>
      </c>
      <c r="AD2490">
        <f>'raw data Crude oil'!AD2491</f>
        <v>0</v>
      </c>
      <c r="AE2490">
        <f>'raw data Crude oil'!AE2491</f>
        <v>0</v>
      </c>
      <c r="AF2490">
        <f>'raw data Crude oil'!AF2491</f>
        <v>0</v>
      </c>
      <c r="AG2490">
        <f>'raw data Crude oil'!AG2491</f>
        <v>0</v>
      </c>
      <c r="AH2490">
        <f>'raw data Crude oil'!AH2491</f>
        <v>0</v>
      </c>
      <c r="AI2490">
        <f>'raw data Crude oil'!AI2491</f>
        <v>0</v>
      </c>
      <c r="AJ2490">
        <f>'raw data Crude oil'!AJ2491</f>
        <v>0</v>
      </c>
      <c r="AK2490">
        <f>'raw data Crude oil'!AK2491</f>
        <v>0</v>
      </c>
    </row>
    <row r="2491" spans="1:37" x14ac:dyDescent="0.3">
      <c r="A2491" s="18">
        <f>'raw data Crude oil'!A2492</f>
        <v>0</v>
      </c>
      <c r="B2491">
        <f>'raw data Crude oil'!B2492</f>
        <v>0</v>
      </c>
      <c r="C2491">
        <f>'raw data Crude oil'!C2492</f>
        <v>0</v>
      </c>
      <c r="D2491">
        <f>'raw data Crude oil'!D2492</f>
        <v>0</v>
      </c>
      <c r="E2491">
        <f>'raw data Crude oil'!E2492</f>
        <v>0</v>
      </c>
      <c r="F2491">
        <f>'raw data Crude oil'!F2492</f>
        <v>0</v>
      </c>
      <c r="G2491">
        <f>'raw data Crude oil'!G2492</f>
        <v>0</v>
      </c>
      <c r="H2491">
        <f>'raw data Crude oil'!H2492</f>
        <v>0</v>
      </c>
      <c r="I2491">
        <f>'raw data Crude oil'!I2492</f>
        <v>0</v>
      </c>
      <c r="J2491">
        <f>'raw data Crude oil'!J2492</f>
        <v>0</v>
      </c>
      <c r="K2491">
        <f>'raw data Crude oil'!K2492</f>
        <v>0</v>
      </c>
      <c r="L2491">
        <f>'raw data Crude oil'!L2492</f>
        <v>0</v>
      </c>
      <c r="M2491">
        <f>'raw data Crude oil'!M2492</f>
        <v>0</v>
      </c>
      <c r="N2491">
        <f>'raw data Crude oil'!N2492</f>
        <v>0</v>
      </c>
      <c r="O2491">
        <f>'raw data Crude oil'!O2492</f>
        <v>0</v>
      </c>
      <c r="P2491">
        <f>'raw data Crude oil'!P2492</f>
        <v>0</v>
      </c>
      <c r="Q2491">
        <f>'raw data Crude oil'!Q2492</f>
        <v>0</v>
      </c>
      <c r="R2491">
        <f>'raw data Crude oil'!R2492</f>
        <v>0</v>
      </c>
      <c r="S2491">
        <f>'raw data Crude oil'!S2492</f>
        <v>0</v>
      </c>
      <c r="T2491">
        <f>'raw data Crude oil'!T2492</f>
        <v>0</v>
      </c>
      <c r="U2491">
        <f>'raw data Crude oil'!U2492</f>
        <v>0</v>
      </c>
      <c r="V2491">
        <f>'raw data Crude oil'!V2492</f>
        <v>0</v>
      </c>
      <c r="W2491">
        <f>'raw data Crude oil'!W2492</f>
        <v>0</v>
      </c>
      <c r="X2491">
        <f>'raw data Crude oil'!X2492</f>
        <v>0</v>
      </c>
      <c r="Y2491">
        <f>'raw data Crude oil'!Y2492</f>
        <v>0</v>
      </c>
      <c r="Z2491">
        <f>'raw data Crude oil'!Z2492</f>
        <v>0</v>
      </c>
      <c r="AA2491">
        <f>'raw data Crude oil'!AA2492</f>
        <v>0</v>
      </c>
      <c r="AB2491">
        <f>'raw data Crude oil'!AB2492</f>
        <v>0</v>
      </c>
      <c r="AC2491">
        <f>'raw data Crude oil'!AC2492</f>
        <v>0</v>
      </c>
      <c r="AD2491">
        <f>'raw data Crude oil'!AD2492</f>
        <v>0</v>
      </c>
      <c r="AE2491">
        <f>'raw data Crude oil'!AE2492</f>
        <v>0</v>
      </c>
      <c r="AF2491">
        <f>'raw data Crude oil'!AF2492</f>
        <v>0</v>
      </c>
      <c r="AG2491">
        <f>'raw data Crude oil'!AG2492</f>
        <v>0</v>
      </c>
      <c r="AH2491">
        <f>'raw data Crude oil'!AH2492</f>
        <v>0</v>
      </c>
      <c r="AI2491">
        <f>'raw data Crude oil'!AI2492</f>
        <v>0</v>
      </c>
      <c r="AJ2491">
        <f>'raw data Crude oil'!AJ2492</f>
        <v>0</v>
      </c>
      <c r="AK2491">
        <f>'raw data Crude oil'!AK2492</f>
        <v>0</v>
      </c>
    </row>
    <row r="2492" spans="1:37" x14ac:dyDescent="0.3">
      <c r="A2492" s="18">
        <f>'raw data Crude oil'!A2493</f>
        <v>0</v>
      </c>
      <c r="B2492">
        <f>'raw data Crude oil'!B2493</f>
        <v>0</v>
      </c>
      <c r="C2492">
        <f>'raw data Crude oil'!C2493</f>
        <v>0</v>
      </c>
      <c r="D2492">
        <f>'raw data Crude oil'!D2493</f>
        <v>0</v>
      </c>
      <c r="E2492">
        <f>'raw data Crude oil'!E2493</f>
        <v>0</v>
      </c>
      <c r="F2492">
        <f>'raw data Crude oil'!F2493</f>
        <v>0</v>
      </c>
      <c r="G2492">
        <f>'raw data Crude oil'!G2493</f>
        <v>0</v>
      </c>
      <c r="H2492">
        <f>'raw data Crude oil'!H2493</f>
        <v>0</v>
      </c>
      <c r="I2492">
        <f>'raw data Crude oil'!I2493</f>
        <v>0</v>
      </c>
      <c r="J2492">
        <f>'raw data Crude oil'!J2493</f>
        <v>0</v>
      </c>
      <c r="K2492">
        <f>'raw data Crude oil'!K2493</f>
        <v>0</v>
      </c>
      <c r="L2492">
        <f>'raw data Crude oil'!L2493</f>
        <v>0</v>
      </c>
      <c r="M2492">
        <f>'raw data Crude oil'!M2493</f>
        <v>0</v>
      </c>
      <c r="N2492">
        <f>'raw data Crude oil'!N2493</f>
        <v>0</v>
      </c>
      <c r="O2492">
        <f>'raw data Crude oil'!O2493</f>
        <v>0</v>
      </c>
      <c r="P2492">
        <f>'raw data Crude oil'!P2493</f>
        <v>0</v>
      </c>
      <c r="Q2492">
        <f>'raw data Crude oil'!Q2493</f>
        <v>0</v>
      </c>
      <c r="R2492">
        <f>'raw data Crude oil'!R2493</f>
        <v>0</v>
      </c>
      <c r="S2492">
        <f>'raw data Crude oil'!S2493</f>
        <v>0</v>
      </c>
      <c r="T2492">
        <f>'raw data Crude oil'!T2493</f>
        <v>0</v>
      </c>
      <c r="U2492">
        <f>'raw data Crude oil'!U2493</f>
        <v>0</v>
      </c>
      <c r="V2492">
        <f>'raw data Crude oil'!V2493</f>
        <v>0</v>
      </c>
      <c r="W2492">
        <f>'raw data Crude oil'!W2493</f>
        <v>0</v>
      </c>
      <c r="X2492">
        <f>'raw data Crude oil'!X2493</f>
        <v>0</v>
      </c>
      <c r="Y2492">
        <f>'raw data Crude oil'!Y2493</f>
        <v>0</v>
      </c>
      <c r="Z2492">
        <f>'raw data Crude oil'!Z2493</f>
        <v>0</v>
      </c>
      <c r="AA2492">
        <f>'raw data Crude oil'!AA2493</f>
        <v>0</v>
      </c>
      <c r="AB2492">
        <f>'raw data Crude oil'!AB2493</f>
        <v>0</v>
      </c>
      <c r="AC2492">
        <f>'raw data Crude oil'!AC2493</f>
        <v>0</v>
      </c>
      <c r="AD2492">
        <f>'raw data Crude oil'!AD2493</f>
        <v>0</v>
      </c>
      <c r="AE2492">
        <f>'raw data Crude oil'!AE2493</f>
        <v>0</v>
      </c>
      <c r="AF2492">
        <f>'raw data Crude oil'!AF2493</f>
        <v>0</v>
      </c>
      <c r="AG2492">
        <f>'raw data Crude oil'!AG2493</f>
        <v>0</v>
      </c>
      <c r="AH2492">
        <f>'raw data Crude oil'!AH2493</f>
        <v>0</v>
      </c>
      <c r="AI2492">
        <f>'raw data Crude oil'!AI2493</f>
        <v>0</v>
      </c>
      <c r="AJ2492">
        <f>'raw data Crude oil'!AJ2493</f>
        <v>0</v>
      </c>
      <c r="AK2492">
        <f>'raw data Crude oil'!AK2493</f>
        <v>0</v>
      </c>
    </row>
    <row r="2493" spans="1:37" x14ac:dyDescent="0.3">
      <c r="A2493" s="18">
        <f>'raw data Crude oil'!A2494</f>
        <v>0</v>
      </c>
      <c r="B2493">
        <f>'raw data Crude oil'!B2494</f>
        <v>0</v>
      </c>
      <c r="C2493">
        <f>'raw data Crude oil'!C2494</f>
        <v>0</v>
      </c>
      <c r="D2493">
        <f>'raw data Crude oil'!D2494</f>
        <v>0</v>
      </c>
      <c r="E2493">
        <f>'raw data Crude oil'!E2494</f>
        <v>0</v>
      </c>
      <c r="F2493">
        <f>'raw data Crude oil'!F2494</f>
        <v>0</v>
      </c>
      <c r="G2493">
        <f>'raw data Crude oil'!G2494</f>
        <v>0</v>
      </c>
      <c r="H2493">
        <f>'raw data Crude oil'!H2494</f>
        <v>0</v>
      </c>
      <c r="I2493">
        <f>'raw data Crude oil'!I2494</f>
        <v>0</v>
      </c>
      <c r="J2493">
        <f>'raw data Crude oil'!J2494</f>
        <v>0</v>
      </c>
      <c r="K2493">
        <f>'raw data Crude oil'!K2494</f>
        <v>0</v>
      </c>
      <c r="L2493">
        <f>'raw data Crude oil'!L2494</f>
        <v>0</v>
      </c>
      <c r="M2493">
        <f>'raw data Crude oil'!M2494</f>
        <v>0</v>
      </c>
      <c r="N2493">
        <f>'raw data Crude oil'!N2494</f>
        <v>0</v>
      </c>
      <c r="O2493">
        <f>'raw data Crude oil'!O2494</f>
        <v>0</v>
      </c>
      <c r="P2493">
        <f>'raw data Crude oil'!P2494</f>
        <v>0</v>
      </c>
      <c r="Q2493">
        <f>'raw data Crude oil'!Q2494</f>
        <v>0</v>
      </c>
      <c r="R2493">
        <f>'raw data Crude oil'!R2494</f>
        <v>0</v>
      </c>
      <c r="S2493">
        <f>'raw data Crude oil'!S2494</f>
        <v>0</v>
      </c>
      <c r="T2493">
        <f>'raw data Crude oil'!T2494</f>
        <v>0</v>
      </c>
      <c r="U2493">
        <f>'raw data Crude oil'!U2494</f>
        <v>0</v>
      </c>
      <c r="V2493">
        <f>'raw data Crude oil'!V2494</f>
        <v>0</v>
      </c>
      <c r="W2493">
        <f>'raw data Crude oil'!W2494</f>
        <v>0</v>
      </c>
      <c r="X2493">
        <f>'raw data Crude oil'!X2494</f>
        <v>0</v>
      </c>
      <c r="Y2493">
        <f>'raw data Crude oil'!Y2494</f>
        <v>0</v>
      </c>
      <c r="Z2493">
        <f>'raw data Crude oil'!Z2494</f>
        <v>0</v>
      </c>
      <c r="AA2493">
        <f>'raw data Crude oil'!AA2494</f>
        <v>0</v>
      </c>
      <c r="AB2493">
        <f>'raw data Crude oil'!AB2494</f>
        <v>0</v>
      </c>
      <c r="AC2493">
        <f>'raw data Crude oil'!AC2494</f>
        <v>0</v>
      </c>
      <c r="AD2493">
        <f>'raw data Crude oil'!AD2494</f>
        <v>0</v>
      </c>
      <c r="AE2493">
        <f>'raw data Crude oil'!AE2494</f>
        <v>0</v>
      </c>
      <c r="AF2493">
        <f>'raw data Crude oil'!AF2494</f>
        <v>0</v>
      </c>
      <c r="AG2493">
        <f>'raw data Crude oil'!AG2494</f>
        <v>0</v>
      </c>
      <c r="AH2493">
        <f>'raw data Crude oil'!AH2494</f>
        <v>0</v>
      </c>
      <c r="AI2493">
        <f>'raw data Crude oil'!AI2494</f>
        <v>0</v>
      </c>
      <c r="AJ2493">
        <f>'raw data Crude oil'!AJ2494</f>
        <v>0</v>
      </c>
      <c r="AK2493">
        <f>'raw data Crude oil'!AK2494</f>
        <v>0</v>
      </c>
    </row>
    <row r="2494" spans="1:37" x14ac:dyDescent="0.3">
      <c r="A2494" s="18">
        <f>'raw data Crude oil'!A2495</f>
        <v>0</v>
      </c>
      <c r="B2494">
        <f>'raw data Crude oil'!B2495</f>
        <v>0</v>
      </c>
      <c r="C2494">
        <f>'raw data Crude oil'!C2495</f>
        <v>0</v>
      </c>
      <c r="D2494">
        <f>'raw data Crude oil'!D2495</f>
        <v>0</v>
      </c>
      <c r="E2494">
        <f>'raw data Crude oil'!E2495</f>
        <v>0</v>
      </c>
      <c r="F2494">
        <f>'raw data Crude oil'!F2495</f>
        <v>0</v>
      </c>
      <c r="G2494">
        <f>'raw data Crude oil'!G2495</f>
        <v>0</v>
      </c>
      <c r="H2494">
        <f>'raw data Crude oil'!H2495</f>
        <v>0</v>
      </c>
      <c r="I2494">
        <f>'raw data Crude oil'!I2495</f>
        <v>0</v>
      </c>
      <c r="J2494">
        <f>'raw data Crude oil'!J2495</f>
        <v>0</v>
      </c>
      <c r="K2494">
        <f>'raw data Crude oil'!K2495</f>
        <v>0</v>
      </c>
      <c r="L2494">
        <f>'raw data Crude oil'!L2495</f>
        <v>0</v>
      </c>
      <c r="M2494">
        <f>'raw data Crude oil'!M2495</f>
        <v>0</v>
      </c>
      <c r="N2494">
        <f>'raw data Crude oil'!N2495</f>
        <v>0</v>
      </c>
      <c r="O2494">
        <f>'raw data Crude oil'!O2495</f>
        <v>0</v>
      </c>
      <c r="P2494">
        <f>'raw data Crude oil'!P2495</f>
        <v>0</v>
      </c>
      <c r="Q2494">
        <f>'raw data Crude oil'!Q2495</f>
        <v>0</v>
      </c>
      <c r="R2494">
        <f>'raw data Crude oil'!R2495</f>
        <v>0</v>
      </c>
      <c r="S2494">
        <f>'raw data Crude oil'!S2495</f>
        <v>0</v>
      </c>
      <c r="T2494">
        <f>'raw data Crude oil'!T2495</f>
        <v>0</v>
      </c>
      <c r="U2494">
        <f>'raw data Crude oil'!U2495</f>
        <v>0</v>
      </c>
      <c r="V2494">
        <f>'raw data Crude oil'!V2495</f>
        <v>0</v>
      </c>
      <c r="W2494">
        <f>'raw data Crude oil'!W2495</f>
        <v>0</v>
      </c>
      <c r="X2494">
        <f>'raw data Crude oil'!X2495</f>
        <v>0</v>
      </c>
      <c r="Y2494">
        <f>'raw data Crude oil'!Y2495</f>
        <v>0</v>
      </c>
      <c r="Z2494">
        <f>'raw data Crude oil'!Z2495</f>
        <v>0</v>
      </c>
      <c r="AA2494">
        <f>'raw data Crude oil'!AA2495</f>
        <v>0</v>
      </c>
      <c r="AB2494">
        <f>'raw data Crude oil'!AB2495</f>
        <v>0</v>
      </c>
      <c r="AC2494">
        <f>'raw data Crude oil'!AC2495</f>
        <v>0</v>
      </c>
      <c r="AD2494">
        <f>'raw data Crude oil'!AD2495</f>
        <v>0</v>
      </c>
      <c r="AE2494">
        <f>'raw data Crude oil'!AE2495</f>
        <v>0</v>
      </c>
      <c r="AF2494">
        <f>'raw data Crude oil'!AF2495</f>
        <v>0</v>
      </c>
      <c r="AG2494">
        <f>'raw data Crude oil'!AG2495</f>
        <v>0</v>
      </c>
      <c r="AH2494">
        <f>'raw data Crude oil'!AH2495</f>
        <v>0</v>
      </c>
      <c r="AI2494">
        <f>'raw data Crude oil'!AI2495</f>
        <v>0</v>
      </c>
      <c r="AJ2494">
        <f>'raw data Crude oil'!AJ2495</f>
        <v>0</v>
      </c>
      <c r="AK2494">
        <f>'raw data Crude oil'!AK2495</f>
        <v>0</v>
      </c>
    </row>
    <row r="2495" spans="1:37" x14ac:dyDescent="0.3">
      <c r="A2495" s="18">
        <f>'raw data Crude oil'!A2496</f>
        <v>0</v>
      </c>
      <c r="B2495">
        <f>'raw data Crude oil'!B2496</f>
        <v>0</v>
      </c>
      <c r="C2495">
        <f>'raw data Crude oil'!C2496</f>
        <v>0</v>
      </c>
      <c r="D2495">
        <f>'raw data Crude oil'!D2496</f>
        <v>0</v>
      </c>
      <c r="E2495">
        <f>'raw data Crude oil'!E2496</f>
        <v>0</v>
      </c>
      <c r="F2495">
        <f>'raw data Crude oil'!F2496</f>
        <v>0</v>
      </c>
      <c r="G2495">
        <f>'raw data Crude oil'!G2496</f>
        <v>0</v>
      </c>
      <c r="H2495">
        <f>'raw data Crude oil'!H2496</f>
        <v>0</v>
      </c>
      <c r="I2495">
        <f>'raw data Crude oil'!I2496</f>
        <v>0</v>
      </c>
      <c r="J2495">
        <f>'raw data Crude oil'!J2496</f>
        <v>0</v>
      </c>
      <c r="K2495">
        <f>'raw data Crude oil'!K2496</f>
        <v>0</v>
      </c>
      <c r="L2495">
        <f>'raw data Crude oil'!L2496</f>
        <v>0</v>
      </c>
      <c r="M2495">
        <f>'raw data Crude oil'!M2496</f>
        <v>0</v>
      </c>
      <c r="N2495">
        <f>'raw data Crude oil'!N2496</f>
        <v>0</v>
      </c>
      <c r="O2495">
        <f>'raw data Crude oil'!O2496</f>
        <v>0</v>
      </c>
      <c r="P2495">
        <f>'raw data Crude oil'!P2496</f>
        <v>0</v>
      </c>
      <c r="Q2495">
        <f>'raw data Crude oil'!Q2496</f>
        <v>0</v>
      </c>
      <c r="R2495">
        <f>'raw data Crude oil'!R2496</f>
        <v>0</v>
      </c>
      <c r="S2495">
        <f>'raw data Crude oil'!S2496</f>
        <v>0</v>
      </c>
      <c r="T2495">
        <f>'raw data Crude oil'!T2496</f>
        <v>0</v>
      </c>
      <c r="U2495">
        <f>'raw data Crude oil'!U2496</f>
        <v>0</v>
      </c>
      <c r="V2495">
        <f>'raw data Crude oil'!V2496</f>
        <v>0</v>
      </c>
      <c r="W2495">
        <f>'raw data Crude oil'!W2496</f>
        <v>0</v>
      </c>
      <c r="X2495">
        <f>'raw data Crude oil'!X2496</f>
        <v>0</v>
      </c>
      <c r="Y2495">
        <f>'raw data Crude oil'!Y2496</f>
        <v>0</v>
      </c>
      <c r="Z2495">
        <f>'raw data Crude oil'!Z2496</f>
        <v>0</v>
      </c>
      <c r="AA2495">
        <f>'raw data Crude oil'!AA2496</f>
        <v>0</v>
      </c>
      <c r="AB2495">
        <f>'raw data Crude oil'!AB2496</f>
        <v>0</v>
      </c>
      <c r="AC2495">
        <f>'raw data Crude oil'!AC2496</f>
        <v>0</v>
      </c>
      <c r="AD2495">
        <f>'raw data Crude oil'!AD2496</f>
        <v>0</v>
      </c>
      <c r="AE2495">
        <f>'raw data Crude oil'!AE2496</f>
        <v>0</v>
      </c>
      <c r="AF2495">
        <f>'raw data Crude oil'!AF2496</f>
        <v>0</v>
      </c>
      <c r="AG2495">
        <f>'raw data Crude oil'!AG2496</f>
        <v>0</v>
      </c>
      <c r="AH2495">
        <f>'raw data Crude oil'!AH2496</f>
        <v>0</v>
      </c>
      <c r="AI2495">
        <f>'raw data Crude oil'!AI2496</f>
        <v>0</v>
      </c>
      <c r="AJ2495">
        <f>'raw data Crude oil'!AJ2496</f>
        <v>0</v>
      </c>
      <c r="AK2495">
        <f>'raw data Crude oil'!AK2496</f>
        <v>0</v>
      </c>
    </row>
    <row r="2496" spans="1:37" x14ac:dyDescent="0.3">
      <c r="A2496" s="18">
        <f>'raw data Crude oil'!A2497</f>
        <v>0</v>
      </c>
      <c r="B2496">
        <f>'raw data Crude oil'!B2497</f>
        <v>0</v>
      </c>
      <c r="C2496">
        <f>'raw data Crude oil'!C2497</f>
        <v>0</v>
      </c>
      <c r="D2496">
        <f>'raw data Crude oil'!D2497</f>
        <v>0</v>
      </c>
      <c r="E2496">
        <f>'raw data Crude oil'!E2497</f>
        <v>0</v>
      </c>
      <c r="F2496">
        <f>'raw data Crude oil'!F2497</f>
        <v>0</v>
      </c>
      <c r="G2496">
        <f>'raw data Crude oil'!G2497</f>
        <v>0</v>
      </c>
      <c r="H2496">
        <f>'raw data Crude oil'!H2497</f>
        <v>0</v>
      </c>
      <c r="I2496">
        <f>'raw data Crude oil'!I2497</f>
        <v>0</v>
      </c>
      <c r="J2496">
        <f>'raw data Crude oil'!J2497</f>
        <v>0</v>
      </c>
      <c r="K2496">
        <f>'raw data Crude oil'!K2497</f>
        <v>0</v>
      </c>
      <c r="L2496">
        <f>'raw data Crude oil'!L2497</f>
        <v>0</v>
      </c>
      <c r="M2496">
        <f>'raw data Crude oil'!M2497</f>
        <v>0</v>
      </c>
      <c r="N2496">
        <f>'raw data Crude oil'!N2497</f>
        <v>0</v>
      </c>
      <c r="O2496">
        <f>'raw data Crude oil'!O2497</f>
        <v>0</v>
      </c>
      <c r="P2496">
        <f>'raw data Crude oil'!P2497</f>
        <v>0</v>
      </c>
      <c r="Q2496">
        <f>'raw data Crude oil'!Q2497</f>
        <v>0</v>
      </c>
      <c r="R2496">
        <f>'raw data Crude oil'!R2497</f>
        <v>0</v>
      </c>
      <c r="S2496">
        <f>'raw data Crude oil'!S2497</f>
        <v>0</v>
      </c>
      <c r="T2496">
        <f>'raw data Crude oil'!T2497</f>
        <v>0</v>
      </c>
      <c r="U2496">
        <f>'raw data Crude oil'!U2497</f>
        <v>0</v>
      </c>
      <c r="V2496">
        <f>'raw data Crude oil'!V2497</f>
        <v>0</v>
      </c>
      <c r="W2496">
        <f>'raw data Crude oil'!W2497</f>
        <v>0</v>
      </c>
      <c r="X2496">
        <f>'raw data Crude oil'!X2497</f>
        <v>0</v>
      </c>
      <c r="Y2496">
        <f>'raw data Crude oil'!Y2497</f>
        <v>0</v>
      </c>
      <c r="Z2496">
        <f>'raw data Crude oil'!Z2497</f>
        <v>0</v>
      </c>
      <c r="AA2496">
        <f>'raw data Crude oil'!AA2497</f>
        <v>0</v>
      </c>
      <c r="AB2496">
        <f>'raw data Crude oil'!AB2497</f>
        <v>0</v>
      </c>
      <c r="AC2496">
        <f>'raw data Crude oil'!AC2497</f>
        <v>0</v>
      </c>
      <c r="AD2496">
        <f>'raw data Crude oil'!AD2497</f>
        <v>0</v>
      </c>
      <c r="AE2496">
        <f>'raw data Crude oil'!AE2497</f>
        <v>0</v>
      </c>
      <c r="AF2496">
        <f>'raw data Crude oil'!AF2497</f>
        <v>0</v>
      </c>
      <c r="AG2496">
        <f>'raw data Crude oil'!AG2497</f>
        <v>0</v>
      </c>
      <c r="AH2496">
        <f>'raw data Crude oil'!AH2497</f>
        <v>0</v>
      </c>
      <c r="AI2496">
        <f>'raw data Crude oil'!AI2497</f>
        <v>0</v>
      </c>
      <c r="AJ2496">
        <f>'raw data Crude oil'!AJ2497</f>
        <v>0</v>
      </c>
      <c r="AK2496">
        <f>'raw data Crude oil'!AK2497</f>
        <v>0</v>
      </c>
    </row>
    <row r="2497" spans="1:37" x14ac:dyDescent="0.3">
      <c r="A2497" s="18">
        <f>'raw data Crude oil'!A2498</f>
        <v>0</v>
      </c>
      <c r="B2497">
        <f>'raw data Crude oil'!B2498</f>
        <v>0</v>
      </c>
      <c r="C2497">
        <f>'raw data Crude oil'!C2498</f>
        <v>0</v>
      </c>
      <c r="D2497">
        <f>'raw data Crude oil'!D2498</f>
        <v>0</v>
      </c>
      <c r="E2497">
        <f>'raw data Crude oil'!E2498</f>
        <v>0</v>
      </c>
      <c r="F2497">
        <f>'raw data Crude oil'!F2498</f>
        <v>0</v>
      </c>
      <c r="G2497">
        <f>'raw data Crude oil'!G2498</f>
        <v>0</v>
      </c>
      <c r="H2497">
        <f>'raw data Crude oil'!H2498</f>
        <v>0</v>
      </c>
      <c r="I2497">
        <f>'raw data Crude oil'!I2498</f>
        <v>0</v>
      </c>
      <c r="J2497">
        <f>'raw data Crude oil'!J2498</f>
        <v>0</v>
      </c>
      <c r="K2497">
        <f>'raw data Crude oil'!K2498</f>
        <v>0</v>
      </c>
      <c r="L2497">
        <f>'raw data Crude oil'!L2498</f>
        <v>0</v>
      </c>
      <c r="M2497">
        <f>'raw data Crude oil'!M2498</f>
        <v>0</v>
      </c>
      <c r="N2497">
        <f>'raw data Crude oil'!N2498</f>
        <v>0</v>
      </c>
      <c r="O2497">
        <f>'raw data Crude oil'!O2498</f>
        <v>0</v>
      </c>
      <c r="P2497">
        <f>'raw data Crude oil'!P2498</f>
        <v>0</v>
      </c>
      <c r="Q2497">
        <f>'raw data Crude oil'!Q2498</f>
        <v>0</v>
      </c>
      <c r="R2497">
        <f>'raw data Crude oil'!R2498</f>
        <v>0</v>
      </c>
      <c r="S2497">
        <f>'raw data Crude oil'!S2498</f>
        <v>0</v>
      </c>
      <c r="T2497">
        <f>'raw data Crude oil'!T2498</f>
        <v>0</v>
      </c>
      <c r="U2497">
        <f>'raw data Crude oil'!U2498</f>
        <v>0</v>
      </c>
      <c r="V2497">
        <f>'raw data Crude oil'!V2498</f>
        <v>0</v>
      </c>
      <c r="W2497">
        <f>'raw data Crude oil'!W2498</f>
        <v>0</v>
      </c>
      <c r="X2497">
        <f>'raw data Crude oil'!X2498</f>
        <v>0</v>
      </c>
      <c r="Y2497">
        <f>'raw data Crude oil'!Y2498</f>
        <v>0</v>
      </c>
      <c r="Z2497">
        <f>'raw data Crude oil'!Z2498</f>
        <v>0</v>
      </c>
      <c r="AA2497">
        <f>'raw data Crude oil'!AA2498</f>
        <v>0</v>
      </c>
      <c r="AB2497">
        <f>'raw data Crude oil'!AB2498</f>
        <v>0</v>
      </c>
      <c r="AC2497">
        <f>'raw data Crude oil'!AC2498</f>
        <v>0</v>
      </c>
      <c r="AD2497">
        <f>'raw data Crude oil'!AD2498</f>
        <v>0</v>
      </c>
      <c r="AE2497">
        <f>'raw data Crude oil'!AE2498</f>
        <v>0</v>
      </c>
      <c r="AF2497">
        <f>'raw data Crude oil'!AF2498</f>
        <v>0</v>
      </c>
      <c r="AG2497">
        <f>'raw data Crude oil'!AG2498</f>
        <v>0</v>
      </c>
      <c r="AH2497">
        <f>'raw data Crude oil'!AH2498</f>
        <v>0</v>
      </c>
      <c r="AI2497">
        <f>'raw data Crude oil'!AI2498</f>
        <v>0</v>
      </c>
      <c r="AJ2497">
        <f>'raw data Crude oil'!AJ2498</f>
        <v>0</v>
      </c>
      <c r="AK2497">
        <f>'raw data Crude oil'!AK2498</f>
        <v>0</v>
      </c>
    </row>
    <row r="2498" spans="1:37" x14ac:dyDescent="0.3">
      <c r="A2498" s="18">
        <f>'raw data Crude oil'!A2499</f>
        <v>0</v>
      </c>
      <c r="B2498">
        <f>'raw data Crude oil'!B2499</f>
        <v>0</v>
      </c>
      <c r="C2498">
        <f>'raw data Crude oil'!C2499</f>
        <v>0</v>
      </c>
      <c r="D2498">
        <f>'raw data Crude oil'!D2499</f>
        <v>0</v>
      </c>
      <c r="E2498">
        <f>'raw data Crude oil'!E2499</f>
        <v>0</v>
      </c>
      <c r="F2498">
        <f>'raw data Crude oil'!F2499</f>
        <v>0</v>
      </c>
      <c r="G2498">
        <f>'raw data Crude oil'!G2499</f>
        <v>0</v>
      </c>
      <c r="H2498">
        <f>'raw data Crude oil'!H2499</f>
        <v>0</v>
      </c>
      <c r="I2498">
        <f>'raw data Crude oil'!I2499</f>
        <v>0</v>
      </c>
      <c r="J2498">
        <f>'raw data Crude oil'!J2499</f>
        <v>0</v>
      </c>
      <c r="K2498">
        <f>'raw data Crude oil'!K2499</f>
        <v>0</v>
      </c>
      <c r="L2498">
        <f>'raw data Crude oil'!L2499</f>
        <v>0</v>
      </c>
      <c r="M2498">
        <f>'raw data Crude oil'!M2499</f>
        <v>0</v>
      </c>
      <c r="N2498">
        <f>'raw data Crude oil'!N2499</f>
        <v>0</v>
      </c>
      <c r="O2498">
        <f>'raw data Crude oil'!O2499</f>
        <v>0</v>
      </c>
      <c r="P2498">
        <f>'raw data Crude oil'!P2499</f>
        <v>0</v>
      </c>
      <c r="Q2498">
        <f>'raw data Crude oil'!Q2499</f>
        <v>0</v>
      </c>
      <c r="R2498">
        <f>'raw data Crude oil'!R2499</f>
        <v>0</v>
      </c>
      <c r="S2498">
        <f>'raw data Crude oil'!S2499</f>
        <v>0</v>
      </c>
      <c r="T2498">
        <f>'raw data Crude oil'!T2499</f>
        <v>0</v>
      </c>
      <c r="U2498">
        <f>'raw data Crude oil'!U2499</f>
        <v>0</v>
      </c>
      <c r="V2498">
        <f>'raw data Crude oil'!V2499</f>
        <v>0</v>
      </c>
      <c r="W2498">
        <f>'raw data Crude oil'!W2499</f>
        <v>0</v>
      </c>
      <c r="X2498">
        <f>'raw data Crude oil'!X2499</f>
        <v>0</v>
      </c>
      <c r="Y2498">
        <f>'raw data Crude oil'!Y2499</f>
        <v>0</v>
      </c>
      <c r="Z2498">
        <f>'raw data Crude oil'!Z2499</f>
        <v>0</v>
      </c>
      <c r="AA2498">
        <f>'raw data Crude oil'!AA2499</f>
        <v>0</v>
      </c>
      <c r="AB2498">
        <f>'raw data Crude oil'!AB2499</f>
        <v>0</v>
      </c>
      <c r="AC2498">
        <f>'raw data Crude oil'!AC2499</f>
        <v>0</v>
      </c>
      <c r="AD2498">
        <f>'raw data Crude oil'!AD2499</f>
        <v>0</v>
      </c>
      <c r="AE2498">
        <f>'raw data Crude oil'!AE2499</f>
        <v>0</v>
      </c>
      <c r="AF2498">
        <f>'raw data Crude oil'!AF2499</f>
        <v>0</v>
      </c>
      <c r="AG2498">
        <f>'raw data Crude oil'!AG2499</f>
        <v>0</v>
      </c>
      <c r="AH2498">
        <f>'raw data Crude oil'!AH2499</f>
        <v>0</v>
      </c>
      <c r="AI2498">
        <f>'raw data Crude oil'!AI2499</f>
        <v>0</v>
      </c>
      <c r="AJ2498">
        <f>'raw data Crude oil'!AJ2499</f>
        <v>0</v>
      </c>
      <c r="AK2498">
        <f>'raw data Crude oil'!AK2499</f>
        <v>0</v>
      </c>
    </row>
    <row r="2499" spans="1:37" x14ac:dyDescent="0.3">
      <c r="A2499" s="18">
        <f>'raw data Crude oil'!A2500</f>
        <v>0</v>
      </c>
      <c r="B2499">
        <f>'raw data Crude oil'!B2500</f>
        <v>0</v>
      </c>
      <c r="C2499">
        <f>'raw data Crude oil'!C2500</f>
        <v>0</v>
      </c>
      <c r="D2499">
        <f>'raw data Crude oil'!D2500</f>
        <v>0</v>
      </c>
      <c r="E2499">
        <f>'raw data Crude oil'!E2500</f>
        <v>0</v>
      </c>
      <c r="F2499">
        <f>'raw data Crude oil'!F2500</f>
        <v>0</v>
      </c>
      <c r="G2499">
        <f>'raw data Crude oil'!G2500</f>
        <v>0</v>
      </c>
      <c r="H2499">
        <f>'raw data Crude oil'!H2500</f>
        <v>0</v>
      </c>
      <c r="I2499">
        <f>'raw data Crude oil'!I2500</f>
        <v>0</v>
      </c>
      <c r="J2499">
        <f>'raw data Crude oil'!J2500</f>
        <v>0</v>
      </c>
      <c r="K2499">
        <f>'raw data Crude oil'!K2500</f>
        <v>0</v>
      </c>
      <c r="L2499">
        <f>'raw data Crude oil'!L2500</f>
        <v>0</v>
      </c>
      <c r="M2499">
        <f>'raw data Crude oil'!M2500</f>
        <v>0</v>
      </c>
      <c r="N2499">
        <f>'raw data Crude oil'!N2500</f>
        <v>0</v>
      </c>
      <c r="O2499">
        <f>'raw data Crude oil'!O2500</f>
        <v>0</v>
      </c>
      <c r="P2499">
        <f>'raw data Crude oil'!P2500</f>
        <v>0</v>
      </c>
      <c r="Q2499">
        <f>'raw data Crude oil'!Q2500</f>
        <v>0</v>
      </c>
      <c r="R2499">
        <f>'raw data Crude oil'!R2500</f>
        <v>0</v>
      </c>
      <c r="S2499">
        <f>'raw data Crude oil'!S2500</f>
        <v>0</v>
      </c>
      <c r="T2499">
        <f>'raw data Crude oil'!T2500</f>
        <v>0</v>
      </c>
      <c r="U2499">
        <f>'raw data Crude oil'!U2500</f>
        <v>0</v>
      </c>
      <c r="V2499">
        <f>'raw data Crude oil'!V2500</f>
        <v>0</v>
      </c>
      <c r="W2499">
        <f>'raw data Crude oil'!W2500</f>
        <v>0</v>
      </c>
      <c r="X2499">
        <f>'raw data Crude oil'!X2500</f>
        <v>0</v>
      </c>
      <c r="Y2499">
        <f>'raw data Crude oil'!Y2500</f>
        <v>0</v>
      </c>
      <c r="Z2499">
        <f>'raw data Crude oil'!Z2500</f>
        <v>0</v>
      </c>
      <c r="AA2499">
        <f>'raw data Crude oil'!AA2500</f>
        <v>0</v>
      </c>
      <c r="AB2499">
        <f>'raw data Crude oil'!AB2500</f>
        <v>0</v>
      </c>
      <c r="AC2499">
        <f>'raw data Crude oil'!AC2500</f>
        <v>0</v>
      </c>
      <c r="AD2499">
        <f>'raw data Crude oil'!AD2500</f>
        <v>0</v>
      </c>
      <c r="AE2499">
        <f>'raw data Crude oil'!AE2500</f>
        <v>0</v>
      </c>
      <c r="AF2499">
        <f>'raw data Crude oil'!AF2500</f>
        <v>0</v>
      </c>
      <c r="AG2499">
        <f>'raw data Crude oil'!AG2500</f>
        <v>0</v>
      </c>
      <c r="AH2499">
        <f>'raw data Crude oil'!AH2500</f>
        <v>0</v>
      </c>
      <c r="AI2499">
        <f>'raw data Crude oil'!AI2500</f>
        <v>0</v>
      </c>
      <c r="AJ2499">
        <f>'raw data Crude oil'!AJ2500</f>
        <v>0</v>
      </c>
      <c r="AK2499">
        <f>'raw data Crude oil'!AK2500</f>
        <v>0</v>
      </c>
    </row>
    <row r="2500" spans="1:37" x14ac:dyDescent="0.3">
      <c r="A2500" s="18">
        <f>'raw data Crude oil'!A2501</f>
        <v>0</v>
      </c>
      <c r="B2500">
        <f>'raw data Crude oil'!B2501</f>
        <v>0</v>
      </c>
      <c r="C2500">
        <f>'raw data Crude oil'!C2501</f>
        <v>0</v>
      </c>
      <c r="D2500">
        <f>'raw data Crude oil'!D2501</f>
        <v>0</v>
      </c>
      <c r="E2500">
        <f>'raw data Crude oil'!E2501</f>
        <v>0</v>
      </c>
      <c r="F2500">
        <f>'raw data Crude oil'!F2501</f>
        <v>0</v>
      </c>
      <c r="G2500">
        <f>'raw data Crude oil'!G2501</f>
        <v>0</v>
      </c>
      <c r="H2500">
        <f>'raw data Crude oil'!H2501</f>
        <v>0</v>
      </c>
      <c r="I2500">
        <f>'raw data Crude oil'!I2501</f>
        <v>0</v>
      </c>
      <c r="J2500">
        <f>'raw data Crude oil'!J2501</f>
        <v>0</v>
      </c>
      <c r="K2500">
        <f>'raw data Crude oil'!K2501</f>
        <v>0</v>
      </c>
      <c r="L2500">
        <f>'raw data Crude oil'!L2501</f>
        <v>0</v>
      </c>
      <c r="M2500">
        <f>'raw data Crude oil'!M2501</f>
        <v>0</v>
      </c>
      <c r="N2500">
        <f>'raw data Crude oil'!N2501</f>
        <v>0</v>
      </c>
      <c r="O2500">
        <f>'raw data Crude oil'!O2501</f>
        <v>0</v>
      </c>
      <c r="P2500">
        <f>'raw data Crude oil'!P2501</f>
        <v>0</v>
      </c>
      <c r="Q2500">
        <f>'raw data Crude oil'!Q2501</f>
        <v>0</v>
      </c>
      <c r="R2500">
        <f>'raw data Crude oil'!R2501</f>
        <v>0</v>
      </c>
      <c r="S2500">
        <f>'raw data Crude oil'!S2501</f>
        <v>0</v>
      </c>
      <c r="T2500">
        <f>'raw data Crude oil'!T2501</f>
        <v>0</v>
      </c>
      <c r="U2500">
        <f>'raw data Crude oil'!U2501</f>
        <v>0</v>
      </c>
      <c r="V2500">
        <f>'raw data Crude oil'!V2501</f>
        <v>0</v>
      </c>
      <c r="W2500">
        <f>'raw data Crude oil'!W2501</f>
        <v>0</v>
      </c>
      <c r="X2500">
        <f>'raw data Crude oil'!X2501</f>
        <v>0</v>
      </c>
      <c r="Y2500">
        <f>'raw data Crude oil'!Y2501</f>
        <v>0</v>
      </c>
      <c r="Z2500">
        <f>'raw data Crude oil'!Z2501</f>
        <v>0</v>
      </c>
      <c r="AA2500">
        <f>'raw data Crude oil'!AA2501</f>
        <v>0</v>
      </c>
      <c r="AB2500">
        <f>'raw data Crude oil'!AB2501</f>
        <v>0</v>
      </c>
      <c r="AC2500">
        <f>'raw data Crude oil'!AC2501</f>
        <v>0</v>
      </c>
      <c r="AD2500">
        <f>'raw data Crude oil'!AD2501</f>
        <v>0</v>
      </c>
      <c r="AE2500">
        <f>'raw data Crude oil'!AE2501</f>
        <v>0</v>
      </c>
      <c r="AF2500">
        <f>'raw data Crude oil'!AF2501</f>
        <v>0</v>
      </c>
      <c r="AG2500">
        <f>'raw data Crude oil'!AG2501</f>
        <v>0</v>
      </c>
      <c r="AH2500">
        <f>'raw data Crude oil'!AH2501</f>
        <v>0</v>
      </c>
      <c r="AI2500">
        <f>'raw data Crude oil'!AI2501</f>
        <v>0</v>
      </c>
      <c r="AJ2500">
        <f>'raw data Crude oil'!AJ2501</f>
        <v>0</v>
      </c>
      <c r="AK2500">
        <f>'raw data Crude oil'!AK2501</f>
        <v>0</v>
      </c>
    </row>
    <row r="2501" spans="1:37" x14ac:dyDescent="0.3">
      <c r="A2501" s="18">
        <f>'raw data Crude oil'!A2502</f>
        <v>0</v>
      </c>
      <c r="B2501">
        <f>'raw data Crude oil'!B2502</f>
        <v>0</v>
      </c>
      <c r="C2501">
        <f>'raw data Crude oil'!C2502</f>
        <v>0</v>
      </c>
      <c r="D2501">
        <f>'raw data Crude oil'!D2502</f>
        <v>0</v>
      </c>
      <c r="E2501">
        <f>'raw data Crude oil'!E2502</f>
        <v>0</v>
      </c>
      <c r="F2501">
        <f>'raw data Crude oil'!F2502</f>
        <v>0</v>
      </c>
      <c r="G2501">
        <f>'raw data Crude oil'!G2502</f>
        <v>0</v>
      </c>
      <c r="H2501">
        <f>'raw data Crude oil'!H2502</f>
        <v>0</v>
      </c>
      <c r="I2501">
        <f>'raw data Crude oil'!I2502</f>
        <v>0</v>
      </c>
      <c r="J2501">
        <f>'raw data Crude oil'!J2502</f>
        <v>0</v>
      </c>
      <c r="K2501">
        <f>'raw data Crude oil'!K2502</f>
        <v>0</v>
      </c>
      <c r="L2501">
        <f>'raw data Crude oil'!L2502</f>
        <v>0</v>
      </c>
      <c r="M2501">
        <f>'raw data Crude oil'!M2502</f>
        <v>0</v>
      </c>
      <c r="N2501">
        <f>'raw data Crude oil'!N2502</f>
        <v>0</v>
      </c>
      <c r="O2501">
        <f>'raw data Crude oil'!O2502</f>
        <v>0</v>
      </c>
      <c r="P2501">
        <f>'raw data Crude oil'!P2502</f>
        <v>0</v>
      </c>
      <c r="Q2501">
        <f>'raw data Crude oil'!Q2502</f>
        <v>0</v>
      </c>
      <c r="R2501">
        <f>'raw data Crude oil'!R2502</f>
        <v>0</v>
      </c>
      <c r="S2501">
        <f>'raw data Crude oil'!S2502</f>
        <v>0</v>
      </c>
      <c r="T2501">
        <f>'raw data Crude oil'!T2502</f>
        <v>0</v>
      </c>
      <c r="U2501">
        <f>'raw data Crude oil'!U2502</f>
        <v>0</v>
      </c>
      <c r="V2501">
        <f>'raw data Crude oil'!V2502</f>
        <v>0</v>
      </c>
      <c r="W2501">
        <f>'raw data Crude oil'!W2502</f>
        <v>0</v>
      </c>
      <c r="X2501">
        <f>'raw data Crude oil'!X2502</f>
        <v>0</v>
      </c>
      <c r="Y2501">
        <f>'raw data Crude oil'!Y2502</f>
        <v>0</v>
      </c>
      <c r="Z2501">
        <f>'raw data Crude oil'!Z2502</f>
        <v>0</v>
      </c>
      <c r="AA2501">
        <f>'raw data Crude oil'!AA2502</f>
        <v>0</v>
      </c>
      <c r="AB2501">
        <f>'raw data Crude oil'!AB2502</f>
        <v>0</v>
      </c>
      <c r="AC2501">
        <f>'raw data Crude oil'!AC2502</f>
        <v>0</v>
      </c>
      <c r="AD2501">
        <f>'raw data Crude oil'!AD2502</f>
        <v>0</v>
      </c>
      <c r="AE2501">
        <f>'raw data Crude oil'!AE2502</f>
        <v>0</v>
      </c>
      <c r="AF2501">
        <f>'raw data Crude oil'!AF2502</f>
        <v>0</v>
      </c>
      <c r="AG2501">
        <f>'raw data Crude oil'!AG2502</f>
        <v>0</v>
      </c>
      <c r="AH2501">
        <f>'raw data Crude oil'!AH2502</f>
        <v>0</v>
      </c>
      <c r="AI2501">
        <f>'raw data Crude oil'!AI2502</f>
        <v>0</v>
      </c>
      <c r="AJ2501">
        <f>'raw data Crude oil'!AJ2502</f>
        <v>0</v>
      </c>
      <c r="AK2501">
        <f>'raw data Crude oil'!AK2502</f>
        <v>0</v>
      </c>
    </row>
    <row r="2502" spans="1:37" x14ac:dyDescent="0.3">
      <c r="A2502" s="18">
        <f>'raw data Crude oil'!A2503</f>
        <v>0</v>
      </c>
      <c r="B2502">
        <f>'raw data Crude oil'!B2503</f>
        <v>0</v>
      </c>
      <c r="C2502">
        <f>'raw data Crude oil'!C2503</f>
        <v>0</v>
      </c>
      <c r="D2502">
        <f>'raw data Crude oil'!D2503</f>
        <v>0</v>
      </c>
      <c r="E2502">
        <f>'raw data Crude oil'!E2503</f>
        <v>0</v>
      </c>
      <c r="F2502">
        <f>'raw data Crude oil'!F2503</f>
        <v>0</v>
      </c>
      <c r="G2502">
        <f>'raw data Crude oil'!G2503</f>
        <v>0</v>
      </c>
      <c r="H2502">
        <f>'raw data Crude oil'!H2503</f>
        <v>0</v>
      </c>
      <c r="I2502">
        <f>'raw data Crude oil'!I2503</f>
        <v>0</v>
      </c>
      <c r="J2502">
        <f>'raw data Crude oil'!J2503</f>
        <v>0</v>
      </c>
      <c r="K2502">
        <f>'raw data Crude oil'!K2503</f>
        <v>0</v>
      </c>
      <c r="L2502">
        <f>'raw data Crude oil'!L2503</f>
        <v>0</v>
      </c>
      <c r="M2502">
        <f>'raw data Crude oil'!M2503</f>
        <v>0</v>
      </c>
      <c r="N2502">
        <f>'raw data Crude oil'!N2503</f>
        <v>0</v>
      </c>
      <c r="O2502">
        <f>'raw data Crude oil'!O2503</f>
        <v>0</v>
      </c>
      <c r="P2502">
        <f>'raw data Crude oil'!P2503</f>
        <v>0</v>
      </c>
      <c r="Q2502">
        <f>'raw data Crude oil'!Q2503</f>
        <v>0</v>
      </c>
      <c r="R2502">
        <f>'raw data Crude oil'!R2503</f>
        <v>0</v>
      </c>
      <c r="S2502">
        <f>'raw data Crude oil'!S2503</f>
        <v>0</v>
      </c>
      <c r="T2502">
        <f>'raw data Crude oil'!T2503</f>
        <v>0</v>
      </c>
      <c r="U2502">
        <f>'raw data Crude oil'!U2503</f>
        <v>0</v>
      </c>
      <c r="V2502">
        <f>'raw data Crude oil'!V2503</f>
        <v>0</v>
      </c>
      <c r="W2502">
        <f>'raw data Crude oil'!W2503</f>
        <v>0</v>
      </c>
      <c r="X2502">
        <f>'raw data Crude oil'!X2503</f>
        <v>0</v>
      </c>
      <c r="Y2502">
        <f>'raw data Crude oil'!Y2503</f>
        <v>0</v>
      </c>
      <c r="Z2502">
        <f>'raw data Crude oil'!Z2503</f>
        <v>0</v>
      </c>
      <c r="AA2502">
        <f>'raw data Crude oil'!AA2503</f>
        <v>0</v>
      </c>
      <c r="AB2502">
        <f>'raw data Crude oil'!AB2503</f>
        <v>0</v>
      </c>
      <c r="AC2502">
        <f>'raw data Crude oil'!AC2503</f>
        <v>0</v>
      </c>
      <c r="AD2502">
        <f>'raw data Crude oil'!AD2503</f>
        <v>0</v>
      </c>
      <c r="AE2502">
        <f>'raw data Crude oil'!AE2503</f>
        <v>0</v>
      </c>
      <c r="AF2502">
        <f>'raw data Crude oil'!AF2503</f>
        <v>0</v>
      </c>
      <c r="AG2502">
        <f>'raw data Crude oil'!AG2503</f>
        <v>0</v>
      </c>
      <c r="AH2502">
        <f>'raw data Crude oil'!AH2503</f>
        <v>0</v>
      </c>
      <c r="AI2502">
        <f>'raw data Crude oil'!AI2503</f>
        <v>0</v>
      </c>
      <c r="AJ2502">
        <f>'raw data Crude oil'!AJ2503</f>
        <v>0</v>
      </c>
      <c r="AK2502">
        <f>'raw data Crude oil'!AK2503</f>
        <v>0</v>
      </c>
    </row>
    <row r="2503" spans="1:37" x14ac:dyDescent="0.3">
      <c r="A2503" s="18">
        <f>'raw data Crude oil'!A2504</f>
        <v>0</v>
      </c>
      <c r="B2503">
        <f>'raw data Crude oil'!B2504</f>
        <v>0</v>
      </c>
      <c r="C2503">
        <f>'raw data Crude oil'!C2504</f>
        <v>0</v>
      </c>
      <c r="D2503">
        <f>'raw data Crude oil'!D2504</f>
        <v>0</v>
      </c>
      <c r="E2503">
        <f>'raw data Crude oil'!E2504</f>
        <v>0</v>
      </c>
      <c r="F2503">
        <f>'raw data Crude oil'!F2504</f>
        <v>0</v>
      </c>
      <c r="G2503">
        <f>'raw data Crude oil'!G2504</f>
        <v>0</v>
      </c>
      <c r="H2503">
        <f>'raw data Crude oil'!H2504</f>
        <v>0</v>
      </c>
      <c r="I2503">
        <f>'raw data Crude oil'!I2504</f>
        <v>0</v>
      </c>
      <c r="J2503">
        <f>'raw data Crude oil'!J2504</f>
        <v>0</v>
      </c>
      <c r="K2503">
        <f>'raw data Crude oil'!K2504</f>
        <v>0</v>
      </c>
      <c r="L2503">
        <f>'raw data Crude oil'!L2504</f>
        <v>0</v>
      </c>
      <c r="M2503">
        <f>'raw data Crude oil'!M2504</f>
        <v>0</v>
      </c>
      <c r="N2503">
        <f>'raw data Crude oil'!N2504</f>
        <v>0</v>
      </c>
      <c r="O2503">
        <f>'raw data Crude oil'!O2504</f>
        <v>0</v>
      </c>
      <c r="P2503">
        <f>'raw data Crude oil'!P2504</f>
        <v>0</v>
      </c>
      <c r="Q2503">
        <f>'raw data Crude oil'!Q2504</f>
        <v>0</v>
      </c>
      <c r="R2503">
        <f>'raw data Crude oil'!R2504</f>
        <v>0</v>
      </c>
      <c r="S2503">
        <f>'raw data Crude oil'!S2504</f>
        <v>0</v>
      </c>
      <c r="T2503">
        <f>'raw data Crude oil'!T2504</f>
        <v>0</v>
      </c>
      <c r="U2503">
        <f>'raw data Crude oil'!U2504</f>
        <v>0</v>
      </c>
      <c r="V2503">
        <f>'raw data Crude oil'!V2504</f>
        <v>0</v>
      </c>
      <c r="W2503">
        <f>'raw data Crude oil'!W2504</f>
        <v>0</v>
      </c>
      <c r="X2503">
        <f>'raw data Crude oil'!X2504</f>
        <v>0</v>
      </c>
      <c r="Y2503">
        <f>'raw data Crude oil'!Y2504</f>
        <v>0</v>
      </c>
      <c r="Z2503">
        <f>'raw data Crude oil'!Z2504</f>
        <v>0</v>
      </c>
      <c r="AA2503">
        <f>'raw data Crude oil'!AA2504</f>
        <v>0</v>
      </c>
      <c r="AB2503">
        <f>'raw data Crude oil'!AB2504</f>
        <v>0</v>
      </c>
      <c r="AC2503">
        <f>'raw data Crude oil'!AC2504</f>
        <v>0</v>
      </c>
      <c r="AD2503">
        <f>'raw data Crude oil'!AD2504</f>
        <v>0</v>
      </c>
      <c r="AE2503">
        <f>'raw data Crude oil'!AE2504</f>
        <v>0</v>
      </c>
      <c r="AF2503">
        <f>'raw data Crude oil'!AF2504</f>
        <v>0</v>
      </c>
      <c r="AG2503">
        <f>'raw data Crude oil'!AG2504</f>
        <v>0</v>
      </c>
      <c r="AH2503">
        <f>'raw data Crude oil'!AH2504</f>
        <v>0</v>
      </c>
      <c r="AI2503">
        <f>'raw data Crude oil'!AI2504</f>
        <v>0</v>
      </c>
      <c r="AJ2503">
        <f>'raw data Crude oil'!AJ2504</f>
        <v>0</v>
      </c>
      <c r="AK2503">
        <f>'raw data Crude oil'!AK2504</f>
        <v>0</v>
      </c>
    </row>
    <row r="2504" spans="1:37" x14ac:dyDescent="0.3">
      <c r="A2504" s="18">
        <f>'raw data Crude oil'!A2505</f>
        <v>0</v>
      </c>
      <c r="B2504">
        <f>'raw data Crude oil'!B2505</f>
        <v>0</v>
      </c>
      <c r="C2504">
        <f>'raw data Crude oil'!C2505</f>
        <v>0</v>
      </c>
      <c r="D2504">
        <f>'raw data Crude oil'!D2505</f>
        <v>0</v>
      </c>
      <c r="E2504">
        <f>'raw data Crude oil'!E2505</f>
        <v>0</v>
      </c>
      <c r="F2504">
        <f>'raw data Crude oil'!F2505</f>
        <v>0</v>
      </c>
      <c r="G2504">
        <f>'raw data Crude oil'!G2505</f>
        <v>0</v>
      </c>
      <c r="H2504">
        <f>'raw data Crude oil'!H2505</f>
        <v>0</v>
      </c>
      <c r="I2504">
        <f>'raw data Crude oil'!I2505</f>
        <v>0</v>
      </c>
      <c r="J2504">
        <f>'raw data Crude oil'!J2505</f>
        <v>0</v>
      </c>
      <c r="K2504">
        <f>'raw data Crude oil'!K2505</f>
        <v>0</v>
      </c>
      <c r="L2504">
        <f>'raw data Crude oil'!L2505</f>
        <v>0</v>
      </c>
      <c r="M2504">
        <f>'raw data Crude oil'!M2505</f>
        <v>0</v>
      </c>
      <c r="N2504">
        <f>'raw data Crude oil'!N2505</f>
        <v>0</v>
      </c>
      <c r="O2504">
        <f>'raw data Crude oil'!O2505</f>
        <v>0</v>
      </c>
      <c r="P2504">
        <f>'raw data Crude oil'!P2505</f>
        <v>0</v>
      </c>
      <c r="Q2504">
        <f>'raw data Crude oil'!Q2505</f>
        <v>0</v>
      </c>
      <c r="R2504">
        <f>'raw data Crude oil'!R2505</f>
        <v>0</v>
      </c>
      <c r="S2504">
        <f>'raw data Crude oil'!S2505</f>
        <v>0</v>
      </c>
      <c r="T2504">
        <f>'raw data Crude oil'!T2505</f>
        <v>0</v>
      </c>
      <c r="U2504">
        <f>'raw data Crude oil'!U2505</f>
        <v>0</v>
      </c>
      <c r="V2504">
        <f>'raw data Crude oil'!V2505</f>
        <v>0</v>
      </c>
      <c r="W2504">
        <f>'raw data Crude oil'!W2505</f>
        <v>0</v>
      </c>
      <c r="X2504">
        <f>'raw data Crude oil'!X2505</f>
        <v>0</v>
      </c>
      <c r="Y2504">
        <f>'raw data Crude oil'!Y2505</f>
        <v>0</v>
      </c>
      <c r="Z2504">
        <f>'raw data Crude oil'!Z2505</f>
        <v>0</v>
      </c>
      <c r="AA2504">
        <f>'raw data Crude oil'!AA2505</f>
        <v>0</v>
      </c>
      <c r="AB2504">
        <f>'raw data Crude oil'!AB2505</f>
        <v>0</v>
      </c>
      <c r="AC2504">
        <f>'raw data Crude oil'!AC2505</f>
        <v>0</v>
      </c>
      <c r="AD2504">
        <f>'raw data Crude oil'!AD2505</f>
        <v>0</v>
      </c>
      <c r="AE2504">
        <f>'raw data Crude oil'!AE2505</f>
        <v>0</v>
      </c>
      <c r="AF2504">
        <f>'raw data Crude oil'!AF2505</f>
        <v>0</v>
      </c>
      <c r="AG2504">
        <f>'raw data Crude oil'!AG2505</f>
        <v>0</v>
      </c>
      <c r="AH2504">
        <f>'raw data Crude oil'!AH2505</f>
        <v>0</v>
      </c>
      <c r="AI2504">
        <f>'raw data Crude oil'!AI2505</f>
        <v>0</v>
      </c>
      <c r="AJ2504">
        <f>'raw data Crude oil'!AJ2505</f>
        <v>0</v>
      </c>
      <c r="AK2504">
        <f>'raw data Crude oil'!AK2505</f>
        <v>0</v>
      </c>
    </row>
    <row r="2505" spans="1:37" x14ac:dyDescent="0.3">
      <c r="A2505" s="18">
        <f>'raw data Crude oil'!A2506</f>
        <v>0</v>
      </c>
      <c r="B2505">
        <f>'raw data Crude oil'!B2506</f>
        <v>0</v>
      </c>
      <c r="C2505">
        <f>'raw data Crude oil'!C2506</f>
        <v>0</v>
      </c>
      <c r="D2505">
        <f>'raw data Crude oil'!D2506</f>
        <v>0</v>
      </c>
      <c r="E2505">
        <f>'raw data Crude oil'!E2506</f>
        <v>0</v>
      </c>
      <c r="F2505">
        <f>'raw data Crude oil'!F2506</f>
        <v>0</v>
      </c>
      <c r="G2505">
        <f>'raw data Crude oil'!G2506</f>
        <v>0</v>
      </c>
      <c r="H2505">
        <f>'raw data Crude oil'!H2506</f>
        <v>0</v>
      </c>
      <c r="I2505">
        <f>'raw data Crude oil'!I2506</f>
        <v>0</v>
      </c>
      <c r="J2505">
        <f>'raw data Crude oil'!J2506</f>
        <v>0</v>
      </c>
      <c r="K2505">
        <f>'raw data Crude oil'!K2506</f>
        <v>0</v>
      </c>
      <c r="L2505">
        <f>'raw data Crude oil'!L2506</f>
        <v>0</v>
      </c>
      <c r="M2505">
        <f>'raw data Crude oil'!M2506</f>
        <v>0</v>
      </c>
      <c r="N2505">
        <f>'raw data Crude oil'!N2506</f>
        <v>0</v>
      </c>
      <c r="O2505">
        <f>'raw data Crude oil'!O2506</f>
        <v>0</v>
      </c>
      <c r="P2505">
        <f>'raw data Crude oil'!P2506</f>
        <v>0</v>
      </c>
      <c r="Q2505">
        <f>'raw data Crude oil'!Q2506</f>
        <v>0</v>
      </c>
      <c r="R2505">
        <f>'raw data Crude oil'!R2506</f>
        <v>0</v>
      </c>
      <c r="S2505">
        <f>'raw data Crude oil'!S2506</f>
        <v>0</v>
      </c>
      <c r="T2505">
        <f>'raw data Crude oil'!T2506</f>
        <v>0</v>
      </c>
      <c r="U2505">
        <f>'raw data Crude oil'!U2506</f>
        <v>0</v>
      </c>
      <c r="V2505">
        <f>'raw data Crude oil'!V2506</f>
        <v>0</v>
      </c>
      <c r="W2505">
        <f>'raw data Crude oil'!W2506</f>
        <v>0</v>
      </c>
      <c r="X2505">
        <f>'raw data Crude oil'!X2506</f>
        <v>0</v>
      </c>
      <c r="Y2505">
        <f>'raw data Crude oil'!Y2506</f>
        <v>0</v>
      </c>
      <c r="Z2505">
        <f>'raw data Crude oil'!Z2506</f>
        <v>0</v>
      </c>
      <c r="AA2505">
        <f>'raw data Crude oil'!AA2506</f>
        <v>0</v>
      </c>
      <c r="AB2505">
        <f>'raw data Crude oil'!AB2506</f>
        <v>0</v>
      </c>
      <c r="AC2505">
        <f>'raw data Crude oil'!AC2506</f>
        <v>0</v>
      </c>
      <c r="AD2505">
        <f>'raw data Crude oil'!AD2506</f>
        <v>0</v>
      </c>
      <c r="AE2505">
        <f>'raw data Crude oil'!AE2506</f>
        <v>0</v>
      </c>
      <c r="AF2505">
        <f>'raw data Crude oil'!AF2506</f>
        <v>0</v>
      </c>
      <c r="AG2505">
        <f>'raw data Crude oil'!AG2506</f>
        <v>0</v>
      </c>
      <c r="AH2505">
        <f>'raw data Crude oil'!AH2506</f>
        <v>0</v>
      </c>
      <c r="AI2505">
        <f>'raw data Crude oil'!AI2506</f>
        <v>0</v>
      </c>
      <c r="AJ2505">
        <f>'raw data Crude oil'!AJ2506</f>
        <v>0</v>
      </c>
      <c r="AK2505">
        <f>'raw data Crude oil'!AK2506</f>
        <v>0</v>
      </c>
    </row>
    <row r="2506" spans="1:37" x14ac:dyDescent="0.3">
      <c r="A2506" s="18">
        <f>'raw data Crude oil'!A2507</f>
        <v>0</v>
      </c>
      <c r="B2506">
        <f>'raw data Crude oil'!B2507</f>
        <v>0</v>
      </c>
      <c r="C2506">
        <f>'raw data Crude oil'!C2507</f>
        <v>0</v>
      </c>
      <c r="D2506">
        <f>'raw data Crude oil'!D2507</f>
        <v>0</v>
      </c>
      <c r="E2506">
        <f>'raw data Crude oil'!E2507</f>
        <v>0</v>
      </c>
      <c r="F2506">
        <f>'raw data Crude oil'!F2507</f>
        <v>0</v>
      </c>
      <c r="G2506">
        <f>'raw data Crude oil'!G2507</f>
        <v>0</v>
      </c>
      <c r="H2506">
        <f>'raw data Crude oil'!H2507</f>
        <v>0</v>
      </c>
      <c r="I2506">
        <f>'raw data Crude oil'!I2507</f>
        <v>0</v>
      </c>
      <c r="J2506">
        <f>'raw data Crude oil'!J2507</f>
        <v>0</v>
      </c>
      <c r="K2506">
        <f>'raw data Crude oil'!K2507</f>
        <v>0</v>
      </c>
      <c r="L2506">
        <f>'raw data Crude oil'!L2507</f>
        <v>0</v>
      </c>
      <c r="M2506">
        <f>'raw data Crude oil'!M2507</f>
        <v>0</v>
      </c>
      <c r="N2506">
        <f>'raw data Crude oil'!N2507</f>
        <v>0</v>
      </c>
      <c r="O2506">
        <f>'raw data Crude oil'!O2507</f>
        <v>0</v>
      </c>
      <c r="P2506">
        <f>'raw data Crude oil'!P2507</f>
        <v>0</v>
      </c>
      <c r="Q2506">
        <f>'raw data Crude oil'!Q2507</f>
        <v>0</v>
      </c>
      <c r="R2506">
        <f>'raw data Crude oil'!R2507</f>
        <v>0</v>
      </c>
      <c r="S2506">
        <f>'raw data Crude oil'!S2507</f>
        <v>0</v>
      </c>
      <c r="T2506">
        <f>'raw data Crude oil'!T2507</f>
        <v>0</v>
      </c>
      <c r="U2506">
        <f>'raw data Crude oil'!U2507</f>
        <v>0</v>
      </c>
      <c r="V2506">
        <f>'raw data Crude oil'!V2507</f>
        <v>0</v>
      </c>
      <c r="W2506">
        <f>'raw data Crude oil'!W2507</f>
        <v>0</v>
      </c>
      <c r="X2506">
        <f>'raw data Crude oil'!X2507</f>
        <v>0</v>
      </c>
      <c r="Y2506">
        <f>'raw data Crude oil'!Y2507</f>
        <v>0</v>
      </c>
      <c r="Z2506">
        <f>'raw data Crude oil'!Z2507</f>
        <v>0</v>
      </c>
      <c r="AA2506">
        <f>'raw data Crude oil'!AA2507</f>
        <v>0</v>
      </c>
      <c r="AB2506">
        <f>'raw data Crude oil'!AB2507</f>
        <v>0</v>
      </c>
      <c r="AC2506">
        <f>'raw data Crude oil'!AC2507</f>
        <v>0</v>
      </c>
      <c r="AD2506">
        <f>'raw data Crude oil'!AD2507</f>
        <v>0</v>
      </c>
      <c r="AE2506">
        <f>'raw data Crude oil'!AE2507</f>
        <v>0</v>
      </c>
      <c r="AF2506">
        <f>'raw data Crude oil'!AF2507</f>
        <v>0</v>
      </c>
      <c r="AG2506">
        <f>'raw data Crude oil'!AG2507</f>
        <v>0</v>
      </c>
      <c r="AH2506">
        <f>'raw data Crude oil'!AH2507</f>
        <v>0</v>
      </c>
      <c r="AI2506">
        <f>'raw data Crude oil'!AI2507</f>
        <v>0</v>
      </c>
      <c r="AJ2506">
        <f>'raw data Crude oil'!AJ2507</f>
        <v>0</v>
      </c>
      <c r="AK2506">
        <f>'raw data Crude oil'!AK2507</f>
        <v>0</v>
      </c>
    </row>
    <row r="2507" spans="1:37" x14ac:dyDescent="0.3">
      <c r="A2507" s="18">
        <f>'raw data Crude oil'!A2508</f>
        <v>0</v>
      </c>
      <c r="B2507">
        <f>'raw data Crude oil'!B2508</f>
        <v>0</v>
      </c>
      <c r="C2507">
        <f>'raw data Crude oil'!C2508</f>
        <v>0</v>
      </c>
      <c r="D2507">
        <f>'raw data Crude oil'!D2508</f>
        <v>0</v>
      </c>
      <c r="E2507">
        <f>'raw data Crude oil'!E2508</f>
        <v>0</v>
      </c>
      <c r="F2507">
        <f>'raw data Crude oil'!F2508</f>
        <v>0</v>
      </c>
      <c r="G2507">
        <f>'raw data Crude oil'!G2508</f>
        <v>0</v>
      </c>
      <c r="H2507">
        <f>'raw data Crude oil'!H2508</f>
        <v>0</v>
      </c>
      <c r="I2507">
        <f>'raw data Crude oil'!I2508</f>
        <v>0</v>
      </c>
      <c r="J2507">
        <f>'raw data Crude oil'!J2508</f>
        <v>0</v>
      </c>
      <c r="K2507">
        <f>'raw data Crude oil'!K2508</f>
        <v>0</v>
      </c>
      <c r="L2507">
        <f>'raw data Crude oil'!L2508</f>
        <v>0</v>
      </c>
      <c r="M2507">
        <f>'raw data Crude oil'!M2508</f>
        <v>0</v>
      </c>
      <c r="N2507">
        <f>'raw data Crude oil'!N2508</f>
        <v>0</v>
      </c>
      <c r="O2507">
        <f>'raw data Crude oil'!O2508</f>
        <v>0</v>
      </c>
      <c r="P2507">
        <f>'raw data Crude oil'!P2508</f>
        <v>0</v>
      </c>
      <c r="Q2507">
        <f>'raw data Crude oil'!Q2508</f>
        <v>0</v>
      </c>
      <c r="R2507">
        <f>'raw data Crude oil'!R2508</f>
        <v>0</v>
      </c>
      <c r="S2507">
        <f>'raw data Crude oil'!S2508</f>
        <v>0</v>
      </c>
      <c r="T2507">
        <f>'raw data Crude oil'!T2508</f>
        <v>0</v>
      </c>
      <c r="U2507">
        <f>'raw data Crude oil'!U2508</f>
        <v>0</v>
      </c>
      <c r="V2507">
        <f>'raw data Crude oil'!V2508</f>
        <v>0</v>
      </c>
      <c r="W2507">
        <f>'raw data Crude oil'!W2508</f>
        <v>0</v>
      </c>
      <c r="X2507">
        <f>'raw data Crude oil'!X2508</f>
        <v>0</v>
      </c>
      <c r="Y2507">
        <f>'raw data Crude oil'!Y2508</f>
        <v>0</v>
      </c>
      <c r="Z2507">
        <f>'raw data Crude oil'!Z2508</f>
        <v>0</v>
      </c>
      <c r="AA2507">
        <f>'raw data Crude oil'!AA2508</f>
        <v>0</v>
      </c>
      <c r="AB2507">
        <f>'raw data Crude oil'!AB2508</f>
        <v>0</v>
      </c>
      <c r="AC2507">
        <f>'raw data Crude oil'!AC2508</f>
        <v>0</v>
      </c>
      <c r="AD2507">
        <f>'raw data Crude oil'!AD2508</f>
        <v>0</v>
      </c>
      <c r="AE2507">
        <f>'raw data Crude oil'!AE2508</f>
        <v>0</v>
      </c>
      <c r="AF2507">
        <f>'raw data Crude oil'!AF2508</f>
        <v>0</v>
      </c>
      <c r="AG2507">
        <f>'raw data Crude oil'!AG2508</f>
        <v>0</v>
      </c>
      <c r="AH2507">
        <f>'raw data Crude oil'!AH2508</f>
        <v>0</v>
      </c>
      <c r="AI2507">
        <f>'raw data Crude oil'!AI2508</f>
        <v>0</v>
      </c>
      <c r="AJ2507">
        <f>'raw data Crude oil'!AJ2508</f>
        <v>0</v>
      </c>
      <c r="AK2507">
        <f>'raw data Crude oil'!AK2508</f>
        <v>0</v>
      </c>
    </row>
    <row r="2508" spans="1:37" x14ac:dyDescent="0.3">
      <c r="A2508" s="18">
        <f>'raw data Crude oil'!A2509</f>
        <v>0</v>
      </c>
      <c r="B2508">
        <f>'raw data Crude oil'!B2509</f>
        <v>0</v>
      </c>
      <c r="C2508">
        <f>'raw data Crude oil'!C2509</f>
        <v>0</v>
      </c>
      <c r="D2508">
        <f>'raw data Crude oil'!D2509</f>
        <v>0</v>
      </c>
      <c r="E2508">
        <f>'raw data Crude oil'!E2509</f>
        <v>0</v>
      </c>
      <c r="F2508">
        <f>'raw data Crude oil'!F2509</f>
        <v>0</v>
      </c>
      <c r="G2508">
        <f>'raw data Crude oil'!G2509</f>
        <v>0</v>
      </c>
      <c r="H2508">
        <f>'raw data Crude oil'!H2509</f>
        <v>0</v>
      </c>
      <c r="I2508">
        <f>'raw data Crude oil'!I2509</f>
        <v>0</v>
      </c>
      <c r="J2508">
        <f>'raw data Crude oil'!J2509</f>
        <v>0</v>
      </c>
      <c r="K2508">
        <f>'raw data Crude oil'!K2509</f>
        <v>0</v>
      </c>
      <c r="L2508">
        <f>'raw data Crude oil'!L2509</f>
        <v>0</v>
      </c>
      <c r="M2508">
        <f>'raw data Crude oil'!M2509</f>
        <v>0</v>
      </c>
      <c r="N2508">
        <f>'raw data Crude oil'!N2509</f>
        <v>0</v>
      </c>
      <c r="O2508">
        <f>'raw data Crude oil'!O2509</f>
        <v>0</v>
      </c>
      <c r="P2508">
        <f>'raw data Crude oil'!P2509</f>
        <v>0</v>
      </c>
      <c r="Q2508">
        <f>'raw data Crude oil'!Q2509</f>
        <v>0</v>
      </c>
      <c r="R2508">
        <f>'raw data Crude oil'!R2509</f>
        <v>0</v>
      </c>
      <c r="S2508">
        <f>'raw data Crude oil'!S2509</f>
        <v>0</v>
      </c>
      <c r="T2508">
        <f>'raw data Crude oil'!T2509</f>
        <v>0</v>
      </c>
      <c r="U2508">
        <f>'raw data Crude oil'!U2509</f>
        <v>0</v>
      </c>
      <c r="V2508">
        <f>'raw data Crude oil'!V2509</f>
        <v>0</v>
      </c>
      <c r="W2508">
        <f>'raw data Crude oil'!W2509</f>
        <v>0</v>
      </c>
      <c r="X2508">
        <f>'raw data Crude oil'!X2509</f>
        <v>0</v>
      </c>
      <c r="Y2508">
        <f>'raw data Crude oil'!Y2509</f>
        <v>0</v>
      </c>
      <c r="Z2508">
        <f>'raw data Crude oil'!Z2509</f>
        <v>0</v>
      </c>
      <c r="AA2508">
        <f>'raw data Crude oil'!AA2509</f>
        <v>0</v>
      </c>
      <c r="AB2508">
        <f>'raw data Crude oil'!AB2509</f>
        <v>0</v>
      </c>
      <c r="AC2508">
        <f>'raw data Crude oil'!AC2509</f>
        <v>0</v>
      </c>
      <c r="AD2508">
        <f>'raw data Crude oil'!AD2509</f>
        <v>0</v>
      </c>
      <c r="AE2508">
        <f>'raw data Crude oil'!AE2509</f>
        <v>0</v>
      </c>
      <c r="AF2508">
        <f>'raw data Crude oil'!AF2509</f>
        <v>0</v>
      </c>
      <c r="AG2508">
        <f>'raw data Crude oil'!AG2509</f>
        <v>0</v>
      </c>
      <c r="AH2508">
        <f>'raw data Crude oil'!AH2509</f>
        <v>0</v>
      </c>
      <c r="AI2508">
        <f>'raw data Crude oil'!AI2509</f>
        <v>0</v>
      </c>
      <c r="AJ2508">
        <f>'raw data Crude oil'!AJ2509</f>
        <v>0</v>
      </c>
      <c r="AK2508">
        <f>'raw data Crude oil'!AK2509</f>
        <v>0</v>
      </c>
    </row>
    <row r="2509" spans="1:37" x14ac:dyDescent="0.3">
      <c r="A2509" s="18">
        <f>'raw data Crude oil'!A2510</f>
        <v>0</v>
      </c>
      <c r="B2509">
        <f>'raw data Crude oil'!B2510</f>
        <v>0</v>
      </c>
      <c r="C2509">
        <f>'raw data Crude oil'!C2510</f>
        <v>0</v>
      </c>
      <c r="D2509">
        <f>'raw data Crude oil'!D2510</f>
        <v>0</v>
      </c>
      <c r="E2509">
        <f>'raw data Crude oil'!E2510</f>
        <v>0</v>
      </c>
      <c r="F2509">
        <f>'raw data Crude oil'!F2510</f>
        <v>0</v>
      </c>
      <c r="G2509">
        <f>'raw data Crude oil'!G2510</f>
        <v>0</v>
      </c>
      <c r="H2509">
        <f>'raw data Crude oil'!H2510</f>
        <v>0</v>
      </c>
      <c r="I2509">
        <f>'raw data Crude oil'!I2510</f>
        <v>0</v>
      </c>
      <c r="J2509">
        <f>'raw data Crude oil'!J2510</f>
        <v>0</v>
      </c>
      <c r="K2509">
        <f>'raw data Crude oil'!K2510</f>
        <v>0</v>
      </c>
      <c r="L2509">
        <f>'raw data Crude oil'!L2510</f>
        <v>0</v>
      </c>
      <c r="M2509">
        <f>'raw data Crude oil'!M2510</f>
        <v>0</v>
      </c>
      <c r="N2509">
        <f>'raw data Crude oil'!N2510</f>
        <v>0</v>
      </c>
      <c r="O2509">
        <f>'raw data Crude oil'!O2510</f>
        <v>0</v>
      </c>
      <c r="P2509">
        <f>'raw data Crude oil'!P2510</f>
        <v>0</v>
      </c>
      <c r="Q2509">
        <f>'raw data Crude oil'!Q2510</f>
        <v>0</v>
      </c>
      <c r="R2509">
        <f>'raw data Crude oil'!R2510</f>
        <v>0</v>
      </c>
      <c r="S2509">
        <f>'raw data Crude oil'!S2510</f>
        <v>0</v>
      </c>
      <c r="T2509">
        <f>'raw data Crude oil'!T2510</f>
        <v>0</v>
      </c>
      <c r="U2509">
        <f>'raw data Crude oil'!U2510</f>
        <v>0</v>
      </c>
      <c r="V2509">
        <f>'raw data Crude oil'!V2510</f>
        <v>0</v>
      </c>
      <c r="W2509">
        <f>'raw data Crude oil'!W2510</f>
        <v>0</v>
      </c>
      <c r="X2509">
        <f>'raw data Crude oil'!X2510</f>
        <v>0</v>
      </c>
      <c r="Y2509">
        <f>'raw data Crude oil'!Y2510</f>
        <v>0</v>
      </c>
      <c r="Z2509">
        <f>'raw data Crude oil'!Z2510</f>
        <v>0</v>
      </c>
      <c r="AA2509">
        <f>'raw data Crude oil'!AA2510</f>
        <v>0</v>
      </c>
      <c r="AB2509">
        <f>'raw data Crude oil'!AB2510</f>
        <v>0</v>
      </c>
      <c r="AC2509">
        <f>'raw data Crude oil'!AC2510</f>
        <v>0</v>
      </c>
      <c r="AD2509">
        <f>'raw data Crude oil'!AD2510</f>
        <v>0</v>
      </c>
      <c r="AE2509">
        <f>'raw data Crude oil'!AE2510</f>
        <v>0</v>
      </c>
      <c r="AF2509">
        <f>'raw data Crude oil'!AF2510</f>
        <v>0</v>
      </c>
      <c r="AG2509">
        <f>'raw data Crude oil'!AG2510</f>
        <v>0</v>
      </c>
      <c r="AH2509">
        <f>'raw data Crude oil'!AH2510</f>
        <v>0</v>
      </c>
      <c r="AI2509">
        <f>'raw data Crude oil'!AI2510</f>
        <v>0</v>
      </c>
      <c r="AJ2509">
        <f>'raw data Crude oil'!AJ2510</f>
        <v>0</v>
      </c>
      <c r="AK2509">
        <f>'raw data Crude oil'!AK2510</f>
        <v>0</v>
      </c>
    </row>
    <row r="2510" spans="1:37" x14ac:dyDescent="0.3">
      <c r="A2510" s="18">
        <f>'raw data Crude oil'!A2511</f>
        <v>0</v>
      </c>
      <c r="B2510">
        <f>'raw data Crude oil'!B2511</f>
        <v>0</v>
      </c>
      <c r="C2510">
        <f>'raw data Crude oil'!C2511</f>
        <v>0</v>
      </c>
      <c r="D2510">
        <f>'raw data Crude oil'!D2511</f>
        <v>0</v>
      </c>
      <c r="E2510">
        <f>'raw data Crude oil'!E2511</f>
        <v>0</v>
      </c>
      <c r="F2510">
        <f>'raw data Crude oil'!F2511</f>
        <v>0</v>
      </c>
      <c r="G2510">
        <f>'raw data Crude oil'!G2511</f>
        <v>0</v>
      </c>
      <c r="H2510">
        <f>'raw data Crude oil'!H2511</f>
        <v>0</v>
      </c>
      <c r="I2510">
        <f>'raw data Crude oil'!I2511</f>
        <v>0</v>
      </c>
      <c r="J2510">
        <f>'raw data Crude oil'!J2511</f>
        <v>0</v>
      </c>
      <c r="K2510">
        <f>'raw data Crude oil'!K2511</f>
        <v>0</v>
      </c>
      <c r="L2510">
        <f>'raw data Crude oil'!L2511</f>
        <v>0</v>
      </c>
      <c r="M2510">
        <f>'raw data Crude oil'!M2511</f>
        <v>0</v>
      </c>
      <c r="N2510">
        <f>'raw data Crude oil'!N2511</f>
        <v>0</v>
      </c>
      <c r="O2510">
        <f>'raw data Crude oil'!O2511</f>
        <v>0</v>
      </c>
      <c r="P2510">
        <f>'raw data Crude oil'!P2511</f>
        <v>0</v>
      </c>
      <c r="Q2510">
        <f>'raw data Crude oil'!Q2511</f>
        <v>0</v>
      </c>
      <c r="R2510">
        <f>'raw data Crude oil'!R2511</f>
        <v>0</v>
      </c>
      <c r="S2510">
        <f>'raw data Crude oil'!S2511</f>
        <v>0</v>
      </c>
      <c r="T2510">
        <f>'raw data Crude oil'!T2511</f>
        <v>0</v>
      </c>
      <c r="U2510">
        <f>'raw data Crude oil'!U2511</f>
        <v>0</v>
      </c>
      <c r="V2510">
        <f>'raw data Crude oil'!V2511</f>
        <v>0</v>
      </c>
      <c r="W2510">
        <f>'raw data Crude oil'!W2511</f>
        <v>0</v>
      </c>
      <c r="X2510">
        <f>'raw data Crude oil'!X2511</f>
        <v>0</v>
      </c>
      <c r="Y2510">
        <f>'raw data Crude oil'!Y2511</f>
        <v>0</v>
      </c>
      <c r="Z2510">
        <f>'raw data Crude oil'!Z2511</f>
        <v>0</v>
      </c>
      <c r="AA2510">
        <f>'raw data Crude oil'!AA2511</f>
        <v>0</v>
      </c>
      <c r="AB2510">
        <f>'raw data Crude oil'!AB2511</f>
        <v>0</v>
      </c>
      <c r="AC2510">
        <f>'raw data Crude oil'!AC2511</f>
        <v>0</v>
      </c>
      <c r="AD2510">
        <f>'raw data Crude oil'!AD2511</f>
        <v>0</v>
      </c>
      <c r="AE2510">
        <f>'raw data Crude oil'!AE2511</f>
        <v>0</v>
      </c>
      <c r="AF2510">
        <f>'raw data Crude oil'!AF2511</f>
        <v>0</v>
      </c>
      <c r="AG2510">
        <f>'raw data Crude oil'!AG2511</f>
        <v>0</v>
      </c>
      <c r="AH2510">
        <f>'raw data Crude oil'!AH2511</f>
        <v>0</v>
      </c>
      <c r="AI2510">
        <f>'raw data Crude oil'!AI2511</f>
        <v>0</v>
      </c>
      <c r="AJ2510">
        <f>'raw data Crude oil'!AJ2511</f>
        <v>0</v>
      </c>
      <c r="AK2510">
        <f>'raw data Crude oil'!AK2511</f>
        <v>0</v>
      </c>
    </row>
    <row r="2511" spans="1:37" x14ac:dyDescent="0.3">
      <c r="A2511" s="18">
        <f>'raw data Crude oil'!A2512</f>
        <v>0</v>
      </c>
      <c r="B2511">
        <f>'raw data Crude oil'!B2512</f>
        <v>0</v>
      </c>
      <c r="C2511">
        <f>'raw data Crude oil'!C2512</f>
        <v>0</v>
      </c>
      <c r="D2511">
        <f>'raw data Crude oil'!D2512</f>
        <v>0</v>
      </c>
      <c r="E2511">
        <f>'raw data Crude oil'!E2512</f>
        <v>0</v>
      </c>
      <c r="F2511">
        <f>'raw data Crude oil'!F2512</f>
        <v>0</v>
      </c>
      <c r="G2511">
        <f>'raw data Crude oil'!G2512</f>
        <v>0</v>
      </c>
      <c r="H2511">
        <f>'raw data Crude oil'!H2512</f>
        <v>0</v>
      </c>
      <c r="I2511">
        <f>'raw data Crude oil'!I2512</f>
        <v>0</v>
      </c>
      <c r="J2511">
        <f>'raw data Crude oil'!J2512</f>
        <v>0</v>
      </c>
      <c r="K2511">
        <f>'raw data Crude oil'!K2512</f>
        <v>0</v>
      </c>
      <c r="L2511">
        <f>'raw data Crude oil'!L2512</f>
        <v>0</v>
      </c>
      <c r="M2511">
        <f>'raw data Crude oil'!M2512</f>
        <v>0</v>
      </c>
      <c r="N2511">
        <f>'raw data Crude oil'!N2512</f>
        <v>0</v>
      </c>
      <c r="O2511">
        <f>'raw data Crude oil'!O2512</f>
        <v>0</v>
      </c>
      <c r="P2511">
        <f>'raw data Crude oil'!P2512</f>
        <v>0</v>
      </c>
      <c r="Q2511">
        <f>'raw data Crude oil'!Q2512</f>
        <v>0</v>
      </c>
      <c r="R2511">
        <f>'raw data Crude oil'!R2512</f>
        <v>0</v>
      </c>
      <c r="S2511">
        <f>'raw data Crude oil'!S2512</f>
        <v>0</v>
      </c>
      <c r="T2511">
        <f>'raw data Crude oil'!T2512</f>
        <v>0</v>
      </c>
      <c r="U2511">
        <f>'raw data Crude oil'!U2512</f>
        <v>0</v>
      </c>
      <c r="V2511">
        <f>'raw data Crude oil'!V2512</f>
        <v>0</v>
      </c>
      <c r="W2511">
        <f>'raw data Crude oil'!W2512</f>
        <v>0</v>
      </c>
      <c r="X2511">
        <f>'raw data Crude oil'!X2512</f>
        <v>0</v>
      </c>
      <c r="Y2511">
        <f>'raw data Crude oil'!Y2512</f>
        <v>0</v>
      </c>
      <c r="Z2511">
        <f>'raw data Crude oil'!Z2512</f>
        <v>0</v>
      </c>
      <c r="AA2511">
        <f>'raw data Crude oil'!AA2512</f>
        <v>0</v>
      </c>
      <c r="AB2511">
        <f>'raw data Crude oil'!AB2512</f>
        <v>0</v>
      </c>
      <c r="AC2511">
        <f>'raw data Crude oil'!AC2512</f>
        <v>0</v>
      </c>
      <c r="AD2511">
        <f>'raw data Crude oil'!AD2512</f>
        <v>0</v>
      </c>
      <c r="AE2511">
        <f>'raw data Crude oil'!AE2512</f>
        <v>0</v>
      </c>
      <c r="AF2511">
        <f>'raw data Crude oil'!AF2512</f>
        <v>0</v>
      </c>
      <c r="AG2511">
        <f>'raw data Crude oil'!AG2512</f>
        <v>0</v>
      </c>
      <c r="AH2511">
        <f>'raw data Crude oil'!AH2512</f>
        <v>0</v>
      </c>
      <c r="AI2511">
        <f>'raw data Crude oil'!AI2512</f>
        <v>0</v>
      </c>
      <c r="AJ2511">
        <f>'raw data Crude oil'!AJ2512</f>
        <v>0</v>
      </c>
      <c r="AK2511">
        <f>'raw data Crude oil'!AK2512</f>
        <v>0</v>
      </c>
    </row>
    <row r="2512" spans="1:37" x14ac:dyDescent="0.3">
      <c r="A2512" s="18">
        <f>'raw data Crude oil'!A2513</f>
        <v>0</v>
      </c>
      <c r="B2512">
        <f>'raw data Crude oil'!B2513</f>
        <v>0</v>
      </c>
      <c r="C2512">
        <f>'raw data Crude oil'!C2513</f>
        <v>0</v>
      </c>
      <c r="D2512">
        <f>'raw data Crude oil'!D2513</f>
        <v>0</v>
      </c>
      <c r="E2512">
        <f>'raw data Crude oil'!E2513</f>
        <v>0</v>
      </c>
      <c r="F2512">
        <f>'raw data Crude oil'!F2513</f>
        <v>0</v>
      </c>
      <c r="G2512">
        <f>'raw data Crude oil'!G2513</f>
        <v>0</v>
      </c>
      <c r="H2512">
        <f>'raw data Crude oil'!H2513</f>
        <v>0</v>
      </c>
      <c r="I2512">
        <f>'raw data Crude oil'!I2513</f>
        <v>0</v>
      </c>
      <c r="J2512">
        <f>'raw data Crude oil'!J2513</f>
        <v>0</v>
      </c>
      <c r="K2512">
        <f>'raw data Crude oil'!K2513</f>
        <v>0</v>
      </c>
      <c r="L2512">
        <f>'raw data Crude oil'!L2513</f>
        <v>0</v>
      </c>
      <c r="M2512">
        <f>'raw data Crude oil'!M2513</f>
        <v>0</v>
      </c>
      <c r="N2512">
        <f>'raw data Crude oil'!N2513</f>
        <v>0</v>
      </c>
      <c r="O2512">
        <f>'raw data Crude oil'!O2513</f>
        <v>0</v>
      </c>
      <c r="P2512">
        <f>'raw data Crude oil'!P2513</f>
        <v>0</v>
      </c>
      <c r="Q2512">
        <f>'raw data Crude oil'!Q2513</f>
        <v>0</v>
      </c>
      <c r="R2512">
        <f>'raw data Crude oil'!R2513</f>
        <v>0</v>
      </c>
      <c r="S2512">
        <f>'raw data Crude oil'!S2513</f>
        <v>0</v>
      </c>
      <c r="T2512">
        <f>'raw data Crude oil'!T2513</f>
        <v>0</v>
      </c>
      <c r="U2512">
        <f>'raw data Crude oil'!U2513</f>
        <v>0</v>
      </c>
      <c r="V2512">
        <f>'raw data Crude oil'!V2513</f>
        <v>0</v>
      </c>
      <c r="W2512">
        <f>'raw data Crude oil'!W2513</f>
        <v>0</v>
      </c>
      <c r="X2512">
        <f>'raw data Crude oil'!X2513</f>
        <v>0</v>
      </c>
      <c r="Y2512">
        <f>'raw data Crude oil'!Y2513</f>
        <v>0</v>
      </c>
      <c r="Z2512">
        <f>'raw data Crude oil'!Z2513</f>
        <v>0</v>
      </c>
      <c r="AA2512">
        <f>'raw data Crude oil'!AA2513</f>
        <v>0</v>
      </c>
      <c r="AB2512">
        <f>'raw data Crude oil'!AB2513</f>
        <v>0</v>
      </c>
      <c r="AC2512">
        <f>'raw data Crude oil'!AC2513</f>
        <v>0</v>
      </c>
      <c r="AD2512">
        <f>'raw data Crude oil'!AD2513</f>
        <v>0</v>
      </c>
      <c r="AE2512">
        <f>'raw data Crude oil'!AE2513</f>
        <v>0</v>
      </c>
      <c r="AF2512">
        <f>'raw data Crude oil'!AF2513</f>
        <v>0</v>
      </c>
      <c r="AG2512">
        <f>'raw data Crude oil'!AG2513</f>
        <v>0</v>
      </c>
      <c r="AH2512">
        <f>'raw data Crude oil'!AH2513</f>
        <v>0</v>
      </c>
      <c r="AI2512">
        <f>'raw data Crude oil'!AI2513</f>
        <v>0</v>
      </c>
      <c r="AJ2512">
        <f>'raw data Crude oil'!AJ2513</f>
        <v>0</v>
      </c>
      <c r="AK2512">
        <f>'raw data Crude oil'!AK2513</f>
        <v>0</v>
      </c>
    </row>
    <row r="2513" spans="1:37" x14ac:dyDescent="0.3">
      <c r="A2513" s="18">
        <f>'raw data Crude oil'!A2514</f>
        <v>0</v>
      </c>
      <c r="B2513">
        <f>'raw data Crude oil'!B2514</f>
        <v>0</v>
      </c>
      <c r="C2513">
        <f>'raw data Crude oil'!C2514</f>
        <v>0</v>
      </c>
      <c r="D2513">
        <f>'raw data Crude oil'!D2514</f>
        <v>0</v>
      </c>
      <c r="E2513">
        <f>'raw data Crude oil'!E2514</f>
        <v>0</v>
      </c>
      <c r="F2513">
        <f>'raw data Crude oil'!F2514</f>
        <v>0</v>
      </c>
      <c r="G2513">
        <f>'raw data Crude oil'!G2514</f>
        <v>0</v>
      </c>
      <c r="H2513">
        <f>'raw data Crude oil'!H2514</f>
        <v>0</v>
      </c>
      <c r="I2513">
        <f>'raw data Crude oil'!I2514</f>
        <v>0</v>
      </c>
      <c r="J2513">
        <f>'raw data Crude oil'!J2514</f>
        <v>0</v>
      </c>
      <c r="K2513">
        <f>'raw data Crude oil'!K2514</f>
        <v>0</v>
      </c>
      <c r="L2513">
        <f>'raw data Crude oil'!L2514</f>
        <v>0</v>
      </c>
      <c r="M2513">
        <f>'raw data Crude oil'!M2514</f>
        <v>0</v>
      </c>
      <c r="N2513">
        <f>'raw data Crude oil'!N2514</f>
        <v>0</v>
      </c>
      <c r="O2513">
        <f>'raw data Crude oil'!O2514</f>
        <v>0</v>
      </c>
      <c r="P2513">
        <f>'raw data Crude oil'!P2514</f>
        <v>0</v>
      </c>
      <c r="Q2513">
        <f>'raw data Crude oil'!Q2514</f>
        <v>0</v>
      </c>
      <c r="R2513">
        <f>'raw data Crude oil'!R2514</f>
        <v>0</v>
      </c>
      <c r="S2513">
        <f>'raw data Crude oil'!S2514</f>
        <v>0</v>
      </c>
      <c r="T2513">
        <f>'raw data Crude oil'!T2514</f>
        <v>0</v>
      </c>
      <c r="U2513">
        <f>'raw data Crude oil'!U2514</f>
        <v>0</v>
      </c>
      <c r="V2513">
        <f>'raw data Crude oil'!V2514</f>
        <v>0</v>
      </c>
      <c r="W2513">
        <f>'raw data Crude oil'!W2514</f>
        <v>0</v>
      </c>
      <c r="X2513">
        <f>'raw data Crude oil'!X2514</f>
        <v>0</v>
      </c>
      <c r="Y2513">
        <f>'raw data Crude oil'!Y2514</f>
        <v>0</v>
      </c>
      <c r="Z2513">
        <f>'raw data Crude oil'!Z2514</f>
        <v>0</v>
      </c>
      <c r="AA2513">
        <f>'raw data Crude oil'!AA2514</f>
        <v>0</v>
      </c>
      <c r="AB2513">
        <f>'raw data Crude oil'!AB2514</f>
        <v>0</v>
      </c>
      <c r="AC2513">
        <f>'raw data Crude oil'!AC2514</f>
        <v>0</v>
      </c>
      <c r="AD2513">
        <f>'raw data Crude oil'!AD2514</f>
        <v>0</v>
      </c>
      <c r="AE2513">
        <f>'raw data Crude oil'!AE2514</f>
        <v>0</v>
      </c>
      <c r="AF2513">
        <f>'raw data Crude oil'!AF2514</f>
        <v>0</v>
      </c>
      <c r="AG2513">
        <f>'raw data Crude oil'!AG2514</f>
        <v>0</v>
      </c>
      <c r="AH2513">
        <f>'raw data Crude oil'!AH2514</f>
        <v>0</v>
      </c>
      <c r="AI2513">
        <f>'raw data Crude oil'!AI2514</f>
        <v>0</v>
      </c>
      <c r="AJ2513">
        <f>'raw data Crude oil'!AJ2514</f>
        <v>0</v>
      </c>
      <c r="AK2513">
        <f>'raw data Crude oil'!AK2514</f>
        <v>0</v>
      </c>
    </row>
    <row r="2514" spans="1:37" x14ac:dyDescent="0.3">
      <c r="A2514" s="18">
        <f>'raw data Crude oil'!A2515</f>
        <v>0</v>
      </c>
      <c r="B2514">
        <f>'raw data Crude oil'!B2515</f>
        <v>0</v>
      </c>
      <c r="C2514">
        <f>'raw data Crude oil'!C2515</f>
        <v>0</v>
      </c>
      <c r="D2514">
        <f>'raw data Crude oil'!D2515</f>
        <v>0</v>
      </c>
      <c r="E2514">
        <f>'raw data Crude oil'!E2515</f>
        <v>0</v>
      </c>
      <c r="F2514">
        <f>'raw data Crude oil'!F2515</f>
        <v>0</v>
      </c>
      <c r="G2514">
        <f>'raw data Crude oil'!G2515</f>
        <v>0</v>
      </c>
      <c r="H2514">
        <f>'raw data Crude oil'!H2515</f>
        <v>0</v>
      </c>
      <c r="I2514">
        <f>'raw data Crude oil'!I2515</f>
        <v>0</v>
      </c>
      <c r="J2514">
        <f>'raw data Crude oil'!J2515</f>
        <v>0</v>
      </c>
      <c r="K2514">
        <f>'raw data Crude oil'!K2515</f>
        <v>0</v>
      </c>
      <c r="L2514">
        <f>'raw data Crude oil'!L2515</f>
        <v>0</v>
      </c>
      <c r="M2514">
        <f>'raw data Crude oil'!M2515</f>
        <v>0</v>
      </c>
      <c r="N2514">
        <f>'raw data Crude oil'!N2515</f>
        <v>0</v>
      </c>
      <c r="O2514">
        <f>'raw data Crude oil'!O2515</f>
        <v>0</v>
      </c>
      <c r="P2514">
        <f>'raw data Crude oil'!P2515</f>
        <v>0</v>
      </c>
      <c r="Q2514">
        <f>'raw data Crude oil'!Q2515</f>
        <v>0</v>
      </c>
      <c r="R2514">
        <f>'raw data Crude oil'!R2515</f>
        <v>0</v>
      </c>
      <c r="S2514">
        <f>'raw data Crude oil'!S2515</f>
        <v>0</v>
      </c>
      <c r="T2514">
        <f>'raw data Crude oil'!T2515</f>
        <v>0</v>
      </c>
      <c r="U2514">
        <f>'raw data Crude oil'!U2515</f>
        <v>0</v>
      </c>
      <c r="V2514">
        <f>'raw data Crude oil'!V2515</f>
        <v>0</v>
      </c>
      <c r="W2514">
        <f>'raw data Crude oil'!W2515</f>
        <v>0</v>
      </c>
      <c r="X2514">
        <f>'raw data Crude oil'!X2515</f>
        <v>0</v>
      </c>
      <c r="Y2514">
        <f>'raw data Crude oil'!Y2515</f>
        <v>0</v>
      </c>
      <c r="Z2514">
        <f>'raw data Crude oil'!Z2515</f>
        <v>0</v>
      </c>
      <c r="AA2514">
        <f>'raw data Crude oil'!AA2515</f>
        <v>0</v>
      </c>
      <c r="AB2514">
        <f>'raw data Crude oil'!AB2515</f>
        <v>0</v>
      </c>
      <c r="AC2514">
        <f>'raw data Crude oil'!AC2515</f>
        <v>0</v>
      </c>
      <c r="AD2514">
        <f>'raw data Crude oil'!AD2515</f>
        <v>0</v>
      </c>
      <c r="AE2514">
        <f>'raw data Crude oil'!AE2515</f>
        <v>0</v>
      </c>
      <c r="AF2514">
        <f>'raw data Crude oil'!AF2515</f>
        <v>0</v>
      </c>
      <c r="AG2514">
        <f>'raw data Crude oil'!AG2515</f>
        <v>0</v>
      </c>
      <c r="AH2514">
        <f>'raw data Crude oil'!AH2515</f>
        <v>0</v>
      </c>
      <c r="AI2514">
        <f>'raw data Crude oil'!AI2515</f>
        <v>0</v>
      </c>
      <c r="AJ2514">
        <f>'raw data Crude oil'!AJ2515</f>
        <v>0</v>
      </c>
      <c r="AK2514">
        <f>'raw data Crude oil'!AK2515</f>
        <v>0</v>
      </c>
    </row>
    <row r="2515" spans="1:37" x14ac:dyDescent="0.3">
      <c r="A2515" s="18">
        <f>'raw data Crude oil'!A2516</f>
        <v>0</v>
      </c>
      <c r="B2515">
        <f>'raw data Crude oil'!B2516</f>
        <v>0</v>
      </c>
      <c r="C2515">
        <f>'raw data Crude oil'!C2516</f>
        <v>0</v>
      </c>
      <c r="D2515">
        <f>'raw data Crude oil'!D2516</f>
        <v>0</v>
      </c>
      <c r="E2515">
        <f>'raw data Crude oil'!E2516</f>
        <v>0</v>
      </c>
      <c r="F2515">
        <f>'raw data Crude oil'!F2516</f>
        <v>0</v>
      </c>
      <c r="G2515">
        <f>'raw data Crude oil'!G2516</f>
        <v>0</v>
      </c>
      <c r="H2515">
        <f>'raw data Crude oil'!H2516</f>
        <v>0</v>
      </c>
      <c r="I2515">
        <f>'raw data Crude oil'!I2516</f>
        <v>0</v>
      </c>
      <c r="J2515">
        <f>'raw data Crude oil'!J2516</f>
        <v>0</v>
      </c>
      <c r="K2515">
        <f>'raw data Crude oil'!K2516</f>
        <v>0</v>
      </c>
      <c r="L2515">
        <f>'raw data Crude oil'!L2516</f>
        <v>0</v>
      </c>
      <c r="M2515">
        <f>'raw data Crude oil'!M2516</f>
        <v>0</v>
      </c>
      <c r="N2515">
        <f>'raw data Crude oil'!N2516</f>
        <v>0</v>
      </c>
      <c r="O2515">
        <f>'raw data Crude oil'!O2516</f>
        <v>0</v>
      </c>
      <c r="P2515">
        <f>'raw data Crude oil'!P2516</f>
        <v>0</v>
      </c>
      <c r="Q2515">
        <f>'raw data Crude oil'!Q2516</f>
        <v>0</v>
      </c>
      <c r="R2515">
        <f>'raw data Crude oil'!R2516</f>
        <v>0</v>
      </c>
      <c r="S2515">
        <f>'raw data Crude oil'!S2516</f>
        <v>0</v>
      </c>
      <c r="T2515">
        <f>'raw data Crude oil'!T2516</f>
        <v>0</v>
      </c>
      <c r="U2515">
        <f>'raw data Crude oil'!U2516</f>
        <v>0</v>
      </c>
      <c r="V2515">
        <f>'raw data Crude oil'!V2516</f>
        <v>0</v>
      </c>
      <c r="W2515">
        <f>'raw data Crude oil'!W2516</f>
        <v>0</v>
      </c>
      <c r="X2515">
        <f>'raw data Crude oil'!X2516</f>
        <v>0</v>
      </c>
      <c r="Y2515">
        <f>'raw data Crude oil'!Y2516</f>
        <v>0</v>
      </c>
      <c r="Z2515">
        <f>'raw data Crude oil'!Z2516</f>
        <v>0</v>
      </c>
      <c r="AA2515">
        <f>'raw data Crude oil'!AA2516</f>
        <v>0</v>
      </c>
      <c r="AB2515">
        <f>'raw data Crude oil'!AB2516</f>
        <v>0</v>
      </c>
      <c r="AC2515">
        <f>'raw data Crude oil'!AC2516</f>
        <v>0</v>
      </c>
      <c r="AD2515">
        <f>'raw data Crude oil'!AD2516</f>
        <v>0</v>
      </c>
      <c r="AE2515">
        <f>'raw data Crude oil'!AE2516</f>
        <v>0</v>
      </c>
      <c r="AF2515">
        <f>'raw data Crude oil'!AF2516</f>
        <v>0</v>
      </c>
      <c r="AG2515">
        <f>'raw data Crude oil'!AG2516</f>
        <v>0</v>
      </c>
      <c r="AH2515">
        <f>'raw data Crude oil'!AH2516</f>
        <v>0</v>
      </c>
      <c r="AI2515">
        <f>'raw data Crude oil'!AI2516</f>
        <v>0</v>
      </c>
      <c r="AJ2515">
        <f>'raw data Crude oil'!AJ2516</f>
        <v>0</v>
      </c>
      <c r="AK2515">
        <f>'raw data Crude oil'!AK2516</f>
        <v>0</v>
      </c>
    </row>
    <row r="2516" spans="1:37" x14ac:dyDescent="0.3">
      <c r="A2516" s="18">
        <f>'raw data Crude oil'!A2517</f>
        <v>0</v>
      </c>
      <c r="B2516">
        <f>'raw data Crude oil'!B2517</f>
        <v>0</v>
      </c>
      <c r="C2516">
        <f>'raw data Crude oil'!C2517</f>
        <v>0</v>
      </c>
      <c r="D2516">
        <f>'raw data Crude oil'!D2517</f>
        <v>0</v>
      </c>
      <c r="E2516">
        <f>'raw data Crude oil'!E2517</f>
        <v>0</v>
      </c>
      <c r="F2516">
        <f>'raw data Crude oil'!F2517</f>
        <v>0</v>
      </c>
      <c r="G2516">
        <f>'raw data Crude oil'!G2517</f>
        <v>0</v>
      </c>
      <c r="H2516">
        <f>'raw data Crude oil'!H2517</f>
        <v>0</v>
      </c>
      <c r="I2516">
        <f>'raw data Crude oil'!I2517</f>
        <v>0</v>
      </c>
      <c r="J2516">
        <f>'raw data Crude oil'!J2517</f>
        <v>0</v>
      </c>
      <c r="K2516">
        <f>'raw data Crude oil'!K2517</f>
        <v>0</v>
      </c>
      <c r="L2516">
        <f>'raw data Crude oil'!L2517</f>
        <v>0</v>
      </c>
      <c r="M2516">
        <f>'raw data Crude oil'!M2517</f>
        <v>0</v>
      </c>
      <c r="N2516">
        <f>'raw data Crude oil'!N2517</f>
        <v>0</v>
      </c>
      <c r="O2516">
        <f>'raw data Crude oil'!O2517</f>
        <v>0</v>
      </c>
      <c r="P2516">
        <f>'raw data Crude oil'!P2517</f>
        <v>0</v>
      </c>
      <c r="Q2516">
        <f>'raw data Crude oil'!Q2517</f>
        <v>0</v>
      </c>
      <c r="R2516">
        <f>'raw data Crude oil'!R2517</f>
        <v>0</v>
      </c>
      <c r="S2516">
        <f>'raw data Crude oil'!S2517</f>
        <v>0</v>
      </c>
      <c r="T2516">
        <f>'raw data Crude oil'!T2517</f>
        <v>0</v>
      </c>
      <c r="U2516">
        <f>'raw data Crude oil'!U2517</f>
        <v>0</v>
      </c>
      <c r="V2516">
        <f>'raw data Crude oil'!V2517</f>
        <v>0</v>
      </c>
      <c r="W2516">
        <f>'raw data Crude oil'!W2517</f>
        <v>0</v>
      </c>
      <c r="X2516">
        <f>'raw data Crude oil'!X2517</f>
        <v>0</v>
      </c>
      <c r="Y2516">
        <f>'raw data Crude oil'!Y2517</f>
        <v>0</v>
      </c>
      <c r="Z2516">
        <f>'raw data Crude oil'!Z2517</f>
        <v>0</v>
      </c>
      <c r="AA2516">
        <f>'raw data Crude oil'!AA2517</f>
        <v>0</v>
      </c>
      <c r="AB2516">
        <f>'raw data Crude oil'!AB2517</f>
        <v>0</v>
      </c>
      <c r="AC2516">
        <f>'raw data Crude oil'!AC2517</f>
        <v>0</v>
      </c>
      <c r="AD2516">
        <f>'raw data Crude oil'!AD2517</f>
        <v>0</v>
      </c>
      <c r="AE2516">
        <f>'raw data Crude oil'!AE2517</f>
        <v>0</v>
      </c>
      <c r="AF2516">
        <f>'raw data Crude oil'!AF2517</f>
        <v>0</v>
      </c>
      <c r="AG2516">
        <f>'raw data Crude oil'!AG2517</f>
        <v>0</v>
      </c>
      <c r="AH2516">
        <f>'raw data Crude oil'!AH2517</f>
        <v>0</v>
      </c>
      <c r="AI2516">
        <f>'raw data Crude oil'!AI2517</f>
        <v>0</v>
      </c>
      <c r="AJ2516">
        <f>'raw data Crude oil'!AJ2517</f>
        <v>0</v>
      </c>
      <c r="AK2516">
        <f>'raw data Crude oil'!AK2517</f>
        <v>0</v>
      </c>
    </row>
    <row r="2517" spans="1:37" x14ac:dyDescent="0.3">
      <c r="A2517" s="18">
        <f>'raw data Crude oil'!A2518</f>
        <v>0</v>
      </c>
      <c r="B2517">
        <f>'raw data Crude oil'!B2518</f>
        <v>0</v>
      </c>
      <c r="C2517">
        <f>'raw data Crude oil'!C2518</f>
        <v>0</v>
      </c>
      <c r="D2517">
        <f>'raw data Crude oil'!D2518</f>
        <v>0</v>
      </c>
      <c r="E2517">
        <f>'raw data Crude oil'!E2518</f>
        <v>0</v>
      </c>
      <c r="F2517">
        <f>'raw data Crude oil'!F2518</f>
        <v>0</v>
      </c>
      <c r="G2517">
        <f>'raw data Crude oil'!G2518</f>
        <v>0</v>
      </c>
      <c r="H2517">
        <f>'raw data Crude oil'!H2518</f>
        <v>0</v>
      </c>
      <c r="I2517">
        <f>'raw data Crude oil'!I2518</f>
        <v>0</v>
      </c>
      <c r="J2517">
        <f>'raw data Crude oil'!J2518</f>
        <v>0</v>
      </c>
      <c r="K2517">
        <f>'raw data Crude oil'!K2518</f>
        <v>0</v>
      </c>
      <c r="L2517">
        <f>'raw data Crude oil'!L2518</f>
        <v>0</v>
      </c>
      <c r="M2517">
        <f>'raw data Crude oil'!M2518</f>
        <v>0</v>
      </c>
      <c r="N2517">
        <f>'raw data Crude oil'!N2518</f>
        <v>0</v>
      </c>
      <c r="O2517">
        <f>'raw data Crude oil'!O2518</f>
        <v>0</v>
      </c>
      <c r="P2517">
        <f>'raw data Crude oil'!P2518</f>
        <v>0</v>
      </c>
      <c r="Q2517">
        <f>'raw data Crude oil'!Q2518</f>
        <v>0</v>
      </c>
      <c r="R2517">
        <f>'raw data Crude oil'!R2518</f>
        <v>0</v>
      </c>
      <c r="S2517">
        <f>'raw data Crude oil'!S2518</f>
        <v>0</v>
      </c>
      <c r="T2517">
        <f>'raw data Crude oil'!T2518</f>
        <v>0</v>
      </c>
      <c r="U2517">
        <f>'raw data Crude oil'!U2518</f>
        <v>0</v>
      </c>
      <c r="V2517">
        <f>'raw data Crude oil'!V2518</f>
        <v>0</v>
      </c>
      <c r="W2517">
        <f>'raw data Crude oil'!W2518</f>
        <v>0</v>
      </c>
      <c r="X2517">
        <f>'raw data Crude oil'!X2518</f>
        <v>0</v>
      </c>
      <c r="Y2517">
        <f>'raw data Crude oil'!Y2518</f>
        <v>0</v>
      </c>
      <c r="Z2517">
        <f>'raw data Crude oil'!Z2518</f>
        <v>0</v>
      </c>
      <c r="AA2517">
        <f>'raw data Crude oil'!AA2518</f>
        <v>0</v>
      </c>
      <c r="AB2517">
        <f>'raw data Crude oil'!AB2518</f>
        <v>0</v>
      </c>
      <c r="AC2517">
        <f>'raw data Crude oil'!AC2518</f>
        <v>0</v>
      </c>
      <c r="AD2517">
        <f>'raw data Crude oil'!AD2518</f>
        <v>0</v>
      </c>
      <c r="AE2517">
        <f>'raw data Crude oil'!AE2518</f>
        <v>0</v>
      </c>
      <c r="AF2517">
        <f>'raw data Crude oil'!AF2518</f>
        <v>0</v>
      </c>
      <c r="AG2517">
        <f>'raw data Crude oil'!AG2518</f>
        <v>0</v>
      </c>
      <c r="AH2517">
        <f>'raw data Crude oil'!AH2518</f>
        <v>0</v>
      </c>
      <c r="AI2517">
        <f>'raw data Crude oil'!AI2518</f>
        <v>0</v>
      </c>
      <c r="AJ2517">
        <f>'raw data Crude oil'!AJ2518</f>
        <v>0</v>
      </c>
      <c r="AK2517">
        <f>'raw data Crude oil'!AK2518</f>
        <v>0</v>
      </c>
    </row>
    <row r="2518" spans="1:37" x14ac:dyDescent="0.3">
      <c r="A2518" s="18">
        <f>'raw data Crude oil'!A2519</f>
        <v>0</v>
      </c>
      <c r="B2518">
        <f>'raw data Crude oil'!B2519</f>
        <v>0</v>
      </c>
      <c r="C2518">
        <f>'raw data Crude oil'!C2519</f>
        <v>0</v>
      </c>
      <c r="D2518">
        <f>'raw data Crude oil'!D2519</f>
        <v>0</v>
      </c>
      <c r="E2518">
        <f>'raw data Crude oil'!E2519</f>
        <v>0</v>
      </c>
      <c r="F2518">
        <f>'raw data Crude oil'!F2519</f>
        <v>0</v>
      </c>
      <c r="G2518">
        <f>'raw data Crude oil'!G2519</f>
        <v>0</v>
      </c>
      <c r="H2518">
        <f>'raw data Crude oil'!H2519</f>
        <v>0</v>
      </c>
      <c r="I2518">
        <f>'raw data Crude oil'!I2519</f>
        <v>0</v>
      </c>
      <c r="J2518">
        <f>'raw data Crude oil'!J2519</f>
        <v>0</v>
      </c>
      <c r="K2518">
        <f>'raw data Crude oil'!K2519</f>
        <v>0</v>
      </c>
      <c r="L2518">
        <f>'raw data Crude oil'!L2519</f>
        <v>0</v>
      </c>
      <c r="M2518">
        <f>'raw data Crude oil'!M2519</f>
        <v>0</v>
      </c>
      <c r="N2518">
        <f>'raw data Crude oil'!N2519</f>
        <v>0</v>
      </c>
      <c r="O2518">
        <f>'raw data Crude oil'!O2519</f>
        <v>0</v>
      </c>
      <c r="P2518">
        <f>'raw data Crude oil'!P2519</f>
        <v>0</v>
      </c>
      <c r="Q2518">
        <f>'raw data Crude oil'!Q2519</f>
        <v>0</v>
      </c>
      <c r="R2518">
        <f>'raw data Crude oil'!R2519</f>
        <v>0</v>
      </c>
      <c r="S2518">
        <f>'raw data Crude oil'!S2519</f>
        <v>0</v>
      </c>
      <c r="T2518">
        <f>'raw data Crude oil'!T2519</f>
        <v>0</v>
      </c>
      <c r="U2518">
        <f>'raw data Crude oil'!U2519</f>
        <v>0</v>
      </c>
      <c r="V2518">
        <f>'raw data Crude oil'!V2519</f>
        <v>0</v>
      </c>
      <c r="W2518">
        <f>'raw data Crude oil'!W2519</f>
        <v>0</v>
      </c>
      <c r="X2518">
        <f>'raw data Crude oil'!X2519</f>
        <v>0</v>
      </c>
      <c r="Y2518">
        <f>'raw data Crude oil'!Y2519</f>
        <v>0</v>
      </c>
      <c r="Z2518">
        <f>'raw data Crude oil'!Z2519</f>
        <v>0</v>
      </c>
      <c r="AA2518">
        <f>'raw data Crude oil'!AA2519</f>
        <v>0</v>
      </c>
      <c r="AB2518">
        <f>'raw data Crude oil'!AB2519</f>
        <v>0</v>
      </c>
      <c r="AC2518">
        <f>'raw data Crude oil'!AC2519</f>
        <v>0</v>
      </c>
      <c r="AD2518">
        <f>'raw data Crude oil'!AD2519</f>
        <v>0</v>
      </c>
      <c r="AE2518">
        <f>'raw data Crude oil'!AE2519</f>
        <v>0</v>
      </c>
      <c r="AF2518">
        <f>'raw data Crude oil'!AF2519</f>
        <v>0</v>
      </c>
      <c r="AG2518">
        <f>'raw data Crude oil'!AG2519</f>
        <v>0</v>
      </c>
      <c r="AH2518">
        <f>'raw data Crude oil'!AH2519</f>
        <v>0</v>
      </c>
      <c r="AI2518">
        <f>'raw data Crude oil'!AI2519</f>
        <v>0</v>
      </c>
      <c r="AJ2518">
        <f>'raw data Crude oil'!AJ2519</f>
        <v>0</v>
      </c>
      <c r="AK2518">
        <f>'raw data Crude oil'!AK2519</f>
        <v>0</v>
      </c>
    </row>
    <row r="2519" spans="1:37" x14ac:dyDescent="0.3">
      <c r="A2519" s="18">
        <f>'raw data Crude oil'!A2520</f>
        <v>0</v>
      </c>
      <c r="B2519">
        <f>'raw data Crude oil'!B2520</f>
        <v>0</v>
      </c>
      <c r="C2519">
        <f>'raw data Crude oil'!C2520</f>
        <v>0</v>
      </c>
      <c r="D2519">
        <f>'raw data Crude oil'!D2520</f>
        <v>0</v>
      </c>
      <c r="E2519">
        <f>'raw data Crude oil'!E2520</f>
        <v>0</v>
      </c>
      <c r="F2519">
        <f>'raw data Crude oil'!F2520</f>
        <v>0</v>
      </c>
      <c r="G2519">
        <f>'raw data Crude oil'!G2520</f>
        <v>0</v>
      </c>
      <c r="H2519">
        <f>'raw data Crude oil'!H2520</f>
        <v>0</v>
      </c>
      <c r="I2519">
        <f>'raw data Crude oil'!I2520</f>
        <v>0</v>
      </c>
      <c r="J2519">
        <f>'raw data Crude oil'!J2520</f>
        <v>0</v>
      </c>
      <c r="K2519">
        <f>'raw data Crude oil'!K2520</f>
        <v>0</v>
      </c>
      <c r="L2519">
        <f>'raw data Crude oil'!L2520</f>
        <v>0</v>
      </c>
      <c r="M2519">
        <f>'raw data Crude oil'!M2520</f>
        <v>0</v>
      </c>
      <c r="N2519">
        <f>'raw data Crude oil'!N2520</f>
        <v>0</v>
      </c>
      <c r="O2519">
        <f>'raw data Crude oil'!O2520</f>
        <v>0</v>
      </c>
      <c r="P2519">
        <f>'raw data Crude oil'!P2520</f>
        <v>0</v>
      </c>
      <c r="Q2519">
        <f>'raw data Crude oil'!Q2520</f>
        <v>0</v>
      </c>
      <c r="R2519">
        <f>'raw data Crude oil'!R2520</f>
        <v>0</v>
      </c>
      <c r="S2519">
        <f>'raw data Crude oil'!S2520</f>
        <v>0</v>
      </c>
      <c r="T2519">
        <f>'raw data Crude oil'!T2520</f>
        <v>0</v>
      </c>
      <c r="U2519">
        <f>'raw data Crude oil'!U2520</f>
        <v>0</v>
      </c>
      <c r="V2519">
        <f>'raw data Crude oil'!V2520</f>
        <v>0</v>
      </c>
      <c r="W2519">
        <f>'raw data Crude oil'!W2520</f>
        <v>0</v>
      </c>
      <c r="X2519">
        <f>'raw data Crude oil'!X2520</f>
        <v>0</v>
      </c>
      <c r="Y2519">
        <f>'raw data Crude oil'!Y2520</f>
        <v>0</v>
      </c>
      <c r="Z2519">
        <f>'raw data Crude oil'!Z2520</f>
        <v>0</v>
      </c>
      <c r="AA2519">
        <f>'raw data Crude oil'!AA2520</f>
        <v>0</v>
      </c>
      <c r="AB2519">
        <f>'raw data Crude oil'!AB2520</f>
        <v>0</v>
      </c>
      <c r="AC2519">
        <f>'raw data Crude oil'!AC2520</f>
        <v>0</v>
      </c>
      <c r="AD2519">
        <f>'raw data Crude oil'!AD2520</f>
        <v>0</v>
      </c>
      <c r="AE2519">
        <f>'raw data Crude oil'!AE2520</f>
        <v>0</v>
      </c>
      <c r="AF2519">
        <f>'raw data Crude oil'!AF2520</f>
        <v>0</v>
      </c>
      <c r="AG2519">
        <f>'raw data Crude oil'!AG2520</f>
        <v>0</v>
      </c>
      <c r="AH2519">
        <f>'raw data Crude oil'!AH2520</f>
        <v>0</v>
      </c>
      <c r="AI2519">
        <f>'raw data Crude oil'!AI2520</f>
        <v>0</v>
      </c>
      <c r="AJ2519">
        <f>'raw data Crude oil'!AJ2520</f>
        <v>0</v>
      </c>
      <c r="AK2519">
        <f>'raw data Crude oil'!AK2520</f>
        <v>0</v>
      </c>
    </row>
    <row r="2520" spans="1:37" x14ac:dyDescent="0.3">
      <c r="A2520" s="18">
        <f>'raw data Crude oil'!A2521</f>
        <v>0</v>
      </c>
      <c r="B2520">
        <f>'raw data Crude oil'!B2521</f>
        <v>0</v>
      </c>
      <c r="C2520">
        <f>'raw data Crude oil'!C2521</f>
        <v>0</v>
      </c>
      <c r="D2520">
        <f>'raw data Crude oil'!D2521</f>
        <v>0</v>
      </c>
      <c r="E2520">
        <f>'raw data Crude oil'!E2521</f>
        <v>0</v>
      </c>
      <c r="F2520">
        <f>'raw data Crude oil'!F2521</f>
        <v>0</v>
      </c>
      <c r="G2520">
        <f>'raw data Crude oil'!G2521</f>
        <v>0</v>
      </c>
      <c r="H2520">
        <f>'raw data Crude oil'!H2521</f>
        <v>0</v>
      </c>
      <c r="I2520">
        <f>'raw data Crude oil'!I2521</f>
        <v>0</v>
      </c>
      <c r="J2520">
        <f>'raw data Crude oil'!J2521</f>
        <v>0</v>
      </c>
      <c r="K2520">
        <f>'raw data Crude oil'!K2521</f>
        <v>0</v>
      </c>
      <c r="L2520">
        <f>'raw data Crude oil'!L2521</f>
        <v>0</v>
      </c>
      <c r="M2520">
        <f>'raw data Crude oil'!M2521</f>
        <v>0</v>
      </c>
      <c r="N2520">
        <f>'raw data Crude oil'!N2521</f>
        <v>0</v>
      </c>
      <c r="O2520">
        <f>'raw data Crude oil'!O2521</f>
        <v>0</v>
      </c>
      <c r="P2520">
        <f>'raw data Crude oil'!P2521</f>
        <v>0</v>
      </c>
      <c r="Q2520">
        <f>'raw data Crude oil'!Q2521</f>
        <v>0</v>
      </c>
      <c r="R2520">
        <f>'raw data Crude oil'!R2521</f>
        <v>0</v>
      </c>
      <c r="S2520">
        <f>'raw data Crude oil'!S2521</f>
        <v>0</v>
      </c>
      <c r="T2520">
        <f>'raw data Crude oil'!T2521</f>
        <v>0</v>
      </c>
      <c r="U2520">
        <f>'raw data Crude oil'!U2521</f>
        <v>0</v>
      </c>
      <c r="V2520">
        <f>'raw data Crude oil'!V2521</f>
        <v>0</v>
      </c>
      <c r="W2520">
        <f>'raw data Crude oil'!W2521</f>
        <v>0</v>
      </c>
      <c r="X2520">
        <f>'raw data Crude oil'!X2521</f>
        <v>0</v>
      </c>
      <c r="Y2520">
        <f>'raw data Crude oil'!Y2521</f>
        <v>0</v>
      </c>
      <c r="Z2520">
        <f>'raw data Crude oil'!Z2521</f>
        <v>0</v>
      </c>
      <c r="AA2520">
        <f>'raw data Crude oil'!AA2521</f>
        <v>0</v>
      </c>
      <c r="AB2520">
        <f>'raw data Crude oil'!AB2521</f>
        <v>0</v>
      </c>
      <c r="AC2520">
        <f>'raw data Crude oil'!AC2521</f>
        <v>0</v>
      </c>
      <c r="AD2520">
        <f>'raw data Crude oil'!AD2521</f>
        <v>0</v>
      </c>
      <c r="AE2520">
        <f>'raw data Crude oil'!AE2521</f>
        <v>0</v>
      </c>
      <c r="AF2520">
        <f>'raw data Crude oil'!AF2521</f>
        <v>0</v>
      </c>
      <c r="AG2520">
        <f>'raw data Crude oil'!AG2521</f>
        <v>0</v>
      </c>
      <c r="AH2520">
        <f>'raw data Crude oil'!AH2521</f>
        <v>0</v>
      </c>
      <c r="AI2520">
        <f>'raw data Crude oil'!AI2521</f>
        <v>0</v>
      </c>
      <c r="AJ2520">
        <f>'raw data Crude oil'!AJ2521</f>
        <v>0</v>
      </c>
      <c r="AK2520">
        <f>'raw data Crude oil'!AK2521</f>
        <v>0</v>
      </c>
    </row>
    <row r="2521" spans="1:37" x14ac:dyDescent="0.3">
      <c r="A2521" s="18">
        <f>'raw data Crude oil'!A2522</f>
        <v>0</v>
      </c>
      <c r="B2521">
        <f>'raw data Crude oil'!B2522</f>
        <v>0</v>
      </c>
      <c r="C2521">
        <f>'raw data Crude oil'!C2522</f>
        <v>0</v>
      </c>
      <c r="D2521">
        <f>'raw data Crude oil'!D2522</f>
        <v>0</v>
      </c>
      <c r="E2521">
        <f>'raw data Crude oil'!E2522</f>
        <v>0</v>
      </c>
      <c r="F2521">
        <f>'raw data Crude oil'!F2522</f>
        <v>0</v>
      </c>
      <c r="G2521">
        <f>'raw data Crude oil'!G2522</f>
        <v>0</v>
      </c>
      <c r="H2521">
        <f>'raw data Crude oil'!H2522</f>
        <v>0</v>
      </c>
      <c r="I2521">
        <f>'raw data Crude oil'!I2522</f>
        <v>0</v>
      </c>
      <c r="J2521">
        <f>'raw data Crude oil'!J2522</f>
        <v>0</v>
      </c>
      <c r="K2521">
        <f>'raw data Crude oil'!K2522</f>
        <v>0</v>
      </c>
      <c r="L2521">
        <f>'raw data Crude oil'!L2522</f>
        <v>0</v>
      </c>
      <c r="M2521">
        <f>'raw data Crude oil'!M2522</f>
        <v>0</v>
      </c>
      <c r="N2521">
        <f>'raw data Crude oil'!N2522</f>
        <v>0</v>
      </c>
      <c r="O2521">
        <f>'raw data Crude oil'!O2522</f>
        <v>0</v>
      </c>
      <c r="P2521">
        <f>'raw data Crude oil'!P2522</f>
        <v>0</v>
      </c>
      <c r="Q2521">
        <f>'raw data Crude oil'!Q2522</f>
        <v>0</v>
      </c>
      <c r="R2521">
        <f>'raw data Crude oil'!R2522</f>
        <v>0</v>
      </c>
      <c r="S2521">
        <f>'raw data Crude oil'!S2522</f>
        <v>0</v>
      </c>
      <c r="T2521">
        <f>'raw data Crude oil'!T2522</f>
        <v>0</v>
      </c>
      <c r="U2521">
        <f>'raw data Crude oil'!U2522</f>
        <v>0</v>
      </c>
      <c r="V2521">
        <f>'raw data Crude oil'!V2522</f>
        <v>0</v>
      </c>
      <c r="W2521">
        <f>'raw data Crude oil'!W2522</f>
        <v>0</v>
      </c>
      <c r="X2521">
        <f>'raw data Crude oil'!X2522</f>
        <v>0</v>
      </c>
      <c r="Y2521">
        <f>'raw data Crude oil'!Y2522</f>
        <v>0</v>
      </c>
      <c r="Z2521">
        <f>'raw data Crude oil'!Z2522</f>
        <v>0</v>
      </c>
      <c r="AA2521">
        <f>'raw data Crude oil'!AA2522</f>
        <v>0</v>
      </c>
      <c r="AB2521">
        <f>'raw data Crude oil'!AB2522</f>
        <v>0</v>
      </c>
      <c r="AC2521">
        <f>'raw data Crude oil'!AC2522</f>
        <v>0</v>
      </c>
      <c r="AD2521">
        <f>'raw data Crude oil'!AD2522</f>
        <v>0</v>
      </c>
      <c r="AE2521">
        <f>'raw data Crude oil'!AE2522</f>
        <v>0</v>
      </c>
      <c r="AF2521">
        <f>'raw data Crude oil'!AF2522</f>
        <v>0</v>
      </c>
      <c r="AG2521">
        <f>'raw data Crude oil'!AG2522</f>
        <v>0</v>
      </c>
      <c r="AH2521">
        <f>'raw data Crude oil'!AH2522</f>
        <v>0</v>
      </c>
      <c r="AI2521">
        <f>'raw data Crude oil'!AI2522</f>
        <v>0</v>
      </c>
      <c r="AJ2521">
        <f>'raw data Crude oil'!AJ2522</f>
        <v>0</v>
      </c>
      <c r="AK2521">
        <f>'raw data Crude oil'!AK2522</f>
        <v>0</v>
      </c>
    </row>
    <row r="2522" spans="1:37" x14ac:dyDescent="0.3">
      <c r="A2522" s="18">
        <f>'raw data Crude oil'!A2523</f>
        <v>0</v>
      </c>
      <c r="B2522">
        <f>'raw data Crude oil'!B2523</f>
        <v>0</v>
      </c>
      <c r="C2522">
        <f>'raw data Crude oil'!C2523</f>
        <v>0</v>
      </c>
      <c r="D2522">
        <f>'raw data Crude oil'!D2523</f>
        <v>0</v>
      </c>
      <c r="E2522">
        <f>'raw data Crude oil'!E2523</f>
        <v>0</v>
      </c>
      <c r="F2522">
        <f>'raw data Crude oil'!F2523</f>
        <v>0</v>
      </c>
      <c r="G2522">
        <f>'raw data Crude oil'!G2523</f>
        <v>0</v>
      </c>
      <c r="H2522">
        <f>'raw data Crude oil'!H2523</f>
        <v>0</v>
      </c>
      <c r="I2522">
        <f>'raw data Crude oil'!I2523</f>
        <v>0</v>
      </c>
      <c r="J2522">
        <f>'raw data Crude oil'!J2523</f>
        <v>0</v>
      </c>
      <c r="K2522">
        <f>'raw data Crude oil'!K2523</f>
        <v>0</v>
      </c>
      <c r="L2522">
        <f>'raw data Crude oil'!L2523</f>
        <v>0</v>
      </c>
      <c r="M2522">
        <f>'raw data Crude oil'!M2523</f>
        <v>0</v>
      </c>
      <c r="N2522">
        <f>'raw data Crude oil'!N2523</f>
        <v>0</v>
      </c>
      <c r="O2522">
        <f>'raw data Crude oil'!O2523</f>
        <v>0</v>
      </c>
      <c r="P2522">
        <f>'raw data Crude oil'!P2523</f>
        <v>0</v>
      </c>
      <c r="Q2522">
        <f>'raw data Crude oil'!Q2523</f>
        <v>0</v>
      </c>
      <c r="R2522">
        <f>'raw data Crude oil'!R2523</f>
        <v>0</v>
      </c>
      <c r="S2522">
        <f>'raw data Crude oil'!S2523</f>
        <v>0</v>
      </c>
      <c r="T2522">
        <f>'raw data Crude oil'!T2523</f>
        <v>0</v>
      </c>
      <c r="U2522">
        <f>'raw data Crude oil'!U2523</f>
        <v>0</v>
      </c>
      <c r="V2522">
        <f>'raw data Crude oil'!V2523</f>
        <v>0</v>
      </c>
      <c r="W2522">
        <f>'raw data Crude oil'!W2523</f>
        <v>0</v>
      </c>
      <c r="X2522">
        <f>'raw data Crude oil'!X2523</f>
        <v>0</v>
      </c>
      <c r="Y2522">
        <f>'raw data Crude oil'!Y2523</f>
        <v>0</v>
      </c>
      <c r="Z2522">
        <f>'raw data Crude oil'!Z2523</f>
        <v>0</v>
      </c>
      <c r="AA2522">
        <f>'raw data Crude oil'!AA2523</f>
        <v>0</v>
      </c>
      <c r="AB2522">
        <f>'raw data Crude oil'!AB2523</f>
        <v>0</v>
      </c>
      <c r="AC2522">
        <f>'raw data Crude oil'!AC2523</f>
        <v>0</v>
      </c>
      <c r="AD2522">
        <f>'raw data Crude oil'!AD2523</f>
        <v>0</v>
      </c>
      <c r="AE2522">
        <f>'raw data Crude oil'!AE2523</f>
        <v>0</v>
      </c>
      <c r="AF2522">
        <f>'raw data Crude oil'!AF2523</f>
        <v>0</v>
      </c>
      <c r="AG2522">
        <f>'raw data Crude oil'!AG2523</f>
        <v>0</v>
      </c>
      <c r="AH2522">
        <f>'raw data Crude oil'!AH2523</f>
        <v>0</v>
      </c>
      <c r="AI2522">
        <f>'raw data Crude oil'!AI2523</f>
        <v>0</v>
      </c>
      <c r="AJ2522">
        <f>'raw data Crude oil'!AJ2523</f>
        <v>0</v>
      </c>
      <c r="AK2522">
        <f>'raw data Crude oil'!AK2523</f>
        <v>0</v>
      </c>
    </row>
    <row r="2523" spans="1:37" x14ac:dyDescent="0.3">
      <c r="A2523" s="18">
        <f>'raw data Crude oil'!A2524</f>
        <v>0</v>
      </c>
      <c r="B2523">
        <f>'raw data Crude oil'!B2524</f>
        <v>0</v>
      </c>
      <c r="C2523">
        <f>'raw data Crude oil'!C2524</f>
        <v>0</v>
      </c>
      <c r="D2523">
        <f>'raw data Crude oil'!D2524</f>
        <v>0</v>
      </c>
      <c r="E2523">
        <f>'raw data Crude oil'!E2524</f>
        <v>0</v>
      </c>
      <c r="F2523">
        <f>'raw data Crude oil'!F2524</f>
        <v>0</v>
      </c>
      <c r="G2523">
        <f>'raw data Crude oil'!G2524</f>
        <v>0</v>
      </c>
      <c r="H2523">
        <f>'raw data Crude oil'!H2524</f>
        <v>0</v>
      </c>
      <c r="I2523">
        <f>'raw data Crude oil'!I2524</f>
        <v>0</v>
      </c>
      <c r="J2523">
        <f>'raw data Crude oil'!J2524</f>
        <v>0</v>
      </c>
      <c r="K2523">
        <f>'raw data Crude oil'!K2524</f>
        <v>0</v>
      </c>
      <c r="L2523">
        <f>'raw data Crude oil'!L2524</f>
        <v>0</v>
      </c>
      <c r="M2523">
        <f>'raw data Crude oil'!M2524</f>
        <v>0</v>
      </c>
      <c r="N2523">
        <f>'raw data Crude oil'!N2524</f>
        <v>0</v>
      </c>
      <c r="O2523">
        <f>'raw data Crude oil'!O2524</f>
        <v>0</v>
      </c>
      <c r="P2523">
        <f>'raw data Crude oil'!P2524</f>
        <v>0</v>
      </c>
      <c r="Q2523">
        <f>'raw data Crude oil'!Q2524</f>
        <v>0</v>
      </c>
      <c r="R2523">
        <f>'raw data Crude oil'!R2524</f>
        <v>0</v>
      </c>
      <c r="S2523">
        <f>'raw data Crude oil'!S2524</f>
        <v>0</v>
      </c>
      <c r="T2523">
        <f>'raw data Crude oil'!T2524</f>
        <v>0</v>
      </c>
      <c r="U2523">
        <f>'raw data Crude oil'!U2524</f>
        <v>0</v>
      </c>
      <c r="V2523">
        <f>'raw data Crude oil'!V2524</f>
        <v>0</v>
      </c>
      <c r="W2523">
        <f>'raw data Crude oil'!W2524</f>
        <v>0</v>
      </c>
      <c r="X2523">
        <f>'raw data Crude oil'!X2524</f>
        <v>0</v>
      </c>
      <c r="Y2523">
        <f>'raw data Crude oil'!Y2524</f>
        <v>0</v>
      </c>
      <c r="Z2523">
        <f>'raw data Crude oil'!Z2524</f>
        <v>0</v>
      </c>
      <c r="AA2523">
        <f>'raw data Crude oil'!AA2524</f>
        <v>0</v>
      </c>
      <c r="AB2523">
        <f>'raw data Crude oil'!AB2524</f>
        <v>0</v>
      </c>
      <c r="AC2523">
        <f>'raw data Crude oil'!AC2524</f>
        <v>0</v>
      </c>
      <c r="AD2523">
        <f>'raw data Crude oil'!AD2524</f>
        <v>0</v>
      </c>
      <c r="AE2523">
        <f>'raw data Crude oil'!AE2524</f>
        <v>0</v>
      </c>
      <c r="AF2523">
        <f>'raw data Crude oil'!AF2524</f>
        <v>0</v>
      </c>
      <c r="AG2523">
        <f>'raw data Crude oil'!AG2524</f>
        <v>0</v>
      </c>
      <c r="AH2523">
        <f>'raw data Crude oil'!AH2524</f>
        <v>0</v>
      </c>
      <c r="AI2523">
        <f>'raw data Crude oil'!AI2524</f>
        <v>0</v>
      </c>
      <c r="AJ2523">
        <f>'raw data Crude oil'!AJ2524</f>
        <v>0</v>
      </c>
      <c r="AK2523">
        <f>'raw data Crude oil'!AK2524</f>
        <v>0</v>
      </c>
    </row>
    <row r="2524" spans="1:37" x14ac:dyDescent="0.3">
      <c r="A2524" s="18">
        <f>'raw data Crude oil'!A2525</f>
        <v>0</v>
      </c>
      <c r="B2524">
        <f>'raw data Crude oil'!B2525</f>
        <v>0</v>
      </c>
      <c r="C2524">
        <f>'raw data Crude oil'!C2525</f>
        <v>0</v>
      </c>
      <c r="D2524">
        <f>'raw data Crude oil'!D2525</f>
        <v>0</v>
      </c>
      <c r="E2524">
        <f>'raw data Crude oil'!E2525</f>
        <v>0</v>
      </c>
      <c r="F2524">
        <f>'raw data Crude oil'!F2525</f>
        <v>0</v>
      </c>
      <c r="G2524">
        <f>'raw data Crude oil'!G2525</f>
        <v>0</v>
      </c>
      <c r="H2524">
        <f>'raw data Crude oil'!H2525</f>
        <v>0</v>
      </c>
      <c r="I2524">
        <f>'raw data Crude oil'!I2525</f>
        <v>0</v>
      </c>
      <c r="J2524">
        <f>'raw data Crude oil'!J2525</f>
        <v>0</v>
      </c>
      <c r="K2524">
        <f>'raw data Crude oil'!K2525</f>
        <v>0</v>
      </c>
      <c r="L2524">
        <f>'raw data Crude oil'!L2525</f>
        <v>0</v>
      </c>
      <c r="M2524">
        <f>'raw data Crude oil'!M2525</f>
        <v>0</v>
      </c>
      <c r="N2524">
        <f>'raw data Crude oil'!N2525</f>
        <v>0</v>
      </c>
      <c r="O2524">
        <f>'raw data Crude oil'!O2525</f>
        <v>0</v>
      </c>
      <c r="P2524">
        <f>'raw data Crude oil'!P2525</f>
        <v>0</v>
      </c>
      <c r="Q2524">
        <f>'raw data Crude oil'!Q2525</f>
        <v>0</v>
      </c>
      <c r="R2524">
        <f>'raw data Crude oil'!R2525</f>
        <v>0</v>
      </c>
      <c r="S2524">
        <f>'raw data Crude oil'!S2525</f>
        <v>0</v>
      </c>
      <c r="T2524">
        <f>'raw data Crude oil'!T2525</f>
        <v>0</v>
      </c>
      <c r="U2524">
        <f>'raw data Crude oil'!U2525</f>
        <v>0</v>
      </c>
      <c r="V2524">
        <f>'raw data Crude oil'!V2525</f>
        <v>0</v>
      </c>
      <c r="W2524">
        <f>'raw data Crude oil'!W2525</f>
        <v>0</v>
      </c>
      <c r="X2524">
        <f>'raw data Crude oil'!X2525</f>
        <v>0</v>
      </c>
      <c r="Y2524">
        <f>'raw data Crude oil'!Y2525</f>
        <v>0</v>
      </c>
      <c r="Z2524">
        <f>'raw data Crude oil'!Z2525</f>
        <v>0</v>
      </c>
      <c r="AA2524">
        <f>'raw data Crude oil'!AA2525</f>
        <v>0</v>
      </c>
      <c r="AB2524">
        <f>'raw data Crude oil'!AB2525</f>
        <v>0</v>
      </c>
      <c r="AC2524">
        <f>'raw data Crude oil'!AC2525</f>
        <v>0</v>
      </c>
      <c r="AD2524">
        <f>'raw data Crude oil'!AD2525</f>
        <v>0</v>
      </c>
      <c r="AE2524">
        <f>'raw data Crude oil'!AE2525</f>
        <v>0</v>
      </c>
      <c r="AF2524">
        <f>'raw data Crude oil'!AF2525</f>
        <v>0</v>
      </c>
      <c r="AG2524">
        <f>'raw data Crude oil'!AG2525</f>
        <v>0</v>
      </c>
      <c r="AH2524">
        <f>'raw data Crude oil'!AH2525</f>
        <v>0</v>
      </c>
      <c r="AI2524">
        <f>'raw data Crude oil'!AI2525</f>
        <v>0</v>
      </c>
      <c r="AJ2524">
        <f>'raw data Crude oil'!AJ2525</f>
        <v>0</v>
      </c>
      <c r="AK2524">
        <f>'raw data Crude oil'!AK2525</f>
        <v>0</v>
      </c>
    </row>
    <row r="2525" spans="1:37" x14ac:dyDescent="0.3">
      <c r="A2525" s="18">
        <f>'raw data Crude oil'!A2526</f>
        <v>0</v>
      </c>
      <c r="B2525">
        <f>'raw data Crude oil'!B2526</f>
        <v>0</v>
      </c>
      <c r="C2525">
        <f>'raw data Crude oil'!C2526</f>
        <v>0</v>
      </c>
      <c r="D2525">
        <f>'raw data Crude oil'!D2526</f>
        <v>0</v>
      </c>
      <c r="E2525">
        <f>'raw data Crude oil'!E2526</f>
        <v>0</v>
      </c>
      <c r="F2525">
        <f>'raw data Crude oil'!F2526</f>
        <v>0</v>
      </c>
      <c r="G2525">
        <f>'raw data Crude oil'!G2526</f>
        <v>0</v>
      </c>
      <c r="H2525">
        <f>'raw data Crude oil'!H2526</f>
        <v>0</v>
      </c>
      <c r="I2525">
        <f>'raw data Crude oil'!I2526</f>
        <v>0</v>
      </c>
      <c r="J2525">
        <f>'raw data Crude oil'!J2526</f>
        <v>0</v>
      </c>
      <c r="K2525">
        <f>'raw data Crude oil'!K2526</f>
        <v>0</v>
      </c>
      <c r="L2525">
        <f>'raw data Crude oil'!L2526</f>
        <v>0</v>
      </c>
      <c r="M2525">
        <f>'raw data Crude oil'!M2526</f>
        <v>0</v>
      </c>
      <c r="N2525">
        <f>'raw data Crude oil'!N2526</f>
        <v>0</v>
      </c>
      <c r="O2525">
        <f>'raw data Crude oil'!O2526</f>
        <v>0</v>
      </c>
      <c r="P2525">
        <f>'raw data Crude oil'!P2526</f>
        <v>0</v>
      </c>
      <c r="Q2525">
        <f>'raw data Crude oil'!Q2526</f>
        <v>0</v>
      </c>
      <c r="R2525">
        <f>'raw data Crude oil'!R2526</f>
        <v>0</v>
      </c>
      <c r="S2525">
        <f>'raw data Crude oil'!S2526</f>
        <v>0</v>
      </c>
      <c r="T2525">
        <f>'raw data Crude oil'!T2526</f>
        <v>0</v>
      </c>
      <c r="U2525">
        <f>'raw data Crude oil'!U2526</f>
        <v>0</v>
      </c>
      <c r="V2525">
        <f>'raw data Crude oil'!V2526</f>
        <v>0</v>
      </c>
      <c r="W2525">
        <f>'raw data Crude oil'!W2526</f>
        <v>0</v>
      </c>
      <c r="X2525">
        <f>'raw data Crude oil'!X2526</f>
        <v>0</v>
      </c>
      <c r="Y2525">
        <f>'raw data Crude oil'!Y2526</f>
        <v>0</v>
      </c>
      <c r="Z2525">
        <f>'raw data Crude oil'!Z2526</f>
        <v>0</v>
      </c>
      <c r="AA2525">
        <f>'raw data Crude oil'!AA2526</f>
        <v>0</v>
      </c>
      <c r="AB2525">
        <f>'raw data Crude oil'!AB2526</f>
        <v>0</v>
      </c>
      <c r="AC2525">
        <f>'raw data Crude oil'!AC2526</f>
        <v>0</v>
      </c>
      <c r="AD2525">
        <f>'raw data Crude oil'!AD2526</f>
        <v>0</v>
      </c>
      <c r="AE2525">
        <f>'raw data Crude oil'!AE2526</f>
        <v>0</v>
      </c>
      <c r="AF2525">
        <f>'raw data Crude oil'!AF2526</f>
        <v>0</v>
      </c>
      <c r="AG2525">
        <f>'raw data Crude oil'!AG2526</f>
        <v>0</v>
      </c>
      <c r="AH2525">
        <f>'raw data Crude oil'!AH2526</f>
        <v>0</v>
      </c>
      <c r="AI2525">
        <f>'raw data Crude oil'!AI2526</f>
        <v>0</v>
      </c>
      <c r="AJ2525">
        <f>'raw data Crude oil'!AJ2526</f>
        <v>0</v>
      </c>
      <c r="AK2525">
        <f>'raw data Crude oil'!AK2526</f>
        <v>0</v>
      </c>
    </row>
    <row r="2526" spans="1:37" x14ac:dyDescent="0.3">
      <c r="A2526" s="18">
        <f>'raw data Crude oil'!A2527</f>
        <v>0</v>
      </c>
      <c r="B2526">
        <f>'raw data Crude oil'!B2527</f>
        <v>0</v>
      </c>
      <c r="C2526">
        <f>'raw data Crude oil'!C2527</f>
        <v>0</v>
      </c>
      <c r="D2526">
        <f>'raw data Crude oil'!D2527</f>
        <v>0</v>
      </c>
      <c r="E2526">
        <f>'raw data Crude oil'!E2527</f>
        <v>0</v>
      </c>
      <c r="F2526">
        <f>'raw data Crude oil'!F2527</f>
        <v>0</v>
      </c>
      <c r="G2526">
        <f>'raw data Crude oil'!G2527</f>
        <v>0</v>
      </c>
      <c r="H2526">
        <f>'raw data Crude oil'!H2527</f>
        <v>0</v>
      </c>
      <c r="I2526">
        <f>'raw data Crude oil'!I2527</f>
        <v>0</v>
      </c>
      <c r="J2526">
        <f>'raw data Crude oil'!J2527</f>
        <v>0</v>
      </c>
      <c r="K2526">
        <f>'raw data Crude oil'!K2527</f>
        <v>0</v>
      </c>
      <c r="L2526">
        <f>'raw data Crude oil'!L2527</f>
        <v>0</v>
      </c>
      <c r="M2526">
        <f>'raw data Crude oil'!M2527</f>
        <v>0</v>
      </c>
      <c r="N2526">
        <f>'raw data Crude oil'!N2527</f>
        <v>0</v>
      </c>
      <c r="O2526">
        <f>'raw data Crude oil'!O2527</f>
        <v>0</v>
      </c>
      <c r="P2526">
        <f>'raw data Crude oil'!P2527</f>
        <v>0</v>
      </c>
      <c r="Q2526">
        <f>'raw data Crude oil'!Q2527</f>
        <v>0</v>
      </c>
      <c r="R2526">
        <f>'raw data Crude oil'!R2527</f>
        <v>0</v>
      </c>
      <c r="S2526">
        <f>'raw data Crude oil'!S2527</f>
        <v>0</v>
      </c>
      <c r="T2526">
        <f>'raw data Crude oil'!T2527</f>
        <v>0</v>
      </c>
      <c r="U2526">
        <f>'raw data Crude oil'!U2527</f>
        <v>0</v>
      </c>
      <c r="V2526">
        <f>'raw data Crude oil'!V2527</f>
        <v>0</v>
      </c>
      <c r="W2526">
        <f>'raw data Crude oil'!W2527</f>
        <v>0</v>
      </c>
      <c r="X2526">
        <f>'raw data Crude oil'!X2527</f>
        <v>0</v>
      </c>
      <c r="Y2526">
        <f>'raw data Crude oil'!Y2527</f>
        <v>0</v>
      </c>
      <c r="Z2526">
        <f>'raw data Crude oil'!Z2527</f>
        <v>0</v>
      </c>
      <c r="AA2526">
        <f>'raw data Crude oil'!AA2527</f>
        <v>0</v>
      </c>
      <c r="AB2526">
        <f>'raw data Crude oil'!AB2527</f>
        <v>0</v>
      </c>
      <c r="AC2526">
        <f>'raw data Crude oil'!AC2527</f>
        <v>0</v>
      </c>
      <c r="AD2526">
        <f>'raw data Crude oil'!AD2527</f>
        <v>0</v>
      </c>
      <c r="AE2526">
        <f>'raw data Crude oil'!AE2527</f>
        <v>0</v>
      </c>
      <c r="AF2526">
        <f>'raw data Crude oil'!AF2527</f>
        <v>0</v>
      </c>
      <c r="AG2526">
        <f>'raw data Crude oil'!AG2527</f>
        <v>0</v>
      </c>
      <c r="AH2526">
        <f>'raw data Crude oil'!AH2527</f>
        <v>0</v>
      </c>
      <c r="AI2526">
        <f>'raw data Crude oil'!AI2527</f>
        <v>0</v>
      </c>
      <c r="AJ2526">
        <f>'raw data Crude oil'!AJ2527</f>
        <v>0</v>
      </c>
      <c r="AK2526">
        <f>'raw data Crude oil'!AK2527</f>
        <v>0</v>
      </c>
    </row>
    <row r="2527" spans="1:37" x14ac:dyDescent="0.3">
      <c r="A2527" s="18">
        <f>'raw data Crude oil'!A2528</f>
        <v>0</v>
      </c>
      <c r="B2527">
        <f>'raw data Crude oil'!B2528</f>
        <v>0</v>
      </c>
      <c r="C2527">
        <f>'raw data Crude oil'!C2528</f>
        <v>0</v>
      </c>
      <c r="D2527">
        <f>'raw data Crude oil'!D2528</f>
        <v>0</v>
      </c>
      <c r="E2527">
        <f>'raw data Crude oil'!E2528</f>
        <v>0</v>
      </c>
      <c r="F2527">
        <f>'raw data Crude oil'!F2528</f>
        <v>0</v>
      </c>
      <c r="G2527">
        <f>'raw data Crude oil'!G2528</f>
        <v>0</v>
      </c>
      <c r="H2527">
        <f>'raw data Crude oil'!H2528</f>
        <v>0</v>
      </c>
      <c r="I2527">
        <f>'raw data Crude oil'!I2528</f>
        <v>0</v>
      </c>
      <c r="J2527">
        <f>'raw data Crude oil'!J2528</f>
        <v>0</v>
      </c>
      <c r="K2527">
        <f>'raw data Crude oil'!K2528</f>
        <v>0</v>
      </c>
      <c r="L2527">
        <f>'raw data Crude oil'!L2528</f>
        <v>0</v>
      </c>
      <c r="M2527">
        <f>'raw data Crude oil'!M2528</f>
        <v>0</v>
      </c>
      <c r="N2527">
        <f>'raw data Crude oil'!N2528</f>
        <v>0</v>
      </c>
      <c r="O2527">
        <f>'raw data Crude oil'!O2528</f>
        <v>0</v>
      </c>
      <c r="P2527">
        <f>'raw data Crude oil'!P2528</f>
        <v>0</v>
      </c>
      <c r="Q2527">
        <f>'raw data Crude oil'!Q2528</f>
        <v>0</v>
      </c>
      <c r="R2527">
        <f>'raw data Crude oil'!R2528</f>
        <v>0</v>
      </c>
      <c r="S2527">
        <f>'raw data Crude oil'!S2528</f>
        <v>0</v>
      </c>
      <c r="T2527">
        <f>'raw data Crude oil'!T2528</f>
        <v>0</v>
      </c>
      <c r="U2527">
        <f>'raw data Crude oil'!U2528</f>
        <v>0</v>
      </c>
      <c r="V2527">
        <f>'raw data Crude oil'!V2528</f>
        <v>0</v>
      </c>
      <c r="W2527">
        <f>'raw data Crude oil'!W2528</f>
        <v>0</v>
      </c>
      <c r="X2527">
        <f>'raw data Crude oil'!X2528</f>
        <v>0</v>
      </c>
      <c r="Y2527">
        <f>'raw data Crude oil'!Y2528</f>
        <v>0</v>
      </c>
      <c r="Z2527">
        <f>'raw data Crude oil'!Z2528</f>
        <v>0</v>
      </c>
      <c r="AA2527">
        <f>'raw data Crude oil'!AA2528</f>
        <v>0</v>
      </c>
      <c r="AB2527">
        <f>'raw data Crude oil'!AB2528</f>
        <v>0</v>
      </c>
      <c r="AC2527">
        <f>'raw data Crude oil'!AC2528</f>
        <v>0</v>
      </c>
      <c r="AD2527">
        <f>'raw data Crude oil'!AD2528</f>
        <v>0</v>
      </c>
      <c r="AE2527">
        <f>'raw data Crude oil'!AE2528</f>
        <v>0</v>
      </c>
      <c r="AF2527">
        <f>'raw data Crude oil'!AF2528</f>
        <v>0</v>
      </c>
      <c r="AG2527">
        <f>'raw data Crude oil'!AG2528</f>
        <v>0</v>
      </c>
      <c r="AH2527">
        <f>'raw data Crude oil'!AH2528</f>
        <v>0</v>
      </c>
      <c r="AI2527">
        <f>'raw data Crude oil'!AI2528</f>
        <v>0</v>
      </c>
      <c r="AJ2527">
        <f>'raw data Crude oil'!AJ2528</f>
        <v>0</v>
      </c>
      <c r="AK2527">
        <f>'raw data Crude oil'!AK2528</f>
        <v>0</v>
      </c>
    </row>
    <row r="2528" spans="1:37" x14ac:dyDescent="0.3">
      <c r="A2528" s="18">
        <f>'raw data Crude oil'!A2529</f>
        <v>0</v>
      </c>
      <c r="B2528">
        <f>'raw data Crude oil'!B2529</f>
        <v>0</v>
      </c>
      <c r="C2528">
        <f>'raw data Crude oil'!C2529</f>
        <v>0</v>
      </c>
      <c r="D2528">
        <f>'raw data Crude oil'!D2529</f>
        <v>0</v>
      </c>
      <c r="E2528">
        <f>'raw data Crude oil'!E2529</f>
        <v>0</v>
      </c>
      <c r="F2528">
        <f>'raw data Crude oil'!F2529</f>
        <v>0</v>
      </c>
      <c r="G2528">
        <f>'raw data Crude oil'!G2529</f>
        <v>0</v>
      </c>
      <c r="H2528">
        <f>'raw data Crude oil'!H2529</f>
        <v>0</v>
      </c>
      <c r="I2528">
        <f>'raw data Crude oil'!I2529</f>
        <v>0</v>
      </c>
      <c r="J2528">
        <f>'raw data Crude oil'!J2529</f>
        <v>0</v>
      </c>
      <c r="K2528">
        <f>'raw data Crude oil'!K2529</f>
        <v>0</v>
      </c>
      <c r="L2528">
        <f>'raw data Crude oil'!L2529</f>
        <v>0</v>
      </c>
      <c r="M2528">
        <f>'raw data Crude oil'!M2529</f>
        <v>0</v>
      </c>
      <c r="N2528">
        <f>'raw data Crude oil'!N2529</f>
        <v>0</v>
      </c>
      <c r="O2528">
        <f>'raw data Crude oil'!O2529</f>
        <v>0</v>
      </c>
      <c r="P2528">
        <f>'raw data Crude oil'!P2529</f>
        <v>0</v>
      </c>
      <c r="Q2528">
        <f>'raw data Crude oil'!Q2529</f>
        <v>0</v>
      </c>
      <c r="R2528">
        <f>'raw data Crude oil'!R2529</f>
        <v>0</v>
      </c>
      <c r="S2528">
        <f>'raw data Crude oil'!S2529</f>
        <v>0</v>
      </c>
      <c r="T2528">
        <f>'raw data Crude oil'!T2529</f>
        <v>0</v>
      </c>
      <c r="U2528">
        <f>'raw data Crude oil'!U2529</f>
        <v>0</v>
      </c>
      <c r="V2528">
        <f>'raw data Crude oil'!V2529</f>
        <v>0</v>
      </c>
      <c r="W2528">
        <f>'raw data Crude oil'!W2529</f>
        <v>0</v>
      </c>
      <c r="X2528">
        <f>'raw data Crude oil'!X2529</f>
        <v>0</v>
      </c>
      <c r="Y2528">
        <f>'raw data Crude oil'!Y2529</f>
        <v>0</v>
      </c>
      <c r="Z2528">
        <f>'raw data Crude oil'!Z2529</f>
        <v>0</v>
      </c>
      <c r="AA2528">
        <f>'raw data Crude oil'!AA2529</f>
        <v>0</v>
      </c>
      <c r="AB2528">
        <f>'raw data Crude oil'!AB2529</f>
        <v>0</v>
      </c>
      <c r="AC2528">
        <f>'raw data Crude oil'!AC2529</f>
        <v>0</v>
      </c>
      <c r="AD2528">
        <f>'raw data Crude oil'!AD2529</f>
        <v>0</v>
      </c>
      <c r="AE2528">
        <f>'raw data Crude oil'!AE2529</f>
        <v>0</v>
      </c>
      <c r="AF2528">
        <f>'raw data Crude oil'!AF2529</f>
        <v>0</v>
      </c>
      <c r="AG2528">
        <f>'raw data Crude oil'!AG2529</f>
        <v>0</v>
      </c>
      <c r="AH2528">
        <f>'raw data Crude oil'!AH2529</f>
        <v>0</v>
      </c>
      <c r="AI2528">
        <f>'raw data Crude oil'!AI2529</f>
        <v>0</v>
      </c>
      <c r="AJ2528">
        <f>'raw data Crude oil'!AJ2529</f>
        <v>0</v>
      </c>
      <c r="AK2528">
        <f>'raw data Crude oil'!AK2529</f>
        <v>0</v>
      </c>
    </row>
    <row r="2529" spans="1:37" x14ac:dyDescent="0.3">
      <c r="A2529" s="18">
        <f>'raw data Crude oil'!A2530</f>
        <v>0</v>
      </c>
      <c r="B2529">
        <f>'raw data Crude oil'!B2530</f>
        <v>0</v>
      </c>
      <c r="C2529">
        <f>'raw data Crude oil'!C2530</f>
        <v>0</v>
      </c>
      <c r="D2529">
        <f>'raw data Crude oil'!D2530</f>
        <v>0</v>
      </c>
      <c r="E2529">
        <f>'raw data Crude oil'!E2530</f>
        <v>0</v>
      </c>
      <c r="F2529">
        <f>'raw data Crude oil'!F2530</f>
        <v>0</v>
      </c>
      <c r="G2529">
        <f>'raw data Crude oil'!G2530</f>
        <v>0</v>
      </c>
      <c r="H2529">
        <f>'raw data Crude oil'!H2530</f>
        <v>0</v>
      </c>
      <c r="I2529">
        <f>'raw data Crude oil'!I2530</f>
        <v>0</v>
      </c>
      <c r="J2529">
        <f>'raw data Crude oil'!J2530</f>
        <v>0</v>
      </c>
      <c r="K2529">
        <f>'raw data Crude oil'!K2530</f>
        <v>0</v>
      </c>
      <c r="L2529">
        <f>'raw data Crude oil'!L2530</f>
        <v>0</v>
      </c>
      <c r="M2529">
        <f>'raw data Crude oil'!M2530</f>
        <v>0</v>
      </c>
      <c r="N2529">
        <f>'raw data Crude oil'!N2530</f>
        <v>0</v>
      </c>
      <c r="O2529">
        <f>'raw data Crude oil'!O2530</f>
        <v>0</v>
      </c>
      <c r="P2529">
        <f>'raw data Crude oil'!P2530</f>
        <v>0</v>
      </c>
      <c r="Q2529">
        <f>'raw data Crude oil'!Q2530</f>
        <v>0</v>
      </c>
      <c r="R2529">
        <f>'raw data Crude oil'!R2530</f>
        <v>0</v>
      </c>
      <c r="S2529">
        <f>'raw data Crude oil'!S2530</f>
        <v>0</v>
      </c>
      <c r="T2529">
        <f>'raw data Crude oil'!T2530</f>
        <v>0</v>
      </c>
      <c r="U2529">
        <f>'raw data Crude oil'!U2530</f>
        <v>0</v>
      </c>
      <c r="V2529">
        <f>'raw data Crude oil'!V2530</f>
        <v>0</v>
      </c>
      <c r="W2529">
        <f>'raw data Crude oil'!W2530</f>
        <v>0</v>
      </c>
      <c r="X2529">
        <f>'raw data Crude oil'!X2530</f>
        <v>0</v>
      </c>
      <c r="Y2529">
        <f>'raw data Crude oil'!Y2530</f>
        <v>0</v>
      </c>
      <c r="Z2529">
        <f>'raw data Crude oil'!Z2530</f>
        <v>0</v>
      </c>
      <c r="AA2529">
        <f>'raw data Crude oil'!AA2530</f>
        <v>0</v>
      </c>
      <c r="AB2529">
        <f>'raw data Crude oil'!AB2530</f>
        <v>0</v>
      </c>
      <c r="AC2529">
        <f>'raw data Crude oil'!AC2530</f>
        <v>0</v>
      </c>
      <c r="AD2529">
        <f>'raw data Crude oil'!AD2530</f>
        <v>0</v>
      </c>
      <c r="AE2529">
        <f>'raw data Crude oil'!AE2530</f>
        <v>0</v>
      </c>
      <c r="AF2529">
        <f>'raw data Crude oil'!AF2530</f>
        <v>0</v>
      </c>
      <c r="AG2529">
        <f>'raw data Crude oil'!AG2530</f>
        <v>0</v>
      </c>
      <c r="AH2529">
        <f>'raw data Crude oil'!AH2530</f>
        <v>0</v>
      </c>
      <c r="AI2529">
        <f>'raw data Crude oil'!AI2530</f>
        <v>0</v>
      </c>
      <c r="AJ2529">
        <f>'raw data Crude oil'!AJ2530</f>
        <v>0</v>
      </c>
      <c r="AK2529">
        <f>'raw data Crude oil'!AK2530</f>
        <v>0</v>
      </c>
    </row>
    <row r="2530" spans="1:37" x14ac:dyDescent="0.3">
      <c r="A2530" s="18">
        <f>'raw data Crude oil'!A2531</f>
        <v>0</v>
      </c>
      <c r="B2530">
        <f>'raw data Crude oil'!B2531</f>
        <v>0</v>
      </c>
      <c r="C2530">
        <f>'raw data Crude oil'!C2531</f>
        <v>0</v>
      </c>
      <c r="D2530">
        <f>'raw data Crude oil'!D2531</f>
        <v>0</v>
      </c>
      <c r="E2530">
        <f>'raw data Crude oil'!E2531</f>
        <v>0</v>
      </c>
      <c r="F2530">
        <f>'raw data Crude oil'!F2531</f>
        <v>0</v>
      </c>
      <c r="G2530">
        <f>'raw data Crude oil'!G2531</f>
        <v>0</v>
      </c>
      <c r="H2530">
        <f>'raw data Crude oil'!H2531</f>
        <v>0</v>
      </c>
      <c r="I2530">
        <f>'raw data Crude oil'!I2531</f>
        <v>0</v>
      </c>
      <c r="J2530">
        <f>'raw data Crude oil'!J2531</f>
        <v>0</v>
      </c>
      <c r="K2530">
        <f>'raw data Crude oil'!K2531</f>
        <v>0</v>
      </c>
      <c r="L2530">
        <f>'raw data Crude oil'!L2531</f>
        <v>0</v>
      </c>
      <c r="M2530">
        <f>'raw data Crude oil'!M2531</f>
        <v>0</v>
      </c>
      <c r="N2530">
        <f>'raw data Crude oil'!N2531</f>
        <v>0</v>
      </c>
      <c r="O2530">
        <f>'raw data Crude oil'!O2531</f>
        <v>0</v>
      </c>
      <c r="P2530">
        <f>'raw data Crude oil'!P2531</f>
        <v>0</v>
      </c>
      <c r="Q2530">
        <f>'raw data Crude oil'!Q2531</f>
        <v>0</v>
      </c>
      <c r="R2530">
        <f>'raw data Crude oil'!R2531</f>
        <v>0</v>
      </c>
      <c r="S2530">
        <f>'raw data Crude oil'!S2531</f>
        <v>0</v>
      </c>
      <c r="T2530">
        <f>'raw data Crude oil'!T2531</f>
        <v>0</v>
      </c>
      <c r="U2530">
        <f>'raw data Crude oil'!U2531</f>
        <v>0</v>
      </c>
      <c r="V2530">
        <f>'raw data Crude oil'!V2531</f>
        <v>0</v>
      </c>
      <c r="W2530">
        <f>'raw data Crude oil'!W2531</f>
        <v>0</v>
      </c>
      <c r="X2530">
        <f>'raw data Crude oil'!X2531</f>
        <v>0</v>
      </c>
      <c r="Y2530">
        <f>'raw data Crude oil'!Y2531</f>
        <v>0</v>
      </c>
      <c r="Z2530">
        <f>'raw data Crude oil'!Z2531</f>
        <v>0</v>
      </c>
      <c r="AA2530">
        <f>'raw data Crude oil'!AA2531</f>
        <v>0</v>
      </c>
      <c r="AB2530">
        <f>'raw data Crude oil'!AB2531</f>
        <v>0</v>
      </c>
      <c r="AC2530">
        <f>'raw data Crude oil'!AC2531</f>
        <v>0</v>
      </c>
      <c r="AD2530">
        <f>'raw data Crude oil'!AD2531</f>
        <v>0</v>
      </c>
      <c r="AE2530">
        <f>'raw data Crude oil'!AE2531</f>
        <v>0</v>
      </c>
      <c r="AF2530">
        <f>'raw data Crude oil'!AF2531</f>
        <v>0</v>
      </c>
      <c r="AG2530">
        <f>'raw data Crude oil'!AG2531</f>
        <v>0</v>
      </c>
      <c r="AH2530">
        <f>'raw data Crude oil'!AH2531</f>
        <v>0</v>
      </c>
      <c r="AI2530">
        <f>'raw data Crude oil'!AI2531</f>
        <v>0</v>
      </c>
      <c r="AJ2530">
        <f>'raw data Crude oil'!AJ2531</f>
        <v>0</v>
      </c>
      <c r="AK2530">
        <f>'raw data Crude oil'!AK2531</f>
        <v>0</v>
      </c>
    </row>
    <row r="2531" spans="1:37" x14ac:dyDescent="0.3">
      <c r="A2531" s="18">
        <f>'raw data Crude oil'!A2532</f>
        <v>0</v>
      </c>
      <c r="B2531">
        <f>'raw data Crude oil'!B2532</f>
        <v>0</v>
      </c>
      <c r="C2531">
        <f>'raw data Crude oil'!C2532</f>
        <v>0</v>
      </c>
      <c r="D2531">
        <f>'raw data Crude oil'!D2532</f>
        <v>0</v>
      </c>
      <c r="E2531">
        <f>'raw data Crude oil'!E2532</f>
        <v>0</v>
      </c>
      <c r="F2531">
        <f>'raw data Crude oil'!F2532</f>
        <v>0</v>
      </c>
      <c r="G2531">
        <f>'raw data Crude oil'!G2532</f>
        <v>0</v>
      </c>
      <c r="H2531">
        <f>'raw data Crude oil'!H2532</f>
        <v>0</v>
      </c>
      <c r="I2531">
        <f>'raw data Crude oil'!I2532</f>
        <v>0</v>
      </c>
      <c r="J2531">
        <f>'raw data Crude oil'!J2532</f>
        <v>0</v>
      </c>
      <c r="K2531">
        <f>'raw data Crude oil'!K2532</f>
        <v>0</v>
      </c>
      <c r="L2531">
        <f>'raw data Crude oil'!L2532</f>
        <v>0</v>
      </c>
      <c r="M2531">
        <f>'raw data Crude oil'!M2532</f>
        <v>0</v>
      </c>
      <c r="N2531">
        <f>'raw data Crude oil'!N2532</f>
        <v>0</v>
      </c>
      <c r="O2531">
        <f>'raw data Crude oil'!O2532</f>
        <v>0</v>
      </c>
      <c r="P2531">
        <f>'raw data Crude oil'!P2532</f>
        <v>0</v>
      </c>
      <c r="Q2531">
        <f>'raw data Crude oil'!Q2532</f>
        <v>0</v>
      </c>
      <c r="R2531">
        <f>'raw data Crude oil'!R2532</f>
        <v>0</v>
      </c>
      <c r="S2531">
        <f>'raw data Crude oil'!S2532</f>
        <v>0</v>
      </c>
      <c r="T2531">
        <f>'raw data Crude oil'!T2532</f>
        <v>0</v>
      </c>
      <c r="U2531">
        <f>'raw data Crude oil'!U2532</f>
        <v>0</v>
      </c>
      <c r="V2531">
        <f>'raw data Crude oil'!V2532</f>
        <v>0</v>
      </c>
      <c r="W2531">
        <f>'raw data Crude oil'!W2532</f>
        <v>0</v>
      </c>
      <c r="X2531">
        <f>'raw data Crude oil'!X2532</f>
        <v>0</v>
      </c>
      <c r="Y2531">
        <f>'raw data Crude oil'!Y2532</f>
        <v>0</v>
      </c>
      <c r="Z2531">
        <f>'raw data Crude oil'!Z2532</f>
        <v>0</v>
      </c>
      <c r="AA2531">
        <f>'raw data Crude oil'!AA2532</f>
        <v>0</v>
      </c>
      <c r="AB2531">
        <f>'raw data Crude oil'!AB2532</f>
        <v>0</v>
      </c>
      <c r="AC2531">
        <f>'raw data Crude oil'!AC2532</f>
        <v>0</v>
      </c>
      <c r="AD2531">
        <f>'raw data Crude oil'!AD2532</f>
        <v>0</v>
      </c>
      <c r="AE2531">
        <f>'raw data Crude oil'!AE2532</f>
        <v>0</v>
      </c>
      <c r="AF2531">
        <f>'raw data Crude oil'!AF2532</f>
        <v>0</v>
      </c>
      <c r="AG2531">
        <f>'raw data Crude oil'!AG2532</f>
        <v>0</v>
      </c>
      <c r="AH2531">
        <f>'raw data Crude oil'!AH2532</f>
        <v>0</v>
      </c>
      <c r="AI2531">
        <f>'raw data Crude oil'!AI2532</f>
        <v>0</v>
      </c>
      <c r="AJ2531">
        <f>'raw data Crude oil'!AJ2532</f>
        <v>0</v>
      </c>
      <c r="AK2531">
        <f>'raw data Crude oil'!AK2532</f>
        <v>0</v>
      </c>
    </row>
    <row r="2532" spans="1:37" x14ac:dyDescent="0.3">
      <c r="A2532" s="18">
        <f>'raw data Crude oil'!A2533</f>
        <v>0</v>
      </c>
      <c r="B2532">
        <f>'raw data Crude oil'!B2533</f>
        <v>0</v>
      </c>
      <c r="C2532">
        <f>'raw data Crude oil'!C2533</f>
        <v>0</v>
      </c>
      <c r="D2532">
        <f>'raw data Crude oil'!D2533</f>
        <v>0</v>
      </c>
      <c r="E2532">
        <f>'raw data Crude oil'!E2533</f>
        <v>0</v>
      </c>
      <c r="F2532">
        <f>'raw data Crude oil'!F2533</f>
        <v>0</v>
      </c>
      <c r="G2532">
        <f>'raw data Crude oil'!G2533</f>
        <v>0</v>
      </c>
      <c r="H2532">
        <f>'raw data Crude oil'!H2533</f>
        <v>0</v>
      </c>
      <c r="I2532">
        <f>'raw data Crude oil'!I2533</f>
        <v>0</v>
      </c>
      <c r="J2532">
        <f>'raw data Crude oil'!J2533</f>
        <v>0</v>
      </c>
      <c r="K2532">
        <f>'raw data Crude oil'!K2533</f>
        <v>0</v>
      </c>
      <c r="L2532">
        <f>'raw data Crude oil'!L2533</f>
        <v>0</v>
      </c>
      <c r="M2532">
        <f>'raw data Crude oil'!M2533</f>
        <v>0</v>
      </c>
      <c r="N2532">
        <f>'raw data Crude oil'!N2533</f>
        <v>0</v>
      </c>
      <c r="O2532">
        <f>'raw data Crude oil'!O2533</f>
        <v>0</v>
      </c>
      <c r="P2532">
        <f>'raw data Crude oil'!P2533</f>
        <v>0</v>
      </c>
      <c r="Q2532">
        <f>'raw data Crude oil'!Q2533</f>
        <v>0</v>
      </c>
      <c r="R2532">
        <f>'raw data Crude oil'!R2533</f>
        <v>0</v>
      </c>
      <c r="S2532">
        <f>'raw data Crude oil'!S2533</f>
        <v>0</v>
      </c>
      <c r="T2532">
        <f>'raw data Crude oil'!T2533</f>
        <v>0</v>
      </c>
      <c r="U2532">
        <f>'raw data Crude oil'!U2533</f>
        <v>0</v>
      </c>
      <c r="V2532">
        <f>'raw data Crude oil'!V2533</f>
        <v>0</v>
      </c>
      <c r="W2532">
        <f>'raw data Crude oil'!W2533</f>
        <v>0</v>
      </c>
      <c r="X2532">
        <f>'raw data Crude oil'!X2533</f>
        <v>0</v>
      </c>
      <c r="Y2532">
        <f>'raw data Crude oil'!Y2533</f>
        <v>0</v>
      </c>
      <c r="Z2532">
        <f>'raw data Crude oil'!Z2533</f>
        <v>0</v>
      </c>
      <c r="AA2532">
        <f>'raw data Crude oil'!AA2533</f>
        <v>0</v>
      </c>
      <c r="AB2532">
        <f>'raw data Crude oil'!AB2533</f>
        <v>0</v>
      </c>
      <c r="AC2532">
        <f>'raw data Crude oil'!AC2533</f>
        <v>0</v>
      </c>
      <c r="AD2532">
        <f>'raw data Crude oil'!AD2533</f>
        <v>0</v>
      </c>
      <c r="AE2532">
        <f>'raw data Crude oil'!AE2533</f>
        <v>0</v>
      </c>
      <c r="AF2532">
        <f>'raw data Crude oil'!AF2533</f>
        <v>0</v>
      </c>
      <c r="AG2532">
        <f>'raw data Crude oil'!AG2533</f>
        <v>0</v>
      </c>
      <c r="AH2532">
        <f>'raw data Crude oil'!AH2533</f>
        <v>0</v>
      </c>
      <c r="AI2532">
        <f>'raw data Crude oil'!AI2533</f>
        <v>0</v>
      </c>
      <c r="AJ2532">
        <f>'raw data Crude oil'!AJ2533</f>
        <v>0</v>
      </c>
      <c r="AK2532">
        <f>'raw data Crude oil'!AK2533</f>
        <v>0</v>
      </c>
    </row>
    <row r="2533" spans="1:37" x14ac:dyDescent="0.3">
      <c r="A2533" s="18">
        <f>'raw data Crude oil'!A2534</f>
        <v>0</v>
      </c>
      <c r="B2533">
        <f>'raw data Crude oil'!B2534</f>
        <v>0</v>
      </c>
      <c r="C2533">
        <f>'raw data Crude oil'!C2534</f>
        <v>0</v>
      </c>
      <c r="D2533">
        <f>'raw data Crude oil'!D2534</f>
        <v>0</v>
      </c>
      <c r="E2533">
        <f>'raw data Crude oil'!E2534</f>
        <v>0</v>
      </c>
      <c r="F2533">
        <f>'raw data Crude oil'!F2534</f>
        <v>0</v>
      </c>
      <c r="G2533">
        <f>'raw data Crude oil'!G2534</f>
        <v>0</v>
      </c>
      <c r="H2533">
        <f>'raw data Crude oil'!H2534</f>
        <v>0</v>
      </c>
      <c r="I2533">
        <f>'raw data Crude oil'!I2534</f>
        <v>0</v>
      </c>
      <c r="J2533">
        <f>'raw data Crude oil'!J2534</f>
        <v>0</v>
      </c>
      <c r="K2533">
        <f>'raw data Crude oil'!K2534</f>
        <v>0</v>
      </c>
      <c r="L2533">
        <f>'raw data Crude oil'!L2534</f>
        <v>0</v>
      </c>
      <c r="M2533">
        <f>'raw data Crude oil'!M2534</f>
        <v>0</v>
      </c>
      <c r="N2533">
        <f>'raw data Crude oil'!N2534</f>
        <v>0</v>
      </c>
      <c r="O2533">
        <f>'raw data Crude oil'!O2534</f>
        <v>0</v>
      </c>
      <c r="P2533">
        <f>'raw data Crude oil'!P2534</f>
        <v>0</v>
      </c>
      <c r="Q2533">
        <f>'raw data Crude oil'!Q2534</f>
        <v>0</v>
      </c>
      <c r="R2533">
        <f>'raw data Crude oil'!R2534</f>
        <v>0</v>
      </c>
      <c r="S2533">
        <f>'raw data Crude oil'!S2534</f>
        <v>0</v>
      </c>
      <c r="T2533">
        <f>'raw data Crude oil'!T2534</f>
        <v>0</v>
      </c>
      <c r="U2533">
        <f>'raw data Crude oil'!U2534</f>
        <v>0</v>
      </c>
      <c r="V2533">
        <f>'raw data Crude oil'!V2534</f>
        <v>0</v>
      </c>
      <c r="W2533">
        <f>'raw data Crude oil'!W2534</f>
        <v>0</v>
      </c>
      <c r="X2533">
        <f>'raw data Crude oil'!X2534</f>
        <v>0</v>
      </c>
      <c r="Y2533">
        <f>'raw data Crude oil'!Y2534</f>
        <v>0</v>
      </c>
      <c r="Z2533">
        <f>'raw data Crude oil'!Z2534</f>
        <v>0</v>
      </c>
      <c r="AA2533">
        <f>'raw data Crude oil'!AA2534</f>
        <v>0</v>
      </c>
      <c r="AB2533">
        <f>'raw data Crude oil'!AB2534</f>
        <v>0</v>
      </c>
      <c r="AC2533">
        <f>'raw data Crude oil'!AC2534</f>
        <v>0</v>
      </c>
      <c r="AD2533">
        <f>'raw data Crude oil'!AD2534</f>
        <v>0</v>
      </c>
      <c r="AE2533">
        <f>'raw data Crude oil'!AE2534</f>
        <v>0</v>
      </c>
      <c r="AF2533">
        <f>'raw data Crude oil'!AF2534</f>
        <v>0</v>
      </c>
      <c r="AG2533">
        <f>'raw data Crude oil'!AG2534</f>
        <v>0</v>
      </c>
      <c r="AH2533">
        <f>'raw data Crude oil'!AH2534</f>
        <v>0</v>
      </c>
      <c r="AI2533">
        <f>'raw data Crude oil'!AI2534</f>
        <v>0</v>
      </c>
      <c r="AJ2533">
        <f>'raw data Crude oil'!AJ2534</f>
        <v>0</v>
      </c>
      <c r="AK2533">
        <f>'raw data Crude oil'!AK2534</f>
        <v>0</v>
      </c>
    </row>
    <row r="2534" spans="1:37" x14ac:dyDescent="0.3">
      <c r="A2534" s="18">
        <f>'raw data Crude oil'!A2535</f>
        <v>0</v>
      </c>
      <c r="B2534">
        <f>'raw data Crude oil'!B2535</f>
        <v>0</v>
      </c>
      <c r="C2534">
        <f>'raw data Crude oil'!C2535</f>
        <v>0</v>
      </c>
      <c r="D2534">
        <f>'raw data Crude oil'!D2535</f>
        <v>0</v>
      </c>
      <c r="E2534">
        <f>'raw data Crude oil'!E2535</f>
        <v>0</v>
      </c>
      <c r="F2534">
        <f>'raw data Crude oil'!F2535</f>
        <v>0</v>
      </c>
      <c r="G2534">
        <f>'raw data Crude oil'!G2535</f>
        <v>0</v>
      </c>
      <c r="H2534">
        <f>'raw data Crude oil'!H2535</f>
        <v>0</v>
      </c>
      <c r="I2534">
        <f>'raw data Crude oil'!I2535</f>
        <v>0</v>
      </c>
      <c r="J2534">
        <f>'raw data Crude oil'!J2535</f>
        <v>0</v>
      </c>
      <c r="K2534">
        <f>'raw data Crude oil'!K2535</f>
        <v>0</v>
      </c>
      <c r="L2534">
        <f>'raw data Crude oil'!L2535</f>
        <v>0</v>
      </c>
      <c r="M2534">
        <f>'raw data Crude oil'!M2535</f>
        <v>0</v>
      </c>
      <c r="N2534">
        <f>'raw data Crude oil'!N2535</f>
        <v>0</v>
      </c>
      <c r="O2534">
        <f>'raw data Crude oil'!O2535</f>
        <v>0</v>
      </c>
      <c r="P2534">
        <f>'raw data Crude oil'!P2535</f>
        <v>0</v>
      </c>
      <c r="Q2534">
        <f>'raw data Crude oil'!Q2535</f>
        <v>0</v>
      </c>
      <c r="R2534">
        <f>'raw data Crude oil'!R2535</f>
        <v>0</v>
      </c>
      <c r="S2534">
        <f>'raw data Crude oil'!S2535</f>
        <v>0</v>
      </c>
      <c r="T2534">
        <f>'raw data Crude oil'!T2535</f>
        <v>0</v>
      </c>
      <c r="U2534">
        <f>'raw data Crude oil'!U2535</f>
        <v>0</v>
      </c>
      <c r="V2534">
        <f>'raw data Crude oil'!V2535</f>
        <v>0</v>
      </c>
      <c r="W2534">
        <f>'raw data Crude oil'!W2535</f>
        <v>0</v>
      </c>
      <c r="X2534">
        <f>'raw data Crude oil'!X2535</f>
        <v>0</v>
      </c>
      <c r="Y2534">
        <f>'raw data Crude oil'!Y2535</f>
        <v>0</v>
      </c>
      <c r="Z2534">
        <f>'raw data Crude oil'!Z2535</f>
        <v>0</v>
      </c>
      <c r="AA2534">
        <f>'raw data Crude oil'!AA2535</f>
        <v>0</v>
      </c>
      <c r="AB2534">
        <f>'raw data Crude oil'!AB2535</f>
        <v>0</v>
      </c>
      <c r="AC2534">
        <f>'raw data Crude oil'!AC2535</f>
        <v>0</v>
      </c>
      <c r="AD2534">
        <f>'raw data Crude oil'!AD2535</f>
        <v>0</v>
      </c>
      <c r="AE2534">
        <f>'raw data Crude oil'!AE2535</f>
        <v>0</v>
      </c>
      <c r="AF2534">
        <f>'raw data Crude oil'!AF2535</f>
        <v>0</v>
      </c>
      <c r="AG2534">
        <f>'raw data Crude oil'!AG2535</f>
        <v>0</v>
      </c>
      <c r="AH2534">
        <f>'raw data Crude oil'!AH2535</f>
        <v>0</v>
      </c>
      <c r="AI2534">
        <f>'raw data Crude oil'!AI2535</f>
        <v>0</v>
      </c>
      <c r="AJ2534">
        <f>'raw data Crude oil'!AJ2535</f>
        <v>0</v>
      </c>
      <c r="AK2534">
        <f>'raw data Crude oil'!AK2535</f>
        <v>0</v>
      </c>
    </row>
    <row r="2535" spans="1:37" x14ac:dyDescent="0.3">
      <c r="A2535" s="18">
        <f>'raw data Crude oil'!A2536</f>
        <v>0</v>
      </c>
      <c r="B2535">
        <f>'raw data Crude oil'!B2536</f>
        <v>0</v>
      </c>
      <c r="C2535">
        <f>'raw data Crude oil'!C2536</f>
        <v>0</v>
      </c>
      <c r="D2535">
        <f>'raw data Crude oil'!D2536</f>
        <v>0</v>
      </c>
      <c r="E2535">
        <f>'raw data Crude oil'!E2536</f>
        <v>0</v>
      </c>
      <c r="F2535">
        <f>'raw data Crude oil'!F2536</f>
        <v>0</v>
      </c>
      <c r="G2535">
        <f>'raw data Crude oil'!G2536</f>
        <v>0</v>
      </c>
      <c r="H2535">
        <f>'raw data Crude oil'!H2536</f>
        <v>0</v>
      </c>
      <c r="I2535">
        <f>'raw data Crude oil'!I2536</f>
        <v>0</v>
      </c>
      <c r="J2535">
        <f>'raw data Crude oil'!J2536</f>
        <v>0</v>
      </c>
      <c r="K2535">
        <f>'raw data Crude oil'!K2536</f>
        <v>0</v>
      </c>
      <c r="L2535">
        <f>'raw data Crude oil'!L2536</f>
        <v>0</v>
      </c>
      <c r="M2535">
        <f>'raw data Crude oil'!M2536</f>
        <v>0</v>
      </c>
      <c r="N2535">
        <f>'raw data Crude oil'!N2536</f>
        <v>0</v>
      </c>
      <c r="O2535">
        <f>'raw data Crude oil'!O2536</f>
        <v>0</v>
      </c>
      <c r="P2535">
        <f>'raw data Crude oil'!P2536</f>
        <v>0</v>
      </c>
      <c r="Q2535">
        <f>'raw data Crude oil'!Q2536</f>
        <v>0</v>
      </c>
      <c r="R2535">
        <f>'raw data Crude oil'!R2536</f>
        <v>0</v>
      </c>
      <c r="S2535">
        <f>'raw data Crude oil'!S2536</f>
        <v>0</v>
      </c>
      <c r="T2535">
        <f>'raw data Crude oil'!T2536</f>
        <v>0</v>
      </c>
      <c r="U2535">
        <f>'raw data Crude oil'!U2536</f>
        <v>0</v>
      </c>
      <c r="V2535">
        <f>'raw data Crude oil'!V2536</f>
        <v>0</v>
      </c>
      <c r="W2535">
        <f>'raw data Crude oil'!W2536</f>
        <v>0</v>
      </c>
      <c r="X2535">
        <f>'raw data Crude oil'!X2536</f>
        <v>0</v>
      </c>
      <c r="Y2535">
        <f>'raw data Crude oil'!Y2536</f>
        <v>0</v>
      </c>
      <c r="Z2535">
        <f>'raw data Crude oil'!Z2536</f>
        <v>0</v>
      </c>
      <c r="AA2535">
        <f>'raw data Crude oil'!AA2536</f>
        <v>0</v>
      </c>
      <c r="AB2535">
        <f>'raw data Crude oil'!AB2536</f>
        <v>0</v>
      </c>
      <c r="AC2535">
        <f>'raw data Crude oil'!AC2536</f>
        <v>0</v>
      </c>
      <c r="AD2535">
        <f>'raw data Crude oil'!AD2536</f>
        <v>0</v>
      </c>
      <c r="AE2535">
        <f>'raw data Crude oil'!AE2536</f>
        <v>0</v>
      </c>
      <c r="AF2535">
        <f>'raw data Crude oil'!AF2536</f>
        <v>0</v>
      </c>
      <c r="AG2535">
        <f>'raw data Crude oil'!AG2536</f>
        <v>0</v>
      </c>
      <c r="AH2535">
        <f>'raw data Crude oil'!AH2536</f>
        <v>0</v>
      </c>
      <c r="AI2535">
        <f>'raw data Crude oil'!AI2536</f>
        <v>0</v>
      </c>
      <c r="AJ2535">
        <f>'raw data Crude oil'!AJ2536</f>
        <v>0</v>
      </c>
      <c r="AK2535">
        <f>'raw data Crude oil'!AK2536</f>
        <v>0</v>
      </c>
    </row>
    <row r="2536" spans="1:37" x14ac:dyDescent="0.3">
      <c r="A2536" s="18">
        <f>'raw data Crude oil'!A2537</f>
        <v>0</v>
      </c>
      <c r="B2536">
        <f>'raw data Crude oil'!B2537</f>
        <v>0</v>
      </c>
      <c r="C2536">
        <f>'raw data Crude oil'!C2537</f>
        <v>0</v>
      </c>
      <c r="D2536">
        <f>'raw data Crude oil'!D2537</f>
        <v>0</v>
      </c>
      <c r="E2536">
        <f>'raw data Crude oil'!E2537</f>
        <v>0</v>
      </c>
      <c r="F2536">
        <f>'raw data Crude oil'!F2537</f>
        <v>0</v>
      </c>
      <c r="G2536">
        <f>'raw data Crude oil'!G2537</f>
        <v>0</v>
      </c>
      <c r="H2536">
        <f>'raw data Crude oil'!H2537</f>
        <v>0</v>
      </c>
      <c r="I2536">
        <f>'raw data Crude oil'!I2537</f>
        <v>0</v>
      </c>
      <c r="J2536">
        <f>'raw data Crude oil'!J2537</f>
        <v>0</v>
      </c>
      <c r="K2536">
        <f>'raw data Crude oil'!K2537</f>
        <v>0</v>
      </c>
      <c r="L2536">
        <f>'raw data Crude oil'!L2537</f>
        <v>0</v>
      </c>
      <c r="M2536">
        <f>'raw data Crude oil'!M2537</f>
        <v>0</v>
      </c>
      <c r="N2536">
        <f>'raw data Crude oil'!N2537</f>
        <v>0</v>
      </c>
      <c r="O2536">
        <f>'raw data Crude oil'!O2537</f>
        <v>0</v>
      </c>
      <c r="P2536">
        <f>'raw data Crude oil'!P2537</f>
        <v>0</v>
      </c>
      <c r="Q2536">
        <f>'raw data Crude oil'!Q2537</f>
        <v>0</v>
      </c>
      <c r="R2536">
        <f>'raw data Crude oil'!R2537</f>
        <v>0</v>
      </c>
      <c r="S2536">
        <f>'raw data Crude oil'!S2537</f>
        <v>0</v>
      </c>
      <c r="T2536">
        <f>'raw data Crude oil'!T2537</f>
        <v>0</v>
      </c>
      <c r="U2536">
        <f>'raw data Crude oil'!U2537</f>
        <v>0</v>
      </c>
      <c r="V2536">
        <f>'raw data Crude oil'!V2537</f>
        <v>0</v>
      </c>
      <c r="W2536">
        <f>'raw data Crude oil'!W2537</f>
        <v>0</v>
      </c>
      <c r="X2536">
        <f>'raw data Crude oil'!X2537</f>
        <v>0</v>
      </c>
      <c r="Y2536">
        <f>'raw data Crude oil'!Y2537</f>
        <v>0</v>
      </c>
      <c r="Z2536">
        <f>'raw data Crude oil'!Z2537</f>
        <v>0</v>
      </c>
      <c r="AA2536">
        <f>'raw data Crude oil'!AA2537</f>
        <v>0</v>
      </c>
      <c r="AB2536">
        <f>'raw data Crude oil'!AB2537</f>
        <v>0</v>
      </c>
      <c r="AC2536">
        <f>'raw data Crude oil'!AC2537</f>
        <v>0</v>
      </c>
      <c r="AD2536">
        <f>'raw data Crude oil'!AD2537</f>
        <v>0</v>
      </c>
      <c r="AE2536">
        <f>'raw data Crude oil'!AE2537</f>
        <v>0</v>
      </c>
      <c r="AF2536">
        <f>'raw data Crude oil'!AF2537</f>
        <v>0</v>
      </c>
      <c r="AG2536">
        <f>'raw data Crude oil'!AG2537</f>
        <v>0</v>
      </c>
      <c r="AH2536">
        <f>'raw data Crude oil'!AH2537</f>
        <v>0</v>
      </c>
      <c r="AI2536">
        <f>'raw data Crude oil'!AI2537</f>
        <v>0</v>
      </c>
      <c r="AJ2536">
        <f>'raw data Crude oil'!AJ2537</f>
        <v>0</v>
      </c>
      <c r="AK2536">
        <f>'raw data Crude oil'!AK2537</f>
        <v>0</v>
      </c>
    </row>
    <row r="2537" spans="1:37" x14ac:dyDescent="0.3">
      <c r="A2537" s="18">
        <f>'raw data Crude oil'!A2538</f>
        <v>0</v>
      </c>
      <c r="B2537">
        <f>'raw data Crude oil'!B2538</f>
        <v>0</v>
      </c>
      <c r="C2537">
        <f>'raw data Crude oil'!C2538</f>
        <v>0</v>
      </c>
      <c r="D2537">
        <f>'raw data Crude oil'!D2538</f>
        <v>0</v>
      </c>
      <c r="E2537">
        <f>'raw data Crude oil'!E2538</f>
        <v>0</v>
      </c>
      <c r="F2537">
        <f>'raw data Crude oil'!F2538</f>
        <v>0</v>
      </c>
      <c r="G2537">
        <f>'raw data Crude oil'!G2538</f>
        <v>0</v>
      </c>
      <c r="H2537">
        <f>'raw data Crude oil'!H2538</f>
        <v>0</v>
      </c>
      <c r="I2537">
        <f>'raw data Crude oil'!I2538</f>
        <v>0</v>
      </c>
      <c r="J2537">
        <f>'raw data Crude oil'!J2538</f>
        <v>0</v>
      </c>
      <c r="K2537">
        <f>'raw data Crude oil'!K2538</f>
        <v>0</v>
      </c>
      <c r="L2537">
        <f>'raw data Crude oil'!L2538</f>
        <v>0</v>
      </c>
      <c r="M2537">
        <f>'raw data Crude oil'!M2538</f>
        <v>0</v>
      </c>
      <c r="N2537">
        <f>'raw data Crude oil'!N2538</f>
        <v>0</v>
      </c>
      <c r="O2537">
        <f>'raw data Crude oil'!O2538</f>
        <v>0</v>
      </c>
      <c r="P2537">
        <f>'raw data Crude oil'!P2538</f>
        <v>0</v>
      </c>
      <c r="Q2537">
        <f>'raw data Crude oil'!Q2538</f>
        <v>0</v>
      </c>
      <c r="R2537">
        <f>'raw data Crude oil'!R2538</f>
        <v>0</v>
      </c>
      <c r="S2537">
        <f>'raw data Crude oil'!S2538</f>
        <v>0</v>
      </c>
      <c r="T2537">
        <f>'raw data Crude oil'!T2538</f>
        <v>0</v>
      </c>
      <c r="U2537">
        <f>'raw data Crude oil'!U2538</f>
        <v>0</v>
      </c>
      <c r="V2537">
        <f>'raw data Crude oil'!V2538</f>
        <v>0</v>
      </c>
      <c r="W2537">
        <f>'raw data Crude oil'!W2538</f>
        <v>0</v>
      </c>
      <c r="X2537">
        <f>'raw data Crude oil'!X2538</f>
        <v>0</v>
      </c>
      <c r="Y2537">
        <f>'raw data Crude oil'!Y2538</f>
        <v>0</v>
      </c>
      <c r="Z2537">
        <f>'raw data Crude oil'!Z2538</f>
        <v>0</v>
      </c>
      <c r="AA2537">
        <f>'raw data Crude oil'!AA2538</f>
        <v>0</v>
      </c>
      <c r="AB2537">
        <f>'raw data Crude oil'!AB2538</f>
        <v>0</v>
      </c>
      <c r="AC2537">
        <f>'raw data Crude oil'!AC2538</f>
        <v>0</v>
      </c>
      <c r="AD2537">
        <f>'raw data Crude oil'!AD2538</f>
        <v>0</v>
      </c>
      <c r="AE2537">
        <f>'raw data Crude oil'!AE2538</f>
        <v>0</v>
      </c>
      <c r="AF2537">
        <f>'raw data Crude oil'!AF2538</f>
        <v>0</v>
      </c>
      <c r="AG2537">
        <f>'raw data Crude oil'!AG2538</f>
        <v>0</v>
      </c>
      <c r="AH2537">
        <f>'raw data Crude oil'!AH2538</f>
        <v>0</v>
      </c>
      <c r="AI2537">
        <f>'raw data Crude oil'!AI2538</f>
        <v>0</v>
      </c>
      <c r="AJ2537">
        <f>'raw data Crude oil'!AJ2538</f>
        <v>0</v>
      </c>
      <c r="AK2537">
        <f>'raw data Crude oil'!AK2538</f>
        <v>0</v>
      </c>
    </row>
    <row r="2538" spans="1:37" x14ac:dyDescent="0.3">
      <c r="A2538" s="18">
        <f>'raw data Crude oil'!A2539</f>
        <v>0</v>
      </c>
      <c r="B2538">
        <f>'raw data Crude oil'!B2539</f>
        <v>0</v>
      </c>
      <c r="C2538">
        <f>'raw data Crude oil'!C2539</f>
        <v>0</v>
      </c>
      <c r="D2538">
        <f>'raw data Crude oil'!D2539</f>
        <v>0</v>
      </c>
      <c r="E2538">
        <f>'raw data Crude oil'!E2539</f>
        <v>0</v>
      </c>
      <c r="F2538">
        <f>'raw data Crude oil'!F2539</f>
        <v>0</v>
      </c>
      <c r="G2538">
        <f>'raw data Crude oil'!G2539</f>
        <v>0</v>
      </c>
      <c r="H2538">
        <f>'raw data Crude oil'!H2539</f>
        <v>0</v>
      </c>
      <c r="I2538">
        <f>'raw data Crude oil'!I2539</f>
        <v>0</v>
      </c>
      <c r="J2538">
        <f>'raw data Crude oil'!J2539</f>
        <v>0</v>
      </c>
      <c r="K2538">
        <f>'raw data Crude oil'!K2539</f>
        <v>0</v>
      </c>
      <c r="L2538">
        <f>'raw data Crude oil'!L2539</f>
        <v>0</v>
      </c>
      <c r="M2538">
        <f>'raw data Crude oil'!M2539</f>
        <v>0</v>
      </c>
      <c r="N2538">
        <f>'raw data Crude oil'!N2539</f>
        <v>0</v>
      </c>
      <c r="O2538">
        <f>'raw data Crude oil'!O2539</f>
        <v>0</v>
      </c>
      <c r="P2538">
        <f>'raw data Crude oil'!P2539</f>
        <v>0</v>
      </c>
      <c r="Q2538">
        <f>'raw data Crude oil'!Q2539</f>
        <v>0</v>
      </c>
      <c r="R2538">
        <f>'raw data Crude oil'!R2539</f>
        <v>0</v>
      </c>
      <c r="S2538">
        <f>'raw data Crude oil'!S2539</f>
        <v>0</v>
      </c>
      <c r="T2538">
        <f>'raw data Crude oil'!T2539</f>
        <v>0</v>
      </c>
      <c r="U2538">
        <f>'raw data Crude oil'!U2539</f>
        <v>0</v>
      </c>
      <c r="V2538">
        <f>'raw data Crude oil'!V2539</f>
        <v>0</v>
      </c>
      <c r="W2538">
        <f>'raw data Crude oil'!W2539</f>
        <v>0</v>
      </c>
      <c r="X2538">
        <f>'raw data Crude oil'!X2539</f>
        <v>0</v>
      </c>
      <c r="Y2538">
        <f>'raw data Crude oil'!Y2539</f>
        <v>0</v>
      </c>
      <c r="Z2538">
        <f>'raw data Crude oil'!Z2539</f>
        <v>0</v>
      </c>
      <c r="AA2538">
        <f>'raw data Crude oil'!AA2539</f>
        <v>0</v>
      </c>
      <c r="AB2538">
        <f>'raw data Crude oil'!AB2539</f>
        <v>0</v>
      </c>
      <c r="AC2538">
        <f>'raw data Crude oil'!AC2539</f>
        <v>0</v>
      </c>
      <c r="AD2538">
        <f>'raw data Crude oil'!AD2539</f>
        <v>0</v>
      </c>
      <c r="AE2538">
        <f>'raw data Crude oil'!AE2539</f>
        <v>0</v>
      </c>
      <c r="AF2538">
        <f>'raw data Crude oil'!AF2539</f>
        <v>0</v>
      </c>
      <c r="AG2538">
        <f>'raw data Crude oil'!AG2539</f>
        <v>0</v>
      </c>
      <c r="AH2538">
        <f>'raw data Crude oil'!AH2539</f>
        <v>0</v>
      </c>
      <c r="AI2538">
        <f>'raw data Crude oil'!AI2539</f>
        <v>0</v>
      </c>
      <c r="AJ2538">
        <f>'raw data Crude oil'!AJ2539</f>
        <v>0</v>
      </c>
      <c r="AK2538">
        <f>'raw data Crude oil'!AK2539</f>
        <v>0</v>
      </c>
    </row>
    <row r="2539" spans="1:37" x14ac:dyDescent="0.3">
      <c r="A2539" s="18">
        <f>'raw data Crude oil'!A2540</f>
        <v>0</v>
      </c>
      <c r="B2539">
        <f>'raw data Crude oil'!B2540</f>
        <v>0</v>
      </c>
      <c r="C2539">
        <f>'raw data Crude oil'!C2540</f>
        <v>0</v>
      </c>
      <c r="D2539">
        <f>'raw data Crude oil'!D2540</f>
        <v>0</v>
      </c>
      <c r="E2539">
        <f>'raw data Crude oil'!E2540</f>
        <v>0</v>
      </c>
      <c r="F2539">
        <f>'raw data Crude oil'!F2540</f>
        <v>0</v>
      </c>
      <c r="G2539">
        <f>'raw data Crude oil'!G2540</f>
        <v>0</v>
      </c>
      <c r="H2539">
        <f>'raw data Crude oil'!H2540</f>
        <v>0</v>
      </c>
      <c r="I2539">
        <f>'raw data Crude oil'!I2540</f>
        <v>0</v>
      </c>
      <c r="J2539">
        <f>'raw data Crude oil'!J2540</f>
        <v>0</v>
      </c>
      <c r="K2539">
        <f>'raw data Crude oil'!K2540</f>
        <v>0</v>
      </c>
      <c r="L2539">
        <f>'raw data Crude oil'!L2540</f>
        <v>0</v>
      </c>
      <c r="M2539">
        <f>'raw data Crude oil'!M2540</f>
        <v>0</v>
      </c>
      <c r="N2539">
        <f>'raw data Crude oil'!N2540</f>
        <v>0</v>
      </c>
      <c r="O2539">
        <f>'raw data Crude oil'!O2540</f>
        <v>0</v>
      </c>
      <c r="P2539">
        <f>'raw data Crude oil'!P2540</f>
        <v>0</v>
      </c>
      <c r="Q2539">
        <f>'raw data Crude oil'!Q2540</f>
        <v>0</v>
      </c>
      <c r="R2539">
        <f>'raw data Crude oil'!R2540</f>
        <v>0</v>
      </c>
      <c r="S2539">
        <f>'raw data Crude oil'!S2540</f>
        <v>0</v>
      </c>
      <c r="T2539">
        <f>'raw data Crude oil'!T2540</f>
        <v>0</v>
      </c>
      <c r="U2539">
        <f>'raw data Crude oil'!U2540</f>
        <v>0</v>
      </c>
      <c r="V2539">
        <f>'raw data Crude oil'!V2540</f>
        <v>0</v>
      </c>
      <c r="W2539">
        <f>'raw data Crude oil'!W2540</f>
        <v>0</v>
      </c>
      <c r="X2539">
        <f>'raw data Crude oil'!X2540</f>
        <v>0</v>
      </c>
      <c r="Y2539">
        <f>'raw data Crude oil'!Y2540</f>
        <v>0</v>
      </c>
      <c r="Z2539">
        <f>'raw data Crude oil'!Z2540</f>
        <v>0</v>
      </c>
      <c r="AA2539">
        <f>'raw data Crude oil'!AA2540</f>
        <v>0</v>
      </c>
      <c r="AB2539">
        <f>'raw data Crude oil'!AB2540</f>
        <v>0</v>
      </c>
      <c r="AC2539">
        <f>'raw data Crude oil'!AC2540</f>
        <v>0</v>
      </c>
      <c r="AD2539">
        <f>'raw data Crude oil'!AD2540</f>
        <v>0</v>
      </c>
      <c r="AE2539">
        <f>'raw data Crude oil'!AE2540</f>
        <v>0</v>
      </c>
      <c r="AF2539">
        <f>'raw data Crude oil'!AF2540</f>
        <v>0</v>
      </c>
      <c r="AG2539">
        <f>'raw data Crude oil'!AG2540</f>
        <v>0</v>
      </c>
      <c r="AH2539">
        <f>'raw data Crude oil'!AH2540</f>
        <v>0</v>
      </c>
      <c r="AI2539">
        <f>'raw data Crude oil'!AI2540</f>
        <v>0</v>
      </c>
      <c r="AJ2539">
        <f>'raw data Crude oil'!AJ2540</f>
        <v>0</v>
      </c>
      <c r="AK2539">
        <f>'raw data Crude oil'!AK2540</f>
        <v>0</v>
      </c>
    </row>
    <row r="2540" spans="1:37" x14ac:dyDescent="0.3">
      <c r="A2540" s="18">
        <f>'raw data Crude oil'!A2541</f>
        <v>0</v>
      </c>
      <c r="B2540">
        <f>'raw data Crude oil'!B2541</f>
        <v>0</v>
      </c>
      <c r="C2540">
        <f>'raw data Crude oil'!C2541</f>
        <v>0</v>
      </c>
      <c r="D2540">
        <f>'raw data Crude oil'!D2541</f>
        <v>0</v>
      </c>
      <c r="E2540">
        <f>'raw data Crude oil'!E2541</f>
        <v>0</v>
      </c>
      <c r="F2540">
        <f>'raw data Crude oil'!F2541</f>
        <v>0</v>
      </c>
      <c r="G2540">
        <f>'raw data Crude oil'!G2541</f>
        <v>0</v>
      </c>
      <c r="H2540">
        <f>'raw data Crude oil'!H2541</f>
        <v>0</v>
      </c>
      <c r="I2540">
        <f>'raw data Crude oil'!I2541</f>
        <v>0</v>
      </c>
      <c r="J2540">
        <f>'raw data Crude oil'!J2541</f>
        <v>0</v>
      </c>
      <c r="K2540">
        <f>'raw data Crude oil'!K2541</f>
        <v>0</v>
      </c>
      <c r="L2540">
        <f>'raw data Crude oil'!L2541</f>
        <v>0</v>
      </c>
      <c r="M2540">
        <f>'raw data Crude oil'!M2541</f>
        <v>0</v>
      </c>
      <c r="N2540">
        <f>'raw data Crude oil'!N2541</f>
        <v>0</v>
      </c>
      <c r="O2540">
        <f>'raw data Crude oil'!O2541</f>
        <v>0</v>
      </c>
      <c r="P2540">
        <f>'raw data Crude oil'!P2541</f>
        <v>0</v>
      </c>
      <c r="Q2540">
        <f>'raw data Crude oil'!Q2541</f>
        <v>0</v>
      </c>
      <c r="R2540">
        <f>'raw data Crude oil'!R2541</f>
        <v>0</v>
      </c>
      <c r="S2540">
        <f>'raw data Crude oil'!S2541</f>
        <v>0</v>
      </c>
      <c r="T2540">
        <f>'raw data Crude oil'!T2541</f>
        <v>0</v>
      </c>
      <c r="U2540">
        <f>'raw data Crude oil'!U2541</f>
        <v>0</v>
      </c>
      <c r="V2540">
        <f>'raw data Crude oil'!V2541</f>
        <v>0</v>
      </c>
      <c r="W2540">
        <f>'raw data Crude oil'!W2541</f>
        <v>0</v>
      </c>
      <c r="X2540">
        <f>'raw data Crude oil'!X2541</f>
        <v>0</v>
      </c>
      <c r="Y2540">
        <f>'raw data Crude oil'!Y2541</f>
        <v>0</v>
      </c>
      <c r="Z2540">
        <f>'raw data Crude oil'!Z2541</f>
        <v>0</v>
      </c>
      <c r="AA2540">
        <f>'raw data Crude oil'!AA2541</f>
        <v>0</v>
      </c>
      <c r="AB2540">
        <f>'raw data Crude oil'!AB2541</f>
        <v>0</v>
      </c>
      <c r="AC2540">
        <f>'raw data Crude oil'!AC2541</f>
        <v>0</v>
      </c>
      <c r="AD2540">
        <f>'raw data Crude oil'!AD2541</f>
        <v>0</v>
      </c>
      <c r="AE2540">
        <f>'raw data Crude oil'!AE2541</f>
        <v>0</v>
      </c>
      <c r="AF2540">
        <f>'raw data Crude oil'!AF2541</f>
        <v>0</v>
      </c>
      <c r="AG2540">
        <f>'raw data Crude oil'!AG2541</f>
        <v>0</v>
      </c>
      <c r="AH2540">
        <f>'raw data Crude oil'!AH2541</f>
        <v>0</v>
      </c>
      <c r="AI2540">
        <f>'raw data Crude oil'!AI2541</f>
        <v>0</v>
      </c>
      <c r="AJ2540">
        <f>'raw data Crude oil'!AJ2541</f>
        <v>0</v>
      </c>
      <c r="AK2540">
        <f>'raw data Crude oil'!AK2541</f>
        <v>0</v>
      </c>
    </row>
    <row r="2541" spans="1:37" x14ac:dyDescent="0.3">
      <c r="A2541" s="18">
        <f>'raw data Crude oil'!A2542</f>
        <v>0</v>
      </c>
      <c r="B2541">
        <f>'raw data Crude oil'!B2542</f>
        <v>0</v>
      </c>
      <c r="C2541">
        <f>'raw data Crude oil'!C2542</f>
        <v>0</v>
      </c>
      <c r="D2541">
        <f>'raw data Crude oil'!D2542</f>
        <v>0</v>
      </c>
      <c r="E2541">
        <f>'raw data Crude oil'!E2542</f>
        <v>0</v>
      </c>
      <c r="F2541">
        <f>'raw data Crude oil'!F2542</f>
        <v>0</v>
      </c>
      <c r="G2541">
        <f>'raw data Crude oil'!G2542</f>
        <v>0</v>
      </c>
      <c r="H2541">
        <f>'raw data Crude oil'!H2542</f>
        <v>0</v>
      </c>
      <c r="I2541">
        <f>'raw data Crude oil'!I2542</f>
        <v>0</v>
      </c>
      <c r="J2541">
        <f>'raw data Crude oil'!J2542</f>
        <v>0</v>
      </c>
      <c r="K2541">
        <f>'raw data Crude oil'!K2542</f>
        <v>0</v>
      </c>
      <c r="L2541">
        <f>'raw data Crude oil'!L2542</f>
        <v>0</v>
      </c>
      <c r="M2541">
        <f>'raw data Crude oil'!M2542</f>
        <v>0</v>
      </c>
      <c r="N2541">
        <f>'raw data Crude oil'!N2542</f>
        <v>0</v>
      </c>
      <c r="O2541">
        <f>'raw data Crude oil'!O2542</f>
        <v>0</v>
      </c>
      <c r="P2541">
        <f>'raw data Crude oil'!P2542</f>
        <v>0</v>
      </c>
      <c r="Q2541">
        <f>'raw data Crude oil'!Q2542</f>
        <v>0</v>
      </c>
      <c r="R2541">
        <f>'raw data Crude oil'!R2542</f>
        <v>0</v>
      </c>
      <c r="S2541">
        <f>'raw data Crude oil'!S2542</f>
        <v>0</v>
      </c>
      <c r="T2541">
        <f>'raw data Crude oil'!T2542</f>
        <v>0</v>
      </c>
      <c r="U2541">
        <f>'raw data Crude oil'!U2542</f>
        <v>0</v>
      </c>
      <c r="V2541">
        <f>'raw data Crude oil'!V2542</f>
        <v>0</v>
      </c>
      <c r="W2541">
        <f>'raw data Crude oil'!W2542</f>
        <v>0</v>
      </c>
      <c r="X2541">
        <f>'raw data Crude oil'!X2542</f>
        <v>0</v>
      </c>
      <c r="Y2541">
        <f>'raw data Crude oil'!Y2542</f>
        <v>0</v>
      </c>
      <c r="Z2541">
        <f>'raw data Crude oil'!Z2542</f>
        <v>0</v>
      </c>
      <c r="AA2541">
        <f>'raw data Crude oil'!AA2542</f>
        <v>0</v>
      </c>
      <c r="AB2541">
        <f>'raw data Crude oil'!AB2542</f>
        <v>0</v>
      </c>
      <c r="AC2541">
        <f>'raw data Crude oil'!AC2542</f>
        <v>0</v>
      </c>
      <c r="AD2541">
        <f>'raw data Crude oil'!AD2542</f>
        <v>0</v>
      </c>
      <c r="AE2541">
        <f>'raw data Crude oil'!AE2542</f>
        <v>0</v>
      </c>
      <c r="AF2541">
        <f>'raw data Crude oil'!AF2542</f>
        <v>0</v>
      </c>
      <c r="AG2541">
        <f>'raw data Crude oil'!AG2542</f>
        <v>0</v>
      </c>
      <c r="AH2541">
        <f>'raw data Crude oil'!AH2542</f>
        <v>0</v>
      </c>
      <c r="AI2541">
        <f>'raw data Crude oil'!AI2542</f>
        <v>0</v>
      </c>
      <c r="AJ2541">
        <f>'raw data Crude oil'!AJ2542</f>
        <v>0</v>
      </c>
      <c r="AK2541">
        <f>'raw data Crude oil'!AK2542</f>
        <v>0</v>
      </c>
    </row>
    <row r="2542" spans="1:37" x14ac:dyDescent="0.3">
      <c r="A2542" s="18">
        <f>'raw data Crude oil'!A2543</f>
        <v>0</v>
      </c>
      <c r="B2542">
        <f>'raw data Crude oil'!B2543</f>
        <v>0</v>
      </c>
      <c r="C2542">
        <f>'raw data Crude oil'!C2543</f>
        <v>0</v>
      </c>
      <c r="D2542">
        <f>'raw data Crude oil'!D2543</f>
        <v>0</v>
      </c>
      <c r="E2542">
        <f>'raw data Crude oil'!E2543</f>
        <v>0</v>
      </c>
      <c r="F2542">
        <f>'raw data Crude oil'!F2543</f>
        <v>0</v>
      </c>
      <c r="G2542">
        <f>'raw data Crude oil'!G2543</f>
        <v>0</v>
      </c>
      <c r="H2542">
        <f>'raw data Crude oil'!H2543</f>
        <v>0</v>
      </c>
      <c r="I2542">
        <f>'raw data Crude oil'!I2543</f>
        <v>0</v>
      </c>
      <c r="J2542">
        <f>'raw data Crude oil'!J2543</f>
        <v>0</v>
      </c>
      <c r="K2542">
        <f>'raw data Crude oil'!K2543</f>
        <v>0</v>
      </c>
      <c r="L2542">
        <f>'raw data Crude oil'!L2543</f>
        <v>0</v>
      </c>
      <c r="M2542">
        <f>'raw data Crude oil'!M2543</f>
        <v>0</v>
      </c>
      <c r="N2542">
        <f>'raw data Crude oil'!N2543</f>
        <v>0</v>
      </c>
      <c r="O2542">
        <f>'raw data Crude oil'!O2543</f>
        <v>0</v>
      </c>
      <c r="P2542">
        <f>'raw data Crude oil'!P2543</f>
        <v>0</v>
      </c>
      <c r="Q2542">
        <f>'raw data Crude oil'!Q2543</f>
        <v>0</v>
      </c>
      <c r="R2542">
        <f>'raw data Crude oil'!R2543</f>
        <v>0</v>
      </c>
      <c r="S2542">
        <f>'raw data Crude oil'!S2543</f>
        <v>0</v>
      </c>
      <c r="T2542">
        <f>'raw data Crude oil'!T2543</f>
        <v>0</v>
      </c>
      <c r="U2542">
        <f>'raw data Crude oil'!U2543</f>
        <v>0</v>
      </c>
      <c r="V2542">
        <f>'raw data Crude oil'!V2543</f>
        <v>0</v>
      </c>
      <c r="W2542">
        <f>'raw data Crude oil'!W2543</f>
        <v>0</v>
      </c>
      <c r="X2542">
        <f>'raw data Crude oil'!X2543</f>
        <v>0</v>
      </c>
      <c r="Y2542">
        <f>'raw data Crude oil'!Y2543</f>
        <v>0</v>
      </c>
      <c r="Z2542">
        <f>'raw data Crude oil'!Z2543</f>
        <v>0</v>
      </c>
      <c r="AA2542">
        <f>'raw data Crude oil'!AA2543</f>
        <v>0</v>
      </c>
      <c r="AB2542">
        <f>'raw data Crude oil'!AB2543</f>
        <v>0</v>
      </c>
      <c r="AC2542">
        <f>'raw data Crude oil'!AC2543</f>
        <v>0</v>
      </c>
      <c r="AD2542">
        <f>'raw data Crude oil'!AD2543</f>
        <v>0</v>
      </c>
      <c r="AE2542">
        <f>'raw data Crude oil'!AE2543</f>
        <v>0</v>
      </c>
      <c r="AF2542">
        <f>'raw data Crude oil'!AF2543</f>
        <v>0</v>
      </c>
      <c r="AG2542">
        <f>'raw data Crude oil'!AG2543</f>
        <v>0</v>
      </c>
      <c r="AH2542">
        <f>'raw data Crude oil'!AH2543</f>
        <v>0</v>
      </c>
      <c r="AI2542">
        <f>'raw data Crude oil'!AI2543</f>
        <v>0</v>
      </c>
      <c r="AJ2542">
        <f>'raw data Crude oil'!AJ2543</f>
        <v>0</v>
      </c>
      <c r="AK2542">
        <f>'raw data Crude oil'!AK2543</f>
        <v>0</v>
      </c>
    </row>
    <row r="2543" spans="1:37" x14ac:dyDescent="0.3">
      <c r="A2543" s="18">
        <f>'raw data Crude oil'!A2544</f>
        <v>0</v>
      </c>
      <c r="B2543">
        <f>'raw data Crude oil'!B2544</f>
        <v>0</v>
      </c>
      <c r="C2543">
        <f>'raw data Crude oil'!C2544</f>
        <v>0</v>
      </c>
      <c r="D2543">
        <f>'raw data Crude oil'!D2544</f>
        <v>0</v>
      </c>
      <c r="E2543">
        <f>'raw data Crude oil'!E2544</f>
        <v>0</v>
      </c>
      <c r="F2543">
        <f>'raw data Crude oil'!F2544</f>
        <v>0</v>
      </c>
      <c r="G2543">
        <f>'raw data Crude oil'!G2544</f>
        <v>0</v>
      </c>
      <c r="H2543">
        <f>'raw data Crude oil'!H2544</f>
        <v>0</v>
      </c>
      <c r="I2543">
        <f>'raw data Crude oil'!I2544</f>
        <v>0</v>
      </c>
      <c r="J2543">
        <f>'raw data Crude oil'!J2544</f>
        <v>0</v>
      </c>
      <c r="K2543">
        <f>'raw data Crude oil'!K2544</f>
        <v>0</v>
      </c>
      <c r="L2543">
        <f>'raw data Crude oil'!L2544</f>
        <v>0</v>
      </c>
      <c r="M2543">
        <f>'raw data Crude oil'!M2544</f>
        <v>0</v>
      </c>
      <c r="N2543">
        <f>'raw data Crude oil'!N2544</f>
        <v>0</v>
      </c>
      <c r="O2543">
        <f>'raw data Crude oil'!O2544</f>
        <v>0</v>
      </c>
      <c r="P2543">
        <f>'raw data Crude oil'!P2544</f>
        <v>0</v>
      </c>
      <c r="Q2543">
        <f>'raw data Crude oil'!Q2544</f>
        <v>0</v>
      </c>
      <c r="R2543">
        <f>'raw data Crude oil'!R2544</f>
        <v>0</v>
      </c>
      <c r="S2543">
        <f>'raw data Crude oil'!S2544</f>
        <v>0</v>
      </c>
      <c r="T2543">
        <f>'raw data Crude oil'!T2544</f>
        <v>0</v>
      </c>
      <c r="U2543">
        <f>'raw data Crude oil'!U2544</f>
        <v>0</v>
      </c>
      <c r="V2543">
        <f>'raw data Crude oil'!V2544</f>
        <v>0</v>
      </c>
      <c r="W2543">
        <f>'raw data Crude oil'!W2544</f>
        <v>0</v>
      </c>
      <c r="X2543">
        <f>'raw data Crude oil'!X2544</f>
        <v>0</v>
      </c>
      <c r="Y2543">
        <f>'raw data Crude oil'!Y2544</f>
        <v>0</v>
      </c>
      <c r="Z2543">
        <f>'raw data Crude oil'!Z2544</f>
        <v>0</v>
      </c>
      <c r="AA2543">
        <f>'raw data Crude oil'!AA2544</f>
        <v>0</v>
      </c>
      <c r="AB2543">
        <f>'raw data Crude oil'!AB2544</f>
        <v>0</v>
      </c>
      <c r="AC2543">
        <f>'raw data Crude oil'!AC2544</f>
        <v>0</v>
      </c>
      <c r="AD2543">
        <f>'raw data Crude oil'!AD2544</f>
        <v>0</v>
      </c>
      <c r="AE2543">
        <f>'raw data Crude oil'!AE2544</f>
        <v>0</v>
      </c>
      <c r="AF2543">
        <f>'raw data Crude oil'!AF2544</f>
        <v>0</v>
      </c>
      <c r="AG2543">
        <f>'raw data Crude oil'!AG2544</f>
        <v>0</v>
      </c>
      <c r="AH2543">
        <f>'raw data Crude oil'!AH2544</f>
        <v>0</v>
      </c>
      <c r="AI2543">
        <f>'raw data Crude oil'!AI2544</f>
        <v>0</v>
      </c>
      <c r="AJ2543">
        <f>'raw data Crude oil'!AJ2544</f>
        <v>0</v>
      </c>
      <c r="AK2543">
        <f>'raw data Crude oil'!AK2544</f>
        <v>0</v>
      </c>
    </row>
    <row r="2544" spans="1:37" x14ac:dyDescent="0.3">
      <c r="A2544" s="18">
        <f>'raw data Crude oil'!A2545</f>
        <v>0</v>
      </c>
      <c r="B2544">
        <f>'raw data Crude oil'!B2545</f>
        <v>0</v>
      </c>
      <c r="C2544">
        <f>'raw data Crude oil'!C2545</f>
        <v>0</v>
      </c>
      <c r="D2544">
        <f>'raw data Crude oil'!D2545</f>
        <v>0</v>
      </c>
      <c r="E2544">
        <f>'raw data Crude oil'!E2545</f>
        <v>0</v>
      </c>
      <c r="F2544">
        <f>'raw data Crude oil'!F2545</f>
        <v>0</v>
      </c>
      <c r="G2544">
        <f>'raw data Crude oil'!G2545</f>
        <v>0</v>
      </c>
      <c r="H2544">
        <f>'raw data Crude oil'!H2545</f>
        <v>0</v>
      </c>
      <c r="I2544">
        <f>'raw data Crude oil'!I2545</f>
        <v>0</v>
      </c>
      <c r="J2544">
        <f>'raw data Crude oil'!J2545</f>
        <v>0</v>
      </c>
      <c r="K2544">
        <f>'raw data Crude oil'!K2545</f>
        <v>0</v>
      </c>
      <c r="L2544">
        <f>'raw data Crude oil'!L2545</f>
        <v>0</v>
      </c>
      <c r="M2544">
        <f>'raw data Crude oil'!M2545</f>
        <v>0</v>
      </c>
      <c r="N2544">
        <f>'raw data Crude oil'!N2545</f>
        <v>0</v>
      </c>
      <c r="O2544">
        <f>'raw data Crude oil'!O2545</f>
        <v>0</v>
      </c>
      <c r="P2544">
        <f>'raw data Crude oil'!P2545</f>
        <v>0</v>
      </c>
      <c r="Q2544">
        <f>'raw data Crude oil'!Q2545</f>
        <v>0</v>
      </c>
      <c r="R2544">
        <f>'raw data Crude oil'!R2545</f>
        <v>0</v>
      </c>
      <c r="S2544">
        <f>'raw data Crude oil'!S2545</f>
        <v>0</v>
      </c>
      <c r="T2544">
        <f>'raw data Crude oil'!T2545</f>
        <v>0</v>
      </c>
      <c r="U2544">
        <f>'raw data Crude oil'!U2545</f>
        <v>0</v>
      </c>
      <c r="V2544">
        <f>'raw data Crude oil'!V2545</f>
        <v>0</v>
      </c>
      <c r="W2544">
        <f>'raw data Crude oil'!W2545</f>
        <v>0</v>
      </c>
      <c r="X2544">
        <f>'raw data Crude oil'!X2545</f>
        <v>0</v>
      </c>
      <c r="Y2544">
        <f>'raw data Crude oil'!Y2545</f>
        <v>0</v>
      </c>
      <c r="Z2544">
        <f>'raw data Crude oil'!Z2545</f>
        <v>0</v>
      </c>
      <c r="AA2544">
        <f>'raw data Crude oil'!AA2545</f>
        <v>0</v>
      </c>
      <c r="AB2544">
        <f>'raw data Crude oil'!AB2545</f>
        <v>0</v>
      </c>
      <c r="AC2544">
        <f>'raw data Crude oil'!AC2545</f>
        <v>0</v>
      </c>
      <c r="AD2544">
        <f>'raw data Crude oil'!AD2545</f>
        <v>0</v>
      </c>
      <c r="AE2544">
        <f>'raw data Crude oil'!AE2545</f>
        <v>0</v>
      </c>
      <c r="AF2544">
        <f>'raw data Crude oil'!AF2545</f>
        <v>0</v>
      </c>
      <c r="AG2544">
        <f>'raw data Crude oil'!AG2545</f>
        <v>0</v>
      </c>
      <c r="AH2544">
        <f>'raw data Crude oil'!AH2545</f>
        <v>0</v>
      </c>
      <c r="AI2544">
        <f>'raw data Crude oil'!AI2545</f>
        <v>0</v>
      </c>
      <c r="AJ2544">
        <f>'raw data Crude oil'!AJ2545</f>
        <v>0</v>
      </c>
      <c r="AK2544">
        <f>'raw data Crude oil'!AK2545</f>
        <v>0</v>
      </c>
    </row>
    <row r="2545" spans="1:37" x14ac:dyDescent="0.3">
      <c r="A2545" s="18">
        <f>'raw data Crude oil'!A2546</f>
        <v>0</v>
      </c>
      <c r="B2545">
        <f>'raw data Crude oil'!B2546</f>
        <v>0</v>
      </c>
      <c r="C2545">
        <f>'raw data Crude oil'!C2546</f>
        <v>0</v>
      </c>
      <c r="D2545">
        <f>'raw data Crude oil'!D2546</f>
        <v>0</v>
      </c>
      <c r="E2545">
        <f>'raw data Crude oil'!E2546</f>
        <v>0</v>
      </c>
      <c r="F2545">
        <f>'raw data Crude oil'!F2546</f>
        <v>0</v>
      </c>
      <c r="G2545">
        <f>'raw data Crude oil'!G2546</f>
        <v>0</v>
      </c>
      <c r="H2545">
        <f>'raw data Crude oil'!H2546</f>
        <v>0</v>
      </c>
      <c r="I2545">
        <f>'raw data Crude oil'!I2546</f>
        <v>0</v>
      </c>
      <c r="J2545">
        <f>'raw data Crude oil'!J2546</f>
        <v>0</v>
      </c>
      <c r="K2545">
        <f>'raw data Crude oil'!K2546</f>
        <v>0</v>
      </c>
      <c r="L2545">
        <f>'raw data Crude oil'!L2546</f>
        <v>0</v>
      </c>
      <c r="M2545">
        <f>'raw data Crude oil'!M2546</f>
        <v>0</v>
      </c>
      <c r="N2545">
        <f>'raw data Crude oil'!N2546</f>
        <v>0</v>
      </c>
      <c r="O2545">
        <f>'raw data Crude oil'!O2546</f>
        <v>0</v>
      </c>
      <c r="P2545">
        <f>'raw data Crude oil'!P2546</f>
        <v>0</v>
      </c>
      <c r="Q2545">
        <f>'raw data Crude oil'!Q2546</f>
        <v>0</v>
      </c>
      <c r="R2545">
        <f>'raw data Crude oil'!R2546</f>
        <v>0</v>
      </c>
      <c r="S2545">
        <f>'raw data Crude oil'!S2546</f>
        <v>0</v>
      </c>
      <c r="T2545">
        <f>'raw data Crude oil'!T2546</f>
        <v>0</v>
      </c>
      <c r="U2545">
        <f>'raw data Crude oil'!U2546</f>
        <v>0</v>
      </c>
      <c r="V2545">
        <f>'raw data Crude oil'!V2546</f>
        <v>0</v>
      </c>
      <c r="W2545">
        <f>'raw data Crude oil'!W2546</f>
        <v>0</v>
      </c>
      <c r="X2545">
        <f>'raw data Crude oil'!X2546</f>
        <v>0</v>
      </c>
      <c r="Y2545">
        <f>'raw data Crude oil'!Y2546</f>
        <v>0</v>
      </c>
      <c r="Z2545">
        <f>'raw data Crude oil'!Z2546</f>
        <v>0</v>
      </c>
      <c r="AA2545">
        <f>'raw data Crude oil'!AA2546</f>
        <v>0</v>
      </c>
      <c r="AB2545">
        <f>'raw data Crude oil'!AB2546</f>
        <v>0</v>
      </c>
      <c r="AC2545">
        <f>'raw data Crude oil'!AC2546</f>
        <v>0</v>
      </c>
      <c r="AD2545">
        <f>'raw data Crude oil'!AD2546</f>
        <v>0</v>
      </c>
      <c r="AE2545">
        <f>'raw data Crude oil'!AE2546</f>
        <v>0</v>
      </c>
      <c r="AF2545">
        <f>'raw data Crude oil'!AF2546</f>
        <v>0</v>
      </c>
      <c r="AG2545">
        <f>'raw data Crude oil'!AG2546</f>
        <v>0</v>
      </c>
      <c r="AH2545">
        <f>'raw data Crude oil'!AH2546</f>
        <v>0</v>
      </c>
      <c r="AI2545">
        <f>'raw data Crude oil'!AI2546</f>
        <v>0</v>
      </c>
      <c r="AJ2545">
        <f>'raw data Crude oil'!AJ2546</f>
        <v>0</v>
      </c>
      <c r="AK2545">
        <f>'raw data Crude oil'!AK2546</f>
        <v>0</v>
      </c>
    </row>
    <row r="2546" spans="1:37" x14ac:dyDescent="0.3">
      <c r="A2546" s="18">
        <f>'raw data Crude oil'!A2547</f>
        <v>0</v>
      </c>
      <c r="B2546">
        <f>'raw data Crude oil'!B2547</f>
        <v>0</v>
      </c>
      <c r="C2546">
        <f>'raw data Crude oil'!C2547</f>
        <v>0</v>
      </c>
      <c r="D2546">
        <f>'raw data Crude oil'!D2547</f>
        <v>0</v>
      </c>
      <c r="E2546">
        <f>'raw data Crude oil'!E2547</f>
        <v>0</v>
      </c>
      <c r="F2546">
        <f>'raw data Crude oil'!F2547</f>
        <v>0</v>
      </c>
      <c r="G2546">
        <f>'raw data Crude oil'!G2547</f>
        <v>0</v>
      </c>
      <c r="H2546">
        <f>'raw data Crude oil'!H2547</f>
        <v>0</v>
      </c>
      <c r="I2546">
        <f>'raw data Crude oil'!I2547</f>
        <v>0</v>
      </c>
      <c r="J2546">
        <f>'raw data Crude oil'!J2547</f>
        <v>0</v>
      </c>
      <c r="K2546">
        <f>'raw data Crude oil'!K2547</f>
        <v>0</v>
      </c>
      <c r="L2546">
        <f>'raw data Crude oil'!L2547</f>
        <v>0</v>
      </c>
      <c r="M2546">
        <f>'raw data Crude oil'!M2547</f>
        <v>0</v>
      </c>
      <c r="N2546">
        <f>'raw data Crude oil'!N2547</f>
        <v>0</v>
      </c>
      <c r="O2546">
        <f>'raw data Crude oil'!O2547</f>
        <v>0</v>
      </c>
      <c r="P2546">
        <f>'raw data Crude oil'!P2547</f>
        <v>0</v>
      </c>
      <c r="Q2546">
        <f>'raw data Crude oil'!Q2547</f>
        <v>0</v>
      </c>
      <c r="R2546">
        <f>'raw data Crude oil'!R2547</f>
        <v>0</v>
      </c>
      <c r="S2546">
        <f>'raw data Crude oil'!S2547</f>
        <v>0</v>
      </c>
      <c r="T2546">
        <f>'raw data Crude oil'!T2547</f>
        <v>0</v>
      </c>
      <c r="U2546">
        <f>'raw data Crude oil'!U2547</f>
        <v>0</v>
      </c>
      <c r="V2546">
        <f>'raw data Crude oil'!V2547</f>
        <v>0</v>
      </c>
      <c r="W2546">
        <f>'raw data Crude oil'!W2547</f>
        <v>0</v>
      </c>
      <c r="X2546">
        <f>'raw data Crude oil'!X2547</f>
        <v>0</v>
      </c>
      <c r="Y2546">
        <f>'raw data Crude oil'!Y2547</f>
        <v>0</v>
      </c>
      <c r="Z2546">
        <f>'raw data Crude oil'!Z2547</f>
        <v>0</v>
      </c>
      <c r="AA2546">
        <f>'raw data Crude oil'!AA2547</f>
        <v>0</v>
      </c>
      <c r="AB2546">
        <f>'raw data Crude oil'!AB2547</f>
        <v>0</v>
      </c>
      <c r="AC2546">
        <f>'raw data Crude oil'!AC2547</f>
        <v>0</v>
      </c>
      <c r="AD2546">
        <f>'raw data Crude oil'!AD2547</f>
        <v>0</v>
      </c>
      <c r="AE2546">
        <f>'raw data Crude oil'!AE2547</f>
        <v>0</v>
      </c>
      <c r="AF2546">
        <f>'raw data Crude oil'!AF2547</f>
        <v>0</v>
      </c>
      <c r="AG2546">
        <f>'raw data Crude oil'!AG2547</f>
        <v>0</v>
      </c>
      <c r="AH2546">
        <f>'raw data Crude oil'!AH2547</f>
        <v>0</v>
      </c>
      <c r="AI2546">
        <f>'raw data Crude oil'!AI2547</f>
        <v>0</v>
      </c>
      <c r="AJ2546">
        <f>'raw data Crude oil'!AJ2547</f>
        <v>0</v>
      </c>
      <c r="AK2546">
        <f>'raw data Crude oil'!AK2547</f>
        <v>0</v>
      </c>
    </row>
    <row r="2547" spans="1:37" x14ac:dyDescent="0.3">
      <c r="A2547" s="18">
        <f>'raw data Crude oil'!A2548</f>
        <v>0</v>
      </c>
      <c r="B2547">
        <f>'raw data Crude oil'!B2548</f>
        <v>0</v>
      </c>
      <c r="C2547">
        <f>'raw data Crude oil'!C2548</f>
        <v>0</v>
      </c>
      <c r="D2547">
        <f>'raw data Crude oil'!D2548</f>
        <v>0</v>
      </c>
      <c r="E2547">
        <f>'raw data Crude oil'!E2548</f>
        <v>0</v>
      </c>
      <c r="F2547">
        <f>'raw data Crude oil'!F2548</f>
        <v>0</v>
      </c>
      <c r="G2547">
        <f>'raw data Crude oil'!G2548</f>
        <v>0</v>
      </c>
      <c r="H2547">
        <f>'raw data Crude oil'!H2548</f>
        <v>0</v>
      </c>
      <c r="I2547">
        <f>'raw data Crude oil'!I2548</f>
        <v>0</v>
      </c>
      <c r="J2547">
        <f>'raw data Crude oil'!J2548</f>
        <v>0</v>
      </c>
      <c r="K2547">
        <f>'raw data Crude oil'!K2548</f>
        <v>0</v>
      </c>
      <c r="L2547">
        <f>'raw data Crude oil'!L2548</f>
        <v>0</v>
      </c>
      <c r="M2547">
        <f>'raw data Crude oil'!M2548</f>
        <v>0</v>
      </c>
      <c r="N2547">
        <f>'raw data Crude oil'!N2548</f>
        <v>0</v>
      </c>
      <c r="O2547">
        <f>'raw data Crude oil'!O2548</f>
        <v>0</v>
      </c>
      <c r="P2547">
        <f>'raw data Crude oil'!P2548</f>
        <v>0</v>
      </c>
      <c r="Q2547">
        <f>'raw data Crude oil'!Q2548</f>
        <v>0</v>
      </c>
      <c r="R2547">
        <f>'raw data Crude oil'!R2548</f>
        <v>0</v>
      </c>
      <c r="S2547">
        <f>'raw data Crude oil'!S2548</f>
        <v>0</v>
      </c>
      <c r="T2547">
        <f>'raw data Crude oil'!T2548</f>
        <v>0</v>
      </c>
      <c r="U2547">
        <f>'raw data Crude oil'!U2548</f>
        <v>0</v>
      </c>
      <c r="V2547">
        <f>'raw data Crude oil'!V2548</f>
        <v>0</v>
      </c>
      <c r="W2547">
        <f>'raw data Crude oil'!W2548</f>
        <v>0</v>
      </c>
      <c r="X2547">
        <f>'raw data Crude oil'!X2548</f>
        <v>0</v>
      </c>
      <c r="Y2547">
        <f>'raw data Crude oil'!Y2548</f>
        <v>0</v>
      </c>
      <c r="Z2547">
        <f>'raw data Crude oil'!Z2548</f>
        <v>0</v>
      </c>
      <c r="AA2547">
        <f>'raw data Crude oil'!AA2548</f>
        <v>0</v>
      </c>
      <c r="AB2547">
        <f>'raw data Crude oil'!AB2548</f>
        <v>0</v>
      </c>
      <c r="AC2547">
        <f>'raw data Crude oil'!AC2548</f>
        <v>0</v>
      </c>
      <c r="AD2547">
        <f>'raw data Crude oil'!AD2548</f>
        <v>0</v>
      </c>
      <c r="AE2547">
        <f>'raw data Crude oil'!AE2548</f>
        <v>0</v>
      </c>
      <c r="AF2547">
        <f>'raw data Crude oil'!AF2548</f>
        <v>0</v>
      </c>
      <c r="AG2547">
        <f>'raw data Crude oil'!AG2548</f>
        <v>0</v>
      </c>
      <c r="AH2547">
        <f>'raw data Crude oil'!AH2548</f>
        <v>0</v>
      </c>
      <c r="AI2547">
        <f>'raw data Crude oil'!AI2548</f>
        <v>0</v>
      </c>
      <c r="AJ2547">
        <f>'raw data Crude oil'!AJ2548</f>
        <v>0</v>
      </c>
      <c r="AK2547">
        <f>'raw data Crude oil'!AK2548</f>
        <v>0</v>
      </c>
    </row>
    <row r="2548" spans="1:37" x14ac:dyDescent="0.3">
      <c r="A2548" s="18">
        <f>'raw data Crude oil'!A2549</f>
        <v>0</v>
      </c>
      <c r="B2548">
        <f>'raw data Crude oil'!B2549</f>
        <v>0</v>
      </c>
      <c r="C2548">
        <f>'raw data Crude oil'!C2549</f>
        <v>0</v>
      </c>
      <c r="D2548">
        <f>'raw data Crude oil'!D2549</f>
        <v>0</v>
      </c>
      <c r="E2548">
        <f>'raw data Crude oil'!E2549</f>
        <v>0</v>
      </c>
      <c r="F2548">
        <f>'raw data Crude oil'!F2549</f>
        <v>0</v>
      </c>
      <c r="G2548">
        <f>'raw data Crude oil'!G2549</f>
        <v>0</v>
      </c>
      <c r="H2548">
        <f>'raw data Crude oil'!H2549</f>
        <v>0</v>
      </c>
      <c r="I2548">
        <f>'raw data Crude oil'!I2549</f>
        <v>0</v>
      </c>
      <c r="J2548">
        <f>'raw data Crude oil'!J2549</f>
        <v>0</v>
      </c>
      <c r="K2548">
        <f>'raw data Crude oil'!K2549</f>
        <v>0</v>
      </c>
      <c r="L2548">
        <f>'raw data Crude oil'!L2549</f>
        <v>0</v>
      </c>
      <c r="M2548">
        <f>'raw data Crude oil'!M2549</f>
        <v>0</v>
      </c>
      <c r="N2548">
        <f>'raw data Crude oil'!N2549</f>
        <v>0</v>
      </c>
      <c r="O2548">
        <f>'raw data Crude oil'!O2549</f>
        <v>0</v>
      </c>
      <c r="P2548">
        <f>'raw data Crude oil'!P2549</f>
        <v>0</v>
      </c>
      <c r="Q2548">
        <f>'raw data Crude oil'!Q2549</f>
        <v>0</v>
      </c>
      <c r="R2548">
        <f>'raw data Crude oil'!R2549</f>
        <v>0</v>
      </c>
      <c r="S2548">
        <f>'raw data Crude oil'!S2549</f>
        <v>0</v>
      </c>
      <c r="T2548">
        <f>'raw data Crude oil'!T2549</f>
        <v>0</v>
      </c>
      <c r="U2548">
        <f>'raw data Crude oil'!U2549</f>
        <v>0</v>
      </c>
      <c r="V2548">
        <f>'raw data Crude oil'!V2549</f>
        <v>0</v>
      </c>
      <c r="W2548">
        <f>'raw data Crude oil'!W2549</f>
        <v>0</v>
      </c>
      <c r="X2548">
        <f>'raw data Crude oil'!X2549</f>
        <v>0</v>
      </c>
      <c r="Y2548">
        <f>'raw data Crude oil'!Y2549</f>
        <v>0</v>
      </c>
      <c r="Z2548">
        <f>'raw data Crude oil'!Z2549</f>
        <v>0</v>
      </c>
      <c r="AA2548">
        <f>'raw data Crude oil'!AA2549</f>
        <v>0</v>
      </c>
      <c r="AB2548">
        <f>'raw data Crude oil'!AB2549</f>
        <v>0</v>
      </c>
      <c r="AC2548">
        <f>'raw data Crude oil'!AC2549</f>
        <v>0</v>
      </c>
      <c r="AD2548">
        <f>'raw data Crude oil'!AD2549</f>
        <v>0</v>
      </c>
      <c r="AE2548">
        <f>'raw data Crude oil'!AE2549</f>
        <v>0</v>
      </c>
      <c r="AF2548">
        <f>'raw data Crude oil'!AF2549</f>
        <v>0</v>
      </c>
      <c r="AG2548">
        <f>'raw data Crude oil'!AG2549</f>
        <v>0</v>
      </c>
      <c r="AH2548">
        <f>'raw data Crude oil'!AH2549</f>
        <v>0</v>
      </c>
      <c r="AI2548">
        <f>'raw data Crude oil'!AI2549</f>
        <v>0</v>
      </c>
      <c r="AJ2548">
        <f>'raw data Crude oil'!AJ2549</f>
        <v>0</v>
      </c>
      <c r="AK2548">
        <f>'raw data Crude oil'!AK2549</f>
        <v>0</v>
      </c>
    </row>
    <row r="2549" spans="1:37" x14ac:dyDescent="0.3">
      <c r="A2549" s="18">
        <f>'raw data Crude oil'!A2550</f>
        <v>0</v>
      </c>
      <c r="B2549">
        <f>'raw data Crude oil'!B2550</f>
        <v>0</v>
      </c>
      <c r="C2549">
        <f>'raw data Crude oil'!C2550</f>
        <v>0</v>
      </c>
      <c r="D2549">
        <f>'raw data Crude oil'!D2550</f>
        <v>0</v>
      </c>
      <c r="E2549">
        <f>'raw data Crude oil'!E2550</f>
        <v>0</v>
      </c>
      <c r="F2549">
        <f>'raw data Crude oil'!F2550</f>
        <v>0</v>
      </c>
      <c r="G2549">
        <f>'raw data Crude oil'!G2550</f>
        <v>0</v>
      </c>
      <c r="H2549">
        <f>'raw data Crude oil'!H2550</f>
        <v>0</v>
      </c>
      <c r="I2549">
        <f>'raw data Crude oil'!I2550</f>
        <v>0</v>
      </c>
      <c r="J2549">
        <f>'raw data Crude oil'!J2550</f>
        <v>0</v>
      </c>
      <c r="K2549">
        <f>'raw data Crude oil'!K2550</f>
        <v>0</v>
      </c>
      <c r="L2549">
        <f>'raw data Crude oil'!L2550</f>
        <v>0</v>
      </c>
      <c r="M2549">
        <f>'raw data Crude oil'!M2550</f>
        <v>0</v>
      </c>
      <c r="N2549">
        <f>'raw data Crude oil'!N2550</f>
        <v>0</v>
      </c>
      <c r="O2549">
        <f>'raw data Crude oil'!O2550</f>
        <v>0</v>
      </c>
      <c r="P2549">
        <f>'raw data Crude oil'!P2550</f>
        <v>0</v>
      </c>
      <c r="Q2549">
        <f>'raw data Crude oil'!Q2550</f>
        <v>0</v>
      </c>
      <c r="R2549">
        <f>'raw data Crude oil'!R2550</f>
        <v>0</v>
      </c>
      <c r="S2549">
        <f>'raw data Crude oil'!S2550</f>
        <v>0</v>
      </c>
      <c r="T2549">
        <f>'raw data Crude oil'!T2550</f>
        <v>0</v>
      </c>
      <c r="U2549">
        <f>'raw data Crude oil'!U2550</f>
        <v>0</v>
      </c>
      <c r="V2549">
        <f>'raw data Crude oil'!V2550</f>
        <v>0</v>
      </c>
      <c r="W2549">
        <f>'raw data Crude oil'!W2550</f>
        <v>0</v>
      </c>
      <c r="X2549">
        <f>'raw data Crude oil'!X2550</f>
        <v>0</v>
      </c>
      <c r="Y2549">
        <f>'raw data Crude oil'!Y2550</f>
        <v>0</v>
      </c>
      <c r="Z2549">
        <f>'raw data Crude oil'!Z2550</f>
        <v>0</v>
      </c>
      <c r="AA2549">
        <f>'raw data Crude oil'!AA2550</f>
        <v>0</v>
      </c>
      <c r="AB2549">
        <f>'raw data Crude oil'!AB2550</f>
        <v>0</v>
      </c>
      <c r="AC2549">
        <f>'raw data Crude oil'!AC2550</f>
        <v>0</v>
      </c>
      <c r="AD2549">
        <f>'raw data Crude oil'!AD2550</f>
        <v>0</v>
      </c>
      <c r="AE2549">
        <f>'raw data Crude oil'!AE2550</f>
        <v>0</v>
      </c>
      <c r="AF2549">
        <f>'raw data Crude oil'!AF2550</f>
        <v>0</v>
      </c>
      <c r="AG2549">
        <f>'raw data Crude oil'!AG2550</f>
        <v>0</v>
      </c>
      <c r="AH2549">
        <f>'raw data Crude oil'!AH2550</f>
        <v>0</v>
      </c>
      <c r="AI2549">
        <f>'raw data Crude oil'!AI2550</f>
        <v>0</v>
      </c>
      <c r="AJ2549">
        <f>'raw data Crude oil'!AJ2550</f>
        <v>0</v>
      </c>
      <c r="AK2549">
        <f>'raw data Crude oil'!AK2550</f>
        <v>0</v>
      </c>
    </row>
    <row r="2550" spans="1:37" x14ac:dyDescent="0.3">
      <c r="A2550" s="18">
        <f>'raw data Crude oil'!A2551</f>
        <v>0</v>
      </c>
      <c r="B2550">
        <f>'raw data Crude oil'!B2551</f>
        <v>0</v>
      </c>
      <c r="C2550">
        <f>'raw data Crude oil'!C2551</f>
        <v>0</v>
      </c>
      <c r="D2550">
        <f>'raw data Crude oil'!D2551</f>
        <v>0</v>
      </c>
      <c r="E2550">
        <f>'raw data Crude oil'!E2551</f>
        <v>0</v>
      </c>
      <c r="F2550">
        <f>'raw data Crude oil'!F2551</f>
        <v>0</v>
      </c>
      <c r="G2550">
        <f>'raw data Crude oil'!G2551</f>
        <v>0</v>
      </c>
      <c r="H2550">
        <f>'raw data Crude oil'!H2551</f>
        <v>0</v>
      </c>
      <c r="I2550">
        <f>'raw data Crude oil'!I2551</f>
        <v>0</v>
      </c>
      <c r="J2550">
        <f>'raw data Crude oil'!J2551</f>
        <v>0</v>
      </c>
      <c r="K2550">
        <f>'raw data Crude oil'!K2551</f>
        <v>0</v>
      </c>
      <c r="L2550">
        <f>'raw data Crude oil'!L2551</f>
        <v>0</v>
      </c>
      <c r="M2550">
        <f>'raw data Crude oil'!M2551</f>
        <v>0</v>
      </c>
      <c r="N2550">
        <f>'raw data Crude oil'!N2551</f>
        <v>0</v>
      </c>
      <c r="O2550">
        <f>'raw data Crude oil'!O2551</f>
        <v>0</v>
      </c>
      <c r="P2550">
        <f>'raw data Crude oil'!P2551</f>
        <v>0</v>
      </c>
      <c r="Q2550">
        <f>'raw data Crude oil'!Q2551</f>
        <v>0</v>
      </c>
      <c r="R2550">
        <f>'raw data Crude oil'!R2551</f>
        <v>0</v>
      </c>
      <c r="S2550">
        <f>'raw data Crude oil'!S2551</f>
        <v>0</v>
      </c>
      <c r="T2550">
        <f>'raw data Crude oil'!T2551</f>
        <v>0</v>
      </c>
      <c r="U2550">
        <f>'raw data Crude oil'!U2551</f>
        <v>0</v>
      </c>
      <c r="V2550">
        <f>'raw data Crude oil'!V2551</f>
        <v>0</v>
      </c>
      <c r="W2550">
        <f>'raw data Crude oil'!W2551</f>
        <v>0</v>
      </c>
      <c r="X2550">
        <f>'raw data Crude oil'!X2551</f>
        <v>0</v>
      </c>
      <c r="Y2550">
        <f>'raw data Crude oil'!Y2551</f>
        <v>0</v>
      </c>
      <c r="Z2550">
        <f>'raw data Crude oil'!Z2551</f>
        <v>0</v>
      </c>
      <c r="AA2550">
        <f>'raw data Crude oil'!AA2551</f>
        <v>0</v>
      </c>
      <c r="AB2550">
        <f>'raw data Crude oil'!AB2551</f>
        <v>0</v>
      </c>
      <c r="AC2550">
        <f>'raw data Crude oil'!AC2551</f>
        <v>0</v>
      </c>
      <c r="AD2550">
        <f>'raw data Crude oil'!AD2551</f>
        <v>0</v>
      </c>
      <c r="AE2550">
        <f>'raw data Crude oil'!AE2551</f>
        <v>0</v>
      </c>
      <c r="AF2550">
        <f>'raw data Crude oil'!AF2551</f>
        <v>0</v>
      </c>
      <c r="AG2550">
        <f>'raw data Crude oil'!AG2551</f>
        <v>0</v>
      </c>
      <c r="AH2550">
        <f>'raw data Crude oil'!AH2551</f>
        <v>0</v>
      </c>
      <c r="AI2550">
        <f>'raw data Crude oil'!AI2551</f>
        <v>0</v>
      </c>
      <c r="AJ2550">
        <f>'raw data Crude oil'!AJ2551</f>
        <v>0</v>
      </c>
      <c r="AK2550">
        <f>'raw data Crude oil'!AK2551</f>
        <v>0</v>
      </c>
    </row>
    <row r="2551" spans="1:37" x14ac:dyDescent="0.3">
      <c r="A2551" s="18">
        <f>'raw data Crude oil'!A2552</f>
        <v>0</v>
      </c>
      <c r="B2551">
        <f>'raw data Crude oil'!B2552</f>
        <v>0</v>
      </c>
      <c r="C2551">
        <f>'raw data Crude oil'!C2552</f>
        <v>0</v>
      </c>
      <c r="D2551">
        <f>'raw data Crude oil'!D2552</f>
        <v>0</v>
      </c>
      <c r="E2551">
        <f>'raw data Crude oil'!E2552</f>
        <v>0</v>
      </c>
      <c r="F2551">
        <f>'raw data Crude oil'!F2552</f>
        <v>0</v>
      </c>
      <c r="G2551">
        <f>'raw data Crude oil'!G2552</f>
        <v>0</v>
      </c>
      <c r="H2551">
        <f>'raw data Crude oil'!H2552</f>
        <v>0</v>
      </c>
      <c r="I2551">
        <f>'raw data Crude oil'!I2552</f>
        <v>0</v>
      </c>
      <c r="J2551">
        <f>'raw data Crude oil'!J2552</f>
        <v>0</v>
      </c>
      <c r="K2551">
        <f>'raw data Crude oil'!K2552</f>
        <v>0</v>
      </c>
      <c r="L2551">
        <f>'raw data Crude oil'!L2552</f>
        <v>0</v>
      </c>
      <c r="M2551">
        <f>'raw data Crude oil'!M2552</f>
        <v>0</v>
      </c>
      <c r="N2551">
        <f>'raw data Crude oil'!N2552</f>
        <v>0</v>
      </c>
      <c r="O2551">
        <f>'raw data Crude oil'!O2552</f>
        <v>0</v>
      </c>
      <c r="P2551">
        <f>'raw data Crude oil'!P2552</f>
        <v>0</v>
      </c>
      <c r="Q2551">
        <f>'raw data Crude oil'!Q2552</f>
        <v>0</v>
      </c>
      <c r="R2551">
        <f>'raw data Crude oil'!R2552</f>
        <v>0</v>
      </c>
      <c r="S2551">
        <f>'raw data Crude oil'!S2552</f>
        <v>0</v>
      </c>
      <c r="T2551">
        <f>'raw data Crude oil'!T2552</f>
        <v>0</v>
      </c>
      <c r="U2551">
        <f>'raw data Crude oil'!U2552</f>
        <v>0</v>
      </c>
      <c r="V2551">
        <f>'raw data Crude oil'!V2552</f>
        <v>0</v>
      </c>
      <c r="W2551">
        <f>'raw data Crude oil'!W2552</f>
        <v>0</v>
      </c>
      <c r="X2551">
        <f>'raw data Crude oil'!X2552</f>
        <v>0</v>
      </c>
      <c r="Y2551">
        <f>'raw data Crude oil'!Y2552</f>
        <v>0</v>
      </c>
      <c r="Z2551">
        <f>'raw data Crude oil'!Z2552</f>
        <v>0</v>
      </c>
      <c r="AA2551">
        <f>'raw data Crude oil'!AA2552</f>
        <v>0</v>
      </c>
      <c r="AB2551">
        <f>'raw data Crude oil'!AB2552</f>
        <v>0</v>
      </c>
      <c r="AC2551">
        <f>'raw data Crude oil'!AC2552</f>
        <v>0</v>
      </c>
      <c r="AD2551">
        <f>'raw data Crude oil'!AD2552</f>
        <v>0</v>
      </c>
      <c r="AE2551">
        <f>'raw data Crude oil'!AE2552</f>
        <v>0</v>
      </c>
      <c r="AF2551">
        <f>'raw data Crude oil'!AF2552</f>
        <v>0</v>
      </c>
      <c r="AG2551">
        <f>'raw data Crude oil'!AG2552</f>
        <v>0</v>
      </c>
      <c r="AH2551">
        <f>'raw data Crude oil'!AH2552</f>
        <v>0</v>
      </c>
      <c r="AI2551">
        <f>'raw data Crude oil'!AI2552</f>
        <v>0</v>
      </c>
      <c r="AJ2551">
        <f>'raw data Crude oil'!AJ2552</f>
        <v>0</v>
      </c>
      <c r="AK2551">
        <f>'raw data Crude oil'!AK2552</f>
        <v>0</v>
      </c>
    </row>
    <row r="2552" spans="1:37" x14ac:dyDescent="0.3">
      <c r="A2552" s="18">
        <f>'raw data Crude oil'!A2553</f>
        <v>0</v>
      </c>
      <c r="B2552">
        <f>'raw data Crude oil'!B2553</f>
        <v>0</v>
      </c>
      <c r="C2552">
        <f>'raw data Crude oil'!C2553</f>
        <v>0</v>
      </c>
      <c r="D2552">
        <f>'raw data Crude oil'!D2553</f>
        <v>0</v>
      </c>
      <c r="E2552">
        <f>'raw data Crude oil'!E2553</f>
        <v>0</v>
      </c>
      <c r="F2552">
        <f>'raw data Crude oil'!F2553</f>
        <v>0</v>
      </c>
      <c r="G2552">
        <f>'raw data Crude oil'!G2553</f>
        <v>0</v>
      </c>
      <c r="H2552">
        <f>'raw data Crude oil'!H2553</f>
        <v>0</v>
      </c>
      <c r="I2552">
        <f>'raw data Crude oil'!I2553</f>
        <v>0</v>
      </c>
      <c r="J2552">
        <f>'raw data Crude oil'!J2553</f>
        <v>0</v>
      </c>
      <c r="K2552">
        <f>'raw data Crude oil'!K2553</f>
        <v>0</v>
      </c>
      <c r="L2552">
        <f>'raw data Crude oil'!L2553</f>
        <v>0</v>
      </c>
      <c r="M2552">
        <f>'raw data Crude oil'!M2553</f>
        <v>0</v>
      </c>
      <c r="N2552">
        <f>'raw data Crude oil'!N2553</f>
        <v>0</v>
      </c>
      <c r="O2552">
        <f>'raw data Crude oil'!O2553</f>
        <v>0</v>
      </c>
      <c r="P2552">
        <f>'raw data Crude oil'!P2553</f>
        <v>0</v>
      </c>
      <c r="Q2552">
        <f>'raw data Crude oil'!Q2553</f>
        <v>0</v>
      </c>
      <c r="R2552">
        <f>'raw data Crude oil'!R2553</f>
        <v>0</v>
      </c>
      <c r="S2552">
        <f>'raw data Crude oil'!S2553</f>
        <v>0</v>
      </c>
      <c r="T2552">
        <f>'raw data Crude oil'!T2553</f>
        <v>0</v>
      </c>
      <c r="U2552">
        <f>'raw data Crude oil'!U2553</f>
        <v>0</v>
      </c>
      <c r="V2552">
        <f>'raw data Crude oil'!V2553</f>
        <v>0</v>
      </c>
      <c r="W2552">
        <f>'raw data Crude oil'!W2553</f>
        <v>0</v>
      </c>
      <c r="X2552">
        <f>'raw data Crude oil'!X2553</f>
        <v>0</v>
      </c>
      <c r="Y2552">
        <f>'raw data Crude oil'!Y2553</f>
        <v>0</v>
      </c>
      <c r="Z2552">
        <f>'raw data Crude oil'!Z2553</f>
        <v>0</v>
      </c>
      <c r="AA2552">
        <f>'raw data Crude oil'!AA2553</f>
        <v>0</v>
      </c>
      <c r="AB2552">
        <f>'raw data Crude oil'!AB2553</f>
        <v>0</v>
      </c>
      <c r="AC2552">
        <f>'raw data Crude oil'!AC2553</f>
        <v>0</v>
      </c>
      <c r="AD2552">
        <f>'raw data Crude oil'!AD2553</f>
        <v>0</v>
      </c>
      <c r="AE2552">
        <f>'raw data Crude oil'!AE2553</f>
        <v>0</v>
      </c>
      <c r="AF2552">
        <f>'raw data Crude oil'!AF2553</f>
        <v>0</v>
      </c>
      <c r="AG2552">
        <f>'raw data Crude oil'!AG2553</f>
        <v>0</v>
      </c>
      <c r="AH2552">
        <f>'raw data Crude oil'!AH2553</f>
        <v>0</v>
      </c>
      <c r="AI2552">
        <f>'raw data Crude oil'!AI2553</f>
        <v>0</v>
      </c>
      <c r="AJ2552">
        <f>'raw data Crude oil'!AJ2553</f>
        <v>0</v>
      </c>
      <c r="AK2552">
        <f>'raw data Crude oil'!AK2553</f>
        <v>0</v>
      </c>
    </row>
    <row r="2553" spans="1:37" x14ac:dyDescent="0.3">
      <c r="A2553" s="18">
        <f>'raw data Crude oil'!A2554</f>
        <v>0</v>
      </c>
      <c r="B2553">
        <f>'raw data Crude oil'!B2554</f>
        <v>0</v>
      </c>
      <c r="C2553">
        <f>'raw data Crude oil'!C2554</f>
        <v>0</v>
      </c>
      <c r="D2553">
        <f>'raw data Crude oil'!D2554</f>
        <v>0</v>
      </c>
      <c r="E2553">
        <f>'raw data Crude oil'!E2554</f>
        <v>0</v>
      </c>
      <c r="F2553">
        <f>'raw data Crude oil'!F2554</f>
        <v>0</v>
      </c>
      <c r="G2553">
        <f>'raw data Crude oil'!G2554</f>
        <v>0</v>
      </c>
      <c r="H2553">
        <f>'raw data Crude oil'!H2554</f>
        <v>0</v>
      </c>
      <c r="I2553">
        <f>'raw data Crude oil'!I2554</f>
        <v>0</v>
      </c>
      <c r="J2553">
        <f>'raw data Crude oil'!J2554</f>
        <v>0</v>
      </c>
      <c r="K2553">
        <f>'raw data Crude oil'!K2554</f>
        <v>0</v>
      </c>
      <c r="L2553">
        <f>'raw data Crude oil'!L2554</f>
        <v>0</v>
      </c>
      <c r="M2553">
        <f>'raw data Crude oil'!M2554</f>
        <v>0</v>
      </c>
      <c r="N2553">
        <f>'raw data Crude oil'!N2554</f>
        <v>0</v>
      </c>
      <c r="O2553">
        <f>'raw data Crude oil'!O2554</f>
        <v>0</v>
      </c>
      <c r="P2553">
        <f>'raw data Crude oil'!P2554</f>
        <v>0</v>
      </c>
      <c r="Q2553">
        <f>'raw data Crude oil'!Q2554</f>
        <v>0</v>
      </c>
      <c r="R2553">
        <f>'raw data Crude oil'!R2554</f>
        <v>0</v>
      </c>
      <c r="S2553">
        <f>'raw data Crude oil'!S2554</f>
        <v>0</v>
      </c>
      <c r="T2553">
        <f>'raw data Crude oil'!T2554</f>
        <v>0</v>
      </c>
      <c r="U2553">
        <f>'raw data Crude oil'!U2554</f>
        <v>0</v>
      </c>
      <c r="V2553">
        <f>'raw data Crude oil'!V2554</f>
        <v>0</v>
      </c>
      <c r="W2553">
        <f>'raw data Crude oil'!W2554</f>
        <v>0</v>
      </c>
      <c r="X2553">
        <f>'raw data Crude oil'!X2554</f>
        <v>0</v>
      </c>
      <c r="Y2553">
        <f>'raw data Crude oil'!Y2554</f>
        <v>0</v>
      </c>
      <c r="Z2553">
        <f>'raw data Crude oil'!Z2554</f>
        <v>0</v>
      </c>
      <c r="AA2553">
        <f>'raw data Crude oil'!AA2554</f>
        <v>0</v>
      </c>
      <c r="AB2553">
        <f>'raw data Crude oil'!AB2554</f>
        <v>0</v>
      </c>
      <c r="AC2553">
        <f>'raw data Crude oil'!AC2554</f>
        <v>0</v>
      </c>
      <c r="AD2553">
        <f>'raw data Crude oil'!AD2554</f>
        <v>0</v>
      </c>
      <c r="AE2553">
        <f>'raw data Crude oil'!AE2554</f>
        <v>0</v>
      </c>
      <c r="AF2553">
        <f>'raw data Crude oil'!AF2554</f>
        <v>0</v>
      </c>
      <c r="AG2553">
        <f>'raw data Crude oil'!AG2554</f>
        <v>0</v>
      </c>
      <c r="AH2553">
        <f>'raw data Crude oil'!AH2554</f>
        <v>0</v>
      </c>
      <c r="AI2553">
        <f>'raw data Crude oil'!AI2554</f>
        <v>0</v>
      </c>
      <c r="AJ2553">
        <f>'raw data Crude oil'!AJ2554</f>
        <v>0</v>
      </c>
      <c r="AK2553">
        <f>'raw data Crude oil'!AK2554</f>
        <v>0</v>
      </c>
    </row>
    <row r="2554" spans="1:37" x14ac:dyDescent="0.3">
      <c r="A2554" s="18">
        <f>'raw data Crude oil'!A2555</f>
        <v>0</v>
      </c>
      <c r="B2554">
        <f>'raw data Crude oil'!B2555</f>
        <v>0</v>
      </c>
      <c r="C2554">
        <f>'raw data Crude oil'!C2555</f>
        <v>0</v>
      </c>
      <c r="D2554">
        <f>'raw data Crude oil'!D2555</f>
        <v>0</v>
      </c>
      <c r="E2554">
        <f>'raw data Crude oil'!E2555</f>
        <v>0</v>
      </c>
      <c r="F2554">
        <f>'raw data Crude oil'!F2555</f>
        <v>0</v>
      </c>
      <c r="G2554">
        <f>'raw data Crude oil'!G2555</f>
        <v>0</v>
      </c>
      <c r="H2554">
        <f>'raw data Crude oil'!H2555</f>
        <v>0</v>
      </c>
      <c r="I2554">
        <f>'raw data Crude oil'!I2555</f>
        <v>0</v>
      </c>
      <c r="J2554">
        <f>'raw data Crude oil'!J2555</f>
        <v>0</v>
      </c>
      <c r="K2554">
        <f>'raw data Crude oil'!K2555</f>
        <v>0</v>
      </c>
      <c r="L2554">
        <f>'raw data Crude oil'!L2555</f>
        <v>0</v>
      </c>
      <c r="M2554">
        <f>'raw data Crude oil'!M2555</f>
        <v>0</v>
      </c>
      <c r="N2554">
        <f>'raw data Crude oil'!N2555</f>
        <v>0</v>
      </c>
      <c r="O2554">
        <f>'raw data Crude oil'!O2555</f>
        <v>0</v>
      </c>
      <c r="P2554">
        <f>'raw data Crude oil'!P2555</f>
        <v>0</v>
      </c>
      <c r="Q2554">
        <f>'raw data Crude oil'!Q2555</f>
        <v>0</v>
      </c>
      <c r="R2554">
        <f>'raw data Crude oil'!R2555</f>
        <v>0</v>
      </c>
      <c r="S2554">
        <f>'raw data Crude oil'!S2555</f>
        <v>0</v>
      </c>
      <c r="T2554">
        <f>'raw data Crude oil'!T2555</f>
        <v>0</v>
      </c>
      <c r="U2554">
        <f>'raw data Crude oil'!U2555</f>
        <v>0</v>
      </c>
      <c r="V2554">
        <f>'raw data Crude oil'!V2555</f>
        <v>0</v>
      </c>
      <c r="W2554">
        <f>'raw data Crude oil'!W2555</f>
        <v>0</v>
      </c>
      <c r="X2554">
        <f>'raw data Crude oil'!X2555</f>
        <v>0</v>
      </c>
      <c r="Y2554">
        <f>'raw data Crude oil'!Y2555</f>
        <v>0</v>
      </c>
      <c r="Z2554">
        <f>'raw data Crude oil'!Z2555</f>
        <v>0</v>
      </c>
      <c r="AA2554">
        <f>'raw data Crude oil'!AA2555</f>
        <v>0</v>
      </c>
      <c r="AB2554">
        <f>'raw data Crude oil'!AB2555</f>
        <v>0</v>
      </c>
      <c r="AC2554">
        <f>'raw data Crude oil'!AC2555</f>
        <v>0</v>
      </c>
      <c r="AD2554">
        <f>'raw data Crude oil'!AD2555</f>
        <v>0</v>
      </c>
      <c r="AE2554">
        <f>'raw data Crude oil'!AE2555</f>
        <v>0</v>
      </c>
      <c r="AF2554">
        <f>'raw data Crude oil'!AF2555</f>
        <v>0</v>
      </c>
      <c r="AG2554">
        <f>'raw data Crude oil'!AG2555</f>
        <v>0</v>
      </c>
      <c r="AH2554">
        <f>'raw data Crude oil'!AH2555</f>
        <v>0</v>
      </c>
      <c r="AI2554">
        <f>'raw data Crude oil'!AI2555</f>
        <v>0</v>
      </c>
      <c r="AJ2554">
        <f>'raw data Crude oil'!AJ2555</f>
        <v>0</v>
      </c>
      <c r="AK2554">
        <f>'raw data Crude oil'!AK2555</f>
        <v>0</v>
      </c>
    </row>
    <row r="2555" spans="1:37" x14ac:dyDescent="0.3">
      <c r="A2555" s="18">
        <f>'raw data Crude oil'!A2556</f>
        <v>0</v>
      </c>
      <c r="B2555">
        <f>'raw data Crude oil'!B2556</f>
        <v>0</v>
      </c>
      <c r="C2555">
        <f>'raw data Crude oil'!C2556</f>
        <v>0</v>
      </c>
      <c r="D2555">
        <f>'raw data Crude oil'!D2556</f>
        <v>0</v>
      </c>
      <c r="E2555">
        <f>'raw data Crude oil'!E2556</f>
        <v>0</v>
      </c>
      <c r="F2555">
        <f>'raw data Crude oil'!F2556</f>
        <v>0</v>
      </c>
      <c r="G2555">
        <f>'raw data Crude oil'!G2556</f>
        <v>0</v>
      </c>
      <c r="H2555">
        <f>'raw data Crude oil'!H2556</f>
        <v>0</v>
      </c>
      <c r="I2555">
        <f>'raw data Crude oil'!I2556</f>
        <v>0</v>
      </c>
      <c r="J2555">
        <f>'raw data Crude oil'!J2556</f>
        <v>0</v>
      </c>
      <c r="K2555">
        <f>'raw data Crude oil'!K2556</f>
        <v>0</v>
      </c>
      <c r="L2555">
        <f>'raw data Crude oil'!L2556</f>
        <v>0</v>
      </c>
      <c r="M2555">
        <f>'raw data Crude oil'!M2556</f>
        <v>0</v>
      </c>
      <c r="N2555">
        <f>'raw data Crude oil'!N2556</f>
        <v>0</v>
      </c>
      <c r="O2555">
        <f>'raw data Crude oil'!O2556</f>
        <v>0</v>
      </c>
      <c r="P2555">
        <f>'raw data Crude oil'!P2556</f>
        <v>0</v>
      </c>
      <c r="Q2555">
        <f>'raw data Crude oil'!Q2556</f>
        <v>0</v>
      </c>
      <c r="R2555">
        <f>'raw data Crude oil'!R2556</f>
        <v>0</v>
      </c>
      <c r="S2555">
        <f>'raw data Crude oil'!S2556</f>
        <v>0</v>
      </c>
      <c r="T2555">
        <f>'raw data Crude oil'!T2556</f>
        <v>0</v>
      </c>
      <c r="U2555">
        <f>'raw data Crude oil'!U2556</f>
        <v>0</v>
      </c>
      <c r="V2555">
        <f>'raw data Crude oil'!V2556</f>
        <v>0</v>
      </c>
      <c r="W2555">
        <f>'raw data Crude oil'!W2556</f>
        <v>0</v>
      </c>
      <c r="X2555">
        <f>'raw data Crude oil'!X2556</f>
        <v>0</v>
      </c>
      <c r="Y2555">
        <f>'raw data Crude oil'!Y2556</f>
        <v>0</v>
      </c>
      <c r="Z2555">
        <f>'raw data Crude oil'!Z2556</f>
        <v>0</v>
      </c>
      <c r="AA2555">
        <f>'raw data Crude oil'!AA2556</f>
        <v>0</v>
      </c>
      <c r="AB2555">
        <f>'raw data Crude oil'!AB2556</f>
        <v>0</v>
      </c>
      <c r="AC2555">
        <f>'raw data Crude oil'!AC2556</f>
        <v>0</v>
      </c>
      <c r="AD2555">
        <f>'raw data Crude oil'!AD2556</f>
        <v>0</v>
      </c>
      <c r="AE2555">
        <f>'raw data Crude oil'!AE2556</f>
        <v>0</v>
      </c>
      <c r="AF2555">
        <f>'raw data Crude oil'!AF2556</f>
        <v>0</v>
      </c>
      <c r="AG2555">
        <f>'raw data Crude oil'!AG2556</f>
        <v>0</v>
      </c>
      <c r="AH2555">
        <f>'raw data Crude oil'!AH2556</f>
        <v>0</v>
      </c>
      <c r="AI2555">
        <f>'raw data Crude oil'!AI2556</f>
        <v>0</v>
      </c>
      <c r="AJ2555">
        <f>'raw data Crude oil'!AJ2556</f>
        <v>0</v>
      </c>
      <c r="AK2555">
        <f>'raw data Crude oil'!AK2556</f>
        <v>0</v>
      </c>
    </row>
    <row r="2556" spans="1:37" x14ac:dyDescent="0.3">
      <c r="A2556" s="18">
        <f>'raw data Crude oil'!A2557</f>
        <v>0</v>
      </c>
      <c r="B2556">
        <f>'raw data Crude oil'!B2557</f>
        <v>0</v>
      </c>
      <c r="C2556">
        <f>'raw data Crude oil'!C2557</f>
        <v>0</v>
      </c>
      <c r="D2556">
        <f>'raw data Crude oil'!D2557</f>
        <v>0</v>
      </c>
      <c r="E2556">
        <f>'raw data Crude oil'!E2557</f>
        <v>0</v>
      </c>
      <c r="F2556">
        <f>'raw data Crude oil'!F2557</f>
        <v>0</v>
      </c>
      <c r="G2556">
        <f>'raw data Crude oil'!G2557</f>
        <v>0</v>
      </c>
      <c r="H2556">
        <f>'raw data Crude oil'!H2557</f>
        <v>0</v>
      </c>
      <c r="I2556">
        <f>'raw data Crude oil'!I2557</f>
        <v>0</v>
      </c>
      <c r="J2556">
        <f>'raw data Crude oil'!J2557</f>
        <v>0</v>
      </c>
      <c r="K2556">
        <f>'raw data Crude oil'!K2557</f>
        <v>0</v>
      </c>
      <c r="L2556">
        <f>'raw data Crude oil'!L2557</f>
        <v>0</v>
      </c>
      <c r="M2556">
        <f>'raw data Crude oil'!M2557</f>
        <v>0</v>
      </c>
      <c r="N2556">
        <f>'raw data Crude oil'!N2557</f>
        <v>0</v>
      </c>
      <c r="O2556">
        <f>'raw data Crude oil'!O2557</f>
        <v>0</v>
      </c>
      <c r="P2556">
        <f>'raw data Crude oil'!P2557</f>
        <v>0</v>
      </c>
      <c r="Q2556">
        <f>'raw data Crude oil'!Q2557</f>
        <v>0</v>
      </c>
      <c r="R2556">
        <f>'raw data Crude oil'!R2557</f>
        <v>0</v>
      </c>
      <c r="S2556">
        <f>'raw data Crude oil'!S2557</f>
        <v>0</v>
      </c>
      <c r="T2556">
        <f>'raw data Crude oil'!T2557</f>
        <v>0</v>
      </c>
      <c r="U2556">
        <f>'raw data Crude oil'!U2557</f>
        <v>0</v>
      </c>
      <c r="V2556">
        <f>'raw data Crude oil'!V2557</f>
        <v>0</v>
      </c>
      <c r="W2556">
        <f>'raw data Crude oil'!W2557</f>
        <v>0</v>
      </c>
      <c r="X2556">
        <f>'raw data Crude oil'!X2557</f>
        <v>0</v>
      </c>
      <c r="Y2556">
        <f>'raw data Crude oil'!Y2557</f>
        <v>0</v>
      </c>
      <c r="Z2556">
        <f>'raw data Crude oil'!Z2557</f>
        <v>0</v>
      </c>
      <c r="AA2556">
        <f>'raw data Crude oil'!AA2557</f>
        <v>0</v>
      </c>
      <c r="AB2556">
        <f>'raw data Crude oil'!AB2557</f>
        <v>0</v>
      </c>
      <c r="AC2556">
        <f>'raw data Crude oil'!AC2557</f>
        <v>0</v>
      </c>
      <c r="AD2556">
        <f>'raw data Crude oil'!AD2557</f>
        <v>0</v>
      </c>
      <c r="AE2556">
        <f>'raw data Crude oil'!AE2557</f>
        <v>0</v>
      </c>
      <c r="AF2556">
        <f>'raw data Crude oil'!AF2557</f>
        <v>0</v>
      </c>
      <c r="AG2556">
        <f>'raw data Crude oil'!AG2557</f>
        <v>0</v>
      </c>
      <c r="AH2556">
        <f>'raw data Crude oil'!AH2557</f>
        <v>0</v>
      </c>
      <c r="AI2556">
        <f>'raw data Crude oil'!AI2557</f>
        <v>0</v>
      </c>
      <c r="AJ2556">
        <f>'raw data Crude oil'!AJ2557</f>
        <v>0</v>
      </c>
      <c r="AK2556">
        <f>'raw data Crude oil'!AK2557</f>
        <v>0</v>
      </c>
    </row>
    <row r="2557" spans="1:37" x14ac:dyDescent="0.3">
      <c r="A2557" s="18">
        <f>'raw data Crude oil'!A2558</f>
        <v>0</v>
      </c>
      <c r="B2557">
        <f>'raw data Crude oil'!B2558</f>
        <v>0</v>
      </c>
      <c r="C2557">
        <f>'raw data Crude oil'!C2558</f>
        <v>0</v>
      </c>
      <c r="D2557">
        <f>'raw data Crude oil'!D2558</f>
        <v>0</v>
      </c>
      <c r="E2557">
        <f>'raw data Crude oil'!E2558</f>
        <v>0</v>
      </c>
      <c r="F2557">
        <f>'raw data Crude oil'!F2558</f>
        <v>0</v>
      </c>
      <c r="G2557">
        <f>'raw data Crude oil'!G2558</f>
        <v>0</v>
      </c>
      <c r="H2557">
        <f>'raw data Crude oil'!H2558</f>
        <v>0</v>
      </c>
      <c r="I2557">
        <f>'raw data Crude oil'!I2558</f>
        <v>0</v>
      </c>
      <c r="J2557">
        <f>'raw data Crude oil'!J2558</f>
        <v>0</v>
      </c>
      <c r="K2557">
        <f>'raw data Crude oil'!K2558</f>
        <v>0</v>
      </c>
      <c r="L2557">
        <f>'raw data Crude oil'!L2558</f>
        <v>0</v>
      </c>
      <c r="M2557">
        <f>'raw data Crude oil'!M2558</f>
        <v>0</v>
      </c>
      <c r="N2557">
        <f>'raw data Crude oil'!N2558</f>
        <v>0</v>
      </c>
      <c r="O2557">
        <f>'raw data Crude oil'!O2558</f>
        <v>0</v>
      </c>
      <c r="P2557">
        <f>'raw data Crude oil'!P2558</f>
        <v>0</v>
      </c>
      <c r="Q2557">
        <f>'raw data Crude oil'!Q2558</f>
        <v>0</v>
      </c>
      <c r="R2557">
        <f>'raw data Crude oil'!R2558</f>
        <v>0</v>
      </c>
      <c r="S2557">
        <f>'raw data Crude oil'!S2558</f>
        <v>0</v>
      </c>
      <c r="T2557">
        <f>'raw data Crude oil'!T2558</f>
        <v>0</v>
      </c>
      <c r="U2557">
        <f>'raw data Crude oil'!U2558</f>
        <v>0</v>
      </c>
      <c r="V2557">
        <f>'raw data Crude oil'!V2558</f>
        <v>0</v>
      </c>
      <c r="W2557">
        <f>'raw data Crude oil'!W2558</f>
        <v>0</v>
      </c>
      <c r="X2557">
        <f>'raw data Crude oil'!X2558</f>
        <v>0</v>
      </c>
      <c r="Y2557">
        <f>'raw data Crude oil'!Y2558</f>
        <v>0</v>
      </c>
      <c r="Z2557">
        <f>'raw data Crude oil'!Z2558</f>
        <v>0</v>
      </c>
      <c r="AA2557">
        <f>'raw data Crude oil'!AA2558</f>
        <v>0</v>
      </c>
      <c r="AB2557">
        <f>'raw data Crude oil'!AB2558</f>
        <v>0</v>
      </c>
      <c r="AC2557">
        <f>'raw data Crude oil'!AC2558</f>
        <v>0</v>
      </c>
      <c r="AD2557">
        <f>'raw data Crude oil'!AD2558</f>
        <v>0</v>
      </c>
      <c r="AE2557">
        <f>'raw data Crude oil'!AE2558</f>
        <v>0</v>
      </c>
      <c r="AF2557">
        <f>'raw data Crude oil'!AF2558</f>
        <v>0</v>
      </c>
      <c r="AG2557">
        <f>'raw data Crude oil'!AG2558</f>
        <v>0</v>
      </c>
      <c r="AH2557">
        <f>'raw data Crude oil'!AH2558</f>
        <v>0</v>
      </c>
      <c r="AI2557">
        <f>'raw data Crude oil'!AI2558</f>
        <v>0</v>
      </c>
      <c r="AJ2557">
        <f>'raw data Crude oil'!AJ2558</f>
        <v>0</v>
      </c>
      <c r="AK2557">
        <f>'raw data Crude oil'!AK2558</f>
        <v>0</v>
      </c>
    </row>
    <row r="2558" spans="1:37" x14ac:dyDescent="0.3">
      <c r="A2558" s="18">
        <f>'raw data Crude oil'!A2559</f>
        <v>0</v>
      </c>
      <c r="B2558">
        <f>'raw data Crude oil'!B2559</f>
        <v>0</v>
      </c>
      <c r="C2558">
        <f>'raw data Crude oil'!C2559</f>
        <v>0</v>
      </c>
      <c r="D2558">
        <f>'raw data Crude oil'!D2559</f>
        <v>0</v>
      </c>
      <c r="E2558">
        <f>'raw data Crude oil'!E2559</f>
        <v>0</v>
      </c>
      <c r="F2558">
        <f>'raw data Crude oil'!F2559</f>
        <v>0</v>
      </c>
      <c r="G2558">
        <f>'raw data Crude oil'!G2559</f>
        <v>0</v>
      </c>
      <c r="H2558">
        <f>'raw data Crude oil'!H2559</f>
        <v>0</v>
      </c>
      <c r="I2558">
        <f>'raw data Crude oil'!I2559</f>
        <v>0</v>
      </c>
      <c r="J2558">
        <f>'raw data Crude oil'!J2559</f>
        <v>0</v>
      </c>
      <c r="K2558">
        <f>'raw data Crude oil'!K2559</f>
        <v>0</v>
      </c>
      <c r="L2558">
        <f>'raw data Crude oil'!L2559</f>
        <v>0</v>
      </c>
      <c r="M2558">
        <f>'raw data Crude oil'!M2559</f>
        <v>0</v>
      </c>
      <c r="N2558">
        <f>'raw data Crude oil'!N2559</f>
        <v>0</v>
      </c>
      <c r="O2558">
        <f>'raw data Crude oil'!O2559</f>
        <v>0</v>
      </c>
      <c r="P2558">
        <f>'raw data Crude oil'!P2559</f>
        <v>0</v>
      </c>
      <c r="Q2558">
        <f>'raw data Crude oil'!Q2559</f>
        <v>0</v>
      </c>
      <c r="R2558">
        <f>'raw data Crude oil'!R2559</f>
        <v>0</v>
      </c>
      <c r="S2558">
        <f>'raw data Crude oil'!S2559</f>
        <v>0</v>
      </c>
      <c r="T2558">
        <f>'raw data Crude oil'!T2559</f>
        <v>0</v>
      </c>
      <c r="U2558">
        <f>'raw data Crude oil'!U2559</f>
        <v>0</v>
      </c>
      <c r="V2558">
        <f>'raw data Crude oil'!V2559</f>
        <v>0</v>
      </c>
      <c r="W2558">
        <f>'raw data Crude oil'!W2559</f>
        <v>0</v>
      </c>
      <c r="X2558">
        <f>'raw data Crude oil'!X2559</f>
        <v>0</v>
      </c>
      <c r="Y2558">
        <f>'raw data Crude oil'!Y2559</f>
        <v>0</v>
      </c>
      <c r="Z2558">
        <f>'raw data Crude oil'!Z2559</f>
        <v>0</v>
      </c>
      <c r="AA2558">
        <f>'raw data Crude oil'!AA2559</f>
        <v>0</v>
      </c>
      <c r="AB2558">
        <f>'raw data Crude oil'!AB2559</f>
        <v>0</v>
      </c>
      <c r="AC2558">
        <f>'raw data Crude oil'!AC2559</f>
        <v>0</v>
      </c>
      <c r="AD2558">
        <f>'raw data Crude oil'!AD2559</f>
        <v>0</v>
      </c>
      <c r="AE2558">
        <f>'raw data Crude oil'!AE2559</f>
        <v>0</v>
      </c>
      <c r="AF2558">
        <f>'raw data Crude oil'!AF2559</f>
        <v>0</v>
      </c>
      <c r="AG2558">
        <f>'raw data Crude oil'!AG2559</f>
        <v>0</v>
      </c>
      <c r="AH2558">
        <f>'raw data Crude oil'!AH2559</f>
        <v>0</v>
      </c>
      <c r="AI2558">
        <f>'raw data Crude oil'!AI2559</f>
        <v>0</v>
      </c>
      <c r="AJ2558">
        <f>'raw data Crude oil'!AJ2559</f>
        <v>0</v>
      </c>
      <c r="AK2558">
        <f>'raw data Crude oil'!AK2559</f>
        <v>0</v>
      </c>
    </row>
    <row r="2559" spans="1:37" x14ac:dyDescent="0.3">
      <c r="A2559" s="18">
        <f>'raw data Crude oil'!A2560</f>
        <v>0</v>
      </c>
      <c r="B2559">
        <f>'raw data Crude oil'!B2560</f>
        <v>0</v>
      </c>
      <c r="C2559">
        <f>'raw data Crude oil'!C2560</f>
        <v>0</v>
      </c>
      <c r="D2559">
        <f>'raw data Crude oil'!D2560</f>
        <v>0</v>
      </c>
      <c r="E2559">
        <f>'raw data Crude oil'!E2560</f>
        <v>0</v>
      </c>
      <c r="F2559">
        <f>'raw data Crude oil'!F2560</f>
        <v>0</v>
      </c>
      <c r="G2559">
        <f>'raw data Crude oil'!G2560</f>
        <v>0</v>
      </c>
      <c r="H2559">
        <f>'raw data Crude oil'!H2560</f>
        <v>0</v>
      </c>
      <c r="I2559">
        <f>'raw data Crude oil'!I2560</f>
        <v>0</v>
      </c>
      <c r="J2559">
        <f>'raw data Crude oil'!J2560</f>
        <v>0</v>
      </c>
      <c r="K2559">
        <f>'raw data Crude oil'!K2560</f>
        <v>0</v>
      </c>
      <c r="L2559">
        <f>'raw data Crude oil'!L2560</f>
        <v>0</v>
      </c>
      <c r="M2559">
        <f>'raw data Crude oil'!M2560</f>
        <v>0</v>
      </c>
      <c r="N2559">
        <f>'raw data Crude oil'!N2560</f>
        <v>0</v>
      </c>
      <c r="O2559">
        <f>'raw data Crude oil'!O2560</f>
        <v>0</v>
      </c>
      <c r="P2559">
        <f>'raw data Crude oil'!P2560</f>
        <v>0</v>
      </c>
      <c r="Q2559">
        <f>'raw data Crude oil'!Q2560</f>
        <v>0</v>
      </c>
      <c r="R2559">
        <f>'raw data Crude oil'!R2560</f>
        <v>0</v>
      </c>
      <c r="S2559">
        <f>'raw data Crude oil'!S2560</f>
        <v>0</v>
      </c>
      <c r="T2559">
        <f>'raw data Crude oil'!T2560</f>
        <v>0</v>
      </c>
      <c r="U2559">
        <f>'raw data Crude oil'!U2560</f>
        <v>0</v>
      </c>
      <c r="V2559">
        <f>'raw data Crude oil'!V2560</f>
        <v>0</v>
      </c>
      <c r="W2559">
        <f>'raw data Crude oil'!W2560</f>
        <v>0</v>
      </c>
      <c r="X2559">
        <f>'raw data Crude oil'!X2560</f>
        <v>0</v>
      </c>
      <c r="Y2559">
        <f>'raw data Crude oil'!Y2560</f>
        <v>0</v>
      </c>
      <c r="Z2559">
        <f>'raw data Crude oil'!Z2560</f>
        <v>0</v>
      </c>
      <c r="AA2559">
        <f>'raw data Crude oil'!AA2560</f>
        <v>0</v>
      </c>
      <c r="AB2559">
        <f>'raw data Crude oil'!AB2560</f>
        <v>0</v>
      </c>
      <c r="AC2559">
        <f>'raw data Crude oil'!AC2560</f>
        <v>0</v>
      </c>
      <c r="AD2559">
        <f>'raw data Crude oil'!AD2560</f>
        <v>0</v>
      </c>
      <c r="AE2559">
        <f>'raw data Crude oil'!AE2560</f>
        <v>0</v>
      </c>
      <c r="AF2559">
        <f>'raw data Crude oil'!AF2560</f>
        <v>0</v>
      </c>
      <c r="AG2559">
        <f>'raw data Crude oil'!AG2560</f>
        <v>0</v>
      </c>
      <c r="AH2559">
        <f>'raw data Crude oil'!AH2560</f>
        <v>0</v>
      </c>
      <c r="AI2559">
        <f>'raw data Crude oil'!AI2560</f>
        <v>0</v>
      </c>
      <c r="AJ2559">
        <f>'raw data Crude oil'!AJ2560</f>
        <v>0</v>
      </c>
      <c r="AK2559">
        <f>'raw data Crude oil'!AK2560</f>
        <v>0</v>
      </c>
    </row>
    <row r="2560" spans="1:37" x14ac:dyDescent="0.3">
      <c r="A2560" s="18">
        <f>'raw data Crude oil'!A2561</f>
        <v>0</v>
      </c>
      <c r="B2560">
        <f>'raw data Crude oil'!B2561</f>
        <v>0</v>
      </c>
      <c r="C2560">
        <f>'raw data Crude oil'!C2561</f>
        <v>0</v>
      </c>
      <c r="D2560">
        <f>'raw data Crude oil'!D2561</f>
        <v>0</v>
      </c>
      <c r="E2560">
        <f>'raw data Crude oil'!E2561</f>
        <v>0</v>
      </c>
      <c r="F2560">
        <f>'raw data Crude oil'!F2561</f>
        <v>0</v>
      </c>
      <c r="G2560">
        <f>'raw data Crude oil'!G2561</f>
        <v>0</v>
      </c>
      <c r="H2560">
        <f>'raw data Crude oil'!H2561</f>
        <v>0</v>
      </c>
      <c r="I2560">
        <f>'raw data Crude oil'!I2561</f>
        <v>0</v>
      </c>
      <c r="J2560">
        <f>'raw data Crude oil'!J2561</f>
        <v>0</v>
      </c>
      <c r="K2560">
        <f>'raw data Crude oil'!K2561</f>
        <v>0</v>
      </c>
      <c r="L2560">
        <f>'raw data Crude oil'!L2561</f>
        <v>0</v>
      </c>
      <c r="M2560">
        <f>'raw data Crude oil'!M2561</f>
        <v>0</v>
      </c>
      <c r="N2560">
        <f>'raw data Crude oil'!N2561</f>
        <v>0</v>
      </c>
      <c r="O2560">
        <f>'raw data Crude oil'!O2561</f>
        <v>0</v>
      </c>
      <c r="P2560">
        <f>'raw data Crude oil'!P2561</f>
        <v>0</v>
      </c>
      <c r="Q2560">
        <f>'raw data Crude oil'!Q2561</f>
        <v>0</v>
      </c>
      <c r="R2560">
        <f>'raw data Crude oil'!R2561</f>
        <v>0</v>
      </c>
      <c r="S2560">
        <f>'raw data Crude oil'!S2561</f>
        <v>0</v>
      </c>
      <c r="T2560">
        <f>'raw data Crude oil'!T2561</f>
        <v>0</v>
      </c>
      <c r="U2560">
        <f>'raw data Crude oil'!U2561</f>
        <v>0</v>
      </c>
      <c r="V2560">
        <f>'raw data Crude oil'!V2561</f>
        <v>0</v>
      </c>
      <c r="W2560">
        <f>'raw data Crude oil'!W2561</f>
        <v>0</v>
      </c>
      <c r="X2560">
        <f>'raw data Crude oil'!X2561</f>
        <v>0</v>
      </c>
      <c r="Y2560">
        <f>'raw data Crude oil'!Y2561</f>
        <v>0</v>
      </c>
      <c r="Z2560">
        <f>'raw data Crude oil'!Z2561</f>
        <v>0</v>
      </c>
      <c r="AA2560">
        <f>'raw data Crude oil'!AA2561</f>
        <v>0</v>
      </c>
      <c r="AB2560">
        <f>'raw data Crude oil'!AB2561</f>
        <v>0</v>
      </c>
      <c r="AC2560">
        <f>'raw data Crude oil'!AC2561</f>
        <v>0</v>
      </c>
      <c r="AD2560">
        <f>'raw data Crude oil'!AD2561</f>
        <v>0</v>
      </c>
      <c r="AE2560">
        <f>'raw data Crude oil'!AE2561</f>
        <v>0</v>
      </c>
      <c r="AF2560">
        <f>'raw data Crude oil'!AF2561</f>
        <v>0</v>
      </c>
      <c r="AG2560">
        <f>'raw data Crude oil'!AG2561</f>
        <v>0</v>
      </c>
      <c r="AH2560">
        <f>'raw data Crude oil'!AH2561</f>
        <v>0</v>
      </c>
      <c r="AI2560">
        <f>'raw data Crude oil'!AI2561</f>
        <v>0</v>
      </c>
      <c r="AJ2560">
        <f>'raw data Crude oil'!AJ2561</f>
        <v>0</v>
      </c>
      <c r="AK2560">
        <f>'raw data Crude oil'!AK2561</f>
        <v>0</v>
      </c>
    </row>
    <row r="2561" spans="1:37" x14ac:dyDescent="0.3">
      <c r="A2561" s="18">
        <f>'raw data Crude oil'!A2562</f>
        <v>0</v>
      </c>
      <c r="B2561">
        <f>'raw data Crude oil'!B2562</f>
        <v>0</v>
      </c>
      <c r="C2561">
        <f>'raw data Crude oil'!C2562</f>
        <v>0</v>
      </c>
      <c r="D2561">
        <f>'raw data Crude oil'!D2562</f>
        <v>0</v>
      </c>
      <c r="E2561">
        <f>'raw data Crude oil'!E2562</f>
        <v>0</v>
      </c>
      <c r="F2561">
        <f>'raw data Crude oil'!F2562</f>
        <v>0</v>
      </c>
      <c r="G2561">
        <f>'raw data Crude oil'!G2562</f>
        <v>0</v>
      </c>
      <c r="H2561">
        <f>'raw data Crude oil'!H2562</f>
        <v>0</v>
      </c>
      <c r="I2561">
        <f>'raw data Crude oil'!I2562</f>
        <v>0</v>
      </c>
      <c r="J2561">
        <f>'raw data Crude oil'!J2562</f>
        <v>0</v>
      </c>
      <c r="K2561">
        <f>'raw data Crude oil'!K2562</f>
        <v>0</v>
      </c>
      <c r="L2561">
        <f>'raw data Crude oil'!L2562</f>
        <v>0</v>
      </c>
      <c r="M2561">
        <f>'raw data Crude oil'!M2562</f>
        <v>0</v>
      </c>
      <c r="N2561">
        <f>'raw data Crude oil'!N2562</f>
        <v>0</v>
      </c>
      <c r="O2561">
        <f>'raw data Crude oil'!O2562</f>
        <v>0</v>
      </c>
      <c r="P2561">
        <f>'raw data Crude oil'!P2562</f>
        <v>0</v>
      </c>
      <c r="Q2561">
        <f>'raw data Crude oil'!Q2562</f>
        <v>0</v>
      </c>
      <c r="R2561">
        <f>'raw data Crude oil'!R2562</f>
        <v>0</v>
      </c>
      <c r="S2561">
        <f>'raw data Crude oil'!S2562</f>
        <v>0</v>
      </c>
      <c r="T2561">
        <f>'raw data Crude oil'!T2562</f>
        <v>0</v>
      </c>
      <c r="U2561">
        <f>'raw data Crude oil'!U2562</f>
        <v>0</v>
      </c>
      <c r="V2561">
        <f>'raw data Crude oil'!V2562</f>
        <v>0</v>
      </c>
      <c r="W2561">
        <f>'raw data Crude oil'!W2562</f>
        <v>0</v>
      </c>
      <c r="X2561">
        <f>'raw data Crude oil'!X2562</f>
        <v>0</v>
      </c>
      <c r="Y2561">
        <f>'raw data Crude oil'!Y2562</f>
        <v>0</v>
      </c>
      <c r="Z2561">
        <f>'raw data Crude oil'!Z2562</f>
        <v>0</v>
      </c>
      <c r="AA2561">
        <f>'raw data Crude oil'!AA2562</f>
        <v>0</v>
      </c>
      <c r="AB2561">
        <f>'raw data Crude oil'!AB2562</f>
        <v>0</v>
      </c>
      <c r="AC2561">
        <f>'raw data Crude oil'!AC2562</f>
        <v>0</v>
      </c>
      <c r="AD2561">
        <f>'raw data Crude oil'!AD2562</f>
        <v>0</v>
      </c>
      <c r="AE2561">
        <f>'raw data Crude oil'!AE2562</f>
        <v>0</v>
      </c>
      <c r="AF2561">
        <f>'raw data Crude oil'!AF2562</f>
        <v>0</v>
      </c>
      <c r="AG2561">
        <f>'raw data Crude oil'!AG2562</f>
        <v>0</v>
      </c>
      <c r="AH2561">
        <f>'raw data Crude oil'!AH2562</f>
        <v>0</v>
      </c>
      <c r="AI2561">
        <f>'raw data Crude oil'!AI2562</f>
        <v>0</v>
      </c>
      <c r="AJ2561">
        <f>'raw data Crude oil'!AJ2562</f>
        <v>0</v>
      </c>
      <c r="AK2561">
        <f>'raw data Crude oil'!AK2562</f>
        <v>0</v>
      </c>
    </row>
    <row r="2562" spans="1:37" x14ac:dyDescent="0.3">
      <c r="A2562" s="18">
        <f>'raw data Crude oil'!A2563</f>
        <v>0</v>
      </c>
      <c r="B2562">
        <f>'raw data Crude oil'!B2563</f>
        <v>0</v>
      </c>
      <c r="C2562">
        <f>'raw data Crude oil'!C2563</f>
        <v>0</v>
      </c>
      <c r="D2562">
        <f>'raw data Crude oil'!D2563</f>
        <v>0</v>
      </c>
      <c r="E2562">
        <f>'raw data Crude oil'!E2563</f>
        <v>0</v>
      </c>
      <c r="F2562">
        <f>'raw data Crude oil'!F2563</f>
        <v>0</v>
      </c>
      <c r="G2562">
        <f>'raw data Crude oil'!G2563</f>
        <v>0</v>
      </c>
      <c r="H2562">
        <f>'raw data Crude oil'!H2563</f>
        <v>0</v>
      </c>
      <c r="I2562">
        <f>'raw data Crude oil'!I2563</f>
        <v>0</v>
      </c>
      <c r="J2562">
        <f>'raw data Crude oil'!J2563</f>
        <v>0</v>
      </c>
      <c r="K2562">
        <f>'raw data Crude oil'!K2563</f>
        <v>0</v>
      </c>
      <c r="L2562">
        <f>'raw data Crude oil'!L2563</f>
        <v>0</v>
      </c>
      <c r="M2562">
        <f>'raw data Crude oil'!M2563</f>
        <v>0</v>
      </c>
      <c r="N2562">
        <f>'raw data Crude oil'!N2563</f>
        <v>0</v>
      </c>
      <c r="O2562">
        <f>'raw data Crude oil'!O2563</f>
        <v>0</v>
      </c>
      <c r="P2562">
        <f>'raw data Crude oil'!P2563</f>
        <v>0</v>
      </c>
      <c r="Q2562">
        <f>'raw data Crude oil'!Q2563</f>
        <v>0</v>
      </c>
      <c r="R2562">
        <f>'raw data Crude oil'!R2563</f>
        <v>0</v>
      </c>
      <c r="S2562">
        <f>'raw data Crude oil'!S2563</f>
        <v>0</v>
      </c>
      <c r="T2562">
        <f>'raw data Crude oil'!T2563</f>
        <v>0</v>
      </c>
      <c r="U2562">
        <f>'raw data Crude oil'!U2563</f>
        <v>0</v>
      </c>
      <c r="V2562">
        <f>'raw data Crude oil'!V2563</f>
        <v>0</v>
      </c>
      <c r="W2562">
        <f>'raw data Crude oil'!W2563</f>
        <v>0</v>
      </c>
      <c r="X2562">
        <f>'raw data Crude oil'!X2563</f>
        <v>0</v>
      </c>
      <c r="Y2562">
        <f>'raw data Crude oil'!Y2563</f>
        <v>0</v>
      </c>
      <c r="Z2562">
        <f>'raw data Crude oil'!Z2563</f>
        <v>0</v>
      </c>
      <c r="AA2562">
        <f>'raw data Crude oil'!AA2563</f>
        <v>0</v>
      </c>
      <c r="AB2562">
        <f>'raw data Crude oil'!AB2563</f>
        <v>0</v>
      </c>
      <c r="AC2562">
        <f>'raw data Crude oil'!AC2563</f>
        <v>0</v>
      </c>
      <c r="AD2562">
        <f>'raw data Crude oil'!AD2563</f>
        <v>0</v>
      </c>
      <c r="AE2562">
        <f>'raw data Crude oil'!AE2563</f>
        <v>0</v>
      </c>
      <c r="AF2562">
        <f>'raw data Crude oil'!AF2563</f>
        <v>0</v>
      </c>
      <c r="AG2562">
        <f>'raw data Crude oil'!AG2563</f>
        <v>0</v>
      </c>
      <c r="AH2562">
        <f>'raw data Crude oil'!AH2563</f>
        <v>0</v>
      </c>
      <c r="AI2562">
        <f>'raw data Crude oil'!AI2563</f>
        <v>0</v>
      </c>
      <c r="AJ2562">
        <f>'raw data Crude oil'!AJ2563</f>
        <v>0</v>
      </c>
      <c r="AK2562">
        <f>'raw data Crude oil'!AK2563</f>
        <v>0</v>
      </c>
    </row>
    <row r="2563" spans="1:37" x14ac:dyDescent="0.3">
      <c r="A2563" s="18">
        <f>'raw data Crude oil'!A2564</f>
        <v>0</v>
      </c>
      <c r="B2563">
        <f>'raw data Crude oil'!B2564</f>
        <v>0</v>
      </c>
      <c r="C2563">
        <f>'raw data Crude oil'!C2564</f>
        <v>0</v>
      </c>
      <c r="D2563">
        <f>'raw data Crude oil'!D2564</f>
        <v>0</v>
      </c>
      <c r="E2563">
        <f>'raw data Crude oil'!E2564</f>
        <v>0</v>
      </c>
      <c r="F2563">
        <f>'raw data Crude oil'!F2564</f>
        <v>0</v>
      </c>
      <c r="G2563">
        <f>'raw data Crude oil'!G2564</f>
        <v>0</v>
      </c>
      <c r="H2563">
        <f>'raw data Crude oil'!H2564</f>
        <v>0</v>
      </c>
      <c r="I2563">
        <f>'raw data Crude oil'!I2564</f>
        <v>0</v>
      </c>
      <c r="J2563">
        <f>'raw data Crude oil'!J2564</f>
        <v>0</v>
      </c>
      <c r="K2563">
        <f>'raw data Crude oil'!K2564</f>
        <v>0</v>
      </c>
      <c r="L2563">
        <f>'raw data Crude oil'!L2564</f>
        <v>0</v>
      </c>
      <c r="M2563">
        <f>'raw data Crude oil'!M2564</f>
        <v>0</v>
      </c>
      <c r="N2563">
        <f>'raw data Crude oil'!N2564</f>
        <v>0</v>
      </c>
      <c r="O2563">
        <f>'raw data Crude oil'!O2564</f>
        <v>0</v>
      </c>
      <c r="P2563">
        <f>'raw data Crude oil'!P2564</f>
        <v>0</v>
      </c>
      <c r="Q2563">
        <f>'raw data Crude oil'!Q2564</f>
        <v>0</v>
      </c>
      <c r="R2563">
        <f>'raw data Crude oil'!R2564</f>
        <v>0</v>
      </c>
      <c r="S2563">
        <f>'raw data Crude oil'!S2564</f>
        <v>0</v>
      </c>
      <c r="T2563">
        <f>'raw data Crude oil'!T2564</f>
        <v>0</v>
      </c>
      <c r="U2563">
        <f>'raw data Crude oil'!U2564</f>
        <v>0</v>
      </c>
      <c r="V2563">
        <f>'raw data Crude oil'!V2564</f>
        <v>0</v>
      </c>
      <c r="W2563">
        <f>'raw data Crude oil'!W2564</f>
        <v>0</v>
      </c>
      <c r="X2563">
        <f>'raw data Crude oil'!X2564</f>
        <v>0</v>
      </c>
      <c r="Y2563">
        <f>'raw data Crude oil'!Y2564</f>
        <v>0</v>
      </c>
      <c r="Z2563">
        <f>'raw data Crude oil'!Z2564</f>
        <v>0</v>
      </c>
      <c r="AA2563">
        <f>'raw data Crude oil'!AA2564</f>
        <v>0</v>
      </c>
      <c r="AB2563">
        <f>'raw data Crude oil'!AB2564</f>
        <v>0</v>
      </c>
      <c r="AC2563">
        <f>'raw data Crude oil'!AC2564</f>
        <v>0</v>
      </c>
      <c r="AD2563">
        <f>'raw data Crude oil'!AD2564</f>
        <v>0</v>
      </c>
      <c r="AE2563">
        <f>'raw data Crude oil'!AE2564</f>
        <v>0</v>
      </c>
      <c r="AF2563">
        <f>'raw data Crude oil'!AF2564</f>
        <v>0</v>
      </c>
      <c r="AG2563">
        <f>'raw data Crude oil'!AG2564</f>
        <v>0</v>
      </c>
      <c r="AH2563">
        <f>'raw data Crude oil'!AH2564</f>
        <v>0</v>
      </c>
      <c r="AI2563">
        <f>'raw data Crude oil'!AI2564</f>
        <v>0</v>
      </c>
      <c r="AJ2563">
        <f>'raw data Crude oil'!AJ2564</f>
        <v>0</v>
      </c>
      <c r="AK2563">
        <f>'raw data Crude oil'!AK2564</f>
        <v>0</v>
      </c>
    </row>
    <row r="2564" spans="1:37" x14ac:dyDescent="0.3">
      <c r="A2564" s="18">
        <f>'raw data Crude oil'!A2565</f>
        <v>0</v>
      </c>
      <c r="B2564">
        <f>'raw data Crude oil'!B2565</f>
        <v>0</v>
      </c>
      <c r="C2564">
        <f>'raw data Crude oil'!C2565</f>
        <v>0</v>
      </c>
      <c r="D2564">
        <f>'raw data Crude oil'!D2565</f>
        <v>0</v>
      </c>
      <c r="E2564">
        <f>'raw data Crude oil'!E2565</f>
        <v>0</v>
      </c>
      <c r="F2564">
        <f>'raw data Crude oil'!F2565</f>
        <v>0</v>
      </c>
      <c r="G2564">
        <f>'raw data Crude oil'!G2565</f>
        <v>0</v>
      </c>
      <c r="H2564">
        <f>'raw data Crude oil'!H2565</f>
        <v>0</v>
      </c>
      <c r="I2564">
        <f>'raw data Crude oil'!I2565</f>
        <v>0</v>
      </c>
      <c r="J2564">
        <f>'raw data Crude oil'!J2565</f>
        <v>0</v>
      </c>
      <c r="K2564">
        <f>'raw data Crude oil'!K2565</f>
        <v>0</v>
      </c>
      <c r="L2564">
        <f>'raw data Crude oil'!L2565</f>
        <v>0</v>
      </c>
      <c r="M2564">
        <f>'raw data Crude oil'!M2565</f>
        <v>0</v>
      </c>
      <c r="N2564">
        <f>'raw data Crude oil'!N2565</f>
        <v>0</v>
      </c>
      <c r="O2564">
        <f>'raw data Crude oil'!O2565</f>
        <v>0</v>
      </c>
      <c r="P2564">
        <f>'raw data Crude oil'!P2565</f>
        <v>0</v>
      </c>
      <c r="Q2564">
        <f>'raw data Crude oil'!Q2565</f>
        <v>0</v>
      </c>
      <c r="R2564">
        <f>'raw data Crude oil'!R2565</f>
        <v>0</v>
      </c>
      <c r="S2564">
        <f>'raw data Crude oil'!S2565</f>
        <v>0</v>
      </c>
      <c r="T2564">
        <f>'raw data Crude oil'!T2565</f>
        <v>0</v>
      </c>
      <c r="U2564">
        <f>'raw data Crude oil'!U2565</f>
        <v>0</v>
      </c>
      <c r="V2564">
        <f>'raw data Crude oil'!V2565</f>
        <v>0</v>
      </c>
      <c r="W2564">
        <f>'raw data Crude oil'!W2565</f>
        <v>0</v>
      </c>
      <c r="X2564">
        <f>'raw data Crude oil'!X2565</f>
        <v>0</v>
      </c>
      <c r="Y2564">
        <f>'raw data Crude oil'!Y2565</f>
        <v>0</v>
      </c>
      <c r="Z2564">
        <f>'raw data Crude oil'!Z2565</f>
        <v>0</v>
      </c>
      <c r="AA2564">
        <f>'raw data Crude oil'!AA2565</f>
        <v>0</v>
      </c>
      <c r="AB2564">
        <f>'raw data Crude oil'!AB2565</f>
        <v>0</v>
      </c>
      <c r="AC2564">
        <f>'raw data Crude oil'!AC2565</f>
        <v>0</v>
      </c>
      <c r="AD2564">
        <f>'raw data Crude oil'!AD2565</f>
        <v>0</v>
      </c>
      <c r="AE2564">
        <f>'raw data Crude oil'!AE2565</f>
        <v>0</v>
      </c>
      <c r="AF2564">
        <f>'raw data Crude oil'!AF2565</f>
        <v>0</v>
      </c>
      <c r="AG2564">
        <f>'raw data Crude oil'!AG2565</f>
        <v>0</v>
      </c>
      <c r="AH2564">
        <f>'raw data Crude oil'!AH2565</f>
        <v>0</v>
      </c>
      <c r="AI2564">
        <f>'raw data Crude oil'!AI2565</f>
        <v>0</v>
      </c>
      <c r="AJ2564">
        <f>'raw data Crude oil'!AJ2565</f>
        <v>0</v>
      </c>
      <c r="AK2564">
        <f>'raw data Crude oil'!AK2565</f>
        <v>0</v>
      </c>
    </row>
    <row r="2565" spans="1:37" x14ac:dyDescent="0.3">
      <c r="A2565" s="18">
        <f>'raw data Crude oil'!A2566</f>
        <v>0</v>
      </c>
      <c r="B2565">
        <f>'raw data Crude oil'!B2566</f>
        <v>0</v>
      </c>
      <c r="C2565">
        <f>'raw data Crude oil'!C2566</f>
        <v>0</v>
      </c>
      <c r="D2565">
        <f>'raw data Crude oil'!D2566</f>
        <v>0</v>
      </c>
      <c r="E2565">
        <f>'raw data Crude oil'!E2566</f>
        <v>0</v>
      </c>
      <c r="F2565">
        <f>'raw data Crude oil'!F2566</f>
        <v>0</v>
      </c>
      <c r="G2565">
        <f>'raw data Crude oil'!G2566</f>
        <v>0</v>
      </c>
      <c r="H2565">
        <f>'raw data Crude oil'!H2566</f>
        <v>0</v>
      </c>
      <c r="I2565">
        <f>'raw data Crude oil'!I2566</f>
        <v>0</v>
      </c>
      <c r="J2565">
        <f>'raw data Crude oil'!J2566</f>
        <v>0</v>
      </c>
      <c r="K2565">
        <f>'raw data Crude oil'!K2566</f>
        <v>0</v>
      </c>
      <c r="L2565">
        <f>'raw data Crude oil'!L2566</f>
        <v>0</v>
      </c>
      <c r="M2565">
        <f>'raw data Crude oil'!M2566</f>
        <v>0</v>
      </c>
      <c r="N2565">
        <f>'raw data Crude oil'!N2566</f>
        <v>0</v>
      </c>
      <c r="O2565">
        <f>'raw data Crude oil'!O2566</f>
        <v>0</v>
      </c>
      <c r="P2565">
        <f>'raw data Crude oil'!P2566</f>
        <v>0</v>
      </c>
      <c r="Q2565">
        <f>'raw data Crude oil'!Q2566</f>
        <v>0</v>
      </c>
      <c r="R2565">
        <f>'raw data Crude oil'!R2566</f>
        <v>0</v>
      </c>
      <c r="S2565">
        <f>'raw data Crude oil'!S2566</f>
        <v>0</v>
      </c>
      <c r="T2565">
        <f>'raw data Crude oil'!T2566</f>
        <v>0</v>
      </c>
      <c r="U2565">
        <f>'raw data Crude oil'!U2566</f>
        <v>0</v>
      </c>
      <c r="V2565">
        <f>'raw data Crude oil'!V2566</f>
        <v>0</v>
      </c>
      <c r="W2565">
        <f>'raw data Crude oil'!W2566</f>
        <v>0</v>
      </c>
      <c r="X2565">
        <f>'raw data Crude oil'!X2566</f>
        <v>0</v>
      </c>
      <c r="Y2565">
        <f>'raw data Crude oil'!Y2566</f>
        <v>0</v>
      </c>
      <c r="Z2565">
        <f>'raw data Crude oil'!Z2566</f>
        <v>0</v>
      </c>
      <c r="AA2565">
        <f>'raw data Crude oil'!AA2566</f>
        <v>0</v>
      </c>
      <c r="AB2565">
        <f>'raw data Crude oil'!AB2566</f>
        <v>0</v>
      </c>
      <c r="AC2565">
        <f>'raw data Crude oil'!AC2566</f>
        <v>0</v>
      </c>
      <c r="AD2565">
        <f>'raw data Crude oil'!AD2566</f>
        <v>0</v>
      </c>
      <c r="AE2565">
        <f>'raw data Crude oil'!AE2566</f>
        <v>0</v>
      </c>
      <c r="AF2565">
        <f>'raw data Crude oil'!AF2566</f>
        <v>0</v>
      </c>
      <c r="AG2565">
        <f>'raw data Crude oil'!AG2566</f>
        <v>0</v>
      </c>
      <c r="AH2565">
        <f>'raw data Crude oil'!AH2566</f>
        <v>0</v>
      </c>
      <c r="AI2565">
        <f>'raw data Crude oil'!AI2566</f>
        <v>0</v>
      </c>
      <c r="AJ2565">
        <f>'raw data Crude oil'!AJ2566</f>
        <v>0</v>
      </c>
      <c r="AK2565">
        <f>'raw data Crude oil'!AK2566</f>
        <v>0</v>
      </c>
    </row>
    <row r="2566" spans="1:37" x14ac:dyDescent="0.3">
      <c r="A2566" s="18">
        <f>'raw data Crude oil'!A2567</f>
        <v>0</v>
      </c>
      <c r="B2566">
        <f>'raw data Crude oil'!B2567</f>
        <v>0</v>
      </c>
      <c r="C2566">
        <f>'raw data Crude oil'!C2567</f>
        <v>0</v>
      </c>
      <c r="D2566">
        <f>'raw data Crude oil'!D2567</f>
        <v>0</v>
      </c>
      <c r="E2566">
        <f>'raw data Crude oil'!E2567</f>
        <v>0</v>
      </c>
      <c r="F2566">
        <f>'raw data Crude oil'!F2567</f>
        <v>0</v>
      </c>
      <c r="G2566">
        <f>'raw data Crude oil'!G2567</f>
        <v>0</v>
      </c>
      <c r="H2566">
        <f>'raw data Crude oil'!H2567</f>
        <v>0</v>
      </c>
      <c r="I2566">
        <f>'raw data Crude oil'!I2567</f>
        <v>0</v>
      </c>
      <c r="J2566">
        <f>'raw data Crude oil'!J2567</f>
        <v>0</v>
      </c>
      <c r="K2566">
        <f>'raw data Crude oil'!K2567</f>
        <v>0</v>
      </c>
      <c r="L2566">
        <f>'raw data Crude oil'!L2567</f>
        <v>0</v>
      </c>
      <c r="M2566">
        <f>'raw data Crude oil'!M2567</f>
        <v>0</v>
      </c>
      <c r="N2566">
        <f>'raw data Crude oil'!N2567</f>
        <v>0</v>
      </c>
      <c r="O2566">
        <f>'raw data Crude oil'!O2567</f>
        <v>0</v>
      </c>
      <c r="P2566">
        <f>'raw data Crude oil'!P2567</f>
        <v>0</v>
      </c>
      <c r="Q2566">
        <f>'raw data Crude oil'!Q2567</f>
        <v>0</v>
      </c>
      <c r="R2566">
        <f>'raw data Crude oil'!R2567</f>
        <v>0</v>
      </c>
      <c r="S2566">
        <f>'raw data Crude oil'!S2567</f>
        <v>0</v>
      </c>
      <c r="T2566">
        <f>'raw data Crude oil'!T2567</f>
        <v>0</v>
      </c>
      <c r="U2566">
        <f>'raw data Crude oil'!U2567</f>
        <v>0</v>
      </c>
      <c r="V2566">
        <f>'raw data Crude oil'!V2567</f>
        <v>0</v>
      </c>
      <c r="W2566">
        <f>'raw data Crude oil'!W2567</f>
        <v>0</v>
      </c>
      <c r="X2566">
        <f>'raw data Crude oil'!X2567</f>
        <v>0</v>
      </c>
      <c r="Y2566">
        <f>'raw data Crude oil'!Y2567</f>
        <v>0</v>
      </c>
      <c r="Z2566">
        <f>'raw data Crude oil'!Z2567</f>
        <v>0</v>
      </c>
      <c r="AA2566">
        <f>'raw data Crude oil'!AA2567</f>
        <v>0</v>
      </c>
      <c r="AB2566">
        <f>'raw data Crude oil'!AB2567</f>
        <v>0</v>
      </c>
      <c r="AC2566">
        <f>'raw data Crude oil'!AC2567</f>
        <v>0</v>
      </c>
      <c r="AD2566">
        <f>'raw data Crude oil'!AD2567</f>
        <v>0</v>
      </c>
      <c r="AE2566">
        <f>'raw data Crude oil'!AE2567</f>
        <v>0</v>
      </c>
      <c r="AF2566">
        <f>'raw data Crude oil'!AF2567</f>
        <v>0</v>
      </c>
      <c r="AG2566">
        <f>'raw data Crude oil'!AG2567</f>
        <v>0</v>
      </c>
      <c r="AH2566">
        <f>'raw data Crude oil'!AH2567</f>
        <v>0</v>
      </c>
      <c r="AI2566">
        <f>'raw data Crude oil'!AI2567</f>
        <v>0</v>
      </c>
      <c r="AJ2566">
        <f>'raw data Crude oil'!AJ2567</f>
        <v>0</v>
      </c>
      <c r="AK2566">
        <f>'raw data Crude oil'!AK2567</f>
        <v>0</v>
      </c>
    </row>
    <row r="2567" spans="1:37" x14ac:dyDescent="0.3">
      <c r="A2567" s="18">
        <f>'raw data Crude oil'!A2568</f>
        <v>0</v>
      </c>
      <c r="B2567">
        <f>'raw data Crude oil'!B2568</f>
        <v>0</v>
      </c>
      <c r="C2567">
        <f>'raw data Crude oil'!C2568</f>
        <v>0</v>
      </c>
      <c r="D2567">
        <f>'raw data Crude oil'!D2568</f>
        <v>0</v>
      </c>
      <c r="E2567">
        <f>'raw data Crude oil'!E2568</f>
        <v>0</v>
      </c>
      <c r="F2567">
        <f>'raw data Crude oil'!F2568</f>
        <v>0</v>
      </c>
      <c r="G2567">
        <f>'raw data Crude oil'!G2568</f>
        <v>0</v>
      </c>
      <c r="H2567">
        <f>'raw data Crude oil'!H2568</f>
        <v>0</v>
      </c>
      <c r="I2567">
        <f>'raw data Crude oil'!I2568</f>
        <v>0</v>
      </c>
      <c r="J2567">
        <f>'raw data Crude oil'!J2568</f>
        <v>0</v>
      </c>
      <c r="K2567">
        <f>'raw data Crude oil'!K2568</f>
        <v>0</v>
      </c>
      <c r="L2567">
        <f>'raw data Crude oil'!L2568</f>
        <v>0</v>
      </c>
      <c r="M2567">
        <f>'raw data Crude oil'!M2568</f>
        <v>0</v>
      </c>
      <c r="N2567">
        <f>'raw data Crude oil'!N2568</f>
        <v>0</v>
      </c>
      <c r="O2567">
        <f>'raw data Crude oil'!O2568</f>
        <v>0</v>
      </c>
      <c r="P2567">
        <f>'raw data Crude oil'!P2568</f>
        <v>0</v>
      </c>
      <c r="Q2567">
        <f>'raw data Crude oil'!Q2568</f>
        <v>0</v>
      </c>
      <c r="R2567">
        <f>'raw data Crude oil'!R2568</f>
        <v>0</v>
      </c>
      <c r="S2567">
        <f>'raw data Crude oil'!S2568</f>
        <v>0</v>
      </c>
      <c r="T2567">
        <f>'raw data Crude oil'!T2568</f>
        <v>0</v>
      </c>
      <c r="U2567">
        <f>'raw data Crude oil'!U2568</f>
        <v>0</v>
      </c>
      <c r="V2567">
        <f>'raw data Crude oil'!V2568</f>
        <v>0</v>
      </c>
      <c r="W2567">
        <f>'raw data Crude oil'!W2568</f>
        <v>0</v>
      </c>
      <c r="X2567">
        <f>'raw data Crude oil'!X2568</f>
        <v>0</v>
      </c>
      <c r="Y2567">
        <f>'raw data Crude oil'!Y2568</f>
        <v>0</v>
      </c>
      <c r="Z2567">
        <f>'raw data Crude oil'!Z2568</f>
        <v>0</v>
      </c>
      <c r="AA2567">
        <f>'raw data Crude oil'!AA2568</f>
        <v>0</v>
      </c>
      <c r="AB2567">
        <f>'raw data Crude oil'!AB2568</f>
        <v>0</v>
      </c>
      <c r="AC2567">
        <f>'raw data Crude oil'!AC2568</f>
        <v>0</v>
      </c>
      <c r="AD2567">
        <f>'raw data Crude oil'!AD2568</f>
        <v>0</v>
      </c>
      <c r="AE2567">
        <f>'raw data Crude oil'!AE2568</f>
        <v>0</v>
      </c>
      <c r="AF2567">
        <f>'raw data Crude oil'!AF2568</f>
        <v>0</v>
      </c>
      <c r="AG2567">
        <f>'raw data Crude oil'!AG2568</f>
        <v>0</v>
      </c>
      <c r="AH2567">
        <f>'raw data Crude oil'!AH2568</f>
        <v>0</v>
      </c>
      <c r="AI2567">
        <f>'raw data Crude oil'!AI2568</f>
        <v>0</v>
      </c>
      <c r="AJ2567">
        <f>'raw data Crude oil'!AJ2568</f>
        <v>0</v>
      </c>
      <c r="AK2567">
        <f>'raw data Crude oil'!AK2568</f>
        <v>0</v>
      </c>
    </row>
    <row r="2568" spans="1:37" x14ac:dyDescent="0.3">
      <c r="A2568" s="18">
        <f>'raw data Crude oil'!A2569</f>
        <v>0</v>
      </c>
      <c r="B2568">
        <f>'raw data Crude oil'!B2569</f>
        <v>0</v>
      </c>
      <c r="C2568">
        <f>'raw data Crude oil'!C2569</f>
        <v>0</v>
      </c>
      <c r="D2568">
        <f>'raw data Crude oil'!D2569</f>
        <v>0</v>
      </c>
      <c r="E2568">
        <f>'raw data Crude oil'!E2569</f>
        <v>0</v>
      </c>
      <c r="F2568">
        <f>'raw data Crude oil'!F2569</f>
        <v>0</v>
      </c>
      <c r="G2568">
        <f>'raw data Crude oil'!G2569</f>
        <v>0</v>
      </c>
      <c r="H2568">
        <f>'raw data Crude oil'!H2569</f>
        <v>0</v>
      </c>
      <c r="I2568">
        <f>'raw data Crude oil'!I2569</f>
        <v>0</v>
      </c>
      <c r="J2568">
        <f>'raw data Crude oil'!J2569</f>
        <v>0</v>
      </c>
      <c r="K2568">
        <f>'raw data Crude oil'!K2569</f>
        <v>0</v>
      </c>
      <c r="L2568">
        <f>'raw data Crude oil'!L2569</f>
        <v>0</v>
      </c>
      <c r="M2568">
        <f>'raw data Crude oil'!M2569</f>
        <v>0</v>
      </c>
      <c r="N2568">
        <f>'raw data Crude oil'!N2569</f>
        <v>0</v>
      </c>
      <c r="O2568">
        <f>'raw data Crude oil'!O2569</f>
        <v>0</v>
      </c>
      <c r="P2568">
        <f>'raw data Crude oil'!P2569</f>
        <v>0</v>
      </c>
      <c r="Q2568">
        <f>'raw data Crude oil'!Q2569</f>
        <v>0</v>
      </c>
      <c r="R2568">
        <f>'raw data Crude oil'!R2569</f>
        <v>0</v>
      </c>
      <c r="S2568">
        <f>'raw data Crude oil'!S2569</f>
        <v>0</v>
      </c>
      <c r="T2568">
        <f>'raw data Crude oil'!T2569</f>
        <v>0</v>
      </c>
      <c r="U2568">
        <f>'raw data Crude oil'!U2569</f>
        <v>0</v>
      </c>
      <c r="V2568">
        <f>'raw data Crude oil'!V2569</f>
        <v>0</v>
      </c>
      <c r="W2568">
        <f>'raw data Crude oil'!W2569</f>
        <v>0</v>
      </c>
      <c r="X2568">
        <f>'raw data Crude oil'!X2569</f>
        <v>0</v>
      </c>
      <c r="Y2568">
        <f>'raw data Crude oil'!Y2569</f>
        <v>0</v>
      </c>
      <c r="Z2568">
        <f>'raw data Crude oil'!Z2569</f>
        <v>0</v>
      </c>
      <c r="AA2568">
        <f>'raw data Crude oil'!AA2569</f>
        <v>0</v>
      </c>
      <c r="AB2568">
        <f>'raw data Crude oil'!AB2569</f>
        <v>0</v>
      </c>
      <c r="AC2568">
        <f>'raw data Crude oil'!AC2569</f>
        <v>0</v>
      </c>
      <c r="AD2568">
        <f>'raw data Crude oil'!AD2569</f>
        <v>0</v>
      </c>
      <c r="AE2568">
        <f>'raw data Crude oil'!AE2569</f>
        <v>0</v>
      </c>
      <c r="AF2568">
        <f>'raw data Crude oil'!AF2569</f>
        <v>0</v>
      </c>
      <c r="AG2568">
        <f>'raw data Crude oil'!AG2569</f>
        <v>0</v>
      </c>
      <c r="AH2568">
        <f>'raw data Crude oil'!AH2569</f>
        <v>0</v>
      </c>
      <c r="AI2568">
        <f>'raw data Crude oil'!AI2569</f>
        <v>0</v>
      </c>
      <c r="AJ2568">
        <f>'raw data Crude oil'!AJ2569</f>
        <v>0</v>
      </c>
      <c r="AK2568">
        <f>'raw data Crude oil'!AK2569</f>
        <v>0</v>
      </c>
    </row>
    <row r="2569" spans="1:37" x14ac:dyDescent="0.3">
      <c r="A2569" s="18">
        <f>'raw data Crude oil'!A2570</f>
        <v>0</v>
      </c>
      <c r="B2569">
        <f>'raw data Crude oil'!B2570</f>
        <v>0</v>
      </c>
      <c r="C2569">
        <f>'raw data Crude oil'!C2570</f>
        <v>0</v>
      </c>
      <c r="D2569">
        <f>'raw data Crude oil'!D2570</f>
        <v>0</v>
      </c>
      <c r="E2569">
        <f>'raw data Crude oil'!E2570</f>
        <v>0</v>
      </c>
      <c r="F2569">
        <f>'raw data Crude oil'!F2570</f>
        <v>0</v>
      </c>
      <c r="G2569">
        <f>'raw data Crude oil'!G2570</f>
        <v>0</v>
      </c>
      <c r="H2569">
        <f>'raw data Crude oil'!H2570</f>
        <v>0</v>
      </c>
      <c r="I2569">
        <f>'raw data Crude oil'!I2570</f>
        <v>0</v>
      </c>
      <c r="J2569">
        <f>'raw data Crude oil'!J2570</f>
        <v>0</v>
      </c>
      <c r="K2569">
        <f>'raw data Crude oil'!K2570</f>
        <v>0</v>
      </c>
      <c r="L2569">
        <f>'raw data Crude oil'!L2570</f>
        <v>0</v>
      </c>
      <c r="M2569">
        <f>'raw data Crude oil'!M2570</f>
        <v>0</v>
      </c>
      <c r="N2569">
        <f>'raw data Crude oil'!N2570</f>
        <v>0</v>
      </c>
      <c r="O2569">
        <f>'raw data Crude oil'!O2570</f>
        <v>0</v>
      </c>
      <c r="P2569">
        <f>'raw data Crude oil'!P2570</f>
        <v>0</v>
      </c>
      <c r="Q2569">
        <f>'raw data Crude oil'!Q2570</f>
        <v>0</v>
      </c>
      <c r="R2569">
        <f>'raw data Crude oil'!R2570</f>
        <v>0</v>
      </c>
      <c r="S2569">
        <f>'raw data Crude oil'!S2570</f>
        <v>0</v>
      </c>
      <c r="T2569">
        <f>'raw data Crude oil'!T2570</f>
        <v>0</v>
      </c>
      <c r="U2569">
        <f>'raw data Crude oil'!U2570</f>
        <v>0</v>
      </c>
      <c r="V2569">
        <f>'raw data Crude oil'!V2570</f>
        <v>0</v>
      </c>
      <c r="W2569">
        <f>'raw data Crude oil'!W2570</f>
        <v>0</v>
      </c>
      <c r="X2569">
        <f>'raw data Crude oil'!X2570</f>
        <v>0</v>
      </c>
      <c r="Y2569">
        <f>'raw data Crude oil'!Y2570</f>
        <v>0</v>
      </c>
      <c r="Z2569">
        <f>'raw data Crude oil'!Z2570</f>
        <v>0</v>
      </c>
      <c r="AA2569">
        <f>'raw data Crude oil'!AA2570</f>
        <v>0</v>
      </c>
      <c r="AB2569">
        <f>'raw data Crude oil'!AB2570</f>
        <v>0</v>
      </c>
      <c r="AC2569">
        <f>'raw data Crude oil'!AC2570</f>
        <v>0</v>
      </c>
      <c r="AD2569">
        <f>'raw data Crude oil'!AD2570</f>
        <v>0</v>
      </c>
      <c r="AE2569">
        <f>'raw data Crude oil'!AE2570</f>
        <v>0</v>
      </c>
      <c r="AF2569">
        <f>'raw data Crude oil'!AF2570</f>
        <v>0</v>
      </c>
      <c r="AG2569">
        <f>'raw data Crude oil'!AG2570</f>
        <v>0</v>
      </c>
      <c r="AH2569">
        <f>'raw data Crude oil'!AH2570</f>
        <v>0</v>
      </c>
      <c r="AI2569">
        <f>'raw data Crude oil'!AI2570</f>
        <v>0</v>
      </c>
      <c r="AJ2569">
        <f>'raw data Crude oil'!AJ2570</f>
        <v>0</v>
      </c>
      <c r="AK2569">
        <f>'raw data Crude oil'!AK2570</f>
        <v>0</v>
      </c>
    </row>
    <row r="2570" spans="1:37" x14ac:dyDescent="0.3">
      <c r="A2570" s="18">
        <f>'raw data Crude oil'!A2571</f>
        <v>0</v>
      </c>
      <c r="B2570">
        <f>'raw data Crude oil'!B2571</f>
        <v>0</v>
      </c>
      <c r="C2570">
        <f>'raw data Crude oil'!C2571</f>
        <v>0</v>
      </c>
      <c r="D2570">
        <f>'raw data Crude oil'!D2571</f>
        <v>0</v>
      </c>
      <c r="E2570">
        <f>'raw data Crude oil'!E2571</f>
        <v>0</v>
      </c>
      <c r="F2570">
        <f>'raw data Crude oil'!F2571</f>
        <v>0</v>
      </c>
      <c r="G2570">
        <f>'raw data Crude oil'!G2571</f>
        <v>0</v>
      </c>
      <c r="H2570">
        <f>'raw data Crude oil'!H2571</f>
        <v>0</v>
      </c>
      <c r="I2570">
        <f>'raw data Crude oil'!I2571</f>
        <v>0</v>
      </c>
      <c r="J2570">
        <f>'raw data Crude oil'!J2571</f>
        <v>0</v>
      </c>
      <c r="K2570">
        <f>'raw data Crude oil'!K2571</f>
        <v>0</v>
      </c>
      <c r="L2570">
        <f>'raw data Crude oil'!L2571</f>
        <v>0</v>
      </c>
      <c r="M2570">
        <f>'raw data Crude oil'!M2571</f>
        <v>0</v>
      </c>
      <c r="N2570">
        <f>'raw data Crude oil'!N2571</f>
        <v>0</v>
      </c>
      <c r="O2570">
        <f>'raw data Crude oil'!O2571</f>
        <v>0</v>
      </c>
      <c r="P2570">
        <f>'raw data Crude oil'!P2571</f>
        <v>0</v>
      </c>
      <c r="Q2570">
        <f>'raw data Crude oil'!Q2571</f>
        <v>0</v>
      </c>
      <c r="R2570">
        <f>'raw data Crude oil'!R2571</f>
        <v>0</v>
      </c>
      <c r="S2570">
        <f>'raw data Crude oil'!S2571</f>
        <v>0</v>
      </c>
      <c r="T2570">
        <f>'raw data Crude oil'!T2571</f>
        <v>0</v>
      </c>
      <c r="U2570">
        <f>'raw data Crude oil'!U2571</f>
        <v>0</v>
      </c>
      <c r="V2570">
        <f>'raw data Crude oil'!V2571</f>
        <v>0</v>
      </c>
      <c r="W2570">
        <f>'raw data Crude oil'!W2571</f>
        <v>0</v>
      </c>
      <c r="X2570">
        <f>'raw data Crude oil'!X2571</f>
        <v>0</v>
      </c>
      <c r="Y2570">
        <f>'raw data Crude oil'!Y2571</f>
        <v>0</v>
      </c>
      <c r="Z2570">
        <f>'raw data Crude oil'!Z2571</f>
        <v>0</v>
      </c>
      <c r="AA2570">
        <f>'raw data Crude oil'!AA2571</f>
        <v>0</v>
      </c>
      <c r="AB2570">
        <f>'raw data Crude oil'!AB2571</f>
        <v>0</v>
      </c>
      <c r="AC2570">
        <f>'raw data Crude oil'!AC2571</f>
        <v>0</v>
      </c>
      <c r="AD2570">
        <f>'raw data Crude oil'!AD2571</f>
        <v>0</v>
      </c>
      <c r="AE2570">
        <f>'raw data Crude oil'!AE2571</f>
        <v>0</v>
      </c>
      <c r="AF2570">
        <f>'raw data Crude oil'!AF2571</f>
        <v>0</v>
      </c>
      <c r="AG2570">
        <f>'raw data Crude oil'!AG2571</f>
        <v>0</v>
      </c>
      <c r="AH2570">
        <f>'raw data Crude oil'!AH2571</f>
        <v>0</v>
      </c>
      <c r="AI2570">
        <f>'raw data Crude oil'!AI2571</f>
        <v>0</v>
      </c>
      <c r="AJ2570">
        <f>'raw data Crude oil'!AJ2571</f>
        <v>0</v>
      </c>
      <c r="AK2570">
        <f>'raw data Crude oil'!AK2571</f>
        <v>0</v>
      </c>
    </row>
    <row r="2571" spans="1:37" x14ac:dyDescent="0.3">
      <c r="A2571" s="18">
        <f>'raw data Crude oil'!A2572</f>
        <v>0</v>
      </c>
      <c r="B2571">
        <f>'raw data Crude oil'!B2572</f>
        <v>0</v>
      </c>
      <c r="C2571">
        <f>'raw data Crude oil'!C2572</f>
        <v>0</v>
      </c>
      <c r="D2571">
        <f>'raw data Crude oil'!D2572</f>
        <v>0</v>
      </c>
      <c r="E2571">
        <f>'raw data Crude oil'!E2572</f>
        <v>0</v>
      </c>
      <c r="F2571">
        <f>'raw data Crude oil'!F2572</f>
        <v>0</v>
      </c>
      <c r="G2571">
        <f>'raw data Crude oil'!G2572</f>
        <v>0</v>
      </c>
      <c r="H2571">
        <f>'raw data Crude oil'!H2572</f>
        <v>0</v>
      </c>
      <c r="I2571">
        <f>'raw data Crude oil'!I2572</f>
        <v>0</v>
      </c>
      <c r="J2571">
        <f>'raw data Crude oil'!J2572</f>
        <v>0</v>
      </c>
      <c r="K2571">
        <f>'raw data Crude oil'!K2572</f>
        <v>0</v>
      </c>
      <c r="L2571">
        <f>'raw data Crude oil'!L2572</f>
        <v>0</v>
      </c>
      <c r="M2571">
        <f>'raw data Crude oil'!M2572</f>
        <v>0</v>
      </c>
      <c r="N2571">
        <f>'raw data Crude oil'!N2572</f>
        <v>0</v>
      </c>
      <c r="O2571">
        <f>'raw data Crude oil'!O2572</f>
        <v>0</v>
      </c>
      <c r="P2571">
        <f>'raw data Crude oil'!P2572</f>
        <v>0</v>
      </c>
      <c r="Q2571">
        <f>'raw data Crude oil'!Q2572</f>
        <v>0</v>
      </c>
      <c r="R2571">
        <f>'raw data Crude oil'!R2572</f>
        <v>0</v>
      </c>
      <c r="S2571">
        <f>'raw data Crude oil'!S2572</f>
        <v>0</v>
      </c>
      <c r="T2571">
        <f>'raw data Crude oil'!T2572</f>
        <v>0</v>
      </c>
      <c r="U2571">
        <f>'raw data Crude oil'!U2572</f>
        <v>0</v>
      </c>
      <c r="V2571">
        <f>'raw data Crude oil'!V2572</f>
        <v>0</v>
      </c>
      <c r="W2571">
        <f>'raw data Crude oil'!W2572</f>
        <v>0</v>
      </c>
      <c r="X2571">
        <f>'raw data Crude oil'!X2572</f>
        <v>0</v>
      </c>
      <c r="Y2571">
        <f>'raw data Crude oil'!Y2572</f>
        <v>0</v>
      </c>
      <c r="Z2571">
        <f>'raw data Crude oil'!Z2572</f>
        <v>0</v>
      </c>
      <c r="AA2571">
        <f>'raw data Crude oil'!AA2572</f>
        <v>0</v>
      </c>
      <c r="AB2571">
        <f>'raw data Crude oil'!AB2572</f>
        <v>0</v>
      </c>
      <c r="AC2571">
        <f>'raw data Crude oil'!AC2572</f>
        <v>0</v>
      </c>
      <c r="AD2571">
        <f>'raw data Crude oil'!AD2572</f>
        <v>0</v>
      </c>
      <c r="AE2571">
        <f>'raw data Crude oil'!AE2572</f>
        <v>0</v>
      </c>
      <c r="AF2571">
        <f>'raw data Crude oil'!AF2572</f>
        <v>0</v>
      </c>
      <c r="AG2571">
        <f>'raw data Crude oil'!AG2572</f>
        <v>0</v>
      </c>
      <c r="AH2571">
        <f>'raw data Crude oil'!AH2572</f>
        <v>0</v>
      </c>
      <c r="AI2571">
        <f>'raw data Crude oil'!AI2572</f>
        <v>0</v>
      </c>
      <c r="AJ2571">
        <f>'raw data Crude oil'!AJ2572</f>
        <v>0</v>
      </c>
      <c r="AK2571">
        <f>'raw data Crude oil'!AK2572</f>
        <v>0</v>
      </c>
    </row>
    <row r="2572" spans="1:37" x14ac:dyDescent="0.3">
      <c r="A2572" s="18">
        <f>'raw data Crude oil'!A2573</f>
        <v>0</v>
      </c>
      <c r="B2572">
        <f>'raw data Crude oil'!B2573</f>
        <v>0</v>
      </c>
      <c r="C2572">
        <f>'raw data Crude oil'!C2573</f>
        <v>0</v>
      </c>
      <c r="D2572">
        <f>'raw data Crude oil'!D2573</f>
        <v>0</v>
      </c>
      <c r="E2572">
        <f>'raw data Crude oil'!E2573</f>
        <v>0</v>
      </c>
      <c r="F2572">
        <f>'raw data Crude oil'!F2573</f>
        <v>0</v>
      </c>
      <c r="G2572">
        <f>'raw data Crude oil'!G2573</f>
        <v>0</v>
      </c>
      <c r="H2572">
        <f>'raw data Crude oil'!H2573</f>
        <v>0</v>
      </c>
      <c r="I2572">
        <f>'raw data Crude oil'!I2573</f>
        <v>0</v>
      </c>
      <c r="J2572">
        <f>'raw data Crude oil'!J2573</f>
        <v>0</v>
      </c>
      <c r="K2572">
        <f>'raw data Crude oil'!K2573</f>
        <v>0</v>
      </c>
      <c r="L2572">
        <f>'raw data Crude oil'!L2573</f>
        <v>0</v>
      </c>
      <c r="M2572">
        <f>'raw data Crude oil'!M2573</f>
        <v>0</v>
      </c>
      <c r="N2572">
        <f>'raw data Crude oil'!N2573</f>
        <v>0</v>
      </c>
      <c r="O2572">
        <f>'raw data Crude oil'!O2573</f>
        <v>0</v>
      </c>
      <c r="P2572">
        <f>'raw data Crude oil'!P2573</f>
        <v>0</v>
      </c>
      <c r="Q2572">
        <f>'raw data Crude oil'!Q2573</f>
        <v>0</v>
      </c>
      <c r="R2572">
        <f>'raw data Crude oil'!R2573</f>
        <v>0</v>
      </c>
      <c r="S2572">
        <f>'raw data Crude oil'!S2573</f>
        <v>0</v>
      </c>
      <c r="T2572">
        <f>'raw data Crude oil'!T2573</f>
        <v>0</v>
      </c>
      <c r="U2572">
        <f>'raw data Crude oil'!U2573</f>
        <v>0</v>
      </c>
      <c r="V2572">
        <f>'raw data Crude oil'!V2573</f>
        <v>0</v>
      </c>
      <c r="W2572">
        <f>'raw data Crude oil'!W2573</f>
        <v>0</v>
      </c>
      <c r="X2572">
        <f>'raw data Crude oil'!X2573</f>
        <v>0</v>
      </c>
      <c r="Y2572">
        <f>'raw data Crude oil'!Y2573</f>
        <v>0</v>
      </c>
      <c r="Z2572">
        <f>'raw data Crude oil'!Z2573</f>
        <v>0</v>
      </c>
      <c r="AA2572">
        <f>'raw data Crude oil'!AA2573</f>
        <v>0</v>
      </c>
      <c r="AB2572">
        <f>'raw data Crude oil'!AB2573</f>
        <v>0</v>
      </c>
      <c r="AC2572">
        <f>'raw data Crude oil'!AC2573</f>
        <v>0</v>
      </c>
      <c r="AD2572">
        <f>'raw data Crude oil'!AD2573</f>
        <v>0</v>
      </c>
      <c r="AE2572">
        <f>'raw data Crude oil'!AE2573</f>
        <v>0</v>
      </c>
      <c r="AF2572">
        <f>'raw data Crude oil'!AF2573</f>
        <v>0</v>
      </c>
      <c r="AG2572">
        <f>'raw data Crude oil'!AG2573</f>
        <v>0</v>
      </c>
      <c r="AH2572">
        <f>'raw data Crude oil'!AH2573</f>
        <v>0</v>
      </c>
      <c r="AI2572">
        <f>'raw data Crude oil'!AI2573</f>
        <v>0</v>
      </c>
      <c r="AJ2572">
        <f>'raw data Crude oil'!AJ2573</f>
        <v>0</v>
      </c>
      <c r="AK2572">
        <f>'raw data Crude oil'!AK2573</f>
        <v>0</v>
      </c>
    </row>
    <row r="2573" spans="1:37" x14ac:dyDescent="0.3">
      <c r="A2573" s="18">
        <f>'raw data Crude oil'!A2574</f>
        <v>0</v>
      </c>
      <c r="B2573">
        <f>'raw data Crude oil'!B2574</f>
        <v>0</v>
      </c>
      <c r="C2573">
        <f>'raw data Crude oil'!C2574</f>
        <v>0</v>
      </c>
      <c r="D2573">
        <f>'raw data Crude oil'!D2574</f>
        <v>0</v>
      </c>
      <c r="E2573">
        <f>'raw data Crude oil'!E2574</f>
        <v>0</v>
      </c>
      <c r="F2573">
        <f>'raw data Crude oil'!F2574</f>
        <v>0</v>
      </c>
      <c r="G2573">
        <f>'raw data Crude oil'!G2574</f>
        <v>0</v>
      </c>
      <c r="H2573">
        <f>'raw data Crude oil'!H2574</f>
        <v>0</v>
      </c>
      <c r="I2573">
        <f>'raw data Crude oil'!I2574</f>
        <v>0</v>
      </c>
      <c r="J2573">
        <f>'raw data Crude oil'!J2574</f>
        <v>0</v>
      </c>
      <c r="K2573">
        <f>'raw data Crude oil'!K2574</f>
        <v>0</v>
      </c>
      <c r="L2573">
        <f>'raw data Crude oil'!L2574</f>
        <v>0</v>
      </c>
      <c r="M2573">
        <f>'raw data Crude oil'!M2574</f>
        <v>0</v>
      </c>
      <c r="N2573">
        <f>'raw data Crude oil'!N2574</f>
        <v>0</v>
      </c>
      <c r="O2573">
        <f>'raw data Crude oil'!O2574</f>
        <v>0</v>
      </c>
      <c r="P2573">
        <f>'raw data Crude oil'!P2574</f>
        <v>0</v>
      </c>
      <c r="Q2573">
        <f>'raw data Crude oil'!Q2574</f>
        <v>0</v>
      </c>
      <c r="R2573">
        <f>'raw data Crude oil'!R2574</f>
        <v>0</v>
      </c>
      <c r="S2573">
        <f>'raw data Crude oil'!S2574</f>
        <v>0</v>
      </c>
      <c r="T2573">
        <f>'raw data Crude oil'!T2574</f>
        <v>0</v>
      </c>
      <c r="U2573">
        <f>'raw data Crude oil'!U2574</f>
        <v>0</v>
      </c>
      <c r="V2573">
        <f>'raw data Crude oil'!V2574</f>
        <v>0</v>
      </c>
      <c r="W2573">
        <f>'raw data Crude oil'!W2574</f>
        <v>0</v>
      </c>
      <c r="X2573">
        <f>'raw data Crude oil'!X2574</f>
        <v>0</v>
      </c>
      <c r="Y2573">
        <f>'raw data Crude oil'!Y2574</f>
        <v>0</v>
      </c>
      <c r="Z2573">
        <f>'raw data Crude oil'!Z2574</f>
        <v>0</v>
      </c>
      <c r="AA2573">
        <f>'raw data Crude oil'!AA2574</f>
        <v>0</v>
      </c>
      <c r="AB2573">
        <f>'raw data Crude oil'!AB2574</f>
        <v>0</v>
      </c>
      <c r="AC2573">
        <f>'raw data Crude oil'!AC2574</f>
        <v>0</v>
      </c>
      <c r="AD2573">
        <f>'raw data Crude oil'!AD2574</f>
        <v>0</v>
      </c>
      <c r="AE2573">
        <f>'raw data Crude oil'!AE2574</f>
        <v>0</v>
      </c>
      <c r="AF2573">
        <f>'raw data Crude oil'!AF2574</f>
        <v>0</v>
      </c>
      <c r="AG2573">
        <f>'raw data Crude oil'!AG2574</f>
        <v>0</v>
      </c>
      <c r="AH2573">
        <f>'raw data Crude oil'!AH2574</f>
        <v>0</v>
      </c>
      <c r="AI2573">
        <f>'raw data Crude oil'!AI2574</f>
        <v>0</v>
      </c>
      <c r="AJ2573">
        <f>'raw data Crude oil'!AJ2574</f>
        <v>0</v>
      </c>
      <c r="AK2573">
        <f>'raw data Crude oil'!AK2574</f>
        <v>0</v>
      </c>
    </row>
    <row r="2574" spans="1:37" x14ac:dyDescent="0.3">
      <c r="A2574" s="18">
        <f>'raw data Crude oil'!A2575</f>
        <v>0</v>
      </c>
      <c r="B2574">
        <f>'raw data Crude oil'!B2575</f>
        <v>0</v>
      </c>
      <c r="C2574">
        <f>'raw data Crude oil'!C2575</f>
        <v>0</v>
      </c>
      <c r="D2574">
        <f>'raw data Crude oil'!D2575</f>
        <v>0</v>
      </c>
      <c r="E2574">
        <f>'raw data Crude oil'!E2575</f>
        <v>0</v>
      </c>
      <c r="F2574">
        <f>'raw data Crude oil'!F2575</f>
        <v>0</v>
      </c>
      <c r="G2574">
        <f>'raw data Crude oil'!G2575</f>
        <v>0</v>
      </c>
      <c r="H2574">
        <f>'raw data Crude oil'!H2575</f>
        <v>0</v>
      </c>
      <c r="I2574">
        <f>'raw data Crude oil'!I2575</f>
        <v>0</v>
      </c>
      <c r="J2574">
        <f>'raw data Crude oil'!J2575</f>
        <v>0</v>
      </c>
      <c r="K2574">
        <f>'raw data Crude oil'!K2575</f>
        <v>0</v>
      </c>
      <c r="L2574">
        <f>'raw data Crude oil'!L2575</f>
        <v>0</v>
      </c>
      <c r="M2574">
        <f>'raw data Crude oil'!M2575</f>
        <v>0</v>
      </c>
      <c r="N2574">
        <f>'raw data Crude oil'!N2575</f>
        <v>0</v>
      </c>
      <c r="O2574">
        <f>'raw data Crude oil'!O2575</f>
        <v>0</v>
      </c>
      <c r="P2574">
        <f>'raw data Crude oil'!P2575</f>
        <v>0</v>
      </c>
      <c r="Q2574">
        <f>'raw data Crude oil'!Q2575</f>
        <v>0</v>
      </c>
      <c r="R2574">
        <f>'raw data Crude oil'!R2575</f>
        <v>0</v>
      </c>
      <c r="S2574">
        <f>'raw data Crude oil'!S2575</f>
        <v>0</v>
      </c>
      <c r="T2574">
        <f>'raw data Crude oil'!T2575</f>
        <v>0</v>
      </c>
      <c r="U2574">
        <f>'raw data Crude oil'!U2575</f>
        <v>0</v>
      </c>
      <c r="V2574">
        <f>'raw data Crude oil'!V2575</f>
        <v>0</v>
      </c>
      <c r="W2574">
        <f>'raw data Crude oil'!W2575</f>
        <v>0</v>
      </c>
      <c r="X2574">
        <f>'raw data Crude oil'!X2575</f>
        <v>0</v>
      </c>
      <c r="Y2574">
        <f>'raw data Crude oil'!Y2575</f>
        <v>0</v>
      </c>
      <c r="Z2574">
        <f>'raw data Crude oil'!Z2575</f>
        <v>0</v>
      </c>
      <c r="AA2574">
        <f>'raw data Crude oil'!AA2575</f>
        <v>0</v>
      </c>
      <c r="AB2574">
        <f>'raw data Crude oil'!AB2575</f>
        <v>0</v>
      </c>
      <c r="AC2574">
        <f>'raw data Crude oil'!AC2575</f>
        <v>0</v>
      </c>
      <c r="AD2574">
        <f>'raw data Crude oil'!AD2575</f>
        <v>0</v>
      </c>
      <c r="AE2574">
        <f>'raw data Crude oil'!AE2575</f>
        <v>0</v>
      </c>
      <c r="AF2574">
        <f>'raw data Crude oil'!AF2575</f>
        <v>0</v>
      </c>
      <c r="AG2574">
        <f>'raw data Crude oil'!AG2575</f>
        <v>0</v>
      </c>
      <c r="AH2574">
        <f>'raw data Crude oil'!AH2575</f>
        <v>0</v>
      </c>
      <c r="AI2574">
        <f>'raw data Crude oil'!AI2575</f>
        <v>0</v>
      </c>
      <c r="AJ2574">
        <f>'raw data Crude oil'!AJ2575</f>
        <v>0</v>
      </c>
      <c r="AK2574">
        <f>'raw data Crude oil'!AK2575</f>
        <v>0</v>
      </c>
    </row>
    <row r="2575" spans="1:37" x14ac:dyDescent="0.3">
      <c r="A2575" s="18">
        <f>'raw data Crude oil'!A2576</f>
        <v>0</v>
      </c>
      <c r="B2575">
        <f>'raw data Crude oil'!B2576</f>
        <v>0</v>
      </c>
      <c r="C2575">
        <f>'raw data Crude oil'!C2576</f>
        <v>0</v>
      </c>
      <c r="D2575">
        <f>'raw data Crude oil'!D2576</f>
        <v>0</v>
      </c>
      <c r="E2575">
        <f>'raw data Crude oil'!E2576</f>
        <v>0</v>
      </c>
      <c r="F2575">
        <f>'raw data Crude oil'!F2576</f>
        <v>0</v>
      </c>
      <c r="G2575">
        <f>'raw data Crude oil'!G2576</f>
        <v>0</v>
      </c>
      <c r="H2575">
        <f>'raw data Crude oil'!H2576</f>
        <v>0</v>
      </c>
      <c r="I2575">
        <f>'raw data Crude oil'!I2576</f>
        <v>0</v>
      </c>
      <c r="J2575">
        <f>'raw data Crude oil'!J2576</f>
        <v>0</v>
      </c>
      <c r="K2575">
        <f>'raw data Crude oil'!K2576</f>
        <v>0</v>
      </c>
      <c r="L2575">
        <f>'raw data Crude oil'!L2576</f>
        <v>0</v>
      </c>
      <c r="M2575">
        <f>'raw data Crude oil'!M2576</f>
        <v>0</v>
      </c>
      <c r="N2575">
        <f>'raw data Crude oil'!N2576</f>
        <v>0</v>
      </c>
      <c r="O2575">
        <f>'raw data Crude oil'!O2576</f>
        <v>0</v>
      </c>
      <c r="P2575">
        <f>'raw data Crude oil'!P2576</f>
        <v>0</v>
      </c>
      <c r="Q2575">
        <f>'raw data Crude oil'!Q2576</f>
        <v>0</v>
      </c>
      <c r="R2575">
        <f>'raw data Crude oil'!R2576</f>
        <v>0</v>
      </c>
      <c r="S2575">
        <f>'raw data Crude oil'!S2576</f>
        <v>0</v>
      </c>
      <c r="T2575">
        <f>'raw data Crude oil'!T2576</f>
        <v>0</v>
      </c>
      <c r="U2575">
        <f>'raw data Crude oil'!U2576</f>
        <v>0</v>
      </c>
      <c r="V2575">
        <f>'raw data Crude oil'!V2576</f>
        <v>0</v>
      </c>
      <c r="W2575">
        <f>'raw data Crude oil'!W2576</f>
        <v>0</v>
      </c>
      <c r="X2575">
        <f>'raw data Crude oil'!X2576</f>
        <v>0</v>
      </c>
      <c r="Y2575">
        <f>'raw data Crude oil'!Y2576</f>
        <v>0</v>
      </c>
      <c r="Z2575">
        <f>'raw data Crude oil'!Z2576</f>
        <v>0</v>
      </c>
      <c r="AA2575">
        <f>'raw data Crude oil'!AA2576</f>
        <v>0</v>
      </c>
      <c r="AB2575">
        <f>'raw data Crude oil'!AB2576</f>
        <v>0</v>
      </c>
      <c r="AC2575">
        <f>'raw data Crude oil'!AC2576</f>
        <v>0</v>
      </c>
      <c r="AD2575">
        <f>'raw data Crude oil'!AD2576</f>
        <v>0</v>
      </c>
      <c r="AE2575">
        <f>'raw data Crude oil'!AE2576</f>
        <v>0</v>
      </c>
      <c r="AF2575">
        <f>'raw data Crude oil'!AF2576</f>
        <v>0</v>
      </c>
      <c r="AG2575">
        <f>'raw data Crude oil'!AG2576</f>
        <v>0</v>
      </c>
      <c r="AH2575">
        <f>'raw data Crude oil'!AH2576</f>
        <v>0</v>
      </c>
      <c r="AI2575">
        <f>'raw data Crude oil'!AI2576</f>
        <v>0</v>
      </c>
      <c r="AJ2575">
        <f>'raw data Crude oil'!AJ2576</f>
        <v>0</v>
      </c>
      <c r="AK2575">
        <f>'raw data Crude oil'!AK2576</f>
        <v>0</v>
      </c>
    </row>
    <row r="2576" spans="1:37" x14ac:dyDescent="0.3">
      <c r="A2576" s="18">
        <f>'raw data Crude oil'!A2577</f>
        <v>0</v>
      </c>
      <c r="B2576">
        <f>'raw data Crude oil'!B2577</f>
        <v>0</v>
      </c>
      <c r="C2576">
        <f>'raw data Crude oil'!C2577</f>
        <v>0</v>
      </c>
      <c r="D2576">
        <f>'raw data Crude oil'!D2577</f>
        <v>0</v>
      </c>
      <c r="E2576">
        <f>'raw data Crude oil'!E2577</f>
        <v>0</v>
      </c>
      <c r="F2576">
        <f>'raw data Crude oil'!F2577</f>
        <v>0</v>
      </c>
      <c r="G2576">
        <f>'raw data Crude oil'!G2577</f>
        <v>0</v>
      </c>
      <c r="H2576">
        <f>'raw data Crude oil'!H2577</f>
        <v>0</v>
      </c>
      <c r="I2576">
        <f>'raw data Crude oil'!I2577</f>
        <v>0</v>
      </c>
      <c r="J2576">
        <f>'raw data Crude oil'!J2577</f>
        <v>0</v>
      </c>
      <c r="K2576">
        <f>'raw data Crude oil'!K2577</f>
        <v>0</v>
      </c>
      <c r="L2576">
        <f>'raw data Crude oil'!L2577</f>
        <v>0</v>
      </c>
      <c r="M2576">
        <f>'raw data Crude oil'!M2577</f>
        <v>0</v>
      </c>
      <c r="N2576">
        <f>'raw data Crude oil'!N2577</f>
        <v>0</v>
      </c>
      <c r="O2576">
        <f>'raw data Crude oil'!O2577</f>
        <v>0</v>
      </c>
      <c r="P2576">
        <f>'raw data Crude oil'!P2577</f>
        <v>0</v>
      </c>
      <c r="Q2576">
        <f>'raw data Crude oil'!Q2577</f>
        <v>0</v>
      </c>
      <c r="R2576">
        <f>'raw data Crude oil'!R2577</f>
        <v>0</v>
      </c>
      <c r="S2576">
        <f>'raw data Crude oil'!S2577</f>
        <v>0</v>
      </c>
      <c r="T2576">
        <f>'raw data Crude oil'!T2577</f>
        <v>0</v>
      </c>
      <c r="U2576">
        <f>'raw data Crude oil'!U2577</f>
        <v>0</v>
      </c>
      <c r="V2576">
        <f>'raw data Crude oil'!V2577</f>
        <v>0</v>
      </c>
      <c r="W2576">
        <f>'raw data Crude oil'!W2577</f>
        <v>0</v>
      </c>
      <c r="X2576">
        <f>'raw data Crude oil'!X2577</f>
        <v>0</v>
      </c>
      <c r="Y2576">
        <f>'raw data Crude oil'!Y2577</f>
        <v>0</v>
      </c>
      <c r="Z2576">
        <f>'raw data Crude oil'!Z2577</f>
        <v>0</v>
      </c>
      <c r="AA2576">
        <f>'raw data Crude oil'!AA2577</f>
        <v>0</v>
      </c>
      <c r="AB2576">
        <f>'raw data Crude oil'!AB2577</f>
        <v>0</v>
      </c>
      <c r="AC2576">
        <f>'raw data Crude oil'!AC2577</f>
        <v>0</v>
      </c>
      <c r="AD2576">
        <f>'raw data Crude oil'!AD2577</f>
        <v>0</v>
      </c>
      <c r="AE2576">
        <f>'raw data Crude oil'!AE2577</f>
        <v>0</v>
      </c>
      <c r="AF2576">
        <f>'raw data Crude oil'!AF2577</f>
        <v>0</v>
      </c>
      <c r="AG2576">
        <f>'raw data Crude oil'!AG2577</f>
        <v>0</v>
      </c>
      <c r="AH2576">
        <f>'raw data Crude oil'!AH2577</f>
        <v>0</v>
      </c>
      <c r="AI2576">
        <f>'raw data Crude oil'!AI2577</f>
        <v>0</v>
      </c>
      <c r="AJ2576">
        <f>'raw data Crude oil'!AJ2577</f>
        <v>0</v>
      </c>
      <c r="AK2576">
        <f>'raw data Crude oil'!AK2577</f>
        <v>0</v>
      </c>
    </row>
    <row r="2577" spans="1:37" x14ac:dyDescent="0.3">
      <c r="A2577" s="18">
        <f>'raw data Crude oil'!A2578</f>
        <v>0</v>
      </c>
      <c r="B2577">
        <f>'raw data Crude oil'!B2578</f>
        <v>0</v>
      </c>
      <c r="C2577">
        <f>'raw data Crude oil'!C2578</f>
        <v>0</v>
      </c>
      <c r="D2577">
        <f>'raw data Crude oil'!D2578</f>
        <v>0</v>
      </c>
      <c r="E2577">
        <f>'raw data Crude oil'!E2578</f>
        <v>0</v>
      </c>
      <c r="F2577">
        <f>'raw data Crude oil'!F2578</f>
        <v>0</v>
      </c>
      <c r="G2577">
        <f>'raw data Crude oil'!G2578</f>
        <v>0</v>
      </c>
      <c r="H2577">
        <f>'raw data Crude oil'!H2578</f>
        <v>0</v>
      </c>
      <c r="I2577">
        <f>'raw data Crude oil'!I2578</f>
        <v>0</v>
      </c>
      <c r="J2577">
        <f>'raw data Crude oil'!J2578</f>
        <v>0</v>
      </c>
      <c r="K2577">
        <f>'raw data Crude oil'!K2578</f>
        <v>0</v>
      </c>
      <c r="L2577">
        <f>'raw data Crude oil'!L2578</f>
        <v>0</v>
      </c>
      <c r="M2577">
        <f>'raw data Crude oil'!M2578</f>
        <v>0</v>
      </c>
      <c r="N2577">
        <f>'raw data Crude oil'!N2578</f>
        <v>0</v>
      </c>
      <c r="O2577">
        <f>'raw data Crude oil'!O2578</f>
        <v>0</v>
      </c>
      <c r="P2577">
        <f>'raw data Crude oil'!P2578</f>
        <v>0</v>
      </c>
      <c r="Q2577">
        <f>'raw data Crude oil'!Q2578</f>
        <v>0</v>
      </c>
      <c r="R2577">
        <f>'raw data Crude oil'!R2578</f>
        <v>0</v>
      </c>
      <c r="S2577">
        <f>'raw data Crude oil'!S2578</f>
        <v>0</v>
      </c>
      <c r="T2577">
        <f>'raw data Crude oil'!T2578</f>
        <v>0</v>
      </c>
      <c r="U2577">
        <f>'raw data Crude oil'!U2578</f>
        <v>0</v>
      </c>
      <c r="V2577">
        <f>'raw data Crude oil'!V2578</f>
        <v>0</v>
      </c>
      <c r="W2577">
        <f>'raw data Crude oil'!W2578</f>
        <v>0</v>
      </c>
      <c r="X2577">
        <f>'raw data Crude oil'!X2578</f>
        <v>0</v>
      </c>
      <c r="Y2577">
        <f>'raw data Crude oil'!Y2578</f>
        <v>0</v>
      </c>
      <c r="Z2577">
        <f>'raw data Crude oil'!Z2578</f>
        <v>0</v>
      </c>
      <c r="AA2577">
        <f>'raw data Crude oil'!AA2578</f>
        <v>0</v>
      </c>
      <c r="AB2577">
        <f>'raw data Crude oil'!AB2578</f>
        <v>0</v>
      </c>
      <c r="AC2577">
        <f>'raw data Crude oil'!AC2578</f>
        <v>0</v>
      </c>
      <c r="AD2577">
        <f>'raw data Crude oil'!AD2578</f>
        <v>0</v>
      </c>
      <c r="AE2577">
        <f>'raw data Crude oil'!AE2578</f>
        <v>0</v>
      </c>
      <c r="AF2577">
        <f>'raw data Crude oil'!AF2578</f>
        <v>0</v>
      </c>
      <c r="AG2577">
        <f>'raw data Crude oil'!AG2578</f>
        <v>0</v>
      </c>
      <c r="AH2577">
        <f>'raw data Crude oil'!AH2578</f>
        <v>0</v>
      </c>
      <c r="AI2577">
        <f>'raw data Crude oil'!AI2578</f>
        <v>0</v>
      </c>
      <c r="AJ2577">
        <f>'raw data Crude oil'!AJ2578</f>
        <v>0</v>
      </c>
      <c r="AK2577">
        <f>'raw data Crude oil'!AK2578</f>
        <v>0</v>
      </c>
    </row>
    <row r="2578" spans="1:37" x14ac:dyDescent="0.3">
      <c r="A2578" s="18">
        <f>'raw data Crude oil'!A2579</f>
        <v>0</v>
      </c>
      <c r="B2578">
        <f>'raw data Crude oil'!B2579</f>
        <v>0</v>
      </c>
      <c r="C2578">
        <f>'raw data Crude oil'!C2579</f>
        <v>0</v>
      </c>
      <c r="D2578">
        <f>'raw data Crude oil'!D2579</f>
        <v>0</v>
      </c>
      <c r="E2578">
        <f>'raw data Crude oil'!E2579</f>
        <v>0</v>
      </c>
      <c r="F2578">
        <f>'raw data Crude oil'!F2579</f>
        <v>0</v>
      </c>
      <c r="G2578">
        <f>'raw data Crude oil'!G2579</f>
        <v>0</v>
      </c>
      <c r="H2578">
        <f>'raw data Crude oil'!H2579</f>
        <v>0</v>
      </c>
      <c r="I2578">
        <f>'raw data Crude oil'!I2579</f>
        <v>0</v>
      </c>
      <c r="J2578">
        <f>'raw data Crude oil'!J2579</f>
        <v>0</v>
      </c>
      <c r="K2578">
        <f>'raw data Crude oil'!K2579</f>
        <v>0</v>
      </c>
      <c r="L2578">
        <f>'raw data Crude oil'!L2579</f>
        <v>0</v>
      </c>
      <c r="M2578">
        <f>'raw data Crude oil'!M2579</f>
        <v>0</v>
      </c>
      <c r="N2578">
        <f>'raw data Crude oil'!N2579</f>
        <v>0</v>
      </c>
      <c r="O2578">
        <f>'raw data Crude oil'!O2579</f>
        <v>0</v>
      </c>
      <c r="P2578">
        <f>'raw data Crude oil'!P2579</f>
        <v>0</v>
      </c>
      <c r="Q2578">
        <f>'raw data Crude oil'!Q2579</f>
        <v>0</v>
      </c>
      <c r="R2578">
        <f>'raw data Crude oil'!R2579</f>
        <v>0</v>
      </c>
      <c r="S2578">
        <f>'raw data Crude oil'!S2579</f>
        <v>0</v>
      </c>
      <c r="T2578">
        <f>'raw data Crude oil'!T2579</f>
        <v>0</v>
      </c>
      <c r="U2578">
        <f>'raw data Crude oil'!U2579</f>
        <v>0</v>
      </c>
      <c r="V2578">
        <f>'raw data Crude oil'!V2579</f>
        <v>0</v>
      </c>
      <c r="W2578">
        <f>'raw data Crude oil'!W2579</f>
        <v>0</v>
      </c>
      <c r="X2578">
        <f>'raw data Crude oil'!X2579</f>
        <v>0</v>
      </c>
      <c r="Y2578">
        <f>'raw data Crude oil'!Y2579</f>
        <v>0</v>
      </c>
      <c r="Z2578">
        <f>'raw data Crude oil'!Z2579</f>
        <v>0</v>
      </c>
      <c r="AA2578">
        <f>'raw data Crude oil'!AA2579</f>
        <v>0</v>
      </c>
      <c r="AB2578">
        <f>'raw data Crude oil'!AB2579</f>
        <v>0</v>
      </c>
      <c r="AC2578">
        <f>'raw data Crude oil'!AC2579</f>
        <v>0</v>
      </c>
      <c r="AD2578">
        <f>'raw data Crude oil'!AD2579</f>
        <v>0</v>
      </c>
      <c r="AE2578">
        <f>'raw data Crude oil'!AE2579</f>
        <v>0</v>
      </c>
      <c r="AF2578">
        <f>'raw data Crude oil'!AF2579</f>
        <v>0</v>
      </c>
      <c r="AG2578">
        <f>'raw data Crude oil'!AG2579</f>
        <v>0</v>
      </c>
      <c r="AH2578">
        <f>'raw data Crude oil'!AH2579</f>
        <v>0</v>
      </c>
      <c r="AI2578">
        <f>'raw data Crude oil'!AI2579</f>
        <v>0</v>
      </c>
      <c r="AJ2578">
        <f>'raw data Crude oil'!AJ2579</f>
        <v>0</v>
      </c>
      <c r="AK2578">
        <f>'raw data Crude oil'!AK2579</f>
        <v>0</v>
      </c>
    </row>
    <row r="2579" spans="1:37" x14ac:dyDescent="0.3">
      <c r="A2579" s="18">
        <f>'raw data Crude oil'!A2580</f>
        <v>0</v>
      </c>
      <c r="B2579">
        <f>'raw data Crude oil'!B2580</f>
        <v>0</v>
      </c>
      <c r="C2579">
        <f>'raw data Crude oil'!C2580</f>
        <v>0</v>
      </c>
      <c r="D2579">
        <f>'raw data Crude oil'!D2580</f>
        <v>0</v>
      </c>
      <c r="E2579">
        <f>'raw data Crude oil'!E2580</f>
        <v>0</v>
      </c>
      <c r="F2579">
        <f>'raw data Crude oil'!F2580</f>
        <v>0</v>
      </c>
      <c r="G2579">
        <f>'raw data Crude oil'!G2580</f>
        <v>0</v>
      </c>
      <c r="H2579">
        <f>'raw data Crude oil'!H2580</f>
        <v>0</v>
      </c>
      <c r="I2579">
        <f>'raw data Crude oil'!I2580</f>
        <v>0</v>
      </c>
      <c r="J2579">
        <f>'raw data Crude oil'!J2580</f>
        <v>0</v>
      </c>
      <c r="K2579">
        <f>'raw data Crude oil'!K2580</f>
        <v>0</v>
      </c>
      <c r="L2579">
        <f>'raw data Crude oil'!L2580</f>
        <v>0</v>
      </c>
      <c r="M2579">
        <f>'raw data Crude oil'!M2580</f>
        <v>0</v>
      </c>
      <c r="N2579">
        <f>'raw data Crude oil'!N2580</f>
        <v>0</v>
      </c>
      <c r="O2579">
        <f>'raw data Crude oil'!O2580</f>
        <v>0</v>
      </c>
      <c r="P2579">
        <f>'raw data Crude oil'!P2580</f>
        <v>0</v>
      </c>
      <c r="Q2579">
        <f>'raw data Crude oil'!Q2580</f>
        <v>0</v>
      </c>
      <c r="R2579">
        <f>'raw data Crude oil'!R2580</f>
        <v>0</v>
      </c>
      <c r="S2579">
        <f>'raw data Crude oil'!S2580</f>
        <v>0</v>
      </c>
      <c r="T2579">
        <f>'raw data Crude oil'!T2580</f>
        <v>0</v>
      </c>
      <c r="U2579">
        <f>'raw data Crude oil'!U2580</f>
        <v>0</v>
      </c>
      <c r="V2579">
        <f>'raw data Crude oil'!V2580</f>
        <v>0</v>
      </c>
      <c r="W2579">
        <f>'raw data Crude oil'!W2580</f>
        <v>0</v>
      </c>
      <c r="X2579">
        <f>'raw data Crude oil'!X2580</f>
        <v>0</v>
      </c>
      <c r="Y2579">
        <f>'raw data Crude oil'!Y2580</f>
        <v>0</v>
      </c>
      <c r="Z2579">
        <f>'raw data Crude oil'!Z2580</f>
        <v>0</v>
      </c>
      <c r="AA2579">
        <f>'raw data Crude oil'!AA2580</f>
        <v>0</v>
      </c>
      <c r="AB2579">
        <f>'raw data Crude oil'!AB2580</f>
        <v>0</v>
      </c>
      <c r="AC2579">
        <f>'raw data Crude oil'!AC2580</f>
        <v>0</v>
      </c>
      <c r="AD2579">
        <f>'raw data Crude oil'!AD2580</f>
        <v>0</v>
      </c>
      <c r="AE2579">
        <f>'raw data Crude oil'!AE2580</f>
        <v>0</v>
      </c>
      <c r="AF2579">
        <f>'raw data Crude oil'!AF2580</f>
        <v>0</v>
      </c>
      <c r="AG2579">
        <f>'raw data Crude oil'!AG2580</f>
        <v>0</v>
      </c>
      <c r="AH2579">
        <f>'raw data Crude oil'!AH2580</f>
        <v>0</v>
      </c>
      <c r="AI2579">
        <f>'raw data Crude oil'!AI2580</f>
        <v>0</v>
      </c>
      <c r="AJ2579">
        <f>'raw data Crude oil'!AJ2580</f>
        <v>0</v>
      </c>
      <c r="AK2579">
        <f>'raw data Crude oil'!AK2580</f>
        <v>0</v>
      </c>
    </row>
    <row r="2580" spans="1:37" x14ac:dyDescent="0.3">
      <c r="A2580" s="18">
        <f>'raw data Crude oil'!A2581</f>
        <v>0</v>
      </c>
      <c r="B2580">
        <f>'raw data Crude oil'!B2581</f>
        <v>0</v>
      </c>
      <c r="C2580">
        <f>'raw data Crude oil'!C2581</f>
        <v>0</v>
      </c>
      <c r="D2580">
        <f>'raw data Crude oil'!D2581</f>
        <v>0</v>
      </c>
      <c r="E2580">
        <f>'raw data Crude oil'!E2581</f>
        <v>0</v>
      </c>
      <c r="F2580">
        <f>'raw data Crude oil'!F2581</f>
        <v>0</v>
      </c>
      <c r="G2580">
        <f>'raw data Crude oil'!G2581</f>
        <v>0</v>
      </c>
      <c r="H2580">
        <f>'raw data Crude oil'!H2581</f>
        <v>0</v>
      </c>
      <c r="I2580">
        <f>'raw data Crude oil'!I2581</f>
        <v>0</v>
      </c>
      <c r="J2580">
        <f>'raw data Crude oil'!J2581</f>
        <v>0</v>
      </c>
      <c r="K2580">
        <f>'raw data Crude oil'!K2581</f>
        <v>0</v>
      </c>
      <c r="L2580">
        <f>'raw data Crude oil'!L2581</f>
        <v>0</v>
      </c>
      <c r="M2580">
        <f>'raw data Crude oil'!M2581</f>
        <v>0</v>
      </c>
      <c r="N2580">
        <f>'raw data Crude oil'!N2581</f>
        <v>0</v>
      </c>
      <c r="O2580">
        <f>'raw data Crude oil'!O2581</f>
        <v>0</v>
      </c>
      <c r="P2580">
        <f>'raw data Crude oil'!P2581</f>
        <v>0</v>
      </c>
      <c r="Q2580">
        <f>'raw data Crude oil'!Q2581</f>
        <v>0</v>
      </c>
      <c r="R2580">
        <f>'raw data Crude oil'!R2581</f>
        <v>0</v>
      </c>
      <c r="S2580">
        <f>'raw data Crude oil'!S2581</f>
        <v>0</v>
      </c>
      <c r="T2580">
        <f>'raw data Crude oil'!T2581</f>
        <v>0</v>
      </c>
      <c r="U2580">
        <f>'raw data Crude oil'!U2581</f>
        <v>0</v>
      </c>
      <c r="V2580">
        <f>'raw data Crude oil'!V2581</f>
        <v>0</v>
      </c>
      <c r="W2580">
        <f>'raw data Crude oil'!W2581</f>
        <v>0</v>
      </c>
      <c r="X2580">
        <f>'raw data Crude oil'!X2581</f>
        <v>0</v>
      </c>
      <c r="Y2580">
        <f>'raw data Crude oil'!Y2581</f>
        <v>0</v>
      </c>
      <c r="Z2580">
        <f>'raw data Crude oil'!Z2581</f>
        <v>0</v>
      </c>
      <c r="AA2580">
        <f>'raw data Crude oil'!AA2581</f>
        <v>0</v>
      </c>
      <c r="AB2580">
        <f>'raw data Crude oil'!AB2581</f>
        <v>0</v>
      </c>
      <c r="AC2580">
        <f>'raw data Crude oil'!AC2581</f>
        <v>0</v>
      </c>
      <c r="AD2580">
        <f>'raw data Crude oil'!AD2581</f>
        <v>0</v>
      </c>
      <c r="AE2580">
        <f>'raw data Crude oil'!AE2581</f>
        <v>0</v>
      </c>
      <c r="AF2580">
        <f>'raw data Crude oil'!AF2581</f>
        <v>0</v>
      </c>
      <c r="AG2580">
        <f>'raw data Crude oil'!AG2581</f>
        <v>0</v>
      </c>
      <c r="AH2580">
        <f>'raw data Crude oil'!AH2581</f>
        <v>0</v>
      </c>
      <c r="AI2580">
        <f>'raw data Crude oil'!AI2581</f>
        <v>0</v>
      </c>
      <c r="AJ2580">
        <f>'raw data Crude oil'!AJ2581</f>
        <v>0</v>
      </c>
      <c r="AK2580">
        <f>'raw data Crude oil'!AK2581</f>
        <v>0</v>
      </c>
    </row>
    <row r="2581" spans="1:37" x14ac:dyDescent="0.3">
      <c r="A2581" s="18">
        <f>'raw data Crude oil'!A2582</f>
        <v>0</v>
      </c>
      <c r="B2581">
        <f>'raw data Crude oil'!B2582</f>
        <v>0</v>
      </c>
      <c r="C2581">
        <f>'raw data Crude oil'!C2582</f>
        <v>0</v>
      </c>
      <c r="D2581">
        <f>'raw data Crude oil'!D2582</f>
        <v>0</v>
      </c>
      <c r="E2581">
        <f>'raw data Crude oil'!E2582</f>
        <v>0</v>
      </c>
      <c r="F2581">
        <f>'raw data Crude oil'!F2582</f>
        <v>0</v>
      </c>
      <c r="G2581">
        <f>'raw data Crude oil'!G2582</f>
        <v>0</v>
      </c>
      <c r="H2581">
        <f>'raw data Crude oil'!H2582</f>
        <v>0</v>
      </c>
      <c r="I2581">
        <f>'raw data Crude oil'!I2582</f>
        <v>0</v>
      </c>
      <c r="J2581">
        <f>'raw data Crude oil'!J2582</f>
        <v>0</v>
      </c>
      <c r="K2581">
        <f>'raw data Crude oil'!K2582</f>
        <v>0</v>
      </c>
      <c r="L2581">
        <f>'raw data Crude oil'!L2582</f>
        <v>0</v>
      </c>
      <c r="M2581">
        <f>'raw data Crude oil'!M2582</f>
        <v>0</v>
      </c>
      <c r="N2581">
        <f>'raw data Crude oil'!N2582</f>
        <v>0</v>
      </c>
      <c r="O2581">
        <f>'raw data Crude oil'!O2582</f>
        <v>0</v>
      </c>
      <c r="P2581">
        <f>'raw data Crude oil'!P2582</f>
        <v>0</v>
      </c>
      <c r="Q2581">
        <f>'raw data Crude oil'!Q2582</f>
        <v>0</v>
      </c>
      <c r="R2581">
        <f>'raw data Crude oil'!R2582</f>
        <v>0</v>
      </c>
      <c r="S2581">
        <f>'raw data Crude oil'!S2582</f>
        <v>0</v>
      </c>
      <c r="T2581">
        <f>'raw data Crude oil'!T2582</f>
        <v>0</v>
      </c>
      <c r="U2581">
        <f>'raw data Crude oil'!U2582</f>
        <v>0</v>
      </c>
      <c r="V2581">
        <f>'raw data Crude oil'!V2582</f>
        <v>0</v>
      </c>
      <c r="W2581">
        <f>'raw data Crude oil'!W2582</f>
        <v>0</v>
      </c>
      <c r="X2581">
        <f>'raw data Crude oil'!X2582</f>
        <v>0</v>
      </c>
      <c r="Y2581">
        <f>'raw data Crude oil'!Y2582</f>
        <v>0</v>
      </c>
      <c r="Z2581">
        <f>'raw data Crude oil'!Z2582</f>
        <v>0</v>
      </c>
      <c r="AA2581">
        <f>'raw data Crude oil'!AA2582</f>
        <v>0</v>
      </c>
      <c r="AB2581">
        <f>'raw data Crude oil'!AB2582</f>
        <v>0</v>
      </c>
      <c r="AC2581">
        <f>'raw data Crude oil'!AC2582</f>
        <v>0</v>
      </c>
      <c r="AD2581">
        <f>'raw data Crude oil'!AD2582</f>
        <v>0</v>
      </c>
      <c r="AE2581">
        <f>'raw data Crude oil'!AE2582</f>
        <v>0</v>
      </c>
      <c r="AF2581">
        <f>'raw data Crude oil'!AF2582</f>
        <v>0</v>
      </c>
      <c r="AG2581">
        <f>'raw data Crude oil'!AG2582</f>
        <v>0</v>
      </c>
      <c r="AH2581">
        <f>'raw data Crude oil'!AH2582</f>
        <v>0</v>
      </c>
      <c r="AI2581">
        <f>'raw data Crude oil'!AI2582</f>
        <v>0</v>
      </c>
      <c r="AJ2581">
        <f>'raw data Crude oil'!AJ2582</f>
        <v>0</v>
      </c>
      <c r="AK2581">
        <f>'raw data Crude oil'!AK2582</f>
        <v>0</v>
      </c>
    </row>
    <row r="2582" spans="1:37" x14ac:dyDescent="0.3">
      <c r="A2582" s="18">
        <f>'raw data Crude oil'!A2583</f>
        <v>0</v>
      </c>
      <c r="B2582">
        <f>'raw data Crude oil'!B2583</f>
        <v>0</v>
      </c>
      <c r="C2582">
        <f>'raw data Crude oil'!C2583</f>
        <v>0</v>
      </c>
      <c r="D2582">
        <f>'raw data Crude oil'!D2583</f>
        <v>0</v>
      </c>
      <c r="E2582">
        <f>'raw data Crude oil'!E2583</f>
        <v>0</v>
      </c>
      <c r="F2582">
        <f>'raw data Crude oil'!F2583</f>
        <v>0</v>
      </c>
      <c r="G2582">
        <f>'raw data Crude oil'!G2583</f>
        <v>0</v>
      </c>
      <c r="H2582">
        <f>'raw data Crude oil'!H2583</f>
        <v>0</v>
      </c>
      <c r="I2582">
        <f>'raw data Crude oil'!I2583</f>
        <v>0</v>
      </c>
      <c r="J2582">
        <f>'raw data Crude oil'!J2583</f>
        <v>0</v>
      </c>
      <c r="K2582">
        <f>'raw data Crude oil'!K2583</f>
        <v>0</v>
      </c>
      <c r="L2582">
        <f>'raw data Crude oil'!L2583</f>
        <v>0</v>
      </c>
      <c r="M2582">
        <f>'raw data Crude oil'!M2583</f>
        <v>0</v>
      </c>
      <c r="N2582">
        <f>'raw data Crude oil'!N2583</f>
        <v>0</v>
      </c>
      <c r="O2582">
        <f>'raw data Crude oil'!O2583</f>
        <v>0</v>
      </c>
      <c r="P2582">
        <f>'raw data Crude oil'!P2583</f>
        <v>0</v>
      </c>
      <c r="Q2582">
        <f>'raw data Crude oil'!Q2583</f>
        <v>0</v>
      </c>
      <c r="R2582">
        <f>'raw data Crude oil'!R2583</f>
        <v>0</v>
      </c>
      <c r="S2582">
        <f>'raw data Crude oil'!S2583</f>
        <v>0</v>
      </c>
      <c r="T2582">
        <f>'raw data Crude oil'!T2583</f>
        <v>0</v>
      </c>
      <c r="U2582">
        <f>'raw data Crude oil'!U2583</f>
        <v>0</v>
      </c>
      <c r="V2582">
        <f>'raw data Crude oil'!V2583</f>
        <v>0</v>
      </c>
      <c r="W2582">
        <f>'raw data Crude oil'!W2583</f>
        <v>0</v>
      </c>
      <c r="X2582">
        <f>'raw data Crude oil'!X2583</f>
        <v>0</v>
      </c>
      <c r="Y2582">
        <f>'raw data Crude oil'!Y2583</f>
        <v>0</v>
      </c>
      <c r="Z2582">
        <f>'raw data Crude oil'!Z2583</f>
        <v>0</v>
      </c>
      <c r="AA2582">
        <f>'raw data Crude oil'!AA2583</f>
        <v>0</v>
      </c>
      <c r="AB2582">
        <f>'raw data Crude oil'!AB2583</f>
        <v>0</v>
      </c>
      <c r="AC2582">
        <f>'raw data Crude oil'!AC2583</f>
        <v>0</v>
      </c>
      <c r="AD2582">
        <f>'raw data Crude oil'!AD2583</f>
        <v>0</v>
      </c>
      <c r="AE2582">
        <f>'raw data Crude oil'!AE2583</f>
        <v>0</v>
      </c>
      <c r="AF2582">
        <f>'raw data Crude oil'!AF2583</f>
        <v>0</v>
      </c>
      <c r="AG2582">
        <f>'raw data Crude oil'!AG2583</f>
        <v>0</v>
      </c>
      <c r="AH2582">
        <f>'raw data Crude oil'!AH2583</f>
        <v>0</v>
      </c>
      <c r="AI2582">
        <f>'raw data Crude oil'!AI2583</f>
        <v>0</v>
      </c>
      <c r="AJ2582">
        <f>'raw data Crude oil'!AJ2583</f>
        <v>0</v>
      </c>
      <c r="AK2582">
        <f>'raw data Crude oil'!AK2583</f>
        <v>0</v>
      </c>
    </row>
    <row r="2583" spans="1:37" x14ac:dyDescent="0.3">
      <c r="A2583" s="18">
        <f>'raw data Crude oil'!A2584</f>
        <v>0</v>
      </c>
      <c r="B2583">
        <f>'raw data Crude oil'!B2584</f>
        <v>0</v>
      </c>
      <c r="C2583">
        <f>'raw data Crude oil'!C2584</f>
        <v>0</v>
      </c>
      <c r="D2583">
        <f>'raw data Crude oil'!D2584</f>
        <v>0</v>
      </c>
      <c r="E2583">
        <f>'raw data Crude oil'!E2584</f>
        <v>0</v>
      </c>
      <c r="F2583">
        <f>'raw data Crude oil'!F2584</f>
        <v>0</v>
      </c>
      <c r="G2583">
        <f>'raw data Crude oil'!G2584</f>
        <v>0</v>
      </c>
      <c r="H2583">
        <f>'raw data Crude oil'!H2584</f>
        <v>0</v>
      </c>
      <c r="I2583">
        <f>'raw data Crude oil'!I2584</f>
        <v>0</v>
      </c>
      <c r="J2583">
        <f>'raw data Crude oil'!J2584</f>
        <v>0</v>
      </c>
      <c r="K2583">
        <f>'raw data Crude oil'!K2584</f>
        <v>0</v>
      </c>
      <c r="L2583">
        <f>'raw data Crude oil'!L2584</f>
        <v>0</v>
      </c>
      <c r="M2583">
        <f>'raw data Crude oil'!M2584</f>
        <v>0</v>
      </c>
      <c r="N2583">
        <f>'raw data Crude oil'!N2584</f>
        <v>0</v>
      </c>
      <c r="O2583">
        <f>'raw data Crude oil'!O2584</f>
        <v>0</v>
      </c>
      <c r="P2583">
        <f>'raw data Crude oil'!P2584</f>
        <v>0</v>
      </c>
      <c r="Q2583">
        <f>'raw data Crude oil'!Q2584</f>
        <v>0</v>
      </c>
      <c r="R2583">
        <f>'raw data Crude oil'!R2584</f>
        <v>0</v>
      </c>
      <c r="S2583">
        <f>'raw data Crude oil'!S2584</f>
        <v>0</v>
      </c>
      <c r="T2583">
        <f>'raw data Crude oil'!T2584</f>
        <v>0</v>
      </c>
      <c r="U2583">
        <f>'raw data Crude oil'!U2584</f>
        <v>0</v>
      </c>
      <c r="V2583">
        <f>'raw data Crude oil'!V2584</f>
        <v>0</v>
      </c>
      <c r="W2583">
        <f>'raw data Crude oil'!W2584</f>
        <v>0</v>
      </c>
      <c r="X2583">
        <f>'raw data Crude oil'!X2584</f>
        <v>0</v>
      </c>
      <c r="Y2583">
        <f>'raw data Crude oil'!Y2584</f>
        <v>0</v>
      </c>
      <c r="Z2583">
        <f>'raw data Crude oil'!Z2584</f>
        <v>0</v>
      </c>
      <c r="AA2583">
        <f>'raw data Crude oil'!AA2584</f>
        <v>0</v>
      </c>
      <c r="AB2583">
        <f>'raw data Crude oil'!AB2584</f>
        <v>0</v>
      </c>
      <c r="AC2583">
        <f>'raw data Crude oil'!AC2584</f>
        <v>0</v>
      </c>
      <c r="AD2583">
        <f>'raw data Crude oil'!AD2584</f>
        <v>0</v>
      </c>
      <c r="AE2583">
        <f>'raw data Crude oil'!AE2584</f>
        <v>0</v>
      </c>
      <c r="AF2583">
        <f>'raw data Crude oil'!AF2584</f>
        <v>0</v>
      </c>
      <c r="AG2583">
        <f>'raw data Crude oil'!AG2584</f>
        <v>0</v>
      </c>
      <c r="AH2583">
        <f>'raw data Crude oil'!AH2584</f>
        <v>0</v>
      </c>
      <c r="AI2583">
        <f>'raw data Crude oil'!AI2584</f>
        <v>0</v>
      </c>
      <c r="AJ2583">
        <f>'raw data Crude oil'!AJ2584</f>
        <v>0</v>
      </c>
      <c r="AK2583">
        <f>'raw data Crude oil'!AK2584</f>
        <v>0</v>
      </c>
    </row>
    <row r="2584" spans="1:37" x14ac:dyDescent="0.3">
      <c r="A2584" s="18">
        <f>'raw data Crude oil'!A2585</f>
        <v>0</v>
      </c>
      <c r="B2584">
        <f>'raw data Crude oil'!B2585</f>
        <v>0</v>
      </c>
      <c r="C2584">
        <f>'raw data Crude oil'!C2585</f>
        <v>0</v>
      </c>
      <c r="D2584">
        <f>'raw data Crude oil'!D2585</f>
        <v>0</v>
      </c>
      <c r="E2584">
        <f>'raw data Crude oil'!E2585</f>
        <v>0</v>
      </c>
      <c r="F2584">
        <f>'raw data Crude oil'!F2585</f>
        <v>0</v>
      </c>
      <c r="G2584">
        <f>'raw data Crude oil'!G2585</f>
        <v>0</v>
      </c>
      <c r="H2584">
        <f>'raw data Crude oil'!H2585</f>
        <v>0</v>
      </c>
      <c r="I2584">
        <f>'raw data Crude oil'!I2585</f>
        <v>0</v>
      </c>
      <c r="J2584">
        <f>'raw data Crude oil'!J2585</f>
        <v>0</v>
      </c>
      <c r="K2584">
        <f>'raw data Crude oil'!K2585</f>
        <v>0</v>
      </c>
      <c r="L2584">
        <f>'raw data Crude oil'!L2585</f>
        <v>0</v>
      </c>
      <c r="M2584">
        <f>'raw data Crude oil'!M2585</f>
        <v>0</v>
      </c>
      <c r="N2584">
        <f>'raw data Crude oil'!N2585</f>
        <v>0</v>
      </c>
      <c r="O2584">
        <f>'raw data Crude oil'!O2585</f>
        <v>0</v>
      </c>
      <c r="P2584">
        <f>'raw data Crude oil'!P2585</f>
        <v>0</v>
      </c>
      <c r="Q2584">
        <f>'raw data Crude oil'!Q2585</f>
        <v>0</v>
      </c>
      <c r="R2584">
        <f>'raw data Crude oil'!R2585</f>
        <v>0</v>
      </c>
      <c r="S2584">
        <f>'raw data Crude oil'!S2585</f>
        <v>0</v>
      </c>
      <c r="T2584">
        <f>'raw data Crude oil'!T2585</f>
        <v>0</v>
      </c>
      <c r="U2584">
        <f>'raw data Crude oil'!U2585</f>
        <v>0</v>
      </c>
      <c r="V2584">
        <f>'raw data Crude oil'!V2585</f>
        <v>0</v>
      </c>
      <c r="W2584">
        <f>'raw data Crude oil'!W2585</f>
        <v>0</v>
      </c>
      <c r="X2584">
        <f>'raw data Crude oil'!X2585</f>
        <v>0</v>
      </c>
      <c r="Y2584">
        <f>'raw data Crude oil'!Y2585</f>
        <v>0</v>
      </c>
      <c r="Z2584">
        <f>'raw data Crude oil'!Z2585</f>
        <v>0</v>
      </c>
      <c r="AA2584">
        <f>'raw data Crude oil'!AA2585</f>
        <v>0</v>
      </c>
      <c r="AB2584">
        <f>'raw data Crude oil'!AB2585</f>
        <v>0</v>
      </c>
      <c r="AC2584">
        <f>'raw data Crude oil'!AC2585</f>
        <v>0</v>
      </c>
      <c r="AD2584">
        <f>'raw data Crude oil'!AD2585</f>
        <v>0</v>
      </c>
      <c r="AE2584">
        <f>'raw data Crude oil'!AE2585</f>
        <v>0</v>
      </c>
      <c r="AF2584">
        <f>'raw data Crude oil'!AF2585</f>
        <v>0</v>
      </c>
      <c r="AG2584">
        <f>'raw data Crude oil'!AG2585</f>
        <v>0</v>
      </c>
      <c r="AH2584">
        <f>'raw data Crude oil'!AH2585</f>
        <v>0</v>
      </c>
      <c r="AI2584">
        <f>'raw data Crude oil'!AI2585</f>
        <v>0</v>
      </c>
      <c r="AJ2584">
        <f>'raw data Crude oil'!AJ2585</f>
        <v>0</v>
      </c>
      <c r="AK2584">
        <f>'raw data Crude oil'!AK2585</f>
        <v>0</v>
      </c>
    </row>
    <row r="2585" spans="1:37" x14ac:dyDescent="0.3">
      <c r="A2585" s="18">
        <f>'raw data Crude oil'!A2586</f>
        <v>0</v>
      </c>
      <c r="B2585">
        <f>'raw data Crude oil'!B2586</f>
        <v>0</v>
      </c>
      <c r="C2585">
        <f>'raw data Crude oil'!C2586</f>
        <v>0</v>
      </c>
      <c r="D2585">
        <f>'raw data Crude oil'!D2586</f>
        <v>0</v>
      </c>
      <c r="E2585">
        <f>'raw data Crude oil'!E2586</f>
        <v>0</v>
      </c>
      <c r="F2585">
        <f>'raw data Crude oil'!F2586</f>
        <v>0</v>
      </c>
      <c r="G2585">
        <f>'raw data Crude oil'!G2586</f>
        <v>0</v>
      </c>
      <c r="H2585">
        <f>'raw data Crude oil'!H2586</f>
        <v>0</v>
      </c>
      <c r="I2585">
        <f>'raw data Crude oil'!I2586</f>
        <v>0</v>
      </c>
      <c r="J2585">
        <f>'raw data Crude oil'!J2586</f>
        <v>0</v>
      </c>
      <c r="K2585">
        <f>'raw data Crude oil'!K2586</f>
        <v>0</v>
      </c>
      <c r="L2585">
        <f>'raw data Crude oil'!L2586</f>
        <v>0</v>
      </c>
      <c r="M2585">
        <f>'raw data Crude oil'!M2586</f>
        <v>0</v>
      </c>
      <c r="N2585">
        <f>'raw data Crude oil'!N2586</f>
        <v>0</v>
      </c>
      <c r="O2585">
        <f>'raw data Crude oil'!O2586</f>
        <v>0</v>
      </c>
      <c r="P2585">
        <f>'raw data Crude oil'!P2586</f>
        <v>0</v>
      </c>
      <c r="Q2585">
        <f>'raw data Crude oil'!Q2586</f>
        <v>0</v>
      </c>
      <c r="R2585">
        <f>'raw data Crude oil'!R2586</f>
        <v>0</v>
      </c>
      <c r="S2585">
        <f>'raw data Crude oil'!S2586</f>
        <v>0</v>
      </c>
      <c r="T2585">
        <f>'raw data Crude oil'!T2586</f>
        <v>0</v>
      </c>
      <c r="U2585">
        <f>'raw data Crude oil'!U2586</f>
        <v>0</v>
      </c>
      <c r="V2585">
        <f>'raw data Crude oil'!V2586</f>
        <v>0</v>
      </c>
      <c r="W2585">
        <f>'raw data Crude oil'!W2586</f>
        <v>0</v>
      </c>
      <c r="X2585">
        <f>'raw data Crude oil'!X2586</f>
        <v>0</v>
      </c>
      <c r="Y2585">
        <f>'raw data Crude oil'!Y2586</f>
        <v>0</v>
      </c>
      <c r="Z2585">
        <f>'raw data Crude oil'!Z2586</f>
        <v>0</v>
      </c>
      <c r="AA2585">
        <f>'raw data Crude oil'!AA2586</f>
        <v>0</v>
      </c>
      <c r="AB2585">
        <f>'raw data Crude oil'!AB2586</f>
        <v>0</v>
      </c>
      <c r="AC2585">
        <f>'raw data Crude oil'!AC2586</f>
        <v>0</v>
      </c>
      <c r="AD2585">
        <f>'raw data Crude oil'!AD2586</f>
        <v>0</v>
      </c>
      <c r="AE2585">
        <f>'raw data Crude oil'!AE2586</f>
        <v>0</v>
      </c>
      <c r="AF2585">
        <f>'raw data Crude oil'!AF2586</f>
        <v>0</v>
      </c>
      <c r="AG2585">
        <f>'raw data Crude oil'!AG2586</f>
        <v>0</v>
      </c>
      <c r="AH2585">
        <f>'raw data Crude oil'!AH2586</f>
        <v>0</v>
      </c>
      <c r="AI2585">
        <f>'raw data Crude oil'!AI2586</f>
        <v>0</v>
      </c>
      <c r="AJ2585">
        <f>'raw data Crude oil'!AJ2586</f>
        <v>0</v>
      </c>
      <c r="AK2585">
        <f>'raw data Crude oil'!AK2586</f>
        <v>0</v>
      </c>
    </row>
    <row r="2586" spans="1:37" x14ac:dyDescent="0.3">
      <c r="A2586" s="18">
        <f>'raw data Crude oil'!A2587</f>
        <v>0</v>
      </c>
      <c r="B2586">
        <f>'raw data Crude oil'!B2587</f>
        <v>0</v>
      </c>
      <c r="C2586">
        <f>'raw data Crude oil'!C2587</f>
        <v>0</v>
      </c>
      <c r="D2586">
        <f>'raw data Crude oil'!D2587</f>
        <v>0</v>
      </c>
      <c r="E2586">
        <f>'raw data Crude oil'!E2587</f>
        <v>0</v>
      </c>
      <c r="F2586">
        <f>'raw data Crude oil'!F2587</f>
        <v>0</v>
      </c>
      <c r="G2586">
        <f>'raw data Crude oil'!G2587</f>
        <v>0</v>
      </c>
      <c r="H2586">
        <f>'raw data Crude oil'!H2587</f>
        <v>0</v>
      </c>
      <c r="I2586">
        <f>'raw data Crude oil'!I2587</f>
        <v>0</v>
      </c>
      <c r="J2586">
        <f>'raw data Crude oil'!J2587</f>
        <v>0</v>
      </c>
      <c r="K2586">
        <f>'raw data Crude oil'!K2587</f>
        <v>0</v>
      </c>
      <c r="L2586">
        <f>'raw data Crude oil'!L2587</f>
        <v>0</v>
      </c>
      <c r="M2586">
        <f>'raw data Crude oil'!M2587</f>
        <v>0</v>
      </c>
      <c r="N2586">
        <f>'raw data Crude oil'!N2587</f>
        <v>0</v>
      </c>
      <c r="O2586">
        <f>'raw data Crude oil'!O2587</f>
        <v>0</v>
      </c>
      <c r="P2586">
        <f>'raw data Crude oil'!P2587</f>
        <v>0</v>
      </c>
      <c r="Q2586">
        <f>'raw data Crude oil'!Q2587</f>
        <v>0</v>
      </c>
      <c r="R2586">
        <f>'raw data Crude oil'!R2587</f>
        <v>0</v>
      </c>
      <c r="S2586">
        <f>'raw data Crude oil'!S2587</f>
        <v>0</v>
      </c>
      <c r="T2586">
        <f>'raw data Crude oil'!T2587</f>
        <v>0</v>
      </c>
      <c r="U2586">
        <f>'raw data Crude oil'!U2587</f>
        <v>0</v>
      </c>
      <c r="V2586">
        <f>'raw data Crude oil'!V2587</f>
        <v>0</v>
      </c>
      <c r="W2586">
        <f>'raw data Crude oil'!W2587</f>
        <v>0</v>
      </c>
      <c r="X2586">
        <f>'raw data Crude oil'!X2587</f>
        <v>0</v>
      </c>
      <c r="Y2586">
        <f>'raw data Crude oil'!Y2587</f>
        <v>0</v>
      </c>
      <c r="Z2586">
        <f>'raw data Crude oil'!Z2587</f>
        <v>0</v>
      </c>
      <c r="AA2586">
        <f>'raw data Crude oil'!AA2587</f>
        <v>0</v>
      </c>
      <c r="AB2586">
        <f>'raw data Crude oil'!AB2587</f>
        <v>0</v>
      </c>
      <c r="AC2586">
        <f>'raw data Crude oil'!AC2587</f>
        <v>0</v>
      </c>
      <c r="AD2586">
        <f>'raw data Crude oil'!AD2587</f>
        <v>0</v>
      </c>
      <c r="AE2586">
        <f>'raw data Crude oil'!AE2587</f>
        <v>0</v>
      </c>
      <c r="AF2586">
        <f>'raw data Crude oil'!AF2587</f>
        <v>0</v>
      </c>
      <c r="AG2586">
        <f>'raw data Crude oil'!AG2587</f>
        <v>0</v>
      </c>
      <c r="AH2586">
        <f>'raw data Crude oil'!AH2587</f>
        <v>0</v>
      </c>
      <c r="AI2586">
        <f>'raw data Crude oil'!AI2587</f>
        <v>0</v>
      </c>
      <c r="AJ2586">
        <f>'raw data Crude oil'!AJ2587</f>
        <v>0</v>
      </c>
      <c r="AK2586">
        <f>'raw data Crude oil'!AK2587</f>
        <v>0</v>
      </c>
    </row>
    <row r="2587" spans="1:37" x14ac:dyDescent="0.3">
      <c r="A2587" s="18">
        <f>'raw data Crude oil'!A2588</f>
        <v>0</v>
      </c>
      <c r="B2587">
        <f>'raw data Crude oil'!B2588</f>
        <v>0</v>
      </c>
      <c r="C2587">
        <f>'raw data Crude oil'!C2588</f>
        <v>0</v>
      </c>
      <c r="D2587">
        <f>'raw data Crude oil'!D2588</f>
        <v>0</v>
      </c>
      <c r="E2587">
        <f>'raw data Crude oil'!E2588</f>
        <v>0</v>
      </c>
      <c r="F2587">
        <f>'raw data Crude oil'!F2588</f>
        <v>0</v>
      </c>
      <c r="G2587">
        <f>'raw data Crude oil'!G2588</f>
        <v>0</v>
      </c>
      <c r="H2587">
        <f>'raw data Crude oil'!H2588</f>
        <v>0</v>
      </c>
      <c r="I2587">
        <f>'raw data Crude oil'!I2588</f>
        <v>0</v>
      </c>
      <c r="J2587">
        <f>'raw data Crude oil'!J2588</f>
        <v>0</v>
      </c>
      <c r="K2587">
        <f>'raw data Crude oil'!K2588</f>
        <v>0</v>
      </c>
      <c r="L2587">
        <f>'raw data Crude oil'!L2588</f>
        <v>0</v>
      </c>
      <c r="M2587">
        <f>'raw data Crude oil'!M2588</f>
        <v>0</v>
      </c>
      <c r="N2587">
        <f>'raw data Crude oil'!N2588</f>
        <v>0</v>
      </c>
      <c r="O2587">
        <f>'raw data Crude oil'!O2588</f>
        <v>0</v>
      </c>
      <c r="P2587">
        <f>'raw data Crude oil'!P2588</f>
        <v>0</v>
      </c>
      <c r="Q2587">
        <f>'raw data Crude oil'!Q2588</f>
        <v>0</v>
      </c>
      <c r="R2587">
        <f>'raw data Crude oil'!R2588</f>
        <v>0</v>
      </c>
      <c r="S2587">
        <f>'raw data Crude oil'!S2588</f>
        <v>0</v>
      </c>
      <c r="T2587">
        <f>'raw data Crude oil'!T2588</f>
        <v>0</v>
      </c>
      <c r="U2587">
        <f>'raw data Crude oil'!U2588</f>
        <v>0</v>
      </c>
      <c r="V2587">
        <f>'raw data Crude oil'!V2588</f>
        <v>0</v>
      </c>
      <c r="W2587">
        <f>'raw data Crude oil'!W2588</f>
        <v>0</v>
      </c>
      <c r="X2587">
        <f>'raw data Crude oil'!X2588</f>
        <v>0</v>
      </c>
      <c r="Y2587">
        <f>'raw data Crude oil'!Y2588</f>
        <v>0</v>
      </c>
      <c r="Z2587">
        <f>'raw data Crude oil'!Z2588</f>
        <v>0</v>
      </c>
      <c r="AA2587">
        <f>'raw data Crude oil'!AA2588</f>
        <v>0</v>
      </c>
      <c r="AB2587">
        <f>'raw data Crude oil'!AB2588</f>
        <v>0</v>
      </c>
      <c r="AC2587">
        <f>'raw data Crude oil'!AC2588</f>
        <v>0</v>
      </c>
      <c r="AD2587">
        <f>'raw data Crude oil'!AD2588</f>
        <v>0</v>
      </c>
      <c r="AE2587">
        <f>'raw data Crude oil'!AE2588</f>
        <v>0</v>
      </c>
      <c r="AF2587">
        <f>'raw data Crude oil'!AF2588</f>
        <v>0</v>
      </c>
      <c r="AG2587">
        <f>'raw data Crude oil'!AG2588</f>
        <v>0</v>
      </c>
      <c r="AH2587">
        <f>'raw data Crude oil'!AH2588</f>
        <v>0</v>
      </c>
      <c r="AI2587">
        <f>'raw data Crude oil'!AI2588</f>
        <v>0</v>
      </c>
      <c r="AJ2587">
        <f>'raw data Crude oil'!AJ2588</f>
        <v>0</v>
      </c>
      <c r="AK2587">
        <f>'raw data Crude oil'!AK2588</f>
        <v>0</v>
      </c>
    </row>
    <row r="2588" spans="1:37" x14ac:dyDescent="0.3">
      <c r="A2588" s="18">
        <f>'raw data Crude oil'!A2589</f>
        <v>0</v>
      </c>
      <c r="B2588">
        <f>'raw data Crude oil'!B2589</f>
        <v>0</v>
      </c>
      <c r="C2588">
        <f>'raw data Crude oil'!C2589</f>
        <v>0</v>
      </c>
      <c r="D2588">
        <f>'raw data Crude oil'!D2589</f>
        <v>0</v>
      </c>
      <c r="E2588">
        <f>'raw data Crude oil'!E2589</f>
        <v>0</v>
      </c>
      <c r="F2588">
        <f>'raw data Crude oil'!F2589</f>
        <v>0</v>
      </c>
      <c r="G2588">
        <f>'raw data Crude oil'!G2589</f>
        <v>0</v>
      </c>
      <c r="H2588">
        <f>'raw data Crude oil'!H2589</f>
        <v>0</v>
      </c>
      <c r="I2588">
        <f>'raw data Crude oil'!I2589</f>
        <v>0</v>
      </c>
      <c r="J2588">
        <f>'raw data Crude oil'!J2589</f>
        <v>0</v>
      </c>
      <c r="K2588">
        <f>'raw data Crude oil'!K2589</f>
        <v>0</v>
      </c>
      <c r="L2588">
        <f>'raw data Crude oil'!L2589</f>
        <v>0</v>
      </c>
      <c r="M2588">
        <f>'raw data Crude oil'!M2589</f>
        <v>0</v>
      </c>
      <c r="N2588">
        <f>'raw data Crude oil'!N2589</f>
        <v>0</v>
      </c>
      <c r="O2588">
        <f>'raw data Crude oil'!O2589</f>
        <v>0</v>
      </c>
      <c r="P2588">
        <f>'raw data Crude oil'!P2589</f>
        <v>0</v>
      </c>
      <c r="Q2588">
        <f>'raw data Crude oil'!Q2589</f>
        <v>0</v>
      </c>
      <c r="R2588">
        <f>'raw data Crude oil'!R2589</f>
        <v>0</v>
      </c>
      <c r="S2588">
        <f>'raw data Crude oil'!S2589</f>
        <v>0</v>
      </c>
      <c r="T2588">
        <f>'raw data Crude oil'!T2589</f>
        <v>0</v>
      </c>
      <c r="U2588">
        <f>'raw data Crude oil'!U2589</f>
        <v>0</v>
      </c>
      <c r="V2588">
        <f>'raw data Crude oil'!V2589</f>
        <v>0</v>
      </c>
      <c r="W2588">
        <f>'raw data Crude oil'!W2589</f>
        <v>0</v>
      </c>
      <c r="X2588">
        <f>'raw data Crude oil'!X2589</f>
        <v>0</v>
      </c>
      <c r="Y2588">
        <f>'raw data Crude oil'!Y2589</f>
        <v>0</v>
      </c>
      <c r="Z2588">
        <f>'raw data Crude oil'!Z2589</f>
        <v>0</v>
      </c>
      <c r="AA2588">
        <f>'raw data Crude oil'!AA2589</f>
        <v>0</v>
      </c>
      <c r="AB2588">
        <f>'raw data Crude oil'!AB2589</f>
        <v>0</v>
      </c>
      <c r="AC2588">
        <f>'raw data Crude oil'!AC2589</f>
        <v>0</v>
      </c>
      <c r="AD2588">
        <f>'raw data Crude oil'!AD2589</f>
        <v>0</v>
      </c>
      <c r="AE2588">
        <f>'raw data Crude oil'!AE2589</f>
        <v>0</v>
      </c>
      <c r="AF2588">
        <f>'raw data Crude oil'!AF2589</f>
        <v>0</v>
      </c>
      <c r="AG2588">
        <f>'raw data Crude oil'!AG2589</f>
        <v>0</v>
      </c>
      <c r="AH2588">
        <f>'raw data Crude oil'!AH2589</f>
        <v>0</v>
      </c>
      <c r="AI2588">
        <f>'raw data Crude oil'!AI2589</f>
        <v>0</v>
      </c>
      <c r="AJ2588">
        <f>'raw data Crude oil'!AJ2589</f>
        <v>0</v>
      </c>
      <c r="AK2588">
        <f>'raw data Crude oil'!AK2589</f>
        <v>0</v>
      </c>
    </row>
    <row r="2589" spans="1:37" x14ac:dyDescent="0.3">
      <c r="A2589" s="18">
        <f>'raw data Crude oil'!A2590</f>
        <v>0</v>
      </c>
      <c r="B2589">
        <f>'raw data Crude oil'!B2590</f>
        <v>0</v>
      </c>
      <c r="C2589">
        <f>'raw data Crude oil'!C2590</f>
        <v>0</v>
      </c>
      <c r="D2589">
        <f>'raw data Crude oil'!D2590</f>
        <v>0</v>
      </c>
      <c r="E2589">
        <f>'raw data Crude oil'!E2590</f>
        <v>0</v>
      </c>
      <c r="F2589">
        <f>'raw data Crude oil'!F2590</f>
        <v>0</v>
      </c>
      <c r="G2589">
        <f>'raw data Crude oil'!G2590</f>
        <v>0</v>
      </c>
      <c r="H2589">
        <f>'raw data Crude oil'!H2590</f>
        <v>0</v>
      </c>
      <c r="I2589">
        <f>'raw data Crude oil'!I2590</f>
        <v>0</v>
      </c>
      <c r="J2589">
        <f>'raw data Crude oil'!J2590</f>
        <v>0</v>
      </c>
      <c r="K2589">
        <f>'raw data Crude oil'!K2590</f>
        <v>0</v>
      </c>
      <c r="L2589">
        <f>'raw data Crude oil'!L2590</f>
        <v>0</v>
      </c>
      <c r="M2589">
        <f>'raw data Crude oil'!M2590</f>
        <v>0</v>
      </c>
      <c r="N2589">
        <f>'raw data Crude oil'!N2590</f>
        <v>0</v>
      </c>
      <c r="O2589">
        <f>'raw data Crude oil'!O2590</f>
        <v>0</v>
      </c>
      <c r="P2589">
        <f>'raw data Crude oil'!P2590</f>
        <v>0</v>
      </c>
      <c r="Q2589">
        <f>'raw data Crude oil'!Q2590</f>
        <v>0</v>
      </c>
      <c r="R2589">
        <f>'raw data Crude oil'!R2590</f>
        <v>0</v>
      </c>
      <c r="S2589">
        <f>'raw data Crude oil'!S2590</f>
        <v>0</v>
      </c>
      <c r="T2589">
        <f>'raw data Crude oil'!T2590</f>
        <v>0</v>
      </c>
      <c r="U2589">
        <f>'raw data Crude oil'!U2590</f>
        <v>0</v>
      </c>
      <c r="V2589">
        <f>'raw data Crude oil'!V2590</f>
        <v>0</v>
      </c>
      <c r="W2589">
        <f>'raw data Crude oil'!W2590</f>
        <v>0</v>
      </c>
      <c r="X2589">
        <f>'raw data Crude oil'!X2590</f>
        <v>0</v>
      </c>
      <c r="Y2589">
        <f>'raw data Crude oil'!Y2590</f>
        <v>0</v>
      </c>
      <c r="Z2589">
        <f>'raw data Crude oil'!Z2590</f>
        <v>0</v>
      </c>
      <c r="AA2589">
        <f>'raw data Crude oil'!AA2590</f>
        <v>0</v>
      </c>
      <c r="AB2589">
        <f>'raw data Crude oil'!AB2590</f>
        <v>0</v>
      </c>
      <c r="AC2589">
        <f>'raw data Crude oil'!AC2590</f>
        <v>0</v>
      </c>
      <c r="AD2589">
        <f>'raw data Crude oil'!AD2590</f>
        <v>0</v>
      </c>
      <c r="AE2589">
        <f>'raw data Crude oil'!AE2590</f>
        <v>0</v>
      </c>
      <c r="AF2589">
        <f>'raw data Crude oil'!AF2590</f>
        <v>0</v>
      </c>
      <c r="AG2589">
        <f>'raw data Crude oil'!AG2590</f>
        <v>0</v>
      </c>
      <c r="AH2589">
        <f>'raw data Crude oil'!AH2590</f>
        <v>0</v>
      </c>
      <c r="AI2589">
        <f>'raw data Crude oil'!AI2590</f>
        <v>0</v>
      </c>
      <c r="AJ2589">
        <f>'raw data Crude oil'!AJ2590</f>
        <v>0</v>
      </c>
      <c r="AK2589">
        <f>'raw data Crude oil'!AK2590</f>
        <v>0</v>
      </c>
    </row>
    <row r="2590" spans="1:37" x14ac:dyDescent="0.3">
      <c r="A2590" s="18">
        <f>'raw data Crude oil'!A2591</f>
        <v>0</v>
      </c>
      <c r="B2590">
        <f>'raw data Crude oil'!B2591</f>
        <v>0</v>
      </c>
      <c r="C2590">
        <f>'raw data Crude oil'!C2591</f>
        <v>0</v>
      </c>
      <c r="D2590">
        <f>'raw data Crude oil'!D2591</f>
        <v>0</v>
      </c>
      <c r="E2590">
        <f>'raw data Crude oil'!E2591</f>
        <v>0</v>
      </c>
      <c r="F2590">
        <f>'raw data Crude oil'!F2591</f>
        <v>0</v>
      </c>
      <c r="G2590">
        <f>'raw data Crude oil'!G2591</f>
        <v>0</v>
      </c>
      <c r="H2590">
        <f>'raw data Crude oil'!H2591</f>
        <v>0</v>
      </c>
      <c r="I2590">
        <f>'raw data Crude oil'!I2591</f>
        <v>0</v>
      </c>
      <c r="J2590">
        <f>'raw data Crude oil'!J2591</f>
        <v>0</v>
      </c>
      <c r="K2590">
        <f>'raw data Crude oil'!K2591</f>
        <v>0</v>
      </c>
      <c r="L2590">
        <f>'raw data Crude oil'!L2591</f>
        <v>0</v>
      </c>
      <c r="M2590">
        <f>'raw data Crude oil'!M2591</f>
        <v>0</v>
      </c>
      <c r="N2590">
        <f>'raw data Crude oil'!N2591</f>
        <v>0</v>
      </c>
      <c r="O2590">
        <f>'raw data Crude oil'!O2591</f>
        <v>0</v>
      </c>
      <c r="P2590">
        <f>'raw data Crude oil'!P2591</f>
        <v>0</v>
      </c>
      <c r="Q2590">
        <f>'raw data Crude oil'!Q2591</f>
        <v>0</v>
      </c>
      <c r="R2590">
        <f>'raw data Crude oil'!R2591</f>
        <v>0</v>
      </c>
      <c r="S2590">
        <f>'raw data Crude oil'!S2591</f>
        <v>0</v>
      </c>
      <c r="T2590">
        <f>'raw data Crude oil'!T2591</f>
        <v>0</v>
      </c>
      <c r="U2590">
        <f>'raw data Crude oil'!U2591</f>
        <v>0</v>
      </c>
      <c r="V2590">
        <f>'raw data Crude oil'!V2591</f>
        <v>0</v>
      </c>
      <c r="W2590">
        <f>'raw data Crude oil'!W2591</f>
        <v>0</v>
      </c>
      <c r="X2590">
        <f>'raw data Crude oil'!X2591</f>
        <v>0</v>
      </c>
      <c r="Y2590">
        <f>'raw data Crude oil'!Y2591</f>
        <v>0</v>
      </c>
      <c r="Z2590">
        <f>'raw data Crude oil'!Z2591</f>
        <v>0</v>
      </c>
      <c r="AA2590">
        <f>'raw data Crude oil'!AA2591</f>
        <v>0</v>
      </c>
      <c r="AB2590">
        <f>'raw data Crude oil'!AB2591</f>
        <v>0</v>
      </c>
      <c r="AC2590">
        <f>'raw data Crude oil'!AC2591</f>
        <v>0</v>
      </c>
      <c r="AD2590">
        <f>'raw data Crude oil'!AD2591</f>
        <v>0</v>
      </c>
      <c r="AE2590">
        <f>'raw data Crude oil'!AE2591</f>
        <v>0</v>
      </c>
      <c r="AF2590">
        <f>'raw data Crude oil'!AF2591</f>
        <v>0</v>
      </c>
      <c r="AG2590">
        <f>'raw data Crude oil'!AG2591</f>
        <v>0</v>
      </c>
      <c r="AH2590">
        <f>'raw data Crude oil'!AH2591</f>
        <v>0</v>
      </c>
      <c r="AI2590">
        <f>'raw data Crude oil'!AI2591</f>
        <v>0</v>
      </c>
      <c r="AJ2590">
        <f>'raw data Crude oil'!AJ2591</f>
        <v>0</v>
      </c>
      <c r="AK2590">
        <f>'raw data Crude oil'!AK2591</f>
        <v>0</v>
      </c>
    </row>
    <row r="2591" spans="1:37" x14ac:dyDescent="0.3">
      <c r="A2591" s="18">
        <f>'raw data Crude oil'!A2592</f>
        <v>0</v>
      </c>
      <c r="B2591">
        <f>'raw data Crude oil'!B2592</f>
        <v>0</v>
      </c>
      <c r="C2591">
        <f>'raw data Crude oil'!C2592</f>
        <v>0</v>
      </c>
      <c r="D2591">
        <f>'raw data Crude oil'!D2592</f>
        <v>0</v>
      </c>
      <c r="E2591">
        <f>'raw data Crude oil'!E2592</f>
        <v>0</v>
      </c>
      <c r="F2591">
        <f>'raw data Crude oil'!F2592</f>
        <v>0</v>
      </c>
      <c r="G2591">
        <f>'raw data Crude oil'!G2592</f>
        <v>0</v>
      </c>
      <c r="H2591">
        <f>'raw data Crude oil'!H2592</f>
        <v>0</v>
      </c>
      <c r="I2591">
        <f>'raw data Crude oil'!I2592</f>
        <v>0</v>
      </c>
      <c r="J2591">
        <f>'raw data Crude oil'!J2592</f>
        <v>0</v>
      </c>
      <c r="K2591">
        <f>'raw data Crude oil'!K2592</f>
        <v>0</v>
      </c>
      <c r="L2591">
        <f>'raw data Crude oil'!L2592</f>
        <v>0</v>
      </c>
      <c r="M2591">
        <f>'raw data Crude oil'!M2592</f>
        <v>0</v>
      </c>
      <c r="N2591">
        <f>'raw data Crude oil'!N2592</f>
        <v>0</v>
      </c>
      <c r="O2591">
        <f>'raw data Crude oil'!O2592</f>
        <v>0</v>
      </c>
      <c r="P2591">
        <f>'raw data Crude oil'!P2592</f>
        <v>0</v>
      </c>
      <c r="Q2591">
        <f>'raw data Crude oil'!Q2592</f>
        <v>0</v>
      </c>
      <c r="R2591">
        <f>'raw data Crude oil'!R2592</f>
        <v>0</v>
      </c>
      <c r="S2591">
        <f>'raw data Crude oil'!S2592</f>
        <v>0</v>
      </c>
      <c r="T2591">
        <f>'raw data Crude oil'!T2592</f>
        <v>0</v>
      </c>
      <c r="U2591">
        <f>'raw data Crude oil'!U2592</f>
        <v>0</v>
      </c>
      <c r="V2591">
        <f>'raw data Crude oil'!V2592</f>
        <v>0</v>
      </c>
      <c r="W2591">
        <f>'raw data Crude oil'!W2592</f>
        <v>0</v>
      </c>
      <c r="X2591">
        <f>'raw data Crude oil'!X2592</f>
        <v>0</v>
      </c>
      <c r="Y2591">
        <f>'raw data Crude oil'!Y2592</f>
        <v>0</v>
      </c>
      <c r="Z2591">
        <f>'raw data Crude oil'!Z2592</f>
        <v>0</v>
      </c>
      <c r="AA2591">
        <f>'raw data Crude oil'!AA2592</f>
        <v>0</v>
      </c>
      <c r="AB2591">
        <f>'raw data Crude oil'!AB2592</f>
        <v>0</v>
      </c>
      <c r="AC2591">
        <f>'raw data Crude oil'!AC2592</f>
        <v>0</v>
      </c>
      <c r="AD2591">
        <f>'raw data Crude oil'!AD2592</f>
        <v>0</v>
      </c>
      <c r="AE2591">
        <f>'raw data Crude oil'!AE2592</f>
        <v>0</v>
      </c>
      <c r="AF2591">
        <f>'raw data Crude oil'!AF2592</f>
        <v>0</v>
      </c>
      <c r="AG2591">
        <f>'raw data Crude oil'!AG2592</f>
        <v>0</v>
      </c>
      <c r="AH2591">
        <f>'raw data Crude oil'!AH2592</f>
        <v>0</v>
      </c>
      <c r="AI2591">
        <f>'raw data Crude oil'!AI2592</f>
        <v>0</v>
      </c>
      <c r="AJ2591">
        <f>'raw data Crude oil'!AJ2592</f>
        <v>0</v>
      </c>
      <c r="AK2591">
        <f>'raw data Crude oil'!AK2592</f>
        <v>0</v>
      </c>
    </row>
    <row r="2592" spans="1:37" x14ac:dyDescent="0.3">
      <c r="A2592" s="18">
        <f>'raw data Crude oil'!A2593</f>
        <v>0</v>
      </c>
      <c r="B2592">
        <f>'raw data Crude oil'!B2593</f>
        <v>0</v>
      </c>
      <c r="C2592">
        <f>'raw data Crude oil'!C2593</f>
        <v>0</v>
      </c>
      <c r="D2592">
        <f>'raw data Crude oil'!D2593</f>
        <v>0</v>
      </c>
      <c r="E2592">
        <f>'raw data Crude oil'!E2593</f>
        <v>0</v>
      </c>
      <c r="F2592">
        <f>'raw data Crude oil'!F2593</f>
        <v>0</v>
      </c>
      <c r="G2592">
        <f>'raw data Crude oil'!G2593</f>
        <v>0</v>
      </c>
      <c r="H2592">
        <f>'raw data Crude oil'!H2593</f>
        <v>0</v>
      </c>
      <c r="I2592">
        <f>'raw data Crude oil'!I2593</f>
        <v>0</v>
      </c>
      <c r="J2592">
        <f>'raw data Crude oil'!J2593</f>
        <v>0</v>
      </c>
      <c r="K2592">
        <f>'raw data Crude oil'!K2593</f>
        <v>0</v>
      </c>
      <c r="L2592">
        <f>'raw data Crude oil'!L2593</f>
        <v>0</v>
      </c>
      <c r="M2592">
        <f>'raw data Crude oil'!M2593</f>
        <v>0</v>
      </c>
      <c r="N2592">
        <f>'raw data Crude oil'!N2593</f>
        <v>0</v>
      </c>
      <c r="O2592">
        <f>'raw data Crude oil'!O2593</f>
        <v>0</v>
      </c>
      <c r="P2592">
        <f>'raw data Crude oil'!P2593</f>
        <v>0</v>
      </c>
      <c r="Q2592">
        <f>'raw data Crude oil'!Q2593</f>
        <v>0</v>
      </c>
      <c r="R2592">
        <f>'raw data Crude oil'!R2593</f>
        <v>0</v>
      </c>
      <c r="S2592">
        <f>'raw data Crude oil'!S2593</f>
        <v>0</v>
      </c>
      <c r="T2592">
        <f>'raw data Crude oil'!T2593</f>
        <v>0</v>
      </c>
      <c r="U2592">
        <f>'raw data Crude oil'!U2593</f>
        <v>0</v>
      </c>
      <c r="V2592">
        <f>'raw data Crude oil'!V2593</f>
        <v>0</v>
      </c>
      <c r="W2592">
        <f>'raw data Crude oil'!W2593</f>
        <v>0</v>
      </c>
      <c r="X2592">
        <f>'raw data Crude oil'!X2593</f>
        <v>0</v>
      </c>
      <c r="Y2592">
        <f>'raw data Crude oil'!Y2593</f>
        <v>0</v>
      </c>
      <c r="Z2592">
        <f>'raw data Crude oil'!Z2593</f>
        <v>0</v>
      </c>
      <c r="AA2592">
        <f>'raw data Crude oil'!AA2593</f>
        <v>0</v>
      </c>
      <c r="AB2592">
        <f>'raw data Crude oil'!AB2593</f>
        <v>0</v>
      </c>
      <c r="AC2592">
        <f>'raw data Crude oil'!AC2593</f>
        <v>0</v>
      </c>
      <c r="AD2592">
        <f>'raw data Crude oil'!AD2593</f>
        <v>0</v>
      </c>
      <c r="AE2592">
        <f>'raw data Crude oil'!AE2593</f>
        <v>0</v>
      </c>
      <c r="AF2592">
        <f>'raw data Crude oil'!AF2593</f>
        <v>0</v>
      </c>
      <c r="AG2592">
        <f>'raw data Crude oil'!AG2593</f>
        <v>0</v>
      </c>
      <c r="AH2592">
        <f>'raw data Crude oil'!AH2593</f>
        <v>0</v>
      </c>
      <c r="AI2592">
        <f>'raw data Crude oil'!AI2593</f>
        <v>0</v>
      </c>
      <c r="AJ2592">
        <f>'raw data Crude oil'!AJ2593</f>
        <v>0</v>
      </c>
      <c r="AK2592">
        <f>'raw data Crude oil'!AK2593</f>
        <v>0</v>
      </c>
    </row>
    <row r="2593" spans="1:37" x14ac:dyDescent="0.3">
      <c r="A2593" s="18">
        <f>'raw data Crude oil'!A2594</f>
        <v>0</v>
      </c>
      <c r="B2593">
        <f>'raw data Crude oil'!B2594</f>
        <v>0</v>
      </c>
      <c r="C2593">
        <f>'raw data Crude oil'!C2594</f>
        <v>0</v>
      </c>
      <c r="D2593">
        <f>'raw data Crude oil'!D2594</f>
        <v>0</v>
      </c>
      <c r="E2593">
        <f>'raw data Crude oil'!E2594</f>
        <v>0</v>
      </c>
      <c r="F2593">
        <f>'raw data Crude oil'!F2594</f>
        <v>0</v>
      </c>
      <c r="G2593">
        <f>'raw data Crude oil'!G2594</f>
        <v>0</v>
      </c>
      <c r="H2593">
        <f>'raw data Crude oil'!H2594</f>
        <v>0</v>
      </c>
      <c r="I2593">
        <f>'raw data Crude oil'!I2594</f>
        <v>0</v>
      </c>
      <c r="J2593">
        <f>'raw data Crude oil'!J2594</f>
        <v>0</v>
      </c>
      <c r="K2593">
        <f>'raw data Crude oil'!K2594</f>
        <v>0</v>
      </c>
      <c r="L2593">
        <f>'raw data Crude oil'!L2594</f>
        <v>0</v>
      </c>
      <c r="M2593">
        <f>'raw data Crude oil'!M2594</f>
        <v>0</v>
      </c>
      <c r="N2593">
        <f>'raw data Crude oil'!N2594</f>
        <v>0</v>
      </c>
      <c r="O2593">
        <f>'raw data Crude oil'!O2594</f>
        <v>0</v>
      </c>
      <c r="P2593">
        <f>'raw data Crude oil'!P2594</f>
        <v>0</v>
      </c>
      <c r="Q2593">
        <f>'raw data Crude oil'!Q2594</f>
        <v>0</v>
      </c>
      <c r="R2593">
        <f>'raw data Crude oil'!R2594</f>
        <v>0</v>
      </c>
      <c r="S2593">
        <f>'raw data Crude oil'!S2594</f>
        <v>0</v>
      </c>
      <c r="T2593">
        <f>'raw data Crude oil'!T2594</f>
        <v>0</v>
      </c>
      <c r="U2593">
        <f>'raw data Crude oil'!U2594</f>
        <v>0</v>
      </c>
      <c r="V2593">
        <f>'raw data Crude oil'!V2594</f>
        <v>0</v>
      </c>
      <c r="W2593">
        <f>'raw data Crude oil'!W2594</f>
        <v>0</v>
      </c>
      <c r="X2593">
        <f>'raw data Crude oil'!X2594</f>
        <v>0</v>
      </c>
      <c r="Y2593">
        <f>'raw data Crude oil'!Y2594</f>
        <v>0</v>
      </c>
      <c r="Z2593">
        <f>'raw data Crude oil'!Z2594</f>
        <v>0</v>
      </c>
      <c r="AA2593">
        <f>'raw data Crude oil'!AA2594</f>
        <v>0</v>
      </c>
      <c r="AB2593">
        <f>'raw data Crude oil'!AB2594</f>
        <v>0</v>
      </c>
      <c r="AC2593">
        <f>'raw data Crude oil'!AC2594</f>
        <v>0</v>
      </c>
      <c r="AD2593">
        <f>'raw data Crude oil'!AD2594</f>
        <v>0</v>
      </c>
      <c r="AE2593">
        <f>'raw data Crude oil'!AE2594</f>
        <v>0</v>
      </c>
      <c r="AF2593">
        <f>'raw data Crude oil'!AF2594</f>
        <v>0</v>
      </c>
      <c r="AG2593">
        <f>'raw data Crude oil'!AG2594</f>
        <v>0</v>
      </c>
      <c r="AH2593">
        <f>'raw data Crude oil'!AH2594</f>
        <v>0</v>
      </c>
      <c r="AI2593">
        <f>'raw data Crude oil'!AI2594</f>
        <v>0</v>
      </c>
      <c r="AJ2593">
        <f>'raw data Crude oil'!AJ2594</f>
        <v>0</v>
      </c>
      <c r="AK2593">
        <f>'raw data Crude oil'!AK2594</f>
        <v>0</v>
      </c>
    </row>
    <row r="2594" spans="1:37" x14ac:dyDescent="0.3">
      <c r="A2594" s="18">
        <f>'raw data Crude oil'!A2595</f>
        <v>0</v>
      </c>
      <c r="B2594">
        <f>'raw data Crude oil'!B2595</f>
        <v>0</v>
      </c>
      <c r="C2594">
        <f>'raw data Crude oil'!C2595</f>
        <v>0</v>
      </c>
      <c r="D2594">
        <f>'raw data Crude oil'!D2595</f>
        <v>0</v>
      </c>
      <c r="E2594">
        <f>'raw data Crude oil'!E2595</f>
        <v>0</v>
      </c>
      <c r="F2594">
        <f>'raw data Crude oil'!F2595</f>
        <v>0</v>
      </c>
      <c r="G2594">
        <f>'raw data Crude oil'!G2595</f>
        <v>0</v>
      </c>
      <c r="H2594">
        <f>'raw data Crude oil'!H2595</f>
        <v>0</v>
      </c>
      <c r="I2594">
        <f>'raw data Crude oil'!I2595</f>
        <v>0</v>
      </c>
      <c r="J2594">
        <f>'raw data Crude oil'!J2595</f>
        <v>0</v>
      </c>
      <c r="K2594">
        <f>'raw data Crude oil'!K2595</f>
        <v>0</v>
      </c>
      <c r="L2594">
        <f>'raw data Crude oil'!L2595</f>
        <v>0</v>
      </c>
      <c r="M2594">
        <f>'raw data Crude oil'!M2595</f>
        <v>0</v>
      </c>
      <c r="N2594">
        <f>'raw data Crude oil'!N2595</f>
        <v>0</v>
      </c>
      <c r="O2594">
        <f>'raw data Crude oil'!O2595</f>
        <v>0</v>
      </c>
      <c r="P2594">
        <f>'raw data Crude oil'!P2595</f>
        <v>0</v>
      </c>
      <c r="Q2594">
        <f>'raw data Crude oil'!Q2595</f>
        <v>0</v>
      </c>
      <c r="R2594">
        <f>'raw data Crude oil'!R2595</f>
        <v>0</v>
      </c>
      <c r="S2594">
        <f>'raw data Crude oil'!S2595</f>
        <v>0</v>
      </c>
      <c r="T2594">
        <f>'raw data Crude oil'!T2595</f>
        <v>0</v>
      </c>
      <c r="U2594">
        <f>'raw data Crude oil'!U2595</f>
        <v>0</v>
      </c>
      <c r="V2594">
        <f>'raw data Crude oil'!V2595</f>
        <v>0</v>
      </c>
      <c r="W2594">
        <f>'raw data Crude oil'!W2595</f>
        <v>0</v>
      </c>
      <c r="X2594">
        <f>'raw data Crude oil'!X2595</f>
        <v>0</v>
      </c>
      <c r="Y2594">
        <f>'raw data Crude oil'!Y2595</f>
        <v>0</v>
      </c>
      <c r="Z2594">
        <f>'raw data Crude oil'!Z2595</f>
        <v>0</v>
      </c>
      <c r="AA2594">
        <f>'raw data Crude oil'!AA2595</f>
        <v>0</v>
      </c>
      <c r="AB2594">
        <f>'raw data Crude oil'!AB2595</f>
        <v>0</v>
      </c>
      <c r="AC2594">
        <f>'raw data Crude oil'!AC2595</f>
        <v>0</v>
      </c>
      <c r="AD2594">
        <f>'raw data Crude oil'!AD2595</f>
        <v>0</v>
      </c>
      <c r="AE2594">
        <f>'raw data Crude oil'!AE2595</f>
        <v>0</v>
      </c>
      <c r="AF2594">
        <f>'raw data Crude oil'!AF2595</f>
        <v>0</v>
      </c>
      <c r="AG2594">
        <f>'raw data Crude oil'!AG2595</f>
        <v>0</v>
      </c>
      <c r="AH2594">
        <f>'raw data Crude oil'!AH2595</f>
        <v>0</v>
      </c>
      <c r="AI2594">
        <f>'raw data Crude oil'!AI2595</f>
        <v>0</v>
      </c>
      <c r="AJ2594">
        <f>'raw data Crude oil'!AJ2595</f>
        <v>0</v>
      </c>
      <c r="AK2594">
        <f>'raw data Crude oil'!AK2595</f>
        <v>0</v>
      </c>
    </row>
    <row r="2595" spans="1:37" x14ac:dyDescent="0.3">
      <c r="A2595" s="18">
        <f>'raw data Crude oil'!A2596</f>
        <v>0</v>
      </c>
      <c r="B2595">
        <f>'raw data Crude oil'!B2596</f>
        <v>0</v>
      </c>
      <c r="C2595">
        <f>'raw data Crude oil'!C2596</f>
        <v>0</v>
      </c>
      <c r="D2595">
        <f>'raw data Crude oil'!D2596</f>
        <v>0</v>
      </c>
      <c r="E2595">
        <f>'raw data Crude oil'!E2596</f>
        <v>0</v>
      </c>
      <c r="F2595">
        <f>'raw data Crude oil'!F2596</f>
        <v>0</v>
      </c>
      <c r="G2595">
        <f>'raw data Crude oil'!G2596</f>
        <v>0</v>
      </c>
      <c r="H2595">
        <f>'raw data Crude oil'!H2596</f>
        <v>0</v>
      </c>
      <c r="I2595">
        <f>'raw data Crude oil'!I2596</f>
        <v>0</v>
      </c>
      <c r="J2595">
        <f>'raw data Crude oil'!J2596</f>
        <v>0</v>
      </c>
      <c r="K2595">
        <f>'raw data Crude oil'!K2596</f>
        <v>0</v>
      </c>
      <c r="L2595">
        <f>'raw data Crude oil'!L2596</f>
        <v>0</v>
      </c>
      <c r="M2595">
        <f>'raw data Crude oil'!M2596</f>
        <v>0</v>
      </c>
      <c r="N2595">
        <f>'raw data Crude oil'!N2596</f>
        <v>0</v>
      </c>
      <c r="O2595">
        <f>'raw data Crude oil'!O2596</f>
        <v>0</v>
      </c>
      <c r="P2595">
        <f>'raw data Crude oil'!P2596</f>
        <v>0</v>
      </c>
      <c r="Q2595">
        <f>'raw data Crude oil'!Q2596</f>
        <v>0</v>
      </c>
      <c r="R2595">
        <f>'raw data Crude oil'!R2596</f>
        <v>0</v>
      </c>
      <c r="S2595">
        <f>'raw data Crude oil'!S2596</f>
        <v>0</v>
      </c>
      <c r="T2595">
        <f>'raw data Crude oil'!T2596</f>
        <v>0</v>
      </c>
      <c r="U2595">
        <f>'raw data Crude oil'!U2596</f>
        <v>0</v>
      </c>
      <c r="V2595">
        <f>'raw data Crude oil'!V2596</f>
        <v>0</v>
      </c>
      <c r="W2595">
        <f>'raw data Crude oil'!W2596</f>
        <v>0</v>
      </c>
      <c r="X2595">
        <f>'raw data Crude oil'!X2596</f>
        <v>0</v>
      </c>
      <c r="Y2595">
        <f>'raw data Crude oil'!Y2596</f>
        <v>0</v>
      </c>
      <c r="Z2595">
        <f>'raw data Crude oil'!Z2596</f>
        <v>0</v>
      </c>
      <c r="AA2595">
        <f>'raw data Crude oil'!AA2596</f>
        <v>0</v>
      </c>
      <c r="AB2595">
        <f>'raw data Crude oil'!AB2596</f>
        <v>0</v>
      </c>
      <c r="AC2595">
        <f>'raw data Crude oil'!AC2596</f>
        <v>0</v>
      </c>
      <c r="AD2595">
        <f>'raw data Crude oil'!AD2596</f>
        <v>0</v>
      </c>
      <c r="AE2595">
        <f>'raw data Crude oil'!AE2596</f>
        <v>0</v>
      </c>
      <c r="AF2595">
        <f>'raw data Crude oil'!AF2596</f>
        <v>0</v>
      </c>
      <c r="AG2595">
        <f>'raw data Crude oil'!AG2596</f>
        <v>0</v>
      </c>
      <c r="AH2595">
        <f>'raw data Crude oil'!AH2596</f>
        <v>0</v>
      </c>
      <c r="AI2595">
        <f>'raw data Crude oil'!AI2596</f>
        <v>0</v>
      </c>
      <c r="AJ2595">
        <f>'raw data Crude oil'!AJ2596</f>
        <v>0</v>
      </c>
      <c r="AK2595">
        <f>'raw data Crude oil'!AK2596</f>
        <v>0</v>
      </c>
    </row>
    <row r="2596" spans="1:37" x14ac:dyDescent="0.3">
      <c r="A2596" s="18">
        <f>'raw data Crude oil'!A2597</f>
        <v>0</v>
      </c>
      <c r="B2596">
        <f>'raw data Crude oil'!B2597</f>
        <v>0</v>
      </c>
      <c r="C2596">
        <f>'raw data Crude oil'!C2597</f>
        <v>0</v>
      </c>
      <c r="D2596">
        <f>'raw data Crude oil'!D2597</f>
        <v>0</v>
      </c>
      <c r="E2596">
        <f>'raw data Crude oil'!E2597</f>
        <v>0</v>
      </c>
      <c r="F2596">
        <f>'raw data Crude oil'!F2597</f>
        <v>0</v>
      </c>
      <c r="G2596">
        <f>'raw data Crude oil'!G2597</f>
        <v>0</v>
      </c>
      <c r="H2596">
        <f>'raw data Crude oil'!H2597</f>
        <v>0</v>
      </c>
      <c r="I2596">
        <f>'raw data Crude oil'!I2597</f>
        <v>0</v>
      </c>
      <c r="J2596">
        <f>'raw data Crude oil'!J2597</f>
        <v>0</v>
      </c>
      <c r="K2596">
        <f>'raw data Crude oil'!K2597</f>
        <v>0</v>
      </c>
      <c r="L2596">
        <f>'raw data Crude oil'!L2597</f>
        <v>0</v>
      </c>
      <c r="M2596">
        <f>'raw data Crude oil'!M2597</f>
        <v>0</v>
      </c>
      <c r="N2596">
        <f>'raw data Crude oil'!N2597</f>
        <v>0</v>
      </c>
      <c r="O2596">
        <f>'raw data Crude oil'!O2597</f>
        <v>0</v>
      </c>
      <c r="P2596">
        <f>'raw data Crude oil'!P2597</f>
        <v>0</v>
      </c>
      <c r="Q2596">
        <f>'raw data Crude oil'!Q2597</f>
        <v>0</v>
      </c>
      <c r="R2596">
        <f>'raw data Crude oil'!R2597</f>
        <v>0</v>
      </c>
      <c r="S2596">
        <f>'raw data Crude oil'!S2597</f>
        <v>0</v>
      </c>
      <c r="T2596">
        <f>'raw data Crude oil'!T2597</f>
        <v>0</v>
      </c>
      <c r="U2596">
        <f>'raw data Crude oil'!U2597</f>
        <v>0</v>
      </c>
      <c r="V2596">
        <f>'raw data Crude oil'!V2597</f>
        <v>0</v>
      </c>
      <c r="W2596">
        <f>'raw data Crude oil'!W2597</f>
        <v>0</v>
      </c>
      <c r="X2596">
        <f>'raw data Crude oil'!X2597</f>
        <v>0</v>
      </c>
      <c r="Y2596">
        <f>'raw data Crude oil'!Y2597</f>
        <v>0</v>
      </c>
      <c r="Z2596">
        <f>'raw data Crude oil'!Z2597</f>
        <v>0</v>
      </c>
      <c r="AA2596">
        <f>'raw data Crude oil'!AA2597</f>
        <v>0</v>
      </c>
      <c r="AB2596">
        <f>'raw data Crude oil'!AB2597</f>
        <v>0</v>
      </c>
      <c r="AC2596">
        <f>'raw data Crude oil'!AC2597</f>
        <v>0</v>
      </c>
      <c r="AD2596">
        <f>'raw data Crude oil'!AD2597</f>
        <v>0</v>
      </c>
      <c r="AE2596">
        <f>'raw data Crude oil'!AE2597</f>
        <v>0</v>
      </c>
      <c r="AF2596">
        <f>'raw data Crude oil'!AF2597</f>
        <v>0</v>
      </c>
      <c r="AG2596">
        <f>'raw data Crude oil'!AG2597</f>
        <v>0</v>
      </c>
      <c r="AH2596">
        <f>'raw data Crude oil'!AH2597</f>
        <v>0</v>
      </c>
      <c r="AI2596">
        <f>'raw data Crude oil'!AI2597</f>
        <v>0</v>
      </c>
      <c r="AJ2596">
        <f>'raw data Crude oil'!AJ2597</f>
        <v>0</v>
      </c>
      <c r="AK2596">
        <f>'raw data Crude oil'!AK2597</f>
        <v>0</v>
      </c>
    </row>
    <row r="2597" spans="1:37" x14ac:dyDescent="0.3">
      <c r="A2597" s="18">
        <f>'raw data Crude oil'!A2598</f>
        <v>0</v>
      </c>
      <c r="B2597">
        <f>'raw data Crude oil'!B2598</f>
        <v>0</v>
      </c>
      <c r="C2597">
        <f>'raw data Crude oil'!C2598</f>
        <v>0</v>
      </c>
      <c r="D2597">
        <f>'raw data Crude oil'!D2598</f>
        <v>0</v>
      </c>
      <c r="E2597">
        <f>'raw data Crude oil'!E2598</f>
        <v>0</v>
      </c>
      <c r="F2597">
        <f>'raw data Crude oil'!F2598</f>
        <v>0</v>
      </c>
      <c r="G2597">
        <f>'raw data Crude oil'!G2598</f>
        <v>0</v>
      </c>
      <c r="H2597">
        <f>'raw data Crude oil'!H2598</f>
        <v>0</v>
      </c>
      <c r="I2597">
        <f>'raw data Crude oil'!I2598</f>
        <v>0</v>
      </c>
      <c r="J2597">
        <f>'raw data Crude oil'!J2598</f>
        <v>0</v>
      </c>
      <c r="K2597">
        <f>'raw data Crude oil'!K2598</f>
        <v>0</v>
      </c>
      <c r="L2597">
        <f>'raw data Crude oil'!L2598</f>
        <v>0</v>
      </c>
      <c r="M2597">
        <f>'raw data Crude oil'!M2598</f>
        <v>0</v>
      </c>
      <c r="N2597">
        <f>'raw data Crude oil'!N2598</f>
        <v>0</v>
      </c>
      <c r="O2597">
        <f>'raw data Crude oil'!O2598</f>
        <v>0</v>
      </c>
      <c r="P2597">
        <f>'raw data Crude oil'!P2598</f>
        <v>0</v>
      </c>
      <c r="Q2597">
        <f>'raw data Crude oil'!Q2598</f>
        <v>0</v>
      </c>
      <c r="R2597">
        <f>'raw data Crude oil'!R2598</f>
        <v>0</v>
      </c>
      <c r="S2597">
        <f>'raw data Crude oil'!S2598</f>
        <v>0</v>
      </c>
      <c r="T2597">
        <f>'raw data Crude oil'!T2598</f>
        <v>0</v>
      </c>
      <c r="U2597">
        <f>'raw data Crude oil'!U2598</f>
        <v>0</v>
      </c>
      <c r="V2597">
        <f>'raw data Crude oil'!V2598</f>
        <v>0</v>
      </c>
      <c r="W2597">
        <f>'raw data Crude oil'!W2598</f>
        <v>0</v>
      </c>
      <c r="X2597">
        <f>'raw data Crude oil'!X2598</f>
        <v>0</v>
      </c>
      <c r="Y2597">
        <f>'raw data Crude oil'!Y2598</f>
        <v>0</v>
      </c>
      <c r="Z2597">
        <f>'raw data Crude oil'!Z2598</f>
        <v>0</v>
      </c>
      <c r="AA2597">
        <f>'raw data Crude oil'!AA2598</f>
        <v>0</v>
      </c>
      <c r="AB2597">
        <f>'raw data Crude oil'!AB2598</f>
        <v>0</v>
      </c>
      <c r="AC2597">
        <f>'raw data Crude oil'!AC2598</f>
        <v>0</v>
      </c>
      <c r="AD2597">
        <f>'raw data Crude oil'!AD2598</f>
        <v>0</v>
      </c>
      <c r="AE2597">
        <f>'raw data Crude oil'!AE2598</f>
        <v>0</v>
      </c>
      <c r="AF2597">
        <f>'raw data Crude oil'!AF2598</f>
        <v>0</v>
      </c>
      <c r="AG2597">
        <f>'raw data Crude oil'!AG2598</f>
        <v>0</v>
      </c>
      <c r="AH2597">
        <f>'raw data Crude oil'!AH2598</f>
        <v>0</v>
      </c>
      <c r="AI2597">
        <f>'raw data Crude oil'!AI2598</f>
        <v>0</v>
      </c>
      <c r="AJ2597">
        <f>'raw data Crude oil'!AJ2598</f>
        <v>0</v>
      </c>
      <c r="AK2597">
        <f>'raw data Crude oil'!AK2598</f>
        <v>0</v>
      </c>
    </row>
    <row r="2598" spans="1:37" x14ac:dyDescent="0.3">
      <c r="A2598" s="18">
        <f>'raw data Crude oil'!A2599</f>
        <v>0</v>
      </c>
      <c r="B2598">
        <f>'raw data Crude oil'!B2599</f>
        <v>0</v>
      </c>
      <c r="C2598">
        <f>'raw data Crude oil'!C2599</f>
        <v>0</v>
      </c>
      <c r="D2598">
        <f>'raw data Crude oil'!D2599</f>
        <v>0</v>
      </c>
      <c r="E2598">
        <f>'raw data Crude oil'!E2599</f>
        <v>0</v>
      </c>
      <c r="F2598">
        <f>'raw data Crude oil'!F2599</f>
        <v>0</v>
      </c>
      <c r="G2598">
        <f>'raw data Crude oil'!G2599</f>
        <v>0</v>
      </c>
      <c r="H2598">
        <f>'raw data Crude oil'!H2599</f>
        <v>0</v>
      </c>
      <c r="I2598">
        <f>'raw data Crude oil'!I2599</f>
        <v>0</v>
      </c>
      <c r="J2598">
        <f>'raw data Crude oil'!J2599</f>
        <v>0</v>
      </c>
      <c r="K2598">
        <f>'raw data Crude oil'!K2599</f>
        <v>0</v>
      </c>
      <c r="L2598">
        <f>'raw data Crude oil'!L2599</f>
        <v>0</v>
      </c>
      <c r="M2598">
        <f>'raw data Crude oil'!M2599</f>
        <v>0</v>
      </c>
      <c r="N2598">
        <f>'raw data Crude oil'!N2599</f>
        <v>0</v>
      </c>
      <c r="O2598">
        <f>'raw data Crude oil'!O2599</f>
        <v>0</v>
      </c>
      <c r="P2598">
        <f>'raw data Crude oil'!P2599</f>
        <v>0</v>
      </c>
      <c r="Q2598">
        <f>'raw data Crude oil'!Q2599</f>
        <v>0</v>
      </c>
      <c r="R2598">
        <f>'raw data Crude oil'!R2599</f>
        <v>0</v>
      </c>
      <c r="S2598">
        <f>'raw data Crude oil'!S2599</f>
        <v>0</v>
      </c>
      <c r="T2598">
        <f>'raw data Crude oil'!T2599</f>
        <v>0</v>
      </c>
      <c r="U2598">
        <f>'raw data Crude oil'!U2599</f>
        <v>0</v>
      </c>
      <c r="V2598">
        <f>'raw data Crude oil'!V2599</f>
        <v>0</v>
      </c>
      <c r="W2598">
        <f>'raw data Crude oil'!W2599</f>
        <v>0</v>
      </c>
      <c r="X2598">
        <f>'raw data Crude oil'!X2599</f>
        <v>0</v>
      </c>
      <c r="Y2598">
        <f>'raw data Crude oil'!Y2599</f>
        <v>0</v>
      </c>
      <c r="Z2598">
        <f>'raw data Crude oil'!Z2599</f>
        <v>0</v>
      </c>
      <c r="AA2598">
        <f>'raw data Crude oil'!AA2599</f>
        <v>0</v>
      </c>
      <c r="AB2598">
        <f>'raw data Crude oil'!AB2599</f>
        <v>0</v>
      </c>
      <c r="AC2598">
        <f>'raw data Crude oil'!AC2599</f>
        <v>0</v>
      </c>
      <c r="AD2598">
        <f>'raw data Crude oil'!AD2599</f>
        <v>0</v>
      </c>
      <c r="AE2598">
        <f>'raw data Crude oil'!AE2599</f>
        <v>0</v>
      </c>
      <c r="AF2598">
        <f>'raw data Crude oil'!AF2599</f>
        <v>0</v>
      </c>
      <c r="AG2598">
        <f>'raw data Crude oil'!AG2599</f>
        <v>0</v>
      </c>
      <c r="AH2598">
        <f>'raw data Crude oil'!AH2599</f>
        <v>0</v>
      </c>
      <c r="AI2598">
        <f>'raw data Crude oil'!AI2599</f>
        <v>0</v>
      </c>
      <c r="AJ2598">
        <f>'raw data Crude oil'!AJ2599</f>
        <v>0</v>
      </c>
      <c r="AK2598">
        <f>'raw data Crude oil'!AK2599</f>
        <v>0</v>
      </c>
    </row>
    <row r="2599" spans="1:37" x14ac:dyDescent="0.3">
      <c r="A2599" s="18">
        <f>'raw data Crude oil'!A2600</f>
        <v>0</v>
      </c>
      <c r="B2599">
        <f>'raw data Crude oil'!B2600</f>
        <v>0</v>
      </c>
      <c r="C2599">
        <f>'raw data Crude oil'!C2600</f>
        <v>0</v>
      </c>
      <c r="D2599">
        <f>'raw data Crude oil'!D2600</f>
        <v>0</v>
      </c>
      <c r="E2599">
        <f>'raw data Crude oil'!E2600</f>
        <v>0</v>
      </c>
      <c r="F2599">
        <f>'raw data Crude oil'!F2600</f>
        <v>0</v>
      </c>
      <c r="G2599">
        <f>'raw data Crude oil'!G2600</f>
        <v>0</v>
      </c>
      <c r="H2599">
        <f>'raw data Crude oil'!H2600</f>
        <v>0</v>
      </c>
      <c r="I2599">
        <f>'raw data Crude oil'!I2600</f>
        <v>0</v>
      </c>
      <c r="J2599">
        <f>'raw data Crude oil'!J2600</f>
        <v>0</v>
      </c>
      <c r="K2599">
        <f>'raw data Crude oil'!K2600</f>
        <v>0</v>
      </c>
      <c r="L2599">
        <f>'raw data Crude oil'!L2600</f>
        <v>0</v>
      </c>
      <c r="M2599">
        <f>'raw data Crude oil'!M2600</f>
        <v>0</v>
      </c>
      <c r="N2599">
        <f>'raw data Crude oil'!N2600</f>
        <v>0</v>
      </c>
      <c r="O2599">
        <f>'raw data Crude oil'!O2600</f>
        <v>0</v>
      </c>
      <c r="P2599">
        <f>'raw data Crude oil'!P2600</f>
        <v>0</v>
      </c>
      <c r="Q2599">
        <f>'raw data Crude oil'!Q2600</f>
        <v>0</v>
      </c>
      <c r="R2599">
        <f>'raw data Crude oil'!R2600</f>
        <v>0</v>
      </c>
      <c r="S2599">
        <f>'raw data Crude oil'!S2600</f>
        <v>0</v>
      </c>
      <c r="T2599">
        <f>'raw data Crude oil'!T2600</f>
        <v>0</v>
      </c>
      <c r="U2599">
        <f>'raw data Crude oil'!U2600</f>
        <v>0</v>
      </c>
      <c r="V2599">
        <f>'raw data Crude oil'!V2600</f>
        <v>0</v>
      </c>
      <c r="W2599">
        <f>'raw data Crude oil'!W2600</f>
        <v>0</v>
      </c>
      <c r="X2599">
        <f>'raw data Crude oil'!X2600</f>
        <v>0</v>
      </c>
      <c r="Y2599">
        <f>'raw data Crude oil'!Y2600</f>
        <v>0</v>
      </c>
      <c r="Z2599">
        <f>'raw data Crude oil'!Z2600</f>
        <v>0</v>
      </c>
      <c r="AA2599">
        <f>'raw data Crude oil'!AA2600</f>
        <v>0</v>
      </c>
      <c r="AB2599">
        <f>'raw data Crude oil'!AB2600</f>
        <v>0</v>
      </c>
      <c r="AC2599">
        <f>'raw data Crude oil'!AC2600</f>
        <v>0</v>
      </c>
      <c r="AD2599">
        <f>'raw data Crude oil'!AD2600</f>
        <v>0</v>
      </c>
      <c r="AE2599">
        <f>'raw data Crude oil'!AE2600</f>
        <v>0</v>
      </c>
      <c r="AF2599">
        <f>'raw data Crude oil'!AF2600</f>
        <v>0</v>
      </c>
      <c r="AG2599">
        <f>'raw data Crude oil'!AG2600</f>
        <v>0</v>
      </c>
      <c r="AH2599">
        <f>'raw data Crude oil'!AH2600</f>
        <v>0</v>
      </c>
      <c r="AI2599">
        <f>'raw data Crude oil'!AI2600</f>
        <v>0</v>
      </c>
      <c r="AJ2599">
        <f>'raw data Crude oil'!AJ2600</f>
        <v>0</v>
      </c>
      <c r="AK2599">
        <f>'raw data Crude oil'!AK2600</f>
        <v>0</v>
      </c>
    </row>
    <row r="2600" spans="1:37" x14ac:dyDescent="0.3">
      <c r="A2600" s="18">
        <f>'raw data Crude oil'!A2601</f>
        <v>0</v>
      </c>
      <c r="B2600">
        <f>'raw data Crude oil'!B2601</f>
        <v>0</v>
      </c>
      <c r="C2600">
        <f>'raw data Crude oil'!C2601</f>
        <v>0</v>
      </c>
      <c r="D2600">
        <f>'raw data Crude oil'!D2601</f>
        <v>0</v>
      </c>
      <c r="E2600">
        <f>'raw data Crude oil'!E2601</f>
        <v>0</v>
      </c>
      <c r="F2600">
        <f>'raw data Crude oil'!F2601</f>
        <v>0</v>
      </c>
      <c r="G2600">
        <f>'raw data Crude oil'!G2601</f>
        <v>0</v>
      </c>
      <c r="H2600">
        <f>'raw data Crude oil'!H2601</f>
        <v>0</v>
      </c>
      <c r="I2600">
        <f>'raw data Crude oil'!I2601</f>
        <v>0</v>
      </c>
      <c r="J2600">
        <f>'raw data Crude oil'!J2601</f>
        <v>0</v>
      </c>
      <c r="K2600">
        <f>'raw data Crude oil'!K2601</f>
        <v>0</v>
      </c>
      <c r="L2600">
        <f>'raw data Crude oil'!L2601</f>
        <v>0</v>
      </c>
      <c r="M2600">
        <f>'raw data Crude oil'!M2601</f>
        <v>0</v>
      </c>
      <c r="N2600">
        <f>'raw data Crude oil'!N2601</f>
        <v>0</v>
      </c>
      <c r="O2600">
        <f>'raw data Crude oil'!O2601</f>
        <v>0</v>
      </c>
      <c r="P2600">
        <f>'raw data Crude oil'!P2601</f>
        <v>0</v>
      </c>
      <c r="Q2600">
        <f>'raw data Crude oil'!Q2601</f>
        <v>0</v>
      </c>
      <c r="R2600">
        <f>'raw data Crude oil'!R2601</f>
        <v>0</v>
      </c>
      <c r="S2600">
        <f>'raw data Crude oil'!S2601</f>
        <v>0</v>
      </c>
      <c r="T2600">
        <f>'raw data Crude oil'!T2601</f>
        <v>0</v>
      </c>
      <c r="U2600">
        <f>'raw data Crude oil'!U2601</f>
        <v>0</v>
      </c>
      <c r="V2600">
        <f>'raw data Crude oil'!V2601</f>
        <v>0</v>
      </c>
      <c r="W2600">
        <f>'raw data Crude oil'!W2601</f>
        <v>0</v>
      </c>
      <c r="X2600">
        <f>'raw data Crude oil'!X2601</f>
        <v>0</v>
      </c>
      <c r="Y2600">
        <f>'raw data Crude oil'!Y2601</f>
        <v>0</v>
      </c>
      <c r="Z2600">
        <f>'raw data Crude oil'!Z2601</f>
        <v>0</v>
      </c>
      <c r="AA2600">
        <f>'raw data Crude oil'!AA2601</f>
        <v>0</v>
      </c>
      <c r="AB2600">
        <f>'raw data Crude oil'!AB2601</f>
        <v>0</v>
      </c>
      <c r="AC2600">
        <f>'raw data Crude oil'!AC2601</f>
        <v>0</v>
      </c>
      <c r="AD2600">
        <f>'raw data Crude oil'!AD2601</f>
        <v>0</v>
      </c>
      <c r="AE2600">
        <f>'raw data Crude oil'!AE2601</f>
        <v>0</v>
      </c>
      <c r="AF2600">
        <f>'raw data Crude oil'!AF2601</f>
        <v>0</v>
      </c>
      <c r="AG2600">
        <f>'raw data Crude oil'!AG2601</f>
        <v>0</v>
      </c>
      <c r="AH2600">
        <f>'raw data Crude oil'!AH2601</f>
        <v>0</v>
      </c>
      <c r="AI2600">
        <f>'raw data Crude oil'!AI2601</f>
        <v>0</v>
      </c>
      <c r="AJ2600">
        <f>'raw data Crude oil'!AJ2601</f>
        <v>0</v>
      </c>
      <c r="AK2600">
        <f>'raw data Crude oil'!AK2601</f>
        <v>0</v>
      </c>
    </row>
    <row r="2601" spans="1:37" x14ac:dyDescent="0.3">
      <c r="A2601" s="18">
        <f>'raw data Crude oil'!A2602</f>
        <v>0</v>
      </c>
      <c r="B2601">
        <f>'raw data Crude oil'!B2602</f>
        <v>0</v>
      </c>
      <c r="C2601">
        <f>'raw data Crude oil'!C2602</f>
        <v>0</v>
      </c>
      <c r="D2601">
        <f>'raw data Crude oil'!D2602</f>
        <v>0</v>
      </c>
      <c r="E2601">
        <f>'raw data Crude oil'!E2602</f>
        <v>0</v>
      </c>
      <c r="F2601">
        <f>'raw data Crude oil'!F2602</f>
        <v>0</v>
      </c>
      <c r="G2601">
        <f>'raw data Crude oil'!G2602</f>
        <v>0</v>
      </c>
      <c r="H2601">
        <f>'raw data Crude oil'!H2602</f>
        <v>0</v>
      </c>
      <c r="I2601">
        <f>'raw data Crude oil'!I2602</f>
        <v>0</v>
      </c>
      <c r="J2601">
        <f>'raw data Crude oil'!J2602</f>
        <v>0</v>
      </c>
      <c r="K2601">
        <f>'raw data Crude oil'!K2602</f>
        <v>0</v>
      </c>
      <c r="L2601">
        <f>'raw data Crude oil'!L2602</f>
        <v>0</v>
      </c>
      <c r="M2601">
        <f>'raw data Crude oil'!M2602</f>
        <v>0</v>
      </c>
      <c r="N2601">
        <f>'raw data Crude oil'!N2602</f>
        <v>0</v>
      </c>
      <c r="O2601">
        <f>'raw data Crude oil'!O2602</f>
        <v>0</v>
      </c>
      <c r="P2601">
        <f>'raw data Crude oil'!P2602</f>
        <v>0</v>
      </c>
      <c r="Q2601">
        <f>'raw data Crude oil'!Q2602</f>
        <v>0</v>
      </c>
      <c r="R2601">
        <f>'raw data Crude oil'!R2602</f>
        <v>0</v>
      </c>
      <c r="S2601">
        <f>'raw data Crude oil'!S2602</f>
        <v>0</v>
      </c>
      <c r="T2601">
        <f>'raw data Crude oil'!T2602</f>
        <v>0</v>
      </c>
      <c r="U2601">
        <f>'raw data Crude oil'!U2602</f>
        <v>0</v>
      </c>
      <c r="V2601">
        <f>'raw data Crude oil'!V2602</f>
        <v>0</v>
      </c>
      <c r="W2601">
        <f>'raw data Crude oil'!W2602</f>
        <v>0</v>
      </c>
      <c r="X2601">
        <f>'raw data Crude oil'!X2602</f>
        <v>0</v>
      </c>
      <c r="Y2601">
        <f>'raw data Crude oil'!Y2602</f>
        <v>0</v>
      </c>
      <c r="Z2601">
        <f>'raw data Crude oil'!Z2602</f>
        <v>0</v>
      </c>
      <c r="AA2601">
        <f>'raw data Crude oil'!AA2602</f>
        <v>0</v>
      </c>
      <c r="AB2601">
        <f>'raw data Crude oil'!AB2602</f>
        <v>0</v>
      </c>
      <c r="AC2601">
        <f>'raw data Crude oil'!AC2602</f>
        <v>0</v>
      </c>
      <c r="AD2601">
        <f>'raw data Crude oil'!AD2602</f>
        <v>0</v>
      </c>
      <c r="AE2601">
        <f>'raw data Crude oil'!AE2602</f>
        <v>0</v>
      </c>
      <c r="AF2601">
        <f>'raw data Crude oil'!AF2602</f>
        <v>0</v>
      </c>
      <c r="AG2601">
        <f>'raw data Crude oil'!AG2602</f>
        <v>0</v>
      </c>
      <c r="AH2601">
        <f>'raw data Crude oil'!AH2602</f>
        <v>0</v>
      </c>
      <c r="AI2601">
        <f>'raw data Crude oil'!AI2602</f>
        <v>0</v>
      </c>
      <c r="AJ2601">
        <f>'raw data Crude oil'!AJ2602</f>
        <v>0</v>
      </c>
      <c r="AK2601">
        <f>'raw data Crude oil'!AK2602</f>
        <v>0</v>
      </c>
    </row>
    <row r="2602" spans="1:37" x14ac:dyDescent="0.3">
      <c r="A2602" s="18">
        <f>'raw data Crude oil'!A2603</f>
        <v>0</v>
      </c>
      <c r="B2602">
        <f>'raw data Crude oil'!B2603</f>
        <v>0</v>
      </c>
      <c r="C2602">
        <f>'raw data Crude oil'!C2603</f>
        <v>0</v>
      </c>
      <c r="D2602">
        <f>'raw data Crude oil'!D2603</f>
        <v>0</v>
      </c>
      <c r="E2602">
        <f>'raw data Crude oil'!E2603</f>
        <v>0</v>
      </c>
      <c r="F2602">
        <f>'raw data Crude oil'!F2603</f>
        <v>0</v>
      </c>
      <c r="G2602">
        <f>'raw data Crude oil'!G2603</f>
        <v>0</v>
      </c>
      <c r="H2602">
        <f>'raw data Crude oil'!H2603</f>
        <v>0</v>
      </c>
      <c r="I2602">
        <f>'raw data Crude oil'!I2603</f>
        <v>0</v>
      </c>
      <c r="J2602">
        <f>'raw data Crude oil'!J2603</f>
        <v>0</v>
      </c>
      <c r="K2602">
        <f>'raw data Crude oil'!K2603</f>
        <v>0</v>
      </c>
      <c r="L2602">
        <f>'raw data Crude oil'!L2603</f>
        <v>0</v>
      </c>
      <c r="M2602">
        <f>'raw data Crude oil'!M2603</f>
        <v>0</v>
      </c>
      <c r="N2602">
        <f>'raw data Crude oil'!N2603</f>
        <v>0</v>
      </c>
      <c r="O2602">
        <f>'raw data Crude oil'!O2603</f>
        <v>0</v>
      </c>
      <c r="P2602">
        <f>'raw data Crude oil'!P2603</f>
        <v>0</v>
      </c>
      <c r="Q2602">
        <f>'raw data Crude oil'!Q2603</f>
        <v>0</v>
      </c>
      <c r="R2602">
        <f>'raw data Crude oil'!R2603</f>
        <v>0</v>
      </c>
      <c r="S2602">
        <f>'raw data Crude oil'!S2603</f>
        <v>0</v>
      </c>
      <c r="T2602">
        <f>'raw data Crude oil'!T2603</f>
        <v>0</v>
      </c>
      <c r="U2602">
        <f>'raw data Crude oil'!U2603</f>
        <v>0</v>
      </c>
      <c r="V2602">
        <f>'raw data Crude oil'!V2603</f>
        <v>0</v>
      </c>
      <c r="W2602">
        <f>'raw data Crude oil'!W2603</f>
        <v>0</v>
      </c>
      <c r="X2602">
        <f>'raw data Crude oil'!X2603</f>
        <v>0</v>
      </c>
      <c r="Y2602">
        <f>'raw data Crude oil'!Y2603</f>
        <v>0</v>
      </c>
      <c r="Z2602">
        <f>'raw data Crude oil'!Z2603</f>
        <v>0</v>
      </c>
      <c r="AA2602">
        <f>'raw data Crude oil'!AA2603</f>
        <v>0</v>
      </c>
      <c r="AB2602">
        <f>'raw data Crude oil'!AB2603</f>
        <v>0</v>
      </c>
      <c r="AC2602">
        <f>'raw data Crude oil'!AC2603</f>
        <v>0</v>
      </c>
      <c r="AD2602">
        <f>'raw data Crude oil'!AD2603</f>
        <v>0</v>
      </c>
      <c r="AE2602">
        <f>'raw data Crude oil'!AE2603</f>
        <v>0</v>
      </c>
      <c r="AF2602">
        <f>'raw data Crude oil'!AF2603</f>
        <v>0</v>
      </c>
      <c r="AG2602">
        <f>'raw data Crude oil'!AG2603</f>
        <v>0</v>
      </c>
      <c r="AH2602">
        <f>'raw data Crude oil'!AH2603</f>
        <v>0</v>
      </c>
      <c r="AI2602">
        <f>'raw data Crude oil'!AI2603</f>
        <v>0</v>
      </c>
      <c r="AJ2602">
        <f>'raw data Crude oil'!AJ2603</f>
        <v>0</v>
      </c>
      <c r="AK2602">
        <f>'raw data Crude oil'!AK2603</f>
        <v>0</v>
      </c>
    </row>
    <row r="2603" spans="1:37" x14ac:dyDescent="0.3">
      <c r="A2603" s="18">
        <f>'raw data Crude oil'!A2604</f>
        <v>0</v>
      </c>
      <c r="B2603">
        <f>'raw data Crude oil'!B2604</f>
        <v>0</v>
      </c>
      <c r="C2603">
        <f>'raw data Crude oil'!C2604</f>
        <v>0</v>
      </c>
      <c r="D2603">
        <f>'raw data Crude oil'!D2604</f>
        <v>0</v>
      </c>
      <c r="E2603">
        <f>'raw data Crude oil'!E2604</f>
        <v>0</v>
      </c>
      <c r="F2603">
        <f>'raw data Crude oil'!F2604</f>
        <v>0</v>
      </c>
      <c r="G2603">
        <f>'raw data Crude oil'!G2604</f>
        <v>0</v>
      </c>
      <c r="H2603">
        <f>'raw data Crude oil'!H2604</f>
        <v>0</v>
      </c>
      <c r="I2603">
        <f>'raw data Crude oil'!I2604</f>
        <v>0</v>
      </c>
      <c r="J2603">
        <f>'raw data Crude oil'!J2604</f>
        <v>0</v>
      </c>
      <c r="K2603">
        <f>'raw data Crude oil'!K2604</f>
        <v>0</v>
      </c>
      <c r="L2603">
        <f>'raw data Crude oil'!L2604</f>
        <v>0</v>
      </c>
      <c r="M2603">
        <f>'raw data Crude oil'!M2604</f>
        <v>0</v>
      </c>
      <c r="N2603">
        <f>'raw data Crude oil'!N2604</f>
        <v>0</v>
      </c>
      <c r="O2603">
        <f>'raw data Crude oil'!O2604</f>
        <v>0</v>
      </c>
      <c r="P2603">
        <f>'raw data Crude oil'!P2604</f>
        <v>0</v>
      </c>
      <c r="Q2603">
        <f>'raw data Crude oil'!Q2604</f>
        <v>0</v>
      </c>
      <c r="R2603">
        <f>'raw data Crude oil'!R2604</f>
        <v>0</v>
      </c>
      <c r="S2603">
        <f>'raw data Crude oil'!S2604</f>
        <v>0</v>
      </c>
      <c r="T2603">
        <f>'raw data Crude oil'!T2604</f>
        <v>0</v>
      </c>
      <c r="U2603">
        <f>'raw data Crude oil'!U2604</f>
        <v>0</v>
      </c>
      <c r="V2603">
        <f>'raw data Crude oil'!V2604</f>
        <v>0</v>
      </c>
      <c r="W2603">
        <f>'raw data Crude oil'!W2604</f>
        <v>0</v>
      </c>
      <c r="X2603">
        <f>'raw data Crude oil'!X2604</f>
        <v>0</v>
      </c>
      <c r="Y2603">
        <f>'raw data Crude oil'!Y2604</f>
        <v>0</v>
      </c>
      <c r="Z2603">
        <f>'raw data Crude oil'!Z2604</f>
        <v>0</v>
      </c>
      <c r="AA2603">
        <f>'raw data Crude oil'!AA2604</f>
        <v>0</v>
      </c>
      <c r="AB2603">
        <f>'raw data Crude oil'!AB2604</f>
        <v>0</v>
      </c>
      <c r="AC2603">
        <f>'raw data Crude oil'!AC2604</f>
        <v>0</v>
      </c>
      <c r="AD2603">
        <f>'raw data Crude oil'!AD2604</f>
        <v>0</v>
      </c>
      <c r="AE2603">
        <f>'raw data Crude oil'!AE2604</f>
        <v>0</v>
      </c>
      <c r="AF2603">
        <f>'raw data Crude oil'!AF2604</f>
        <v>0</v>
      </c>
      <c r="AG2603">
        <f>'raw data Crude oil'!AG2604</f>
        <v>0</v>
      </c>
      <c r="AH2603">
        <f>'raw data Crude oil'!AH2604</f>
        <v>0</v>
      </c>
      <c r="AI2603">
        <f>'raw data Crude oil'!AI2604</f>
        <v>0</v>
      </c>
      <c r="AJ2603">
        <f>'raw data Crude oil'!AJ2604</f>
        <v>0</v>
      </c>
      <c r="AK2603">
        <f>'raw data Crude oil'!AK2604</f>
        <v>0</v>
      </c>
    </row>
    <row r="2604" spans="1:37" x14ac:dyDescent="0.3">
      <c r="A2604" s="18">
        <f>'raw data Crude oil'!A2605</f>
        <v>0</v>
      </c>
      <c r="B2604">
        <f>'raw data Crude oil'!B2605</f>
        <v>0</v>
      </c>
      <c r="C2604">
        <f>'raw data Crude oil'!C2605</f>
        <v>0</v>
      </c>
      <c r="D2604">
        <f>'raw data Crude oil'!D2605</f>
        <v>0</v>
      </c>
      <c r="E2604">
        <f>'raw data Crude oil'!E2605</f>
        <v>0</v>
      </c>
      <c r="F2604">
        <f>'raw data Crude oil'!F2605</f>
        <v>0</v>
      </c>
      <c r="G2604">
        <f>'raw data Crude oil'!G2605</f>
        <v>0</v>
      </c>
      <c r="H2604">
        <f>'raw data Crude oil'!H2605</f>
        <v>0</v>
      </c>
      <c r="I2604">
        <f>'raw data Crude oil'!I2605</f>
        <v>0</v>
      </c>
      <c r="J2604">
        <f>'raw data Crude oil'!J2605</f>
        <v>0</v>
      </c>
      <c r="K2604">
        <f>'raw data Crude oil'!K2605</f>
        <v>0</v>
      </c>
      <c r="L2604">
        <f>'raw data Crude oil'!L2605</f>
        <v>0</v>
      </c>
      <c r="M2604">
        <f>'raw data Crude oil'!M2605</f>
        <v>0</v>
      </c>
      <c r="N2604">
        <f>'raw data Crude oil'!N2605</f>
        <v>0</v>
      </c>
      <c r="O2604">
        <f>'raw data Crude oil'!O2605</f>
        <v>0</v>
      </c>
      <c r="P2604">
        <f>'raw data Crude oil'!P2605</f>
        <v>0</v>
      </c>
      <c r="Q2604">
        <f>'raw data Crude oil'!Q2605</f>
        <v>0</v>
      </c>
      <c r="R2604">
        <f>'raw data Crude oil'!R2605</f>
        <v>0</v>
      </c>
      <c r="S2604">
        <f>'raw data Crude oil'!S2605</f>
        <v>0</v>
      </c>
      <c r="T2604">
        <f>'raw data Crude oil'!T2605</f>
        <v>0</v>
      </c>
      <c r="U2604">
        <f>'raw data Crude oil'!U2605</f>
        <v>0</v>
      </c>
      <c r="V2604">
        <f>'raw data Crude oil'!V2605</f>
        <v>0</v>
      </c>
      <c r="W2604">
        <f>'raw data Crude oil'!W2605</f>
        <v>0</v>
      </c>
      <c r="X2604">
        <f>'raw data Crude oil'!X2605</f>
        <v>0</v>
      </c>
      <c r="Y2604">
        <f>'raw data Crude oil'!Y2605</f>
        <v>0</v>
      </c>
      <c r="Z2604">
        <f>'raw data Crude oil'!Z2605</f>
        <v>0</v>
      </c>
      <c r="AA2604">
        <f>'raw data Crude oil'!AA2605</f>
        <v>0</v>
      </c>
      <c r="AB2604">
        <f>'raw data Crude oil'!AB2605</f>
        <v>0</v>
      </c>
      <c r="AC2604">
        <f>'raw data Crude oil'!AC2605</f>
        <v>0</v>
      </c>
      <c r="AD2604">
        <f>'raw data Crude oil'!AD2605</f>
        <v>0</v>
      </c>
      <c r="AE2604">
        <f>'raw data Crude oil'!AE2605</f>
        <v>0</v>
      </c>
      <c r="AF2604">
        <f>'raw data Crude oil'!AF2605</f>
        <v>0</v>
      </c>
      <c r="AG2604">
        <f>'raw data Crude oil'!AG2605</f>
        <v>0</v>
      </c>
      <c r="AH2604">
        <f>'raw data Crude oil'!AH2605</f>
        <v>0</v>
      </c>
      <c r="AI2604">
        <f>'raw data Crude oil'!AI2605</f>
        <v>0</v>
      </c>
      <c r="AJ2604">
        <f>'raw data Crude oil'!AJ2605</f>
        <v>0</v>
      </c>
      <c r="AK2604">
        <f>'raw data Crude oil'!AK2605</f>
        <v>0</v>
      </c>
    </row>
    <row r="2605" spans="1:37" x14ac:dyDescent="0.3">
      <c r="A2605" s="18">
        <f>'raw data Crude oil'!A2606</f>
        <v>0</v>
      </c>
      <c r="B2605">
        <f>'raw data Crude oil'!B2606</f>
        <v>0</v>
      </c>
      <c r="C2605">
        <f>'raw data Crude oil'!C2606</f>
        <v>0</v>
      </c>
      <c r="D2605">
        <f>'raw data Crude oil'!D2606</f>
        <v>0</v>
      </c>
      <c r="E2605">
        <f>'raw data Crude oil'!E2606</f>
        <v>0</v>
      </c>
      <c r="F2605">
        <f>'raw data Crude oil'!F2606</f>
        <v>0</v>
      </c>
      <c r="G2605">
        <f>'raw data Crude oil'!G2606</f>
        <v>0</v>
      </c>
      <c r="H2605">
        <f>'raw data Crude oil'!H2606</f>
        <v>0</v>
      </c>
      <c r="I2605">
        <f>'raw data Crude oil'!I2606</f>
        <v>0</v>
      </c>
      <c r="J2605">
        <f>'raw data Crude oil'!J2606</f>
        <v>0</v>
      </c>
      <c r="K2605">
        <f>'raw data Crude oil'!K2606</f>
        <v>0</v>
      </c>
      <c r="L2605">
        <f>'raw data Crude oil'!L2606</f>
        <v>0</v>
      </c>
      <c r="M2605">
        <f>'raw data Crude oil'!M2606</f>
        <v>0</v>
      </c>
      <c r="N2605">
        <f>'raw data Crude oil'!N2606</f>
        <v>0</v>
      </c>
      <c r="O2605">
        <f>'raw data Crude oil'!O2606</f>
        <v>0</v>
      </c>
      <c r="P2605">
        <f>'raw data Crude oil'!P2606</f>
        <v>0</v>
      </c>
      <c r="Q2605">
        <f>'raw data Crude oil'!Q2606</f>
        <v>0</v>
      </c>
      <c r="R2605">
        <f>'raw data Crude oil'!R2606</f>
        <v>0</v>
      </c>
      <c r="S2605">
        <f>'raw data Crude oil'!S2606</f>
        <v>0</v>
      </c>
      <c r="T2605">
        <f>'raw data Crude oil'!T2606</f>
        <v>0</v>
      </c>
      <c r="U2605">
        <f>'raw data Crude oil'!U2606</f>
        <v>0</v>
      </c>
      <c r="V2605">
        <f>'raw data Crude oil'!V2606</f>
        <v>0</v>
      </c>
      <c r="W2605">
        <f>'raw data Crude oil'!W2606</f>
        <v>0</v>
      </c>
      <c r="X2605">
        <f>'raw data Crude oil'!X2606</f>
        <v>0</v>
      </c>
      <c r="Y2605">
        <f>'raw data Crude oil'!Y2606</f>
        <v>0</v>
      </c>
      <c r="Z2605">
        <f>'raw data Crude oil'!Z2606</f>
        <v>0</v>
      </c>
      <c r="AA2605">
        <f>'raw data Crude oil'!AA2606</f>
        <v>0</v>
      </c>
      <c r="AB2605">
        <f>'raw data Crude oil'!AB2606</f>
        <v>0</v>
      </c>
      <c r="AC2605">
        <f>'raw data Crude oil'!AC2606</f>
        <v>0</v>
      </c>
      <c r="AD2605">
        <f>'raw data Crude oil'!AD2606</f>
        <v>0</v>
      </c>
      <c r="AE2605">
        <f>'raw data Crude oil'!AE2606</f>
        <v>0</v>
      </c>
      <c r="AF2605">
        <f>'raw data Crude oil'!AF2606</f>
        <v>0</v>
      </c>
      <c r="AG2605">
        <f>'raw data Crude oil'!AG2606</f>
        <v>0</v>
      </c>
      <c r="AH2605">
        <f>'raw data Crude oil'!AH2606</f>
        <v>0</v>
      </c>
      <c r="AI2605">
        <f>'raw data Crude oil'!AI2606</f>
        <v>0</v>
      </c>
      <c r="AJ2605">
        <f>'raw data Crude oil'!AJ2606</f>
        <v>0</v>
      </c>
      <c r="AK2605">
        <f>'raw data Crude oil'!AK2606</f>
        <v>0</v>
      </c>
    </row>
    <row r="2606" spans="1:37" x14ac:dyDescent="0.3">
      <c r="A2606" s="18">
        <f>'raw data Crude oil'!A2607</f>
        <v>0</v>
      </c>
      <c r="B2606">
        <f>'raw data Crude oil'!B2607</f>
        <v>0</v>
      </c>
      <c r="C2606">
        <f>'raw data Crude oil'!C2607</f>
        <v>0</v>
      </c>
      <c r="D2606">
        <f>'raw data Crude oil'!D2607</f>
        <v>0</v>
      </c>
      <c r="E2606">
        <f>'raw data Crude oil'!E2607</f>
        <v>0</v>
      </c>
      <c r="F2606">
        <f>'raw data Crude oil'!F2607</f>
        <v>0</v>
      </c>
      <c r="G2606">
        <f>'raw data Crude oil'!G2607</f>
        <v>0</v>
      </c>
      <c r="H2606">
        <f>'raw data Crude oil'!H2607</f>
        <v>0</v>
      </c>
      <c r="I2606">
        <f>'raw data Crude oil'!I2607</f>
        <v>0</v>
      </c>
      <c r="J2606">
        <f>'raw data Crude oil'!J2607</f>
        <v>0</v>
      </c>
      <c r="K2606">
        <f>'raw data Crude oil'!K2607</f>
        <v>0</v>
      </c>
      <c r="L2606">
        <f>'raw data Crude oil'!L2607</f>
        <v>0</v>
      </c>
      <c r="M2606">
        <f>'raw data Crude oil'!M2607</f>
        <v>0</v>
      </c>
      <c r="N2606">
        <f>'raw data Crude oil'!N2607</f>
        <v>0</v>
      </c>
      <c r="O2606">
        <f>'raw data Crude oil'!O2607</f>
        <v>0</v>
      </c>
      <c r="P2606">
        <f>'raw data Crude oil'!P2607</f>
        <v>0</v>
      </c>
      <c r="Q2606">
        <f>'raw data Crude oil'!Q2607</f>
        <v>0</v>
      </c>
      <c r="R2606">
        <f>'raw data Crude oil'!R2607</f>
        <v>0</v>
      </c>
      <c r="S2606">
        <f>'raw data Crude oil'!S2607</f>
        <v>0</v>
      </c>
      <c r="T2606">
        <f>'raw data Crude oil'!T2607</f>
        <v>0</v>
      </c>
      <c r="U2606">
        <f>'raw data Crude oil'!U2607</f>
        <v>0</v>
      </c>
      <c r="V2606">
        <f>'raw data Crude oil'!V2607</f>
        <v>0</v>
      </c>
      <c r="W2606">
        <f>'raw data Crude oil'!W2607</f>
        <v>0</v>
      </c>
      <c r="X2606">
        <f>'raw data Crude oil'!X2607</f>
        <v>0</v>
      </c>
      <c r="Y2606">
        <f>'raw data Crude oil'!Y2607</f>
        <v>0</v>
      </c>
      <c r="Z2606">
        <f>'raw data Crude oil'!Z2607</f>
        <v>0</v>
      </c>
      <c r="AA2606">
        <f>'raw data Crude oil'!AA2607</f>
        <v>0</v>
      </c>
      <c r="AB2606">
        <f>'raw data Crude oil'!AB2607</f>
        <v>0</v>
      </c>
      <c r="AC2606">
        <f>'raw data Crude oil'!AC2607</f>
        <v>0</v>
      </c>
      <c r="AD2606">
        <f>'raw data Crude oil'!AD2607</f>
        <v>0</v>
      </c>
      <c r="AE2606">
        <f>'raw data Crude oil'!AE2607</f>
        <v>0</v>
      </c>
      <c r="AF2606">
        <f>'raw data Crude oil'!AF2607</f>
        <v>0</v>
      </c>
      <c r="AG2606">
        <f>'raw data Crude oil'!AG2607</f>
        <v>0</v>
      </c>
      <c r="AH2606">
        <f>'raw data Crude oil'!AH2607</f>
        <v>0</v>
      </c>
      <c r="AI2606">
        <f>'raw data Crude oil'!AI2607</f>
        <v>0</v>
      </c>
      <c r="AJ2606">
        <f>'raw data Crude oil'!AJ2607</f>
        <v>0</v>
      </c>
      <c r="AK2606">
        <f>'raw data Crude oil'!AK2607</f>
        <v>0</v>
      </c>
    </row>
    <row r="2607" spans="1:37" x14ac:dyDescent="0.3">
      <c r="A2607" s="18">
        <f>'raw data Crude oil'!A2608</f>
        <v>0</v>
      </c>
      <c r="B2607">
        <f>'raw data Crude oil'!B2608</f>
        <v>0</v>
      </c>
      <c r="C2607">
        <f>'raw data Crude oil'!C2608</f>
        <v>0</v>
      </c>
      <c r="D2607">
        <f>'raw data Crude oil'!D2608</f>
        <v>0</v>
      </c>
      <c r="E2607">
        <f>'raw data Crude oil'!E2608</f>
        <v>0</v>
      </c>
      <c r="F2607">
        <f>'raw data Crude oil'!F2608</f>
        <v>0</v>
      </c>
      <c r="G2607">
        <f>'raw data Crude oil'!G2608</f>
        <v>0</v>
      </c>
      <c r="H2607">
        <f>'raw data Crude oil'!H2608</f>
        <v>0</v>
      </c>
      <c r="I2607">
        <f>'raw data Crude oil'!I2608</f>
        <v>0</v>
      </c>
      <c r="J2607">
        <f>'raw data Crude oil'!J2608</f>
        <v>0</v>
      </c>
      <c r="K2607">
        <f>'raw data Crude oil'!K2608</f>
        <v>0</v>
      </c>
      <c r="L2607">
        <f>'raw data Crude oil'!L2608</f>
        <v>0</v>
      </c>
      <c r="M2607">
        <f>'raw data Crude oil'!M2608</f>
        <v>0</v>
      </c>
      <c r="N2607">
        <f>'raw data Crude oil'!N2608</f>
        <v>0</v>
      </c>
      <c r="O2607">
        <f>'raw data Crude oil'!O2608</f>
        <v>0</v>
      </c>
      <c r="P2607">
        <f>'raw data Crude oil'!P2608</f>
        <v>0</v>
      </c>
      <c r="Q2607">
        <f>'raw data Crude oil'!Q2608</f>
        <v>0</v>
      </c>
      <c r="R2607">
        <f>'raw data Crude oil'!R2608</f>
        <v>0</v>
      </c>
      <c r="S2607">
        <f>'raw data Crude oil'!S2608</f>
        <v>0</v>
      </c>
      <c r="T2607">
        <f>'raw data Crude oil'!T2608</f>
        <v>0</v>
      </c>
      <c r="U2607">
        <f>'raw data Crude oil'!U2608</f>
        <v>0</v>
      </c>
      <c r="V2607">
        <f>'raw data Crude oil'!V2608</f>
        <v>0</v>
      </c>
      <c r="W2607">
        <f>'raw data Crude oil'!W2608</f>
        <v>0</v>
      </c>
      <c r="X2607">
        <f>'raw data Crude oil'!X2608</f>
        <v>0</v>
      </c>
      <c r="Y2607">
        <f>'raw data Crude oil'!Y2608</f>
        <v>0</v>
      </c>
      <c r="Z2607">
        <f>'raw data Crude oil'!Z2608</f>
        <v>0</v>
      </c>
      <c r="AA2607">
        <f>'raw data Crude oil'!AA2608</f>
        <v>0</v>
      </c>
      <c r="AB2607">
        <f>'raw data Crude oil'!AB2608</f>
        <v>0</v>
      </c>
      <c r="AC2607">
        <f>'raw data Crude oil'!AC2608</f>
        <v>0</v>
      </c>
      <c r="AD2607">
        <f>'raw data Crude oil'!AD2608</f>
        <v>0</v>
      </c>
      <c r="AE2607">
        <f>'raw data Crude oil'!AE2608</f>
        <v>0</v>
      </c>
      <c r="AF2607">
        <f>'raw data Crude oil'!AF2608</f>
        <v>0</v>
      </c>
      <c r="AG2607">
        <f>'raw data Crude oil'!AG2608</f>
        <v>0</v>
      </c>
      <c r="AH2607">
        <f>'raw data Crude oil'!AH2608</f>
        <v>0</v>
      </c>
      <c r="AI2607">
        <f>'raw data Crude oil'!AI2608</f>
        <v>0</v>
      </c>
      <c r="AJ2607">
        <f>'raw data Crude oil'!AJ2608</f>
        <v>0</v>
      </c>
      <c r="AK2607">
        <f>'raw data Crude oil'!AK2608</f>
        <v>0</v>
      </c>
    </row>
    <row r="2608" spans="1:37" x14ac:dyDescent="0.3">
      <c r="A2608" s="18">
        <f>'raw data Crude oil'!A2609</f>
        <v>0</v>
      </c>
      <c r="B2608">
        <f>'raw data Crude oil'!B2609</f>
        <v>0</v>
      </c>
      <c r="C2608">
        <f>'raw data Crude oil'!C2609</f>
        <v>0</v>
      </c>
      <c r="D2608">
        <f>'raw data Crude oil'!D2609</f>
        <v>0</v>
      </c>
      <c r="E2608">
        <f>'raw data Crude oil'!E2609</f>
        <v>0</v>
      </c>
      <c r="F2608">
        <f>'raw data Crude oil'!F2609</f>
        <v>0</v>
      </c>
      <c r="G2608">
        <f>'raw data Crude oil'!G2609</f>
        <v>0</v>
      </c>
      <c r="H2608">
        <f>'raw data Crude oil'!H2609</f>
        <v>0</v>
      </c>
      <c r="I2608">
        <f>'raw data Crude oil'!I2609</f>
        <v>0</v>
      </c>
      <c r="J2608">
        <f>'raw data Crude oil'!J2609</f>
        <v>0</v>
      </c>
      <c r="K2608">
        <f>'raw data Crude oil'!K2609</f>
        <v>0</v>
      </c>
      <c r="L2608">
        <f>'raw data Crude oil'!L2609</f>
        <v>0</v>
      </c>
      <c r="M2608">
        <f>'raw data Crude oil'!M2609</f>
        <v>0</v>
      </c>
      <c r="N2608">
        <f>'raw data Crude oil'!N2609</f>
        <v>0</v>
      </c>
      <c r="O2608">
        <f>'raw data Crude oil'!O2609</f>
        <v>0</v>
      </c>
      <c r="P2608">
        <f>'raw data Crude oil'!P2609</f>
        <v>0</v>
      </c>
      <c r="Q2608">
        <f>'raw data Crude oil'!Q2609</f>
        <v>0</v>
      </c>
      <c r="R2608">
        <f>'raw data Crude oil'!R2609</f>
        <v>0</v>
      </c>
      <c r="S2608">
        <f>'raw data Crude oil'!S2609</f>
        <v>0</v>
      </c>
      <c r="T2608">
        <f>'raw data Crude oil'!T2609</f>
        <v>0</v>
      </c>
      <c r="U2608">
        <f>'raw data Crude oil'!U2609</f>
        <v>0</v>
      </c>
      <c r="V2608">
        <f>'raw data Crude oil'!V2609</f>
        <v>0</v>
      </c>
      <c r="W2608">
        <f>'raw data Crude oil'!W2609</f>
        <v>0</v>
      </c>
      <c r="X2608">
        <f>'raw data Crude oil'!X2609</f>
        <v>0</v>
      </c>
      <c r="Y2608">
        <f>'raw data Crude oil'!Y2609</f>
        <v>0</v>
      </c>
      <c r="Z2608">
        <f>'raw data Crude oil'!Z2609</f>
        <v>0</v>
      </c>
      <c r="AA2608">
        <f>'raw data Crude oil'!AA2609</f>
        <v>0</v>
      </c>
      <c r="AB2608">
        <f>'raw data Crude oil'!AB2609</f>
        <v>0</v>
      </c>
      <c r="AC2608">
        <f>'raw data Crude oil'!AC2609</f>
        <v>0</v>
      </c>
      <c r="AD2608">
        <f>'raw data Crude oil'!AD2609</f>
        <v>0</v>
      </c>
      <c r="AE2608">
        <f>'raw data Crude oil'!AE2609</f>
        <v>0</v>
      </c>
      <c r="AF2608">
        <f>'raw data Crude oil'!AF2609</f>
        <v>0</v>
      </c>
      <c r="AG2608">
        <f>'raw data Crude oil'!AG2609</f>
        <v>0</v>
      </c>
      <c r="AH2608">
        <f>'raw data Crude oil'!AH2609</f>
        <v>0</v>
      </c>
      <c r="AI2608">
        <f>'raw data Crude oil'!AI2609</f>
        <v>0</v>
      </c>
      <c r="AJ2608">
        <f>'raw data Crude oil'!AJ2609</f>
        <v>0</v>
      </c>
      <c r="AK2608">
        <f>'raw data Crude oil'!AK2609</f>
        <v>0</v>
      </c>
    </row>
    <row r="2609" spans="1:37" x14ac:dyDescent="0.3">
      <c r="A2609" s="18">
        <f>'raw data Crude oil'!A2610</f>
        <v>0</v>
      </c>
      <c r="B2609">
        <f>'raw data Crude oil'!B2610</f>
        <v>0</v>
      </c>
      <c r="C2609">
        <f>'raw data Crude oil'!C2610</f>
        <v>0</v>
      </c>
      <c r="D2609">
        <f>'raw data Crude oil'!D2610</f>
        <v>0</v>
      </c>
      <c r="E2609">
        <f>'raw data Crude oil'!E2610</f>
        <v>0</v>
      </c>
      <c r="F2609">
        <f>'raw data Crude oil'!F2610</f>
        <v>0</v>
      </c>
      <c r="G2609">
        <f>'raw data Crude oil'!G2610</f>
        <v>0</v>
      </c>
      <c r="H2609">
        <f>'raw data Crude oil'!H2610</f>
        <v>0</v>
      </c>
      <c r="I2609">
        <f>'raw data Crude oil'!I2610</f>
        <v>0</v>
      </c>
      <c r="J2609">
        <f>'raw data Crude oil'!J2610</f>
        <v>0</v>
      </c>
      <c r="K2609">
        <f>'raw data Crude oil'!K2610</f>
        <v>0</v>
      </c>
      <c r="L2609">
        <f>'raw data Crude oil'!L2610</f>
        <v>0</v>
      </c>
      <c r="M2609">
        <f>'raw data Crude oil'!M2610</f>
        <v>0</v>
      </c>
      <c r="N2609">
        <f>'raw data Crude oil'!N2610</f>
        <v>0</v>
      </c>
      <c r="O2609">
        <f>'raw data Crude oil'!O2610</f>
        <v>0</v>
      </c>
      <c r="P2609">
        <f>'raw data Crude oil'!P2610</f>
        <v>0</v>
      </c>
      <c r="Q2609">
        <f>'raw data Crude oil'!Q2610</f>
        <v>0</v>
      </c>
      <c r="R2609">
        <f>'raw data Crude oil'!R2610</f>
        <v>0</v>
      </c>
      <c r="S2609">
        <f>'raw data Crude oil'!S2610</f>
        <v>0</v>
      </c>
      <c r="T2609">
        <f>'raw data Crude oil'!T2610</f>
        <v>0</v>
      </c>
      <c r="U2609">
        <f>'raw data Crude oil'!U2610</f>
        <v>0</v>
      </c>
      <c r="V2609">
        <f>'raw data Crude oil'!V2610</f>
        <v>0</v>
      </c>
      <c r="W2609">
        <f>'raw data Crude oil'!W2610</f>
        <v>0</v>
      </c>
      <c r="X2609">
        <f>'raw data Crude oil'!X2610</f>
        <v>0</v>
      </c>
      <c r="Y2609">
        <f>'raw data Crude oil'!Y2610</f>
        <v>0</v>
      </c>
      <c r="Z2609">
        <f>'raw data Crude oil'!Z2610</f>
        <v>0</v>
      </c>
      <c r="AA2609">
        <f>'raw data Crude oil'!AA2610</f>
        <v>0</v>
      </c>
      <c r="AB2609">
        <f>'raw data Crude oil'!AB2610</f>
        <v>0</v>
      </c>
      <c r="AC2609">
        <f>'raw data Crude oil'!AC2610</f>
        <v>0</v>
      </c>
      <c r="AD2609">
        <f>'raw data Crude oil'!AD2610</f>
        <v>0</v>
      </c>
      <c r="AE2609">
        <f>'raw data Crude oil'!AE2610</f>
        <v>0</v>
      </c>
      <c r="AF2609">
        <f>'raw data Crude oil'!AF2610</f>
        <v>0</v>
      </c>
      <c r="AG2609">
        <f>'raw data Crude oil'!AG2610</f>
        <v>0</v>
      </c>
      <c r="AH2609">
        <f>'raw data Crude oil'!AH2610</f>
        <v>0</v>
      </c>
      <c r="AI2609">
        <f>'raw data Crude oil'!AI2610</f>
        <v>0</v>
      </c>
      <c r="AJ2609">
        <f>'raw data Crude oil'!AJ2610</f>
        <v>0</v>
      </c>
      <c r="AK2609">
        <f>'raw data Crude oil'!AK2610</f>
        <v>0</v>
      </c>
    </row>
    <row r="2610" spans="1:37" x14ac:dyDescent="0.3">
      <c r="A2610" s="18">
        <f>'raw data Crude oil'!A2611</f>
        <v>0</v>
      </c>
      <c r="B2610">
        <f>'raw data Crude oil'!B2611</f>
        <v>0</v>
      </c>
      <c r="C2610">
        <f>'raw data Crude oil'!C2611</f>
        <v>0</v>
      </c>
      <c r="D2610">
        <f>'raw data Crude oil'!D2611</f>
        <v>0</v>
      </c>
      <c r="E2610">
        <f>'raw data Crude oil'!E2611</f>
        <v>0</v>
      </c>
      <c r="F2610">
        <f>'raw data Crude oil'!F2611</f>
        <v>0</v>
      </c>
      <c r="G2610">
        <f>'raw data Crude oil'!G2611</f>
        <v>0</v>
      </c>
      <c r="H2610">
        <f>'raw data Crude oil'!H2611</f>
        <v>0</v>
      </c>
      <c r="I2610">
        <f>'raw data Crude oil'!I2611</f>
        <v>0</v>
      </c>
      <c r="J2610">
        <f>'raw data Crude oil'!J2611</f>
        <v>0</v>
      </c>
      <c r="K2610">
        <f>'raw data Crude oil'!K2611</f>
        <v>0</v>
      </c>
      <c r="L2610">
        <f>'raw data Crude oil'!L2611</f>
        <v>0</v>
      </c>
      <c r="M2610">
        <f>'raw data Crude oil'!M2611</f>
        <v>0</v>
      </c>
      <c r="N2610">
        <f>'raw data Crude oil'!N2611</f>
        <v>0</v>
      </c>
      <c r="O2610">
        <f>'raw data Crude oil'!O2611</f>
        <v>0</v>
      </c>
      <c r="P2610">
        <f>'raw data Crude oil'!P2611</f>
        <v>0</v>
      </c>
      <c r="Q2610">
        <f>'raw data Crude oil'!Q2611</f>
        <v>0</v>
      </c>
      <c r="R2610">
        <f>'raw data Crude oil'!R2611</f>
        <v>0</v>
      </c>
      <c r="S2610">
        <f>'raw data Crude oil'!S2611</f>
        <v>0</v>
      </c>
      <c r="T2610">
        <f>'raw data Crude oil'!T2611</f>
        <v>0</v>
      </c>
      <c r="U2610">
        <f>'raw data Crude oil'!U2611</f>
        <v>0</v>
      </c>
      <c r="V2610">
        <f>'raw data Crude oil'!V2611</f>
        <v>0</v>
      </c>
      <c r="W2610">
        <f>'raw data Crude oil'!W2611</f>
        <v>0</v>
      </c>
      <c r="X2610">
        <f>'raw data Crude oil'!X2611</f>
        <v>0</v>
      </c>
      <c r="Y2610">
        <f>'raw data Crude oil'!Y2611</f>
        <v>0</v>
      </c>
      <c r="Z2610">
        <f>'raw data Crude oil'!Z2611</f>
        <v>0</v>
      </c>
      <c r="AA2610">
        <f>'raw data Crude oil'!AA2611</f>
        <v>0</v>
      </c>
      <c r="AB2610">
        <f>'raw data Crude oil'!AB2611</f>
        <v>0</v>
      </c>
      <c r="AC2610">
        <f>'raw data Crude oil'!AC2611</f>
        <v>0</v>
      </c>
      <c r="AD2610">
        <f>'raw data Crude oil'!AD2611</f>
        <v>0</v>
      </c>
      <c r="AE2610">
        <f>'raw data Crude oil'!AE2611</f>
        <v>0</v>
      </c>
      <c r="AF2610">
        <f>'raw data Crude oil'!AF2611</f>
        <v>0</v>
      </c>
      <c r="AG2610">
        <f>'raw data Crude oil'!AG2611</f>
        <v>0</v>
      </c>
      <c r="AH2610">
        <f>'raw data Crude oil'!AH2611</f>
        <v>0</v>
      </c>
      <c r="AI2610">
        <f>'raw data Crude oil'!AI2611</f>
        <v>0</v>
      </c>
      <c r="AJ2610">
        <f>'raw data Crude oil'!AJ2611</f>
        <v>0</v>
      </c>
      <c r="AK2610">
        <f>'raw data Crude oil'!AK2611</f>
        <v>0</v>
      </c>
    </row>
    <row r="2611" spans="1:37" x14ac:dyDescent="0.3">
      <c r="A2611" s="18">
        <f>'raw data Crude oil'!A2612</f>
        <v>0</v>
      </c>
      <c r="B2611">
        <f>'raw data Crude oil'!B2612</f>
        <v>0</v>
      </c>
      <c r="C2611">
        <f>'raw data Crude oil'!C2612</f>
        <v>0</v>
      </c>
      <c r="D2611">
        <f>'raw data Crude oil'!D2612</f>
        <v>0</v>
      </c>
      <c r="E2611">
        <f>'raw data Crude oil'!E2612</f>
        <v>0</v>
      </c>
      <c r="F2611">
        <f>'raw data Crude oil'!F2612</f>
        <v>0</v>
      </c>
      <c r="G2611">
        <f>'raw data Crude oil'!G2612</f>
        <v>0</v>
      </c>
      <c r="H2611">
        <f>'raw data Crude oil'!H2612</f>
        <v>0</v>
      </c>
      <c r="I2611">
        <f>'raw data Crude oil'!I2612</f>
        <v>0</v>
      </c>
      <c r="J2611">
        <f>'raw data Crude oil'!J2612</f>
        <v>0</v>
      </c>
      <c r="K2611">
        <f>'raw data Crude oil'!K2612</f>
        <v>0</v>
      </c>
      <c r="L2611">
        <f>'raw data Crude oil'!L2612</f>
        <v>0</v>
      </c>
      <c r="M2611">
        <f>'raw data Crude oil'!M2612</f>
        <v>0</v>
      </c>
      <c r="N2611">
        <f>'raw data Crude oil'!N2612</f>
        <v>0</v>
      </c>
      <c r="O2611">
        <f>'raw data Crude oil'!O2612</f>
        <v>0</v>
      </c>
      <c r="P2611">
        <f>'raw data Crude oil'!P2612</f>
        <v>0</v>
      </c>
      <c r="Q2611">
        <f>'raw data Crude oil'!Q2612</f>
        <v>0</v>
      </c>
      <c r="R2611">
        <f>'raw data Crude oil'!R2612</f>
        <v>0</v>
      </c>
      <c r="S2611">
        <f>'raw data Crude oil'!S2612</f>
        <v>0</v>
      </c>
      <c r="T2611">
        <f>'raw data Crude oil'!T2612</f>
        <v>0</v>
      </c>
      <c r="U2611">
        <f>'raw data Crude oil'!U2612</f>
        <v>0</v>
      </c>
      <c r="V2611">
        <f>'raw data Crude oil'!V2612</f>
        <v>0</v>
      </c>
      <c r="W2611">
        <f>'raw data Crude oil'!W2612</f>
        <v>0</v>
      </c>
      <c r="X2611">
        <f>'raw data Crude oil'!X2612</f>
        <v>0</v>
      </c>
      <c r="Y2611">
        <f>'raw data Crude oil'!Y2612</f>
        <v>0</v>
      </c>
      <c r="Z2611">
        <f>'raw data Crude oil'!Z2612</f>
        <v>0</v>
      </c>
      <c r="AA2611">
        <f>'raw data Crude oil'!AA2612</f>
        <v>0</v>
      </c>
      <c r="AB2611">
        <f>'raw data Crude oil'!AB2612</f>
        <v>0</v>
      </c>
      <c r="AC2611">
        <f>'raw data Crude oil'!AC2612</f>
        <v>0</v>
      </c>
      <c r="AD2611">
        <f>'raw data Crude oil'!AD2612</f>
        <v>0</v>
      </c>
      <c r="AE2611">
        <f>'raw data Crude oil'!AE2612</f>
        <v>0</v>
      </c>
      <c r="AF2611">
        <f>'raw data Crude oil'!AF2612</f>
        <v>0</v>
      </c>
      <c r="AG2611">
        <f>'raw data Crude oil'!AG2612</f>
        <v>0</v>
      </c>
      <c r="AH2611">
        <f>'raw data Crude oil'!AH2612</f>
        <v>0</v>
      </c>
      <c r="AI2611">
        <f>'raw data Crude oil'!AI2612</f>
        <v>0</v>
      </c>
      <c r="AJ2611">
        <f>'raw data Crude oil'!AJ2612</f>
        <v>0</v>
      </c>
      <c r="AK2611">
        <f>'raw data Crude oil'!AK2612</f>
        <v>0</v>
      </c>
    </row>
    <row r="2612" spans="1:37" x14ac:dyDescent="0.3">
      <c r="A2612" s="18">
        <f>'raw data Crude oil'!A2613</f>
        <v>0</v>
      </c>
      <c r="B2612">
        <f>'raw data Crude oil'!B2613</f>
        <v>0</v>
      </c>
      <c r="C2612">
        <f>'raw data Crude oil'!C2613</f>
        <v>0</v>
      </c>
      <c r="D2612">
        <f>'raw data Crude oil'!D2613</f>
        <v>0</v>
      </c>
      <c r="E2612">
        <f>'raw data Crude oil'!E2613</f>
        <v>0</v>
      </c>
      <c r="F2612">
        <f>'raw data Crude oil'!F2613</f>
        <v>0</v>
      </c>
      <c r="G2612">
        <f>'raw data Crude oil'!G2613</f>
        <v>0</v>
      </c>
      <c r="H2612">
        <f>'raw data Crude oil'!H2613</f>
        <v>0</v>
      </c>
      <c r="I2612">
        <f>'raw data Crude oil'!I2613</f>
        <v>0</v>
      </c>
      <c r="J2612">
        <f>'raw data Crude oil'!J2613</f>
        <v>0</v>
      </c>
      <c r="K2612">
        <f>'raw data Crude oil'!K2613</f>
        <v>0</v>
      </c>
      <c r="L2612">
        <f>'raw data Crude oil'!L2613</f>
        <v>0</v>
      </c>
      <c r="M2612">
        <f>'raw data Crude oil'!M2613</f>
        <v>0</v>
      </c>
      <c r="N2612">
        <f>'raw data Crude oil'!N2613</f>
        <v>0</v>
      </c>
      <c r="O2612">
        <f>'raw data Crude oil'!O2613</f>
        <v>0</v>
      </c>
      <c r="P2612">
        <f>'raw data Crude oil'!P2613</f>
        <v>0</v>
      </c>
      <c r="Q2612">
        <f>'raw data Crude oil'!Q2613</f>
        <v>0</v>
      </c>
      <c r="R2612">
        <f>'raw data Crude oil'!R2613</f>
        <v>0</v>
      </c>
      <c r="S2612">
        <f>'raw data Crude oil'!S2613</f>
        <v>0</v>
      </c>
      <c r="T2612">
        <f>'raw data Crude oil'!T2613</f>
        <v>0</v>
      </c>
      <c r="U2612">
        <f>'raw data Crude oil'!U2613</f>
        <v>0</v>
      </c>
      <c r="V2612">
        <f>'raw data Crude oil'!V2613</f>
        <v>0</v>
      </c>
      <c r="W2612">
        <f>'raw data Crude oil'!W2613</f>
        <v>0</v>
      </c>
      <c r="X2612">
        <f>'raw data Crude oil'!X2613</f>
        <v>0</v>
      </c>
      <c r="Y2612">
        <f>'raw data Crude oil'!Y2613</f>
        <v>0</v>
      </c>
      <c r="Z2612">
        <f>'raw data Crude oil'!Z2613</f>
        <v>0</v>
      </c>
      <c r="AA2612">
        <f>'raw data Crude oil'!AA2613</f>
        <v>0</v>
      </c>
      <c r="AB2612">
        <f>'raw data Crude oil'!AB2613</f>
        <v>0</v>
      </c>
      <c r="AC2612">
        <f>'raw data Crude oil'!AC2613</f>
        <v>0</v>
      </c>
      <c r="AD2612">
        <f>'raw data Crude oil'!AD2613</f>
        <v>0</v>
      </c>
      <c r="AE2612">
        <f>'raw data Crude oil'!AE2613</f>
        <v>0</v>
      </c>
      <c r="AF2612">
        <f>'raw data Crude oil'!AF2613</f>
        <v>0</v>
      </c>
      <c r="AG2612">
        <f>'raw data Crude oil'!AG2613</f>
        <v>0</v>
      </c>
      <c r="AH2612">
        <f>'raw data Crude oil'!AH2613</f>
        <v>0</v>
      </c>
      <c r="AI2612">
        <f>'raw data Crude oil'!AI2613</f>
        <v>0</v>
      </c>
      <c r="AJ2612">
        <f>'raw data Crude oil'!AJ2613</f>
        <v>0</v>
      </c>
      <c r="AK2612">
        <f>'raw data Crude oil'!AK2613</f>
        <v>0</v>
      </c>
    </row>
    <row r="2613" spans="1:37" x14ac:dyDescent="0.3">
      <c r="A2613" s="18">
        <f>'raw data Crude oil'!A2614</f>
        <v>0</v>
      </c>
      <c r="B2613">
        <f>'raw data Crude oil'!B2614</f>
        <v>0</v>
      </c>
      <c r="C2613">
        <f>'raw data Crude oil'!C2614</f>
        <v>0</v>
      </c>
      <c r="D2613">
        <f>'raw data Crude oil'!D2614</f>
        <v>0</v>
      </c>
      <c r="E2613">
        <f>'raw data Crude oil'!E2614</f>
        <v>0</v>
      </c>
      <c r="F2613">
        <f>'raw data Crude oil'!F2614</f>
        <v>0</v>
      </c>
      <c r="G2613">
        <f>'raw data Crude oil'!G2614</f>
        <v>0</v>
      </c>
      <c r="H2613">
        <f>'raw data Crude oil'!H2614</f>
        <v>0</v>
      </c>
      <c r="I2613">
        <f>'raw data Crude oil'!I2614</f>
        <v>0</v>
      </c>
      <c r="J2613">
        <f>'raw data Crude oil'!J2614</f>
        <v>0</v>
      </c>
      <c r="K2613">
        <f>'raw data Crude oil'!K2614</f>
        <v>0</v>
      </c>
      <c r="L2613">
        <f>'raw data Crude oil'!L2614</f>
        <v>0</v>
      </c>
      <c r="M2613">
        <f>'raw data Crude oil'!M2614</f>
        <v>0</v>
      </c>
      <c r="N2613">
        <f>'raw data Crude oil'!N2614</f>
        <v>0</v>
      </c>
      <c r="O2613">
        <f>'raw data Crude oil'!O2614</f>
        <v>0</v>
      </c>
      <c r="P2613">
        <f>'raw data Crude oil'!P2614</f>
        <v>0</v>
      </c>
      <c r="Q2613">
        <f>'raw data Crude oil'!Q2614</f>
        <v>0</v>
      </c>
      <c r="R2613">
        <f>'raw data Crude oil'!R2614</f>
        <v>0</v>
      </c>
      <c r="S2613">
        <f>'raw data Crude oil'!S2614</f>
        <v>0</v>
      </c>
      <c r="T2613">
        <f>'raw data Crude oil'!T2614</f>
        <v>0</v>
      </c>
      <c r="U2613">
        <f>'raw data Crude oil'!U2614</f>
        <v>0</v>
      </c>
      <c r="V2613">
        <f>'raw data Crude oil'!V2614</f>
        <v>0</v>
      </c>
      <c r="W2613">
        <f>'raw data Crude oil'!W2614</f>
        <v>0</v>
      </c>
      <c r="X2613">
        <f>'raw data Crude oil'!X2614</f>
        <v>0</v>
      </c>
      <c r="Y2613">
        <f>'raw data Crude oil'!Y2614</f>
        <v>0</v>
      </c>
      <c r="Z2613">
        <f>'raw data Crude oil'!Z2614</f>
        <v>0</v>
      </c>
      <c r="AA2613">
        <f>'raw data Crude oil'!AA2614</f>
        <v>0</v>
      </c>
      <c r="AB2613">
        <f>'raw data Crude oil'!AB2614</f>
        <v>0</v>
      </c>
      <c r="AC2613">
        <f>'raw data Crude oil'!AC2614</f>
        <v>0</v>
      </c>
      <c r="AD2613">
        <f>'raw data Crude oil'!AD2614</f>
        <v>0</v>
      </c>
      <c r="AE2613">
        <f>'raw data Crude oil'!AE2614</f>
        <v>0</v>
      </c>
      <c r="AF2613">
        <f>'raw data Crude oil'!AF2614</f>
        <v>0</v>
      </c>
      <c r="AG2613">
        <f>'raw data Crude oil'!AG2614</f>
        <v>0</v>
      </c>
      <c r="AH2613">
        <f>'raw data Crude oil'!AH2614</f>
        <v>0</v>
      </c>
      <c r="AI2613">
        <f>'raw data Crude oil'!AI2614</f>
        <v>0</v>
      </c>
      <c r="AJ2613">
        <f>'raw data Crude oil'!AJ2614</f>
        <v>0</v>
      </c>
      <c r="AK2613">
        <f>'raw data Crude oil'!AK2614</f>
        <v>0</v>
      </c>
    </row>
    <row r="2614" spans="1:37" x14ac:dyDescent="0.3">
      <c r="A2614" s="18">
        <f>'raw data Crude oil'!A2615</f>
        <v>0</v>
      </c>
      <c r="B2614">
        <f>'raw data Crude oil'!B2615</f>
        <v>0</v>
      </c>
      <c r="C2614">
        <f>'raw data Crude oil'!C2615</f>
        <v>0</v>
      </c>
      <c r="D2614">
        <f>'raw data Crude oil'!D2615</f>
        <v>0</v>
      </c>
      <c r="E2614">
        <f>'raw data Crude oil'!E2615</f>
        <v>0</v>
      </c>
      <c r="F2614">
        <f>'raw data Crude oil'!F2615</f>
        <v>0</v>
      </c>
      <c r="G2614">
        <f>'raw data Crude oil'!G2615</f>
        <v>0</v>
      </c>
      <c r="H2614">
        <f>'raw data Crude oil'!H2615</f>
        <v>0</v>
      </c>
      <c r="I2614">
        <f>'raw data Crude oil'!I2615</f>
        <v>0</v>
      </c>
      <c r="J2614">
        <f>'raw data Crude oil'!J2615</f>
        <v>0</v>
      </c>
      <c r="K2614">
        <f>'raw data Crude oil'!K2615</f>
        <v>0</v>
      </c>
      <c r="L2614">
        <f>'raw data Crude oil'!L2615</f>
        <v>0</v>
      </c>
      <c r="M2614">
        <f>'raw data Crude oil'!M2615</f>
        <v>0</v>
      </c>
      <c r="N2614">
        <f>'raw data Crude oil'!N2615</f>
        <v>0</v>
      </c>
      <c r="O2614">
        <f>'raw data Crude oil'!O2615</f>
        <v>0</v>
      </c>
      <c r="P2614">
        <f>'raw data Crude oil'!P2615</f>
        <v>0</v>
      </c>
      <c r="Q2614">
        <f>'raw data Crude oil'!Q2615</f>
        <v>0</v>
      </c>
      <c r="R2614">
        <f>'raw data Crude oil'!R2615</f>
        <v>0</v>
      </c>
      <c r="S2614">
        <f>'raw data Crude oil'!S2615</f>
        <v>0</v>
      </c>
      <c r="T2614">
        <f>'raw data Crude oil'!T2615</f>
        <v>0</v>
      </c>
      <c r="U2614">
        <f>'raw data Crude oil'!U2615</f>
        <v>0</v>
      </c>
      <c r="V2614">
        <f>'raw data Crude oil'!V2615</f>
        <v>0</v>
      </c>
      <c r="W2614">
        <f>'raw data Crude oil'!W2615</f>
        <v>0</v>
      </c>
      <c r="X2614">
        <f>'raw data Crude oil'!X2615</f>
        <v>0</v>
      </c>
      <c r="Y2614">
        <f>'raw data Crude oil'!Y2615</f>
        <v>0</v>
      </c>
      <c r="Z2614">
        <f>'raw data Crude oil'!Z2615</f>
        <v>0</v>
      </c>
      <c r="AA2614">
        <f>'raw data Crude oil'!AA2615</f>
        <v>0</v>
      </c>
      <c r="AB2614">
        <f>'raw data Crude oil'!AB2615</f>
        <v>0</v>
      </c>
      <c r="AC2614">
        <f>'raw data Crude oil'!AC2615</f>
        <v>0</v>
      </c>
      <c r="AD2614">
        <f>'raw data Crude oil'!AD2615</f>
        <v>0</v>
      </c>
      <c r="AE2614">
        <f>'raw data Crude oil'!AE2615</f>
        <v>0</v>
      </c>
      <c r="AF2614">
        <f>'raw data Crude oil'!AF2615</f>
        <v>0</v>
      </c>
      <c r="AG2614">
        <f>'raw data Crude oil'!AG2615</f>
        <v>0</v>
      </c>
      <c r="AH2614">
        <f>'raw data Crude oil'!AH2615</f>
        <v>0</v>
      </c>
      <c r="AI2614">
        <f>'raw data Crude oil'!AI2615</f>
        <v>0</v>
      </c>
      <c r="AJ2614">
        <f>'raw data Crude oil'!AJ2615</f>
        <v>0</v>
      </c>
      <c r="AK2614">
        <f>'raw data Crude oil'!AK2615</f>
        <v>0</v>
      </c>
    </row>
    <row r="2615" spans="1:37" x14ac:dyDescent="0.3">
      <c r="A2615" s="18">
        <f>'raw data Crude oil'!A2616</f>
        <v>0</v>
      </c>
      <c r="B2615">
        <f>'raw data Crude oil'!B2616</f>
        <v>0</v>
      </c>
      <c r="C2615">
        <f>'raw data Crude oil'!C2616</f>
        <v>0</v>
      </c>
      <c r="D2615">
        <f>'raw data Crude oil'!D2616</f>
        <v>0</v>
      </c>
      <c r="E2615">
        <f>'raw data Crude oil'!E2616</f>
        <v>0</v>
      </c>
      <c r="F2615">
        <f>'raw data Crude oil'!F2616</f>
        <v>0</v>
      </c>
      <c r="G2615">
        <f>'raw data Crude oil'!G2616</f>
        <v>0</v>
      </c>
      <c r="H2615">
        <f>'raw data Crude oil'!H2616</f>
        <v>0</v>
      </c>
      <c r="I2615">
        <f>'raw data Crude oil'!I2616</f>
        <v>0</v>
      </c>
      <c r="J2615">
        <f>'raw data Crude oil'!J2616</f>
        <v>0</v>
      </c>
      <c r="K2615">
        <f>'raw data Crude oil'!K2616</f>
        <v>0</v>
      </c>
      <c r="L2615">
        <f>'raw data Crude oil'!L2616</f>
        <v>0</v>
      </c>
      <c r="M2615">
        <f>'raw data Crude oil'!M2616</f>
        <v>0</v>
      </c>
      <c r="N2615">
        <f>'raw data Crude oil'!N2616</f>
        <v>0</v>
      </c>
      <c r="O2615">
        <f>'raw data Crude oil'!O2616</f>
        <v>0</v>
      </c>
      <c r="P2615">
        <f>'raw data Crude oil'!P2616</f>
        <v>0</v>
      </c>
      <c r="Q2615">
        <f>'raw data Crude oil'!Q2616</f>
        <v>0</v>
      </c>
      <c r="R2615">
        <f>'raw data Crude oil'!R2616</f>
        <v>0</v>
      </c>
      <c r="S2615">
        <f>'raw data Crude oil'!S2616</f>
        <v>0</v>
      </c>
      <c r="T2615">
        <f>'raw data Crude oil'!T2616</f>
        <v>0</v>
      </c>
      <c r="U2615">
        <f>'raw data Crude oil'!U2616</f>
        <v>0</v>
      </c>
      <c r="V2615">
        <f>'raw data Crude oil'!V2616</f>
        <v>0</v>
      </c>
      <c r="W2615">
        <f>'raw data Crude oil'!W2616</f>
        <v>0</v>
      </c>
      <c r="X2615">
        <f>'raw data Crude oil'!X2616</f>
        <v>0</v>
      </c>
      <c r="Y2615">
        <f>'raw data Crude oil'!Y2616</f>
        <v>0</v>
      </c>
      <c r="Z2615">
        <f>'raw data Crude oil'!Z2616</f>
        <v>0</v>
      </c>
      <c r="AA2615">
        <f>'raw data Crude oil'!AA2616</f>
        <v>0</v>
      </c>
      <c r="AB2615">
        <f>'raw data Crude oil'!AB2616</f>
        <v>0</v>
      </c>
      <c r="AC2615">
        <f>'raw data Crude oil'!AC2616</f>
        <v>0</v>
      </c>
      <c r="AD2615">
        <f>'raw data Crude oil'!AD2616</f>
        <v>0</v>
      </c>
      <c r="AE2615">
        <f>'raw data Crude oil'!AE2616</f>
        <v>0</v>
      </c>
      <c r="AF2615">
        <f>'raw data Crude oil'!AF2616</f>
        <v>0</v>
      </c>
      <c r="AG2615">
        <f>'raw data Crude oil'!AG2616</f>
        <v>0</v>
      </c>
      <c r="AH2615">
        <f>'raw data Crude oil'!AH2616</f>
        <v>0</v>
      </c>
      <c r="AI2615">
        <f>'raw data Crude oil'!AI2616</f>
        <v>0</v>
      </c>
      <c r="AJ2615">
        <f>'raw data Crude oil'!AJ2616</f>
        <v>0</v>
      </c>
      <c r="AK2615">
        <f>'raw data Crude oil'!AK2616</f>
        <v>0</v>
      </c>
    </row>
    <row r="2616" spans="1:37" x14ac:dyDescent="0.3">
      <c r="A2616" s="18">
        <f>'raw data Crude oil'!A2617</f>
        <v>0</v>
      </c>
      <c r="B2616">
        <f>'raw data Crude oil'!B2617</f>
        <v>0</v>
      </c>
      <c r="C2616">
        <f>'raw data Crude oil'!C2617</f>
        <v>0</v>
      </c>
      <c r="D2616">
        <f>'raw data Crude oil'!D2617</f>
        <v>0</v>
      </c>
      <c r="E2616">
        <f>'raw data Crude oil'!E2617</f>
        <v>0</v>
      </c>
      <c r="F2616">
        <f>'raw data Crude oil'!F2617</f>
        <v>0</v>
      </c>
      <c r="G2616">
        <f>'raw data Crude oil'!G2617</f>
        <v>0</v>
      </c>
      <c r="H2616">
        <f>'raw data Crude oil'!H2617</f>
        <v>0</v>
      </c>
      <c r="I2616">
        <f>'raw data Crude oil'!I2617</f>
        <v>0</v>
      </c>
      <c r="J2616">
        <f>'raw data Crude oil'!J2617</f>
        <v>0</v>
      </c>
      <c r="K2616">
        <f>'raw data Crude oil'!K2617</f>
        <v>0</v>
      </c>
      <c r="L2616">
        <f>'raw data Crude oil'!L2617</f>
        <v>0</v>
      </c>
      <c r="M2616">
        <f>'raw data Crude oil'!M2617</f>
        <v>0</v>
      </c>
      <c r="N2616">
        <f>'raw data Crude oil'!N2617</f>
        <v>0</v>
      </c>
      <c r="O2616">
        <f>'raw data Crude oil'!O2617</f>
        <v>0</v>
      </c>
      <c r="P2616">
        <f>'raw data Crude oil'!P2617</f>
        <v>0</v>
      </c>
      <c r="Q2616">
        <f>'raw data Crude oil'!Q2617</f>
        <v>0</v>
      </c>
      <c r="R2616">
        <f>'raw data Crude oil'!R2617</f>
        <v>0</v>
      </c>
      <c r="S2616">
        <f>'raw data Crude oil'!S2617</f>
        <v>0</v>
      </c>
      <c r="T2616">
        <f>'raw data Crude oil'!T2617</f>
        <v>0</v>
      </c>
      <c r="U2616">
        <f>'raw data Crude oil'!U2617</f>
        <v>0</v>
      </c>
      <c r="V2616">
        <f>'raw data Crude oil'!V2617</f>
        <v>0</v>
      </c>
      <c r="W2616">
        <f>'raw data Crude oil'!W2617</f>
        <v>0</v>
      </c>
      <c r="X2616">
        <f>'raw data Crude oil'!X2617</f>
        <v>0</v>
      </c>
      <c r="Y2616">
        <f>'raw data Crude oil'!Y2617</f>
        <v>0</v>
      </c>
      <c r="Z2616">
        <f>'raw data Crude oil'!Z2617</f>
        <v>0</v>
      </c>
      <c r="AA2616">
        <f>'raw data Crude oil'!AA2617</f>
        <v>0</v>
      </c>
      <c r="AB2616">
        <f>'raw data Crude oil'!AB2617</f>
        <v>0</v>
      </c>
      <c r="AC2616">
        <f>'raw data Crude oil'!AC2617</f>
        <v>0</v>
      </c>
      <c r="AD2616">
        <f>'raw data Crude oil'!AD2617</f>
        <v>0</v>
      </c>
      <c r="AE2616">
        <f>'raw data Crude oil'!AE2617</f>
        <v>0</v>
      </c>
      <c r="AF2616">
        <f>'raw data Crude oil'!AF2617</f>
        <v>0</v>
      </c>
      <c r="AG2616">
        <f>'raw data Crude oil'!AG2617</f>
        <v>0</v>
      </c>
      <c r="AH2616">
        <f>'raw data Crude oil'!AH2617</f>
        <v>0</v>
      </c>
      <c r="AI2616">
        <f>'raw data Crude oil'!AI2617</f>
        <v>0</v>
      </c>
      <c r="AJ2616">
        <f>'raw data Crude oil'!AJ2617</f>
        <v>0</v>
      </c>
      <c r="AK2616">
        <f>'raw data Crude oil'!AK2617</f>
        <v>0</v>
      </c>
    </row>
    <row r="2617" spans="1:37" x14ac:dyDescent="0.3">
      <c r="A2617" s="18">
        <f>'raw data Crude oil'!A2618</f>
        <v>0</v>
      </c>
      <c r="B2617">
        <f>'raw data Crude oil'!B2618</f>
        <v>0</v>
      </c>
      <c r="C2617">
        <f>'raw data Crude oil'!C2618</f>
        <v>0</v>
      </c>
      <c r="D2617">
        <f>'raw data Crude oil'!D2618</f>
        <v>0</v>
      </c>
      <c r="E2617">
        <f>'raw data Crude oil'!E2618</f>
        <v>0</v>
      </c>
      <c r="F2617">
        <f>'raw data Crude oil'!F2618</f>
        <v>0</v>
      </c>
      <c r="G2617">
        <f>'raw data Crude oil'!G2618</f>
        <v>0</v>
      </c>
      <c r="H2617">
        <f>'raw data Crude oil'!H2618</f>
        <v>0</v>
      </c>
      <c r="I2617">
        <f>'raw data Crude oil'!I2618</f>
        <v>0</v>
      </c>
      <c r="J2617">
        <f>'raw data Crude oil'!J2618</f>
        <v>0</v>
      </c>
      <c r="K2617">
        <f>'raw data Crude oil'!K2618</f>
        <v>0</v>
      </c>
      <c r="L2617">
        <f>'raw data Crude oil'!L2618</f>
        <v>0</v>
      </c>
      <c r="M2617">
        <f>'raw data Crude oil'!M2618</f>
        <v>0</v>
      </c>
      <c r="N2617">
        <f>'raw data Crude oil'!N2618</f>
        <v>0</v>
      </c>
      <c r="O2617">
        <f>'raw data Crude oil'!O2618</f>
        <v>0</v>
      </c>
      <c r="P2617">
        <f>'raw data Crude oil'!P2618</f>
        <v>0</v>
      </c>
      <c r="Q2617">
        <f>'raw data Crude oil'!Q2618</f>
        <v>0</v>
      </c>
      <c r="R2617">
        <f>'raw data Crude oil'!R2618</f>
        <v>0</v>
      </c>
      <c r="S2617">
        <f>'raw data Crude oil'!S2618</f>
        <v>0</v>
      </c>
      <c r="T2617">
        <f>'raw data Crude oil'!T2618</f>
        <v>0</v>
      </c>
      <c r="U2617">
        <f>'raw data Crude oil'!U2618</f>
        <v>0</v>
      </c>
      <c r="V2617">
        <f>'raw data Crude oil'!V2618</f>
        <v>0</v>
      </c>
      <c r="W2617">
        <f>'raw data Crude oil'!W2618</f>
        <v>0</v>
      </c>
      <c r="X2617">
        <f>'raw data Crude oil'!X2618</f>
        <v>0</v>
      </c>
      <c r="Y2617">
        <f>'raw data Crude oil'!Y2618</f>
        <v>0</v>
      </c>
      <c r="Z2617">
        <f>'raw data Crude oil'!Z2618</f>
        <v>0</v>
      </c>
      <c r="AA2617">
        <f>'raw data Crude oil'!AA2618</f>
        <v>0</v>
      </c>
      <c r="AB2617">
        <f>'raw data Crude oil'!AB2618</f>
        <v>0</v>
      </c>
      <c r="AC2617">
        <f>'raw data Crude oil'!AC2618</f>
        <v>0</v>
      </c>
      <c r="AD2617">
        <f>'raw data Crude oil'!AD2618</f>
        <v>0</v>
      </c>
      <c r="AE2617">
        <f>'raw data Crude oil'!AE2618</f>
        <v>0</v>
      </c>
      <c r="AF2617">
        <f>'raw data Crude oil'!AF2618</f>
        <v>0</v>
      </c>
      <c r="AG2617">
        <f>'raw data Crude oil'!AG2618</f>
        <v>0</v>
      </c>
      <c r="AH2617">
        <f>'raw data Crude oil'!AH2618</f>
        <v>0</v>
      </c>
      <c r="AI2617">
        <f>'raw data Crude oil'!AI2618</f>
        <v>0</v>
      </c>
      <c r="AJ2617">
        <f>'raw data Crude oil'!AJ2618</f>
        <v>0</v>
      </c>
      <c r="AK2617">
        <f>'raw data Crude oil'!AK2618</f>
        <v>0</v>
      </c>
    </row>
    <row r="2618" spans="1:37" x14ac:dyDescent="0.3">
      <c r="A2618" s="18">
        <f>'raw data Crude oil'!A2619</f>
        <v>0</v>
      </c>
      <c r="B2618">
        <f>'raw data Crude oil'!B2619</f>
        <v>0</v>
      </c>
      <c r="C2618">
        <f>'raw data Crude oil'!C2619</f>
        <v>0</v>
      </c>
      <c r="D2618">
        <f>'raw data Crude oil'!D2619</f>
        <v>0</v>
      </c>
      <c r="E2618">
        <f>'raw data Crude oil'!E2619</f>
        <v>0</v>
      </c>
      <c r="F2618">
        <f>'raw data Crude oil'!F2619</f>
        <v>0</v>
      </c>
      <c r="G2618">
        <f>'raw data Crude oil'!G2619</f>
        <v>0</v>
      </c>
      <c r="H2618">
        <f>'raw data Crude oil'!H2619</f>
        <v>0</v>
      </c>
      <c r="I2618">
        <f>'raw data Crude oil'!I2619</f>
        <v>0</v>
      </c>
      <c r="J2618">
        <f>'raw data Crude oil'!J2619</f>
        <v>0</v>
      </c>
      <c r="K2618">
        <f>'raw data Crude oil'!K2619</f>
        <v>0</v>
      </c>
      <c r="L2618">
        <f>'raw data Crude oil'!L2619</f>
        <v>0</v>
      </c>
      <c r="M2618">
        <f>'raw data Crude oil'!M2619</f>
        <v>0</v>
      </c>
      <c r="N2618">
        <f>'raw data Crude oil'!N2619</f>
        <v>0</v>
      </c>
      <c r="O2618">
        <f>'raw data Crude oil'!O2619</f>
        <v>0</v>
      </c>
      <c r="P2618">
        <f>'raw data Crude oil'!P2619</f>
        <v>0</v>
      </c>
      <c r="Q2618">
        <f>'raw data Crude oil'!Q2619</f>
        <v>0</v>
      </c>
      <c r="R2618">
        <f>'raw data Crude oil'!R2619</f>
        <v>0</v>
      </c>
      <c r="S2618">
        <f>'raw data Crude oil'!S2619</f>
        <v>0</v>
      </c>
      <c r="T2618">
        <f>'raw data Crude oil'!T2619</f>
        <v>0</v>
      </c>
      <c r="U2618">
        <f>'raw data Crude oil'!U2619</f>
        <v>0</v>
      </c>
      <c r="V2618">
        <f>'raw data Crude oil'!V2619</f>
        <v>0</v>
      </c>
      <c r="W2618">
        <f>'raw data Crude oil'!W2619</f>
        <v>0</v>
      </c>
      <c r="X2618">
        <f>'raw data Crude oil'!X2619</f>
        <v>0</v>
      </c>
      <c r="Y2618">
        <f>'raw data Crude oil'!Y2619</f>
        <v>0</v>
      </c>
      <c r="Z2618">
        <f>'raw data Crude oil'!Z2619</f>
        <v>0</v>
      </c>
      <c r="AA2618">
        <f>'raw data Crude oil'!AA2619</f>
        <v>0</v>
      </c>
      <c r="AB2618">
        <f>'raw data Crude oil'!AB2619</f>
        <v>0</v>
      </c>
      <c r="AC2618">
        <f>'raw data Crude oil'!AC2619</f>
        <v>0</v>
      </c>
      <c r="AD2618">
        <f>'raw data Crude oil'!AD2619</f>
        <v>0</v>
      </c>
      <c r="AE2618">
        <f>'raw data Crude oil'!AE2619</f>
        <v>0</v>
      </c>
      <c r="AF2618">
        <f>'raw data Crude oil'!AF2619</f>
        <v>0</v>
      </c>
      <c r="AG2618">
        <f>'raw data Crude oil'!AG2619</f>
        <v>0</v>
      </c>
      <c r="AH2618">
        <f>'raw data Crude oil'!AH2619</f>
        <v>0</v>
      </c>
      <c r="AI2618">
        <f>'raw data Crude oil'!AI2619</f>
        <v>0</v>
      </c>
      <c r="AJ2618">
        <f>'raw data Crude oil'!AJ2619</f>
        <v>0</v>
      </c>
      <c r="AK2618">
        <f>'raw data Crude oil'!AK2619</f>
        <v>0</v>
      </c>
    </row>
    <row r="2619" spans="1:37" x14ac:dyDescent="0.3">
      <c r="A2619" s="18">
        <f>'raw data Crude oil'!A2620</f>
        <v>0</v>
      </c>
      <c r="B2619">
        <f>'raw data Crude oil'!B2620</f>
        <v>0</v>
      </c>
      <c r="C2619">
        <f>'raw data Crude oil'!C2620</f>
        <v>0</v>
      </c>
      <c r="D2619">
        <f>'raw data Crude oil'!D2620</f>
        <v>0</v>
      </c>
      <c r="E2619">
        <f>'raw data Crude oil'!E2620</f>
        <v>0</v>
      </c>
      <c r="F2619">
        <f>'raw data Crude oil'!F2620</f>
        <v>0</v>
      </c>
      <c r="G2619">
        <f>'raw data Crude oil'!G2620</f>
        <v>0</v>
      </c>
      <c r="H2619">
        <f>'raw data Crude oil'!H2620</f>
        <v>0</v>
      </c>
      <c r="I2619">
        <f>'raw data Crude oil'!I2620</f>
        <v>0</v>
      </c>
      <c r="J2619">
        <f>'raw data Crude oil'!J2620</f>
        <v>0</v>
      </c>
      <c r="K2619">
        <f>'raw data Crude oil'!K2620</f>
        <v>0</v>
      </c>
      <c r="L2619">
        <f>'raw data Crude oil'!L2620</f>
        <v>0</v>
      </c>
      <c r="M2619">
        <f>'raw data Crude oil'!M2620</f>
        <v>0</v>
      </c>
      <c r="N2619">
        <f>'raw data Crude oil'!N2620</f>
        <v>0</v>
      </c>
      <c r="O2619">
        <f>'raw data Crude oil'!O2620</f>
        <v>0</v>
      </c>
      <c r="P2619">
        <f>'raw data Crude oil'!P2620</f>
        <v>0</v>
      </c>
      <c r="Q2619">
        <f>'raw data Crude oil'!Q2620</f>
        <v>0</v>
      </c>
      <c r="R2619">
        <f>'raw data Crude oil'!R2620</f>
        <v>0</v>
      </c>
      <c r="S2619">
        <f>'raw data Crude oil'!S2620</f>
        <v>0</v>
      </c>
      <c r="T2619">
        <f>'raw data Crude oil'!T2620</f>
        <v>0</v>
      </c>
      <c r="U2619">
        <f>'raw data Crude oil'!U2620</f>
        <v>0</v>
      </c>
      <c r="V2619">
        <f>'raw data Crude oil'!V2620</f>
        <v>0</v>
      </c>
      <c r="W2619">
        <f>'raw data Crude oil'!W2620</f>
        <v>0</v>
      </c>
      <c r="X2619">
        <f>'raw data Crude oil'!X2620</f>
        <v>0</v>
      </c>
      <c r="Y2619">
        <f>'raw data Crude oil'!Y2620</f>
        <v>0</v>
      </c>
      <c r="Z2619">
        <f>'raw data Crude oil'!Z2620</f>
        <v>0</v>
      </c>
      <c r="AA2619">
        <f>'raw data Crude oil'!AA2620</f>
        <v>0</v>
      </c>
      <c r="AB2619">
        <f>'raw data Crude oil'!AB2620</f>
        <v>0</v>
      </c>
      <c r="AC2619">
        <f>'raw data Crude oil'!AC2620</f>
        <v>0</v>
      </c>
      <c r="AD2619">
        <f>'raw data Crude oil'!AD2620</f>
        <v>0</v>
      </c>
      <c r="AE2619">
        <f>'raw data Crude oil'!AE2620</f>
        <v>0</v>
      </c>
      <c r="AF2619">
        <f>'raw data Crude oil'!AF2620</f>
        <v>0</v>
      </c>
      <c r="AG2619">
        <f>'raw data Crude oil'!AG2620</f>
        <v>0</v>
      </c>
      <c r="AH2619">
        <f>'raw data Crude oil'!AH2620</f>
        <v>0</v>
      </c>
      <c r="AI2619">
        <f>'raw data Crude oil'!AI2620</f>
        <v>0</v>
      </c>
      <c r="AJ2619">
        <f>'raw data Crude oil'!AJ2620</f>
        <v>0</v>
      </c>
      <c r="AK2619">
        <f>'raw data Crude oil'!AK2620</f>
        <v>0</v>
      </c>
    </row>
    <row r="2620" spans="1:37" x14ac:dyDescent="0.3">
      <c r="A2620" s="18">
        <f>'raw data Crude oil'!A2621</f>
        <v>0</v>
      </c>
      <c r="B2620">
        <f>'raw data Crude oil'!B2621</f>
        <v>0</v>
      </c>
      <c r="C2620">
        <f>'raw data Crude oil'!C2621</f>
        <v>0</v>
      </c>
      <c r="D2620">
        <f>'raw data Crude oil'!D2621</f>
        <v>0</v>
      </c>
      <c r="E2620">
        <f>'raw data Crude oil'!E2621</f>
        <v>0</v>
      </c>
      <c r="F2620">
        <f>'raw data Crude oil'!F2621</f>
        <v>0</v>
      </c>
      <c r="G2620">
        <f>'raw data Crude oil'!G2621</f>
        <v>0</v>
      </c>
      <c r="H2620">
        <f>'raw data Crude oil'!H2621</f>
        <v>0</v>
      </c>
      <c r="I2620">
        <f>'raw data Crude oil'!I2621</f>
        <v>0</v>
      </c>
      <c r="J2620">
        <f>'raw data Crude oil'!J2621</f>
        <v>0</v>
      </c>
      <c r="K2620">
        <f>'raw data Crude oil'!K2621</f>
        <v>0</v>
      </c>
      <c r="L2620">
        <f>'raw data Crude oil'!L2621</f>
        <v>0</v>
      </c>
      <c r="M2620">
        <f>'raw data Crude oil'!M2621</f>
        <v>0</v>
      </c>
      <c r="N2620">
        <f>'raw data Crude oil'!N2621</f>
        <v>0</v>
      </c>
      <c r="O2620">
        <f>'raw data Crude oil'!O2621</f>
        <v>0</v>
      </c>
      <c r="P2620">
        <f>'raw data Crude oil'!P2621</f>
        <v>0</v>
      </c>
      <c r="Q2620">
        <f>'raw data Crude oil'!Q2621</f>
        <v>0</v>
      </c>
      <c r="R2620">
        <f>'raw data Crude oil'!R2621</f>
        <v>0</v>
      </c>
      <c r="S2620">
        <f>'raw data Crude oil'!S2621</f>
        <v>0</v>
      </c>
      <c r="T2620">
        <f>'raw data Crude oil'!T2621</f>
        <v>0</v>
      </c>
      <c r="U2620">
        <f>'raw data Crude oil'!U2621</f>
        <v>0</v>
      </c>
      <c r="V2620">
        <f>'raw data Crude oil'!V2621</f>
        <v>0</v>
      </c>
      <c r="W2620">
        <f>'raw data Crude oil'!W2621</f>
        <v>0</v>
      </c>
      <c r="X2620">
        <f>'raw data Crude oil'!X2621</f>
        <v>0</v>
      </c>
      <c r="Y2620">
        <f>'raw data Crude oil'!Y2621</f>
        <v>0</v>
      </c>
      <c r="Z2620">
        <f>'raw data Crude oil'!Z2621</f>
        <v>0</v>
      </c>
      <c r="AA2620">
        <f>'raw data Crude oil'!AA2621</f>
        <v>0</v>
      </c>
      <c r="AB2620">
        <f>'raw data Crude oil'!AB2621</f>
        <v>0</v>
      </c>
      <c r="AC2620">
        <f>'raw data Crude oil'!AC2621</f>
        <v>0</v>
      </c>
      <c r="AD2620">
        <f>'raw data Crude oil'!AD2621</f>
        <v>0</v>
      </c>
      <c r="AE2620">
        <f>'raw data Crude oil'!AE2621</f>
        <v>0</v>
      </c>
      <c r="AF2620">
        <f>'raw data Crude oil'!AF2621</f>
        <v>0</v>
      </c>
      <c r="AG2620">
        <f>'raw data Crude oil'!AG2621</f>
        <v>0</v>
      </c>
      <c r="AH2620">
        <f>'raw data Crude oil'!AH2621</f>
        <v>0</v>
      </c>
      <c r="AI2620">
        <f>'raw data Crude oil'!AI2621</f>
        <v>0</v>
      </c>
      <c r="AJ2620">
        <f>'raw data Crude oil'!AJ2621</f>
        <v>0</v>
      </c>
      <c r="AK2620">
        <f>'raw data Crude oil'!AK2621</f>
        <v>0</v>
      </c>
    </row>
    <row r="2621" spans="1:37" x14ac:dyDescent="0.3">
      <c r="A2621" s="18">
        <f>'raw data Crude oil'!A2622</f>
        <v>0</v>
      </c>
      <c r="B2621">
        <f>'raw data Crude oil'!B2622</f>
        <v>0</v>
      </c>
      <c r="C2621">
        <f>'raw data Crude oil'!C2622</f>
        <v>0</v>
      </c>
      <c r="D2621">
        <f>'raw data Crude oil'!D2622</f>
        <v>0</v>
      </c>
      <c r="E2621">
        <f>'raw data Crude oil'!E2622</f>
        <v>0</v>
      </c>
      <c r="F2621">
        <f>'raw data Crude oil'!F2622</f>
        <v>0</v>
      </c>
      <c r="G2621">
        <f>'raw data Crude oil'!G2622</f>
        <v>0</v>
      </c>
      <c r="H2621">
        <f>'raw data Crude oil'!H2622</f>
        <v>0</v>
      </c>
      <c r="I2621">
        <f>'raw data Crude oil'!I2622</f>
        <v>0</v>
      </c>
      <c r="J2621">
        <f>'raw data Crude oil'!J2622</f>
        <v>0</v>
      </c>
      <c r="K2621">
        <f>'raw data Crude oil'!K2622</f>
        <v>0</v>
      </c>
      <c r="L2621">
        <f>'raw data Crude oil'!L2622</f>
        <v>0</v>
      </c>
      <c r="M2621">
        <f>'raw data Crude oil'!M2622</f>
        <v>0</v>
      </c>
      <c r="N2621">
        <f>'raw data Crude oil'!N2622</f>
        <v>0</v>
      </c>
      <c r="O2621">
        <f>'raw data Crude oil'!O2622</f>
        <v>0</v>
      </c>
      <c r="P2621">
        <f>'raw data Crude oil'!P2622</f>
        <v>0</v>
      </c>
      <c r="Q2621">
        <f>'raw data Crude oil'!Q2622</f>
        <v>0</v>
      </c>
      <c r="R2621">
        <f>'raw data Crude oil'!R2622</f>
        <v>0</v>
      </c>
      <c r="S2621">
        <f>'raw data Crude oil'!S2622</f>
        <v>0</v>
      </c>
      <c r="T2621">
        <f>'raw data Crude oil'!T2622</f>
        <v>0</v>
      </c>
      <c r="U2621">
        <f>'raw data Crude oil'!U2622</f>
        <v>0</v>
      </c>
      <c r="V2621">
        <f>'raw data Crude oil'!V2622</f>
        <v>0</v>
      </c>
      <c r="W2621">
        <f>'raw data Crude oil'!W2622</f>
        <v>0</v>
      </c>
      <c r="X2621">
        <f>'raw data Crude oil'!X2622</f>
        <v>0</v>
      </c>
      <c r="Y2621">
        <f>'raw data Crude oil'!Y2622</f>
        <v>0</v>
      </c>
      <c r="Z2621">
        <f>'raw data Crude oil'!Z2622</f>
        <v>0</v>
      </c>
      <c r="AA2621">
        <f>'raw data Crude oil'!AA2622</f>
        <v>0</v>
      </c>
      <c r="AB2621">
        <f>'raw data Crude oil'!AB2622</f>
        <v>0</v>
      </c>
      <c r="AC2621">
        <f>'raw data Crude oil'!AC2622</f>
        <v>0</v>
      </c>
      <c r="AD2621">
        <f>'raw data Crude oil'!AD2622</f>
        <v>0</v>
      </c>
      <c r="AE2621">
        <f>'raw data Crude oil'!AE2622</f>
        <v>0</v>
      </c>
      <c r="AF2621">
        <f>'raw data Crude oil'!AF2622</f>
        <v>0</v>
      </c>
      <c r="AG2621">
        <f>'raw data Crude oil'!AG2622</f>
        <v>0</v>
      </c>
      <c r="AH2621">
        <f>'raw data Crude oil'!AH2622</f>
        <v>0</v>
      </c>
      <c r="AI2621">
        <f>'raw data Crude oil'!AI2622</f>
        <v>0</v>
      </c>
      <c r="AJ2621">
        <f>'raw data Crude oil'!AJ2622</f>
        <v>0</v>
      </c>
      <c r="AK2621">
        <f>'raw data Crude oil'!AK2622</f>
        <v>0</v>
      </c>
    </row>
    <row r="2622" spans="1:37" x14ac:dyDescent="0.3">
      <c r="A2622" s="18">
        <f>'raw data Crude oil'!A2623</f>
        <v>0</v>
      </c>
      <c r="B2622">
        <f>'raw data Crude oil'!B2623</f>
        <v>0</v>
      </c>
      <c r="C2622">
        <f>'raw data Crude oil'!C2623</f>
        <v>0</v>
      </c>
      <c r="D2622">
        <f>'raw data Crude oil'!D2623</f>
        <v>0</v>
      </c>
      <c r="E2622">
        <f>'raw data Crude oil'!E2623</f>
        <v>0</v>
      </c>
      <c r="F2622">
        <f>'raw data Crude oil'!F2623</f>
        <v>0</v>
      </c>
      <c r="G2622">
        <f>'raw data Crude oil'!G2623</f>
        <v>0</v>
      </c>
      <c r="H2622">
        <f>'raw data Crude oil'!H2623</f>
        <v>0</v>
      </c>
      <c r="I2622">
        <f>'raw data Crude oil'!I2623</f>
        <v>0</v>
      </c>
      <c r="J2622">
        <f>'raw data Crude oil'!J2623</f>
        <v>0</v>
      </c>
      <c r="K2622">
        <f>'raw data Crude oil'!K2623</f>
        <v>0</v>
      </c>
      <c r="L2622">
        <f>'raw data Crude oil'!L2623</f>
        <v>0</v>
      </c>
      <c r="M2622">
        <f>'raw data Crude oil'!M2623</f>
        <v>0</v>
      </c>
      <c r="N2622">
        <f>'raw data Crude oil'!N2623</f>
        <v>0</v>
      </c>
      <c r="O2622">
        <f>'raw data Crude oil'!O2623</f>
        <v>0</v>
      </c>
      <c r="P2622">
        <f>'raw data Crude oil'!P2623</f>
        <v>0</v>
      </c>
      <c r="Q2622">
        <f>'raw data Crude oil'!Q2623</f>
        <v>0</v>
      </c>
      <c r="R2622">
        <f>'raw data Crude oil'!R2623</f>
        <v>0</v>
      </c>
      <c r="S2622">
        <f>'raw data Crude oil'!S2623</f>
        <v>0</v>
      </c>
      <c r="T2622">
        <f>'raw data Crude oil'!T2623</f>
        <v>0</v>
      </c>
      <c r="U2622">
        <f>'raw data Crude oil'!U2623</f>
        <v>0</v>
      </c>
      <c r="V2622">
        <f>'raw data Crude oil'!V2623</f>
        <v>0</v>
      </c>
      <c r="W2622">
        <f>'raw data Crude oil'!W2623</f>
        <v>0</v>
      </c>
      <c r="X2622">
        <f>'raw data Crude oil'!X2623</f>
        <v>0</v>
      </c>
      <c r="Y2622">
        <f>'raw data Crude oil'!Y2623</f>
        <v>0</v>
      </c>
      <c r="Z2622">
        <f>'raw data Crude oil'!Z2623</f>
        <v>0</v>
      </c>
      <c r="AA2622">
        <f>'raw data Crude oil'!AA2623</f>
        <v>0</v>
      </c>
      <c r="AB2622">
        <f>'raw data Crude oil'!AB2623</f>
        <v>0</v>
      </c>
      <c r="AC2622">
        <f>'raw data Crude oil'!AC2623</f>
        <v>0</v>
      </c>
      <c r="AD2622">
        <f>'raw data Crude oil'!AD2623</f>
        <v>0</v>
      </c>
      <c r="AE2622">
        <f>'raw data Crude oil'!AE2623</f>
        <v>0</v>
      </c>
      <c r="AF2622">
        <f>'raw data Crude oil'!AF2623</f>
        <v>0</v>
      </c>
      <c r="AG2622">
        <f>'raw data Crude oil'!AG2623</f>
        <v>0</v>
      </c>
      <c r="AH2622">
        <f>'raw data Crude oil'!AH2623</f>
        <v>0</v>
      </c>
      <c r="AI2622">
        <f>'raw data Crude oil'!AI2623</f>
        <v>0</v>
      </c>
      <c r="AJ2622">
        <f>'raw data Crude oil'!AJ2623</f>
        <v>0</v>
      </c>
      <c r="AK2622">
        <f>'raw data Crude oil'!AK2623</f>
        <v>0</v>
      </c>
    </row>
    <row r="2623" spans="1:37" x14ac:dyDescent="0.3">
      <c r="A2623" s="18">
        <f>'raw data Crude oil'!A2624</f>
        <v>0</v>
      </c>
      <c r="B2623">
        <f>'raw data Crude oil'!B2624</f>
        <v>0</v>
      </c>
      <c r="C2623">
        <f>'raw data Crude oil'!C2624</f>
        <v>0</v>
      </c>
      <c r="D2623">
        <f>'raw data Crude oil'!D2624</f>
        <v>0</v>
      </c>
      <c r="E2623">
        <f>'raw data Crude oil'!E2624</f>
        <v>0</v>
      </c>
      <c r="F2623">
        <f>'raw data Crude oil'!F2624</f>
        <v>0</v>
      </c>
      <c r="G2623">
        <f>'raw data Crude oil'!G2624</f>
        <v>0</v>
      </c>
      <c r="H2623">
        <f>'raw data Crude oil'!H2624</f>
        <v>0</v>
      </c>
      <c r="I2623">
        <f>'raw data Crude oil'!I2624</f>
        <v>0</v>
      </c>
      <c r="J2623">
        <f>'raw data Crude oil'!J2624</f>
        <v>0</v>
      </c>
      <c r="K2623">
        <f>'raw data Crude oil'!K2624</f>
        <v>0</v>
      </c>
      <c r="L2623">
        <f>'raw data Crude oil'!L2624</f>
        <v>0</v>
      </c>
      <c r="M2623">
        <f>'raw data Crude oil'!M2624</f>
        <v>0</v>
      </c>
      <c r="N2623">
        <f>'raw data Crude oil'!N2624</f>
        <v>0</v>
      </c>
      <c r="O2623">
        <f>'raw data Crude oil'!O2624</f>
        <v>0</v>
      </c>
      <c r="P2623">
        <f>'raw data Crude oil'!P2624</f>
        <v>0</v>
      </c>
      <c r="Q2623">
        <f>'raw data Crude oil'!Q2624</f>
        <v>0</v>
      </c>
      <c r="R2623">
        <f>'raw data Crude oil'!R2624</f>
        <v>0</v>
      </c>
      <c r="S2623">
        <f>'raw data Crude oil'!S2624</f>
        <v>0</v>
      </c>
      <c r="T2623">
        <f>'raw data Crude oil'!T2624</f>
        <v>0</v>
      </c>
      <c r="U2623">
        <f>'raw data Crude oil'!U2624</f>
        <v>0</v>
      </c>
      <c r="V2623">
        <f>'raw data Crude oil'!V2624</f>
        <v>0</v>
      </c>
      <c r="W2623">
        <f>'raw data Crude oil'!W2624</f>
        <v>0</v>
      </c>
      <c r="X2623">
        <f>'raw data Crude oil'!X2624</f>
        <v>0</v>
      </c>
      <c r="Y2623">
        <f>'raw data Crude oil'!Y2624</f>
        <v>0</v>
      </c>
      <c r="Z2623">
        <f>'raw data Crude oil'!Z2624</f>
        <v>0</v>
      </c>
      <c r="AA2623">
        <f>'raw data Crude oil'!AA2624</f>
        <v>0</v>
      </c>
      <c r="AB2623">
        <f>'raw data Crude oil'!AB2624</f>
        <v>0</v>
      </c>
      <c r="AC2623">
        <f>'raw data Crude oil'!AC2624</f>
        <v>0</v>
      </c>
      <c r="AD2623">
        <f>'raw data Crude oil'!AD2624</f>
        <v>0</v>
      </c>
      <c r="AE2623">
        <f>'raw data Crude oil'!AE2624</f>
        <v>0</v>
      </c>
      <c r="AF2623">
        <f>'raw data Crude oil'!AF2624</f>
        <v>0</v>
      </c>
      <c r="AG2623">
        <f>'raw data Crude oil'!AG2624</f>
        <v>0</v>
      </c>
      <c r="AH2623">
        <f>'raw data Crude oil'!AH2624</f>
        <v>0</v>
      </c>
      <c r="AI2623">
        <f>'raw data Crude oil'!AI2624</f>
        <v>0</v>
      </c>
      <c r="AJ2623">
        <f>'raw data Crude oil'!AJ2624</f>
        <v>0</v>
      </c>
      <c r="AK2623">
        <f>'raw data Crude oil'!AK2624</f>
        <v>0</v>
      </c>
    </row>
    <row r="2624" spans="1:37" x14ac:dyDescent="0.3">
      <c r="A2624" s="18">
        <f>'raw data Crude oil'!A2625</f>
        <v>0</v>
      </c>
      <c r="B2624">
        <f>'raw data Crude oil'!B2625</f>
        <v>0</v>
      </c>
      <c r="C2624">
        <f>'raw data Crude oil'!C2625</f>
        <v>0</v>
      </c>
      <c r="D2624">
        <f>'raw data Crude oil'!D2625</f>
        <v>0</v>
      </c>
      <c r="E2624">
        <f>'raw data Crude oil'!E2625</f>
        <v>0</v>
      </c>
      <c r="F2624">
        <f>'raw data Crude oil'!F2625</f>
        <v>0</v>
      </c>
      <c r="G2624">
        <f>'raw data Crude oil'!G2625</f>
        <v>0</v>
      </c>
      <c r="H2624">
        <f>'raw data Crude oil'!H2625</f>
        <v>0</v>
      </c>
      <c r="I2624">
        <f>'raw data Crude oil'!I2625</f>
        <v>0</v>
      </c>
      <c r="J2624">
        <f>'raw data Crude oil'!J2625</f>
        <v>0</v>
      </c>
      <c r="K2624">
        <f>'raw data Crude oil'!K2625</f>
        <v>0</v>
      </c>
      <c r="L2624">
        <f>'raw data Crude oil'!L2625</f>
        <v>0</v>
      </c>
      <c r="M2624">
        <f>'raw data Crude oil'!M2625</f>
        <v>0</v>
      </c>
      <c r="N2624">
        <f>'raw data Crude oil'!N2625</f>
        <v>0</v>
      </c>
      <c r="O2624">
        <f>'raw data Crude oil'!O2625</f>
        <v>0</v>
      </c>
      <c r="P2624">
        <f>'raw data Crude oil'!P2625</f>
        <v>0</v>
      </c>
      <c r="Q2624">
        <f>'raw data Crude oil'!Q2625</f>
        <v>0</v>
      </c>
      <c r="R2624">
        <f>'raw data Crude oil'!R2625</f>
        <v>0</v>
      </c>
      <c r="S2624">
        <f>'raw data Crude oil'!S2625</f>
        <v>0</v>
      </c>
      <c r="T2624">
        <f>'raw data Crude oil'!T2625</f>
        <v>0</v>
      </c>
      <c r="U2624">
        <f>'raw data Crude oil'!U2625</f>
        <v>0</v>
      </c>
      <c r="V2624">
        <f>'raw data Crude oil'!V2625</f>
        <v>0</v>
      </c>
      <c r="W2624">
        <f>'raw data Crude oil'!W2625</f>
        <v>0</v>
      </c>
      <c r="X2624">
        <f>'raw data Crude oil'!X2625</f>
        <v>0</v>
      </c>
      <c r="Y2624">
        <f>'raw data Crude oil'!Y2625</f>
        <v>0</v>
      </c>
      <c r="Z2624">
        <f>'raw data Crude oil'!Z2625</f>
        <v>0</v>
      </c>
      <c r="AA2624">
        <f>'raw data Crude oil'!AA2625</f>
        <v>0</v>
      </c>
      <c r="AB2624">
        <f>'raw data Crude oil'!AB2625</f>
        <v>0</v>
      </c>
      <c r="AC2624">
        <f>'raw data Crude oil'!AC2625</f>
        <v>0</v>
      </c>
      <c r="AD2624">
        <f>'raw data Crude oil'!AD2625</f>
        <v>0</v>
      </c>
      <c r="AE2624">
        <f>'raw data Crude oil'!AE2625</f>
        <v>0</v>
      </c>
      <c r="AF2624">
        <f>'raw data Crude oil'!AF2625</f>
        <v>0</v>
      </c>
      <c r="AG2624">
        <f>'raw data Crude oil'!AG2625</f>
        <v>0</v>
      </c>
      <c r="AH2624">
        <f>'raw data Crude oil'!AH2625</f>
        <v>0</v>
      </c>
      <c r="AI2624">
        <f>'raw data Crude oil'!AI2625</f>
        <v>0</v>
      </c>
      <c r="AJ2624">
        <f>'raw data Crude oil'!AJ2625</f>
        <v>0</v>
      </c>
      <c r="AK2624">
        <f>'raw data Crude oil'!AK2625</f>
        <v>0</v>
      </c>
    </row>
    <row r="2625" spans="1:37" x14ac:dyDescent="0.3">
      <c r="A2625" s="18">
        <f>'raw data Crude oil'!A2626</f>
        <v>0</v>
      </c>
      <c r="B2625">
        <f>'raw data Crude oil'!B2626</f>
        <v>0</v>
      </c>
      <c r="C2625">
        <f>'raw data Crude oil'!C2626</f>
        <v>0</v>
      </c>
      <c r="D2625">
        <f>'raw data Crude oil'!D2626</f>
        <v>0</v>
      </c>
      <c r="E2625">
        <f>'raw data Crude oil'!E2626</f>
        <v>0</v>
      </c>
      <c r="F2625">
        <f>'raw data Crude oil'!F2626</f>
        <v>0</v>
      </c>
      <c r="G2625">
        <f>'raw data Crude oil'!G2626</f>
        <v>0</v>
      </c>
      <c r="H2625">
        <f>'raw data Crude oil'!H2626</f>
        <v>0</v>
      </c>
      <c r="I2625">
        <f>'raw data Crude oil'!I2626</f>
        <v>0</v>
      </c>
      <c r="J2625">
        <f>'raw data Crude oil'!J2626</f>
        <v>0</v>
      </c>
      <c r="K2625">
        <f>'raw data Crude oil'!K2626</f>
        <v>0</v>
      </c>
      <c r="L2625">
        <f>'raw data Crude oil'!L2626</f>
        <v>0</v>
      </c>
      <c r="M2625">
        <f>'raw data Crude oil'!M2626</f>
        <v>0</v>
      </c>
      <c r="N2625">
        <f>'raw data Crude oil'!N2626</f>
        <v>0</v>
      </c>
      <c r="O2625">
        <f>'raw data Crude oil'!O2626</f>
        <v>0</v>
      </c>
      <c r="P2625">
        <f>'raw data Crude oil'!P2626</f>
        <v>0</v>
      </c>
      <c r="Q2625">
        <f>'raw data Crude oil'!Q2626</f>
        <v>0</v>
      </c>
      <c r="R2625">
        <f>'raw data Crude oil'!R2626</f>
        <v>0</v>
      </c>
      <c r="S2625">
        <f>'raw data Crude oil'!S2626</f>
        <v>0</v>
      </c>
      <c r="T2625">
        <f>'raw data Crude oil'!T2626</f>
        <v>0</v>
      </c>
      <c r="U2625">
        <f>'raw data Crude oil'!U2626</f>
        <v>0</v>
      </c>
      <c r="V2625">
        <f>'raw data Crude oil'!V2626</f>
        <v>0</v>
      </c>
      <c r="W2625">
        <f>'raw data Crude oil'!W2626</f>
        <v>0</v>
      </c>
      <c r="X2625">
        <f>'raw data Crude oil'!X2626</f>
        <v>0</v>
      </c>
      <c r="Y2625">
        <f>'raw data Crude oil'!Y2626</f>
        <v>0</v>
      </c>
      <c r="Z2625">
        <f>'raw data Crude oil'!Z2626</f>
        <v>0</v>
      </c>
      <c r="AA2625">
        <f>'raw data Crude oil'!AA2626</f>
        <v>0</v>
      </c>
      <c r="AB2625">
        <f>'raw data Crude oil'!AB2626</f>
        <v>0</v>
      </c>
      <c r="AC2625">
        <f>'raw data Crude oil'!AC2626</f>
        <v>0</v>
      </c>
      <c r="AD2625">
        <f>'raw data Crude oil'!AD2626</f>
        <v>0</v>
      </c>
      <c r="AE2625">
        <f>'raw data Crude oil'!AE2626</f>
        <v>0</v>
      </c>
      <c r="AF2625">
        <f>'raw data Crude oil'!AF2626</f>
        <v>0</v>
      </c>
      <c r="AG2625">
        <f>'raw data Crude oil'!AG2626</f>
        <v>0</v>
      </c>
      <c r="AH2625">
        <f>'raw data Crude oil'!AH2626</f>
        <v>0</v>
      </c>
      <c r="AI2625">
        <f>'raw data Crude oil'!AI2626</f>
        <v>0</v>
      </c>
      <c r="AJ2625">
        <f>'raw data Crude oil'!AJ2626</f>
        <v>0</v>
      </c>
      <c r="AK2625">
        <f>'raw data Crude oil'!AK2626</f>
        <v>0</v>
      </c>
    </row>
    <row r="2626" spans="1:37" x14ac:dyDescent="0.3">
      <c r="A2626" s="18">
        <f>'raw data Crude oil'!A2627</f>
        <v>0</v>
      </c>
      <c r="B2626">
        <f>'raw data Crude oil'!B2627</f>
        <v>0</v>
      </c>
      <c r="C2626">
        <f>'raw data Crude oil'!C2627</f>
        <v>0</v>
      </c>
      <c r="D2626">
        <f>'raw data Crude oil'!D2627</f>
        <v>0</v>
      </c>
      <c r="E2626">
        <f>'raw data Crude oil'!E2627</f>
        <v>0</v>
      </c>
      <c r="F2626">
        <f>'raw data Crude oil'!F2627</f>
        <v>0</v>
      </c>
      <c r="G2626">
        <f>'raw data Crude oil'!G2627</f>
        <v>0</v>
      </c>
      <c r="H2626">
        <f>'raw data Crude oil'!H2627</f>
        <v>0</v>
      </c>
      <c r="I2626">
        <f>'raw data Crude oil'!I2627</f>
        <v>0</v>
      </c>
      <c r="J2626">
        <f>'raw data Crude oil'!J2627</f>
        <v>0</v>
      </c>
      <c r="K2626">
        <f>'raw data Crude oil'!K2627</f>
        <v>0</v>
      </c>
      <c r="L2626">
        <f>'raw data Crude oil'!L2627</f>
        <v>0</v>
      </c>
      <c r="M2626">
        <f>'raw data Crude oil'!M2627</f>
        <v>0</v>
      </c>
      <c r="N2626">
        <f>'raw data Crude oil'!N2627</f>
        <v>0</v>
      </c>
      <c r="O2626">
        <f>'raw data Crude oil'!O2627</f>
        <v>0</v>
      </c>
      <c r="P2626">
        <f>'raw data Crude oil'!P2627</f>
        <v>0</v>
      </c>
      <c r="Q2626">
        <f>'raw data Crude oil'!Q2627</f>
        <v>0</v>
      </c>
      <c r="R2626">
        <f>'raw data Crude oil'!R2627</f>
        <v>0</v>
      </c>
      <c r="S2626">
        <f>'raw data Crude oil'!S2627</f>
        <v>0</v>
      </c>
      <c r="T2626">
        <f>'raw data Crude oil'!T2627</f>
        <v>0</v>
      </c>
      <c r="U2626">
        <f>'raw data Crude oil'!U2627</f>
        <v>0</v>
      </c>
      <c r="V2626">
        <f>'raw data Crude oil'!V2627</f>
        <v>0</v>
      </c>
      <c r="W2626">
        <f>'raw data Crude oil'!W2627</f>
        <v>0</v>
      </c>
      <c r="X2626">
        <f>'raw data Crude oil'!X2627</f>
        <v>0</v>
      </c>
      <c r="Y2626">
        <f>'raw data Crude oil'!Y2627</f>
        <v>0</v>
      </c>
      <c r="Z2626">
        <f>'raw data Crude oil'!Z2627</f>
        <v>0</v>
      </c>
      <c r="AA2626">
        <f>'raw data Crude oil'!AA2627</f>
        <v>0</v>
      </c>
      <c r="AB2626">
        <f>'raw data Crude oil'!AB2627</f>
        <v>0</v>
      </c>
      <c r="AC2626">
        <f>'raw data Crude oil'!AC2627</f>
        <v>0</v>
      </c>
      <c r="AD2626">
        <f>'raw data Crude oil'!AD2627</f>
        <v>0</v>
      </c>
      <c r="AE2626">
        <f>'raw data Crude oil'!AE2627</f>
        <v>0</v>
      </c>
      <c r="AF2626">
        <f>'raw data Crude oil'!AF2627</f>
        <v>0</v>
      </c>
      <c r="AG2626">
        <f>'raw data Crude oil'!AG2627</f>
        <v>0</v>
      </c>
      <c r="AH2626">
        <f>'raw data Crude oil'!AH2627</f>
        <v>0</v>
      </c>
      <c r="AI2626">
        <f>'raw data Crude oil'!AI2627</f>
        <v>0</v>
      </c>
      <c r="AJ2626">
        <f>'raw data Crude oil'!AJ2627</f>
        <v>0</v>
      </c>
      <c r="AK2626">
        <f>'raw data Crude oil'!AK2627</f>
        <v>0</v>
      </c>
    </row>
    <row r="2627" spans="1:37" x14ac:dyDescent="0.3">
      <c r="A2627" s="18">
        <f>'raw data Crude oil'!A2628</f>
        <v>0</v>
      </c>
      <c r="B2627">
        <f>'raw data Crude oil'!B2628</f>
        <v>0</v>
      </c>
      <c r="C2627">
        <f>'raw data Crude oil'!C2628</f>
        <v>0</v>
      </c>
      <c r="D2627">
        <f>'raw data Crude oil'!D2628</f>
        <v>0</v>
      </c>
      <c r="E2627">
        <f>'raw data Crude oil'!E2628</f>
        <v>0</v>
      </c>
      <c r="F2627">
        <f>'raw data Crude oil'!F2628</f>
        <v>0</v>
      </c>
      <c r="G2627">
        <f>'raw data Crude oil'!G2628</f>
        <v>0</v>
      </c>
      <c r="H2627">
        <f>'raw data Crude oil'!H2628</f>
        <v>0</v>
      </c>
      <c r="I2627">
        <f>'raw data Crude oil'!I2628</f>
        <v>0</v>
      </c>
      <c r="J2627">
        <f>'raw data Crude oil'!J2628</f>
        <v>0</v>
      </c>
      <c r="K2627">
        <f>'raw data Crude oil'!K2628</f>
        <v>0</v>
      </c>
      <c r="L2627">
        <f>'raw data Crude oil'!L2628</f>
        <v>0</v>
      </c>
      <c r="M2627">
        <f>'raw data Crude oil'!M2628</f>
        <v>0</v>
      </c>
      <c r="N2627">
        <f>'raw data Crude oil'!N2628</f>
        <v>0</v>
      </c>
      <c r="O2627">
        <f>'raw data Crude oil'!O2628</f>
        <v>0</v>
      </c>
      <c r="P2627">
        <f>'raw data Crude oil'!P2628</f>
        <v>0</v>
      </c>
      <c r="Q2627">
        <f>'raw data Crude oil'!Q2628</f>
        <v>0</v>
      </c>
      <c r="R2627">
        <f>'raw data Crude oil'!R2628</f>
        <v>0</v>
      </c>
      <c r="S2627">
        <f>'raw data Crude oil'!S2628</f>
        <v>0</v>
      </c>
      <c r="T2627">
        <f>'raw data Crude oil'!T2628</f>
        <v>0</v>
      </c>
      <c r="U2627">
        <f>'raw data Crude oil'!U2628</f>
        <v>0</v>
      </c>
      <c r="V2627">
        <f>'raw data Crude oil'!V2628</f>
        <v>0</v>
      </c>
      <c r="W2627">
        <f>'raw data Crude oil'!W2628</f>
        <v>0</v>
      </c>
      <c r="X2627">
        <f>'raw data Crude oil'!X2628</f>
        <v>0</v>
      </c>
      <c r="Y2627">
        <f>'raw data Crude oil'!Y2628</f>
        <v>0</v>
      </c>
      <c r="Z2627">
        <f>'raw data Crude oil'!Z2628</f>
        <v>0</v>
      </c>
      <c r="AA2627">
        <f>'raw data Crude oil'!AA2628</f>
        <v>0</v>
      </c>
      <c r="AB2627">
        <f>'raw data Crude oil'!AB2628</f>
        <v>0</v>
      </c>
      <c r="AC2627">
        <f>'raw data Crude oil'!AC2628</f>
        <v>0</v>
      </c>
      <c r="AD2627">
        <f>'raw data Crude oil'!AD2628</f>
        <v>0</v>
      </c>
      <c r="AE2627">
        <f>'raw data Crude oil'!AE2628</f>
        <v>0</v>
      </c>
      <c r="AF2627">
        <f>'raw data Crude oil'!AF2628</f>
        <v>0</v>
      </c>
      <c r="AG2627">
        <f>'raw data Crude oil'!AG2628</f>
        <v>0</v>
      </c>
      <c r="AH2627">
        <f>'raw data Crude oil'!AH2628</f>
        <v>0</v>
      </c>
      <c r="AI2627">
        <f>'raw data Crude oil'!AI2628</f>
        <v>0</v>
      </c>
      <c r="AJ2627">
        <f>'raw data Crude oil'!AJ2628</f>
        <v>0</v>
      </c>
      <c r="AK2627">
        <f>'raw data Crude oil'!AK2628</f>
        <v>0</v>
      </c>
    </row>
    <row r="2628" spans="1:37" x14ac:dyDescent="0.3">
      <c r="A2628" s="18">
        <f>'raw data Crude oil'!A2629</f>
        <v>0</v>
      </c>
      <c r="B2628">
        <f>'raw data Crude oil'!B2629</f>
        <v>0</v>
      </c>
      <c r="C2628">
        <f>'raw data Crude oil'!C2629</f>
        <v>0</v>
      </c>
      <c r="D2628">
        <f>'raw data Crude oil'!D2629</f>
        <v>0</v>
      </c>
      <c r="E2628">
        <f>'raw data Crude oil'!E2629</f>
        <v>0</v>
      </c>
      <c r="F2628">
        <f>'raw data Crude oil'!F2629</f>
        <v>0</v>
      </c>
      <c r="G2628">
        <f>'raw data Crude oil'!G2629</f>
        <v>0</v>
      </c>
      <c r="H2628">
        <f>'raw data Crude oil'!H2629</f>
        <v>0</v>
      </c>
      <c r="I2628">
        <f>'raw data Crude oil'!I2629</f>
        <v>0</v>
      </c>
      <c r="J2628">
        <f>'raw data Crude oil'!J2629</f>
        <v>0</v>
      </c>
      <c r="K2628">
        <f>'raw data Crude oil'!K2629</f>
        <v>0</v>
      </c>
      <c r="L2628">
        <f>'raw data Crude oil'!L2629</f>
        <v>0</v>
      </c>
      <c r="M2628">
        <f>'raw data Crude oil'!M2629</f>
        <v>0</v>
      </c>
      <c r="N2628">
        <f>'raw data Crude oil'!N2629</f>
        <v>0</v>
      </c>
      <c r="O2628">
        <f>'raw data Crude oil'!O2629</f>
        <v>0</v>
      </c>
      <c r="P2628">
        <f>'raw data Crude oil'!P2629</f>
        <v>0</v>
      </c>
      <c r="Q2628">
        <f>'raw data Crude oil'!Q2629</f>
        <v>0</v>
      </c>
      <c r="R2628">
        <f>'raw data Crude oil'!R2629</f>
        <v>0</v>
      </c>
      <c r="S2628">
        <f>'raw data Crude oil'!S2629</f>
        <v>0</v>
      </c>
      <c r="T2628">
        <f>'raw data Crude oil'!T2629</f>
        <v>0</v>
      </c>
      <c r="U2628">
        <f>'raw data Crude oil'!U2629</f>
        <v>0</v>
      </c>
      <c r="V2628">
        <f>'raw data Crude oil'!V2629</f>
        <v>0</v>
      </c>
      <c r="W2628">
        <f>'raw data Crude oil'!W2629</f>
        <v>0</v>
      </c>
      <c r="X2628">
        <f>'raw data Crude oil'!X2629</f>
        <v>0</v>
      </c>
      <c r="Y2628">
        <f>'raw data Crude oil'!Y2629</f>
        <v>0</v>
      </c>
      <c r="Z2628">
        <f>'raw data Crude oil'!Z2629</f>
        <v>0</v>
      </c>
      <c r="AA2628">
        <f>'raw data Crude oil'!AA2629</f>
        <v>0</v>
      </c>
      <c r="AB2628">
        <f>'raw data Crude oil'!AB2629</f>
        <v>0</v>
      </c>
      <c r="AC2628">
        <f>'raw data Crude oil'!AC2629</f>
        <v>0</v>
      </c>
      <c r="AD2628">
        <f>'raw data Crude oil'!AD2629</f>
        <v>0</v>
      </c>
      <c r="AE2628">
        <f>'raw data Crude oil'!AE2629</f>
        <v>0</v>
      </c>
      <c r="AF2628">
        <f>'raw data Crude oil'!AF2629</f>
        <v>0</v>
      </c>
      <c r="AG2628">
        <f>'raw data Crude oil'!AG2629</f>
        <v>0</v>
      </c>
      <c r="AH2628">
        <f>'raw data Crude oil'!AH2629</f>
        <v>0</v>
      </c>
      <c r="AI2628">
        <f>'raw data Crude oil'!AI2629</f>
        <v>0</v>
      </c>
      <c r="AJ2628">
        <f>'raw data Crude oil'!AJ2629</f>
        <v>0</v>
      </c>
      <c r="AK2628">
        <f>'raw data Crude oil'!AK2629</f>
        <v>0</v>
      </c>
    </row>
    <row r="2629" spans="1:37" x14ac:dyDescent="0.3">
      <c r="A2629" s="18">
        <f>'raw data Crude oil'!A2630</f>
        <v>0</v>
      </c>
      <c r="B2629">
        <f>'raw data Crude oil'!B2630</f>
        <v>0</v>
      </c>
      <c r="C2629">
        <f>'raw data Crude oil'!C2630</f>
        <v>0</v>
      </c>
      <c r="D2629">
        <f>'raw data Crude oil'!D2630</f>
        <v>0</v>
      </c>
      <c r="E2629">
        <f>'raw data Crude oil'!E2630</f>
        <v>0</v>
      </c>
      <c r="F2629">
        <f>'raw data Crude oil'!F2630</f>
        <v>0</v>
      </c>
      <c r="G2629">
        <f>'raw data Crude oil'!G2630</f>
        <v>0</v>
      </c>
      <c r="H2629">
        <f>'raw data Crude oil'!H2630</f>
        <v>0</v>
      </c>
      <c r="I2629">
        <f>'raw data Crude oil'!I2630</f>
        <v>0</v>
      </c>
      <c r="J2629">
        <f>'raw data Crude oil'!J2630</f>
        <v>0</v>
      </c>
      <c r="K2629">
        <f>'raw data Crude oil'!K2630</f>
        <v>0</v>
      </c>
      <c r="L2629">
        <f>'raw data Crude oil'!L2630</f>
        <v>0</v>
      </c>
      <c r="M2629">
        <f>'raw data Crude oil'!M2630</f>
        <v>0</v>
      </c>
      <c r="N2629">
        <f>'raw data Crude oil'!N2630</f>
        <v>0</v>
      </c>
      <c r="O2629">
        <f>'raw data Crude oil'!O2630</f>
        <v>0</v>
      </c>
      <c r="P2629">
        <f>'raw data Crude oil'!P2630</f>
        <v>0</v>
      </c>
      <c r="Q2629">
        <f>'raw data Crude oil'!Q2630</f>
        <v>0</v>
      </c>
      <c r="R2629">
        <f>'raw data Crude oil'!R2630</f>
        <v>0</v>
      </c>
      <c r="S2629">
        <f>'raw data Crude oil'!S2630</f>
        <v>0</v>
      </c>
      <c r="T2629">
        <f>'raw data Crude oil'!T2630</f>
        <v>0</v>
      </c>
      <c r="U2629">
        <f>'raw data Crude oil'!U2630</f>
        <v>0</v>
      </c>
      <c r="V2629">
        <f>'raw data Crude oil'!V2630</f>
        <v>0</v>
      </c>
      <c r="W2629">
        <f>'raw data Crude oil'!W2630</f>
        <v>0</v>
      </c>
      <c r="X2629">
        <f>'raw data Crude oil'!X2630</f>
        <v>0</v>
      </c>
      <c r="Y2629">
        <f>'raw data Crude oil'!Y2630</f>
        <v>0</v>
      </c>
      <c r="Z2629">
        <f>'raw data Crude oil'!Z2630</f>
        <v>0</v>
      </c>
      <c r="AA2629">
        <f>'raw data Crude oil'!AA2630</f>
        <v>0</v>
      </c>
      <c r="AB2629">
        <f>'raw data Crude oil'!AB2630</f>
        <v>0</v>
      </c>
      <c r="AC2629">
        <f>'raw data Crude oil'!AC2630</f>
        <v>0</v>
      </c>
      <c r="AD2629">
        <f>'raw data Crude oil'!AD2630</f>
        <v>0</v>
      </c>
      <c r="AE2629">
        <f>'raw data Crude oil'!AE2630</f>
        <v>0</v>
      </c>
      <c r="AF2629">
        <f>'raw data Crude oil'!AF2630</f>
        <v>0</v>
      </c>
      <c r="AG2629">
        <f>'raw data Crude oil'!AG2630</f>
        <v>0</v>
      </c>
      <c r="AH2629">
        <f>'raw data Crude oil'!AH2630</f>
        <v>0</v>
      </c>
      <c r="AI2629">
        <f>'raw data Crude oil'!AI2630</f>
        <v>0</v>
      </c>
      <c r="AJ2629">
        <f>'raw data Crude oil'!AJ2630</f>
        <v>0</v>
      </c>
      <c r="AK2629">
        <f>'raw data Crude oil'!AK2630</f>
        <v>0</v>
      </c>
    </row>
    <row r="2630" spans="1:37" x14ac:dyDescent="0.3">
      <c r="A2630" s="18">
        <f>'raw data Crude oil'!A2631</f>
        <v>0</v>
      </c>
      <c r="B2630">
        <f>'raw data Crude oil'!B2631</f>
        <v>0</v>
      </c>
      <c r="C2630">
        <f>'raw data Crude oil'!C2631</f>
        <v>0</v>
      </c>
      <c r="D2630">
        <f>'raw data Crude oil'!D2631</f>
        <v>0</v>
      </c>
      <c r="E2630">
        <f>'raw data Crude oil'!E2631</f>
        <v>0</v>
      </c>
      <c r="F2630">
        <f>'raw data Crude oil'!F2631</f>
        <v>0</v>
      </c>
      <c r="G2630">
        <f>'raw data Crude oil'!G2631</f>
        <v>0</v>
      </c>
      <c r="H2630">
        <f>'raw data Crude oil'!H2631</f>
        <v>0</v>
      </c>
      <c r="I2630">
        <f>'raw data Crude oil'!I2631</f>
        <v>0</v>
      </c>
      <c r="J2630">
        <f>'raw data Crude oil'!J2631</f>
        <v>0</v>
      </c>
      <c r="K2630">
        <f>'raw data Crude oil'!K2631</f>
        <v>0</v>
      </c>
      <c r="L2630">
        <f>'raw data Crude oil'!L2631</f>
        <v>0</v>
      </c>
      <c r="M2630">
        <f>'raw data Crude oil'!M2631</f>
        <v>0</v>
      </c>
      <c r="N2630">
        <f>'raw data Crude oil'!N2631</f>
        <v>0</v>
      </c>
      <c r="O2630">
        <f>'raw data Crude oil'!O2631</f>
        <v>0</v>
      </c>
      <c r="P2630">
        <f>'raw data Crude oil'!P2631</f>
        <v>0</v>
      </c>
      <c r="Q2630">
        <f>'raw data Crude oil'!Q2631</f>
        <v>0</v>
      </c>
      <c r="R2630">
        <f>'raw data Crude oil'!R2631</f>
        <v>0</v>
      </c>
      <c r="S2630">
        <f>'raw data Crude oil'!S2631</f>
        <v>0</v>
      </c>
      <c r="T2630">
        <f>'raw data Crude oil'!T2631</f>
        <v>0</v>
      </c>
      <c r="U2630">
        <f>'raw data Crude oil'!U2631</f>
        <v>0</v>
      </c>
      <c r="V2630">
        <f>'raw data Crude oil'!V2631</f>
        <v>0</v>
      </c>
      <c r="W2630">
        <f>'raw data Crude oil'!W2631</f>
        <v>0</v>
      </c>
      <c r="X2630">
        <f>'raw data Crude oil'!X2631</f>
        <v>0</v>
      </c>
      <c r="Y2630">
        <f>'raw data Crude oil'!Y2631</f>
        <v>0</v>
      </c>
      <c r="Z2630">
        <f>'raw data Crude oil'!Z2631</f>
        <v>0</v>
      </c>
      <c r="AA2630">
        <f>'raw data Crude oil'!AA2631</f>
        <v>0</v>
      </c>
      <c r="AB2630">
        <f>'raw data Crude oil'!AB2631</f>
        <v>0</v>
      </c>
      <c r="AC2630">
        <f>'raw data Crude oil'!AC2631</f>
        <v>0</v>
      </c>
      <c r="AD2630">
        <f>'raw data Crude oil'!AD2631</f>
        <v>0</v>
      </c>
      <c r="AE2630">
        <f>'raw data Crude oil'!AE2631</f>
        <v>0</v>
      </c>
      <c r="AF2630">
        <f>'raw data Crude oil'!AF2631</f>
        <v>0</v>
      </c>
      <c r="AG2630">
        <f>'raw data Crude oil'!AG2631</f>
        <v>0</v>
      </c>
      <c r="AH2630">
        <f>'raw data Crude oil'!AH2631</f>
        <v>0</v>
      </c>
      <c r="AI2630">
        <f>'raw data Crude oil'!AI2631</f>
        <v>0</v>
      </c>
      <c r="AJ2630">
        <f>'raw data Crude oil'!AJ2631</f>
        <v>0</v>
      </c>
      <c r="AK2630">
        <f>'raw data Crude oil'!AK2631</f>
        <v>0</v>
      </c>
    </row>
    <row r="2631" spans="1:37" x14ac:dyDescent="0.3">
      <c r="A2631" s="18">
        <f>'raw data Crude oil'!A2632</f>
        <v>0</v>
      </c>
      <c r="B2631">
        <f>'raw data Crude oil'!B2632</f>
        <v>0</v>
      </c>
      <c r="C2631">
        <f>'raw data Crude oil'!C2632</f>
        <v>0</v>
      </c>
      <c r="D2631">
        <f>'raw data Crude oil'!D2632</f>
        <v>0</v>
      </c>
      <c r="E2631">
        <f>'raw data Crude oil'!E2632</f>
        <v>0</v>
      </c>
      <c r="F2631">
        <f>'raw data Crude oil'!F2632</f>
        <v>0</v>
      </c>
      <c r="G2631">
        <f>'raw data Crude oil'!G2632</f>
        <v>0</v>
      </c>
      <c r="H2631">
        <f>'raw data Crude oil'!H2632</f>
        <v>0</v>
      </c>
      <c r="I2631">
        <f>'raw data Crude oil'!I2632</f>
        <v>0</v>
      </c>
      <c r="J2631">
        <f>'raw data Crude oil'!J2632</f>
        <v>0</v>
      </c>
      <c r="K2631">
        <f>'raw data Crude oil'!K2632</f>
        <v>0</v>
      </c>
      <c r="L2631">
        <f>'raw data Crude oil'!L2632</f>
        <v>0</v>
      </c>
      <c r="M2631">
        <f>'raw data Crude oil'!M2632</f>
        <v>0</v>
      </c>
      <c r="N2631">
        <f>'raw data Crude oil'!N2632</f>
        <v>0</v>
      </c>
      <c r="O2631">
        <f>'raw data Crude oil'!O2632</f>
        <v>0</v>
      </c>
      <c r="P2631">
        <f>'raw data Crude oil'!P2632</f>
        <v>0</v>
      </c>
      <c r="Q2631">
        <f>'raw data Crude oil'!Q2632</f>
        <v>0</v>
      </c>
      <c r="R2631">
        <f>'raw data Crude oil'!R2632</f>
        <v>0</v>
      </c>
      <c r="S2631">
        <f>'raw data Crude oil'!S2632</f>
        <v>0</v>
      </c>
      <c r="T2631">
        <f>'raw data Crude oil'!T2632</f>
        <v>0</v>
      </c>
      <c r="U2631">
        <f>'raw data Crude oil'!U2632</f>
        <v>0</v>
      </c>
      <c r="V2631">
        <f>'raw data Crude oil'!V2632</f>
        <v>0</v>
      </c>
      <c r="W2631">
        <f>'raw data Crude oil'!W2632</f>
        <v>0</v>
      </c>
      <c r="X2631">
        <f>'raw data Crude oil'!X2632</f>
        <v>0</v>
      </c>
      <c r="Y2631">
        <f>'raw data Crude oil'!Y2632</f>
        <v>0</v>
      </c>
      <c r="Z2631">
        <f>'raw data Crude oil'!Z2632</f>
        <v>0</v>
      </c>
      <c r="AA2631">
        <f>'raw data Crude oil'!AA2632</f>
        <v>0</v>
      </c>
      <c r="AB2631">
        <f>'raw data Crude oil'!AB2632</f>
        <v>0</v>
      </c>
      <c r="AC2631">
        <f>'raw data Crude oil'!AC2632</f>
        <v>0</v>
      </c>
      <c r="AD2631">
        <f>'raw data Crude oil'!AD2632</f>
        <v>0</v>
      </c>
      <c r="AE2631">
        <f>'raw data Crude oil'!AE2632</f>
        <v>0</v>
      </c>
      <c r="AF2631">
        <f>'raw data Crude oil'!AF2632</f>
        <v>0</v>
      </c>
      <c r="AG2631">
        <f>'raw data Crude oil'!AG2632</f>
        <v>0</v>
      </c>
      <c r="AH2631">
        <f>'raw data Crude oil'!AH2632</f>
        <v>0</v>
      </c>
      <c r="AI2631">
        <f>'raw data Crude oil'!AI2632</f>
        <v>0</v>
      </c>
      <c r="AJ2631">
        <f>'raw data Crude oil'!AJ2632</f>
        <v>0</v>
      </c>
      <c r="AK2631">
        <f>'raw data Crude oil'!AK2632</f>
        <v>0</v>
      </c>
    </row>
    <row r="2632" spans="1:37" x14ac:dyDescent="0.3">
      <c r="A2632" s="18">
        <f>'raw data Crude oil'!A2633</f>
        <v>0</v>
      </c>
      <c r="B2632">
        <f>'raw data Crude oil'!B2633</f>
        <v>0</v>
      </c>
      <c r="C2632">
        <f>'raw data Crude oil'!C2633</f>
        <v>0</v>
      </c>
      <c r="D2632">
        <f>'raw data Crude oil'!D2633</f>
        <v>0</v>
      </c>
      <c r="E2632">
        <f>'raw data Crude oil'!E2633</f>
        <v>0</v>
      </c>
      <c r="F2632">
        <f>'raw data Crude oil'!F2633</f>
        <v>0</v>
      </c>
      <c r="G2632">
        <f>'raw data Crude oil'!G2633</f>
        <v>0</v>
      </c>
      <c r="H2632">
        <f>'raw data Crude oil'!H2633</f>
        <v>0</v>
      </c>
      <c r="I2632">
        <f>'raw data Crude oil'!I2633</f>
        <v>0</v>
      </c>
      <c r="J2632">
        <f>'raw data Crude oil'!J2633</f>
        <v>0</v>
      </c>
      <c r="K2632">
        <f>'raw data Crude oil'!K2633</f>
        <v>0</v>
      </c>
      <c r="L2632">
        <f>'raw data Crude oil'!L2633</f>
        <v>0</v>
      </c>
      <c r="M2632">
        <f>'raw data Crude oil'!M2633</f>
        <v>0</v>
      </c>
      <c r="N2632">
        <f>'raw data Crude oil'!N2633</f>
        <v>0</v>
      </c>
      <c r="O2632">
        <f>'raw data Crude oil'!O2633</f>
        <v>0</v>
      </c>
      <c r="P2632">
        <f>'raw data Crude oil'!P2633</f>
        <v>0</v>
      </c>
      <c r="Q2632">
        <f>'raw data Crude oil'!Q2633</f>
        <v>0</v>
      </c>
      <c r="R2632">
        <f>'raw data Crude oil'!R2633</f>
        <v>0</v>
      </c>
      <c r="S2632">
        <f>'raw data Crude oil'!S2633</f>
        <v>0</v>
      </c>
      <c r="T2632">
        <f>'raw data Crude oil'!T2633</f>
        <v>0</v>
      </c>
      <c r="U2632">
        <f>'raw data Crude oil'!U2633</f>
        <v>0</v>
      </c>
      <c r="V2632">
        <f>'raw data Crude oil'!V2633</f>
        <v>0</v>
      </c>
      <c r="W2632">
        <f>'raw data Crude oil'!W2633</f>
        <v>0</v>
      </c>
      <c r="X2632">
        <f>'raw data Crude oil'!X2633</f>
        <v>0</v>
      </c>
      <c r="Y2632">
        <f>'raw data Crude oil'!Y2633</f>
        <v>0</v>
      </c>
      <c r="Z2632">
        <f>'raw data Crude oil'!Z2633</f>
        <v>0</v>
      </c>
      <c r="AA2632">
        <f>'raw data Crude oil'!AA2633</f>
        <v>0</v>
      </c>
      <c r="AB2632">
        <f>'raw data Crude oil'!AB2633</f>
        <v>0</v>
      </c>
      <c r="AC2632">
        <f>'raw data Crude oil'!AC2633</f>
        <v>0</v>
      </c>
      <c r="AD2632">
        <f>'raw data Crude oil'!AD2633</f>
        <v>0</v>
      </c>
      <c r="AE2632">
        <f>'raw data Crude oil'!AE2633</f>
        <v>0</v>
      </c>
      <c r="AF2632">
        <f>'raw data Crude oil'!AF2633</f>
        <v>0</v>
      </c>
      <c r="AG2632">
        <f>'raw data Crude oil'!AG2633</f>
        <v>0</v>
      </c>
      <c r="AH2632">
        <f>'raw data Crude oil'!AH2633</f>
        <v>0</v>
      </c>
      <c r="AI2632">
        <f>'raw data Crude oil'!AI2633</f>
        <v>0</v>
      </c>
      <c r="AJ2632">
        <f>'raw data Crude oil'!AJ2633</f>
        <v>0</v>
      </c>
      <c r="AK2632">
        <f>'raw data Crude oil'!AK2633</f>
        <v>0</v>
      </c>
    </row>
    <row r="2633" spans="1:37" x14ac:dyDescent="0.3">
      <c r="A2633" s="18">
        <f>'raw data Crude oil'!A2634</f>
        <v>0</v>
      </c>
      <c r="B2633">
        <f>'raw data Crude oil'!B2634</f>
        <v>0</v>
      </c>
      <c r="C2633">
        <f>'raw data Crude oil'!C2634</f>
        <v>0</v>
      </c>
      <c r="D2633">
        <f>'raw data Crude oil'!D2634</f>
        <v>0</v>
      </c>
      <c r="E2633">
        <f>'raw data Crude oil'!E2634</f>
        <v>0</v>
      </c>
      <c r="F2633">
        <f>'raw data Crude oil'!F2634</f>
        <v>0</v>
      </c>
      <c r="G2633">
        <f>'raw data Crude oil'!G2634</f>
        <v>0</v>
      </c>
      <c r="H2633">
        <f>'raw data Crude oil'!H2634</f>
        <v>0</v>
      </c>
      <c r="I2633">
        <f>'raw data Crude oil'!I2634</f>
        <v>0</v>
      </c>
      <c r="J2633">
        <f>'raw data Crude oil'!J2634</f>
        <v>0</v>
      </c>
      <c r="K2633">
        <f>'raw data Crude oil'!K2634</f>
        <v>0</v>
      </c>
      <c r="L2633">
        <f>'raw data Crude oil'!L2634</f>
        <v>0</v>
      </c>
      <c r="M2633">
        <f>'raw data Crude oil'!M2634</f>
        <v>0</v>
      </c>
      <c r="N2633">
        <f>'raw data Crude oil'!N2634</f>
        <v>0</v>
      </c>
      <c r="O2633">
        <f>'raw data Crude oil'!O2634</f>
        <v>0</v>
      </c>
      <c r="P2633">
        <f>'raw data Crude oil'!P2634</f>
        <v>0</v>
      </c>
      <c r="Q2633">
        <f>'raw data Crude oil'!Q2634</f>
        <v>0</v>
      </c>
      <c r="R2633">
        <f>'raw data Crude oil'!R2634</f>
        <v>0</v>
      </c>
      <c r="S2633">
        <f>'raw data Crude oil'!S2634</f>
        <v>0</v>
      </c>
      <c r="T2633">
        <f>'raw data Crude oil'!T2634</f>
        <v>0</v>
      </c>
      <c r="U2633">
        <f>'raw data Crude oil'!U2634</f>
        <v>0</v>
      </c>
      <c r="V2633">
        <f>'raw data Crude oil'!V2634</f>
        <v>0</v>
      </c>
      <c r="W2633">
        <f>'raw data Crude oil'!W2634</f>
        <v>0</v>
      </c>
      <c r="X2633">
        <f>'raw data Crude oil'!X2634</f>
        <v>0</v>
      </c>
      <c r="Y2633">
        <f>'raw data Crude oil'!Y2634</f>
        <v>0</v>
      </c>
      <c r="Z2633">
        <f>'raw data Crude oil'!Z2634</f>
        <v>0</v>
      </c>
      <c r="AA2633">
        <f>'raw data Crude oil'!AA2634</f>
        <v>0</v>
      </c>
      <c r="AB2633">
        <f>'raw data Crude oil'!AB2634</f>
        <v>0</v>
      </c>
      <c r="AC2633">
        <f>'raw data Crude oil'!AC2634</f>
        <v>0</v>
      </c>
      <c r="AD2633">
        <f>'raw data Crude oil'!AD2634</f>
        <v>0</v>
      </c>
      <c r="AE2633">
        <f>'raw data Crude oil'!AE2634</f>
        <v>0</v>
      </c>
      <c r="AF2633">
        <f>'raw data Crude oil'!AF2634</f>
        <v>0</v>
      </c>
      <c r="AG2633">
        <f>'raw data Crude oil'!AG2634</f>
        <v>0</v>
      </c>
      <c r="AH2633">
        <f>'raw data Crude oil'!AH2634</f>
        <v>0</v>
      </c>
      <c r="AI2633">
        <f>'raw data Crude oil'!AI2634</f>
        <v>0</v>
      </c>
      <c r="AJ2633">
        <f>'raw data Crude oil'!AJ2634</f>
        <v>0</v>
      </c>
      <c r="AK2633">
        <f>'raw data Crude oil'!AK2634</f>
        <v>0</v>
      </c>
    </row>
    <row r="2634" spans="1:37" x14ac:dyDescent="0.3">
      <c r="A2634" s="18">
        <f>'raw data Crude oil'!A2635</f>
        <v>0</v>
      </c>
      <c r="B2634">
        <f>'raw data Crude oil'!B2635</f>
        <v>0</v>
      </c>
      <c r="C2634">
        <f>'raw data Crude oil'!C2635</f>
        <v>0</v>
      </c>
      <c r="D2634">
        <f>'raw data Crude oil'!D2635</f>
        <v>0</v>
      </c>
      <c r="E2634">
        <f>'raw data Crude oil'!E2635</f>
        <v>0</v>
      </c>
      <c r="F2634">
        <f>'raw data Crude oil'!F2635</f>
        <v>0</v>
      </c>
      <c r="G2634">
        <f>'raw data Crude oil'!G2635</f>
        <v>0</v>
      </c>
      <c r="H2634">
        <f>'raw data Crude oil'!H2635</f>
        <v>0</v>
      </c>
      <c r="I2634">
        <f>'raw data Crude oil'!I2635</f>
        <v>0</v>
      </c>
      <c r="J2634">
        <f>'raw data Crude oil'!J2635</f>
        <v>0</v>
      </c>
      <c r="K2634">
        <f>'raw data Crude oil'!K2635</f>
        <v>0</v>
      </c>
      <c r="L2634">
        <f>'raw data Crude oil'!L2635</f>
        <v>0</v>
      </c>
      <c r="M2634">
        <f>'raw data Crude oil'!M2635</f>
        <v>0</v>
      </c>
      <c r="N2634">
        <f>'raw data Crude oil'!N2635</f>
        <v>0</v>
      </c>
      <c r="O2634">
        <f>'raw data Crude oil'!O2635</f>
        <v>0</v>
      </c>
      <c r="P2634">
        <f>'raw data Crude oil'!P2635</f>
        <v>0</v>
      </c>
      <c r="Q2634">
        <f>'raw data Crude oil'!Q2635</f>
        <v>0</v>
      </c>
      <c r="R2634">
        <f>'raw data Crude oil'!R2635</f>
        <v>0</v>
      </c>
      <c r="S2634">
        <f>'raw data Crude oil'!S2635</f>
        <v>0</v>
      </c>
      <c r="T2634">
        <f>'raw data Crude oil'!T2635</f>
        <v>0</v>
      </c>
      <c r="U2634">
        <f>'raw data Crude oil'!U2635</f>
        <v>0</v>
      </c>
      <c r="V2634">
        <f>'raw data Crude oil'!V2635</f>
        <v>0</v>
      </c>
      <c r="W2634">
        <f>'raw data Crude oil'!W2635</f>
        <v>0</v>
      </c>
      <c r="X2634">
        <f>'raw data Crude oil'!X2635</f>
        <v>0</v>
      </c>
      <c r="Y2634">
        <f>'raw data Crude oil'!Y2635</f>
        <v>0</v>
      </c>
      <c r="Z2634">
        <f>'raw data Crude oil'!Z2635</f>
        <v>0</v>
      </c>
      <c r="AA2634">
        <f>'raw data Crude oil'!AA2635</f>
        <v>0</v>
      </c>
      <c r="AB2634">
        <f>'raw data Crude oil'!AB2635</f>
        <v>0</v>
      </c>
      <c r="AC2634">
        <f>'raw data Crude oil'!AC2635</f>
        <v>0</v>
      </c>
      <c r="AD2634">
        <f>'raw data Crude oil'!AD2635</f>
        <v>0</v>
      </c>
      <c r="AE2634">
        <f>'raw data Crude oil'!AE2635</f>
        <v>0</v>
      </c>
      <c r="AF2634">
        <f>'raw data Crude oil'!AF2635</f>
        <v>0</v>
      </c>
      <c r="AG2634">
        <f>'raw data Crude oil'!AG2635</f>
        <v>0</v>
      </c>
      <c r="AH2634">
        <f>'raw data Crude oil'!AH2635</f>
        <v>0</v>
      </c>
      <c r="AI2634">
        <f>'raw data Crude oil'!AI2635</f>
        <v>0</v>
      </c>
      <c r="AJ2634">
        <f>'raw data Crude oil'!AJ2635</f>
        <v>0</v>
      </c>
      <c r="AK2634">
        <f>'raw data Crude oil'!AK2635</f>
        <v>0</v>
      </c>
    </row>
    <row r="2635" spans="1:37" x14ac:dyDescent="0.3">
      <c r="A2635" s="18">
        <f>'raw data Crude oil'!A2636</f>
        <v>0</v>
      </c>
      <c r="B2635">
        <f>'raw data Crude oil'!B2636</f>
        <v>0</v>
      </c>
      <c r="C2635">
        <f>'raw data Crude oil'!C2636</f>
        <v>0</v>
      </c>
      <c r="D2635">
        <f>'raw data Crude oil'!D2636</f>
        <v>0</v>
      </c>
      <c r="E2635">
        <f>'raw data Crude oil'!E2636</f>
        <v>0</v>
      </c>
      <c r="F2635">
        <f>'raw data Crude oil'!F2636</f>
        <v>0</v>
      </c>
      <c r="G2635">
        <f>'raw data Crude oil'!G2636</f>
        <v>0</v>
      </c>
      <c r="H2635">
        <f>'raw data Crude oil'!H2636</f>
        <v>0</v>
      </c>
      <c r="I2635">
        <f>'raw data Crude oil'!I2636</f>
        <v>0</v>
      </c>
      <c r="J2635">
        <f>'raw data Crude oil'!J2636</f>
        <v>0</v>
      </c>
      <c r="K2635">
        <f>'raw data Crude oil'!K2636</f>
        <v>0</v>
      </c>
      <c r="L2635">
        <f>'raw data Crude oil'!L2636</f>
        <v>0</v>
      </c>
      <c r="M2635">
        <f>'raw data Crude oil'!M2636</f>
        <v>0</v>
      </c>
      <c r="N2635">
        <f>'raw data Crude oil'!N2636</f>
        <v>0</v>
      </c>
      <c r="O2635">
        <f>'raw data Crude oil'!O2636</f>
        <v>0</v>
      </c>
      <c r="P2635">
        <f>'raw data Crude oil'!P2636</f>
        <v>0</v>
      </c>
      <c r="Q2635">
        <f>'raw data Crude oil'!Q2636</f>
        <v>0</v>
      </c>
      <c r="R2635">
        <f>'raw data Crude oil'!R2636</f>
        <v>0</v>
      </c>
      <c r="S2635">
        <f>'raw data Crude oil'!S2636</f>
        <v>0</v>
      </c>
      <c r="T2635">
        <f>'raw data Crude oil'!T2636</f>
        <v>0</v>
      </c>
      <c r="U2635">
        <f>'raw data Crude oil'!U2636</f>
        <v>0</v>
      </c>
      <c r="V2635">
        <f>'raw data Crude oil'!V2636</f>
        <v>0</v>
      </c>
      <c r="W2635">
        <f>'raw data Crude oil'!W2636</f>
        <v>0</v>
      </c>
      <c r="X2635">
        <f>'raw data Crude oil'!X2636</f>
        <v>0</v>
      </c>
      <c r="Y2635">
        <f>'raw data Crude oil'!Y2636</f>
        <v>0</v>
      </c>
      <c r="Z2635">
        <f>'raw data Crude oil'!Z2636</f>
        <v>0</v>
      </c>
      <c r="AA2635">
        <f>'raw data Crude oil'!AA2636</f>
        <v>0</v>
      </c>
      <c r="AB2635">
        <f>'raw data Crude oil'!AB2636</f>
        <v>0</v>
      </c>
      <c r="AC2635">
        <f>'raw data Crude oil'!AC2636</f>
        <v>0</v>
      </c>
      <c r="AD2635">
        <f>'raw data Crude oil'!AD2636</f>
        <v>0</v>
      </c>
      <c r="AE2635">
        <f>'raw data Crude oil'!AE2636</f>
        <v>0</v>
      </c>
      <c r="AF2635">
        <f>'raw data Crude oil'!AF2636</f>
        <v>0</v>
      </c>
      <c r="AG2635">
        <f>'raw data Crude oil'!AG2636</f>
        <v>0</v>
      </c>
      <c r="AH2635">
        <f>'raw data Crude oil'!AH2636</f>
        <v>0</v>
      </c>
      <c r="AI2635">
        <f>'raw data Crude oil'!AI2636</f>
        <v>0</v>
      </c>
      <c r="AJ2635">
        <f>'raw data Crude oil'!AJ2636</f>
        <v>0</v>
      </c>
      <c r="AK2635">
        <f>'raw data Crude oil'!AK2636</f>
        <v>0</v>
      </c>
    </row>
    <row r="2636" spans="1:37" x14ac:dyDescent="0.3">
      <c r="A2636" s="18">
        <f>'raw data Crude oil'!A2637</f>
        <v>0</v>
      </c>
      <c r="B2636">
        <f>'raw data Crude oil'!B2637</f>
        <v>0</v>
      </c>
      <c r="C2636">
        <f>'raw data Crude oil'!C2637</f>
        <v>0</v>
      </c>
      <c r="D2636">
        <f>'raw data Crude oil'!D2637</f>
        <v>0</v>
      </c>
      <c r="E2636">
        <f>'raw data Crude oil'!E2637</f>
        <v>0</v>
      </c>
      <c r="F2636">
        <f>'raw data Crude oil'!F2637</f>
        <v>0</v>
      </c>
      <c r="G2636">
        <f>'raw data Crude oil'!G2637</f>
        <v>0</v>
      </c>
      <c r="H2636">
        <f>'raw data Crude oil'!H2637</f>
        <v>0</v>
      </c>
      <c r="I2636">
        <f>'raw data Crude oil'!I2637</f>
        <v>0</v>
      </c>
      <c r="J2636">
        <f>'raw data Crude oil'!J2637</f>
        <v>0</v>
      </c>
      <c r="K2636">
        <f>'raw data Crude oil'!K2637</f>
        <v>0</v>
      </c>
      <c r="L2636">
        <f>'raw data Crude oil'!L2637</f>
        <v>0</v>
      </c>
      <c r="M2636">
        <f>'raw data Crude oil'!M2637</f>
        <v>0</v>
      </c>
      <c r="N2636">
        <f>'raw data Crude oil'!N2637</f>
        <v>0</v>
      </c>
      <c r="O2636">
        <f>'raw data Crude oil'!O2637</f>
        <v>0</v>
      </c>
      <c r="P2636">
        <f>'raw data Crude oil'!P2637</f>
        <v>0</v>
      </c>
      <c r="Q2636">
        <f>'raw data Crude oil'!Q2637</f>
        <v>0</v>
      </c>
      <c r="R2636">
        <f>'raw data Crude oil'!R2637</f>
        <v>0</v>
      </c>
      <c r="S2636">
        <f>'raw data Crude oil'!S2637</f>
        <v>0</v>
      </c>
      <c r="T2636">
        <f>'raw data Crude oil'!T2637</f>
        <v>0</v>
      </c>
      <c r="U2636">
        <f>'raw data Crude oil'!U2637</f>
        <v>0</v>
      </c>
      <c r="V2636">
        <f>'raw data Crude oil'!V2637</f>
        <v>0</v>
      </c>
      <c r="W2636">
        <f>'raw data Crude oil'!W2637</f>
        <v>0</v>
      </c>
      <c r="X2636">
        <f>'raw data Crude oil'!X2637</f>
        <v>0</v>
      </c>
      <c r="Y2636">
        <f>'raw data Crude oil'!Y2637</f>
        <v>0</v>
      </c>
      <c r="Z2636">
        <f>'raw data Crude oil'!Z2637</f>
        <v>0</v>
      </c>
      <c r="AA2636">
        <f>'raw data Crude oil'!AA2637</f>
        <v>0</v>
      </c>
      <c r="AB2636">
        <f>'raw data Crude oil'!AB2637</f>
        <v>0</v>
      </c>
      <c r="AC2636">
        <f>'raw data Crude oil'!AC2637</f>
        <v>0</v>
      </c>
      <c r="AD2636">
        <f>'raw data Crude oil'!AD2637</f>
        <v>0</v>
      </c>
      <c r="AE2636">
        <f>'raw data Crude oil'!AE2637</f>
        <v>0</v>
      </c>
      <c r="AF2636">
        <f>'raw data Crude oil'!AF2637</f>
        <v>0</v>
      </c>
      <c r="AG2636">
        <f>'raw data Crude oil'!AG2637</f>
        <v>0</v>
      </c>
      <c r="AH2636">
        <f>'raw data Crude oil'!AH2637</f>
        <v>0</v>
      </c>
      <c r="AI2636">
        <f>'raw data Crude oil'!AI2637</f>
        <v>0</v>
      </c>
      <c r="AJ2636">
        <f>'raw data Crude oil'!AJ2637</f>
        <v>0</v>
      </c>
      <c r="AK2636">
        <f>'raw data Crude oil'!AK2637</f>
        <v>0</v>
      </c>
    </row>
    <row r="2637" spans="1:37" x14ac:dyDescent="0.3">
      <c r="A2637" s="18">
        <f>'raw data Crude oil'!A2638</f>
        <v>0</v>
      </c>
      <c r="B2637">
        <f>'raw data Crude oil'!B2638</f>
        <v>0</v>
      </c>
      <c r="C2637">
        <f>'raw data Crude oil'!C2638</f>
        <v>0</v>
      </c>
      <c r="D2637">
        <f>'raw data Crude oil'!D2638</f>
        <v>0</v>
      </c>
      <c r="E2637">
        <f>'raw data Crude oil'!E2638</f>
        <v>0</v>
      </c>
      <c r="F2637">
        <f>'raw data Crude oil'!F2638</f>
        <v>0</v>
      </c>
      <c r="G2637">
        <f>'raw data Crude oil'!G2638</f>
        <v>0</v>
      </c>
      <c r="H2637">
        <f>'raw data Crude oil'!H2638</f>
        <v>0</v>
      </c>
      <c r="I2637">
        <f>'raw data Crude oil'!I2638</f>
        <v>0</v>
      </c>
      <c r="J2637">
        <f>'raw data Crude oil'!J2638</f>
        <v>0</v>
      </c>
      <c r="K2637">
        <f>'raw data Crude oil'!K2638</f>
        <v>0</v>
      </c>
      <c r="L2637">
        <f>'raw data Crude oil'!L2638</f>
        <v>0</v>
      </c>
      <c r="M2637">
        <f>'raw data Crude oil'!M2638</f>
        <v>0</v>
      </c>
      <c r="N2637">
        <f>'raw data Crude oil'!N2638</f>
        <v>0</v>
      </c>
      <c r="O2637">
        <f>'raw data Crude oil'!O2638</f>
        <v>0</v>
      </c>
      <c r="P2637">
        <f>'raw data Crude oil'!P2638</f>
        <v>0</v>
      </c>
      <c r="Q2637">
        <f>'raw data Crude oil'!Q2638</f>
        <v>0</v>
      </c>
      <c r="R2637">
        <f>'raw data Crude oil'!R2638</f>
        <v>0</v>
      </c>
      <c r="S2637">
        <f>'raw data Crude oil'!S2638</f>
        <v>0</v>
      </c>
      <c r="T2637">
        <f>'raw data Crude oil'!T2638</f>
        <v>0</v>
      </c>
      <c r="U2637">
        <f>'raw data Crude oil'!U2638</f>
        <v>0</v>
      </c>
      <c r="V2637">
        <f>'raw data Crude oil'!V2638</f>
        <v>0</v>
      </c>
      <c r="W2637">
        <f>'raw data Crude oil'!W2638</f>
        <v>0</v>
      </c>
      <c r="X2637">
        <f>'raw data Crude oil'!X2638</f>
        <v>0</v>
      </c>
      <c r="Y2637">
        <f>'raw data Crude oil'!Y2638</f>
        <v>0</v>
      </c>
      <c r="Z2637">
        <f>'raw data Crude oil'!Z2638</f>
        <v>0</v>
      </c>
      <c r="AA2637">
        <f>'raw data Crude oil'!AA2638</f>
        <v>0</v>
      </c>
      <c r="AB2637">
        <f>'raw data Crude oil'!AB2638</f>
        <v>0</v>
      </c>
      <c r="AC2637">
        <f>'raw data Crude oil'!AC2638</f>
        <v>0</v>
      </c>
      <c r="AD2637">
        <f>'raw data Crude oil'!AD2638</f>
        <v>0</v>
      </c>
      <c r="AE2637">
        <f>'raw data Crude oil'!AE2638</f>
        <v>0</v>
      </c>
      <c r="AF2637">
        <f>'raw data Crude oil'!AF2638</f>
        <v>0</v>
      </c>
      <c r="AG2637">
        <f>'raw data Crude oil'!AG2638</f>
        <v>0</v>
      </c>
      <c r="AH2637">
        <f>'raw data Crude oil'!AH2638</f>
        <v>0</v>
      </c>
      <c r="AI2637">
        <f>'raw data Crude oil'!AI2638</f>
        <v>0</v>
      </c>
      <c r="AJ2637">
        <f>'raw data Crude oil'!AJ2638</f>
        <v>0</v>
      </c>
      <c r="AK2637">
        <f>'raw data Crude oil'!AK2638</f>
        <v>0</v>
      </c>
    </row>
    <row r="2638" spans="1:37" x14ac:dyDescent="0.3">
      <c r="A2638" s="18">
        <f>'raw data Crude oil'!A2639</f>
        <v>0</v>
      </c>
      <c r="B2638">
        <f>'raw data Crude oil'!B2639</f>
        <v>0</v>
      </c>
      <c r="C2638">
        <f>'raw data Crude oil'!C2639</f>
        <v>0</v>
      </c>
      <c r="D2638">
        <f>'raw data Crude oil'!D2639</f>
        <v>0</v>
      </c>
      <c r="E2638">
        <f>'raw data Crude oil'!E2639</f>
        <v>0</v>
      </c>
      <c r="F2638">
        <f>'raw data Crude oil'!F2639</f>
        <v>0</v>
      </c>
      <c r="G2638">
        <f>'raw data Crude oil'!G2639</f>
        <v>0</v>
      </c>
      <c r="H2638">
        <f>'raw data Crude oil'!H2639</f>
        <v>0</v>
      </c>
      <c r="I2638">
        <f>'raw data Crude oil'!I2639</f>
        <v>0</v>
      </c>
      <c r="J2638">
        <f>'raw data Crude oil'!J2639</f>
        <v>0</v>
      </c>
      <c r="K2638">
        <f>'raw data Crude oil'!K2639</f>
        <v>0</v>
      </c>
      <c r="L2638">
        <f>'raw data Crude oil'!L2639</f>
        <v>0</v>
      </c>
      <c r="M2638">
        <f>'raw data Crude oil'!M2639</f>
        <v>0</v>
      </c>
      <c r="N2638">
        <f>'raw data Crude oil'!N2639</f>
        <v>0</v>
      </c>
      <c r="O2638">
        <f>'raw data Crude oil'!O2639</f>
        <v>0</v>
      </c>
      <c r="P2638">
        <f>'raw data Crude oil'!P2639</f>
        <v>0</v>
      </c>
      <c r="Q2638">
        <f>'raw data Crude oil'!Q2639</f>
        <v>0</v>
      </c>
      <c r="R2638">
        <f>'raw data Crude oil'!R2639</f>
        <v>0</v>
      </c>
      <c r="S2638">
        <f>'raw data Crude oil'!S2639</f>
        <v>0</v>
      </c>
      <c r="T2638">
        <f>'raw data Crude oil'!T2639</f>
        <v>0</v>
      </c>
      <c r="U2638">
        <f>'raw data Crude oil'!U2639</f>
        <v>0</v>
      </c>
      <c r="V2638">
        <f>'raw data Crude oil'!V2639</f>
        <v>0</v>
      </c>
      <c r="W2638">
        <f>'raw data Crude oil'!W2639</f>
        <v>0</v>
      </c>
      <c r="X2638">
        <f>'raw data Crude oil'!X2639</f>
        <v>0</v>
      </c>
      <c r="Y2638">
        <f>'raw data Crude oil'!Y2639</f>
        <v>0</v>
      </c>
      <c r="Z2638">
        <f>'raw data Crude oil'!Z2639</f>
        <v>0</v>
      </c>
      <c r="AA2638">
        <f>'raw data Crude oil'!AA2639</f>
        <v>0</v>
      </c>
      <c r="AB2638">
        <f>'raw data Crude oil'!AB2639</f>
        <v>0</v>
      </c>
      <c r="AC2638">
        <f>'raw data Crude oil'!AC2639</f>
        <v>0</v>
      </c>
      <c r="AD2638">
        <f>'raw data Crude oil'!AD2639</f>
        <v>0</v>
      </c>
      <c r="AE2638">
        <f>'raw data Crude oil'!AE2639</f>
        <v>0</v>
      </c>
      <c r="AF2638">
        <f>'raw data Crude oil'!AF2639</f>
        <v>0</v>
      </c>
      <c r="AG2638">
        <f>'raw data Crude oil'!AG2639</f>
        <v>0</v>
      </c>
      <c r="AH2638">
        <f>'raw data Crude oil'!AH2639</f>
        <v>0</v>
      </c>
      <c r="AI2638">
        <f>'raw data Crude oil'!AI2639</f>
        <v>0</v>
      </c>
      <c r="AJ2638">
        <f>'raw data Crude oil'!AJ2639</f>
        <v>0</v>
      </c>
      <c r="AK2638">
        <f>'raw data Crude oil'!AK2639</f>
        <v>0</v>
      </c>
    </row>
    <row r="2639" spans="1:37" x14ac:dyDescent="0.3">
      <c r="A2639" s="18">
        <f>'raw data Crude oil'!A2640</f>
        <v>0</v>
      </c>
      <c r="B2639">
        <f>'raw data Crude oil'!B2640</f>
        <v>0</v>
      </c>
      <c r="C2639">
        <f>'raw data Crude oil'!C2640</f>
        <v>0</v>
      </c>
      <c r="D2639">
        <f>'raw data Crude oil'!D2640</f>
        <v>0</v>
      </c>
      <c r="E2639">
        <f>'raw data Crude oil'!E2640</f>
        <v>0</v>
      </c>
      <c r="F2639">
        <f>'raw data Crude oil'!F2640</f>
        <v>0</v>
      </c>
      <c r="G2639">
        <f>'raw data Crude oil'!G2640</f>
        <v>0</v>
      </c>
      <c r="H2639">
        <f>'raw data Crude oil'!H2640</f>
        <v>0</v>
      </c>
      <c r="I2639">
        <f>'raw data Crude oil'!I2640</f>
        <v>0</v>
      </c>
      <c r="J2639">
        <f>'raw data Crude oil'!J2640</f>
        <v>0</v>
      </c>
      <c r="K2639">
        <f>'raw data Crude oil'!K2640</f>
        <v>0</v>
      </c>
      <c r="L2639">
        <f>'raw data Crude oil'!L2640</f>
        <v>0</v>
      </c>
      <c r="M2639">
        <f>'raw data Crude oil'!M2640</f>
        <v>0</v>
      </c>
      <c r="N2639">
        <f>'raw data Crude oil'!N2640</f>
        <v>0</v>
      </c>
      <c r="O2639">
        <f>'raw data Crude oil'!O2640</f>
        <v>0</v>
      </c>
      <c r="P2639">
        <f>'raw data Crude oil'!P2640</f>
        <v>0</v>
      </c>
      <c r="Q2639">
        <f>'raw data Crude oil'!Q2640</f>
        <v>0</v>
      </c>
      <c r="R2639">
        <f>'raw data Crude oil'!R2640</f>
        <v>0</v>
      </c>
      <c r="S2639">
        <f>'raw data Crude oil'!S2640</f>
        <v>0</v>
      </c>
      <c r="T2639">
        <f>'raw data Crude oil'!T2640</f>
        <v>0</v>
      </c>
      <c r="U2639">
        <f>'raw data Crude oil'!U2640</f>
        <v>0</v>
      </c>
      <c r="V2639">
        <f>'raw data Crude oil'!V2640</f>
        <v>0</v>
      </c>
      <c r="W2639">
        <f>'raw data Crude oil'!W2640</f>
        <v>0</v>
      </c>
      <c r="X2639">
        <f>'raw data Crude oil'!X2640</f>
        <v>0</v>
      </c>
      <c r="Y2639">
        <f>'raw data Crude oil'!Y2640</f>
        <v>0</v>
      </c>
      <c r="Z2639">
        <f>'raw data Crude oil'!Z2640</f>
        <v>0</v>
      </c>
      <c r="AA2639">
        <f>'raw data Crude oil'!AA2640</f>
        <v>0</v>
      </c>
      <c r="AB2639">
        <f>'raw data Crude oil'!AB2640</f>
        <v>0</v>
      </c>
      <c r="AC2639">
        <f>'raw data Crude oil'!AC2640</f>
        <v>0</v>
      </c>
      <c r="AD2639">
        <f>'raw data Crude oil'!AD2640</f>
        <v>0</v>
      </c>
      <c r="AE2639">
        <f>'raw data Crude oil'!AE2640</f>
        <v>0</v>
      </c>
      <c r="AF2639">
        <f>'raw data Crude oil'!AF2640</f>
        <v>0</v>
      </c>
      <c r="AG2639">
        <f>'raw data Crude oil'!AG2640</f>
        <v>0</v>
      </c>
      <c r="AH2639">
        <f>'raw data Crude oil'!AH2640</f>
        <v>0</v>
      </c>
      <c r="AI2639">
        <f>'raw data Crude oil'!AI2640</f>
        <v>0</v>
      </c>
      <c r="AJ2639">
        <f>'raw data Crude oil'!AJ2640</f>
        <v>0</v>
      </c>
      <c r="AK2639">
        <f>'raw data Crude oil'!AK2640</f>
        <v>0</v>
      </c>
    </row>
    <row r="2640" spans="1:37" x14ac:dyDescent="0.3">
      <c r="A2640" s="18">
        <f>'raw data Crude oil'!A2641</f>
        <v>0</v>
      </c>
      <c r="B2640">
        <f>'raw data Crude oil'!B2641</f>
        <v>0</v>
      </c>
      <c r="C2640">
        <f>'raw data Crude oil'!C2641</f>
        <v>0</v>
      </c>
      <c r="D2640">
        <f>'raw data Crude oil'!D2641</f>
        <v>0</v>
      </c>
      <c r="E2640">
        <f>'raw data Crude oil'!E2641</f>
        <v>0</v>
      </c>
      <c r="F2640">
        <f>'raw data Crude oil'!F2641</f>
        <v>0</v>
      </c>
      <c r="G2640">
        <f>'raw data Crude oil'!G2641</f>
        <v>0</v>
      </c>
      <c r="H2640">
        <f>'raw data Crude oil'!H2641</f>
        <v>0</v>
      </c>
      <c r="I2640">
        <f>'raw data Crude oil'!I2641</f>
        <v>0</v>
      </c>
      <c r="J2640">
        <f>'raw data Crude oil'!J2641</f>
        <v>0</v>
      </c>
      <c r="K2640">
        <f>'raw data Crude oil'!K2641</f>
        <v>0</v>
      </c>
      <c r="L2640">
        <f>'raw data Crude oil'!L2641</f>
        <v>0</v>
      </c>
      <c r="M2640">
        <f>'raw data Crude oil'!M2641</f>
        <v>0</v>
      </c>
      <c r="N2640">
        <f>'raw data Crude oil'!N2641</f>
        <v>0</v>
      </c>
      <c r="O2640">
        <f>'raw data Crude oil'!O2641</f>
        <v>0</v>
      </c>
      <c r="P2640">
        <f>'raw data Crude oil'!P2641</f>
        <v>0</v>
      </c>
      <c r="Q2640">
        <f>'raw data Crude oil'!Q2641</f>
        <v>0</v>
      </c>
      <c r="R2640">
        <f>'raw data Crude oil'!R2641</f>
        <v>0</v>
      </c>
      <c r="S2640">
        <f>'raw data Crude oil'!S2641</f>
        <v>0</v>
      </c>
      <c r="T2640">
        <f>'raw data Crude oil'!T2641</f>
        <v>0</v>
      </c>
      <c r="U2640">
        <f>'raw data Crude oil'!U2641</f>
        <v>0</v>
      </c>
      <c r="V2640">
        <f>'raw data Crude oil'!V2641</f>
        <v>0</v>
      </c>
      <c r="W2640">
        <f>'raw data Crude oil'!W2641</f>
        <v>0</v>
      </c>
      <c r="X2640">
        <f>'raw data Crude oil'!X2641</f>
        <v>0</v>
      </c>
      <c r="Y2640">
        <f>'raw data Crude oil'!Y2641</f>
        <v>0</v>
      </c>
      <c r="Z2640">
        <f>'raw data Crude oil'!Z2641</f>
        <v>0</v>
      </c>
      <c r="AA2640">
        <f>'raw data Crude oil'!AA2641</f>
        <v>0</v>
      </c>
      <c r="AB2640">
        <f>'raw data Crude oil'!AB2641</f>
        <v>0</v>
      </c>
      <c r="AC2640">
        <f>'raw data Crude oil'!AC2641</f>
        <v>0</v>
      </c>
      <c r="AD2640">
        <f>'raw data Crude oil'!AD2641</f>
        <v>0</v>
      </c>
      <c r="AE2640">
        <f>'raw data Crude oil'!AE2641</f>
        <v>0</v>
      </c>
      <c r="AF2640">
        <f>'raw data Crude oil'!AF2641</f>
        <v>0</v>
      </c>
      <c r="AG2640">
        <f>'raw data Crude oil'!AG2641</f>
        <v>0</v>
      </c>
      <c r="AH2640">
        <f>'raw data Crude oil'!AH2641</f>
        <v>0</v>
      </c>
      <c r="AI2640">
        <f>'raw data Crude oil'!AI2641</f>
        <v>0</v>
      </c>
      <c r="AJ2640">
        <f>'raw data Crude oil'!AJ2641</f>
        <v>0</v>
      </c>
      <c r="AK2640">
        <f>'raw data Crude oil'!AK2641</f>
        <v>0</v>
      </c>
    </row>
    <row r="2641" spans="1:37" x14ac:dyDescent="0.3">
      <c r="A2641" s="18">
        <f>'raw data Crude oil'!A2642</f>
        <v>0</v>
      </c>
      <c r="B2641">
        <f>'raw data Crude oil'!B2642</f>
        <v>0</v>
      </c>
      <c r="C2641">
        <f>'raw data Crude oil'!C2642</f>
        <v>0</v>
      </c>
      <c r="D2641">
        <f>'raw data Crude oil'!D2642</f>
        <v>0</v>
      </c>
      <c r="E2641">
        <f>'raw data Crude oil'!E2642</f>
        <v>0</v>
      </c>
      <c r="F2641">
        <f>'raw data Crude oil'!F2642</f>
        <v>0</v>
      </c>
      <c r="G2641">
        <f>'raw data Crude oil'!G2642</f>
        <v>0</v>
      </c>
      <c r="H2641">
        <f>'raw data Crude oil'!H2642</f>
        <v>0</v>
      </c>
      <c r="I2641">
        <f>'raw data Crude oil'!I2642</f>
        <v>0</v>
      </c>
      <c r="J2641">
        <f>'raw data Crude oil'!J2642</f>
        <v>0</v>
      </c>
      <c r="K2641">
        <f>'raw data Crude oil'!K2642</f>
        <v>0</v>
      </c>
      <c r="L2641">
        <f>'raw data Crude oil'!L2642</f>
        <v>0</v>
      </c>
      <c r="M2641">
        <f>'raw data Crude oil'!M2642</f>
        <v>0</v>
      </c>
      <c r="N2641">
        <f>'raw data Crude oil'!N2642</f>
        <v>0</v>
      </c>
      <c r="O2641">
        <f>'raw data Crude oil'!O2642</f>
        <v>0</v>
      </c>
      <c r="P2641">
        <f>'raw data Crude oil'!P2642</f>
        <v>0</v>
      </c>
      <c r="Q2641">
        <f>'raw data Crude oil'!Q2642</f>
        <v>0</v>
      </c>
      <c r="R2641">
        <f>'raw data Crude oil'!R2642</f>
        <v>0</v>
      </c>
      <c r="S2641">
        <f>'raw data Crude oil'!S2642</f>
        <v>0</v>
      </c>
      <c r="T2641">
        <f>'raw data Crude oil'!T2642</f>
        <v>0</v>
      </c>
      <c r="U2641">
        <f>'raw data Crude oil'!U2642</f>
        <v>0</v>
      </c>
      <c r="V2641">
        <f>'raw data Crude oil'!V2642</f>
        <v>0</v>
      </c>
      <c r="W2641">
        <f>'raw data Crude oil'!W2642</f>
        <v>0</v>
      </c>
      <c r="X2641">
        <f>'raw data Crude oil'!X2642</f>
        <v>0</v>
      </c>
      <c r="Y2641">
        <f>'raw data Crude oil'!Y2642</f>
        <v>0</v>
      </c>
      <c r="Z2641">
        <f>'raw data Crude oil'!Z2642</f>
        <v>0</v>
      </c>
      <c r="AA2641">
        <f>'raw data Crude oil'!AA2642</f>
        <v>0</v>
      </c>
      <c r="AB2641">
        <f>'raw data Crude oil'!AB2642</f>
        <v>0</v>
      </c>
      <c r="AC2641">
        <f>'raw data Crude oil'!AC2642</f>
        <v>0</v>
      </c>
      <c r="AD2641">
        <f>'raw data Crude oil'!AD2642</f>
        <v>0</v>
      </c>
      <c r="AE2641">
        <f>'raw data Crude oil'!AE2642</f>
        <v>0</v>
      </c>
      <c r="AF2641">
        <f>'raw data Crude oil'!AF2642</f>
        <v>0</v>
      </c>
      <c r="AG2641">
        <f>'raw data Crude oil'!AG2642</f>
        <v>0</v>
      </c>
      <c r="AH2641">
        <f>'raw data Crude oil'!AH2642</f>
        <v>0</v>
      </c>
      <c r="AI2641">
        <f>'raw data Crude oil'!AI2642</f>
        <v>0</v>
      </c>
      <c r="AJ2641">
        <f>'raw data Crude oil'!AJ2642</f>
        <v>0</v>
      </c>
      <c r="AK2641">
        <f>'raw data Crude oil'!AK2642</f>
        <v>0</v>
      </c>
    </row>
    <row r="2642" spans="1:37" x14ac:dyDescent="0.3">
      <c r="A2642" s="18">
        <f>'raw data Crude oil'!A2643</f>
        <v>0</v>
      </c>
      <c r="B2642">
        <f>'raw data Crude oil'!B2643</f>
        <v>0</v>
      </c>
      <c r="C2642">
        <f>'raw data Crude oil'!C2643</f>
        <v>0</v>
      </c>
      <c r="D2642">
        <f>'raw data Crude oil'!D2643</f>
        <v>0</v>
      </c>
      <c r="E2642">
        <f>'raw data Crude oil'!E2643</f>
        <v>0</v>
      </c>
      <c r="F2642">
        <f>'raw data Crude oil'!F2643</f>
        <v>0</v>
      </c>
      <c r="G2642">
        <f>'raw data Crude oil'!G2643</f>
        <v>0</v>
      </c>
      <c r="H2642">
        <f>'raw data Crude oil'!H2643</f>
        <v>0</v>
      </c>
      <c r="I2642">
        <f>'raw data Crude oil'!I2643</f>
        <v>0</v>
      </c>
      <c r="J2642">
        <f>'raw data Crude oil'!J2643</f>
        <v>0</v>
      </c>
      <c r="K2642">
        <f>'raw data Crude oil'!K2643</f>
        <v>0</v>
      </c>
      <c r="L2642">
        <f>'raw data Crude oil'!L2643</f>
        <v>0</v>
      </c>
      <c r="M2642">
        <f>'raw data Crude oil'!M2643</f>
        <v>0</v>
      </c>
      <c r="N2642">
        <f>'raw data Crude oil'!N2643</f>
        <v>0</v>
      </c>
      <c r="O2642">
        <f>'raw data Crude oil'!O2643</f>
        <v>0</v>
      </c>
      <c r="P2642">
        <f>'raw data Crude oil'!P2643</f>
        <v>0</v>
      </c>
      <c r="Q2642">
        <f>'raw data Crude oil'!Q2643</f>
        <v>0</v>
      </c>
      <c r="R2642">
        <f>'raw data Crude oil'!R2643</f>
        <v>0</v>
      </c>
      <c r="S2642">
        <f>'raw data Crude oil'!S2643</f>
        <v>0</v>
      </c>
      <c r="T2642">
        <f>'raw data Crude oil'!T2643</f>
        <v>0</v>
      </c>
      <c r="U2642">
        <f>'raw data Crude oil'!U2643</f>
        <v>0</v>
      </c>
      <c r="V2642">
        <f>'raw data Crude oil'!V2643</f>
        <v>0</v>
      </c>
      <c r="W2642">
        <f>'raw data Crude oil'!W2643</f>
        <v>0</v>
      </c>
      <c r="X2642">
        <f>'raw data Crude oil'!X2643</f>
        <v>0</v>
      </c>
      <c r="Y2642">
        <f>'raw data Crude oil'!Y2643</f>
        <v>0</v>
      </c>
      <c r="Z2642">
        <f>'raw data Crude oil'!Z2643</f>
        <v>0</v>
      </c>
      <c r="AA2642">
        <f>'raw data Crude oil'!AA2643</f>
        <v>0</v>
      </c>
      <c r="AB2642">
        <f>'raw data Crude oil'!AB2643</f>
        <v>0</v>
      </c>
      <c r="AC2642">
        <f>'raw data Crude oil'!AC2643</f>
        <v>0</v>
      </c>
      <c r="AD2642">
        <f>'raw data Crude oil'!AD2643</f>
        <v>0</v>
      </c>
      <c r="AE2642">
        <f>'raw data Crude oil'!AE2643</f>
        <v>0</v>
      </c>
      <c r="AF2642">
        <f>'raw data Crude oil'!AF2643</f>
        <v>0</v>
      </c>
      <c r="AG2642">
        <f>'raw data Crude oil'!AG2643</f>
        <v>0</v>
      </c>
      <c r="AH2642">
        <f>'raw data Crude oil'!AH2643</f>
        <v>0</v>
      </c>
      <c r="AI2642">
        <f>'raw data Crude oil'!AI2643</f>
        <v>0</v>
      </c>
      <c r="AJ2642">
        <f>'raw data Crude oil'!AJ2643</f>
        <v>0</v>
      </c>
      <c r="AK2642">
        <f>'raw data Crude oil'!AK2643</f>
        <v>0</v>
      </c>
    </row>
    <row r="2643" spans="1:37" x14ac:dyDescent="0.3">
      <c r="A2643" s="18">
        <f>'raw data Crude oil'!A2644</f>
        <v>0</v>
      </c>
      <c r="B2643">
        <f>'raw data Crude oil'!B2644</f>
        <v>0</v>
      </c>
      <c r="C2643">
        <f>'raw data Crude oil'!C2644</f>
        <v>0</v>
      </c>
      <c r="D2643">
        <f>'raw data Crude oil'!D2644</f>
        <v>0</v>
      </c>
      <c r="E2643">
        <f>'raw data Crude oil'!E2644</f>
        <v>0</v>
      </c>
      <c r="F2643">
        <f>'raw data Crude oil'!F2644</f>
        <v>0</v>
      </c>
      <c r="G2643">
        <f>'raw data Crude oil'!G2644</f>
        <v>0</v>
      </c>
      <c r="H2643">
        <f>'raw data Crude oil'!H2644</f>
        <v>0</v>
      </c>
      <c r="I2643">
        <f>'raw data Crude oil'!I2644</f>
        <v>0</v>
      </c>
      <c r="J2643">
        <f>'raw data Crude oil'!J2644</f>
        <v>0</v>
      </c>
      <c r="K2643">
        <f>'raw data Crude oil'!K2644</f>
        <v>0</v>
      </c>
      <c r="L2643">
        <f>'raw data Crude oil'!L2644</f>
        <v>0</v>
      </c>
      <c r="M2643">
        <f>'raw data Crude oil'!M2644</f>
        <v>0</v>
      </c>
      <c r="N2643">
        <f>'raw data Crude oil'!N2644</f>
        <v>0</v>
      </c>
      <c r="O2643">
        <f>'raw data Crude oil'!O2644</f>
        <v>0</v>
      </c>
      <c r="P2643">
        <f>'raw data Crude oil'!P2644</f>
        <v>0</v>
      </c>
      <c r="Q2643">
        <f>'raw data Crude oil'!Q2644</f>
        <v>0</v>
      </c>
      <c r="R2643">
        <f>'raw data Crude oil'!R2644</f>
        <v>0</v>
      </c>
      <c r="S2643">
        <f>'raw data Crude oil'!S2644</f>
        <v>0</v>
      </c>
      <c r="T2643">
        <f>'raw data Crude oil'!T2644</f>
        <v>0</v>
      </c>
      <c r="U2643">
        <f>'raw data Crude oil'!U2644</f>
        <v>0</v>
      </c>
      <c r="V2643">
        <f>'raw data Crude oil'!V2644</f>
        <v>0</v>
      </c>
      <c r="W2643">
        <f>'raw data Crude oil'!W2644</f>
        <v>0</v>
      </c>
      <c r="X2643">
        <f>'raw data Crude oil'!X2644</f>
        <v>0</v>
      </c>
      <c r="Y2643">
        <f>'raw data Crude oil'!Y2644</f>
        <v>0</v>
      </c>
      <c r="Z2643">
        <f>'raw data Crude oil'!Z2644</f>
        <v>0</v>
      </c>
      <c r="AA2643">
        <f>'raw data Crude oil'!AA2644</f>
        <v>0</v>
      </c>
      <c r="AB2643">
        <f>'raw data Crude oil'!AB2644</f>
        <v>0</v>
      </c>
      <c r="AC2643">
        <f>'raw data Crude oil'!AC2644</f>
        <v>0</v>
      </c>
      <c r="AD2643">
        <f>'raw data Crude oil'!AD2644</f>
        <v>0</v>
      </c>
      <c r="AE2643">
        <f>'raw data Crude oil'!AE2644</f>
        <v>0</v>
      </c>
      <c r="AF2643">
        <f>'raw data Crude oil'!AF2644</f>
        <v>0</v>
      </c>
      <c r="AG2643">
        <f>'raw data Crude oil'!AG2644</f>
        <v>0</v>
      </c>
      <c r="AH2643">
        <f>'raw data Crude oil'!AH2644</f>
        <v>0</v>
      </c>
      <c r="AI2643">
        <f>'raw data Crude oil'!AI2644</f>
        <v>0</v>
      </c>
      <c r="AJ2643">
        <f>'raw data Crude oil'!AJ2644</f>
        <v>0</v>
      </c>
      <c r="AK2643">
        <f>'raw data Crude oil'!AK2644</f>
        <v>0</v>
      </c>
    </row>
    <row r="2644" spans="1:37" x14ac:dyDescent="0.3">
      <c r="A2644" s="18">
        <f>'raw data Crude oil'!A2645</f>
        <v>0</v>
      </c>
      <c r="B2644">
        <f>'raw data Crude oil'!B2645</f>
        <v>0</v>
      </c>
      <c r="C2644">
        <f>'raw data Crude oil'!C2645</f>
        <v>0</v>
      </c>
      <c r="D2644">
        <f>'raw data Crude oil'!D2645</f>
        <v>0</v>
      </c>
      <c r="E2644">
        <f>'raw data Crude oil'!E2645</f>
        <v>0</v>
      </c>
      <c r="F2644">
        <f>'raw data Crude oil'!F2645</f>
        <v>0</v>
      </c>
      <c r="G2644">
        <f>'raw data Crude oil'!G2645</f>
        <v>0</v>
      </c>
      <c r="H2644">
        <f>'raw data Crude oil'!H2645</f>
        <v>0</v>
      </c>
      <c r="I2644">
        <f>'raw data Crude oil'!I2645</f>
        <v>0</v>
      </c>
      <c r="J2644">
        <f>'raw data Crude oil'!J2645</f>
        <v>0</v>
      </c>
      <c r="K2644">
        <f>'raw data Crude oil'!K2645</f>
        <v>0</v>
      </c>
      <c r="L2644">
        <f>'raw data Crude oil'!L2645</f>
        <v>0</v>
      </c>
      <c r="M2644">
        <f>'raw data Crude oil'!M2645</f>
        <v>0</v>
      </c>
      <c r="N2644">
        <f>'raw data Crude oil'!N2645</f>
        <v>0</v>
      </c>
      <c r="O2644">
        <f>'raw data Crude oil'!O2645</f>
        <v>0</v>
      </c>
      <c r="P2644">
        <f>'raw data Crude oil'!P2645</f>
        <v>0</v>
      </c>
      <c r="Q2644">
        <f>'raw data Crude oil'!Q2645</f>
        <v>0</v>
      </c>
      <c r="R2644">
        <f>'raw data Crude oil'!R2645</f>
        <v>0</v>
      </c>
      <c r="S2644">
        <f>'raw data Crude oil'!S2645</f>
        <v>0</v>
      </c>
      <c r="T2644">
        <f>'raw data Crude oil'!T2645</f>
        <v>0</v>
      </c>
      <c r="U2644">
        <f>'raw data Crude oil'!U2645</f>
        <v>0</v>
      </c>
      <c r="V2644">
        <f>'raw data Crude oil'!V2645</f>
        <v>0</v>
      </c>
      <c r="W2644">
        <f>'raw data Crude oil'!W2645</f>
        <v>0</v>
      </c>
      <c r="X2644">
        <f>'raw data Crude oil'!X2645</f>
        <v>0</v>
      </c>
      <c r="Y2644">
        <f>'raw data Crude oil'!Y2645</f>
        <v>0</v>
      </c>
      <c r="Z2644">
        <f>'raw data Crude oil'!Z2645</f>
        <v>0</v>
      </c>
      <c r="AA2644">
        <f>'raw data Crude oil'!AA2645</f>
        <v>0</v>
      </c>
      <c r="AB2644">
        <f>'raw data Crude oil'!AB2645</f>
        <v>0</v>
      </c>
      <c r="AC2644">
        <f>'raw data Crude oil'!AC2645</f>
        <v>0</v>
      </c>
      <c r="AD2644">
        <f>'raw data Crude oil'!AD2645</f>
        <v>0</v>
      </c>
      <c r="AE2644">
        <f>'raw data Crude oil'!AE2645</f>
        <v>0</v>
      </c>
      <c r="AF2644">
        <f>'raw data Crude oil'!AF2645</f>
        <v>0</v>
      </c>
      <c r="AG2644">
        <f>'raw data Crude oil'!AG2645</f>
        <v>0</v>
      </c>
      <c r="AH2644">
        <f>'raw data Crude oil'!AH2645</f>
        <v>0</v>
      </c>
      <c r="AI2644">
        <f>'raw data Crude oil'!AI2645</f>
        <v>0</v>
      </c>
      <c r="AJ2644">
        <f>'raw data Crude oil'!AJ2645</f>
        <v>0</v>
      </c>
      <c r="AK2644">
        <f>'raw data Crude oil'!AK2645</f>
        <v>0</v>
      </c>
    </row>
    <row r="2645" spans="1:37" x14ac:dyDescent="0.3">
      <c r="A2645" s="18">
        <f>'raw data Crude oil'!A2646</f>
        <v>0</v>
      </c>
      <c r="B2645">
        <f>'raw data Crude oil'!B2646</f>
        <v>0</v>
      </c>
      <c r="C2645">
        <f>'raw data Crude oil'!C2646</f>
        <v>0</v>
      </c>
      <c r="D2645">
        <f>'raw data Crude oil'!D2646</f>
        <v>0</v>
      </c>
      <c r="E2645">
        <f>'raw data Crude oil'!E2646</f>
        <v>0</v>
      </c>
      <c r="F2645">
        <f>'raw data Crude oil'!F2646</f>
        <v>0</v>
      </c>
      <c r="G2645">
        <f>'raw data Crude oil'!G2646</f>
        <v>0</v>
      </c>
      <c r="H2645">
        <f>'raw data Crude oil'!H2646</f>
        <v>0</v>
      </c>
      <c r="I2645">
        <f>'raw data Crude oil'!I2646</f>
        <v>0</v>
      </c>
      <c r="J2645">
        <f>'raw data Crude oil'!J2646</f>
        <v>0</v>
      </c>
      <c r="K2645">
        <f>'raw data Crude oil'!K2646</f>
        <v>0</v>
      </c>
      <c r="L2645">
        <f>'raw data Crude oil'!L2646</f>
        <v>0</v>
      </c>
      <c r="M2645">
        <f>'raw data Crude oil'!M2646</f>
        <v>0</v>
      </c>
      <c r="N2645">
        <f>'raw data Crude oil'!N2646</f>
        <v>0</v>
      </c>
      <c r="O2645">
        <f>'raw data Crude oil'!O2646</f>
        <v>0</v>
      </c>
      <c r="P2645">
        <f>'raw data Crude oil'!P2646</f>
        <v>0</v>
      </c>
      <c r="Q2645">
        <f>'raw data Crude oil'!Q2646</f>
        <v>0</v>
      </c>
      <c r="R2645">
        <f>'raw data Crude oil'!R2646</f>
        <v>0</v>
      </c>
      <c r="S2645">
        <f>'raw data Crude oil'!S2646</f>
        <v>0</v>
      </c>
      <c r="T2645">
        <f>'raw data Crude oil'!T2646</f>
        <v>0</v>
      </c>
      <c r="U2645">
        <f>'raw data Crude oil'!U2646</f>
        <v>0</v>
      </c>
      <c r="V2645">
        <f>'raw data Crude oil'!V2646</f>
        <v>0</v>
      </c>
      <c r="W2645">
        <f>'raw data Crude oil'!W2646</f>
        <v>0</v>
      </c>
      <c r="X2645">
        <f>'raw data Crude oil'!X2646</f>
        <v>0</v>
      </c>
      <c r="Y2645">
        <f>'raw data Crude oil'!Y2646</f>
        <v>0</v>
      </c>
      <c r="Z2645">
        <f>'raw data Crude oil'!Z2646</f>
        <v>0</v>
      </c>
      <c r="AA2645">
        <f>'raw data Crude oil'!AA2646</f>
        <v>0</v>
      </c>
      <c r="AB2645">
        <f>'raw data Crude oil'!AB2646</f>
        <v>0</v>
      </c>
      <c r="AC2645">
        <f>'raw data Crude oil'!AC2646</f>
        <v>0</v>
      </c>
      <c r="AD2645">
        <f>'raw data Crude oil'!AD2646</f>
        <v>0</v>
      </c>
      <c r="AE2645">
        <f>'raw data Crude oil'!AE2646</f>
        <v>0</v>
      </c>
      <c r="AF2645">
        <f>'raw data Crude oil'!AF2646</f>
        <v>0</v>
      </c>
      <c r="AG2645">
        <f>'raw data Crude oil'!AG2646</f>
        <v>0</v>
      </c>
      <c r="AH2645">
        <f>'raw data Crude oil'!AH2646</f>
        <v>0</v>
      </c>
      <c r="AI2645">
        <f>'raw data Crude oil'!AI2646</f>
        <v>0</v>
      </c>
      <c r="AJ2645">
        <f>'raw data Crude oil'!AJ2646</f>
        <v>0</v>
      </c>
      <c r="AK2645">
        <f>'raw data Crude oil'!AK2646</f>
        <v>0</v>
      </c>
    </row>
    <row r="2646" spans="1:37" x14ac:dyDescent="0.3">
      <c r="A2646" s="18">
        <f>'raw data Crude oil'!A2647</f>
        <v>0</v>
      </c>
      <c r="B2646">
        <f>'raw data Crude oil'!B2647</f>
        <v>0</v>
      </c>
      <c r="C2646">
        <f>'raw data Crude oil'!C2647</f>
        <v>0</v>
      </c>
      <c r="D2646">
        <f>'raw data Crude oil'!D2647</f>
        <v>0</v>
      </c>
      <c r="E2646">
        <f>'raw data Crude oil'!E2647</f>
        <v>0</v>
      </c>
      <c r="F2646">
        <f>'raw data Crude oil'!F2647</f>
        <v>0</v>
      </c>
      <c r="G2646">
        <f>'raw data Crude oil'!G2647</f>
        <v>0</v>
      </c>
      <c r="H2646">
        <f>'raw data Crude oil'!H2647</f>
        <v>0</v>
      </c>
      <c r="I2646">
        <f>'raw data Crude oil'!I2647</f>
        <v>0</v>
      </c>
      <c r="J2646">
        <f>'raw data Crude oil'!J2647</f>
        <v>0</v>
      </c>
      <c r="K2646">
        <f>'raw data Crude oil'!K2647</f>
        <v>0</v>
      </c>
      <c r="L2646">
        <f>'raw data Crude oil'!L2647</f>
        <v>0</v>
      </c>
      <c r="M2646">
        <f>'raw data Crude oil'!M2647</f>
        <v>0</v>
      </c>
      <c r="N2646">
        <f>'raw data Crude oil'!N2647</f>
        <v>0</v>
      </c>
      <c r="O2646">
        <f>'raw data Crude oil'!O2647</f>
        <v>0</v>
      </c>
      <c r="P2646">
        <f>'raw data Crude oil'!P2647</f>
        <v>0</v>
      </c>
      <c r="Q2646">
        <f>'raw data Crude oil'!Q2647</f>
        <v>0</v>
      </c>
      <c r="R2646">
        <f>'raw data Crude oil'!R2647</f>
        <v>0</v>
      </c>
      <c r="S2646">
        <f>'raw data Crude oil'!S2647</f>
        <v>0</v>
      </c>
      <c r="T2646">
        <f>'raw data Crude oil'!T2647</f>
        <v>0</v>
      </c>
      <c r="U2646">
        <f>'raw data Crude oil'!U2647</f>
        <v>0</v>
      </c>
      <c r="V2646">
        <f>'raw data Crude oil'!V2647</f>
        <v>0</v>
      </c>
      <c r="W2646">
        <f>'raw data Crude oil'!W2647</f>
        <v>0</v>
      </c>
      <c r="X2646">
        <f>'raw data Crude oil'!X2647</f>
        <v>0</v>
      </c>
      <c r="Y2646">
        <f>'raw data Crude oil'!Y2647</f>
        <v>0</v>
      </c>
      <c r="Z2646">
        <f>'raw data Crude oil'!Z2647</f>
        <v>0</v>
      </c>
      <c r="AA2646">
        <f>'raw data Crude oil'!AA2647</f>
        <v>0</v>
      </c>
      <c r="AB2646">
        <f>'raw data Crude oil'!AB2647</f>
        <v>0</v>
      </c>
      <c r="AC2646">
        <f>'raw data Crude oil'!AC2647</f>
        <v>0</v>
      </c>
      <c r="AD2646">
        <f>'raw data Crude oil'!AD2647</f>
        <v>0</v>
      </c>
      <c r="AE2646">
        <f>'raw data Crude oil'!AE2647</f>
        <v>0</v>
      </c>
      <c r="AF2646">
        <f>'raw data Crude oil'!AF2647</f>
        <v>0</v>
      </c>
      <c r="AG2646">
        <f>'raw data Crude oil'!AG2647</f>
        <v>0</v>
      </c>
      <c r="AH2646">
        <f>'raw data Crude oil'!AH2647</f>
        <v>0</v>
      </c>
      <c r="AI2646">
        <f>'raw data Crude oil'!AI2647</f>
        <v>0</v>
      </c>
      <c r="AJ2646">
        <f>'raw data Crude oil'!AJ2647</f>
        <v>0</v>
      </c>
      <c r="AK2646">
        <f>'raw data Crude oil'!AK2647</f>
        <v>0</v>
      </c>
    </row>
    <row r="2647" spans="1:37" x14ac:dyDescent="0.3">
      <c r="A2647" s="18">
        <f>'raw data Crude oil'!A2648</f>
        <v>0</v>
      </c>
      <c r="B2647">
        <f>'raw data Crude oil'!B2648</f>
        <v>0</v>
      </c>
      <c r="C2647">
        <f>'raw data Crude oil'!C2648</f>
        <v>0</v>
      </c>
      <c r="D2647">
        <f>'raw data Crude oil'!D2648</f>
        <v>0</v>
      </c>
      <c r="E2647">
        <f>'raw data Crude oil'!E2648</f>
        <v>0</v>
      </c>
      <c r="F2647">
        <f>'raw data Crude oil'!F2648</f>
        <v>0</v>
      </c>
      <c r="G2647">
        <f>'raw data Crude oil'!G2648</f>
        <v>0</v>
      </c>
      <c r="H2647">
        <f>'raw data Crude oil'!H2648</f>
        <v>0</v>
      </c>
      <c r="I2647">
        <f>'raw data Crude oil'!I2648</f>
        <v>0</v>
      </c>
      <c r="J2647">
        <f>'raw data Crude oil'!J2648</f>
        <v>0</v>
      </c>
      <c r="K2647">
        <f>'raw data Crude oil'!K2648</f>
        <v>0</v>
      </c>
      <c r="L2647">
        <f>'raw data Crude oil'!L2648</f>
        <v>0</v>
      </c>
      <c r="M2647">
        <f>'raw data Crude oil'!M2648</f>
        <v>0</v>
      </c>
      <c r="N2647">
        <f>'raw data Crude oil'!N2648</f>
        <v>0</v>
      </c>
      <c r="O2647">
        <f>'raw data Crude oil'!O2648</f>
        <v>0</v>
      </c>
      <c r="P2647">
        <f>'raw data Crude oil'!P2648</f>
        <v>0</v>
      </c>
      <c r="Q2647">
        <f>'raw data Crude oil'!Q2648</f>
        <v>0</v>
      </c>
      <c r="R2647">
        <f>'raw data Crude oil'!R2648</f>
        <v>0</v>
      </c>
      <c r="S2647">
        <f>'raw data Crude oil'!S2648</f>
        <v>0</v>
      </c>
      <c r="T2647">
        <f>'raw data Crude oil'!T2648</f>
        <v>0</v>
      </c>
      <c r="U2647">
        <f>'raw data Crude oil'!U2648</f>
        <v>0</v>
      </c>
      <c r="V2647">
        <f>'raw data Crude oil'!V2648</f>
        <v>0</v>
      </c>
      <c r="W2647">
        <f>'raw data Crude oil'!W2648</f>
        <v>0</v>
      </c>
      <c r="X2647">
        <f>'raw data Crude oil'!X2648</f>
        <v>0</v>
      </c>
      <c r="Y2647">
        <f>'raw data Crude oil'!Y2648</f>
        <v>0</v>
      </c>
      <c r="Z2647">
        <f>'raw data Crude oil'!Z2648</f>
        <v>0</v>
      </c>
      <c r="AA2647">
        <f>'raw data Crude oil'!AA2648</f>
        <v>0</v>
      </c>
      <c r="AB2647">
        <f>'raw data Crude oil'!AB2648</f>
        <v>0</v>
      </c>
      <c r="AC2647">
        <f>'raw data Crude oil'!AC2648</f>
        <v>0</v>
      </c>
      <c r="AD2647">
        <f>'raw data Crude oil'!AD2648</f>
        <v>0</v>
      </c>
      <c r="AE2647">
        <f>'raw data Crude oil'!AE2648</f>
        <v>0</v>
      </c>
      <c r="AF2647">
        <f>'raw data Crude oil'!AF2648</f>
        <v>0</v>
      </c>
      <c r="AG2647">
        <f>'raw data Crude oil'!AG2648</f>
        <v>0</v>
      </c>
      <c r="AH2647">
        <f>'raw data Crude oil'!AH2648</f>
        <v>0</v>
      </c>
      <c r="AI2647">
        <f>'raw data Crude oil'!AI2648</f>
        <v>0</v>
      </c>
      <c r="AJ2647">
        <f>'raw data Crude oil'!AJ2648</f>
        <v>0</v>
      </c>
      <c r="AK2647">
        <f>'raw data Crude oil'!AK2648</f>
        <v>0</v>
      </c>
    </row>
    <row r="2648" spans="1:37" x14ac:dyDescent="0.3">
      <c r="A2648" s="18">
        <f>'raw data Crude oil'!A2649</f>
        <v>0</v>
      </c>
      <c r="B2648">
        <f>'raw data Crude oil'!B2649</f>
        <v>0</v>
      </c>
      <c r="C2648">
        <f>'raw data Crude oil'!C2649</f>
        <v>0</v>
      </c>
      <c r="D2648">
        <f>'raw data Crude oil'!D2649</f>
        <v>0</v>
      </c>
      <c r="E2648">
        <f>'raw data Crude oil'!E2649</f>
        <v>0</v>
      </c>
      <c r="F2648">
        <f>'raw data Crude oil'!F2649</f>
        <v>0</v>
      </c>
      <c r="G2648">
        <f>'raw data Crude oil'!G2649</f>
        <v>0</v>
      </c>
      <c r="H2648">
        <f>'raw data Crude oil'!H2649</f>
        <v>0</v>
      </c>
      <c r="I2648">
        <f>'raw data Crude oil'!I2649</f>
        <v>0</v>
      </c>
      <c r="J2648">
        <f>'raw data Crude oil'!J2649</f>
        <v>0</v>
      </c>
      <c r="K2648">
        <f>'raw data Crude oil'!K2649</f>
        <v>0</v>
      </c>
      <c r="L2648">
        <f>'raw data Crude oil'!L2649</f>
        <v>0</v>
      </c>
      <c r="M2648">
        <f>'raw data Crude oil'!M2649</f>
        <v>0</v>
      </c>
      <c r="N2648">
        <f>'raw data Crude oil'!N2649</f>
        <v>0</v>
      </c>
      <c r="O2648">
        <f>'raw data Crude oil'!O2649</f>
        <v>0</v>
      </c>
      <c r="P2648">
        <f>'raw data Crude oil'!P2649</f>
        <v>0</v>
      </c>
      <c r="Q2648">
        <f>'raw data Crude oil'!Q2649</f>
        <v>0</v>
      </c>
      <c r="R2648">
        <f>'raw data Crude oil'!R2649</f>
        <v>0</v>
      </c>
      <c r="S2648">
        <f>'raw data Crude oil'!S2649</f>
        <v>0</v>
      </c>
      <c r="T2648">
        <f>'raw data Crude oil'!T2649</f>
        <v>0</v>
      </c>
      <c r="U2648">
        <f>'raw data Crude oil'!U2649</f>
        <v>0</v>
      </c>
      <c r="V2648">
        <f>'raw data Crude oil'!V2649</f>
        <v>0</v>
      </c>
      <c r="W2648">
        <f>'raw data Crude oil'!W2649</f>
        <v>0</v>
      </c>
      <c r="X2648">
        <f>'raw data Crude oil'!X2649</f>
        <v>0</v>
      </c>
      <c r="Y2648">
        <f>'raw data Crude oil'!Y2649</f>
        <v>0</v>
      </c>
      <c r="Z2648">
        <f>'raw data Crude oil'!Z2649</f>
        <v>0</v>
      </c>
      <c r="AA2648">
        <f>'raw data Crude oil'!AA2649</f>
        <v>0</v>
      </c>
      <c r="AB2648">
        <f>'raw data Crude oil'!AB2649</f>
        <v>0</v>
      </c>
      <c r="AC2648">
        <f>'raw data Crude oil'!AC2649</f>
        <v>0</v>
      </c>
      <c r="AD2648">
        <f>'raw data Crude oil'!AD2649</f>
        <v>0</v>
      </c>
      <c r="AE2648">
        <f>'raw data Crude oil'!AE2649</f>
        <v>0</v>
      </c>
      <c r="AF2648">
        <f>'raw data Crude oil'!AF2649</f>
        <v>0</v>
      </c>
      <c r="AG2648">
        <f>'raw data Crude oil'!AG2649</f>
        <v>0</v>
      </c>
      <c r="AH2648">
        <f>'raw data Crude oil'!AH2649</f>
        <v>0</v>
      </c>
      <c r="AI2648">
        <f>'raw data Crude oil'!AI2649</f>
        <v>0</v>
      </c>
      <c r="AJ2648">
        <f>'raw data Crude oil'!AJ2649</f>
        <v>0</v>
      </c>
      <c r="AK2648">
        <f>'raw data Crude oil'!AK2649</f>
        <v>0</v>
      </c>
    </row>
    <row r="2649" spans="1:37" x14ac:dyDescent="0.3">
      <c r="A2649" s="18">
        <f>'raw data Crude oil'!A2650</f>
        <v>0</v>
      </c>
      <c r="B2649">
        <f>'raw data Crude oil'!B2650</f>
        <v>0</v>
      </c>
      <c r="C2649">
        <f>'raw data Crude oil'!C2650</f>
        <v>0</v>
      </c>
      <c r="D2649">
        <f>'raw data Crude oil'!D2650</f>
        <v>0</v>
      </c>
      <c r="E2649">
        <f>'raw data Crude oil'!E2650</f>
        <v>0</v>
      </c>
      <c r="F2649">
        <f>'raw data Crude oil'!F2650</f>
        <v>0</v>
      </c>
      <c r="G2649">
        <f>'raw data Crude oil'!G2650</f>
        <v>0</v>
      </c>
      <c r="H2649">
        <f>'raw data Crude oil'!H2650</f>
        <v>0</v>
      </c>
      <c r="I2649">
        <f>'raw data Crude oil'!I2650</f>
        <v>0</v>
      </c>
      <c r="J2649">
        <f>'raw data Crude oil'!J2650</f>
        <v>0</v>
      </c>
      <c r="K2649">
        <f>'raw data Crude oil'!K2650</f>
        <v>0</v>
      </c>
      <c r="L2649">
        <f>'raw data Crude oil'!L2650</f>
        <v>0</v>
      </c>
      <c r="M2649">
        <f>'raw data Crude oil'!M2650</f>
        <v>0</v>
      </c>
      <c r="N2649">
        <f>'raw data Crude oil'!N2650</f>
        <v>0</v>
      </c>
      <c r="O2649">
        <f>'raw data Crude oil'!O2650</f>
        <v>0</v>
      </c>
      <c r="P2649">
        <f>'raw data Crude oil'!P2650</f>
        <v>0</v>
      </c>
      <c r="Q2649">
        <f>'raw data Crude oil'!Q2650</f>
        <v>0</v>
      </c>
      <c r="R2649">
        <f>'raw data Crude oil'!R2650</f>
        <v>0</v>
      </c>
      <c r="S2649">
        <f>'raw data Crude oil'!S2650</f>
        <v>0</v>
      </c>
      <c r="T2649">
        <f>'raw data Crude oil'!T2650</f>
        <v>0</v>
      </c>
      <c r="U2649">
        <f>'raw data Crude oil'!U2650</f>
        <v>0</v>
      </c>
      <c r="V2649">
        <f>'raw data Crude oil'!V2650</f>
        <v>0</v>
      </c>
      <c r="W2649">
        <f>'raw data Crude oil'!W2650</f>
        <v>0</v>
      </c>
      <c r="X2649">
        <f>'raw data Crude oil'!X2650</f>
        <v>0</v>
      </c>
      <c r="Y2649">
        <f>'raw data Crude oil'!Y2650</f>
        <v>0</v>
      </c>
      <c r="Z2649">
        <f>'raw data Crude oil'!Z2650</f>
        <v>0</v>
      </c>
      <c r="AA2649">
        <f>'raw data Crude oil'!AA2650</f>
        <v>0</v>
      </c>
      <c r="AB2649">
        <f>'raw data Crude oil'!AB2650</f>
        <v>0</v>
      </c>
      <c r="AC2649">
        <f>'raw data Crude oil'!AC2650</f>
        <v>0</v>
      </c>
      <c r="AD2649">
        <f>'raw data Crude oil'!AD2650</f>
        <v>0</v>
      </c>
      <c r="AE2649">
        <f>'raw data Crude oil'!AE2650</f>
        <v>0</v>
      </c>
      <c r="AF2649">
        <f>'raw data Crude oil'!AF2650</f>
        <v>0</v>
      </c>
      <c r="AG2649">
        <f>'raw data Crude oil'!AG2650</f>
        <v>0</v>
      </c>
      <c r="AH2649">
        <f>'raw data Crude oil'!AH2650</f>
        <v>0</v>
      </c>
      <c r="AI2649">
        <f>'raw data Crude oil'!AI2650</f>
        <v>0</v>
      </c>
      <c r="AJ2649">
        <f>'raw data Crude oil'!AJ2650</f>
        <v>0</v>
      </c>
      <c r="AK2649">
        <f>'raw data Crude oil'!AK2650</f>
        <v>0</v>
      </c>
    </row>
    <row r="2650" spans="1:37" x14ac:dyDescent="0.3">
      <c r="A2650" s="18">
        <f>'raw data Crude oil'!A2651</f>
        <v>0</v>
      </c>
      <c r="B2650">
        <f>'raw data Crude oil'!B2651</f>
        <v>0</v>
      </c>
      <c r="C2650">
        <f>'raw data Crude oil'!C2651</f>
        <v>0</v>
      </c>
      <c r="D2650">
        <f>'raw data Crude oil'!D2651</f>
        <v>0</v>
      </c>
      <c r="E2650">
        <f>'raw data Crude oil'!E2651</f>
        <v>0</v>
      </c>
      <c r="F2650">
        <f>'raw data Crude oil'!F2651</f>
        <v>0</v>
      </c>
      <c r="G2650">
        <f>'raw data Crude oil'!G2651</f>
        <v>0</v>
      </c>
      <c r="H2650">
        <f>'raw data Crude oil'!H2651</f>
        <v>0</v>
      </c>
      <c r="I2650">
        <f>'raw data Crude oil'!I2651</f>
        <v>0</v>
      </c>
      <c r="J2650">
        <f>'raw data Crude oil'!J2651</f>
        <v>0</v>
      </c>
      <c r="K2650">
        <f>'raw data Crude oil'!K2651</f>
        <v>0</v>
      </c>
      <c r="L2650">
        <f>'raw data Crude oil'!L2651</f>
        <v>0</v>
      </c>
      <c r="M2650">
        <f>'raw data Crude oil'!M2651</f>
        <v>0</v>
      </c>
      <c r="N2650">
        <f>'raw data Crude oil'!N2651</f>
        <v>0</v>
      </c>
      <c r="O2650">
        <f>'raw data Crude oil'!O2651</f>
        <v>0</v>
      </c>
      <c r="P2650">
        <f>'raw data Crude oil'!P2651</f>
        <v>0</v>
      </c>
      <c r="Q2650">
        <f>'raw data Crude oil'!Q2651</f>
        <v>0</v>
      </c>
      <c r="R2650">
        <f>'raw data Crude oil'!R2651</f>
        <v>0</v>
      </c>
      <c r="S2650">
        <f>'raw data Crude oil'!S2651</f>
        <v>0</v>
      </c>
      <c r="T2650">
        <f>'raw data Crude oil'!T2651</f>
        <v>0</v>
      </c>
      <c r="U2650">
        <f>'raw data Crude oil'!U2651</f>
        <v>0</v>
      </c>
      <c r="V2650">
        <f>'raw data Crude oil'!V2651</f>
        <v>0</v>
      </c>
      <c r="W2650">
        <f>'raw data Crude oil'!W2651</f>
        <v>0</v>
      </c>
      <c r="X2650">
        <f>'raw data Crude oil'!X2651</f>
        <v>0</v>
      </c>
      <c r="Y2650">
        <f>'raw data Crude oil'!Y2651</f>
        <v>0</v>
      </c>
      <c r="Z2650">
        <f>'raw data Crude oil'!Z2651</f>
        <v>0</v>
      </c>
      <c r="AA2650">
        <f>'raw data Crude oil'!AA2651</f>
        <v>0</v>
      </c>
      <c r="AB2650">
        <f>'raw data Crude oil'!AB2651</f>
        <v>0</v>
      </c>
      <c r="AC2650">
        <f>'raw data Crude oil'!AC2651</f>
        <v>0</v>
      </c>
      <c r="AD2650">
        <f>'raw data Crude oil'!AD2651</f>
        <v>0</v>
      </c>
      <c r="AE2650">
        <f>'raw data Crude oil'!AE2651</f>
        <v>0</v>
      </c>
      <c r="AF2650">
        <f>'raw data Crude oil'!AF2651</f>
        <v>0</v>
      </c>
      <c r="AG2650">
        <f>'raw data Crude oil'!AG2651</f>
        <v>0</v>
      </c>
      <c r="AH2650">
        <f>'raw data Crude oil'!AH2651</f>
        <v>0</v>
      </c>
      <c r="AI2650">
        <f>'raw data Crude oil'!AI2651</f>
        <v>0</v>
      </c>
      <c r="AJ2650">
        <f>'raw data Crude oil'!AJ2651</f>
        <v>0</v>
      </c>
      <c r="AK2650">
        <f>'raw data Crude oil'!AK2651</f>
        <v>0</v>
      </c>
    </row>
    <row r="2651" spans="1:37" x14ac:dyDescent="0.3">
      <c r="A2651" s="18">
        <f>'raw data Crude oil'!A2652</f>
        <v>0</v>
      </c>
      <c r="B2651">
        <f>'raw data Crude oil'!B2652</f>
        <v>0</v>
      </c>
      <c r="C2651">
        <f>'raw data Crude oil'!C2652</f>
        <v>0</v>
      </c>
      <c r="D2651">
        <f>'raw data Crude oil'!D2652</f>
        <v>0</v>
      </c>
      <c r="E2651">
        <f>'raw data Crude oil'!E2652</f>
        <v>0</v>
      </c>
      <c r="F2651">
        <f>'raw data Crude oil'!F2652</f>
        <v>0</v>
      </c>
      <c r="G2651">
        <f>'raw data Crude oil'!G2652</f>
        <v>0</v>
      </c>
      <c r="H2651">
        <f>'raw data Crude oil'!H2652</f>
        <v>0</v>
      </c>
      <c r="I2651">
        <f>'raw data Crude oil'!I2652</f>
        <v>0</v>
      </c>
      <c r="J2651">
        <f>'raw data Crude oil'!J2652</f>
        <v>0</v>
      </c>
      <c r="K2651">
        <f>'raw data Crude oil'!K2652</f>
        <v>0</v>
      </c>
      <c r="L2651">
        <f>'raw data Crude oil'!L2652</f>
        <v>0</v>
      </c>
      <c r="M2651">
        <f>'raw data Crude oil'!M2652</f>
        <v>0</v>
      </c>
      <c r="N2651">
        <f>'raw data Crude oil'!N2652</f>
        <v>0</v>
      </c>
      <c r="O2651">
        <f>'raw data Crude oil'!O2652</f>
        <v>0</v>
      </c>
      <c r="P2651">
        <f>'raw data Crude oil'!P2652</f>
        <v>0</v>
      </c>
      <c r="Q2651">
        <f>'raw data Crude oil'!Q2652</f>
        <v>0</v>
      </c>
      <c r="R2651">
        <f>'raw data Crude oil'!R2652</f>
        <v>0</v>
      </c>
      <c r="S2651">
        <f>'raw data Crude oil'!S2652</f>
        <v>0</v>
      </c>
      <c r="T2651">
        <f>'raw data Crude oil'!T2652</f>
        <v>0</v>
      </c>
      <c r="U2651">
        <f>'raw data Crude oil'!U2652</f>
        <v>0</v>
      </c>
      <c r="V2651">
        <f>'raw data Crude oil'!V2652</f>
        <v>0</v>
      </c>
      <c r="W2651">
        <f>'raw data Crude oil'!W2652</f>
        <v>0</v>
      </c>
      <c r="X2651">
        <f>'raw data Crude oil'!X2652</f>
        <v>0</v>
      </c>
      <c r="Y2651">
        <f>'raw data Crude oil'!Y2652</f>
        <v>0</v>
      </c>
      <c r="Z2651">
        <f>'raw data Crude oil'!Z2652</f>
        <v>0</v>
      </c>
      <c r="AA2651">
        <f>'raw data Crude oil'!AA2652</f>
        <v>0</v>
      </c>
      <c r="AB2651">
        <f>'raw data Crude oil'!AB2652</f>
        <v>0</v>
      </c>
      <c r="AC2651">
        <f>'raw data Crude oil'!AC2652</f>
        <v>0</v>
      </c>
      <c r="AD2651">
        <f>'raw data Crude oil'!AD2652</f>
        <v>0</v>
      </c>
      <c r="AE2651">
        <f>'raw data Crude oil'!AE2652</f>
        <v>0</v>
      </c>
      <c r="AF2651">
        <f>'raw data Crude oil'!AF2652</f>
        <v>0</v>
      </c>
      <c r="AG2651">
        <f>'raw data Crude oil'!AG2652</f>
        <v>0</v>
      </c>
      <c r="AH2651">
        <f>'raw data Crude oil'!AH2652</f>
        <v>0</v>
      </c>
      <c r="AI2651">
        <f>'raw data Crude oil'!AI2652</f>
        <v>0</v>
      </c>
      <c r="AJ2651">
        <f>'raw data Crude oil'!AJ2652</f>
        <v>0</v>
      </c>
      <c r="AK2651">
        <f>'raw data Crude oil'!AK2652</f>
        <v>0</v>
      </c>
    </row>
    <row r="2652" spans="1:37" x14ac:dyDescent="0.3">
      <c r="A2652" s="18">
        <f>'raw data Crude oil'!A2653</f>
        <v>0</v>
      </c>
      <c r="B2652">
        <f>'raw data Crude oil'!B2653</f>
        <v>0</v>
      </c>
      <c r="C2652">
        <f>'raw data Crude oil'!C2653</f>
        <v>0</v>
      </c>
      <c r="D2652">
        <f>'raw data Crude oil'!D2653</f>
        <v>0</v>
      </c>
      <c r="E2652">
        <f>'raw data Crude oil'!E2653</f>
        <v>0</v>
      </c>
      <c r="F2652">
        <f>'raw data Crude oil'!F2653</f>
        <v>0</v>
      </c>
      <c r="G2652">
        <f>'raw data Crude oil'!G2653</f>
        <v>0</v>
      </c>
      <c r="H2652">
        <f>'raw data Crude oil'!H2653</f>
        <v>0</v>
      </c>
      <c r="I2652">
        <f>'raw data Crude oil'!I2653</f>
        <v>0</v>
      </c>
      <c r="J2652">
        <f>'raw data Crude oil'!J2653</f>
        <v>0</v>
      </c>
      <c r="K2652">
        <f>'raw data Crude oil'!K2653</f>
        <v>0</v>
      </c>
      <c r="L2652">
        <f>'raw data Crude oil'!L2653</f>
        <v>0</v>
      </c>
      <c r="M2652">
        <f>'raw data Crude oil'!M2653</f>
        <v>0</v>
      </c>
      <c r="N2652">
        <f>'raw data Crude oil'!N2653</f>
        <v>0</v>
      </c>
      <c r="O2652">
        <f>'raw data Crude oil'!O2653</f>
        <v>0</v>
      </c>
      <c r="P2652">
        <f>'raw data Crude oil'!P2653</f>
        <v>0</v>
      </c>
      <c r="Q2652">
        <f>'raw data Crude oil'!Q2653</f>
        <v>0</v>
      </c>
      <c r="R2652">
        <f>'raw data Crude oil'!R2653</f>
        <v>0</v>
      </c>
      <c r="S2652">
        <f>'raw data Crude oil'!S2653</f>
        <v>0</v>
      </c>
      <c r="T2652">
        <f>'raw data Crude oil'!T2653</f>
        <v>0</v>
      </c>
      <c r="U2652">
        <f>'raw data Crude oil'!U2653</f>
        <v>0</v>
      </c>
      <c r="V2652">
        <f>'raw data Crude oil'!V2653</f>
        <v>0</v>
      </c>
      <c r="W2652">
        <f>'raw data Crude oil'!W2653</f>
        <v>0</v>
      </c>
      <c r="X2652">
        <f>'raw data Crude oil'!X2653</f>
        <v>0</v>
      </c>
      <c r="Y2652">
        <f>'raw data Crude oil'!Y2653</f>
        <v>0</v>
      </c>
      <c r="Z2652">
        <f>'raw data Crude oil'!Z2653</f>
        <v>0</v>
      </c>
      <c r="AA2652">
        <f>'raw data Crude oil'!AA2653</f>
        <v>0</v>
      </c>
      <c r="AB2652">
        <f>'raw data Crude oil'!AB2653</f>
        <v>0</v>
      </c>
      <c r="AC2652">
        <f>'raw data Crude oil'!AC2653</f>
        <v>0</v>
      </c>
      <c r="AD2652">
        <f>'raw data Crude oil'!AD2653</f>
        <v>0</v>
      </c>
      <c r="AE2652">
        <f>'raw data Crude oil'!AE2653</f>
        <v>0</v>
      </c>
      <c r="AF2652">
        <f>'raw data Crude oil'!AF2653</f>
        <v>0</v>
      </c>
      <c r="AG2652">
        <f>'raw data Crude oil'!AG2653</f>
        <v>0</v>
      </c>
      <c r="AH2652">
        <f>'raw data Crude oil'!AH2653</f>
        <v>0</v>
      </c>
      <c r="AI2652">
        <f>'raw data Crude oil'!AI2653</f>
        <v>0</v>
      </c>
      <c r="AJ2652">
        <f>'raw data Crude oil'!AJ2653</f>
        <v>0</v>
      </c>
      <c r="AK2652">
        <f>'raw data Crude oil'!AK2653</f>
        <v>0</v>
      </c>
    </row>
    <row r="2653" spans="1:37" x14ac:dyDescent="0.3">
      <c r="A2653" s="18">
        <f>'raw data Crude oil'!A2654</f>
        <v>0</v>
      </c>
      <c r="B2653">
        <f>'raw data Crude oil'!B2654</f>
        <v>0</v>
      </c>
      <c r="C2653">
        <f>'raw data Crude oil'!C2654</f>
        <v>0</v>
      </c>
      <c r="D2653">
        <f>'raw data Crude oil'!D2654</f>
        <v>0</v>
      </c>
      <c r="E2653">
        <f>'raw data Crude oil'!E2654</f>
        <v>0</v>
      </c>
      <c r="F2653">
        <f>'raw data Crude oil'!F2654</f>
        <v>0</v>
      </c>
      <c r="G2653">
        <f>'raw data Crude oil'!G2654</f>
        <v>0</v>
      </c>
      <c r="H2653">
        <f>'raw data Crude oil'!H2654</f>
        <v>0</v>
      </c>
      <c r="I2653">
        <f>'raw data Crude oil'!I2654</f>
        <v>0</v>
      </c>
      <c r="J2653">
        <f>'raw data Crude oil'!J2654</f>
        <v>0</v>
      </c>
      <c r="K2653">
        <f>'raw data Crude oil'!K2654</f>
        <v>0</v>
      </c>
      <c r="L2653">
        <f>'raw data Crude oil'!L2654</f>
        <v>0</v>
      </c>
      <c r="M2653">
        <f>'raw data Crude oil'!M2654</f>
        <v>0</v>
      </c>
      <c r="N2653">
        <f>'raw data Crude oil'!N2654</f>
        <v>0</v>
      </c>
      <c r="O2653">
        <f>'raw data Crude oil'!O2654</f>
        <v>0</v>
      </c>
      <c r="P2653">
        <f>'raw data Crude oil'!P2654</f>
        <v>0</v>
      </c>
      <c r="Q2653">
        <f>'raw data Crude oil'!Q2654</f>
        <v>0</v>
      </c>
      <c r="R2653">
        <f>'raw data Crude oil'!R2654</f>
        <v>0</v>
      </c>
      <c r="S2653">
        <f>'raw data Crude oil'!S2654</f>
        <v>0</v>
      </c>
      <c r="T2653">
        <f>'raw data Crude oil'!T2654</f>
        <v>0</v>
      </c>
      <c r="U2653">
        <f>'raw data Crude oil'!U2654</f>
        <v>0</v>
      </c>
      <c r="V2653">
        <f>'raw data Crude oil'!V2654</f>
        <v>0</v>
      </c>
      <c r="W2653">
        <f>'raw data Crude oil'!W2654</f>
        <v>0</v>
      </c>
      <c r="X2653">
        <f>'raw data Crude oil'!X2654</f>
        <v>0</v>
      </c>
      <c r="Y2653">
        <f>'raw data Crude oil'!Y2654</f>
        <v>0</v>
      </c>
      <c r="Z2653">
        <f>'raw data Crude oil'!Z2654</f>
        <v>0</v>
      </c>
      <c r="AA2653">
        <f>'raw data Crude oil'!AA2654</f>
        <v>0</v>
      </c>
      <c r="AB2653">
        <f>'raw data Crude oil'!AB2654</f>
        <v>0</v>
      </c>
      <c r="AC2653">
        <f>'raw data Crude oil'!AC2654</f>
        <v>0</v>
      </c>
      <c r="AD2653">
        <f>'raw data Crude oil'!AD2654</f>
        <v>0</v>
      </c>
      <c r="AE2653">
        <f>'raw data Crude oil'!AE2654</f>
        <v>0</v>
      </c>
      <c r="AF2653">
        <f>'raw data Crude oil'!AF2654</f>
        <v>0</v>
      </c>
      <c r="AG2653">
        <f>'raw data Crude oil'!AG2654</f>
        <v>0</v>
      </c>
      <c r="AH2653">
        <f>'raw data Crude oil'!AH2654</f>
        <v>0</v>
      </c>
      <c r="AI2653">
        <f>'raw data Crude oil'!AI2654</f>
        <v>0</v>
      </c>
      <c r="AJ2653">
        <f>'raw data Crude oil'!AJ2654</f>
        <v>0</v>
      </c>
      <c r="AK2653">
        <f>'raw data Crude oil'!AK2654</f>
        <v>0</v>
      </c>
    </row>
    <row r="2654" spans="1:37" x14ac:dyDescent="0.3">
      <c r="A2654" s="18">
        <f>'raw data Crude oil'!A2655</f>
        <v>0</v>
      </c>
      <c r="B2654">
        <f>'raw data Crude oil'!B2655</f>
        <v>0</v>
      </c>
      <c r="C2654">
        <f>'raw data Crude oil'!C2655</f>
        <v>0</v>
      </c>
      <c r="D2654">
        <f>'raw data Crude oil'!D2655</f>
        <v>0</v>
      </c>
      <c r="E2654">
        <f>'raw data Crude oil'!E2655</f>
        <v>0</v>
      </c>
      <c r="F2654">
        <f>'raw data Crude oil'!F2655</f>
        <v>0</v>
      </c>
      <c r="G2654">
        <f>'raw data Crude oil'!G2655</f>
        <v>0</v>
      </c>
      <c r="H2654">
        <f>'raw data Crude oil'!H2655</f>
        <v>0</v>
      </c>
      <c r="I2654">
        <f>'raw data Crude oil'!I2655</f>
        <v>0</v>
      </c>
      <c r="J2654">
        <f>'raw data Crude oil'!J2655</f>
        <v>0</v>
      </c>
      <c r="K2654">
        <f>'raw data Crude oil'!K2655</f>
        <v>0</v>
      </c>
      <c r="L2654">
        <f>'raw data Crude oil'!L2655</f>
        <v>0</v>
      </c>
      <c r="M2654">
        <f>'raw data Crude oil'!M2655</f>
        <v>0</v>
      </c>
      <c r="N2654">
        <f>'raw data Crude oil'!N2655</f>
        <v>0</v>
      </c>
      <c r="O2654">
        <f>'raw data Crude oil'!O2655</f>
        <v>0</v>
      </c>
      <c r="P2654">
        <f>'raw data Crude oil'!P2655</f>
        <v>0</v>
      </c>
      <c r="Q2654">
        <f>'raw data Crude oil'!Q2655</f>
        <v>0</v>
      </c>
      <c r="R2654">
        <f>'raw data Crude oil'!R2655</f>
        <v>0</v>
      </c>
      <c r="S2654">
        <f>'raw data Crude oil'!S2655</f>
        <v>0</v>
      </c>
      <c r="T2654">
        <f>'raw data Crude oil'!T2655</f>
        <v>0</v>
      </c>
      <c r="U2654">
        <f>'raw data Crude oil'!U2655</f>
        <v>0</v>
      </c>
      <c r="V2654">
        <f>'raw data Crude oil'!V2655</f>
        <v>0</v>
      </c>
      <c r="W2654">
        <f>'raw data Crude oil'!W2655</f>
        <v>0</v>
      </c>
      <c r="X2654">
        <f>'raw data Crude oil'!X2655</f>
        <v>0</v>
      </c>
      <c r="Y2654">
        <f>'raw data Crude oil'!Y2655</f>
        <v>0</v>
      </c>
      <c r="Z2654">
        <f>'raw data Crude oil'!Z2655</f>
        <v>0</v>
      </c>
      <c r="AA2654">
        <f>'raw data Crude oil'!AA2655</f>
        <v>0</v>
      </c>
      <c r="AB2654">
        <f>'raw data Crude oil'!AB2655</f>
        <v>0</v>
      </c>
      <c r="AC2654">
        <f>'raw data Crude oil'!AC2655</f>
        <v>0</v>
      </c>
      <c r="AD2654">
        <f>'raw data Crude oil'!AD2655</f>
        <v>0</v>
      </c>
      <c r="AE2654">
        <f>'raw data Crude oil'!AE2655</f>
        <v>0</v>
      </c>
      <c r="AF2654">
        <f>'raw data Crude oil'!AF2655</f>
        <v>0</v>
      </c>
      <c r="AG2654">
        <f>'raw data Crude oil'!AG2655</f>
        <v>0</v>
      </c>
      <c r="AH2654">
        <f>'raw data Crude oil'!AH2655</f>
        <v>0</v>
      </c>
      <c r="AI2654">
        <f>'raw data Crude oil'!AI2655</f>
        <v>0</v>
      </c>
      <c r="AJ2654">
        <f>'raw data Crude oil'!AJ2655</f>
        <v>0</v>
      </c>
      <c r="AK2654">
        <f>'raw data Crude oil'!AK2655</f>
        <v>0</v>
      </c>
    </row>
    <row r="2655" spans="1:37" x14ac:dyDescent="0.3">
      <c r="A2655" s="18">
        <f>'raw data Crude oil'!A2656</f>
        <v>0</v>
      </c>
      <c r="B2655">
        <f>'raw data Crude oil'!B2656</f>
        <v>0</v>
      </c>
      <c r="C2655">
        <f>'raw data Crude oil'!C2656</f>
        <v>0</v>
      </c>
      <c r="D2655">
        <f>'raw data Crude oil'!D2656</f>
        <v>0</v>
      </c>
      <c r="E2655">
        <f>'raw data Crude oil'!E2656</f>
        <v>0</v>
      </c>
      <c r="F2655">
        <f>'raw data Crude oil'!F2656</f>
        <v>0</v>
      </c>
      <c r="G2655">
        <f>'raw data Crude oil'!G2656</f>
        <v>0</v>
      </c>
      <c r="H2655">
        <f>'raw data Crude oil'!H2656</f>
        <v>0</v>
      </c>
      <c r="I2655">
        <f>'raw data Crude oil'!I2656</f>
        <v>0</v>
      </c>
      <c r="J2655">
        <f>'raw data Crude oil'!J2656</f>
        <v>0</v>
      </c>
      <c r="K2655">
        <f>'raw data Crude oil'!K2656</f>
        <v>0</v>
      </c>
      <c r="L2655">
        <f>'raw data Crude oil'!L2656</f>
        <v>0</v>
      </c>
      <c r="M2655">
        <f>'raw data Crude oil'!M2656</f>
        <v>0</v>
      </c>
      <c r="N2655">
        <f>'raw data Crude oil'!N2656</f>
        <v>0</v>
      </c>
      <c r="O2655">
        <f>'raw data Crude oil'!O2656</f>
        <v>0</v>
      </c>
      <c r="P2655">
        <f>'raw data Crude oil'!P2656</f>
        <v>0</v>
      </c>
      <c r="Q2655">
        <f>'raw data Crude oil'!Q2656</f>
        <v>0</v>
      </c>
      <c r="R2655">
        <f>'raw data Crude oil'!R2656</f>
        <v>0</v>
      </c>
      <c r="S2655">
        <f>'raw data Crude oil'!S2656</f>
        <v>0</v>
      </c>
      <c r="T2655">
        <f>'raw data Crude oil'!T2656</f>
        <v>0</v>
      </c>
      <c r="U2655">
        <f>'raw data Crude oil'!U2656</f>
        <v>0</v>
      </c>
      <c r="V2655">
        <f>'raw data Crude oil'!V2656</f>
        <v>0</v>
      </c>
      <c r="W2655">
        <f>'raw data Crude oil'!W2656</f>
        <v>0</v>
      </c>
      <c r="X2655">
        <f>'raw data Crude oil'!X2656</f>
        <v>0</v>
      </c>
      <c r="Y2655">
        <f>'raw data Crude oil'!Y2656</f>
        <v>0</v>
      </c>
      <c r="Z2655">
        <f>'raw data Crude oil'!Z2656</f>
        <v>0</v>
      </c>
      <c r="AA2655">
        <f>'raw data Crude oil'!AA2656</f>
        <v>0</v>
      </c>
      <c r="AB2655">
        <f>'raw data Crude oil'!AB2656</f>
        <v>0</v>
      </c>
      <c r="AC2655">
        <f>'raw data Crude oil'!AC2656</f>
        <v>0</v>
      </c>
      <c r="AD2655">
        <f>'raw data Crude oil'!AD2656</f>
        <v>0</v>
      </c>
      <c r="AE2655">
        <f>'raw data Crude oil'!AE2656</f>
        <v>0</v>
      </c>
      <c r="AF2655">
        <f>'raw data Crude oil'!AF2656</f>
        <v>0</v>
      </c>
      <c r="AG2655">
        <f>'raw data Crude oil'!AG2656</f>
        <v>0</v>
      </c>
      <c r="AH2655">
        <f>'raw data Crude oil'!AH2656</f>
        <v>0</v>
      </c>
      <c r="AI2655">
        <f>'raw data Crude oil'!AI2656</f>
        <v>0</v>
      </c>
      <c r="AJ2655">
        <f>'raw data Crude oil'!AJ2656</f>
        <v>0</v>
      </c>
      <c r="AK2655">
        <f>'raw data Crude oil'!AK2656</f>
        <v>0</v>
      </c>
    </row>
    <row r="2656" spans="1:37" x14ac:dyDescent="0.3">
      <c r="A2656" s="18">
        <f>'raw data Crude oil'!A2657</f>
        <v>0</v>
      </c>
      <c r="B2656">
        <f>'raw data Crude oil'!B2657</f>
        <v>0</v>
      </c>
      <c r="C2656">
        <f>'raw data Crude oil'!C2657</f>
        <v>0</v>
      </c>
      <c r="D2656">
        <f>'raw data Crude oil'!D2657</f>
        <v>0</v>
      </c>
      <c r="E2656">
        <f>'raw data Crude oil'!E2657</f>
        <v>0</v>
      </c>
      <c r="F2656">
        <f>'raw data Crude oil'!F2657</f>
        <v>0</v>
      </c>
      <c r="G2656">
        <f>'raw data Crude oil'!G2657</f>
        <v>0</v>
      </c>
      <c r="H2656">
        <f>'raw data Crude oil'!H2657</f>
        <v>0</v>
      </c>
      <c r="I2656">
        <f>'raw data Crude oil'!I2657</f>
        <v>0</v>
      </c>
      <c r="J2656">
        <f>'raw data Crude oil'!J2657</f>
        <v>0</v>
      </c>
      <c r="K2656">
        <f>'raw data Crude oil'!K2657</f>
        <v>0</v>
      </c>
      <c r="L2656">
        <f>'raw data Crude oil'!L2657</f>
        <v>0</v>
      </c>
      <c r="M2656">
        <f>'raw data Crude oil'!M2657</f>
        <v>0</v>
      </c>
      <c r="N2656">
        <f>'raw data Crude oil'!N2657</f>
        <v>0</v>
      </c>
      <c r="O2656">
        <f>'raw data Crude oil'!O2657</f>
        <v>0</v>
      </c>
      <c r="P2656">
        <f>'raw data Crude oil'!P2657</f>
        <v>0</v>
      </c>
      <c r="Q2656">
        <f>'raw data Crude oil'!Q2657</f>
        <v>0</v>
      </c>
      <c r="R2656">
        <f>'raw data Crude oil'!R2657</f>
        <v>0</v>
      </c>
      <c r="S2656">
        <f>'raw data Crude oil'!S2657</f>
        <v>0</v>
      </c>
      <c r="T2656">
        <f>'raw data Crude oil'!T2657</f>
        <v>0</v>
      </c>
      <c r="U2656">
        <f>'raw data Crude oil'!U2657</f>
        <v>0</v>
      </c>
      <c r="V2656">
        <f>'raw data Crude oil'!V2657</f>
        <v>0</v>
      </c>
      <c r="W2656">
        <f>'raw data Crude oil'!W2657</f>
        <v>0</v>
      </c>
      <c r="X2656">
        <f>'raw data Crude oil'!X2657</f>
        <v>0</v>
      </c>
      <c r="Y2656">
        <f>'raw data Crude oil'!Y2657</f>
        <v>0</v>
      </c>
      <c r="Z2656">
        <f>'raw data Crude oil'!Z2657</f>
        <v>0</v>
      </c>
      <c r="AA2656">
        <f>'raw data Crude oil'!AA2657</f>
        <v>0</v>
      </c>
      <c r="AB2656">
        <f>'raw data Crude oil'!AB2657</f>
        <v>0</v>
      </c>
      <c r="AC2656">
        <f>'raw data Crude oil'!AC2657</f>
        <v>0</v>
      </c>
      <c r="AD2656">
        <f>'raw data Crude oil'!AD2657</f>
        <v>0</v>
      </c>
      <c r="AE2656">
        <f>'raw data Crude oil'!AE2657</f>
        <v>0</v>
      </c>
      <c r="AF2656">
        <f>'raw data Crude oil'!AF2657</f>
        <v>0</v>
      </c>
      <c r="AG2656">
        <f>'raw data Crude oil'!AG2657</f>
        <v>0</v>
      </c>
      <c r="AH2656">
        <f>'raw data Crude oil'!AH2657</f>
        <v>0</v>
      </c>
      <c r="AI2656">
        <f>'raw data Crude oil'!AI2657</f>
        <v>0</v>
      </c>
      <c r="AJ2656">
        <f>'raw data Crude oil'!AJ2657</f>
        <v>0</v>
      </c>
      <c r="AK2656">
        <f>'raw data Crude oil'!AK2657</f>
        <v>0</v>
      </c>
    </row>
    <row r="2657" spans="1:37" x14ac:dyDescent="0.3">
      <c r="A2657" s="18">
        <f>'raw data Crude oil'!A2658</f>
        <v>0</v>
      </c>
      <c r="B2657">
        <f>'raw data Crude oil'!B2658</f>
        <v>0</v>
      </c>
      <c r="C2657">
        <f>'raw data Crude oil'!C2658</f>
        <v>0</v>
      </c>
      <c r="D2657">
        <f>'raw data Crude oil'!D2658</f>
        <v>0</v>
      </c>
      <c r="E2657">
        <f>'raw data Crude oil'!E2658</f>
        <v>0</v>
      </c>
      <c r="F2657">
        <f>'raw data Crude oil'!F2658</f>
        <v>0</v>
      </c>
      <c r="G2657">
        <f>'raw data Crude oil'!G2658</f>
        <v>0</v>
      </c>
      <c r="H2657">
        <f>'raw data Crude oil'!H2658</f>
        <v>0</v>
      </c>
      <c r="I2657">
        <f>'raw data Crude oil'!I2658</f>
        <v>0</v>
      </c>
      <c r="J2657">
        <f>'raw data Crude oil'!J2658</f>
        <v>0</v>
      </c>
      <c r="K2657">
        <f>'raw data Crude oil'!K2658</f>
        <v>0</v>
      </c>
      <c r="L2657">
        <f>'raw data Crude oil'!L2658</f>
        <v>0</v>
      </c>
      <c r="M2657">
        <f>'raw data Crude oil'!M2658</f>
        <v>0</v>
      </c>
      <c r="N2657">
        <f>'raw data Crude oil'!N2658</f>
        <v>0</v>
      </c>
      <c r="O2657">
        <f>'raw data Crude oil'!O2658</f>
        <v>0</v>
      </c>
      <c r="P2657">
        <f>'raw data Crude oil'!P2658</f>
        <v>0</v>
      </c>
      <c r="Q2657">
        <f>'raw data Crude oil'!Q2658</f>
        <v>0</v>
      </c>
      <c r="R2657">
        <f>'raw data Crude oil'!R2658</f>
        <v>0</v>
      </c>
      <c r="S2657">
        <f>'raw data Crude oil'!S2658</f>
        <v>0</v>
      </c>
      <c r="T2657">
        <f>'raw data Crude oil'!T2658</f>
        <v>0</v>
      </c>
      <c r="U2657">
        <f>'raw data Crude oil'!U2658</f>
        <v>0</v>
      </c>
      <c r="V2657">
        <f>'raw data Crude oil'!V2658</f>
        <v>0</v>
      </c>
      <c r="W2657">
        <f>'raw data Crude oil'!W2658</f>
        <v>0</v>
      </c>
      <c r="X2657">
        <f>'raw data Crude oil'!X2658</f>
        <v>0</v>
      </c>
      <c r="Y2657">
        <f>'raw data Crude oil'!Y2658</f>
        <v>0</v>
      </c>
      <c r="Z2657">
        <f>'raw data Crude oil'!Z2658</f>
        <v>0</v>
      </c>
      <c r="AA2657">
        <f>'raw data Crude oil'!AA2658</f>
        <v>0</v>
      </c>
      <c r="AB2657">
        <f>'raw data Crude oil'!AB2658</f>
        <v>0</v>
      </c>
      <c r="AC2657">
        <f>'raw data Crude oil'!AC2658</f>
        <v>0</v>
      </c>
      <c r="AD2657">
        <f>'raw data Crude oil'!AD2658</f>
        <v>0</v>
      </c>
      <c r="AE2657">
        <f>'raw data Crude oil'!AE2658</f>
        <v>0</v>
      </c>
      <c r="AF2657">
        <f>'raw data Crude oil'!AF2658</f>
        <v>0</v>
      </c>
      <c r="AG2657">
        <f>'raw data Crude oil'!AG2658</f>
        <v>0</v>
      </c>
      <c r="AH2657">
        <f>'raw data Crude oil'!AH2658</f>
        <v>0</v>
      </c>
      <c r="AI2657">
        <f>'raw data Crude oil'!AI2658</f>
        <v>0</v>
      </c>
      <c r="AJ2657">
        <f>'raw data Crude oil'!AJ2658</f>
        <v>0</v>
      </c>
      <c r="AK2657">
        <f>'raw data Crude oil'!AK2658</f>
        <v>0</v>
      </c>
    </row>
    <row r="2658" spans="1:37" x14ac:dyDescent="0.3">
      <c r="A2658" s="18">
        <f>'raw data Crude oil'!A2659</f>
        <v>0</v>
      </c>
      <c r="B2658">
        <f>'raw data Crude oil'!B2659</f>
        <v>0</v>
      </c>
      <c r="C2658">
        <f>'raw data Crude oil'!C2659</f>
        <v>0</v>
      </c>
      <c r="D2658">
        <f>'raw data Crude oil'!D2659</f>
        <v>0</v>
      </c>
      <c r="E2658">
        <f>'raw data Crude oil'!E2659</f>
        <v>0</v>
      </c>
      <c r="F2658">
        <f>'raw data Crude oil'!F2659</f>
        <v>0</v>
      </c>
      <c r="G2658">
        <f>'raw data Crude oil'!G2659</f>
        <v>0</v>
      </c>
      <c r="H2658">
        <f>'raw data Crude oil'!H2659</f>
        <v>0</v>
      </c>
      <c r="I2658">
        <f>'raw data Crude oil'!I2659</f>
        <v>0</v>
      </c>
      <c r="J2658">
        <f>'raw data Crude oil'!J2659</f>
        <v>0</v>
      </c>
      <c r="K2658">
        <f>'raw data Crude oil'!K2659</f>
        <v>0</v>
      </c>
      <c r="L2658">
        <f>'raw data Crude oil'!L2659</f>
        <v>0</v>
      </c>
      <c r="M2658">
        <f>'raw data Crude oil'!M2659</f>
        <v>0</v>
      </c>
      <c r="N2658">
        <f>'raw data Crude oil'!N2659</f>
        <v>0</v>
      </c>
      <c r="O2658">
        <f>'raw data Crude oil'!O2659</f>
        <v>0</v>
      </c>
      <c r="P2658">
        <f>'raw data Crude oil'!P2659</f>
        <v>0</v>
      </c>
      <c r="Q2658">
        <f>'raw data Crude oil'!Q2659</f>
        <v>0</v>
      </c>
      <c r="R2658">
        <f>'raw data Crude oil'!R2659</f>
        <v>0</v>
      </c>
      <c r="S2658">
        <f>'raw data Crude oil'!S2659</f>
        <v>0</v>
      </c>
      <c r="T2658">
        <f>'raw data Crude oil'!T2659</f>
        <v>0</v>
      </c>
      <c r="U2658">
        <f>'raw data Crude oil'!U2659</f>
        <v>0</v>
      </c>
      <c r="V2658">
        <f>'raw data Crude oil'!V2659</f>
        <v>0</v>
      </c>
      <c r="W2658">
        <f>'raw data Crude oil'!W2659</f>
        <v>0</v>
      </c>
      <c r="X2658">
        <f>'raw data Crude oil'!X2659</f>
        <v>0</v>
      </c>
      <c r="Y2658">
        <f>'raw data Crude oil'!Y2659</f>
        <v>0</v>
      </c>
      <c r="Z2658">
        <f>'raw data Crude oil'!Z2659</f>
        <v>0</v>
      </c>
      <c r="AA2658">
        <f>'raw data Crude oil'!AA2659</f>
        <v>0</v>
      </c>
      <c r="AB2658">
        <f>'raw data Crude oil'!AB2659</f>
        <v>0</v>
      </c>
      <c r="AC2658">
        <f>'raw data Crude oil'!AC2659</f>
        <v>0</v>
      </c>
      <c r="AD2658">
        <f>'raw data Crude oil'!AD2659</f>
        <v>0</v>
      </c>
      <c r="AE2658">
        <f>'raw data Crude oil'!AE2659</f>
        <v>0</v>
      </c>
      <c r="AF2658">
        <f>'raw data Crude oil'!AF2659</f>
        <v>0</v>
      </c>
      <c r="AG2658">
        <f>'raw data Crude oil'!AG2659</f>
        <v>0</v>
      </c>
      <c r="AH2658">
        <f>'raw data Crude oil'!AH2659</f>
        <v>0</v>
      </c>
      <c r="AI2658">
        <f>'raw data Crude oil'!AI2659</f>
        <v>0</v>
      </c>
      <c r="AJ2658">
        <f>'raw data Crude oil'!AJ2659</f>
        <v>0</v>
      </c>
      <c r="AK2658">
        <f>'raw data Crude oil'!AK2659</f>
        <v>0</v>
      </c>
    </row>
    <row r="2659" spans="1:37" x14ac:dyDescent="0.3">
      <c r="A2659" s="18">
        <f>'raw data Crude oil'!A2660</f>
        <v>0</v>
      </c>
      <c r="B2659">
        <f>'raw data Crude oil'!B2660</f>
        <v>0</v>
      </c>
      <c r="C2659">
        <f>'raw data Crude oil'!C2660</f>
        <v>0</v>
      </c>
      <c r="D2659">
        <f>'raw data Crude oil'!D2660</f>
        <v>0</v>
      </c>
      <c r="E2659">
        <f>'raw data Crude oil'!E2660</f>
        <v>0</v>
      </c>
      <c r="F2659">
        <f>'raw data Crude oil'!F2660</f>
        <v>0</v>
      </c>
      <c r="G2659">
        <f>'raw data Crude oil'!G2660</f>
        <v>0</v>
      </c>
      <c r="H2659">
        <f>'raw data Crude oil'!H2660</f>
        <v>0</v>
      </c>
      <c r="I2659">
        <f>'raw data Crude oil'!I2660</f>
        <v>0</v>
      </c>
      <c r="J2659">
        <f>'raw data Crude oil'!J2660</f>
        <v>0</v>
      </c>
      <c r="K2659">
        <f>'raw data Crude oil'!K2660</f>
        <v>0</v>
      </c>
      <c r="L2659">
        <f>'raw data Crude oil'!L2660</f>
        <v>0</v>
      </c>
      <c r="M2659">
        <f>'raw data Crude oil'!M2660</f>
        <v>0</v>
      </c>
      <c r="N2659">
        <f>'raw data Crude oil'!N2660</f>
        <v>0</v>
      </c>
      <c r="O2659">
        <f>'raw data Crude oil'!O2660</f>
        <v>0</v>
      </c>
      <c r="P2659">
        <f>'raw data Crude oil'!P2660</f>
        <v>0</v>
      </c>
      <c r="Q2659">
        <f>'raw data Crude oil'!Q2660</f>
        <v>0</v>
      </c>
      <c r="R2659">
        <f>'raw data Crude oil'!R2660</f>
        <v>0</v>
      </c>
      <c r="S2659">
        <f>'raw data Crude oil'!S2660</f>
        <v>0</v>
      </c>
      <c r="T2659">
        <f>'raw data Crude oil'!T2660</f>
        <v>0</v>
      </c>
      <c r="U2659">
        <f>'raw data Crude oil'!U2660</f>
        <v>0</v>
      </c>
      <c r="V2659">
        <f>'raw data Crude oil'!V2660</f>
        <v>0</v>
      </c>
      <c r="W2659">
        <f>'raw data Crude oil'!W2660</f>
        <v>0</v>
      </c>
      <c r="X2659">
        <f>'raw data Crude oil'!X2660</f>
        <v>0</v>
      </c>
      <c r="Y2659">
        <f>'raw data Crude oil'!Y2660</f>
        <v>0</v>
      </c>
      <c r="Z2659">
        <f>'raw data Crude oil'!Z2660</f>
        <v>0</v>
      </c>
      <c r="AA2659">
        <f>'raw data Crude oil'!AA2660</f>
        <v>0</v>
      </c>
      <c r="AB2659">
        <f>'raw data Crude oil'!AB2660</f>
        <v>0</v>
      </c>
      <c r="AC2659">
        <f>'raw data Crude oil'!AC2660</f>
        <v>0</v>
      </c>
      <c r="AD2659">
        <f>'raw data Crude oil'!AD2660</f>
        <v>0</v>
      </c>
      <c r="AE2659">
        <f>'raw data Crude oil'!AE2660</f>
        <v>0</v>
      </c>
      <c r="AF2659">
        <f>'raw data Crude oil'!AF2660</f>
        <v>0</v>
      </c>
      <c r="AG2659">
        <f>'raw data Crude oil'!AG2660</f>
        <v>0</v>
      </c>
      <c r="AH2659">
        <f>'raw data Crude oil'!AH2660</f>
        <v>0</v>
      </c>
      <c r="AI2659">
        <f>'raw data Crude oil'!AI2660</f>
        <v>0</v>
      </c>
      <c r="AJ2659">
        <f>'raw data Crude oil'!AJ2660</f>
        <v>0</v>
      </c>
      <c r="AK2659">
        <f>'raw data Crude oil'!AK2660</f>
        <v>0</v>
      </c>
    </row>
    <row r="2660" spans="1:37" x14ac:dyDescent="0.3">
      <c r="A2660" s="18">
        <f>'raw data Crude oil'!A2661</f>
        <v>0</v>
      </c>
      <c r="B2660">
        <f>'raw data Crude oil'!B2661</f>
        <v>0</v>
      </c>
      <c r="C2660">
        <f>'raw data Crude oil'!C2661</f>
        <v>0</v>
      </c>
      <c r="D2660">
        <f>'raw data Crude oil'!D2661</f>
        <v>0</v>
      </c>
      <c r="E2660">
        <f>'raw data Crude oil'!E2661</f>
        <v>0</v>
      </c>
      <c r="F2660">
        <f>'raw data Crude oil'!F2661</f>
        <v>0</v>
      </c>
      <c r="G2660">
        <f>'raw data Crude oil'!G2661</f>
        <v>0</v>
      </c>
      <c r="H2660">
        <f>'raw data Crude oil'!H2661</f>
        <v>0</v>
      </c>
      <c r="I2660">
        <f>'raw data Crude oil'!I2661</f>
        <v>0</v>
      </c>
      <c r="J2660">
        <f>'raw data Crude oil'!J2661</f>
        <v>0</v>
      </c>
      <c r="K2660">
        <f>'raw data Crude oil'!K2661</f>
        <v>0</v>
      </c>
      <c r="L2660">
        <f>'raw data Crude oil'!L2661</f>
        <v>0</v>
      </c>
      <c r="M2660">
        <f>'raw data Crude oil'!M2661</f>
        <v>0</v>
      </c>
      <c r="N2660">
        <f>'raw data Crude oil'!N2661</f>
        <v>0</v>
      </c>
      <c r="O2660">
        <f>'raw data Crude oil'!O2661</f>
        <v>0</v>
      </c>
      <c r="P2660">
        <f>'raw data Crude oil'!P2661</f>
        <v>0</v>
      </c>
      <c r="Q2660">
        <f>'raw data Crude oil'!Q2661</f>
        <v>0</v>
      </c>
      <c r="R2660">
        <f>'raw data Crude oil'!R2661</f>
        <v>0</v>
      </c>
      <c r="S2660">
        <f>'raw data Crude oil'!S2661</f>
        <v>0</v>
      </c>
      <c r="T2660">
        <f>'raw data Crude oil'!T2661</f>
        <v>0</v>
      </c>
      <c r="U2660">
        <f>'raw data Crude oil'!U2661</f>
        <v>0</v>
      </c>
      <c r="V2660">
        <f>'raw data Crude oil'!V2661</f>
        <v>0</v>
      </c>
      <c r="W2660">
        <f>'raw data Crude oil'!W2661</f>
        <v>0</v>
      </c>
      <c r="X2660">
        <f>'raw data Crude oil'!X2661</f>
        <v>0</v>
      </c>
      <c r="Y2660">
        <f>'raw data Crude oil'!Y2661</f>
        <v>0</v>
      </c>
      <c r="Z2660">
        <f>'raw data Crude oil'!Z2661</f>
        <v>0</v>
      </c>
      <c r="AA2660">
        <f>'raw data Crude oil'!AA2661</f>
        <v>0</v>
      </c>
      <c r="AB2660">
        <f>'raw data Crude oil'!AB2661</f>
        <v>0</v>
      </c>
      <c r="AC2660">
        <f>'raw data Crude oil'!AC2661</f>
        <v>0</v>
      </c>
      <c r="AD2660">
        <f>'raw data Crude oil'!AD2661</f>
        <v>0</v>
      </c>
      <c r="AE2660">
        <f>'raw data Crude oil'!AE2661</f>
        <v>0</v>
      </c>
      <c r="AF2660">
        <f>'raw data Crude oil'!AF2661</f>
        <v>0</v>
      </c>
      <c r="AG2660">
        <f>'raw data Crude oil'!AG2661</f>
        <v>0</v>
      </c>
      <c r="AH2660">
        <f>'raw data Crude oil'!AH2661</f>
        <v>0</v>
      </c>
      <c r="AI2660">
        <f>'raw data Crude oil'!AI2661</f>
        <v>0</v>
      </c>
      <c r="AJ2660">
        <f>'raw data Crude oil'!AJ2661</f>
        <v>0</v>
      </c>
      <c r="AK2660">
        <f>'raw data Crude oil'!AK2661</f>
        <v>0</v>
      </c>
    </row>
    <row r="2661" spans="1:37" x14ac:dyDescent="0.3">
      <c r="A2661" s="18">
        <f>'raw data Crude oil'!A2662</f>
        <v>0</v>
      </c>
      <c r="B2661">
        <f>'raw data Crude oil'!B2662</f>
        <v>0</v>
      </c>
      <c r="C2661">
        <f>'raw data Crude oil'!C2662</f>
        <v>0</v>
      </c>
      <c r="D2661">
        <f>'raw data Crude oil'!D2662</f>
        <v>0</v>
      </c>
      <c r="E2661">
        <f>'raw data Crude oil'!E2662</f>
        <v>0</v>
      </c>
      <c r="F2661">
        <f>'raw data Crude oil'!F2662</f>
        <v>0</v>
      </c>
      <c r="G2661">
        <f>'raw data Crude oil'!G2662</f>
        <v>0</v>
      </c>
      <c r="H2661">
        <f>'raw data Crude oil'!H2662</f>
        <v>0</v>
      </c>
      <c r="I2661">
        <f>'raw data Crude oil'!I2662</f>
        <v>0</v>
      </c>
      <c r="J2661">
        <f>'raw data Crude oil'!J2662</f>
        <v>0</v>
      </c>
      <c r="K2661">
        <f>'raw data Crude oil'!K2662</f>
        <v>0</v>
      </c>
      <c r="L2661">
        <f>'raw data Crude oil'!L2662</f>
        <v>0</v>
      </c>
      <c r="M2661">
        <f>'raw data Crude oil'!M2662</f>
        <v>0</v>
      </c>
      <c r="N2661">
        <f>'raw data Crude oil'!N2662</f>
        <v>0</v>
      </c>
      <c r="O2661">
        <f>'raw data Crude oil'!O2662</f>
        <v>0</v>
      </c>
      <c r="P2661">
        <f>'raw data Crude oil'!P2662</f>
        <v>0</v>
      </c>
      <c r="Q2661">
        <f>'raw data Crude oil'!Q2662</f>
        <v>0</v>
      </c>
      <c r="R2661">
        <f>'raw data Crude oil'!R2662</f>
        <v>0</v>
      </c>
      <c r="S2661">
        <f>'raw data Crude oil'!S2662</f>
        <v>0</v>
      </c>
      <c r="T2661">
        <f>'raw data Crude oil'!T2662</f>
        <v>0</v>
      </c>
      <c r="U2661">
        <f>'raw data Crude oil'!U2662</f>
        <v>0</v>
      </c>
      <c r="V2661">
        <f>'raw data Crude oil'!V2662</f>
        <v>0</v>
      </c>
      <c r="W2661">
        <f>'raw data Crude oil'!W2662</f>
        <v>0</v>
      </c>
      <c r="X2661">
        <f>'raw data Crude oil'!X2662</f>
        <v>0</v>
      </c>
      <c r="Y2661">
        <f>'raw data Crude oil'!Y2662</f>
        <v>0</v>
      </c>
      <c r="Z2661">
        <f>'raw data Crude oil'!Z2662</f>
        <v>0</v>
      </c>
      <c r="AA2661">
        <f>'raw data Crude oil'!AA2662</f>
        <v>0</v>
      </c>
      <c r="AB2661">
        <f>'raw data Crude oil'!AB2662</f>
        <v>0</v>
      </c>
      <c r="AC2661">
        <f>'raw data Crude oil'!AC2662</f>
        <v>0</v>
      </c>
      <c r="AD2661">
        <f>'raw data Crude oil'!AD2662</f>
        <v>0</v>
      </c>
      <c r="AE2661">
        <f>'raw data Crude oil'!AE2662</f>
        <v>0</v>
      </c>
      <c r="AF2661">
        <f>'raw data Crude oil'!AF2662</f>
        <v>0</v>
      </c>
      <c r="AG2661">
        <f>'raw data Crude oil'!AG2662</f>
        <v>0</v>
      </c>
      <c r="AH2661">
        <f>'raw data Crude oil'!AH2662</f>
        <v>0</v>
      </c>
      <c r="AI2661">
        <f>'raw data Crude oil'!AI2662</f>
        <v>0</v>
      </c>
      <c r="AJ2661">
        <f>'raw data Crude oil'!AJ2662</f>
        <v>0</v>
      </c>
      <c r="AK2661">
        <f>'raw data Crude oil'!AK2662</f>
        <v>0</v>
      </c>
    </row>
    <row r="2662" spans="1:37" x14ac:dyDescent="0.3">
      <c r="A2662" s="18">
        <f>'raw data Crude oil'!A2663</f>
        <v>0</v>
      </c>
      <c r="B2662">
        <f>'raw data Crude oil'!B2663</f>
        <v>0</v>
      </c>
      <c r="C2662">
        <f>'raw data Crude oil'!C2663</f>
        <v>0</v>
      </c>
      <c r="D2662">
        <f>'raw data Crude oil'!D2663</f>
        <v>0</v>
      </c>
      <c r="E2662">
        <f>'raw data Crude oil'!E2663</f>
        <v>0</v>
      </c>
      <c r="F2662">
        <f>'raw data Crude oil'!F2663</f>
        <v>0</v>
      </c>
      <c r="G2662">
        <f>'raw data Crude oil'!G2663</f>
        <v>0</v>
      </c>
      <c r="H2662">
        <f>'raw data Crude oil'!H2663</f>
        <v>0</v>
      </c>
      <c r="I2662">
        <f>'raw data Crude oil'!I2663</f>
        <v>0</v>
      </c>
      <c r="J2662">
        <f>'raw data Crude oil'!J2663</f>
        <v>0</v>
      </c>
      <c r="K2662">
        <f>'raw data Crude oil'!K2663</f>
        <v>0</v>
      </c>
      <c r="L2662">
        <f>'raw data Crude oil'!L2663</f>
        <v>0</v>
      </c>
      <c r="M2662">
        <f>'raw data Crude oil'!M2663</f>
        <v>0</v>
      </c>
      <c r="N2662">
        <f>'raw data Crude oil'!N2663</f>
        <v>0</v>
      </c>
      <c r="O2662">
        <f>'raw data Crude oil'!O2663</f>
        <v>0</v>
      </c>
      <c r="P2662">
        <f>'raw data Crude oil'!P2663</f>
        <v>0</v>
      </c>
      <c r="Q2662">
        <f>'raw data Crude oil'!Q2663</f>
        <v>0</v>
      </c>
      <c r="R2662">
        <f>'raw data Crude oil'!R2663</f>
        <v>0</v>
      </c>
      <c r="S2662">
        <f>'raw data Crude oil'!S2663</f>
        <v>0</v>
      </c>
      <c r="T2662">
        <f>'raw data Crude oil'!T2663</f>
        <v>0</v>
      </c>
      <c r="U2662">
        <f>'raw data Crude oil'!U2663</f>
        <v>0</v>
      </c>
      <c r="V2662">
        <f>'raw data Crude oil'!V2663</f>
        <v>0</v>
      </c>
      <c r="W2662">
        <f>'raw data Crude oil'!W2663</f>
        <v>0</v>
      </c>
      <c r="X2662">
        <f>'raw data Crude oil'!X2663</f>
        <v>0</v>
      </c>
      <c r="Y2662">
        <f>'raw data Crude oil'!Y2663</f>
        <v>0</v>
      </c>
      <c r="Z2662">
        <f>'raw data Crude oil'!Z2663</f>
        <v>0</v>
      </c>
      <c r="AA2662">
        <f>'raw data Crude oil'!AA2663</f>
        <v>0</v>
      </c>
      <c r="AB2662">
        <f>'raw data Crude oil'!AB2663</f>
        <v>0</v>
      </c>
      <c r="AC2662">
        <f>'raw data Crude oil'!AC2663</f>
        <v>0</v>
      </c>
      <c r="AD2662">
        <f>'raw data Crude oil'!AD2663</f>
        <v>0</v>
      </c>
      <c r="AE2662">
        <f>'raw data Crude oil'!AE2663</f>
        <v>0</v>
      </c>
      <c r="AF2662">
        <f>'raw data Crude oil'!AF2663</f>
        <v>0</v>
      </c>
      <c r="AG2662">
        <f>'raw data Crude oil'!AG2663</f>
        <v>0</v>
      </c>
      <c r="AH2662">
        <f>'raw data Crude oil'!AH2663</f>
        <v>0</v>
      </c>
      <c r="AI2662">
        <f>'raw data Crude oil'!AI2663</f>
        <v>0</v>
      </c>
      <c r="AJ2662">
        <f>'raw data Crude oil'!AJ2663</f>
        <v>0</v>
      </c>
      <c r="AK2662">
        <f>'raw data Crude oil'!AK2663</f>
        <v>0</v>
      </c>
    </row>
    <row r="2663" spans="1:37" x14ac:dyDescent="0.3">
      <c r="A2663" s="18">
        <f>'raw data Crude oil'!A2664</f>
        <v>0</v>
      </c>
      <c r="B2663">
        <f>'raw data Crude oil'!B2664</f>
        <v>0</v>
      </c>
      <c r="C2663">
        <f>'raw data Crude oil'!C2664</f>
        <v>0</v>
      </c>
      <c r="D2663">
        <f>'raw data Crude oil'!D2664</f>
        <v>0</v>
      </c>
      <c r="E2663">
        <f>'raw data Crude oil'!E2664</f>
        <v>0</v>
      </c>
      <c r="F2663">
        <f>'raw data Crude oil'!F2664</f>
        <v>0</v>
      </c>
      <c r="G2663">
        <f>'raw data Crude oil'!G2664</f>
        <v>0</v>
      </c>
      <c r="H2663">
        <f>'raw data Crude oil'!H2664</f>
        <v>0</v>
      </c>
      <c r="I2663">
        <f>'raw data Crude oil'!I2664</f>
        <v>0</v>
      </c>
      <c r="J2663">
        <f>'raw data Crude oil'!J2664</f>
        <v>0</v>
      </c>
      <c r="K2663">
        <f>'raw data Crude oil'!K2664</f>
        <v>0</v>
      </c>
      <c r="L2663">
        <f>'raw data Crude oil'!L2664</f>
        <v>0</v>
      </c>
      <c r="M2663">
        <f>'raw data Crude oil'!M2664</f>
        <v>0</v>
      </c>
      <c r="N2663">
        <f>'raw data Crude oil'!N2664</f>
        <v>0</v>
      </c>
      <c r="O2663">
        <f>'raw data Crude oil'!O2664</f>
        <v>0</v>
      </c>
      <c r="P2663">
        <f>'raw data Crude oil'!P2664</f>
        <v>0</v>
      </c>
      <c r="Q2663">
        <f>'raw data Crude oil'!Q2664</f>
        <v>0</v>
      </c>
      <c r="R2663">
        <f>'raw data Crude oil'!R2664</f>
        <v>0</v>
      </c>
      <c r="S2663">
        <f>'raw data Crude oil'!S2664</f>
        <v>0</v>
      </c>
      <c r="T2663">
        <f>'raw data Crude oil'!T2664</f>
        <v>0</v>
      </c>
      <c r="U2663">
        <f>'raw data Crude oil'!U2664</f>
        <v>0</v>
      </c>
      <c r="V2663">
        <f>'raw data Crude oil'!V2664</f>
        <v>0</v>
      </c>
      <c r="W2663">
        <f>'raw data Crude oil'!W2664</f>
        <v>0</v>
      </c>
      <c r="X2663">
        <f>'raw data Crude oil'!X2664</f>
        <v>0</v>
      </c>
      <c r="Y2663">
        <f>'raw data Crude oil'!Y2664</f>
        <v>0</v>
      </c>
      <c r="Z2663">
        <f>'raw data Crude oil'!Z2664</f>
        <v>0</v>
      </c>
      <c r="AA2663">
        <f>'raw data Crude oil'!AA2664</f>
        <v>0</v>
      </c>
      <c r="AB2663">
        <f>'raw data Crude oil'!AB2664</f>
        <v>0</v>
      </c>
      <c r="AC2663">
        <f>'raw data Crude oil'!AC2664</f>
        <v>0</v>
      </c>
      <c r="AD2663">
        <f>'raw data Crude oil'!AD2664</f>
        <v>0</v>
      </c>
      <c r="AE2663">
        <f>'raw data Crude oil'!AE2664</f>
        <v>0</v>
      </c>
      <c r="AF2663">
        <f>'raw data Crude oil'!AF2664</f>
        <v>0</v>
      </c>
      <c r="AG2663">
        <f>'raw data Crude oil'!AG2664</f>
        <v>0</v>
      </c>
      <c r="AH2663">
        <f>'raw data Crude oil'!AH2664</f>
        <v>0</v>
      </c>
      <c r="AI2663">
        <f>'raw data Crude oil'!AI2664</f>
        <v>0</v>
      </c>
      <c r="AJ2663">
        <f>'raw data Crude oil'!AJ2664</f>
        <v>0</v>
      </c>
      <c r="AK2663">
        <f>'raw data Crude oil'!AK2664</f>
        <v>0</v>
      </c>
    </row>
    <row r="2664" spans="1:37" x14ac:dyDescent="0.3">
      <c r="A2664" s="18">
        <f>'raw data Crude oil'!A2665</f>
        <v>0</v>
      </c>
      <c r="B2664">
        <f>'raw data Crude oil'!B2665</f>
        <v>0</v>
      </c>
      <c r="C2664">
        <f>'raw data Crude oil'!C2665</f>
        <v>0</v>
      </c>
      <c r="D2664">
        <f>'raw data Crude oil'!D2665</f>
        <v>0</v>
      </c>
      <c r="E2664">
        <f>'raw data Crude oil'!E2665</f>
        <v>0</v>
      </c>
      <c r="F2664">
        <f>'raw data Crude oil'!F2665</f>
        <v>0</v>
      </c>
      <c r="G2664">
        <f>'raw data Crude oil'!G2665</f>
        <v>0</v>
      </c>
      <c r="H2664">
        <f>'raw data Crude oil'!H2665</f>
        <v>0</v>
      </c>
      <c r="I2664">
        <f>'raw data Crude oil'!I2665</f>
        <v>0</v>
      </c>
      <c r="J2664">
        <f>'raw data Crude oil'!J2665</f>
        <v>0</v>
      </c>
      <c r="K2664">
        <f>'raw data Crude oil'!K2665</f>
        <v>0</v>
      </c>
      <c r="L2664">
        <f>'raw data Crude oil'!L2665</f>
        <v>0</v>
      </c>
      <c r="M2664">
        <f>'raw data Crude oil'!M2665</f>
        <v>0</v>
      </c>
      <c r="N2664">
        <f>'raw data Crude oil'!N2665</f>
        <v>0</v>
      </c>
      <c r="O2664">
        <f>'raw data Crude oil'!O2665</f>
        <v>0</v>
      </c>
      <c r="P2664">
        <f>'raw data Crude oil'!P2665</f>
        <v>0</v>
      </c>
      <c r="Q2664">
        <f>'raw data Crude oil'!Q2665</f>
        <v>0</v>
      </c>
      <c r="R2664">
        <f>'raw data Crude oil'!R2665</f>
        <v>0</v>
      </c>
      <c r="S2664">
        <f>'raw data Crude oil'!S2665</f>
        <v>0</v>
      </c>
      <c r="T2664">
        <f>'raw data Crude oil'!T2665</f>
        <v>0</v>
      </c>
      <c r="U2664">
        <f>'raw data Crude oil'!U2665</f>
        <v>0</v>
      </c>
      <c r="V2664">
        <f>'raw data Crude oil'!V2665</f>
        <v>0</v>
      </c>
      <c r="W2664">
        <f>'raw data Crude oil'!W2665</f>
        <v>0</v>
      </c>
      <c r="X2664">
        <f>'raw data Crude oil'!X2665</f>
        <v>0</v>
      </c>
      <c r="Y2664">
        <f>'raw data Crude oil'!Y2665</f>
        <v>0</v>
      </c>
      <c r="Z2664">
        <f>'raw data Crude oil'!Z2665</f>
        <v>0</v>
      </c>
      <c r="AA2664">
        <f>'raw data Crude oil'!AA2665</f>
        <v>0</v>
      </c>
      <c r="AB2664">
        <f>'raw data Crude oil'!AB2665</f>
        <v>0</v>
      </c>
      <c r="AC2664">
        <f>'raw data Crude oil'!AC2665</f>
        <v>0</v>
      </c>
      <c r="AD2664">
        <f>'raw data Crude oil'!AD2665</f>
        <v>0</v>
      </c>
      <c r="AE2664">
        <f>'raw data Crude oil'!AE2665</f>
        <v>0</v>
      </c>
      <c r="AF2664">
        <f>'raw data Crude oil'!AF2665</f>
        <v>0</v>
      </c>
      <c r="AG2664">
        <f>'raw data Crude oil'!AG2665</f>
        <v>0</v>
      </c>
      <c r="AH2664">
        <f>'raw data Crude oil'!AH2665</f>
        <v>0</v>
      </c>
      <c r="AI2664">
        <f>'raw data Crude oil'!AI2665</f>
        <v>0</v>
      </c>
      <c r="AJ2664">
        <f>'raw data Crude oil'!AJ2665</f>
        <v>0</v>
      </c>
      <c r="AK2664">
        <f>'raw data Crude oil'!AK2665</f>
        <v>0</v>
      </c>
    </row>
    <row r="2665" spans="1:37" x14ac:dyDescent="0.3">
      <c r="A2665" s="18">
        <f>'raw data Crude oil'!A2666</f>
        <v>0</v>
      </c>
      <c r="B2665">
        <f>'raw data Crude oil'!B2666</f>
        <v>0</v>
      </c>
      <c r="C2665">
        <f>'raw data Crude oil'!C2666</f>
        <v>0</v>
      </c>
      <c r="D2665">
        <f>'raw data Crude oil'!D2666</f>
        <v>0</v>
      </c>
      <c r="E2665">
        <f>'raw data Crude oil'!E2666</f>
        <v>0</v>
      </c>
      <c r="F2665">
        <f>'raw data Crude oil'!F2666</f>
        <v>0</v>
      </c>
      <c r="G2665">
        <f>'raw data Crude oil'!G2666</f>
        <v>0</v>
      </c>
      <c r="H2665">
        <f>'raw data Crude oil'!H2666</f>
        <v>0</v>
      </c>
      <c r="I2665">
        <f>'raw data Crude oil'!I2666</f>
        <v>0</v>
      </c>
      <c r="J2665">
        <f>'raw data Crude oil'!J2666</f>
        <v>0</v>
      </c>
      <c r="K2665">
        <f>'raw data Crude oil'!K2666</f>
        <v>0</v>
      </c>
      <c r="L2665">
        <f>'raw data Crude oil'!L2666</f>
        <v>0</v>
      </c>
      <c r="M2665">
        <f>'raw data Crude oil'!M2666</f>
        <v>0</v>
      </c>
      <c r="N2665">
        <f>'raw data Crude oil'!N2666</f>
        <v>0</v>
      </c>
      <c r="O2665">
        <f>'raw data Crude oil'!O2666</f>
        <v>0</v>
      </c>
      <c r="P2665">
        <f>'raw data Crude oil'!P2666</f>
        <v>0</v>
      </c>
      <c r="Q2665">
        <f>'raw data Crude oil'!Q2666</f>
        <v>0</v>
      </c>
      <c r="R2665">
        <f>'raw data Crude oil'!R2666</f>
        <v>0</v>
      </c>
      <c r="S2665">
        <f>'raw data Crude oil'!S2666</f>
        <v>0</v>
      </c>
      <c r="T2665">
        <f>'raw data Crude oil'!T2666</f>
        <v>0</v>
      </c>
      <c r="U2665">
        <f>'raw data Crude oil'!U2666</f>
        <v>0</v>
      </c>
      <c r="V2665">
        <f>'raw data Crude oil'!V2666</f>
        <v>0</v>
      </c>
      <c r="W2665">
        <f>'raw data Crude oil'!W2666</f>
        <v>0</v>
      </c>
      <c r="X2665">
        <f>'raw data Crude oil'!X2666</f>
        <v>0</v>
      </c>
      <c r="Y2665">
        <f>'raw data Crude oil'!Y2666</f>
        <v>0</v>
      </c>
      <c r="Z2665">
        <f>'raw data Crude oil'!Z2666</f>
        <v>0</v>
      </c>
      <c r="AA2665">
        <f>'raw data Crude oil'!AA2666</f>
        <v>0</v>
      </c>
      <c r="AB2665">
        <f>'raw data Crude oil'!AB2666</f>
        <v>0</v>
      </c>
      <c r="AC2665">
        <f>'raw data Crude oil'!AC2666</f>
        <v>0</v>
      </c>
      <c r="AD2665">
        <f>'raw data Crude oil'!AD2666</f>
        <v>0</v>
      </c>
      <c r="AE2665">
        <f>'raw data Crude oil'!AE2666</f>
        <v>0</v>
      </c>
      <c r="AF2665">
        <f>'raw data Crude oil'!AF2666</f>
        <v>0</v>
      </c>
      <c r="AG2665">
        <f>'raw data Crude oil'!AG2666</f>
        <v>0</v>
      </c>
      <c r="AH2665">
        <f>'raw data Crude oil'!AH2666</f>
        <v>0</v>
      </c>
      <c r="AI2665">
        <f>'raw data Crude oil'!AI2666</f>
        <v>0</v>
      </c>
      <c r="AJ2665">
        <f>'raw data Crude oil'!AJ2666</f>
        <v>0</v>
      </c>
      <c r="AK2665">
        <f>'raw data Crude oil'!AK2666</f>
        <v>0</v>
      </c>
    </row>
    <row r="2666" spans="1:37" x14ac:dyDescent="0.3">
      <c r="A2666" s="18">
        <f>'raw data Crude oil'!A2667</f>
        <v>0</v>
      </c>
      <c r="B2666">
        <f>'raw data Crude oil'!B2667</f>
        <v>0</v>
      </c>
      <c r="C2666">
        <f>'raw data Crude oil'!C2667</f>
        <v>0</v>
      </c>
      <c r="D2666">
        <f>'raw data Crude oil'!D2667</f>
        <v>0</v>
      </c>
      <c r="E2666">
        <f>'raw data Crude oil'!E2667</f>
        <v>0</v>
      </c>
      <c r="F2666">
        <f>'raw data Crude oil'!F2667</f>
        <v>0</v>
      </c>
      <c r="G2666">
        <f>'raw data Crude oil'!G2667</f>
        <v>0</v>
      </c>
      <c r="H2666">
        <f>'raw data Crude oil'!H2667</f>
        <v>0</v>
      </c>
      <c r="I2666">
        <f>'raw data Crude oil'!I2667</f>
        <v>0</v>
      </c>
      <c r="J2666">
        <f>'raw data Crude oil'!J2667</f>
        <v>0</v>
      </c>
      <c r="K2666">
        <f>'raw data Crude oil'!K2667</f>
        <v>0</v>
      </c>
      <c r="L2666">
        <f>'raw data Crude oil'!L2667</f>
        <v>0</v>
      </c>
      <c r="M2666">
        <f>'raw data Crude oil'!M2667</f>
        <v>0</v>
      </c>
      <c r="N2666">
        <f>'raw data Crude oil'!N2667</f>
        <v>0</v>
      </c>
      <c r="O2666">
        <f>'raw data Crude oil'!O2667</f>
        <v>0</v>
      </c>
      <c r="P2666">
        <f>'raw data Crude oil'!P2667</f>
        <v>0</v>
      </c>
      <c r="Q2666">
        <f>'raw data Crude oil'!Q2667</f>
        <v>0</v>
      </c>
      <c r="R2666">
        <f>'raw data Crude oil'!R2667</f>
        <v>0</v>
      </c>
      <c r="S2666">
        <f>'raw data Crude oil'!S2667</f>
        <v>0</v>
      </c>
      <c r="T2666">
        <f>'raw data Crude oil'!T2667</f>
        <v>0</v>
      </c>
      <c r="U2666">
        <f>'raw data Crude oil'!U2667</f>
        <v>0</v>
      </c>
      <c r="V2666">
        <f>'raw data Crude oil'!V2667</f>
        <v>0</v>
      </c>
      <c r="W2666">
        <f>'raw data Crude oil'!W2667</f>
        <v>0</v>
      </c>
      <c r="X2666">
        <f>'raw data Crude oil'!X2667</f>
        <v>0</v>
      </c>
      <c r="Y2666">
        <f>'raw data Crude oil'!Y2667</f>
        <v>0</v>
      </c>
      <c r="Z2666">
        <f>'raw data Crude oil'!Z2667</f>
        <v>0</v>
      </c>
      <c r="AA2666">
        <f>'raw data Crude oil'!AA2667</f>
        <v>0</v>
      </c>
      <c r="AB2666">
        <f>'raw data Crude oil'!AB2667</f>
        <v>0</v>
      </c>
      <c r="AC2666">
        <f>'raw data Crude oil'!AC2667</f>
        <v>0</v>
      </c>
      <c r="AD2666">
        <f>'raw data Crude oil'!AD2667</f>
        <v>0</v>
      </c>
      <c r="AE2666">
        <f>'raw data Crude oil'!AE2667</f>
        <v>0</v>
      </c>
      <c r="AF2666">
        <f>'raw data Crude oil'!AF2667</f>
        <v>0</v>
      </c>
      <c r="AG2666">
        <f>'raw data Crude oil'!AG2667</f>
        <v>0</v>
      </c>
      <c r="AH2666">
        <f>'raw data Crude oil'!AH2667</f>
        <v>0</v>
      </c>
      <c r="AI2666">
        <f>'raw data Crude oil'!AI2667</f>
        <v>0</v>
      </c>
      <c r="AJ2666">
        <f>'raw data Crude oil'!AJ2667</f>
        <v>0</v>
      </c>
      <c r="AK2666">
        <f>'raw data Crude oil'!AK2667</f>
        <v>0</v>
      </c>
    </row>
    <row r="2667" spans="1:37" x14ac:dyDescent="0.3">
      <c r="A2667" s="18">
        <f>'raw data Crude oil'!A2668</f>
        <v>0</v>
      </c>
      <c r="B2667">
        <f>'raw data Crude oil'!B2668</f>
        <v>0</v>
      </c>
      <c r="C2667">
        <f>'raw data Crude oil'!C2668</f>
        <v>0</v>
      </c>
      <c r="D2667">
        <f>'raw data Crude oil'!D2668</f>
        <v>0</v>
      </c>
      <c r="E2667">
        <f>'raw data Crude oil'!E2668</f>
        <v>0</v>
      </c>
      <c r="F2667">
        <f>'raw data Crude oil'!F2668</f>
        <v>0</v>
      </c>
      <c r="G2667">
        <f>'raw data Crude oil'!G2668</f>
        <v>0</v>
      </c>
      <c r="H2667">
        <f>'raw data Crude oil'!H2668</f>
        <v>0</v>
      </c>
      <c r="I2667">
        <f>'raw data Crude oil'!I2668</f>
        <v>0</v>
      </c>
      <c r="J2667">
        <f>'raw data Crude oil'!J2668</f>
        <v>0</v>
      </c>
      <c r="K2667">
        <f>'raw data Crude oil'!K2668</f>
        <v>0</v>
      </c>
      <c r="L2667">
        <f>'raw data Crude oil'!L2668</f>
        <v>0</v>
      </c>
      <c r="M2667">
        <f>'raw data Crude oil'!M2668</f>
        <v>0</v>
      </c>
      <c r="N2667">
        <f>'raw data Crude oil'!N2668</f>
        <v>0</v>
      </c>
      <c r="O2667">
        <f>'raw data Crude oil'!O2668</f>
        <v>0</v>
      </c>
      <c r="P2667">
        <f>'raw data Crude oil'!P2668</f>
        <v>0</v>
      </c>
      <c r="Q2667">
        <f>'raw data Crude oil'!Q2668</f>
        <v>0</v>
      </c>
      <c r="R2667">
        <f>'raw data Crude oil'!R2668</f>
        <v>0</v>
      </c>
      <c r="S2667">
        <f>'raw data Crude oil'!S2668</f>
        <v>0</v>
      </c>
      <c r="T2667">
        <f>'raw data Crude oil'!T2668</f>
        <v>0</v>
      </c>
      <c r="U2667">
        <f>'raw data Crude oil'!U2668</f>
        <v>0</v>
      </c>
      <c r="V2667">
        <f>'raw data Crude oil'!V2668</f>
        <v>0</v>
      </c>
      <c r="W2667">
        <f>'raw data Crude oil'!W2668</f>
        <v>0</v>
      </c>
      <c r="X2667">
        <f>'raw data Crude oil'!X2668</f>
        <v>0</v>
      </c>
      <c r="Y2667">
        <f>'raw data Crude oil'!Y2668</f>
        <v>0</v>
      </c>
      <c r="Z2667">
        <f>'raw data Crude oil'!Z2668</f>
        <v>0</v>
      </c>
      <c r="AA2667">
        <f>'raw data Crude oil'!AA2668</f>
        <v>0</v>
      </c>
      <c r="AB2667">
        <f>'raw data Crude oil'!AB2668</f>
        <v>0</v>
      </c>
      <c r="AC2667">
        <f>'raw data Crude oil'!AC2668</f>
        <v>0</v>
      </c>
      <c r="AD2667">
        <f>'raw data Crude oil'!AD2668</f>
        <v>0</v>
      </c>
      <c r="AE2667">
        <f>'raw data Crude oil'!AE2668</f>
        <v>0</v>
      </c>
      <c r="AF2667">
        <f>'raw data Crude oil'!AF2668</f>
        <v>0</v>
      </c>
      <c r="AG2667">
        <f>'raw data Crude oil'!AG2668</f>
        <v>0</v>
      </c>
      <c r="AH2667">
        <f>'raw data Crude oil'!AH2668</f>
        <v>0</v>
      </c>
      <c r="AI2667">
        <f>'raw data Crude oil'!AI2668</f>
        <v>0</v>
      </c>
      <c r="AJ2667">
        <f>'raw data Crude oil'!AJ2668</f>
        <v>0</v>
      </c>
      <c r="AK2667">
        <f>'raw data Crude oil'!AK2668</f>
        <v>0</v>
      </c>
    </row>
    <row r="2668" spans="1:37" x14ac:dyDescent="0.3">
      <c r="A2668" s="18">
        <f>'raw data Crude oil'!A2669</f>
        <v>0</v>
      </c>
      <c r="B2668">
        <f>'raw data Crude oil'!B2669</f>
        <v>0</v>
      </c>
      <c r="C2668">
        <f>'raw data Crude oil'!C2669</f>
        <v>0</v>
      </c>
      <c r="D2668">
        <f>'raw data Crude oil'!D2669</f>
        <v>0</v>
      </c>
      <c r="E2668">
        <f>'raw data Crude oil'!E2669</f>
        <v>0</v>
      </c>
      <c r="F2668">
        <f>'raw data Crude oil'!F2669</f>
        <v>0</v>
      </c>
      <c r="G2668">
        <f>'raw data Crude oil'!G2669</f>
        <v>0</v>
      </c>
      <c r="H2668">
        <f>'raw data Crude oil'!H2669</f>
        <v>0</v>
      </c>
      <c r="I2668">
        <f>'raw data Crude oil'!I2669</f>
        <v>0</v>
      </c>
      <c r="J2668">
        <f>'raw data Crude oil'!J2669</f>
        <v>0</v>
      </c>
      <c r="K2668">
        <f>'raw data Crude oil'!K2669</f>
        <v>0</v>
      </c>
      <c r="L2668">
        <f>'raw data Crude oil'!L2669</f>
        <v>0</v>
      </c>
      <c r="M2668">
        <f>'raw data Crude oil'!M2669</f>
        <v>0</v>
      </c>
      <c r="N2668">
        <f>'raw data Crude oil'!N2669</f>
        <v>0</v>
      </c>
      <c r="O2668">
        <f>'raw data Crude oil'!O2669</f>
        <v>0</v>
      </c>
      <c r="P2668">
        <f>'raw data Crude oil'!P2669</f>
        <v>0</v>
      </c>
      <c r="Q2668">
        <f>'raw data Crude oil'!Q2669</f>
        <v>0</v>
      </c>
      <c r="R2668">
        <f>'raw data Crude oil'!R2669</f>
        <v>0</v>
      </c>
      <c r="S2668">
        <f>'raw data Crude oil'!S2669</f>
        <v>0</v>
      </c>
      <c r="T2668">
        <f>'raw data Crude oil'!T2669</f>
        <v>0</v>
      </c>
      <c r="U2668">
        <f>'raw data Crude oil'!U2669</f>
        <v>0</v>
      </c>
      <c r="V2668">
        <f>'raw data Crude oil'!V2669</f>
        <v>0</v>
      </c>
      <c r="W2668">
        <f>'raw data Crude oil'!W2669</f>
        <v>0</v>
      </c>
      <c r="X2668">
        <f>'raw data Crude oil'!X2669</f>
        <v>0</v>
      </c>
      <c r="Y2668">
        <f>'raw data Crude oil'!Y2669</f>
        <v>0</v>
      </c>
      <c r="Z2668">
        <f>'raw data Crude oil'!Z2669</f>
        <v>0</v>
      </c>
      <c r="AA2668">
        <f>'raw data Crude oil'!AA2669</f>
        <v>0</v>
      </c>
      <c r="AB2668">
        <f>'raw data Crude oil'!AB2669</f>
        <v>0</v>
      </c>
      <c r="AC2668">
        <f>'raw data Crude oil'!AC2669</f>
        <v>0</v>
      </c>
      <c r="AD2668">
        <f>'raw data Crude oil'!AD2669</f>
        <v>0</v>
      </c>
      <c r="AE2668">
        <f>'raw data Crude oil'!AE2669</f>
        <v>0</v>
      </c>
      <c r="AF2668">
        <f>'raw data Crude oil'!AF2669</f>
        <v>0</v>
      </c>
      <c r="AG2668">
        <f>'raw data Crude oil'!AG2669</f>
        <v>0</v>
      </c>
      <c r="AH2668">
        <f>'raw data Crude oil'!AH2669</f>
        <v>0</v>
      </c>
      <c r="AI2668">
        <f>'raw data Crude oil'!AI2669</f>
        <v>0</v>
      </c>
      <c r="AJ2668">
        <f>'raw data Crude oil'!AJ2669</f>
        <v>0</v>
      </c>
      <c r="AK2668">
        <f>'raw data Crude oil'!AK2669</f>
        <v>0</v>
      </c>
    </row>
    <row r="2669" spans="1:37" x14ac:dyDescent="0.3">
      <c r="A2669" s="18">
        <f>'raw data Crude oil'!A2670</f>
        <v>0</v>
      </c>
      <c r="B2669">
        <f>'raw data Crude oil'!B2670</f>
        <v>0</v>
      </c>
      <c r="C2669">
        <f>'raw data Crude oil'!C2670</f>
        <v>0</v>
      </c>
      <c r="D2669">
        <f>'raw data Crude oil'!D2670</f>
        <v>0</v>
      </c>
      <c r="E2669">
        <f>'raw data Crude oil'!E2670</f>
        <v>0</v>
      </c>
      <c r="F2669">
        <f>'raw data Crude oil'!F2670</f>
        <v>0</v>
      </c>
      <c r="G2669">
        <f>'raw data Crude oil'!G2670</f>
        <v>0</v>
      </c>
      <c r="H2669">
        <f>'raw data Crude oil'!H2670</f>
        <v>0</v>
      </c>
      <c r="I2669">
        <f>'raw data Crude oil'!I2670</f>
        <v>0</v>
      </c>
      <c r="J2669">
        <f>'raw data Crude oil'!J2670</f>
        <v>0</v>
      </c>
      <c r="K2669">
        <f>'raw data Crude oil'!K2670</f>
        <v>0</v>
      </c>
      <c r="L2669">
        <f>'raw data Crude oil'!L2670</f>
        <v>0</v>
      </c>
      <c r="M2669">
        <f>'raw data Crude oil'!M2670</f>
        <v>0</v>
      </c>
      <c r="N2669">
        <f>'raw data Crude oil'!N2670</f>
        <v>0</v>
      </c>
      <c r="O2669">
        <f>'raw data Crude oil'!O2670</f>
        <v>0</v>
      </c>
      <c r="P2669">
        <f>'raw data Crude oil'!P2670</f>
        <v>0</v>
      </c>
      <c r="Q2669">
        <f>'raw data Crude oil'!Q2670</f>
        <v>0</v>
      </c>
      <c r="R2669">
        <f>'raw data Crude oil'!R2670</f>
        <v>0</v>
      </c>
      <c r="S2669">
        <f>'raw data Crude oil'!S2670</f>
        <v>0</v>
      </c>
      <c r="T2669">
        <f>'raw data Crude oil'!T2670</f>
        <v>0</v>
      </c>
      <c r="U2669">
        <f>'raw data Crude oil'!U2670</f>
        <v>0</v>
      </c>
      <c r="V2669">
        <f>'raw data Crude oil'!V2670</f>
        <v>0</v>
      </c>
      <c r="W2669">
        <f>'raw data Crude oil'!W2670</f>
        <v>0</v>
      </c>
      <c r="X2669">
        <f>'raw data Crude oil'!X2670</f>
        <v>0</v>
      </c>
      <c r="Y2669">
        <f>'raw data Crude oil'!Y2670</f>
        <v>0</v>
      </c>
      <c r="Z2669">
        <f>'raw data Crude oil'!Z2670</f>
        <v>0</v>
      </c>
      <c r="AA2669">
        <f>'raw data Crude oil'!AA2670</f>
        <v>0</v>
      </c>
      <c r="AB2669">
        <f>'raw data Crude oil'!AB2670</f>
        <v>0</v>
      </c>
      <c r="AC2669">
        <f>'raw data Crude oil'!AC2670</f>
        <v>0</v>
      </c>
      <c r="AD2669">
        <f>'raw data Crude oil'!AD2670</f>
        <v>0</v>
      </c>
      <c r="AE2669">
        <f>'raw data Crude oil'!AE2670</f>
        <v>0</v>
      </c>
      <c r="AF2669">
        <f>'raw data Crude oil'!AF2670</f>
        <v>0</v>
      </c>
      <c r="AG2669">
        <f>'raw data Crude oil'!AG2670</f>
        <v>0</v>
      </c>
      <c r="AH2669">
        <f>'raw data Crude oil'!AH2670</f>
        <v>0</v>
      </c>
      <c r="AI2669">
        <f>'raw data Crude oil'!AI2670</f>
        <v>0</v>
      </c>
      <c r="AJ2669">
        <f>'raw data Crude oil'!AJ2670</f>
        <v>0</v>
      </c>
      <c r="AK2669">
        <f>'raw data Crude oil'!AK2670</f>
        <v>0</v>
      </c>
    </row>
    <row r="2670" spans="1:37" x14ac:dyDescent="0.3">
      <c r="A2670" s="18">
        <f>'raw data Crude oil'!A2671</f>
        <v>0</v>
      </c>
      <c r="B2670">
        <f>'raw data Crude oil'!B2671</f>
        <v>0</v>
      </c>
      <c r="C2670">
        <f>'raw data Crude oil'!C2671</f>
        <v>0</v>
      </c>
      <c r="D2670">
        <f>'raw data Crude oil'!D2671</f>
        <v>0</v>
      </c>
      <c r="E2670">
        <f>'raw data Crude oil'!E2671</f>
        <v>0</v>
      </c>
      <c r="F2670">
        <f>'raw data Crude oil'!F2671</f>
        <v>0</v>
      </c>
      <c r="G2670">
        <f>'raw data Crude oil'!G2671</f>
        <v>0</v>
      </c>
      <c r="H2670">
        <f>'raw data Crude oil'!H2671</f>
        <v>0</v>
      </c>
      <c r="I2670">
        <f>'raw data Crude oil'!I2671</f>
        <v>0</v>
      </c>
      <c r="J2670">
        <f>'raw data Crude oil'!J2671</f>
        <v>0</v>
      </c>
      <c r="K2670">
        <f>'raw data Crude oil'!K2671</f>
        <v>0</v>
      </c>
      <c r="L2670">
        <f>'raw data Crude oil'!L2671</f>
        <v>0</v>
      </c>
      <c r="M2670">
        <f>'raw data Crude oil'!M2671</f>
        <v>0</v>
      </c>
      <c r="N2670">
        <f>'raw data Crude oil'!N2671</f>
        <v>0</v>
      </c>
      <c r="O2670">
        <f>'raw data Crude oil'!O2671</f>
        <v>0</v>
      </c>
      <c r="P2670">
        <f>'raw data Crude oil'!P2671</f>
        <v>0</v>
      </c>
      <c r="Q2670">
        <f>'raw data Crude oil'!Q2671</f>
        <v>0</v>
      </c>
      <c r="R2670">
        <f>'raw data Crude oil'!R2671</f>
        <v>0</v>
      </c>
      <c r="S2670">
        <f>'raw data Crude oil'!S2671</f>
        <v>0</v>
      </c>
      <c r="T2670">
        <f>'raw data Crude oil'!T2671</f>
        <v>0</v>
      </c>
      <c r="U2670">
        <f>'raw data Crude oil'!U2671</f>
        <v>0</v>
      </c>
      <c r="V2670">
        <f>'raw data Crude oil'!V2671</f>
        <v>0</v>
      </c>
      <c r="W2670">
        <f>'raw data Crude oil'!W2671</f>
        <v>0</v>
      </c>
      <c r="X2670">
        <f>'raw data Crude oil'!X2671</f>
        <v>0</v>
      </c>
      <c r="Y2670">
        <f>'raw data Crude oil'!Y2671</f>
        <v>0</v>
      </c>
      <c r="Z2670">
        <f>'raw data Crude oil'!Z2671</f>
        <v>0</v>
      </c>
      <c r="AA2670">
        <f>'raw data Crude oil'!AA2671</f>
        <v>0</v>
      </c>
      <c r="AB2670">
        <f>'raw data Crude oil'!AB2671</f>
        <v>0</v>
      </c>
      <c r="AC2670">
        <f>'raw data Crude oil'!AC2671</f>
        <v>0</v>
      </c>
      <c r="AD2670">
        <f>'raw data Crude oil'!AD2671</f>
        <v>0</v>
      </c>
      <c r="AE2670">
        <f>'raw data Crude oil'!AE2671</f>
        <v>0</v>
      </c>
      <c r="AF2670">
        <f>'raw data Crude oil'!AF2671</f>
        <v>0</v>
      </c>
      <c r="AG2670">
        <f>'raw data Crude oil'!AG2671</f>
        <v>0</v>
      </c>
      <c r="AH2670">
        <f>'raw data Crude oil'!AH2671</f>
        <v>0</v>
      </c>
      <c r="AI2670">
        <f>'raw data Crude oil'!AI2671</f>
        <v>0</v>
      </c>
      <c r="AJ2670">
        <f>'raw data Crude oil'!AJ2671</f>
        <v>0</v>
      </c>
      <c r="AK2670">
        <f>'raw data Crude oil'!AK2671</f>
        <v>0</v>
      </c>
    </row>
    <row r="2671" spans="1:37" x14ac:dyDescent="0.3">
      <c r="A2671" s="18">
        <f>'raw data Crude oil'!A2672</f>
        <v>0</v>
      </c>
      <c r="B2671">
        <f>'raw data Crude oil'!B2672</f>
        <v>0</v>
      </c>
      <c r="C2671">
        <f>'raw data Crude oil'!C2672</f>
        <v>0</v>
      </c>
      <c r="D2671">
        <f>'raw data Crude oil'!D2672</f>
        <v>0</v>
      </c>
      <c r="E2671">
        <f>'raw data Crude oil'!E2672</f>
        <v>0</v>
      </c>
      <c r="F2671">
        <f>'raw data Crude oil'!F2672</f>
        <v>0</v>
      </c>
      <c r="G2671">
        <f>'raw data Crude oil'!G2672</f>
        <v>0</v>
      </c>
      <c r="H2671">
        <f>'raw data Crude oil'!H2672</f>
        <v>0</v>
      </c>
      <c r="I2671">
        <f>'raw data Crude oil'!I2672</f>
        <v>0</v>
      </c>
      <c r="J2671">
        <f>'raw data Crude oil'!J2672</f>
        <v>0</v>
      </c>
      <c r="K2671">
        <f>'raw data Crude oil'!K2672</f>
        <v>0</v>
      </c>
      <c r="L2671">
        <f>'raw data Crude oil'!L2672</f>
        <v>0</v>
      </c>
      <c r="M2671">
        <f>'raw data Crude oil'!M2672</f>
        <v>0</v>
      </c>
      <c r="N2671">
        <f>'raw data Crude oil'!N2672</f>
        <v>0</v>
      </c>
      <c r="O2671">
        <f>'raw data Crude oil'!O2672</f>
        <v>0</v>
      </c>
      <c r="P2671">
        <f>'raw data Crude oil'!P2672</f>
        <v>0</v>
      </c>
      <c r="Q2671">
        <f>'raw data Crude oil'!Q2672</f>
        <v>0</v>
      </c>
      <c r="R2671">
        <f>'raw data Crude oil'!R2672</f>
        <v>0</v>
      </c>
      <c r="S2671">
        <f>'raw data Crude oil'!S2672</f>
        <v>0</v>
      </c>
      <c r="T2671">
        <f>'raw data Crude oil'!T2672</f>
        <v>0</v>
      </c>
      <c r="U2671">
        <f>'raw data Crude oil'!U2672</f>
        <v>0</v>
      </c>
      <c r="V2671">
        <f>'raw data Crude oil'!V2672</f>
        <v>0</v>
      </c>
      <c r="W2671">
        <f>'raw data Crude oil'!W2672</f>
        <v>0</v>
      </c>
      <c r="X2671">
        <f>'raw data Crude oil'!X2672</f>
        <v>0</v>
      </c>
      <c r="Y2671">
        <f>'raw data Crude oil'!Y2672</f>
        <v>0</v>
      </c>
      <c r="Z2671">
        <f>'raw data Crude oil'!Z2672</f>
        <v>0</v>
      </c>
      <c r="AA2671">
        <f>'raw data Crude oil'!AA2672</f>
        <v>0</v>
      </c>
      <c r="AB2671">
        <f>'raw data Crude oil'!AB2672</f>
        <v>0</v>
      </c>
      <c r="AC2671">
        <f>'raw data Crude oil'!AC2672</f>
        <v>0</v>
      </c>
      <c r="AD2671">
        <f>'raw data Crude oil'!AD2672</f>
        <v>0</v>
      </c>
      <c r="AE2671">
        <f>'raw data Crude oil'!AE2672</f>
        <v>0</v>
      </c>
      <c r="AF2671">
        <f>'raw data Crude oil'!AF2672</f>
        <v>0</v>
      </c>
      <c r="AG2671">
        <f>'raw data Crude oil'!AG2672</f>
        <v>0</v>
      </c>
      <c r="AH2671">
        <f>'raw data Crude oil'!AH2672</f>
        <v>0</v>
      </c>
      <c r="AI2671">
        <f>'raw data Crude oil'!AI2672</f>
        <v>0</v>
      </c>
      <c r="AJ2671">
        <f>'raw data Crude oil'!AJ2672</f>
        <v>0</v>
      </c>
      <c r="AK2671">
        <f>'raw data Crude oil'!AK2672</f>
        <v>0</v>
      </c>
    </row>
    <row r="2672" spans="1:37" x14ac:dyDescent="0.3">
      <c r="A2672" s="18">
        <f>'raw data Crude oil'!A2673</f>
        <v>0</v>
      </c>
      <c r="B2672">
        <f>'raw data Crude oil'!B2673</f>
        <v>0</v>
      </c>
      <c r="C2672">
        <f>'raw data Crude oil'!C2673</f>
        <v>0</v>
      </c>
      <c r="D2672">
        <f>'raw data Crude oil'!D2673</f>
        <v>0</v>
      </c>
      <c r="E2672">
        <f>'raw data Crude oil'!E2673</f>
        <v>0</v>
      </c>
      <c r="F2672">
        <f>'raw data Crude oil'!F2673</f>
        <v>0</v>
      </c>
      <c r="G2672">
        <f>'raw data Crude oil'!G2673</f>
        <v>0</v>
      </c>
      <c r="H2672">
        <f>'raw data Crude oil'!H2673</f>
        <v>0</v>
      </c>
      <c r="I2672">
        <f>'raw data Crude oil'!I2673</f>
        <v>0</v>
      </c>
      <c r="J2672">
        <f>'raw data Crude oil'!J2673</f>
        <v>0</v>
      </c>
      <c r="K2672">
        <f>'raw data Crude oil'!K2673</f>
        <v>0</v>
      </c>
      <c r="L2672">
        <f>'raw data Crude oil'!L2673</f>
        <v>0</v>
      </c>
      <c r="M2672">
        <f>'raw data Crude oil'!M2673</f>
        <v>0</v>
      </c>
      <c r="N2672">
        <f>'raw data Crude oil'!N2673</f>
        <v>0</v>
      </c>
      <c r="O2672">
        <f>'raw data Crude oil'!O2673</f>
        <v>0</v>
      </c>
      <c r="P2672">
        <f>'raw data Crude oil'!P2673</f>
        <v>0</v>
      </c>
      <c r="Q2672">
        <f>'raw data Crude oil'!Q2673</f>
        <v>0</v>
      </c>
      <c r="R2672">
        <f>'raw data Crude oil'!R2673</f>
        <v>0</v>
      </c>
      <c r="S2672">
        <f>'raw data Crude oil'!S2673</f>
        <v>0</v>
      </c>
      <c r="T2672">
        <f>'raw data Crude oil'!T2673</f>
        <v>0</v>
      </c>
      <c r="U2672">
        <f>'raw data Crude oil'!U2673</f>
        <v>0</v>
      </c>
      <c r="V2672">
        <f>'raw data Crude oil'!V2673</f>
        <v>0</v>
      </c>
      <c r="W2672">
        <f>'raw data Crude oil'!W2673</f>
        <v>0</v>
      </c>
      <c r="X2672">
        <f>'raw data Crude oil'!X2673</f>
        <v>0</v>
      </c>
      <c r="Y2672">
        <f>'raw data Crude oil'!Y2673</f>
        <v>0</v>
      </c>
      <c r="Z2672">
        <f>'raw data Crude oil'!Z2673</f>
        <v>0</v>
      </c>
      <c r="AA2672">
        <f>'raw data Crude oil'!AA2673</f>
        <v>0</v>
      </c>
      <c r="AB2672">
        <f>'raw data Crude oil'!AB2673</f>
        <v>0</v>
      </c>
      <c r="AC2672">
        <f>'raw data Crude oil'!AC2673</f>
        <v>0</v>
      </c>
      <c r="AD2672">
        <f>'raw data Crude oil'!AD2673</f>
        <v>0</v>
      </c>
      <c r="AE2672">
        <f>'raw data Crude oil'!AE2673</f>
        <v>0</v>
      </c>
      <c r="AF2672">
        <f>'raw data Crude oil'!AF2673</f>
        <v>0</v>
      </c>
      <c r="AG2672">
        <f>'raw data Crude oil'!AG2673</f>
        <v>0</v>
      </c>
      <c r="AH2672">
        <f>'raw data Crude oil'!AH2673</f>
        <v>0</v>
      </c>
      <c r="AI2672">
        <f>'raw data Crude oil'!AI2673</f>
        <v>0</v>
      </c>
      <c r="AJ2672">
        <f>'raw data Crude oil'!AJ2673</f>
        <v>0</v>
      </c>
      <c r="AK2672">
        <f>'raw data Crude oil'!AK2673</f>
        <v>0</v>
      </c>
    </row>
    <row r="2673" spans="1:37" x14ac:dyDescent="0.3">
      <c r="A2673" s="18">
        <f>'raw data Crude oil'!A2674</f>
        <v>0</v>
      </c>
      <c r="B2673">
        <f>'raw data Crude oil'!B2674</f>
        <v>0</v>
      </c>
      <c r="C2673">
        <f>'raw data Crude oil'!C2674</f>
        <v>0</v>
      </c>
      <c r="D2673">
        <f>'raw data Crude oil'!D2674</f>
        <v>0</v>
      </c>
      <c r="E2673">
        <f>'raw data Crude oil'!E2674</f>
        <v>0</v>
      </c>
      <c r="F2673">
        <f>'raw data Crude oil'!F2674</f>
        <v>0</v>
      </c>
      <c r="G2673">
        <f>'raw data Crude oil'!G2674</f>
        <v>0</v>
      </c>
      <c r="H2673">
        <f>'raw data Crude oil'!H2674</f>
        <v>0</v>
      </c>
      <c r="I2673">
        <f>'raw data Crude oil'!I2674</f>
        <v>0</v>
      </c>
      <c r="J2673">
        <f>'raw data Crude oil'!J2674</f>
        <v>0</v>
      </c>
      <c r="K2673">
        <f>'raw data Crude oil'!K2674</f>
        <v>0</v>
      </c>
      <c r="L2673">
        <f>'raw data Crude oil'!L2674</f>
        <v>0</v>
      </c>
      <c r="M2673">
        <f>'raw data Crude oil'!M2674</f>
        <v>0</v>
      </c>
      <c r="N2673">
        <f>'raw data Crude oil'!N2674</f>
        <v>0</v>
      </c>
      <c r="O2673">
        <f>'raw data Crude oil'!O2674</f>
        <v>0</v>
      </c>
      <c r="P2673">
        <f>'raw data Crude oil'!P2674</f>
        <v>0</v>
      </c>
      <c r="Q2673">
        <f>'raw data Crude oil'!Q2674</f>
        <v>0</v>
      </c>
      <c r="R2673">
        <f>'raw data Crude oil'!R2674</f>
        <v>0</v>
      </c>
      <c r="S2673">
        <f>'raw data Crude oil'!S2674</f>
        <v>0</v>
      </c>
      <c r="T2673">
        <f>'raw data Crude oil'!T2674</f>
        <v>0</v>
      </c>
      <c r="U2673">
        <f>'raw data Crude oil'!U2674</f>
        <v>0</v>
      </c>
      <c r="V2673">
        <f>'raw data Crude oil'!V2674</f>
        <v>0</v>
      </c>
      <c r="W2673">
        <f>'raw data Crude oil'!W2674</f>
        <v>0</v>
      </c>
      <c r="X2673">
        <f>'raw data Crude oil'!X2674</f>
        <v>0</v>
      </c>
      <c r="Y2673">
        <f>'raw data Crude oil'!Y2674</f>
        <v>0</v>
      </c>
      <c r="Z2673">
        <f>'raw data Crude oil'!Z2674</f>
        <v>0</v>
      </c>
      <c r="AA2673">
        <f>'raw data Crude oil'!AA2674</f>
        <v>0</v>
      </c>
      <c r="AB2673">
        <f>'raw data Crude oil'!AB2674</f>
        <v>0</v>
      </c>
      <c r="AC2673">
        <f>'raw data Crude oil'!AC2674</f>
        <v>0</v>
      </c>
      <c r="AD2673">
        <f>'raw data Crude oil'!AD2674</f>
        <v>0</v>
      </c>
      <c r="AE2673">
        <f>'raw data Crude oil'!AE2674</f>
        <v>0</v>
      </c>
      <c r="AF2673">
        <f>'raw data Crude oil'!AF2674</f>
        <v>0</v>
      </c>
      <c r="AG2673">
        <f>'raw data Crude oil'!AG2674</f>
        <v>0</v>
      </c>
      <c r="AH2673">
        <f>'raw data Crude oil'!AH2674</f>
        <v>0</v>
      </c>
      <c r="AI2673">
        <f>'raw data Crude oil'!AI2674</f>
        <v>0</v>
      </c>
      <c r="AJ2673">
        <f>'raw data Crude oil'!AJ2674</f>
        <v>0</v>
      </c>
      <c r="AK2673">
        <f>'raw data Crude oil'!AK2674</f>
        <v>0</v>
      </c>
    </row>
    <row r="2674" spans="1:37" x14ac:dyDescent="0.3">
      <c r="A2674" s="18">
        <f>'raw data Crude oil'!A2675</f>
        <v>0</v>
      </c>
      <c r="B2674">
        <f>'raw data Crude oil'!B2675</f>
        <v>0</v>
      </c>
      <c r="C2674">
        <f>'raw data Crude oil'!C2675</f>
        <v>0</v>
      </c>
      <c r="D2674">
        <f>'raw data Crude oil'!D2675</f>
        <v>0</v>
      </c>
      <c r="E2674">
        <f>'raw data Crude oil'!E2675</f>
        <v>0</v>
      </c>
      <c r="F2674">
        <f>'raw data Crude oil'!F2675</f>
        <v>0</v>
      </c>
      <c r="G2674">
        <f>'raw data Crude oil'!G2675</f>
        <v>0</v>
      </c>
      <c r="H2674">
        <f>'raw data Crude oil'!H2675</f>
        <v>0</v>
      </c>
      <c r="I2674">
        <f>'raw data Crude oil'!I2675</f>
        <v>0</v>
      </c>
      <c r="J2674">
        <f>'raw data Crude oil'!J2675</f>
        <v>0</v>
      </c>
      <c r="K2674">
        <f>'raw data Crude oil'!K2675</f>
        <v>0</v>
      </c>
      <c r="L2674">
        <f>'raw data Crude oil'!L2675</f>
        <v>0</v>
      </c>
      <c r="M2674">
        <f>'raw data Crude oil'!M2675</f>
        <v>0</v>
      </c>
      <c r="N2674">
        <f>'raw data Crude oil'!N2675</f>
        <v>0</v>
      </c>
      <c r="O2674">
        <f>'raw data Crude oil'!O2675</f>
        <v>0</v>
      </c>
      <c r="P2674">
        <f>'raw data Crude oil'!P2675</f>
        <v>0</v>
      </c>
      <c r="Q2674">
        <f>'raw data Crude oil'!Q2675</f>
        <v>0</v>
      </c>
      <c r="R2674">
        <f>'raw data Crude oil'!R2675</f>
        <v>0</v>
      </c>
      <c r="S2674">
        <f>'raw data Crude oil'!S2675</f>
        <v>0</v>
      </c>
      <c r="T2674">
        <f>'raw data Crude oil'!T2675</f>
        <v>0</v>
      </c>
      <c r="U2674">
        <f>'raw data Crude oil'!U2675</f>
        <v>0</v>
      </c>
      <c r="V2674">
        <f>'raw data Crude oil'!V2675</f>
        <v>0</v>
      </c>
      <c r="W2674">
        <f>'raw data Crude oil'!W2675</f>
        <v>0</v>
      </c>
      <c r="X2674">
        <f>'raw data Crude oil'!X2675</f>
        <v>0</v>
      </c>
      <c r="Y2674">
        <f>'raw data Crude oil'!Y2675</f>
        <v>0</v>
      </c>
      <c r="Z2674">
        <f>'raw data Crude oil'!Z2675</f>
        <v>0</v>
      </c>
      <c r="AA2674">
        <f>'raw data Crude oil'!AA2675</f>
        <v>0</v>
      </c>
      <c r="AB2674">
        <f>'raw data Crude oil'!AB2675</f>
        <v>0</v>
      </c>
      <c r="AC2674">
        <f>'raw data Crude oil'!AC2675</f>
        <v>0</v>
      </c>
      <c r="AD2674">
        <f>'raw data Crude oil'!AD2675</f>
        <v>0</v>
      </c>
      <c r="AE2674">
        <f>'raw data Crude oil'!AE2675</f>
        <v>0</v>
      </c>
      <c r="AF2674">
        <f>'raw data Crude oil'!AF2675</f>
        <v>0</v>
      </c>
      <c r="AG2674">
        <f>'raw data Crude oil'!AG2675</f>
        <v>0</v>
      </c>
      <c r="AH2674">
        <f>'raw data Crude oil'!AH2675</f>
        <v>0</v>
      </c>
      <c r="AI2674">
        <f>'raw data Crude oil'!AI2675</f>
        <v>0</v>
      </c>
      <c r="AJ2674">
        <f>'raw data Crude oil'!AJ2675</f>
        <v>0</v>
      </c>
      <c r="AK2674">
        <f>'raw data Crude oil'!AK2675</f>
        <v>0</v>
      </c>
    </row>
    <row r="2675" spans="1:37" x14ac:dyDescent="0.3">
      <c r="A2675" s="18">
        <f>'raw data Crude oil'!A2676</f>
        <v>0</v>
      </c>
      <c r="B2675">
        <f>'raw data Crude oil'!B2676</f>
        <v>0</v>
      </c>
      <c r="C2675">
        <f>'raw data Crude oil'!C2676</f>
        <v>0</v>
      </c>
      <c r="D2675">
        <f>'raw data Crude oil'!D2676</f>
        <v>0</v>
      </c>
      <c r="E2675">
        <f>'raw data Crude oil'!E2676</f>
        <v>0</v>
      </c>
      <c r="F2675">
        <f>'raw data Crude oil'!F2676</f>
        <v>0</v>
      </c>
      <c r="G2675">
        <f>'raw data Crude oil'!G2676</f>
        <v>0</v>
      </c>
      <c r="H2675">
        <f>'raw data Crude oil'!H2676</f>
        <v>0</v>
      </c>
      <c r="I2675">
        <f>'raw data Crude oil'!I2676</f>
        <v>0</v>
      </c>
      <c r="J2675">
        <f>'raw data Crude oil'!J2676</f>
        <v>0</v>
      </c>
      <c r="K2675">
        <f>'raw data Crude oil'!K2676</f>
        <v>0</v>
      </c>
      <c r="L2675">
        <f>'raw data Crude oil'!L2676</f>
        <v>0</v>
      </c>
      <c r="M2675">
        <f>'raw data Crude oil'!M2676</f>
        <v>0</v>
      </c>
      <c r="N2675">
        <f>'raw data Crude oil'!N2676</f>
        <v>0</v>
      </c>
      <c r="O2675">
        <f>'raw data Crude oil'!O2676</f>
        <v>0</v>
      </c>
      <c r="P2675">
        <f>'raw data Crude oil'!P2676</f>
        <v>0</v>
      </c>
      <c r="Q2675">
        <f>'raw data Crude oil'!Q2676</f>
        <v>0</v>
      </c>
      <c r="R2675">
        <f>'raw data Crude oil'!R2676</f>
        <v>0</v>
      </c>
      <c r="S2675">
        <f>'raw data Crude oil'!S2676</f>
        <v>0</v>
      </c>
      <c r="T2675">
        <f>'raw data Crude oil'!T2676</f>
        <v>0</v>
      </c>
      <c r="U2675">
        <f>'raw data Crude oil'!U2676</f>
        <v>0</v>
      </c>
      <c r="V2675">
        <f>'raw data Crude oil'!V2676</f>
        <v>0</v>
      </c>
      <c r="W2675">
        <f>'raw data Crude oil'!W2676</f>
        <v>0</v>
      </c>
      <c r="X2675">
        <f>'raw data Crude oil'!X2676</f>
        <v>0</v>
      </c>
      <c r="Y2675">
        <f>'raw data Crude oil'!Y2676</f>
        <v>0</v>
      </c>
      <c r="Z2675">
        <f>'raw data Crude oil'!Z2676</f>
        <v>0</v>
      </c>
      <c r="AA2675">
        <f>'raw data Crude oil'!AA2676</f>
        <v>0</v>
      </c>
      <c r="AB2675">
        <f>'raw data Crude oil'!AB2676</f>
        <v>0</v>
      </c>
      <c r="AC2675">
        <f>'raw data Crude oil'!AC2676</f>
        <v>0</v>
      </c>
      <c r="AD2675">
        <f>'raw data Crude oil'!AD2676</f>
        <v>0</v>
      </c>
      <c r="AE2675">
        <f>'raw data Crude oil'!AE2676</f>
        <v>0</v>
      </c>
      <c r="AF2675">
        <f>'raw data Crude oil'!AF2676</f>
        <v>0</v>
      </c>
      <c r="AG2675">
        <f>'raw data Crude oil'!AG2676</f>
        <v>0</v>
      </c>
      <c r="AH2675">
        <f>'raw data Crude oil'!AH2676</f>
        <v>0</v>
      </c>
      <c r="AI2675">
        <f>'raw data Crude oil'!AI2676</f>
        <v>0</v>
      </c>
      <c r="AJ2675">
        <f>'raw data Crude oil'!AJ2676</f>
        <v>0</v>
      </c>
      <c r="AK2675">
        <f>'raw data Crude oil'!AK2676</f>
        <v>0</v>
      </c>
    </row>
    <row r="2676" spans="1:37" x14ac:dyDescent="0.3">
      <c r="A2676" s="18">
        <f>'raw data Crude oil'!A2677</f>
        <v>0</v>
      </c>
      <c r="B2676">
        <f>'raw data Crude oil'!B2677</f>
        <v>0</v>
      </c>
      <c r="C2676">
        <f>'raw data Crude oil'!C2677</f>
        <v>0</v>
      </c>
      <c r="D2676">
        <f>'raw data Crude oil'!D2677</f>
        <v>0</v>
      </c>
      <c r="E2676">
        <f>'raw data Crude oil'!E2677</f>
        <v>0</v>
      </c>
      <c r="F2676">
        <f>'raw data Crude oil'!F2677</f>
        <v>0</v>
      </c>
      <c r="G2676">
        <f>'raw data Crude oil'!G2677</f>
        <v>0</v>
      </c>
      <c r="H2676">
        <f>'raw data Crude oil'!H2677</f>
        <v>0</v>
      </c>
      <c r="I2676">
        <f>'raw data Crude oil'!I2677</f>
        <v>0</v>
      </c>
      <c r="J2676">
        <f>'raw data Crude oil'!J2677</f>
        <v>0</v>
      </c>
      <c r="K2676">
        <f>'raw data Crude oil'!K2677</f>
        <v>0</v>
      </c>
      <c r="L2676">
        <f>'raw data Crude oil'!L2677</f>
        <v>0</v>
      </c>
      <c r="M2676">
        <f>'raw data Crude oil'!M2677</f>
        <v>0</v>
      </c>
      <c r="N2676">
        <f>'raw data Crude oil'!N2677</f>
        <v>0</v>
      </c>
      <c r="O2676">
        <f>'raw data Crude oil'!O2677</f>
        <v>0</v>
      </c>
      <c r="P2676">
        <f>'raw data Crude oil'!P2677</f>
        <v>0</v>
      </c>
      <c r="Q2676">
        <f>'raw data Crude oil'!Q2677</f>
        <v>0</v>
      </c>
      <c r="R2676">
        <f>'raw data Crude oil'!R2677</f>
        <v>0</v>
      </c>
      <c r="S2676">
        <f>'raw data Crude oil'!S2677</f>
        <v>0</v>
      </c>
      <c r="T2676">
        <f>'raw data Crude oil'!T2677</f>
        <v>0</v>
      </c>
      <c r="U2676">
        <f>'raw data Crude oil'!U2677</f>
        <v>0</v>
      </c>
      <c r="V2676">
        <f>'raw data Crude oil'!V2677</f>
        <v>0</v>
      </c>
      <c r="W2676">
        <f>'raw data Crude oil'!W2677</f>
        <v>0</v>
      </c>
      <c r="X2676">
        <f>'raw data Crude oil'!X2677</f>
        <v>0</v>
      </c>
      <c r="Y2676">
        <f>'raw data Crude oil'!Y2677</f>
        <v>0</v>
      </c>
      <c r="Z2676">
        <f>'raw data Crude oil'!Z2677</f>
        <v>0</v>
      </c>
      <c r="AA2676">
        <f>'raw data Crude oil'!AA2677</f>
        <v>0</v>
      </c>
      <c r="AB2676">
        <f>'raw data Crude oil'!AB2677</f>
        <v>0</v>
      </c>
      <c r="AC2676">
        <f>'raw data Crude oil'!AC2677</f>
        <v>0</v>
      </c>
      <c r="AD2676">
        <f>'raw data Crude oil'!AD2677</f>
        <v>0</v>
      </c>
      <c r="AE2676">
        <f>'raw data Crude oil'!AE2677</f>
        <v>0</v>
      </c>
      <c r="AF2676">
        <f>'raw data Crude oil'!AF2677</f>
        <v>0</v>
      </c>
      <c r="AG2676">
        <f>'raw data Crude oil'!AG2677</f>
        <v>0</v>
      </c>
      <c r="AH2676">
        <f>'raw data Crude oil'!AH2677</f>
        <v>0</v>
      </c>
      <c r="AI2676">
        <f>'raw data Crude oil'!AI2677</f>
        <v>0</v>
      </c>
      <c r="AJ2676">
        <f>'raw data Crude oil'!AJ2677</f>
        <v>0</v>
      </c>
      <c r="AK2676">
        <f>'raw data Crude oil'!AK2677</f>
        <v>0</v>
      </c>
    </row>
    <row r="2677" spans="1:37" x14ac:dyDescent="0.3">
      <c r="A2677" s="18">
        <f>'raw data Crude oil'!A2678</f>
        <v>0</v>
      </c>
      <c r="B2677">
        <f>'raw data Crude oil'!B2678</f>
        <v>0</v>
      </c>
      <c r="C2677">
        <f>'raw data Crude oil'!C2678</f>
        <v>0</v>
      </c>
      <c r="D2677">
        <f>'raw data Crude oil'!D2678</f>
        <v>0</v>
      </c>
      <c r="E2677">
        <f>'raw data Crude oil'!E2678</f>
        <v>0</v>
      </c>
      <c r="F2677">
        <f>'raw data Crude oil'!F2678</f>
        <v>0</v>
      </c>
      <c r="G2677">
        <f>'raw data Crude oil'!G2678</f>
        <v>0</v>
      </c>
      <c r="H2677">
        <f>'raw data Crude oil'!H2678</f>
        <v>0</v>
      </c>
      <c r="I2677">
        <f>'raw data Crude oil'!I2678</f>
        <v>0</v>
      </c>
      <c r="J2677">
        <f>'raw data Crude oil'!J2678</f>
        <v>0</v>
      </c>
      <c r="K2677">
        <f>'raw data Crude oil'!K2678</f>
        <v>0</v>
      </c>
      <c r="L2677">
        <f>'raw data Crude oil'!L2678</f>
        <v>0</v>
      </c>
      <c r="M2677">
        <f>'raw data Crude oil'!M2678</f>
        <v>0</v>
      </c>
      <c r="N2677">
        <f>'raw data Crude oil'!N2678</f>
        <v>0</v>
      </c>
      <c r="O2677">
        <f>'raw data Crude oil'!O2678</f>
        <v>0</v>
      </c>
      <c r="P2677">
        <f>'raw data Crude oil'!P2678</f>
        <v>0</v>
      </c>
      <c r="Q2677">
        <f>'raw data Crude oil'!Q2678</f>
        <v>0</v>
      </c>
      <c r="R2677">
        <f>'raw data Crude oil'!R2678</f>
        <v>0</v>
      </c>
      <c r="S2677">
        <f>'raw data Crude oil'!S2678</f>
        <v>0</v>
      </c>
      <c r="T2677">
        <f>'raw data Crude oil'!T2678</f>
        <v>0</v>
      </c>
      <c r="U2677">
        <f>'raw data Crude oil'!U2678</f>
        <v>0</v>
      </c>
      <c r="V2677">
        <f>'raw data Crude oil'!V2678</f>
        <v>0</v>
      </c>
      <c r="W2677">
        <f>'raw data Crude oil'!W2678</f>
        <v>0</v>
      </c>
      <c r="X2677">
        <f>'raw data Crude oil'!X2678</f>
        <v>0</v>
      </c>
      <c r="Y2677">
        <f>'raw data Crude oil'!Y2678</f>
        <v>0</v>
      </c>
      <c r="Z2677">
        <f>'raw data Crude oil'!Z2678</f>
        <v>0</v>
      </c>
      <c r="AA2677">
        <f>'raw data Crude oil'!AA2678</f>
        <v>0</v>
      </c>
      <c r="AB2677">
        <f>'raw data Crude oil'!AB2678</f>
        <v>0</v>
      </c>
      <c r="AC2677">
        <f>'raw data Crude oil'!AC2678</f>
        <v>0</v>
      </c>
      <c r="AD2677">
        <f>'raw data Crude oil'!AD2678</f>
        <v>0</v>
      </c>
      <c r="AE2677">
        <f>'raw data Crude oil'!AE2678</f>
        <v>0</v>
      </c>
      <c r="AF2677">
        <f>'raw data Crude oil'!AF2678</f>
        <v>0</v>
      </c>
      <c r="AG2677">
        <f>'raw data Crude oil'!AG2678</f>
        <v>0</v>
      </c>
      <c r="AH2677">
        <f>'raw data Crude oil'!AH2678</f>
        <v>0</v>
      </c>
      <c r="AI2677">
        <f>'raw data Crude oil'!AI2678</f>
        <v>0</v>
      </c>
      <c r="AJ2677">
        <f>'raw data Crude oil'!AJ2678</f>
        <v>0</v>
      </c>
      <c r="AK2677">
        <f>'raw data Crude oil'!AK2678</f>
        <v>0</v>
      </c>
    </row>
    <row r="2678" spans="1:37" x14ac:dyDescent="0.3">
      <c r="A2678" s="18">
        <f>'raw data Crude oil'!A2679</f>
        <v>0</v>
      </c>
      <c r="B2678">
        <f>'raw data Crude oil'!B2679</f>
        <v>0</v>
      </c>
      <c r="C2678">
        <f>'raw data Crude oil'!C2679</f>
        <v>0</v>
      </c>
      <c r="D2678">
        <f>'raw data Crude oil'!D2679</f>
        <v>0</v>
      </c>
      <c r="E2678">
        <f>'raw data Crude oil'!E2679</f>
        <v>0</v>
      </c>
      <c r="F2678">
        <f>'raw data Crude oil'!F2679</f>
        <v>0</v>
      </c>
      <c r="G2678">
        <f>'raw data Crude oil'!G2679</f>
        <v>0</v>
      </c>
      <c r="H2678">
        <f>'raw data Crude oil'!H2679</f>
        <v>0</v>
      </c>
      <c r="I2678">
        <f>'raw data Crude oil'!I2679</f>
        <v>0</v>
      </c>
      <c r="J2678">
        <f>'raw data Crude oil'!J2679</f>
        <v>0</v>
      </c>
      <c r="K2678">
        <f>'raw data Crude oil'!K2679</f>
        <v>0</v>
      </c>
      <c r="L2678">
        <f>'raw data Crude oil'!L2679</f>
        <v>0</v>
      </c>
      <c r="M2678">
        <f>'raw data Crude oil'!M2679</f>
        <v>0</v>
      </c>
      <c r="N2678">
        <f>'raw data Crude oil'!N2679</f>
        <v>0</v>
      </c>
      <c r="O2678">
        <f>'raw data Crude oil'!O2679</f>
        <v>0</v>
      </c>
      <c r="P2678">
        <f>'raw data Crude oil'!P2679</f>
        <v>0</v>
      </c>
      <c r="Q2678">
        <f>'raw data Crude oil'!Q2679</f>
        <v>0</v>
      </c>
      <c r="R2678">
        <f>'raw data Crude oil'!R2679</f>
        <v>0</v>
      </c>
      <c r="S2678">
        <f>'raw data Crude oil'!S2679</f>
        <v>0</v>
      </c>
      <c r="T2678">
        <f>'raw data Crude oil'!T2679</f>
        <v>0</v>
      </c>
      <c r="U2678">
        <f>'raw data Crude oil'!U2679</f>
        <v>0</v>
      </c>
      <c r="V2678">
        <f>'raw data Crude oil'!V2679</f>
        <v>0</v>
      </c>
      <c r="W2678">
        <f>'raw data Crude oil'!W2679</f>
        <v>0</v>
      </c>
      <c r="X2678">
        <f>'raw data Crude oil'!X2679</f>
        <v>0</v>
      </c>
      <c r="Y2678">
        <f>'raw data Crude oil'!Y2679</f>
        <v>0</v>
      </c>
      <c r="Z2678">
        <f>'raw data Crude oil'!Z2679</f>
        <v>0</v>
      </c>
      <c r="AA2678">
        <f>'raw data Crude oil'!AA2679</f>
        <v>0</v>
      </c>
      <c r="AB2678">
        <f>'raw data Crude oil'!AB2679</f>
        <v>0</v>
      </c>
      <c r="AC2678">
        <f>'raw data Crude oil'!AC2679</f>
        <v>0</v>
      </c>
      <c r="AD2678">
        <f>'raw data Crude oil'!AD2679</f>
        <v>0</v>
      </c>
      <c r="AE2678">
        <f>'raw data Crude oil'!AE2679</f>
        <v>0</v>
      </c>
      <c r="AF2678">
        <f>'raw data Crude oil'!AF2679</f>
        <v>0</v>
      </c>
      <c r="AG2678">
        <f>'raw data Crude oil'!AG2679</f>
        <v>0</v>
      </c>
      <c r="AH2678">
        <f>'raw data Crude oil'!AH2679</f>
        <v>0</v>
      </c>
      <c r="AI2678">
        <f>'raw data Crude oil'!AI2679</f>
        <v>0</v>
      </c>
      <c r="AJ2678">
        <f>'raw data Crude oil'!AJ2679</f>
        <v>0</v>
      </c>
      <c r="AK2678">
        <f>'raw data Crude oil'!AK2679</f>
        <v>0</v>
      </c>
    </row>
    <row r="2679" spans="1:37" x14ac:dyDescent="0.3">
      <c r="A2679" s="18">
        <f>'raw data Crude oil'!A2680</f>
        <v>0</v>
      </c>
      <c r="B2679">
        <f>'raw data Crude oil'!B2680</f>
        <v>0</v>
      </c>
      <c r="C2679">
        <f>'raw data Crude oil'!C2680</f>
        <v>0</v>
      </c>
      <c r="D2679">
        <f>'raw data Crude oil'!D2680</f>
        <v>0</v>
      </c>
      <c r="E2679">
        <f>'raw data Crude oil'!E2680</f>
        <v>0</v>
      </c>
      <c r="F2679">
        <f>'raw data Crude oil'!F2680</f>
        <v>0</v>
      </c>
      <c r="G2679">
        <f>'raw data Crude oil'!G2680</f>
        <v>0</v>
      </c>
      <c r="H2679">
        <f>'raw data Crude oil'!H2680</f>
        <v>0</v>
      </c>
      <c r="I2679">
        <f>'raw data Crude oil'!I2680</f>
        <v>0</v>
      </c>
      <c r="J2679">
        <f>'raw data Crude oil'!J2680</f>
        <v>0</v>
      </c>
      <c r="K2679">
        <f>'raw data Crude oil'!K2680</f>
        <v>0</v>
      </c>
      <c r="L2679">
        <f>'raw data Crude oil'!L2680</f>
        <v>0</v>
      </c>
      <c r="M2679">
        <f>'raw data Crude oil'!M2680</f>
        <v>0</v>
      </c>
      <c r="N2679">
        <f>'raw data Crude oil'!N2680</f>
        <v>0</v>
      </c>
      <c r="O2679">
        <f>'raw data Crude oil'!O2680</f>
        <v>0</v>
      </c>
      <c r="P2679">
        <f>'raw data Crude oil'!P2680</f>
        <v>0</v>
      </c>
      <c r="Q2679">
        <f>'raw data Crude oil'!Q2680</f>
        <v>0</v>
      </c>
      <c r="R2679">
        <f>'raw data Crude oil'!R2680</f>
        <v>0</v>
      </c>
      <c r="S2679">
        <f>'raw data Crude oil'!S2680</f>
        <v>0</v>
      </c>
      <c r="T2679">
        <f>'raw data Crude oil'!T2680</f>
        <v>0</v>
      </c>
      <c r="U2679">
        <f>'raw data Crude oil'!U2680</f>
        <v>0</v>
      </c>
      <c r="V2679">
        <f>'raw data Crude oil'!V2680</f>
        <v>0</v>
      </c>
      <c r="W2679">
        <f>'raw data Crude oil'!W2680</f>
        <v>0</v>
      </c>
      <c r="X2679">
        <f>'raw data Crude oil'!X2680</f>
        <v>0</v>
      </c>
      <c r="Y2679">
        <f>'raw data Crude oil'!Y2680</f>
        <v>0</v>
      </c>
      <c r="Z2679">
        <f>'raw data Crude oil'!Z2680</f>
        <v>0</v>
      </c>
      <c r="AA2679">
        <f>'raw data Crude oil'!AA2680</f>
        <v>0</v>
      </c>
      <c r="AB2679">
        <f>'raw data Crude oil'!AB2680</f>
        <v>0</v>
      </c>
      <c r="AC2679">
        <f>'raw data Crude oil'!AC2680</f>
        <v>0</v>
      </c>
      <c r="AD2679">
        <f>'raw data Crude oil'!AD2680</f>
        <v>0</v>
      </c>
      <c r="AE2679">
        <f>'raw data Crude oil'!AE2680</f>
        <v>0</v>
      </c>
      <c r="AF2679">
        <f>'raw data Crude oil'!AF2680</f>
        <v>0</v>
      </c>
      <c r="AG2679">
        <f>'raw data Crude oil'!AG2680</f>
        <v>0</v>
      </c>
      <c r="AH2679">
        <f>'raw data Crude oil'!AH2680</f>
        <v>0</v>
      </c>
      <c r="AI2679">
        <f>'raw data Crude oil'!AI2680</f>
        <v>0</v>
      </c>
      <c r="AJ2679">
        <f>'raw data Crude oil'!AJ2680</f>
        <v>0</v>
      </c>
      <c r="AK2679">
        <f>'raw data Crude oil'!AK2680</f>
        <v>0</v>
      </c>
    </row>
    <row r="2680" spans="1:37" x14ac:dyDescent="0.3">
      <c r="A2680" s="18">
        <f>'raw data Crude oil'!A2681</f>
        <v>0</v>
      </c>
      <c r="B2680">
        <f>'raw data Crude oil'!B2681</f>
        <v>0</v>
      </c>
      <c r="C2680">
        <f>'raw data Crude oil'!C2681</f>
        <v>0</v>
      </c>
      <c r="D2680">
        <f>'raw data Crude oil'!D2681</f>
        <v>0</v>
      </c>
      <c r="E2680">
        <f>'raw data Crude oil'!E2681</f>
        <v>0</v>
      </c>
      <c r="F2680">
        <f>'raw data Crude oil'!F2681</f>
        <v>0</v>
      </c>
      <c r="G2680">
        <f>'raw data Crude oil'!G2681</f>
        <v>0</v>
      </c>
      <c r="H2680">
        <f>'raw data Crude oil'!H2681</f>
        <v>0</v>
      </c>
      <c r="I2680">
        <f>'raw data Crude oil'!I2681</f>
        <v>0</v>
      </c>
      <c r="J2680">
        <f>'raw data Crude oil'!J2681</f>
        <v>0</v>
      </c>
      <c r="K2680">
        <f>'raw data Crude oil'!K2681</f>
        <v>0</v>
      </c>
      <c r="L2680">
        <f>'raw data Crude oil'!L2681</f>
        <v>0</v>
      </c>
      <c r="M2680">
        <f>'raw data Crude oil'!M2681</f>
        <v>0</v>
      </c>
      <c r="N2680">
        <f>'raw data Crude oil'!N2681</f>
        <v>0</v>
      </c>
      <c r="O2680">
        <f>'raw data Crude oil'!O2681</f>
        <v>0</v>
      </c>
      <c r="P2680">
        <f>'raw data Crude oil'!P2681</f>
        <v>0</v>
      </c>
      <c r="Q2680">
        <f>'raw data Crude oil'!Q2681</f>
        <v>0</v>
      </c>
      <c r="R2680">
        <f>'raw data Crude oil'!R2681</f>
        <v>0</v>
      </c>
      <c r="S2680">
        <f>'raw data Crude oil'!S2681</f>
        <v>0</v>
      </c>
      <c r="T2680">
        <f>'raw data Crude oil'!T2681</f>
        <v>0</v>
      </c>
      <c r="U2680">
        <f>'raw data Crude oil'!U2681</f>
        <v>0</v>
      </c>
      <c r="V2680">
        <f>'raw data Crude oil'!V2681</f>
        <v>0</v>
      </c>
      <c r="W2680">
        <f>'raw data Crude oil'!W2681</f>
        <v>0</v>
      </c>
      <c r="X2680">
        <f>'raw data Crude oil'!X2681</f>
        <v>0</v>
      </c>
      <c r="Y2680">
        <f>'raw data Crude oil'!Y2681</f>
        <v>0</v>
      </c>
      <c r="Z2680">
        <f>'raw data Crude oil'!Z2681</f>
        <v>0</v>
      </c>
      <c r="AA2680">
        <f>'raw data Crude oil'!AA2681</f>
        <v>0</v>
      </c>
      <c r="AB2680">
        <f>'raw data Crude oil'!AB2681</f>
        <v>0</v>
      </c>
      <c r="AC2680">
        <f>'raw data Crude oil'!AC2681</f>
        <v>0</v>
      </c>
      <c r="AD2680">
        <f>'raw data Crude oil'!AD2681</f>
        <v>0</v>
      </c>
      <c r="AE2680">
        <f>'raw data Crude oil'!AE2681</f>
        <v>0</v>
      </c>
      <c r="AF2680">
        <f>'raw data Crude oil'!AF2681</f>
        <v>0</v>
      </c>
      <c r="AG2680">
        <f>'raw data Crude oil'!AG2681</f>
        <v>0</v>
      </c>
      <c r="AH2680">
        <f>'raw data Crude oil'!AH2681</f>
        <v>0</v>
      </c>
      <c r="AI2680">
        <f>'raw data Crude oil'!AI2681</f>
        <v>0</v>
      </c>
      <c r="AJ2680">
        <f>'raw data Crude oil'!AJ2681</f>
        <v>0</v>
      </c>
      <c r="AK2680">
        <f>'raw data Crude oil'!AK2681</f>
        <v>0</v>
      </c>
    </row>
    <row r="2681" spans="1:37" x14ac:dyDescent="0.3">
      <c r="A2681" s="18">
        <f>'raw data Crude oil'!A2682</f>
        <v>0</v>
      </c>
      <c r="B2681">
        <f>'raw data Crude oil'!B2682</f>
        <v>0</v>
      </c>
      <c r="C2681">
        <f>'raw data Crude oil'!C2682</f>
        <v>0</v>
      </c>
      <c r="D2681">
        <f>'raw data Crude oil'!D2682</f>
        <v>0</v>
      </c>
      <c r="E2681">
        <f>'raw data Crude oil'!E2682</f>
        <v>0</v>
      </c>
      <c r="F2681">
        <f>'raw data Crude oil'!F2682</f>
        <v>0</v>
      </c>
      <c r="G2681">
        <f>'raw data Crude oil'!G2682</f>
        <v>0</v>
      </c>
      <c r="H2681">
        <f>'raw data Crude oil'!H2682</f>
        <v>0</v>
      </c>
      <c r="I2681">
        <f>'raw data Crude oil'!I2682</f>
        <v>0</v>
      </c>
      <c r="J2681">
        <f>'raw data Crude oil'!J2682</f>
        <v>0</v>
      </c>
      <c r="K2681">
        <f>'raw data Crude oil'!K2682</f>
        <v>0</v>
      </c>
      <c r="L2681">
        <f>'raw data Crude oil'!L2682</f>
        <v>0</v>
      </c>
      <c r="M2681">
        <f>'raw data Crude oil'!M2682</f>
        <v>0</v>
      </c>
      <c r="N2681">
        <f>'raw data Crude oil'!N2682</f>
        <v>0</v>
      </c>
      <c r="O2681">
        <f>'raw data Crude oil'!O2682</f>
        <v>0</v>
      </c>
      <c r="P2681">
        <f>'raw data Crude oil'!P2682</f>
        <v>0</v>
      </c>
      <c r="Q2681">
        <f>'raw data Crude oil'!Q2682</f>
        <v>0</v>
      </c>
      <c r="R2681">
        <f>'raw data Crude oil'!R2682</f>
        <v>0</v>
      </c>
      <c r="S2681">
        <f>'raw data Crude oil'!S2682</f>
        <v>0</v>
      </c>
      <c r="T2681">
        <f>'raw data Crude oil'!T2682</f>
        <v>0</v>
      </c>
      <c r="U2681">
        <f>'raw data Crude oil'!U2682</f>
        <v>0</v>
      </c>
      <c r="V2681">
        <f>'raw data Crude oil'!V2682</f>
        <v>0</v>
      </c>
      <c r="W2681">
        <f>'raw data Crude oil'!W2682</f>
        <v>0</v>
      </c>
      <c r="X2681">
        <f>'raw data Crude oil'!X2682</f>
        <v>0</v>
      </c>
      <c r="Y2681">
        <f>'raw data Crude oil'!Y2682</f>
        <v>0</v>
      </c>
      <c r="Z2681">
        <f>'raw data Crude oil'!Z2682</f>
        <v>0</v>
      </c>
      <c r="AA2681">
        <f>'raw data Crude oil'!AA2682</f>
        <v>0</v>
      </c>
      <c r="AB2681">
        <f>'raw data Crude oil'!AB2682</f>
        <v>0</v>
      </c>
      <c r="AC2681">
        <f>'raw data Crude oil'!AC2682</f>
        <v>0</v>
      </c>
      <c r="AD2681">
        <f>'raw data Crude oil'!AD2682</f>
        <v>0</v>
      </c>
      <c r="AE2681">
        <f>'raw data Crude oil'!AE2682</f>
        <v>0</v>
      </c>
      <c r="AF2681">
        <f>'raw data Crude oil'!AF2682</f>
        <v>0</v>
      </c>
      <c r="AG2681">
        <f>'raw data Crude oil'!AG2682</f>
        <v>0</v>
      </c>
      <c r="AH2681">
        <f>'raw data Crude oil'!AH2682</f>
        <v>0</v>
      </c>
      <c r="AI2681">
        <f>'raw data Crude oil'!AI2682</f>
        <v>0</v>
      </c>
      <c r="AJ2681">
        <f>'raw data Crude oil'!AJ2682</f>
        <v>0</v>
      </c>
      <c r="AK2681">
        <f>'raw data Crude oil'!AK2682</f>
        <v>0</v>
      </c>
    </row>
    <row r="2682" spans="1:37" x14ac:dyDescent="0.3">
      <c r="A2682" s="18">
        <f>'raw data Crude oil'!A2683</f>
        <v>0</v>
      </c>
      <c r="B2682">
        <f>'raw data Crude oil'!B2683</f>
        <v>0</v>
      </c>
      <c r="C2682">
        <f>'raw data Crude oil'!C2683</f>
        <v>0</v>
      </c>
      <c r="D2682">
        <f>'raw data Crude oil'!D2683</f>
        <v>0</v>
      </c>
      <c r="E2682">
        <f>'raw data Crude oil'!E2683</f>
        <v>0</v>
      </c>
      <c r="F2682">
        <f>'raw data Crude oil'!F2683</f>
        <v>0</v>
      </c>
      <c r="G2682">
        <f>'raw data Crude oil'!G2683</f>
        <v>0</v>
      </c>
      <c r="H2682">
        <f>'raw data Crude oil'!H2683</f>
        <v>0</v>
      </c>
      <c r="I2682">
        <f>'raw data Crude oil'!I2683</f>
        <v>0</v>
      </c>
      <c r="J2682">
        <f>'raw data Crude oil'!J2683</f>
        <v>0</v>
      </c>
      <c r="K2682">
        <f>'raw data Crude oil'!K2683</f>
        <v>0</v>
      </c>
      <c r="L2682">
        <f>'raw data Crude oil'!L2683</f>
        <v>0</v>
      </c>
      <c r="M2682">
        <f>'raw data Crude oil'!M2683</f>
        <v>0</v>
      </c>
      <c r="N2682">
        <f>'raw data Crude oil'!N2683</f>
        <v>0</v>
      </c>
      <c r="O2682">
        <f>'raw data Crude oil'!O2683</f>
        <v>0</v>
      </c>
      <c r="P2682">
        <f>'raw data Crude oil'!P2683</f>
        <v>0</v>
      </c>
      <c r="Q2682">
        <f>'raw data Crude oil'!Q2683</f>
        <v>0</v>
      </c>
      <c r="R2682">
        <f>'raw data Crude oil'!R2683</f>
        <v>0</v>
      </c>
      <c r="S2682">
        <f>'raw data Crude oil'!S2683</f>
        <v>0</v>
      </c>
      <c r="T2682">
        <f>'raw data Crude oil'!T2683</f>
        <v>0</v>
      </c>
      <c r="U2682">
        <f>'raw data Crude oil'!U2683</f>
        <v>0</v>
      </c>
      <c r="V2682">
        <f>'raw data Crude oil'!V2683</f>
        <v>0</v>
      </c>
      <c r="W2682">
        <f>'raw data Crude oil'!W2683</f>
        <v>0</v>
      </c>
      <c r="X2682">
        <f>'raw data Crude oil'!X2683</f>
        <v>0</v>
      </c>
      <c r="Y2682">
        <f>'raw data Crude oil'!Y2683</f>
        <v>0</v>
      </c>
      <c r="Z2682">
        <f>'raw data Crude oil'!Z2683</f>
        <v>0</v>
      </c>
      <c r="AA2682">
        <f>'raw data Crude oil'!AA2683</f>
        <v>0</v>
      </c>
      <c r="AB2682">
        <f>'raw data Crude oil'!AB2683</f>
        <v>0</v>
      </c>
      <c r="AC2682">
        <f>'raw data Crude oil'!AC2683</f>
        <v>0</v>
      </c>
      <c r="AD2682">
        <f>'raw data Crude oil'!AD2683</f>
        <v>0</v>
      </c>
      <c r="AE2682">
        <f>'raw data Crude oil'!AE2683</f>
        <v>0</v>
      </c>
      <c r="AF2682">
        <f>'raw data Crude oil'!AF2683</f>
        <v>0</v>
      </c>
      <c r="AG2682">
        <f>'raw data Crude oil'!AG2683</f>
        <v>0</v>
      </c>
      <c r="AH2682">
        <f>'raw data Crude oil'!AH2683</f>
        <v>0</v>
      </c>
      <c r="AI2682">
        <f>'raw data Crude oil'!AI2683</f>
        <v>0</v>
      </c>
      <c r="AJ2682">
        <f>'raw data Crude oil'!AJ2683</f>
        <v>0</v>
      </c>
      <c r="AK2682">
        <f>'raw data Crude oil'!AK2683</f>
        <v>0</v>
      </c>
    </row>
    <row r="2683" spans="1:37" x14ac:dyDescent="0.3">
      <c r="A2683" s="18">
        <f>'raw data Crude oil'!A2684</f>
        <v>0</v>
      </c>
      <c r="B2683">
        <f>'raw data Crude oil'!B2684</f>
        <v>0</v>
      </c>
      <c r="C2683">
        <f>'raw data Crude oil'!C2684</f>
        <v>0</v>
      </c>
      <c r="D2683">
        <f>'raw data Crude oil'!D2684</f>
        <v>0</v>
      </c>
      <c r="E2683">
        <f>'raw data Crude oil'!E2684</f>
        <v>0</v>
      </c>
      <c r="F2683">
        <f>'raw data Crude oil'!F2684</f>
        <v>0</v>
      </c>
      <c r="G2683">
        <f>'raw data Crude oil'!G2684</f>
        <v>0</v>
      </c>
      <c r="H2683">
        <f>'raw data Crude oil'!H2684</f>
        <v>0</v>
      </c>
      <c r="I2683">
        <f>'raw data Crude oil'!I2684</f>
        <v>0</v>
      </c>
      <c r="J2683">
        <f>'raw data Crude oil'!J2684</f>
        <v>0</v>
      </c>
      <c r="K2683">
        <f>'raw data Crude oil'!K2684</f>
        <v>0</v>
      </c>
      <c r="L2683">
        <f>'raw data Crude oil'!L2684</f>
        <v>0</v>
      </c>
      <c r="M2683">
        <f>'raw data Crude oil'!M2684</f>
        <v>0</v>
      </c>
      <c r="N2683">
        <f>'raw data Crude oil'!N2684</f>
        <v>0</v>
      </c>
      <c r="O2683">
        <f>'raw data Crude oil'!O2684</f>
        <v>0</v>
      </c>
      <c r="P2683">
        <f>'raw data Crude oil'!P2684</f>
        <v>0</v>
      </c>
      <c r="Q2683">
        <f>'raw data Crude oil'!Q2684</f>
        <v>0</v>
      </c>
      <c r="R2683">
        <f>'raw data Crude oil'!R2684</f>
        <v>0</v>
      </c>
      <c r="S2683">
        <f>'raw data Crude oil'!S2684</f>
        <v>0</v>
      </c>
      <c r="T2683">
        <f>'raw data Crude oil'!T2684</f>
        <v>0</v>
      </c>
      <c r="U2683">
        <f>'raw data Crude oil'!U2684</f>
        <v>0</v>
      </c>
      <c r="V2683">
        <f>'raw data Crude oil'!V2684</f>
        <v>0</v>
      </c>
      <c r="W2683">
        <f>'raw data Crude oil'!W2684</f>
        <v>0</v>
      </c>
      <c r="X2683">
        <f>'raw data Crude oil'!X2684</f>
        <v>0</v>
      </c>
      <c r="Y2683">
        <f>'raw data Crude oil'!Y2684</f>
        <v>0</v>
      </c>
      <c r="Z2683">
        <f>'raw data Crude oil'!Z2684</f>
        <v>0</v>
      </c>
      <c r="AA2683">
        <f>'raw data Crude oil'!AA2684</f>
        <v>0</v>
      </c>
      <c r="AB2683">
        <f>'raw data Crude oil'!AB2684</f>
        <v>0</v>
      </c>
      <c r="AC2683">
        <f>'raw data Crude oil'!AC2684</f>
        <v>0</v>
      </c>
      <c r="AD2683">
        <f>'raw data Crude oil'!AD2684</f>
        <v>0</v>
      </c>
      <c r="AE2683">
        <f>'raw data Crude oil'!AE2684</f>
        <v>0</v>
      </c>
      <c r="AF2683">
        <f>'raw data Crude oil'!AF2684</f>
        <v>0</v>
      </c>
      <c r="AG2683">
        <f>'raw data Crude oil'!AG2684</f>
        <v>0</v>
      </c>
      <c r="AH2683">
        <f>'raw data Crude oil'!AH2684</f>
        <v>0</v>
      </c>
      <c r="AI2683">
        <f>'raw data Crude oil'!AI2684</f>
        <v>0</v>
      </c>
      <c r="AJ2683">
        <f>'raw data Crude oil'!AJ2684</f>
        <v>0</v>
      </c>
      <c r="AK2683">
        <f>'raw data Crude oil'!AK2684</f>
        <v>0</v>
      </c>
    </row>
    <row r="2684" spans="1:37" x14ac:dyDescent="0.3">
      <c r="A2684" s="18">
        <f>'raw data Crude oil'!A2685</f>
        <v>0</v>
      </c>
      <c r="B2684">
        <f>'raw data Crude oil'!B2685</f>
        <v>0</v>
      </c>
      <c r="C2684">
        <f>'raw data Crude oil'!C2685</f>
        <v>0</v>
      </c>
      <c r="D2684">
        <f>'raw data Crude oil'!D2685</f>
        <v>0</v>
      </c>
      <c r="E2684">
        <f>'raw data Crude oil'!E2685</f>
        <v>0</v>
      </c>
      <c r="F2684">
        <f>'raw data Crude oil'!F2685</f>
        <v>0</v>
      </c>
      <c r="G2684">
        <f>'raw data Crude oil'!G2685</f>
        <v>0</v>
      </c>
      <c r="H2684">
        <f>'raw data Crude oil'!H2685</f>
        <v>0</v>
      </c>
      <c r="I2684">
        <f>'raw data Crude oil'!I2685</f>
        <v>0</v>
      </c>
      <c r="J2684">
        <f>'raw data Crude oil'!J2685</f>
        <v>0</v>
      </c>
      <c r="K2684">
        <f>'raw data Crude oil'!K2685</f>
        <v>0</v>
      </c>
      <c r="L2684">
        <f>'raw data Crude oil'!L2685</f>
        <v>0</v>
      </c>
      <c r="M2684">
        <f>'raw data Crude oil'!M2685</f>
        <v>0</v>
      </c>
      <c r="N2684">
        <f>'raw data Crude oil'!N2685</f>
        <v>0</v>
      </c>
      <c r="O2684">
        <f>'raw data Crude oil'!O2685</f>
        <v>0</v>
      </c>
      <c r="P2684">
        <f>'raw data Crude oil'!P2685</f>
        <v>0</v>
      </c>
      <c r="Q2684">
        <f>'raw data Crude oil'!Q2685</f>
        <v>0</v>
      </c>
      <c r="R2684">
        <f>'raw data Crude oil'!R2685</f>
        <v>0</v>
      </c>
      <c r="S2684">
        <f>'raw data Crude oil'!S2685</f>
        <v>0</v>
      </c>
      <c r="T2684">
        <f>'raw data Crude oil'!T2685</f>
        <v>0</v>
      </c>
      <c r="U2684">
        <f>'raw data Crude oil'!U2685</f>
        <v>0</v>
      </c>
      <c r="V2684">
        <f>'raw data Crude oil'!V2685</f>
        <v>0</v>
      </c>
      <c r="W2684">
        <f>'raw data Crude oil'!W2685</f>
        <v>0</v>
      </c>
      <c r="X2684">
        <f>'raw data Crude oil'!X2685</f>
        <v>0</v>
      </c>
      <c r="Y2684">
        <f>'raw data Crude oil'!Y2685</f>
        <v>0</v>
      </c>
      <c r="Z2684">
        <f>'raw data Crude oil'!Z2685</f>
        <v>0</v>
      </c>
      <c r="AA2684">
        <f>'raw data Crude oil'!AA2685</f>
        <v>0</v>
      </c>
      <c r="AB2684">
        <f>'raw data Crude oil'!AB2685</f>
        <v>0</v>
      </c>
      <c r="AC2684">
        <f>'raw data Crude oil'!AC2685</f>
        <v>0</v>
      </c>
      <c r="AD2684">
        <f>'raw data Crude oil'!AD2685</f>
        <v>0</v>
      </c>
      <c r="AE2684">
        <f>'raw data Crude oil'!AE2685</f>
        <v>0</v>
      </c>
      <c r="AF2684">
        <f>'raw data Crude oil'!AF2685</f>
        <v>0</v>
      </c>
      <c r="AG2684">
        <f>'raw data Crude oil'!AG2685</f>
        <v>0</v>
      </c>
      <c r="AH2684">
        <f>'raw data Crude oil'!AH2685</f>
        <v>0</v>
      </c>
      <c r="AI2684">
        <f>'raw data Crude oil'!AI2685</f>
        <v>0</v>
      </c>
      <c r="AJ2684">
        <f>'raw data Crude oil'!AJ2685</f>
        <v>0</v>
      </c>
      <c r="AK2684">
        <f>'raw data Crude oil'!AK2685</f>
        <v>0</v>
      </c>
    </row>
    <row r="2685" spans="1:37" x14ac:dyDescent="0.3">
      <c r="A2685" s="18">
        <f>'raw data Crude oil'!A2686</f>
        <v>0</v>
      </c>
      <c r="B2685">
        <f>'raw data Crude oil'!B2686</f>
        <v>0</v>
      </c>
      <c r="C2685">
        <f>'raw data Crude oil'!C2686</f>
        <v>0</v>
      </c>
      <c r="D2685">
        <f>'raw data Crude oil'!D2686</f>
        <v>0</v>
      </c>
      <c r="E2685">
        <f>'raw data Crude oil'!E2686</f>
        <v>0</v>
      </c>
      <c r="F2685">
        <f>'raw data Crude oil'!F2686</f>
        <v>0</v>
      </c>
      <c r="G2685">
        <f>'raw data Crude oil'!G2686</f>
        <v>0</v>
      </c>
      <c r="H2685">
        <f>'raw data Crude oil'!H2686</f>
        <v>0</v>
      </c>
      <c r="I2685">
        <f>'raw data Crude oil'!I2686</f>
        <v>0</v>
      </c>
      <c r="J2685">
        <f>'raw data Crude oil'!J2686</f>
        <v>0</v>
      </c>
      <c r="K2685">
        <f>'raw data Crude oil'!K2686</f>
        <v>0</v>
      </c>
      <c r="L2685">
        <f>'raw data Crude oil'!L2686</f>
        <v>0</v>
      </c>
      <c r="M2685">
        <f>'raw data Crude oil'!M2686</f>
        <v>0</v>
      </c>
      <c r="N2685">
        <f>'raw data Crude oil'!N2686</f>
        <v>0</v>
      </c>
      <c r="O2685">
        <f>'raw data Crude oil'!O2686</f>
        <v>0</v>
      </c>
      <c r="P2685">
        <f>'raw data Crude oil'!P2686</f>
        <v>0</v>
      </c>
      <c r="Q2685">
        <f>'raw data Crude oil'!Q2686</f>
        <v>0</v>
      </c>
      <c r="R2685">
        <f>'raw data Crude oil'!R2686</f>
        <v>0</v>
      </c>
      <c r="S2685">
        <f>'raw data Crude oil'!S2686</f>
        <v>0</v>
      </c>
      <c r="T2685">
        <f>'raw data Crude oil'!T2686</f>
        <v>0</v>
      </c>
      <c r="U2685">
        <f>'raw data Crude oil'!U2686</f>
        <v>0</v>
      </c>
      <c r="V2685">
        <f>'raw data Crude oil'!V2686</f>
        <v>0</v>
      </c>
      <c r="W2685">
        <f>'raw data Crude oil'!W2686</f>
        <v>0</v>
      </c>
      <c r="X2685">
        <f>'raw data Crude oil'!X2686</f>
        <v>0</v>
      </c>
      <c r="Y2685">
        <f>'raw data Crude oil'!Y2686</f>
        <v>0</v>
      </c>
      <c r="Z2685">
        <f>'raw data Crude oil'!Z2686</f>
        <v>0</v>
      </c>
      <c r="AA2685">
        <f>'raw data Crude oil'!AA2686</f>
        <v>0</v>
      </c>
      <c r="AB2685">
        <f>'raw data Crude oil'!AB2686</f>
        <v>0</v>
      </c>
      <c r="AC2685">
        <f>'raw data Crude oil'!AC2686</f>
        <v>0</v>
      </c>
      <c r="AD2685">
        <f>'raw data Crude oil'!AD2686</f>
        <v>0</v>
      </c>
      <c r="AE2685">
        <f>'raw data Crude oil'!AE2686</f>
        <v>0</v>
      </c>
      <c r="AF2685">
        <f>'raw data Crude oil'!AF2686</f>
        <v>0</v>
      </c>
      <c r="AG2685">
        <f>'raw data Crude oil'!AG2686</f>
        <v>0</v>
      </c>
      <c r="AH2685">
        <f>'raw data Crude oil'!AH2686</f>
        <v>0</v>
      </c>
      <c r="AI2685">
        <f>'raw data Crude oil'!AI2686</f>
        <v>0</v>
      </c>
      <c r="AJ2685">
        <f>'raw data Crude oil'!AJ2686</f>
        <v>0</v>
      </c>
      <c r="AK2685">
        <f>'raw data Crude oil'!AK2686</f>
        <v>0</v>
      </c>
    </row>
    <row r="2686" spans="1:37" x14ac:dyDescent="0.3">
      <c r="A2686" s="18">
        <f>'raw data Crude oil'!A2687</f>
        <v>0</v>
      </c>
      <c r="B2686">
        <f>'raw data Crude oil'!B2687</f>
        <v>0</v>
      </c>
      <c r="C2686">
        <f>'raw data Crude oil'!C2687</f>
        <v>0</v>
      </c>
      <c r="D2686">
        <f>'raw data Crude oil'!D2687</f>
        <v>0</v>
      </c>
      <c r="E2686">
        <f>'raw data Crude oil'!E2687</f>
        <v>0</v>
      </c>
      <c r="F2686">
        <f>'raw data Crude oil'!F2687</f>
        <v>0</v>
      </c>
      <c r="G2686">
        <f>'raw data Crude oil'!G2687</f>
        <v>0</v>
      </c>
      <c r="H2686">
        <f>'raw data Crude oil'!H2687</f>
        <v>0</v>
      </c>
      <c r="I2686">
        <f>'raw data Crude oil'!I2687</f>
        <v>0</v>
      </c>
      <c r="J2686">
        <f>'raw data Crude oil'!J2687</f>
        <v>0</v>
      </c>
      <c r="K2686">
        <f>'raw data Crude oil'!K2687</f>
        <v>0</v>
      </c>
      <c r="L2686">
        <f>'raw data Crude oil'!L2687</f>
        <v>0</v>
      </c>
      <c r="M2686">
        <f>'raw data Crude oil'!M2687</f>
        <v>0</v>
      </c>
      <c r="N2686">
        <f>'raw data Crude oil'!N2687</f>
        <v>0</v>
      </c>
      <c r="O2686">
        <f>'raw data Crude oil'!O2687</f>
        <v>0</v>
      </c>
      <c r="P2686">
        <f>'raw data Crude oil'!P2687</f>
        <v>0</v>
      </c>
      <c r="Q2686">
        <f>'raw data Crude oil'!Q2687</f>
        <v>0</v>
      </c>
      <c r="R2686">
        <f>'raw data Crude oil'!R2687</f>
        <v>0</v>
      </c>
      <c r="S2686">
        <f>'raw data Crude oil'!S2687</f>
        <v>0</v>
      </c>
      <c r="T2686">
        <f>'raw data Crude oil'!T2687</f>
        <v>0</v>
      </c>
      <c r="U2686">
        <f>'raw data Crude oil'!U2687</f>
        <v>0</v>
      </c>
      <c r="V2686">
        <f>'raw data Crude oil'!V2687</f>
        <v>0</v>
      </c>
      <c r="W2686">
        <f>'raw data Crude oil'!W2687</f>
        <v>0</v>
      </c>
      <c r="X2686">
        <f>'raw data Crude oil'!X2687</f>
        <v>0</v>
      </c>
      <c r="Y2686">
        <f>'raw data Crude oil'!Y2687</f>
        <v>0</v>
      </c>
      <c r="Z2686">
        <f>'raw data Crude oil'!Z2687</f>
        <v>0</v>
      </c>
      <c r="AA2686">
        <f>'raw data Crude oil'!AA2687</f>
        <v>0</v>
      </c>
      <c r="AB2686">
        <f>'raw data Crude oil'!AB2687</f>
        <v>0</v>
      </c>
      <c r="AC2686">
        <f>'raw data Crude oil'!AC2687</f>
        <v>0</v>
      </c>
      <c r="AD2686">
        <f>'raw data Crude oil'!AD2687</f>
        <v>0</v>
      </c>
      <c r="AE2686">
        <f>'raw data Crude oil'!AE2687</f>
        <v>0</v>
      </c>
      <c r="AF2686">
        <f>'raw data Crude oil'!AF2687</f>
        <v>0</v>
      </c>
      <c r="AG2686">
        <f>'raw data Crude oil'!AG2687</f>
        <v>0</v>
      </c>
      <c r="AH2686">
        <f>'raw data Crude oil'!AH2687</f>
        <v>0</v>
      </c>
      <c r="AI2686">
        <f>'raw data Crude oil'!AI2687</f>
        <v>0</v>
      </c>
      <c r="AJ2686">
        <f>'raw data Crude oil'!AJ2687</f>
        <v>0</v>
      </c>
      <c r="AK2686">
        <f>'raw data Crude oil'!AK2687</f>
        <v>0</v>
      </c>
    </row>
    <row r="2687" spans="1:37" x14ac:dyDescent="0.3">
      <c r="A2687" s="18">
        <f>'raw data Crude oil'!A2688</f>
        <v>0</v>
      </c>
      <c r="B2687">
        <f>'raw data Crude oil'!B2688</f>
        <v>0</v>
      </c>
      <c r="C2687">
        <f>'raw data Crude oil'!C2688</f>
        <v>0</v>
      </c>
      <c r="D2687">
        <f>'raw data Crude oil'!D2688</f>
        <v>0</v>
      </c>
      <c r="E2687">
        <f>'raw data Crude oil'!E2688</f>
        <v>0</v>
      </c>
      <c r="F2687">
        <f>'raw data Crude oil'!F2688</f>
        <v>0</v>
      </c>
      <c r="G2687">
        <f>'raw data Crude oil'!G2688</f>
        <v>0</v>
      </c>
      <c r="H2687">
        <f>'raw data Crude oil'!H2688</f>
        <v>0</v>
      </c>
      <c r="I2687">
        <f>'raw data Crude oil'!I2688</f>
        <v>0</v>
      </c>
      <c r="J2687">
        <f>'raw data Crude oil'!J2688</f>
        <v>0</v>
      </c>
      <c r="K2687">
        <f>'raw data Crude oil'!K2688</f>
        <v>0</v>
      </c>
      <c r="L2687">
        <f>'raw data Crude oil'!L2688</f>
        <v>0</v>
      </c>
      <c r="M2687">
        <f>'raw data Crude oil'!M2688</f>
        <v>0</v>
      </c>
      <c r="N2687">
        <f>'raw data Crude oil'!N2688</f>
        <v>0</v>
      </c>
      <c r="O2687">
        <f>'raw data Crude oil'!O2688</f>
        <v>0</v>
      </c>
      <c r="P2687">
        <f>'raw data Crude oil'!P2688</f>
        <v>0</v>
      </c>
      <c r="Q2687">
        <f>'raw data Crude oil'!Q2688</f>
        <v>0</v>
      </c>
      <c r="R2687">
        <f>'raw data Crude oil'!R2688</f>
        <v>0</v>
      </c>
      <c r="S2687">
        <f>'raw data Crude oil'!S2688</f>
        <v>0</v>
      </c>
      <c r="T2687">
        <f>'raw data Crude oil'!T2688</f>
        <v>0</v>
      </c>
      <c r="U2687">
        <f>'raw data Crude oil'!U2688</f>
        <v>0</v>
      </c>
      <c r="V2687">
        <f>'raw data Crude oil'!V2688</f>
        <v>0</v>
      </c>
      <c r="W2687">
        <f>'raw data Crude oil'!W2688</f>
        <v>0</v>
      </c>
      <c r="X2687">
        <f>'raw data Crude oil'!X2688</f>
        <v>0</v>
      </c>
      <c r="Y2687">
        <f>'raw data Crude oil'!Y2688</f>
        <v>0</v>
      </c>
      <c r="Z2687">
        <f>'raw data Crude oil'!Z2688</f>
        <v>0</v>
      </c>
      <c r="AA2687">
        <f>'raw data Crude oil'!AA2688</f>
        <v>0</v>
      </c>
      <c r="AB2687">
        <f>'raw data Crude oil'!AB2688</f>
        <v>0</v>
      </c>
      <c r="AC2687">
        <f>'raw data Crude oil'!AC2688</f>
        <v>0</v>
      </c>
      <c r="AD2687">
        <f>'raw data Crude oil'!AD2688</f>
        <v>0</v>
      </c>
      <c r="AE2687">
        <f>'raw data Crude oil'!AE2688</f>
        <v>0</v>
      </c>
      <c r="AF2687">
        <f>'raw data Crude oil'!AF2688</f>
        <v>0</v>
      </c>
      <c r="AG2687">
        <f>'raw data Crude oil'!AG2688</f>
        <v>0</v>
      </c>
      <c r="AH2687">
        <f>'raw data Crude oil'!AH2688</f>
        <v>0</v>
      </c>
      <c r="AI2687">
        <f>'raw data Crude oil'!AI2688</f>
        <v>0</v>
      </c>
      <c r="AJ2687">
        <f>'raw data Crude oil'!AJ2688</f>
        <v>0</v>
      </c>
      <c r="AK2687">
        <f>'raw data Crude oil'!AK2688</f>
        <v>0</v>
      </c>
    </row>
    <row r="2688" spans="1:37" x14ac:dyDescent="0.3">
      <c r="A2688" s="18">
        <f>'raw data Crude oil'!A2689</f>
        <v>0</v>
      </c>
      <c r="B2688">
        <f>'raw data Crude oil'!B2689</f>
        <v>0</v>
      </c>
      <c r="C2688">
        <f>'raw data Crude oil'!C2689</f>
        <v>0</v>
      </c>
      <c r="D2688">
        <f>'raw data Crude oil'!D2689</f>
        <v>0</v>
      </c>
      <c r="E2688">
        <f>'raw data Crude oil'!E2689</f>
        <v>0</v>
      </c>
      <c r="F2688">
        <f>'raw data Crude oil'!F2689</f>
        <v>0</v>
      </c>
      <c r="G2688">
        <f>'raw data Crude oil'!G2689</f>
        <v>0</v>
      </c>
      <c r="H2688">
        <f>'raw data Crude oil'!H2689</f>
        <v>0</v>
      </c>
      <c r="I2688">
        <f>'raw data Crude oil'!I2689</f>
        <v>0</v>
      </c>
      <c r="J2688">
        <f>'raw data Crude oil'!J2689</f>
        <v>0</v>
      </c>
      <c r="K2688">
        <f>'raw data Crude oil'!K2689</f>
        <v>0</v>
      </c>
      <c r="L2688">
        <f>'raw data Crude oil'!L2689</f>
        <v>0</v>
      </c>
      <c r="M2688">
        <f>'raw data Crude oil'!M2689</f>
        <v>0</v>
      </c>
      <c r="N2688">
        <f>'raw data Crude oil'!N2689</f>
        <v>0</v>
      </c>
      <c r="O2688">
        <f>'raw data Crude oil'!O2689</f>
        <v>0</v>
      </c>
      <c r="P2688">
        <f>'raw data Crude oil'!P2689</f>
        <v>0</v>
      </c>
      <c r="Q2688">
        <f>'raw data Crude oil'!Q2689</f>
        <v>0</v>
      </c>
      <c r="R2688">
        <f>'raw data Crude oil'!R2689</f>
        <v>0</v>
      </c>
      <c r="S2688">
        <f>'raw data Crude oil'!S2689</f>
        <v>0</v>
      </c>
      <c r="T2688">
        <f>'raw data Crude oil'!T2689</f>
        <v>0</v>
      </c>
      <c r="U2688">
        <f>'raw data Crude oil'!U2689</f>
        <v>0</v>
      </c>
      <c r="V2688">
        <f>'raw data Crude oil'!V2689</f>
        <v>0</v>
      </c>
      <c r="W2688">
        <f>'raw data Crude oil'!W2689</f>
        <v>0</v>
      </c>
      <c r="X2688">
        <f>'raw data Crude oil'!X2689</f>
        <v>0</v>
      </c>
      <c r="Y2688">
        <f>'raw data Crude oil'!Y2689</f>
        <v>0</v>
      </c>
      <c r="Z2688">
        <f>'raw data Crude oil'!Z2689</f>
        <v>0</v>
      </c>
      <c r="AA2688">
        <f>'raw data Crude oil'!AA2689</f>
        <v>0</v>
      </c>
      <c r="AB2688">
        <f>'raw data Crude oil'!AB2689</f>
        <v>0</v>
      </c>
      <c r="AC2688">
        <f>'raw data Crude oil'!AC2689</f>
        <v>0</v>
      </c>
      <c r="AD2688">
        <f>'raw data Crude oil'!AD2689</f>
        <v>0</v>
      </c>
      <c r="AE2688">
        <f>'raw data Crude oil'!AE2689</f>
        <v>0</v>
      </c>
      <c r="AF2688">
        <f>'raw data Crude oil'!AF2689</f>
        <v>0</v>
      </c>
      <c r="AG2688">
        <f>'raw data Crude oil'!AG2689</f>
        <v>0</v>
      </c>
      <c r="AH2688">
        <f>'raw data Crude oil'!AH2689</f>
        <v>0</v>
      </c>
      <c r="AI2688">
        <f>'raw data Crude oil'!AI2689</f>
        <v>0</v>
      </c>
      <c r="AJ2688">
        <f>'raw data Crude oil'!AJ2689</f>
        <v>0</v>
      </c>
      <c r="AK2688">
        <f>'raw data Crude oil'!AK2689</f>
        <v>0</v>
      </c>
    </row>
    <row r="2689" spans="1:37" x14ac:dyDescent="0.3">
      <c r="A2689" s="18">
        <f>'raw data Crude oil'!A2690</f>
        <v>0</v>
      </c>
      <c r="B2689">
        <f>'raw data Crude oil'!B2690</f>
        <v>0</v>
      </c>
      <c r="C2689">
        <f>'raw data Crude oil'!C2690</f>
        <v>0</v>
      </c>
      <c r="D2689">
        <f>'raw data Crude oil'!D2690</f>
        <v>0</v>
      </c>
      <c r="E2689">
        <f>'raw data Crude oil'!E2690</f>
        <v>0</v>
      </c>
      <c r="F2689">
        <f>'raw data Crude oil'!F2690</f>
        <v>0</v>
      </c>
      <c r="G2689">
        <f>'raw data Crude oil'!G2690</f>
        <v>0</v>
      </c>
      <c r="H2689">
        <f>'raw data Crude oil'!H2690</f>
        <v>0</v>
      </c>
      <c r="I2689">
        <f>'raw data Crude oil'!I2690</f>
        <v>0</v>
      </c>
      <c r="J2689">
        <f>'raw data Crude oil'!J2690</f>
        <v>0</v>
      </c>
      <c r="K2689">
        <f>'raw data Crude oil'!K2690</f>
        <v>0</v>
      </c>
      <c r="L2689">
        <f>'raw data Crude oil'!L2690</f>
        <v>0</v>
      </c>
      <c r="M2689">
        <f>'raw data Crude oil'!M2690</f>
        <v>0</v>
      </c>
      <c r="N2689">
        <f>'raw data Crude oil'!N2690</f>
        <v>0</v>
      </c>
      <c r="O2689">
        <f>'raw data Crude oil'!O2690</f>
        <v>0</v>
      </c>
      <c r="P2689">
        <f>'raw data Crude oil'!P2690</f>
        <v>0</v>
      </c>
      <c r="Q2689">
        <f>'raw data Crude oil'!Q2690</f>
        <v>0</v>
      </c>
      <c r="R2689">
        <f>'raw data Crude oil'!R2690</f>
        <v>0</v>
      </c>
      <c r="S2689">
        <f>'raw data Crude oil'!S2690</f>
        <v>0</v>
      </c>
      <c r="T2689">
        <f>'raw data Crude oil'!T2690</f>
        <v>0</v>
      </c>
      <c r="U2689">
        <f>'raw data Crude oil'!U2690</f>
        <v>0</v>
      </c>
      <c r="V2689">
        <f>'raw data Crude oil'!V2690</f>
        <v>0</v>
      </c>
      <c r="W2689">
        <f>'raw data Crude oil'!W2690</f>
        <v>0</v>
      </c>
      <c r="X2689">
        <f>'raw data Crude oil'!X2690</f>
        <v>0</v>
      </c>
      <c r="Y2689">
        <f>'raw data Crude oil'!Y2690</f>
        <v>0</v>
      </c>
      <c r="Z2689">
        <f>'raw data Crude oil'!Z2690</f>
        <v>0</v>
      </c>
      <c r="AA2689">
        <f>'raw data Crude oil'!AA2690</f>
        <v>0</v>
      </c>
      <c r="AB2689">
        <f>'raw data Crude oil'!AB2690</f>
        <v>0</v>
      </c>
      <c r="AC2689">
        <f>'raw data Crude oil'!AC2690</f>
        <v>0</v>
      </c>
      <c r="AD2689">
        <f>'raw data Crude oil'!AD2690</f>
        <v>0</v>
      </c>
      <c r="AE2689">
        <f>'raw data Crude oil'!AE2690</f>
        <v>0</v>
      </c>
      <c r="AF2689">
        <f>'raw data Crude oil'!AF2690</f>
        <v>0</v>
      </c>
      <c r="AG2689">
        <f>'raw data Crude oil'!AG2690</f>
        <v>0</v>
      </c>
      <c r="AH2689">
        <f>'raw data Crude oil'!AH2690</f>
        <v>0</v>
      </c>
      <c r="AI2689">
        <f>'raw data Crude oil'!AI2690</f>
        <v>0</v>
      </c>
      <c r="AJ2689">
        <f>'raw data Crude oil'!AJ2690</f>
        <v>0</v>
      </c>
      <c r="AK2689">
        <f>'raw data Crude oil'!AK2690</f>
        <v>0</v>
      </c>
    </row>
    <row r="2690" spans="1:37" x14ac:dyDescent="0.3">
      <c r="A2690" s="18">
        <f>'raw data Crude oil'!A2691</f>
        <v>0</v>
      </c>
      <c r="B2690">
        <f>'raw data Crude oil'!B2691</f>
        <v>0</v>
      </c>
      <c r="C2690">
        <f>'raw data Crude oil'!C2691</f>
        <v>0</v>
      </c>
      <c r="D2690">
        <f>'raw data Crude oil'!D2691</f>
        <v>0</v>
      </c>
      <c r="E2690">
        <f>'raw data Crude oil'!E2691</f>
        <v>0</v>
      </c>
      <c r="F2690">
        <f>'raw data Crude oil'!F2691</f>
        <v>0</v>
      </c>
      <c r="G2690">
        <f>'raw data Crude oil'!G2691</f>
        <v>0</v>
      </c>
      <c r="H2690">
        <f>'raw data Crude oil'!H2691</f>
        <v>0</v>
      </c>
      <c r="I2690">
        <f>'raw data Crude oil'!I2691</f>
        <v>0</v>
      </c>
      <c r="J2690">
        <f>'raw data Crude oil'!J2691</f>
        <v>0</v>
      </c>
      <c r="K2690">
        <f>'raw data Crude oil'!K2691</f>
        <v>0</v>
      </c>
      <c r="L2690">
        <f>'raw data Crude oil'!L2691</f>
        <v>0</v>
      </c>
      <c r="M2690">
        <f>'raw data Crude oil'!M2691</f>
        <v>0</v>
      </c>
      <c r="N2690">
        <f>'raw data Crude oil'!N2691</f>
        <v>0</v>
      </c>
      <c r="O2690">
        <f>'raw data Crude oil'!O2691</f>
        <v>0</v>
      </c>
      <c r="P2690">
        <f>'raw data Crude oil'!P2691</f>
        <v>0</v>
      </c>
      <c r="Q2690">
        <f>'raw data Crude oil'!Q2691</f>
        <v>0</v>
      </c>
      <c r="R2690">
        <f>'raw data Crude oil'!R2691</f>
        <v>0</v>
      </c>
      <c r="S2690">
        <f>'raw data Crude oil'!S2691</f>
        <v>0</v>
      </c>
      <c r="T2690">
        <f>'raw data Crude oil'!T2691</f>
        <v>0</v>
      </c>
      <c r="U2690">
        <f>'raw data Crude oil'!U2691</f>
        <v>0</v>
      </c>
      <c r="V2690">
        <f>'raw data Crude oil'!V2691</f>
        <v>0</v>
      </c>
      <c r="W2690">
        <f>'raw data Crude oil'!W2691</f>
        <v>0</v>
      </c>
      <c r="X2690">
        <f>'raw data Crude oil'!X2691</f>
        <v>0</v>
      </c>
      <c r="Y2690">
        <f>'raw data Crude oil'!Y2691</f>
        <v>0</v>
      </c>
      <c r="Z2690">
        <f>'raw data Crude oil'!Z2691</f>
        <v>0</v>
      </c>
      <c r="AA2690">
        <f>'raw data Crude oil'!AA2691</f>
        <v>0</v>
      </c>
      <c r="AB2690">
        <f>'raw data Crude oil'!AB2691</f>
        <v>0</v>
      </c>
      <c r="AC2690">
        <f>'raw data Crude oil'!AC2691</f>
        <v>0</v>
      </c>
      <c r="AD2690">
        <f>'raw data Crude oil'!AD2691</f>
        <v>0</v>
      </c>
      <c r="AE2690">
        <f>'raw data Crude oil'!AE2691</f>
        <v>0</v>
      </c>
      <c r="AF2690">
        <f>'raw data Crude oil'!AF2691</f>
        <v>0</v>
      </c>
      <c r="AG2690">
        <f>'raw data Crude oil'!AG2691</f>
        <v>0</v>
      </c>
      <c r="AH2690">
        <f>'raw data Crude oil'!AH2691</f>
        <v>0</v>
      </c>
      <c r="AI2690">
        <f>'raw data Crude oil'!AI2691</f>
        <v>0</v>
      </c>
      <c r="AJ2690">
        <f>'raw data Crude oil'!AJ2691</f>
        <v>0</v>
      </c>
      <c r="AK2690">
        <f>'raw data Crude oil'!AK2691</f>
        <v>0</v>
      </c>
    </row>
    <row r="2691" spans="1:37" x14ac:dyDescent="0.3">
      <c r="A2691" s="18">
        <f>'raw data Crude oil'!A2692</f>
        <v>0</v>
      </c>
      <c r="B2691">
        <f>'raw data Crude oil'!B2692</f>
        <v>0</v>
      </c>
      <c r="C2691">
        <f>'raw data Crude oil'!C2692</f>
        <v>0</v>
      </c>
      <c r="D2691">
        <f>'raw data Crude oil'!D2692</f>
        <v>0</v>
      </c>
      <c r="E2691">
        <f>'raw data Crude oil'!E2692</f>
        <v>0</v>
      </c>
      <c r="F2691">
        <f>'raw data Crude oil'!F2692</f>
        <v>0</v>
      </c>
      <c r="G2691">
        <f>'raw data Crude oil'!G2692</f>
        <v>0</v>
      </c>
      <c r="H2691">
        <f>'raw data Crude oil'!H2692</f>
        <v>0</v>
      </c>
      <c r="I2691">
        <f>'raw data Crude oil'!I2692</f>
        <v>0</v>
      </c>
      <c r="J2691">
        <f>'raw data Crude oil'!J2692</f>
        <v>0</v>
      </c>
      <c r="K2691">
        <f>'raw data Crude oil'!K2692</f>
        <v>0</v>
      </c>
      <c r="L2691">
        <f>'raw data Crude oil'!L2692</f>
        <v>0</v>
      </c>
      <c r="M2691">
        <f>'raw data Crude oil'!M2692</f>
        <v>0</v>
      </c>
      <c r="N2691">
        <f>'raw data Crude oil'!N2692</f>
        <v>0</v>
      </c>
      <c r="O2691">
        <f>'raw data Crude oil'!O2692</f>
        <v>0</v>
      </c>
      <c r="P2691">
        <f>'raw data Crude oil'!P2692</f>
        <v>0</v>
      </c>
      <c r="Q2691">
        <f>'raw data Crude oil'!Q2692</f>
        <v>0</v>
      </c>
      <c r="R2691">
        <f>'raw data Crude oil'!R2692</f>
        <v>0</v>
      </c>
      <c r="S2691">
        <f>'raw data Crude oil'!S2692</f>
        <v>0</v>
      </c>
      <c r="T2691">
        <f>'raw data Crude oil'!T2692</f>
        <v>0</v>
      </c>
      <c r="U2691">
        <f>'raw data Crude oil'!U2692</f>
        <v>0</v>
      </c>
      <c r="V2691">
        <f>'raw data Crude oil'!V2692</f>
        <v>0</v>
      </c>
      <c r="W2691">
        <f>'raw data Crude oil'!W2692</f>
        <v>0</v>
      </c>
      <c r="X2691">
        <f>'raw data Crude oil'!X2692</f>
        <v>0</v>
      </c>
      <c r="Y2691">
        <f>'raw data Crude oil'!Y2692</f>
        <v>0</v>
      </c>
      <c r="Z2691">
        <f>'raw data Crude oil'!Z2692</f>
        <v>0</v>
      </c>
      <c r="AA2691">
        <f>'raw data Crude oil'!AA2692</f>
        <v>0</v>
      </c>
      <c r="AB2691">
        <f>'raw data Crude oil'!AB2692</f>
        <v>0</v>
      </c>
      <c r="AC2691">
        <f>'raw data Crude oil'!AC2692</f>
        <v>0</v>
      </c>
      <c r="AD2691">
        <f>'raw data Crude oil'!AD2692</f>
        <v>0</v>
      </c>
      <c r="AE2691">
        <f>'raw data Crude oil'!AE2692</f>
        <v>0</v>
      </c>
      <c r="AF2691">
        <f>'raw data Crude oil'!AF2692</f>
        <v>0</v>
      </c>
      <c r="AG2691">
        <f>'raw data Crude oil'!AG2692</f>
        <v>0</v>
      </c>
      <c r="AH2691">
        <f>'raw data Crude oil'!AH2692</f>
        <v>0</v>
      </c>
      <c r="AI2691">
        <f>'raw data Crude oil'!AI2692</f>
        <v>0</v>
      </c>
      <c r="AJ2691">
        <f>'raw data Crude oil'!AJ2692</f>
        <v>0</v>
      </c>
      <c r="AK2691">
        <f>'raw data Crude oil'!AK2692</f>
        <v>0</v>
      </c>
    </row>
    <row r="2692" spans="1:37" x14ac:dyDescent="0.3">
      <c r="A2692" s="18">
        <f>'raw data Crude oil'!A2693</f>
        <v>0</v>
      </c>
      <c r="B2692">
        <f>'raw data Crude oil'!B2693</f>
        <v>0</v>
      </c>
      <c r="C2692">
        <f>'raw data Crude oil'!C2693</f>
        <v>0</v>
      </c>
      <c r="D2692">
        <f>'raw data Crude oil'!D2693</f>
        <v>0</v>
      </c>
      <c r="E2692">
        <f>'raw data Crude oil'!E2693</f>
        <v>0</v>
      </c>
      <c r="F2692">
        <f>'raw data Crude oil'!F2693</f>
        <v>0</v>
      </c>
      <c r="G2692">
        <f>'raw data Crude oil'!G2693</f>
        <v>0</v>
      </c>
      <c r="H2692">
        <f>'raw data Crude oil'!H2693</f>
        <v>0</v>
      </c>
      <c r="I2692">
        <f>'raw data Crude oil'!I2693</f>
        <v>0</v>
      </c>
      <c r="J2692">
        <f>'raw data Crude oil'!J2693</f>
        <v>0</v>
      </c>
      <c r="K2692">
        <f>'raw data Crude oil'!K2693</f>
        <v>0</v>
      </c>
      <c r="L2692">
        <f>'raw data Crude oil'!L2693</f>
        <v>0</v>
      </c>
      <c r="M2692">
        <f>'raw data Crude oil'!M2693</f>
        <v>0</v>
      </c>
      <c r="N2692">
        <f>'raw data Crude oil'!N2693</f>
        <v>0</v>
      </c>
      <c r="O2692">
        <f>'raw data Crude oil'!O2693</f>
        <v>0</v>
      </c>
      <c r="P2692">
        <f>'raw data Crude oil'!P2693</f>
        <v>0</v>
      </c>
      <c r="Q2692">
        <f>'raw data Crude oil'!Q2693</f>
        <v>0</v>
      </c>
      <c r="R2692">
        <f>'raw data Crude oil'!R2693</f>
        <v>0</v>
      </c>
      <c r="S2692">
        <f>'raw data Crude oil'!S2693</f>
        <v>0</v>
      </c>
      <c r="T2692">
        <f>'raw data Crude oil'!T2693</f>
        <v>0</v>
      </c>
      <c r="U2692">
        <f>'raw data Crude oil'!U2693</f>
        <v>0</v>
      </c>
      <c r="V2692">
        <f>'raw data Crude oil'!V2693</f>
        <v>0</v>
      </c>
      <c r="W2692">
        <f>'raw data Crude oil'!W2693</f>
        <v>0</v>
      </c>
      <c r="X2692">
        <f>'raw data Crude oil'!X2693</f>
        <v>0</v>
      </c>
      <c r="Y2692">
        <f>'raw data Crude oil'!Y2693</f>
        <v>0</v>
      </c>
      <c r="Z2692">
        <f>'raw data Crude oil'!Z2693</f>
        <v>0</v>
      </c>
      <c r="AA2692">
        <f>'raw data Crude oil'!AA2693</f>
        <v>0</v>
      </c>
      <c r="AB2692">
        <f>'raw data Crude oil'!AB2693</f>
        <v>0</v>
      </c>
      <c r="AC2692">
        <f>'raw data Crude oil'!AC2693</f>
        <v>0</v>
      </c>
      <c r="AD2692">
        <f>'raw data Crude oil'!AD2693</f>
        <v>0</v>
      </c>
      <c r="AE2692">
        <f>'raw data Crude oil'!AE2693</f>
        <v>0</v>
      </c>
      <c r="AF2692">
        <f>'raw data Crude oil'!AF2693</f>
        <v>0</v>
      </c>
      <c r="AG2692">
        <f>'raw data Crude oil'!AG2693</f>
        <v>0</v>
      </c>
      <c r="AH2692">
        <f>'raw data Crude oil'!AH2693</f>
        <v>0</v>
      </c>
      <c r="AI2692">
        <f>'raw data Crude oil'!AI2693</f>
        <v>0</v>
      </c>
      <c r="AJ2692">
        <f>'raw data Crude oil'!AJ2693</f>
        <v>0</v>
      </c>
      <c r="AK2692">
        <f>'raw data Crude oil'!AK2693</f>
        <v>0</v>
      </c>
    </row>
    <row r="2693" spans="1:37" x14ac:dyDescent="0.3">
      <c r="A2693" s="18">
        <f>'raw data Crude oil'!A2694</f>
        <v>0</v>
      </c>
      <c r="B2693">
        <f>'raw data Crude oil'!B2694</f>
        <v>0</v>
      </c>
      <c r="C2693">
        <f>'raw data Crude oil'!C2694</f>
        <v>0</v>
      </c>
      <c r="D2693">
        <f>'raw data Crude oil'!D2694</f>
        <v>0</v>
      </c>
      <c r="E2693">
        <f>'raw data Crude oil'!E2694</f>
        <v>0</v>
      </c>
      <c r="F2693">
        <f>'raw data Crude oil'!F2694</f>
        <v>0</v>
      </c>
      <c r="G2693">
        <f>'raw data Crude oil'!G2694</f>
        <v>0</v>
      </c>
      <c r="H2693">
        <f>'raw data Crude oil'!H2694</f>
        <v>0</v>
      </c>
      <c r="I2693">
        <f>'raw data Crude oil'!I2694</f>
        <v>0</v>
      </c>
      <c r="J2693">
        <f>'raw data Crude oil'!J2694</f>
        <v>0</v>
      </c>
      <c r="K2693">
        <f>'raw data Crude oil'!K2694</f>
        <v>0</v>
      </c>
      <c r="L2693">
        <f>'raw data Crude oil'!L2694</f>
        <v>0</v>
      </c>
      <c r="M2693">
        <f>'raw data Crude oil'!M2694</f>
        <v>0</v>
      </c>
      <c r="N2693">
        <f>'raw data Crude oil'!N2694</f>
        <v>0</v>
      </c>
      <c r="O2693">
        <f>'raw data Crude oil'!O2694</f>
        <v>0</v>
      </c>
      <c r="P2693">
        <f>'raw data Crude oil'!P2694</f>
        <v>0</v>
      </c>
      <c r="Q2693">
        <f>'raw data Crude oil'!Q2694</f>
        <v>0</v>
      </c>
      <c r="R2693">
        <f>'raw data Crude oil'!R2694</f>
        <v>0</v>
      </c>
      <c r="S2693">
        <f>'raw data Crude oil'!S2694</f>
        <v>0</v>
      </c>
      <c r="T2693">
        <f>'raw data Crude oil'!T2694</f>
        <v>0</v>
      </c>
      <c r="U2693">
        <f>'raw data Crude oil'!U2694</f>
        <v>0</v>
      </c>
      <c r="V2693">
        <f>'raw data Crude oil'!V2694</f>
        <v>0</v>
      </c>
      <c r="W2693">
        <f>'raw data Crude oil'!W2694</f>
        <v>0</v>
      </c>
      <c r="X2693">
        <f>'raw data Crude oil'!X2694</f>
        <v>0</v>
      </c>
      <c r="Y2693">
        <f>'raw data Crude oil'!Y2694</f>
        <v>0</v>
      </c>
      <c r="Z2693">
        <f>'raw data Crude oil'!Z2694</f>
        <v>0</v>
      </c>
      <c r="AA2693">
        <f>'raw data Crude oil'!AA2694</f>
        <v>0</v>
      </c>
      <c r="AB2693">
        <f>'raw data Crude oil'!AB2694</f>
        <v>0</v>
      </c>
      <c r="AC2693">
        <f>'raw data Crude oil'!AC2694</f>
        <v>0</v>
      </c>
      <c r="AD2693">
        <f>'raw data Crude oil'!AD2694</f>
        <v>0</v>
      </c>
      <c r="AE2693">
        <f>'raw data Crude oil'!AE2694</f>
        <v>0</v>
      </c>
      <c r="AF2693">
        <f>'raw data Crude oil'!AF2694</f>
        <v>0</v>
      </c>
      <c r="AG2693">
        <f>'raw data Crude oil'!AG2694</f>
        <v>0</v>
      </c>
      <c r="AH2693">
        <f>'raw data Crude oil'!AH2694</f>
        <v>0</v>
      </c>
      <c r="AI2693">
        <f>'raw data Crude oil'!AI2694</f>
        <v>0</v>
      </c>
      <c r="AJ2693">
        <f>'raw data Crude oil'!AJ2694</f>
        <v>0</v>
      </c>
      <c r="AK2693">
        <f>'raw data Crude oil'!AK2694</f>
        <v>0</v>
      </c>
    </row>
    <row r="2694" spans="1:37" x14ac:dyDescent="0.3">
      <c r="A2694" s="18">
        <f>'raw data Crude oil'!A2695</f>
        <v>0</v>
      </c>
      <c r="B2694">
        <f>'raw data Crude oil'!B2695</f>
        <v>0</v>
      </c>
      <c r="C2694">
        <f>'raw data Crude oil'!C2695</f>
        <v>0</v>
      </c>
      <c r="D2694">
        <f>'raw data Crude oil'!D2695</f>
        <v>0</v>
      </c>
      <c r="E2694">
        <f>'raw data Crude oil'!E2695</f>
        <v>0</v>
      </c>
      <c r="F2694">
        <f>'raw data Crude oil'!F2695</f>
        <v>0</v>
      </c>
      <c r="G2694">
        <f>'raw data Crude oil'!G2695</f>
        <v>0</v>
      </c>
      <c r="H2694">
        <f>'raw data Crude oil'!H2695</f>
        <v>0</v>
      </c>
      <c r="I2694">
        <f>'raw data Crude oil'!I2695</f>
        <v>0</v>
      </c>
      <c r="J2694">
        <f>'raw data Crude oil'!J2695</f>
        <v>0</v>
      </c>
      <c r="K2694">
        <f>'raw data Crude oil'!K2695</f>
        <v>0</v>
      </c>
      <c r="L2694">
        <f>'raw data Crude oil'!L2695</f>
        <v>0</v>
      </c>
      <c r="M2694">
        <f>'raw data Crude oil'!M2695</f>
        <v>0</v>
      </c>
      <c r="N2694">
        <f>'raw data Crude oil'!N2695</f>
        <v>0</v>
      </c>
      <c r="O2694">
        <f>'raw data Crude oil'!O2695</f>
        <v>0</v>
      </c>
      <c r="P2694">
        <f>'raw data Crude oil'!P2695</f>
        <v>0</v>
      </c>
      <c r="Q2694">
        <f>'raw data Crude oil'!Q2695</f>
        <v>0</v>
      </c>
      <c r="R2694">
        <f>'raw data Crude oil'!R2695</f>
        <v>0</v>
      </c>
      <c r="S2694">
        <f>'raw data Crude oil'!S2695</f>
        <v>0</v>
      </c>
      <c r="T2694">
        <f>'raw data Crude oil'!T2695</f>
        <v>0</v>
      </c>
      <c r="U2694">
        <f>'raw data Crude oil'!U2695</f>
        <v>0</v>
      </c>
      <c r="V2694">
        <f>'raw data Crude oil'!V2695</f>
        <v>0</v>
      </c>
      <c r="W2694">
        <f>'raw data Crude oil'!W2695</f>
        <v>0</v>
      </c>
      <c r="X2694">
        <f>'raw data Crude oil'!X2695</f>
        <v>0</v>
      </c>
      <c r="Y2694">
        <f>'raw data Crude oil'!Y2695</f>
        <v>0</v>
      </c>
      <c r="Z2694">
        <f>'raw data Crude oil'!Z2695</f>
        <v>0</v>
      </c>
      <c r="AA2694">
        <f>'raw data Crude oil'!AA2695</f>
        <v>0</v>
      </c>
      <c r="AB2694">
        <f>'raw data Crude oil'!AB2695</f>
        <v>0</v>
      </c>
      <c r="AC2694">
        <f>'raw data Crude oil'!AC2695</f>
        <v>0</v>
      </c>
      <c r="AD2694">
        <f>'raw data Crude oil'!AD2695</f>
        <v>0</v>
      </c>
      <c r="AE2694">
        <f>'raw data Crude oil'!AE2695</f>
        <v>0</v>
      </c>
      <c r="AF2694">
        <f>'raw data Crude oil'!AF2695</f>
        <v>0</v>
      </c>
      <c r="AG2694">
        <f>'raw data Crude oil'!AG2695</f>
        <v>0</v>
      </c>
      <c r="AH2694">
        <f>'raw data Crude oil'!AH2695</f>
        <v>0</v>
      </c>
      <c r="AI2694">
        <f>'raw data Crude oil'!AI2695</f>
        <v>0</v>
      </c>
      <c r="AJ2694">
        <f>'raw data Crude oil'!AJ2695</f>
        <v>0</v>
      </c>
      <c r="AK2694">
        <f>'raw data Crude oil'!AK2695</f>
        <v>0</v>
      </c>
    </row>
    <row r="2695" spans="1:37" x14ac:dyDescent="0.3">
      <c r="A2695" s="18">
        <f>'raw data Crude oil'!A2696</f>
        <v>0</v>
      </c>
      <c r="B2695">
        <f>'raw data Crude oil'!B2696</f>
        <v>0</v>
      </c>
      <c r="C2695">
        <f>'raw data Crude oil'!C2696</f>
        <v>0</v>
      </c>
      <c r="D2695">
        <f>'raw data Crude oil'!D2696</f>
        <v>0</v>
      </c>
      <c r="E2695">
        <f>'raw data Crude oil'!E2696</f>
        <v>0</v>
      </c>
      <c r="F2695">
        <f>'raw data Crude oil'!F2696</f>
        <v>0</v>
      </c>
      <c r="G2695">
        <f>'raw data Crude oil'!G2696</f>
        <v>0</v>
      </c>
      <c r="H2695">
        <f>'raw data Crude oil'!H2696</f>
        <v>0</v>
      </c>
      <c r="I2695">
        <f>'raw data Crude oil'!I2696</f>
        <v>0</v>
      </c>
      <c r="J2695">
        <f>'raw data Crude oil'!J2696</f>
        <v>0</v>
      </c>
      <c r="K2695">
        <f>'raw data Crude oil'!K2696</f>
        <v>0</v>
      </c>
      <c r="L2695">
        <f>'raw data Crude oil'!L2696</f>
        <v>0</v>
      </c>
      <c r="M2695">
        <f>'raw data Crude oil'!M2696</f>
        <v>0</v>
      </c>
      <c r="N2695">
        <f>'raw data Crude oil'!N2696</f>
        <v>0</v>
      </c>
      <c r="O2695">
        <f>'raw data Crude oil'!O2696</f>
        <v>0</v>
      </c>
      <c r="P2695">
        <f>'raw data Crude oil'!P2696</f>
        <v>0</v>
      </c>
      <c r="Q2695">
        <f>'raw data Crude oil'!Q2696</f>
        <v>0</v>
      </c>
      <c r="R2695">
        <f>'raw data Crude oil'!R2696</f>
        <v>0</v>
      </c>
      <c r="S2695">
        <f>'raw data Crude oil'!S2696</f>
        <v>0</v>
      </c>
      <c r="T2695">
        <f>'raw data Crude oil'!T2696</f>
        <v>0</v>
      </c>
      <c r="U2695">
        <f>'raw data Crude oil'!U2696</f>
        <v>0</v>
      </c>
      <c r="V2695">
        <f>'raw data Crude oil'!V2696</f>
        <v>0</v>
      </c>
      <c r="W2695">
        <f>'raw data Crude oil'!W2696</f>
        <v>0</v>
      </c>
      <c r="X2695">
        <f>'raw data Crude oil'!X2696</f>
        <v>0</v>
      </c>
      <c r="Y2695">
        <f>'raw data Crude oil'!Y2696</f>
        <v>0</v>
      </c>
      <c r="Z2695">
        <f>'raw data Crude oil'!Z2696</f>
        <v>0</v>
      </c>
      <c r="AA2695">
        <f>'raw data Crude oil'!AA2696</f>
        <v>0</v>
      </c>
      <c r="AB2695">
        <f>'raw data Crude oil'!AB2696</f>
        <v>0</v>
      </c>
      <c r="AC2695">
        <f>'raw data Crude oil'!AC2696</f>
        <v>0</v>
      </c>
      <c r="AD2695">
        <f>'raw data Crude oil'!AD2696</f>
        <v>0</v>
      </c>
      <c r="AE2695">
        <f>'raw data Crude oil'!AE2696</f>
        <v>0</v>
      </c>
      <c r="AF2695">
        <f>'raw data Crude oil'!AF2696</f>
        <v>0</v>
      </c>
      <c r="AG2695">
        <f>'raw data Crude oil'!AG2696</f>
        <v>0</v>
      </c>
      <c r="AH2695">
        <f>'raw data Crude oil'!AH2696</f>
        <v>0</v>
      </c>
      <c r="AI2695">
        <f>'raw data Crude oil'!AI2696</f>
        <v>0</v>
      </c>
      <c r="AJ2695">
        <f>'raw data Crude oil'!AJ2696</f>
        <v>0</v>
      </c>
      <c r="AK2695">
        <f>'raw data Crude oil'!AK2696</f>
        <v>0</v>
      </c>
    </row>
    <row r="2696" spans="1:37" x14ac:dyDescent="0.3">
      <c r="A2696" s="18">
        <f>'raw data Crude oil'!A2697</f>
        <v>0</v>
      </c>
      <c r="B2696">
        <f>'raw data Crude oil'!B2697</f>
        <v>0</v>
      </c>
      <c r="C2696">
        <f>'raw data Crude oil'!C2697</f>
        <v>0</v>
      </c>
      <c r="D2696">
        <f>'raw data Crude oil'!D2697</f>
        <v>0</v>
      </c>
      <c r="E2696">
        <f>'raw data Crude oil'!E2697</f>
        <v>0</v>
      </c>
      <c r="F2696">
        <f>'raw data Crude oil'!F2697</f>
        <v>0</v>
      </c>
      <c r="G2696">
        <f>'raw data Crude oil'!G2697</f>
        <v>0</v>
      </c>
      <c r="H2696">
        <f>'raw data Crude oil'!H2697</f>
        <v>0</v>
      </c>
      <c r="I2696">
        <f>'raw data Crude oil'!I2697</f>
        <v>0</v>
      </c>
      <c r="J2696">
        <f>'raw data Crude oil'!J2697</f>
        <v>0</v>
      </c>
      <c r="K2696">
        <f>'raw data Crude oil'!K2697</f>
        <v>0</v>
      </c>
      <c r="L2696">
        <f>'raw data Crude oil'!L2697</f>
        <v>0</v>
      </c>
      <c r="M2696">
        <f>'raw data Crude oil'!M2697</f>
        <v>0</v>
      </c>
      <c r="N2696">
        <f>'raw data Crude oil'!N2697</f>
        <v>0</v>
      </c>
      <c r="O2696">
        <f>'raw data Crude oil'!O2697</f>
        <v>0</v>
      </c>
      <c r="P2696">
        <f>'raw data Crude oil'!P2697</f>
        <v>0</v>
      </c>
      <c r="Q2696">
        <f>'raw data Crude oil'!Q2697</f>
        <v>0</v>
      </c>
      <c r="R2696">
        <f>'raw data Crude oil'!R2697</f>
        <v>0</v>
      </c>
      <c r="S2696">
        <f>'raw data Crude oil'!S2697</f>
        <v>0</v>
      </c>
      <c r="T2696">
        <f>'raw data Crude oil'!T2697</f>
        <v>0</v>
      </c>
      <c r="U2696">
        <f>'raw data Crude oil'!U2697</f>
        <v>0</v>
      </c>
      <c r="V2696">
        <f>'raw data Crude oil'!V2697</f>
        <v>0</v>
      </c>
      <c r="W2696">
        <f>'raw data Crude oil'!W2697</f>
        <v>0</v>
      </c>
      <c r="X2696">
        <f>'raw data Crude oil'!X2697</f>
        <v>0</v>
      </c>
      <c r="Y2696">
        <f>'raw data Crude oil'!Y2697</f>
        <v>0</v>
      </c>
      <c r="Z2696">
        <f>'raw data Crude oil'!Z2697</f>
        <v>0</v>
      </c>
      <c r="AA2696">
        <f>'raw data Crude oil'!AA2697</f>
        <v>0</v>
      </c>
      <c r="AB2696">
        <f>'raw data Crude oil'!AB2697</f>
        <v>0</v>
      </c>
      <c r="AC2696">
        <f>'raw data Crude oil'!AC2697</f>
        <v>0</v>
      </c>
      <c r="AD2696">
        <f>'raw data Crude oil'!AD2697</f>
        <v>0</v>
      </c>
      <c r="AE2696">
        <f>'raw data Crude oil'!AE2697</f>
        <v>0</v>
      </c>
      <c r="AF2696">
        <f>'raw data Crude oil'!AF2697</f>
        <v>0</v>
      </c>
      <c r="AG2696">
        <f>'raw data Crude oil'!AG2697</f>
        <v>0</v>
      </c>
      <c r="AH2696">
        <f>'raw data Crude oil'!AH2697</f>
        <v>0</v>
      </c>
      <c r="AI2696">
        <f>'raw data Crude oil'!AI2697</f>
        <v>0</v>
      </c>
      <c r="AJ2696">
        <f>'raw data Crude oil'!AJ2697</f>
        <v>0</v>
      </c>
      <c r="AK2696">
        <f>'raw data Crude oil'!AK2697</f>
        <v>0</v>
      </c>
    </row>
    <row r="2697" spans="1:37" x14ac:dyDescent="0.3">
      <c r="A2697" s="18">
        <f>'raw data Crude oil'!A2698</f>
        <v>0</v>
      </c>
      <c r="B2697">
        <f>'raw data Crude oil'!B2698</f>
        <v>0</v>
      </c>
      <c r="C2697">
        <f>'raw data Crude oil'!C2698</f>
        <v>0</v>
      </c>
      <c r="D2697">
        <f>'raw data Crude oil'!D2698</f>
        <v>0</v>
      </c>
      <c r="E2697">
        <f>'raw data Crude oil'!E2698</f>
        <v>0</v>
      </c>
      <c r="F2697">
        <f>'raw data Crude oil'!F2698</f>
        <v>0</v>
      </c>
      <c r="G2697">
        <f>'raw data Crude oil'!G2698</f>
        <v>0</v>
      </c>
      <c r="H2697">
        <f>'raw data Crude oil'!H2698</f>
        <v>0</v>
      </c>
      <c r="I2697">
        <f>'raw data Crude oil'!I2698</f>
        <v>0</v>
      </c>
      <c r="J2697">
        <f>'raw data Crude oil'!J2698</f>
        <v>0</v>
      </c>
      <c r="K2697">
        <f>'raw data Crude oil'!K2698</f>
        <v>0</v>
      </c>
      <c r="L2697">
        <f>'raw data Crude oil'!L2698</f>
        <v>0</v>
      </c>
      <c r="M2697">
        <f>'raw data Crude oil'!M2698</f>
        <v>0</v>
      </c>
      <c r="N2697">
        <f>'raw data Crude oil'!N2698</f>
        <v>0</v>
      </c>
      <c r="O2697">
        <f>'raw data Crude oil'!O2698</f>
        <v>0</v>
      </c>
      <c r="P2697">
        <f>'raw data Crude oil'!P2698</f>
        <v>0</v>
      </c>
      <c r="Q2697">
        <f>'raw data Crude oil'!Q2698</f>
        <v>0</v>
      </c>
      <c r="R2697">
        <f>'raw data Crude oil'!R2698</f>
        <v>0</v>
      </c>
      <c r="S2697">
        <f>'raw data Crude oil'!S2698</f>
        <v>0</v>
      </c>
      <c r="T2697">
        <f>'raw data Crude oil'!T2698</f>
        <v>0</v>
      </c>
      <c r="U2697">
        <f>'raw data Crude oil'!U2698</f>
        <v>0</v>
      </c>
      <c r="V2697">
        <f>'raw data Crude oil'!V2698</f>
        <v>0</v>
      </c>
      <c r="W2697">
        <f>'raw data Crude oil'!W2698</f>
        <v>0</v>
      </c>
      <c r="X2697">
        <f>'raw data Crude oil'!X2698</f>
        <v>0</v>
      </c>
      <c r="Y2697">
        <f>'raw data Crude oil'!Y2698</f>
        <v>0</v>
      </c>
      <c r="Z2697">
        <f>'raw data Crude oil'!Z2698</f>
        <v>0</v>
      </c>
      <c r="AA2697">
        <f>'raw data Crude oil'!AA2698</f>
        <v>0</v>
      </c>
      <c r="AB2697">
        <f>'raw data Crude oil'!AB2698</f>
        <v>0</v>
      </c>
      <c r="AC2697">
        <f>'raw data Crude oil'!AC2698</f>
        <v>0</v>
      </c>
      <c r="AD2697">
        <f>'raw data Crude oil'!AD2698</f>
        <v>0</v>
      </c>
      <c r="AE2697">
        <f>'raw data Crude oil'!AE2698</f>
        <v>0</v>
      </c>
      <c r="AF2697">
        <f>'raw data Crude oil'!AF2698</f>
        <v>0</v>
      </c>
      <c r="AG2697">
        <f>'raw data Crude oil'!AG2698</f>
        <v>0</v>
      </c>
      <c r="AH2697">
        <f>'raw data Crude oil'!AH2698</f>
        <v>0</v>
      </c>
      <c r="AI2697">
        <f>'raw data Crude oil'!AI2698</f>
        <v>0</v>
      </c>
      <c r="AJ2697">
        <f>'raw data Crude oil'!AJ2698</f>
        <v>0</v>
      </c>
      <c r="AK2697">
        <f>'raw data Crude oil'!AK2698</f>
        <v>0</v>
      </c>
    </row>
    <row r="2698" spans="1:37" x14ac:dyDescent="0.3">
      <c r="A2698" s="18">
        <f>'raw data Crude oil'!A2699</f>
        <v>0</v>
      </c>
      <c r="B2698">
        <f>'raw data Crude oil'!B2699</f>
        <v>0</v>
      </c>
      <c r="C2698">
        <f>'raw data Crude oil'!C2699</f>
        <v>0</v>
      </c>
      <c r="D2698">
        <f>'raw data Crude oil'!D2699</f>
        <v>0</v>
      </c>
      <c r="E2698">
        <f>'raw data Crude oil'!E2699</f>
        <v>0</v>
      </c>
      <c r="F2698">
        <f>'raw data Crude oil'!F2699</f>
        <v>0</v>
      </c>
      <c r="G2698">
        <f>'raw data Crude oil'!G2699</f>
        <v>0</v>
      </c>
      <c r="H2698">
        <f>'raw data Crude oil'!H2699</f>
        <v>0</v>
      </c>
      <c r="I2698">
        <f>'raw data Crude oil'!I2699</f>
        <v>0</v>
      </c>
      <c r="J2698">
        <f>'raw data Crude oil'!J2699</f>
        <v>0</v>
      </c>
      <c r="K2698">
        <f>'raw data Crude oil'!K2699</f>
        <v>0</v>
      </c>
      <c r="L2698">
        <f>'raw data Crude oil'!L2699</f>
        <v>0</v>
      </c>
      <c r="M2698">
        <f>'raw data Crude oil'!M2699</f>
        <v>0</v>
      </c>
      <c r="N2698">
        <f>'raw data Crude oil'!N2699</f>
        <v>0</v>
      </c>
      <c r="O2698">
        <f>'raw data Crude oil'!O2699</f>
        <v>0</v>
      </c>
      <c r="P2698">
        <f>'raw data Crude oil'!P2699</f>
        <v>0</v>
      </c>
      <c r="Q2698">
        <f>'raw data Crude oil'!Q2699</f>
        <v>0</v>
      </c>
      <c r="R2698">
        <f>'raw data Crude oil'!R2699</f>
        <v>0</v>
      </c>
      <c r="S2698">
        <f>'raw data Crude oil'!S2699</f>
        <v>0</v>
      </c>
      <c r="T2698">
        <f>'raw data Crude oil'!T2699</f>
        <v>0</v>
      </c>
      <c r="U2698">
        <f>'raw data Crude oil'!U2699</f>
        <v>0</v>
      </c>
      <c r="V2698">
        <f>'raw data Crude oil'!V2699</f>
        <v>0</v>
      </c>
      <c r="W2698">
        <f>'raw data Crude oil'!W2699</f>
        <v>0</v>
      </c>
      <c r="X2698">
        <f>'raw data Crude oil'!X2699</f>
        <v>0</v>
      </c>
      <c r="Y2698">
        <f>'raw data Crude oil'!Y2699</f>
        <v>0</v>
      </c>
      <c r="Z2698">
        <f>'raw data Crude oil'!Z2699</f>
        <v>0</v>
      </c>
      <c r="AA2698">
        <f>'raw data Crude oil'!AA2699</f>
        <v>0</v>
      </c>
      <c r="AB2698">
        <f>'raw data Crude oil'!AB2699</f>
        <v>0</v>
      </c>
      <c r="AC2698">
        <f>'raw data Crude oil'!AC2699</f>
        <v>0</v>
      </c>
      <c r="AD2698">
        <f>'raw data Crude oil'!AD2699</f>
        <v>0</v>
      </c>
      <c r="AE2698">
        <f>'raw data Crude oil'!AE2699</f>
        <v>0</v>
      </c>
      <c r="AF2698">
        <f>'raw data Crude oil'!AF2699</f>
        <v>0</v>
      </c>
      <c r="AG2698">
        <f>'raw data Crude oil'!AG2699</f>
        <v>0</v>
      </c>
      <c r="AH2698">
        <f>'raw data Crude oil'!AH2699</f>
        <v>0</v>
      </c>
      <c r="AI2698">
        <f>'raw data Crude oil'!AI2699</f>
        <v>0</v>
      </c>
      <c r="AJ2698">
        <f>'raw data Crude oil'!AJ2699</f>
        <v>0</v>
      </c>
      <c r="AK2698">
        <f>'raw data Crude oil'!AK2699</f>
        <v>0</v>
      </c>
    </row>
    <row r="2699" spans="1:37" x14ac:dyDescent="0.3">
      <c r="A2699" s="18">
        <f>'raw data Crude oil'!A2700</f>
        <v>0</v>
      </c>
      <c r="B2699">
        <f>'raw data Crude oil'!B2700</f>
        <v>0</v>
      </c>
      <c r="C2699">
        <f>'raw data Crude oil'!C2700</f>
        <v>0</v>
      </c>
      <c r="D2699">
        <f>'raw data Crude oil'!D2700</f>
        <v>0</v>
      </c>
      <c r="E2699">
        <f>'raw data Crude oil'!E2700</f>
        <v>0</v>
      </c>
      <c r="F2699">
        <f>'raw data Crude oil'!F2700</f>
        <v>0</v>
      </c>
      <c r="G2699">
        <f>'raw data Crude oil'!G2700</f>
        <v>0</v>
      </c>
      <c r="H2699">
        <f>'raw data Crude oil'!H2700</f>
        <v>0</v>
      </c>
      <c r="I2699">
        <f>'raw data Crude oil'!I2700</f>
        <v>0</v>
      </c>
      <c r="J2699">
        <f>'raw data Crude oil'!J2700</f>
        <v>0</v>
      </c>
      <c r="K2699">
        <f>'raw data Crude oil'!K2700</f>
        <v>0</v>
      </c>
      <c r="L2699">
        <f>'raw data Crude oil'!L2700</f>
        <v>0</v>
      </c>
      <c r="M2699">
        <f>'raw data Crude oil'!M2700</f>
        <v>0</v>
      </c>
      <c r="N2699">
        <f>'raw data Crude oil'!N2700</f>
        <v>0</v>
      </c>
      <c r="O2699">
        <f>'raw data Crude oil'!O2700</f>
        <v>0</v>
      </c>
      <c r="P2699">
        <f>'raw data Crude oil'!P2700</f>
        <v>0</v>
      </c>
      <c r="Q2699">
        <f>'raw data Crude oil'!Q2700</f>
        <v>0</v>
      </c>
      <c r="R2699">
        <f>'raw data Crude oil'!R2700</f>
        <v>0</v>
      </c>
      <c r="S2699">
        <f>'raw data Crude oil'!S2700</f>
        <v>0</v>
      </c>
      <c r="T2699">
        <f>'raw data Crude oil'!T2700</f>
        <v>0</v>
      </c>
      <c r="U2699">
        <f>'raw data Crude oil'!U2700</f>
        <v>0</v>
      </c>
      <c r="V2699">
        <f>'raw data Crude oil'!V2700</f>
        <v>0</v>
      </c>
      <c r="W2699">
        <f>'raw data Crude oil'!W2700</f>
        <v>0</v>
      </c>
      <c r="X2699">
        <f>'raw data Crude oil'!X2700</f>
        <v>0</v>
      </c>
      <c r="Y2699">
        <f>'raw data Crude oil'!Y2700</f>
        <v>0</v>
      </c>
      <c r="Z2699">
        <f>'raw data Crude oil'!Z2700</f>
        <v>0</v>
      </c>
      <c r="AA2699">
        <f>'raw data Crude oil'!AA2700</f>
        <v>0</v>
      </c>
      <c r="AB2699">
        <f>'raw data Crude oil'!AB2700</f>
        <v>0</v>
      </c>
      <c r="AC2699">
        <f>'raw data Crude oil'!AC2700</f>
        <v>0</v>
      </c>
      <c r="AD2699">
        <f>'raw data Crude oil'!AD2700</f>
        <v>0</v>
      </c>
      <c r="AE2699">
        <f>'raw data Crude oil'!AE2700</f>
        <v>0</v>
      </c>
      <c r="AF2699">
        <f>'raw data Crude oil'!AF2700</f>
        <v>0</v>
      </c>
      <c r="AG2699">
        <f>'raw data Crude oil'!AG2700</f>
        <v>0</v>
      </c>
      <c r="AH2699">
        <f>'raw data Crude oil'!AH2700</f>
        <v>0</v>
      </c>
      <c r="AI2699">
        <f>'raw data Crude oil'!AI2700</f>
        <v>0</v>
      </c>
      <c r="AJ2699">
        <f>'raw data Crude oil'!AJ2700</f>
        <v>0</v>
      </c>
      <c r="AK2699">
        <f>'raw data Crude oil'!AK2700</f>
        <v>0</v>
      </c>
    </row>
    <row r="2700" spans="1:37" x14ac:dyDescent="0.3">
      <c r="A2700" s="18">
        <f>'raw data Crude oil'!A2701</f>
        <v>0</v>
      </c>
      <c r="B2700">
        <f>'raw data Crude oil'!B2701</f>
        <v>0</v>
      </c>
      <c r="C2700">
        <f>'raw data Crude oil'!C2701</f>
        <v>0</v>
      </c>
      <c r="D2700">
        <f>'raw data Crude oil'!D2701</f>
        <v>0</v>
      </c>
      <c r="E2700">
        <f>'raw data Crude oil'!E2701</f>
        <v>0</v>
      </c>
      <c r="F2700">
        <f>'raw data Crude oil'!F2701</f>
        <v>0</v>
      </c>
      <c r="G2700">
        <f>'raw data Crude oil'!G2701</f>
        <v>0</v>
      </c>
      <c r="H2700">
        <f>'raw data Crude oil'!H2701</f>
        <v>0</v>
      </c>
      <c r="I2700">
        <f>'raw data Crude oil'!I2701</f>
        <v>0</v>
      </c>
      <c r="J2700">
        <f>'raw data Crude oil'!J2701</f>
        <v>0</v>
      </c>
      <c r="K2700">
        <f>'raw data Crude oil'!K2701</f>
        <v>0</v>
      </c>
      <c r="L2700">
        <f>'raw data Crude oil'!L2701</f>
        <v>0</v>
      </c>
      <c r="M2700">
        <f>'raw data Crude oil'!M2701</f>
        <v>0</v>
      </c>
      <c r="N2700">
        <f>'raw data Crude oil'!N2701</f>
        <v>0</v>
      </c>
      <c r="O2700">
        <f>'raw data Crude oil'!O2701</f>
        <v>0</v>
      </c>
      <c r="P2700">
        <f>'raw data Crude oil'!P2701</f>
        <v>0</v>
      </c>
      <c r="Q2700">
        <f>'raw data Crude oil'!Q2701</f>
        <v>0</v>
      </c>
      <c r="R2700">
        <f>'raw data Crude oil'!R2701</f>
        <v>0</v>
      </c>
      <c r="S2700">
        <f>'raw data Crude oil'!S2701</f>
        <v>0</v>
      </c>
      <c r="T2700">
        <f>'raw data Crude oil'!T2701</f>
        <v>0</v>
      </c>
      <c r="U2700">
        <f>'raw data Crude oil'!U2701</f>
        <v>0</v>
      </c>
      <c r="V2700">
        <f>'raw data Crude oil'!V2701</f>
        <v>0</v>
      </c>
      <c r="W2700">
        <f>'raw data Crude oil'!W2701</f>
        <v>0</v>
      </c>
      <c r="X2700">
        <f>'raw data Crude oil'!X2701</f>
        <v>0</v>
      </c>
      <c r="Y2700">
        <f>'raw data Crude oil'!Y2701</f>
        <v>0</v>
      </c>
      <c r="Z2700">
        <f>'raw data Crude oil'!Z2701</f>
        <v>0</v>
      </c>
      <c r="AA2700">
        <f>'raw data Crude oil'!AA2701</f>
        <v>0</v>
      </c>
      <c r="AB2700">
        <f>'raw data Crude oil'!AB2701</f>
        <v>0</v>
      </c>
      <c r="AC2700">
        <f>'raw data Crude oil'!AC2701</f>
        <v>0</v>
      </c>
      <c r="AD2700">
        <f>'raw data Crude oil'!AD2701</f>
        <v>0</v>
      </c>
      <c r="AE2700">
        <f>'raw data Crude oil'!AE2701</f>
        <v>0</v>
      </c>
      <c r="AF2700">
        <f>'raw data Crude oil'!AF2701</f>
        <v>0</v>
      </c>
      <c r="AG2700">
        <f>'raw data Crude oil'!AG2701</f>
        <v>0</v>
      </c>
      <c r="AH2700">
        <f>'raw data Crude oil'!AH2701</f>
        <v>0</v>
      </c>
      <c r="AI2700">
        <f>'raw data Crude oil'!AI2701</f>
        <v>0</v>
      </c>
      <c r="AJ2700">
        <f>'raw data Crude oil'!AJ2701</f>
        <v>0</v>
      </c>
      <c r="AK2700">
        <f>'raw data Crude oil'!AK2701</f>
        <v>0</v>
      </c>
    </row>
    <row r="2701" spans="1:37" x14ac:dyDescent="0.3">
      <c r="A2701" s="18">
        <f>'raw data Crude oil'!A2702</f>
        <v>0</v>
      </c>
      <c r="B2701">
        <f>'raw data Crude oil'!B2702</f>
        <v>0</v>
      </c>
      <c r="C2701">
        <f>'raw data Crude oil'!C2702</f>
        <v>0</v>
      </c>
      <c r="D2701">
        <f>'raw data Crude oil'!D2702</f>
        <v>0</v>
      </c>
      <c r="E2701">
        <f>'raw data Crude oil'!E2702</f>
        <v>0</v>
      </c>
      <c r="F2701">
        <f>'raw data Crude oil'!F2702</f>
        <v>0</v>
      </c>
      <c r="G2701">
        <f>'raw data Crude oil'!G2702</f>
        <v>0</v>
      </c>
      <c r="H2701">
        <f>'raw data Crude oil'!H2702</f>
        <v>0</v>
      </c>
      <c r="I2701">
        <f>'raw data Crude oil'!I2702</f>
        <v>0</v>
      </c>
      <c r="J2701">
        <f>'raw data Crude oil'!J2702</f>
        <v>0</v>
      </c>
      <c r="K2701">
        <f>'raw data Crude oil'!K2702</f>
        <v>0</v>
      </c>
      <c r="L2701">
        <f>'raw data Crude oil'!L2702</f>
        <v>0</v>
      </c>
      <c r="M2701">
        <f>'raw data Crude oil'!M2702</f>
        <v>0</v>
      </c>
      <c r="N2701">
        <f>'raw data Crude oil'!N2702</f>
        <v>0</v>
      </c>
      <c r="O2701">
        <f>'raw data Crude oil'!O2702</f>
        <v>0</v>
      </c>
      <c r="P2701">
        <f>'raw data Crude oil'!P2702</f>
        <v>0</v>
      </c>
      <c r="Q2701">
        <f>'raw data Crude oil'!Q2702</f>
        <v>0</v>
      </c>
      <c r="R2701">
        <f>'raw data Crude oil'!R2702</f>
        <v>0</v>
      </c>
      <c r="S2701">
        <f>'raw data Crude oil'!S2702</f>
        <v>0</v>
      </c>
      <c r="T2701">
        <f>'raw data Crude oil'!T2702</f>
        <v>0</v>
      </c>
      <c r="U2701">
        <f>'raw data Crude oil'!U2702</f>
        <v>0</v>
      </c>
      <c r="V2701">
        <f>'raw data Crude oil'!V2702</f>
        <v>0</v>
      </c>
      <c r="W2701">
        <f>'raw data Crude oil'!W2702</f>
        <v>0</v>
      </c>
      <c r="X2701">
        <f>'raw data Crude oil'!X2702</f>
        <v>0</v>
      </c>
      <c r="Y2701">
        <f>'raw data Crude oil'!Y2702</f>
        <v>0</v>
      </c>
      <c r="Z2701">
        <f>'raw data Crude oil'!Z2702</f>
        <v>0</v>
      </c>
      <c r="AA2701">
        <f>'raw data Crude oil'!AA2702</f>
        <v>0</v>
      </c>
      <c r="AB2701">
        <f>'raw data Crude oil'!AB2702</f>
        <v>0</v>
      </c>
      <c r="AC2701">
        <f>'raw data Crude oil'!AC2702</f>
        <v>0</v>
      </c>
      <c r="AD2701">
        <f>'raw data Crude oil'!AD2702</f>
        <v>0</v>
      </c>
      <c r="AE2701">
        <f>'raw data Crude oil'!AE2702</f>
        <v>0</v>
      </c>
      <c r="AF2701">
        <f>'raw data Crude oil'!AF2702</f>
        <v>0</v>
      </c>
      <c r="AG2701">
        <f>'raw data Crude oil'!AG2702</f>
        <v>0</v>
      </c>
      <c r="AH2701">
        <f>'raw data Crude oil'!AH2702</f>
        <v>0</v>
      </c>
      <c r="AI2701">
        <f>'raw data Crude oil'!AI2702</f>
        <v>0</v>
      </c>
      <c r="AJ2701">
        <f>'raw data Crude oil'!AJ2702</f>
        <v>0</v>
      </c>
      <c r="AK2701">
        <f>'raw data Crude oil'!AK2702</f>
        <v>0</v>
      </c>
    </row>
    <row r="2702" spans="1:37" x14ac:dyDescent="0.3">
      <c r="A2702" s="18">
        <f>'raw data Crude oil'!A2703</f>
        <v>0</v>
      </c>
      <c r="B2702">
        <f>'raw data Crude oil'!B2703</f>
        <v>0</v>
      </c>
      <c r="C2702">
        <f>'raw data Crude oil'!C2703</f>
        <v>0</v>
      </c>
      <c r="D2702">
        <f>'raw data Crude oil'!D2703</f>
        <v>0</v>
      </c>
      <c r="E2702">
        <f>'raw data Crude oil'!E2703</f>
        <v>0</v>
      </c>
      <c r="F2702">
        <f>'raw data Crude oil'!F2703</f>
        <v>0</v>
      </c>
      <c r="G2702">
        <f>'raw data Crude oil'!G2703</f>
        <v>0</v>
      </c>
      <c r="H2702">
        <f>'raw data Crude oil'!H2703</f>
        <v>0</v>
      </c>
      <c r="I2702">
        <f>'raw data Crude oil'!I2703</f>
        <v>0</v>
      </c>
      <c r="J2702">
        <f>'raw data Crude oil'!J2703</f>
        <v>0</v>
      </c>
      <c r="K2702">
        <f>'raw data Crude oil'!K2703</f>
        <v>0</v>
      </c>
      <c r="L2702">
        <f>'raw data Crude oil'!L2703</f>
        <v>0</v>
      </c>
      <c r="M2702">
        <f>'raw data Crude oil'!M2703</f>
        <v>0</v>
      </c>
      <c r="N2702">
        <f>'raw data Crude oil'!N2703</f>
        <v>0</v>
      </c>
      <c r="O2702">
        <f>'raw data Crude oil'!O2703</f>
        <v>0</v>
      </c>
      <c r="P2702">
        <f>'raw data Crude oil'!P2703</f>
        <v>0</v>
      </c>
      <c r="Q2702">
        <f>'raw data Crude oil'!Q2703</f>
        <v>0</v>
      </c>
      <c r="R2702">
        <f>'raw data Crude oil'!R2703</f>
        <v>0</v>
      </c>
      <c r="S2702">
        <f>'raw data Crude oil'!S2703</f>
        <v>0</v>
      </c>
      <c r="T2702">
        <f>'raw data Crude oil'!T2703</f>
        <v>0</v>
      </c>
      <c r="U2702">
        <f>'raw data Crude oil'!U2703</f>
        <v>0</v>
      </c>
      <c r="V2702">
        <f>'raw data Crude oil'!V2703</f>
        <v>0</v>
      </c>
      <c r="W2702">
        <f>'raw data Crude oil'!W2703</f>
        <v>0</v>
      </c>
      <c r="X2702">
        <f>'raw data Crude oil'!X2703</f>
        <v>0</v>
      </c>
      <c r="Y2702">
        <f>'raw data Crude oil'!Y2703</f>
        <v>0</v>
      </c>
      <c r="Z2702">
        <f>'raw data Crude oil'!Z2703</f>
        <v>0</v>
      </c>
      <c r="AA2702">
        <f>'raw data Crude oil'!AA2703</f>
        <v>0</v>
      </c>
      <c r="AB2702">
        <f>'raw data Crude oil'!AB2703</f>
        <v>0</v>
      </c>
      <c r="AC2702">
        <f>'raw data Crude oil'!AC2703</f>
        <v>0</v>
      </c>
      <c r="AD2702">
        <f>'raw data Crude oil'!AD2703</f>
        <v>0</v>
      </c>
      <c r="AE2702">
        <f>'raw data Crude oil'!AE2703</f>
        <v>0</v>
      </c>
      <c r="AF2702">
        <f>'raw data Crude oil'!AF2703</f>
        <v>0</v>
      </c>
      <c r="AG2702">
        <f>'raw data Crude oil'!AG2703</f>
        <v>0</v>
      </c>
      <c r="AH2702">
        <f>'raw data Crude oil'!AH2703</f>
        <v>0</v>
      </c>
      <c r="AI2702">
        <f>'raw data Crude oil'!AI2703</f>
        <v>0</v>
      </c>
      <c r="AJ2702">
        <f>'raw data Crude oil'!AJ2703</f>
        <v>0</v>
      </c>
      <c r="AK2702">
        <f>'raw data Crude oil'!AK2703</f>
        <v>0</v>
      </c>
    </row>
    <row r="2703" spans="1:37" x14ac:dyDescent="0.3">
      <c r="A2703" s="18">
        <f>'raw data Crude oil'!A2704</f>
        <v>0</v>
      </c>
      <c r="B2703">
        <f>'raw data Crude oil'!B2704</f>
        <v>0</v>
      </c>
      <c r="C2703">
        <f>'raw data Crude oil'!C2704</f>
        <v>0</v>
      </c>
      <c r="D2703">
        <f>'raw data Crude oil'!D2704</f>
        <v>0</v>
      </c>
      <c r="E2703">
        <f>'raw data Crude oil'!E2704</f>
        <v>0</v>
      </c>
      <c r="F2703">
        <f>'raw data Crude oil'!F2704</f>
        <v>0</v>
      </c>
      <c r="G2703">
        <f>'raw data Crude oil'!G2704</f>
        <v>0</v>
      </c>
      <c r="H2703">
        <f>'raw data Crude oil'!H2704</f>
        <v>0</v>
      </c>
      <c r="I2703">
        <f>'raw data Crude oil'!I2704</f>
        <v>0</v>
      </c>
      <c r="J2703">
        <f>'raw data Crude oil'!J2704</f>
        <v>0</v>
      </c>
      <c r="K2703">
        <f>'raw data Crude oil'!K2704</f>
        <v>0</v>
      </c>
      <c r="L2703">
        <f>'raw data Crude oil'!L2704</f>
        <v>0</v>
      </c>
      <c r="M2703">
        <f>'raw data Crude oil'!M2704</f>
        <v>0</v>
      </c>
      <c r="N2703">
        <f>'raw data Crude oil'!N2704</f>
        <v>0</v>
      </c>
      <c r="O2703">
        <f>'raw data Crude oil'!O2704</f>
        <v>0</v>
      </c>
      <c r="P2703">
        <f>'raw data Crude oil'!P2704</f>
        <v>0</v>
      </c>
      <c r="Q2703">
        <f>'raw data Crude oil'!Q2704</f>
        <v>0</v>
      </c>
      <c r="R2703">
        <f>'raw data Crude oil'!R2704</f>
        <v>0</v>
      </c>
      <c r="S2703">
        <f>'raw data Crude oil'!S2704</f>
        <v>0</v>
      </c>
      <c r="T2703">
        <f>'raw data Crude oil'!T2704</f>
        <v>0</v>
      </c>
      <c r="U2703">
        <f>'raw data Crude oil'!U2704</f>
        <v>0</v>
      </c>
      <c r="V2703">
        <f>'raw data Crude oil'!V2704</f>
        <v>0</v>
      </c>
      <c r="W2703">
        <f>'raw data Crude oil'!W2704</f>
        <v>0</v>
      </c>
      <c r="X2703">
        <f>'raw data Crude oil'!X2704</f>
        <v>0</v>
      </c>
      <c r="Y2703">
        <f>'raw data Crude oil'!Y2704</f>
        <v>0</v>
      </c>
      <c r="Z2703">
        <f>'raw data Crude oil'!Z2704</f>
        <v>0</v>
      </c>
      <c r="AA2703">
        <f>'raw data Crude oil'!AA2704</f>
        <v>0</v>
      </c>
      <c r="AB2703">
        <f>'raw data Crude oil'!AB2704</f>
        <v>0</v>
      </c>
      <c r="AC2703">
        <f>'raw data Crude oil'!AC2704</f>
        <v>0</v>
      </c>
      <c r="AD2703">
        <f>'raw data Crude oil'!AD2704</f>
        <v>0</v>
      </c>
      <c r="AE2703">
        <f>'raw data Crude oil'!AE2704</f>
        <v>0</v>
      </c>
      <c r="AF2703">
        <f>'raw data Crude oil'!AF2704</f>
        <v>0</v>
      </c>
      <c r="AG2703">
        <f>'raw data Crude oil'!AG2704</f>
        <v>0</v>
      </c>
      <c r="AH2703">
        <f>'raw data Crude oil'!AH2704</f>
        <v>0</v>
      </c>
      <c r="AI2703">
        <f>'raw data Crude oil'!AI2704</f>
        <v>0</v>
      </c>
      <c r="AJ2703">
        <f>'raw data Crude oil'!AJ2704</f>
        <v>0</v>
      </c>
      <c r="AK2703">
        <f>'raw data Crude oil'!AK2704</f>
        <v>0</v>
      </c>
    </row>
    <row r="2704" spans="1:37" x14ac:dyDescent="0.3">
      <c r="A2704" s="18">
        <f>'raw data Crude oil'!A2705</f>
        <v>0</v>
      </c>
      <c r="B2704">
        <f>'raw data Crude oil'!B2705</f>
        <v>0</v>
      </c>
      <c r="C2704">
        <f>'raw data Crude oil'!C2705</f>
        <v>0</v>
      </c>
      <c r="D2704">
        <f>'raw data Crude oil'!D2705</f>
        <v>0</v>
      </c>
      <c r="E2704">
        <f>'raw data Crude oil'!E2705</f>
        <v>0</v>
      </c>
      <c r="F2704">
        <f>'raw data Crude oil'!F2705</f>
        <v>0</v>
      </c>
      <c r="G2704">
        <f>'raw data Crude oil'!G2705</f>
        <v>0</v>
      </c>
      <c r="H2704">
        <f>'raw data Crude oil'!H2705</f>
        <v>0</v>
      </c>
      <c r="I2704">
        <f>'raw data Crude oil'!I2705</f>
        <v>0</v>
      </c>
      <c r="J2704">
        <f>'raw data Crude oil'!J2705</f>
        <v>0</v>
      </c>
      <c r="K2704">
        <f>'raw data Crude oil'!K2705</f>
        <v>0</v>
      </c>
      <c r="L2704">
        <f>'raw data Crude oil'!L2705</f>
        <v>0</v>
      </c>
      <c r="M2704">
        <f>'raw data Crude oil'!M2705</f>
        <v>0</v>
      </c>
      <c r="N2704">
        <f>'raw data Crude oil'!N2705</f>
        <v>0</v>
      </c>
      <c r="O2704">
        <f>'raw data Crude oil'!O2705</f>
        <v>0</v>
      </c>
      <c r="P2704">
        <f>'raw data Crude oil'!P2705</f>
        <v>0</v>
      </c>
      <c r="Q2704">
        <f>'raw data Crude oil'!Q2705</f>
        <v>0</v>
      </c>
      <c r="R2704">
        <f>'raw data Crude oil'!R2705</f>
        <v>0</v>
      </c>
      <c r="S2704">
        <f>'raw data Crude oil'!S2705</f>
        <v>0</v>
      </c>
      <c r="T2704">
        <f>'raw data Crude oil'!T2705</f>
        <v>0</v>
      </c>
      <c r="U2704">
        <f>'raw data Crude oil'!U2705</f>
        <v>0</v>
      </c>
      <c r="V2704">
        <f>'raw data Crude oil'!V2705</f>
        <v>0</v>
      </c>
      <c r="W2704">
        <f>'raw data Crude oil'!W2705</f>
        <v>0</v>
      </c>
      <c r="X2704">
        <f>'raw data Crude oil'!X2705</f>
        <v>0</v>
      </c>
      <c r="Y2704">
        <f>'raw data Crude oil'!Y2705</f>
        <v>0</v>
      </c>
      <c r="Z2704">
        <f>'raw data Crude oil'!Z2705</f>
        <v>0</v>
      </c>
      <c r="AA2704">
        <f>'raw data Crude oil'!AA2705</f>
        <v>0</v>
      </c>
      <c r="AB2704">
        <f>'raw data Crude oil'!AB2705</f>
        <v>0</v>
      </c>
      <c r="AC2704">
        <f>'raw data Crude oil'!AC2705</f>
        <v>0</v>
      </c>
      <c r="AD2704">
        <f>'raw data Crude oil'!AD2705</f>
        <v>0</v>
      </c>
      <c r="AE2704">
        <f>'raw data Crude oil'!AE2705</f>
        <v>0</v>
      </c>
      <c r="AF2704">
        <f>'raw data Crude oil'!AF2705</f>
        <v>0</v>
      </c>
      <c r="AG2704">
        <f>'raw data Crude oil'!AG2705</f>
        <v>0</v>
      </c>
      <c r="AH2704">
        <f>'raw data Crude oil'!AH2705</f>
        <v>0</v>
      </c>
      <c r="AI2704">
        <f>'raw data Crude oil'!AI2705</f>
        <v>0</v>
      </c>
      <c r="AJ2704">
        <f>'raw data Crude oil'!AJ2705</f>
        <v>0</v>
      </c>
      <c r="AK2704">
        <f>'raw data Crude oil'!AK2705</f>
        <v>0</v>
      </c>
    </row>
    <row r="2705" spans="1:37" x14ac:dyDescent="0.3">
      <c r="A2705" s="18">
        <f>'raw data Crude oil'!A2706</f>
        <v>0</v>
      </c>
      <c r="B2705">
        <f>'raw data Crude oil'!B2706</f>
        <v>0</v>
      </c>
      <c r="C2705">
        <f>'raw data Crude oil'!C2706</f>
        <v>0</v>
      </c>
      <c r="D2705">
        <f>'raw data Crude oil'!D2706</f>
        <v>0</v>
      </c>
      <c r="E2705">
        <f>'raw data Crude oil'!E2706</f>
        <v>0</v>
      </c>
      <c r="F2705">
        <f>'raw data Crude oil'!F2706</f>
        <v>0</v>
      </c>
      <c r="G2705">
        <f>'raw data Crude oil'!G2706</f>
        <v>0</v>
      </c>
      <c r="H2705">
        <f>'raw data Crude oil'!H2706</f>
        <v>0</v>
      </c>
      <c r="I2705">
        <f>'raw data Crude oil'!I2706</f>
        <v>0</v>
      </c>
      <c r="J2705">
        <f>'raw data Crude oil'!J2706</f>
        <v>0</v>
      </c>
      <c r="K2705">
        <f>'raw data Crude oil'!K2706</f>
        <v>0</v>
      </c>
      <c r="L2705">
        <f>'raw data Crude oil'!L2706</f>
        <v>0</v>
      </c>
      <c r="M2705">
        <f>'raw data Crude oil'!M2706</f>
        <v>0</v>
      </c>
      <c r="N2705">
        <f>'raw data Crude oil'!N2706</f>
        <v>0</v>
      </c>
      <c r="O2705">
        <f>'raw data Crude oil'!O2706</f>
        <v>0</v>
      </c>
      <c r="P2705">
        <f>'raw data Crude oil'!P2706</f>
        <v>0</v>
      </c>
      <c r="Q2705">
        <f>'raw data Crude oil'!Q2706</f>
        <v>0</v>
      </c>
      <c r="R2705">
        <f>'raw data Crude oil'!R2706</f>
        <v>0</v>
      </c>
      <c r="S2705">
        <f>'raw data Crude oil'!S2706</f>
        <v>0</v>
      </c>
      <c r="T2705">
        <f>'raw data Crude oil'!T2706</f>
        <v>0</v>
      </c>
      <c r="U2705">
        <f>'raw data Crude oil'!U2706</f>
        <v>0</v>
      </c>
      <c r="V2705">
        <f>'raw data Crude oil'!V2706</f>
        <v>0</v>
      </c>
      <c r="W2705">
        <f>'raw data Crude oil'!W2706</f>
        <v>0</v>
      </c>
      <c r="X2705">
        <f>'raw data Crude oil'!X2706</f>
        <v>0</v>
      </c>
      <c r="Y2705">
        <f>'raw data Crude oil'!Y2706</f>
        <v>0</v>
      </c>
      <c r="Z2705">
        <f>'raw data Crude oil'!Z2706</f>
        <v>0</v>
      </c>
      <c r="AA2705">
        <f>'raw data Crude oil'!AA2706</f>
        <v>0</v>
      </c>
      <c r="AB2705">
        <f>'raw data Crude oil'!AB2706</f>
        <v>0</v>
      </c>
      <c r="AC2705">
        <f>'raw data Crude oil'!AC2706</f>
        <v>0</v>
      </c>
      <c r="AD2705">
        <f>'raw data Crude oil'!AD2706</f>
        <v>0</v>
      </c>
      <c r="AE2705">
        <f>'raw data Crude oil'!AE2706</f>
        <v>0</v>
      </c>
      <c r="AF2705">
        <f>'raw data Crude oil'!AF2706</f>
        <v>0</v>
      </c>
      <c r="AG2705">
        <f>'raw data Crude oil'!AG2706</f>
        <v>0</v>
      </c>
      <c r="AH2705">
        <f>'raw data Crude oil'!AH2706</f>
        <v>0</v>
      </c>
      <c r="AI2705">
        <f>'raw data Crude oil'!AI2706</f>
        <v>0</v>
      </c>
      <c r="AJ2705">
        <f>'raw data Crude oil'!AJ2706</f>
        <v>0</v>
      </c>
      <c r="AK2705">
        <f>'raw data Crude oil'!AK2706</f>
        <v>0</v>
      </c>
    </row>
    <row r="2706" spans="1:37" x14ac:dyDescent="0.3">
      <c r="A2706" s="18">
        <f>'raw data Crude oil'!A2707</f>
        <v>0</v>
      </c>
      <c r="B2706">
        <f>'raw data Crude oil'!B2707</f>
        <v>0</v>
      </c>
      <c r="C2706">
        <f>'raw data Crude oil'!C2707</f>
        <v>0</v>
      </c>
      <c r="D2706">
        <f>'raw data Crude oil'!D2707</f>
        <v>0</v>
      </c>
      <c r="E2706">
        <f>'raw data Crude oil'!E2707</f>
        <v>0</v>
      </c>
      <c r="F2706">
        <f>'raw data Crude oil'!F2707</f>
        <v>0</v>
      </c>
      <c r="G2706">
        <f>'raw data Crude oil'!G2707</f>
        <v>0</v>
      </c>
      <c r="H2706">
        <f>'raw data Crude oil'!H2707</f>
        <v>0</v>
      </c>
      <c r="I2706">
        <f>'raw data Crude oil'!I2707</f>
        <v>0</v>
      </c>
      <c r="J2706">
        <f>'raw data Crude oil'!J2707</f>
        <v>0</v>
      </c>
      <c r="K2706">
        <f>'raw data Crude oil'!K2707</f>
        <v>0</v>
      </c>
      <c r="L2706">
        <f>'raw data Crude oil'!L2707</f>
        <v>0</v>
      </c>
      <c r="M2706">
        <f>'raw data Crude oil'!M2707</f>
        <v>0</v>
      </c>
      <c r="N2706">
        <f>'raw data Crude oil'!N2707</f>
        <v>0</v>
      </c>
      <c r="O2706">
        <f>'raw data Crude oil'!O2707</f>
        <v>0</v>
      </c>
      <c r="P2706">
        <f>'raw data Crude oil'!P2707</f>
        <v>0</v>
      </c>
      <c r="Q2706">
        <f>'raw data Crude oil'!Q2707</f>
        <v>0</v>
      </c>
      <c r="R2706">
        <f>'raw data Crude oil'!R2707</f>
        <v>0</v>
      </c>
      <c r="S2706">
        <f>'raw data Crude oil'!S2707</f>
        <v>0</v>
      </c>
      <c r="T2706">
        <f>'raw data Crude oil'!T2707</f>
        <v>0</v>
      </c>
      <c r="U2706">
        <f>'raw data Crude oil'!U2707</f>
        <v>0</v>
      </c>
      <c r="V2706">
        <f>'raw data Crude oil'!V2707</f>
        <v>0</v>
      </c>
      <c r="W2706">
        <f>'raw data Crude oil'!W2707</f>
        <v>0</v>
      </c>
      <c r="X2706">
        <f>'raw data Crude oil'!X2707</f>
        <v>0</v>
      </c>
      <c r="Y2706">
        <f>'raw data Crude oil'!Y2707</f>
        <v>0</v>
      </c>
      <c r="Z2706">
        <f>'raw data Crude oil'!Z2707</f>
        <v>0</v>
      </c>
      <c r="AA2706">
        <f>'raw data Crude oil'!AA2707</f>
        <v>0</v>
      </c>
      <c r="AB2706">
        <f>'raw data Crude oil'!AB2707</f>
        <v>0</v>
      </c>
      <c r="AC2706">
        <f>'raw data Crude oil'!AC2707</f>
        <v>0</v>
      </c>
      <c r="AD2706">
        <f>'raw data Crude oil'!AD2707</f>
        <v>0</v>
      </c>
      <c r="AE2706">
        <f>'raw data Crude oil'!AE2707</f>
        <v>0</v>
      </c>
      <c r="AF2706">
        <f>'raw data Crude oil'!AF2707</f>
        <v>0</v>
      </c>
      <c r="AG2706">
        <f>'raw data Crude oil'!AG2707</f>
        <v>0</v>
      </c>
      <c r="AH2706">
        <f>'raw data Crude oil'!AH2707</f>
        <v>0</v>
      </c>
      <c r="AI2706">
        <f>'raw data Crude oil'!AI2707</f>
        <v>0</v>
      </c>
      <c r="AJ2706">
        <f>'raw data Crude oil'!AJ2707</f>
        <v>0</v>
      </c>
      <c r="AK2706">
        <f>'raw data Crude oil'!AK2707</f>
        <v>0</v>
      </c>
    </row>
    <row r="2707" spans="1:37" x14ac:dyDescent="0.3">
      <c r="A2707" s="18">
        <f>'raw data Crude oil'!A2708</f>
        <v>0</v>
      </c>
      <c r="B2707">
        <f>'raw data Crude oil'!B2708</f>
        <v>0</v>
      </c>
      <c r="C2707">
        <f>'raw data Crude oil'!C2708</f>
        <v>0</v>
      </c>
      <c r="D2707">
        <f>'raw data Crude oil'!D2708</f>
        <v>0</v>
      </c>
      <c r="E2707">
        <f>'raw data Crude oil'!E2708</f>
        <v>0</v>
      </c>
      <c r="F2707">
        <f>'raw data Crude oil'!F2708</f>
        <v>0</v>
      </c>
      <c r="G2707">
        <f>'raw data Crude oil'!G2708</f>
        <v>0</v>
      </c>
      <c r="H2707">
        <f>'raw data Crude oil'!H2708</f>
        <v>0</v>
      </c>
      <c r="I2707">
        <f>'raw data Crude oil'!I2708</f>
        <v>0</v>
      </c>
      <c r="J2707">
        <f>'raw data Crude oil'!J2708</f>
        <v>0</v>
      </c>
      <c r="K2707">
        <f>'raw data Crude oil'!K2708</f>
        <v>0</v>
      </c>
      <c r="L2707">
        <f>'raw data Crude oil'!L2708</f>
        <v>0</v>
      </c>
      <c r="M2707">
        <f>'raw data Crude oil'!M2708</f>
        <v>0</v>
      </c>
      <c r="N2707">
        <f>'raw data Crude oil'!N2708</f>
        <v>0</v>
      </c>
      <c r="O2707">
        <f>'raw data Crude oil'!O2708</f>
        <v>0</v>
      </c>
      <c r="P2707">
        <f>'raw data Crude oil'!P2708</f>
        <v>0</v>
      </c>
      <c r="Q2707">
        <f>'raw data Crude oil'!Q2708</f>
        <v>0</v>
      </c>
      <c r="R2707">
        <f>'raw data Crude oil'!R2708</f>
        <v>0</v>
      </c>
      <c r="S2707">
        <f>'raw data Crude oil'!S2708</f>
        <v>0</v>
      </c>
      <c r="T2707">
        <f>'raw data Crude oil'!T2708</f>
        <v>0</v>
      </c>
      <c r="U2707">
        <f>'raw data Crude oil'!U2708</f>
        <v>0</v>
      </c>
      <c r="V2707">
        <f>'raw data Crude oil'!V2708</f>
        <v>0</v>
      </c>
      <c r="W2707">
        <f>'raw data Crude oil'!W2708</f>
        <v>0</v>
      </c>
      <c r="X2707">
        <f>'raw data Crude oil'!X2708</f>
        <v>0</v>
      </c>
      <c r="Y2707">
        <f>'raw data Crude oil'!Y2708</f>
        <v>0</v>
      </c>
      <c r="Z2707">
        <f>'raw data Crude oil'!Z2708</f>
        <v>0</v>
      </c>
      <c r="AA2707">
        <f>'raw data Crude oil'!AA2708</f>
        <v>0</v>
      </c>
      <c r="AB2707">
        <f>'raw data Crude oil'!AB2708</f>
        <v>0</v>
      </c>
      <c r="AC2707">
        <f>'raw data Crude oil'!AC2708</f>
        <v>0</v>
      </c>
      <c r="AD2707">
        <f>'raw data Crude oil'!AD2708</f>
        <v>0</v>
      </c>
      <c r="AE2707">
        <f>'raw data Crude oil'!AE2708</f>
        <v>0</v>
      </c>
      <c r="AF2707">
        <f>'raw data Crude oil'!AF2708</f>
        <v>0</v>
      </c>
      <c r="AG2707">
        <f>'raw data Crude oil'!AG2708</f>
        <v>0</v>
      </c>
      <c r="AH2707">
        <f>'raw data Crude oil'!AH2708</f>
        <v>0</v>
      </c>
      <c r="AI2707">
        <f>'raw data Crude oil'!AI2708</f>
        <v>0</v>
      </c>
      <c r="AJ2707">
        <f>'raw data Crude oil'!AJ2708</f>
        <v>0</v>
      </c>
      <c r="AK2707">
        <f>'raw data Crude oil'!AK2708</f>
        <v>0</v>
      </c>
    </row>
    <row r="2708" spans="1:37" x14ac:dyDescent="0.3">
      <c r="A2708" s="18">
        <f>'raw data Crude oil'!A2709</f>
        <v>0</v>
      </c>
      <c r="B2708">
        <f>'raw data Crude oil'!B2709</f>
        <v>0</v>
      </c>
      <c r="C2708">
        <f>'raw data Crude oil'!C2709</f>
        <v>0</v>
      </c>
      <c r="D2708">
        <f>'raw data Crude oil'!D2709</f>
        <v>0</v>
      </c>
      <c r="E2708">
        <f>'raw data Crude oil'!E2709</f>
        <v>0</v>
      </c>
      <c r="F2708">
        <f>'raw data Crude oil'!F2709</f>
        <v>0</v>
      </c>
      <c r="G2708">
        <f>'raw data Crude oil'!G2709</f>
        <v>0</v>
      </c>
      <c r="H2708">
        <f>'raw data Crude oil'!H2709</f>
        <v>0</v>
      </c>
      <c r="I2708">
        <f>'raw data Crude oil'!I2709</f>
        <v>0</v>
      </c>
      <c r="J2708">
        <f>'raw data Crude oil'!J2709</f>
        <v>0</v>
      </c>
      <c r="K2708">
        <f>'raw data Crude oil'!K2709</f>
        <v>0</v>
      </c>
      <c r="L2708">
        <f>'raw data Crude oil'!L2709</f>
        <v>0</v>
      </c>
      <c r="M2708">
        <f>'raw data Crude oil'!M2709</f>
        <v>0</v>
      </c>
      <c r="N2708">
        <f>'raw data Crude oil'!N2709</f>
        <v>0</v>
      </c>
      <c r="O2708">
        <f>'raw data Crude oil'!O2709</f>
        <v>0</v>
      </c>
      <c r="P2708">
        <f>'raw data Crude oil'!P2709</f>
        <v>0</v>
      </c>
      <c r="Q2708">
        <f>'raw data Crude oil'!Q2709</f>
        <v>0</v>
      </c>
      <c r="R2708">
        <f>'raw data Crude oil'!R2709</f>
        <v>0</v>
      </c>
      <c r="S2708">
        <f>'raw data Crude oil'!S2709</f>
        <v>0</v>
      </c>
      <c r="T2708">
        <f>'raw data Crude oil'!T2709</f>
        <v>0</v>
      </c>
      <c r="U2708">
        <f>'raw data Crude oil'!U2709</f>
        <v>0</v>
      </c>
      <c r="V2708">
        <f>'raw data Crude oil'!V2709</f>
        <v>0</v>
      </c>
      <c r="W2708">
        <f>'raw data Crude oil'!W2709</f>
        <v>0</v>
      </c>
      <c r="X2708">
        <f>'raw data Crude oil'!X2709</f>
        <v>0</v>
      </c>
      <c r="Y2708">
        <f>'raw data Crude oil'!Y2709</f>
        <v>0</v>
      </c>
      <c r="Z2708">
        <f>'raw data Crude oil'!Z2709</f>
        <v>0</v>
      </c>
      <c r="AA2708">
        <f>'raw data Crude oil'!AA2709</f>
        <v>0</v>
      </c>
      <c r="AB2708">
        <f>'raw data Crude oil'!AB2709</f>
        <v>0</v>
      </c>
      <c r="AC2708">
        <f>'raw data Crude oil'!AC2709</f>
        <v>0</v>
      </c>
      <c r="AD2708">
        <f>'raw data Crude oil'!AD2709</f>
        <v>0</v>
      </c>
      <c r="AE2708">
        <f>'raw data Crude oil'!AE2709</f>
        <v>0</v>
      </c>
      <c r="AF2708">
        <f>'raw data Crude oil'!AF2709</f>
        <v>0</v>
      </c>
      <c r="AG2708">
        <f>'raw data Crude oil'!AG2709</f>
        <v>0</v>
      </c>
      <c r="AH2708">
        <f>'raw data Crude oil'!AH2709</f>
        <v>0</v>
      </c>
      <c r="AI2708">
        <f>'raw data Crude oil'!AI2709</f>
        <v>0</v>
      </c>
      <c r="AJ2708">
        <f>'raw data Crude oil'!AJ2709</f>
        <v>0</v>
      </c>
      <c r="AK2708">
        <f>'raw data Crude oil'!AK2709</f>
        <v>0</v>
      </c>
    </row>
    <row r="2709" spans="1:37" x14ac:dyDescent="0.3">
      <c r="A2709" s="18">
        <f>'raw data Crude oil'!A2710</f>
        <v>0</v>
      </c>
      <c r="B2709">
        <f>'raw data Crude oil'!B2710</f>
        <v>0</v>
      </c>
      <c r="C2709">
        <f>'raw data Crude oil'!C2710</f>
        <v>0</v>
      </c>
      <c r="D2709">
        <f>'raw data Crude oil'!D2710</f>
        <v>0</v>
      </c>
      <c r="E2709">
        <f>'raw data Crude oil'!E2710</f>
        <v>0</v>
      </c>
      <c r="F2709">
        <f>'raw data Crude oil'!F2710</f>
        <v>0</v>
      </c>
      <c r="G2709">
        <f>'raw data Crude oil'!G2710</f>
        <v>0</v>
      </c>
      <c r="H2709">
        <f>'raw data Crude oil'!H2710</f>
        <v>0</v>
      </c>
      <c r="I2709">
        <f>'raw data Crude oil'!I2710</f>
        <v>0</v>
      </c>
      <c r="J2709">
        <f>'raw data Crude oil'!J2710</f>
        <v>0</v>
      </c>
      <c r="K2709">
        <f>'raw data Crude oil'!K2710</f>
        <v>0</v>
      </c>
      <c r="L2709">
        <f>'raw data Crude oil'!L2710</f>
        <v>0</v>
      </c>
      <c r="M2709">
        <f>'raw data Crude oil'!M2710</f>
        <v>0</v>
      </c>
      <c r="N2709">
        <f>'raw data Crude oil'!N2710</f>
        <v>0</v>
      </c>
      <c r="O2709">
        <f>'raw data Crude oil'!O2710</f>
        <v>0</v>
      </c>
      <c r="P2709">
        <f>'raw data Crude oil'!P2710</f>
        <v>0</v>
      </c>
      <c r="Q2709">
        <f>'raw data Crude oil'!Q2710</f>
        <v>0</v>
      </c>
      <c r="R2709">
        <f>'raw data Crude oil'!R2710</f>
        <v>0</v>
      </c>
      <c r="S2709">
        <f>'raw data Crude oil'!S2710</f>
        <v>0</v>
      </c>
      <c r="T2709">
        <f>'raw data Crude oil'!T2710</f>
        <v>0</v>
      </c>
      <c r="U2709">
        <f>'raw data Crude oil'!U2710</f>
        <v>0</v>
      </c>
      <c r="V2709">
        <f>'raw data Crude oil'!V2710</f>
        <v>0</v>
      </c>
      <c r="W2709">
        <f>'raw data Crude oil'!W2710</f>
        <v>0</v>
      </c>
      <c r="X2709">
        <f>'raw data Crude oil'!X2710</f>
        <v>0</v>
      </c>
      <c r="Y2709">
        <f>'raw data Crude oil'!Y2710</f>
        <v>0</v>
      </c>
      <c r="Z2709">
        <f>'raw data Crude oil'!Z2710</f>
        <v>0</v>
      </c>
      <c r="AA2709">
        <f>'raw data Crude oil'!AA2710</f>
        <v>0</v>
      </c>
      <c r="AB2709">
        <f>'raw data Crude oil'!AB2710</f>
        <v>0</v>
      </c>
      <c r="AC2709">
        <f>'raw data Crude oil'!AC2710</f>
        <v>0</v>
      </c>
      <c r="AD2709">
        <f>'raw data Crude oil'!AD2710</f>
        <v>0</v>
      </c>
      <c r="AE2709">
        <f>'raw data Crude oil'!AE2710</f>
        <v>0</v>
      </c>
      <c r="AF2709">
        <f>'raw data Crude oil'!AF2710</f>
        <v>0</v>
      </c>
      <c r="AG2709">
        <f>'raw data Crude oil'!AG2710</f>
        <v>0</v>
      </c>
      <c r="AH2709">
        <f>'raw data Crude oil'!AH2710</f>
        <v>0</v>
      </c>
      <c r="AI2709">
        <f>'raw data Crude oil'!AI2710</f>
        <v>0</v>
      </c>
      <c r="AJ2709">
        <f>'raw data Crude oil'!AJ2710</f>
        <v>0</v>
      </c>
      <c r="AK2709">
        <f>'raw data Crude oil'!AK2710</f>
        <v>0</v>
      </c>
    </row>
    <row r="2710" spans="1:37" x14ac:dyDescent="0.3">
      <c r="A2710" s="18">
        <f>'raw data Crude oil'!A2711</f>
        <v>0</v>
      </c>
      <c r="B2710">
        <f>'raw data Crude oil'!B2711</f>
        <v>0</v>
      </c>
      <c r="C2710">
        <f>'raw data Crude oil'!C2711</f>
        <v>0</v>
      </c>
      <c r="D2710">
        <f>'raw data Crude oil'!D2711</f>
        <v>0</v>
      </c>
      <c r="E2710">
        <f>'raw data Crude oil'!E2711</f>
        <v>0</v>
      </c>
      <c r="F2710">
        <f>'raw data Crude oil'!F2711</f>
        <v>0</v>
      </c>
      <c r="G2710">
        <f>'raw data Crude oil'!G2711</f>
        <v>0</v>
      </c>
      <c r="H2710">
        <f>'raw data Crude oil'!H2711</f>
        <v>0</v>
      </c>
      <c r="I2710">
        <f>'raw data Crude oil'!I2711</f>
        <v>0</v>
      </c>
      <c r="J2710">
        <f>'raw data Crude oil'!J2711</f>
        <v>0</v>
      </c>
      <c r="K2710">
        <f>'raw data Crude oil'!K2711</f>
        <v>0</v>
      </c>
      <c r="L2710">
        <f>'raw data Crude oil'!L2711</f>
        <v>0</v>
      </c>
      <c r="M2710">
        <f>'raw data Crude oil'!M2711</f>
        <v>0</v>
      </c>
      <c r="N2710">
        <f>'raw data Crude oil'!N2711</f>
        <v>0</v>
      </c>
      <c r="O2710">
        <f>'raw data Crude oil'!O2711</f>
        <v>0</v>
      </c>
      <c r="P2710">
        <f>'raw data Crude oil'!P2711</f>
        <v>0</v>
      </c>
      <c r="Q2710">
        <f>'raw data Crude oil'!Q2711</f>
        <v>0</v>
      </c>
      <c r="R2710">
        <f>'raw data Crude oil'!R2711</f>
        <v>0</v>
      </c>
      <c r="S2710">
        <f>'raw data Crude oil'!S2711</f>
        <v>0</v>
      </c>
      <c r="T2710">
        <f>'raw data Crude oil'!T2711</f>
        <v>0</v>
      </c>
      <c r="U2710">
        <f>'raw data Crude oil'!U2711</f>
        <v>0</v>
      </c>
      <c r="V2710">
        <f>'raw data Crude oil'!V2711</f>
        <v>0</v>
      </c>
      <c r="W2710">
        <f>'raw data Crude oil'!W2711</f>
        <v>0</v>
      </c>
      <c r="X2710">
        <f>'raw data Crude oil'!X2711</f>
        <v>0</v>
      </c>
      <c r="Y2710">
        <f>'raw data Crude oil'!Y2711</f>
        <v>0</v>
      </c>
      <c r="Z2710">
        <f>'raw data Crude oil'!Z2711</f>
        <v>0</v>
      </c>
      <c r="AA2710">
        <f>'raw data Crude oil'!AA2711</f>
        <v>0</v>
      </c>
      <c r="AB2710">
        <f>'raw data Crude oil'!AB2711</f>
        <v>0</v>
      </c>
      <c r="AC2710">
        <f>'raw data Crude oil'!AC2711</f>
        <v>0</v>
      </c>
      <c r="AD2710">
        <f>'raw data Crude oil'!AD2711</f>
        <v>0</v>
      </c>
      <c r="AE2710">
        <f>'raw data Crude oil'!AE2711</f>
        <v>0</v>
      </c>
      <c r="AF2710">
        <f>'raw data Crude oil'!AF2711</f>
        <v>0</v>
      </c>
      <c r="AG2710">
        <f>'raw data Crude oil'!AG2711</f>
        <v>0</v>
      </c>
      <c r="AH2710">
        <f>'raw data Crude oil'!AH2711</f>
        <v>0</v>
      </c>
      <c r="AI2710">
        <f>'raw data Crude oil'!AI2711</f>
        <v>0</v>
      </c>
      <c r="AJ2710">
        <f>'raw data Crude oil'!AJ2711</f>
        <v>0</v>
      </c>
      <c r="AK2710">
        <f>'raw data Crude oil'!AK2711</f>
        <v>0</v>
      </c>
    </row>
    <row r="2711" spans="1:37" x14ac:dyDescent="0.3">
      <c r="A2711" s="18">
        <f>'raw data Crude oil'!A2712</f>
        <v>0</v>
      </c>
      <c r="B2711">
        <f>'raw data Crude oil'!B2712</f>
        <v>0</v>
      </c>
      <c r="C2711">
        <f>'raw data Crude oil'!C2712</f>
        <v>0</v>
      </c>
      <c r="D2711">
        <f>'raw data Crude oil'!D2712</f>
        <v>0</v>
      </c>
      <c r="E2711">
        <f>'raw data Crude oil'!E2712</f>
        <v>0</v>
      </c>
      <c r="F2711">
        <f>'raw data Crude oil'!F2712</f>
        <v>0</v>
      </c>
      <c r="G2711">
        <f>'raw data Crude oil'!G2712</f>
        <v>0</v>
      </c>
      <c r="H2711">
        <f>'raw data Crude oil'!H2712</f>
        <v>0</v>
      </c>
      <c r="I2711">
        <f>'raw data Crude oil'!I2712</f>
        <v>0</v>
      </c>
      <c r="J2711">
        <f>'raw data Crude oil'!J2712</f>
        <v>0</v>
      </c>
      <c r="K2711">
        <f>'raw data Crude oil'!K2712</f>
        <v>0</v>
      </c>
      <c r="L2711">
        <f>'raw data Crude oil'!L2712</f>
        <v>0</v>
      </c>
      <c r="M2711">
        <f>'raw data Crude oil'!M2712</f>
        <v>0</v>
      </c>
      <c r="N2711">
        <f>'raw data Crude oil'!N2712</f>
        <v>0</v>
      </c>
      <c r="O2711">
        <f>'raw data Crude oil'!O2712</f>
        <v>0</v>
      </c>
      <c r="P2711">
        <f>'raw data Crude oil'!P2712</f>
        <v>0</v>
      </c>
      <c r="Q2711">
        <f>'raw data Crude oil'!Q2712</f>
        <v>0</v>
      </c>
      <c r="R2711">
        <f>'raw data Crude oil'!R2712</f>
        <v>0</v>
      </c>
      <c r="S2711">
        <f>'raw data Crude oil'!S2712</f>
        <v>0</v>
      </c>
      <c r="T2711">
        <f>'raw data Crude oil'!T2712</f>
        <v>0</v>
      </c>
      <c r="U2711">
        <f>'raw data Crude oil'!U2712</f>
        <v>0</v>
      </c>
      <c r="V2711">
        <f>'raw data Crude oil'!V2712</f>
        <v>0</v>
      </c>
      <c r="W2711">
        <f>'raw data Crude oil'!W2712</f>
        <v>0</v>
      </c>
      <c r="X2711">
        <f>'raw data Crude oil'!X2712</f>
        <v>0</v>
      </c>
      <c r="Y2711">
        <f>'raw data Crude oil'!Y2712</f>
        <v>0</v>
      </c>
      <c r="Z2711">
        <f>'raw data Crude oil'!Z2712</f>
        <v>0</v>
      </c>
      <c r="AA2711">
        <f>'raw data Crude oil'!AA2712</f>
        <v>0</v>
      </c>
      <c r="AB2711">
        <f>'raw data Crude oil'!AB2712</f>
        <v>0</v>
      </c>
      <c r="AC2711">
        <f>'raw data Crude oil'!AC2712</f>
        <v>0</v>
      </c>
      <c r="AD2711">
        <f>'raw data Crude oil'!AD2712</f>
        <v>0</v>
      </c>
      <c r="AE2711">
        <f>'raw data Crude oil'!AE2712</f>
        <v>0</v>
      </c>
      <c r="AF2711">
        <f>'raw data Crude oil'!AF2712</f>
        <v>0</v>
      </c>
      <c r="AG2711">
        <f>'raw data Crude oil'!AG2712</f>
        <v>0</v>
      </c>
      <c r="AH2711">
        <f>'raw data Crude oil'!AH2712</f>
        <v>0</v>
      </c>
      <c r="AI2711">
        <f>'raw data Crude oil'!AI2712</f>
        <v>0</v>
      </c>
      <c r="AJ2711">
        <f>'raw data Crude oil'!AJ2712</f>
        <v>0</v>
      </c>
      <c r="AK2711">
        <f>'raw data Crude oil'!AK2712</f>
        <v>0</v>
      </c>
    </row>
    <row r="2712" spans="1:37" x14ac:dyDescent="0.3">
      <c r="A2712" s="18">
        <f>'raw data Crude oil'!A2713</f>
        <v>0</v>
      </c>
      <c r="B2712">
        <f>'raw data Crude oil'!B2713</f>
        <v>0</v>
      </c>
      <c r="C2712">
        <f>'raw data Crude oil'!C2713</f>
        <v>0</v>
      </c>
      <c r="D2712">
        <f>'raw data Crude oil'!D2713</f>
        <v>0</v>
      </c>
      <c r="E2712">
        <f>'raw data Crude oil'!E2713</f>
        <v>0</v>
      </c>
      <c r="F2712">
        <f>'raw data Crude oil'!F2713</f>
        <v>0</v>
      </c>
      <c r="G2712">
        <f>'raw data Crude oil'!G2713</f>
        <v>0</v>
      </c>
      <c r="H2712">
        <f>'raw data Crude oil'!H2713</f>
        <v>0</v>
      </c>
      <c r="I2712">
        <f>'raw data Crude oil'!I2713</f>
        <v>0</v>
      </c>
      <c r="J2712">
        <f>'raw data Crude oil'!J2713</f>
        <v>0</v>
      </c>
      <c r="K2712">
        <f>'raw data Crude oil'!K2713</f>
        <v>0</v>
      </c>
      <c r="L2712">
        <f>'raw data Crude oil'!L2713</f>
        <v>0</v>
      </c>
      <c r="M2712">
        <f>'raw data Crude oil'!M2713</f>
        <v>0</v>
      </c>
      <c r="N2712">
        <f>'raw data Crude oil'!N2713</f>
        <v>0</v>
      </c>
      <c r="O2712">
        <f>'raw data Crude oil'!O2713</f>
        <v>0</v>
      </c>
      <c r="P2712">
        <f>'raw data Crude oil'!P2713</f>
        <v>0</v>
      </c>
      <c r="Q2712">
        <f>'raw data Crude oil'!Q2713</f>
        <v>0</v>
      </c>
      <c r="R2712">
        <f>'raw data Crude oil'!R2713</f>
        <v>0</v>
      </c>
      <c r="S2712">
        <f>'raw data Crude oil'!S2713</f>
        <v>0</v>
      </c>
      <c r="T2712">
        <f>'raw data Crude oil'!T2713</f>
        <v>0</v>
      </c>
      <c r="U2712">
        <f>'raw data Crude oil'!U2713</f>
        <v>0</v>
      </c>
      <c r="V2712">
        <f>'raw data Crude oil'!V2713</f>
        <v>0</v>
      </c>
      <c r="W2712">
        <f>'raw data Crude oil'!W2713</f>
        <v>0</v>
      </c>
      <c r="X2712">
        <f>'raw data Crude oil'!X2713</f>
        <v>0</v>
      </c>
      <c r="Y2712">
        <f>'raw data Crude oil'!Y2713</f>
        <v>0</v>
      </c>
      <c r="Z2712">
        <f>'raw data Crude oil'!Z2713</f>
        <v>0</v>
      </c>
      <c r="AA2712">
        <f>'raw data Crude oil'!AA2713</f>
        <v>0</v>
      </c>
      <c r="AB2712">
        <f>'raw data Crude oil'!AB2713</f>
        <v>0</v>
      </c>
      <c r="AC2712">
        <f>'raw data Crude oil'!AC2713</f>
        <v>0</v>
      </c>
      <c r="AD2712">
        <f>'raw data Crude oil'!AD2713</f>
        <v>0</v>
      </c>
      <c r="AE2712">
        <f>'raw data Crude oil'!AE2713</f>
        <v>0</v>
      </c>
      <c r="AF2712">
        <f>'raw data Crude oil'!AF2713</f>
        <v>0</v>
      </c>
      <c r="AG2712">
        <f>'raw data Crude oil'!AG2713</f>
        <v>0</v>
      </c>
      <c r="AH2712">
        <f>'raw data Crude oil'!AH2713</f>
        <v>0</v>
      </c>
      <c r="AI2712">
        <f>'raw data Crude oil'!AI2713</f>
        <v>0</v>
      </c>
      <c r="AJ2712">
        <f>'raw data Crude oil'!AJ2713</f>
        <v>0</v>
      </c>
      <c r="AK2712">
        <f>'raw data Crude oil'!AK2713</f>
        <v>0</v>
      </c>
    </row>
    <row r="2713" spans="1:37" x14ac:dyDescent="0.3">
      <c r="A2713" s="18">
        <f>'raw data Crude oil'!A2714</f>
        <v>0</v>
      </c>
      <c r="B2713">
        <f>'raw data Crude oil'!B2714</f>
        <v>0</v>
      </c>
      <c r="C2713">
        <f>'raw data Crude oil'!C2714</f>
        <v>0</v>
      </c>
      <c r="D2713">
        <f>'raw data Crude oil'!D2714</f>
        <v>0</v>
      </c>
      <c r="E2713">
        <f>'raw data Crude oil'!E2714</f>
        <v>0</v>
      </c>
      <c r="F2713">
        <f>'raw data Crude oil'!F2714</f>
        <v>0</v>
      </c>
      <c r="G2713">
        <f>'raw data Crude oil'!G2714</f>
        <v>0</v>
      </c>
      <c r="H2713">
        <f>'raw data Crude oil'!H2714</f>
        <v>0</v>
      </c>
      <c r="I2713">
        <f>'raw data Crude oil'!I2714</f>
        <v>0</v>
      </c>
      <c r="J2713">
        <f>'raw data Crude oil'!J2714</f>
        <v>0</v>
      </c>
      <c r="K2713">
        <f>'raw data Crude oil'!K2714</f>
        <v>0</v>
      </c>
      <c r="L2713">
        <f>'raw data Crude oil'!L2714</f>
        <v>0</v>
      </c>
      <c r="M2713">
        <f>'raw data Crude oil'!M2714</f>
        <v>0</v>
      </c>
      <c r="N2713">
        <f>'raw data Crude oil'!N2714</f>
        <v>0</v>
      </c>
      <c r="O2713">
        <f>'raw data Crude oil'!O2714</f>
        <v>0</v>
      </c>
      <c r="P2713">
        <f>'raw data Crude oil'!P2714</f>
        <v>0</v>
      </c>
      <c r="Q2713">
        <f>'raw data Crude oil'!Q2714</f>
        <v>0</v>
      </c>
      <c r="R2713">
        <f>'raw data Crude oil'!R2714</f>
        <v>0</v>
      </c>
      <c r="S2713">
        <f>'raw data Crude oil'!S2714</f>
        <v>0</v>
      </c>
      <c r="T2713">
        <f>'raw data Crude oil'!T2714</f>
        <v>0</v>
      </c>
      <c r="U2713">
        <f>'raw data Crude oil'!U2714</f>
        <v>0</v>
      </c>
      <c r="V2713">
        <f>'raw data Crude oil'!V2714</f>
        <v>0</v>
      </c>
      <c r="W2713">
        <f>'raw data Crude oil'!W2714</f>
        <v>0</v>
      </c>
      <c r="X2713">
        <f>'raw data Crude oil'!X2714</f>
        <v>0</v>
      </c>
      <c r="Y2713">
        <f>'raw data Crude oil'!Y2714</f>
        <v>0</v>
      </c>
      <c r="Z2713">
        <f>'raw data Crude oil'!Z2714</f>
        <v>0</v>
      </c>
      <c r="AA2713">
        <f>'raw data Crude oil'!AA2714</f>
        <v>0</v>
      </c>
      <c r="AB2713">
        <f>'raw data Crude oil'!AB2714</f>
        <v>0</v>
      </c>
      <c r="AC2713">
        <f>'raw data Crude oil'!AC2714</f>
        <v>0</v>
      </c>
      <c r="AD2713">
        <f>'raw data Crude oil'!AD2714</f>
        <v>0</v>
      </c>
      <c r="AE2713">
        <f>'raw data Crude oil'!AE2714</f>
        <v>0</v>
      </c>
      <c r="AF2713">
        <f>'raw data Crude oil'!AF2714</f>
        <v>0</v>
      </c>
      <c r="AG2713">
        <f>'raw data Crude oil'!AG2714</f>
        <v>0</v>
      </c>
      <c r="AH2713">
        <f>'raw data Crude oil'!AH2714</f>
        <v>0</v>
      </c>
      <c r="AI2713">
        <f>'raw data Crude oil'!AI2714</f>
        <v>0</v>
      </c>
      <c r="AJ2713">
        <f>'raw data Crude oil'!AJ2714</f>
        <v>0</v>
      </c>
      <c r="AK2713">
        <f>'raw data Crude oil'!AK2714</f>
        <v>0</v>
      </c>
    </row>
    <row r="2714" spans="1:37" x14ac:dyDescent="0.3">
      <c r="A2714" s="18">
        <f>'raw data Crude oil'!A2715</f>
        <v>0</v>
      </c>
      <c r="B2714">
        <f>'raw data Crude oil'!B2715</f>
        <v>0</v>
      </c>
      <c r="C2714">
        <f>'raw data Crude oil'!C2715</f>
        <v>0</v>
      </c>
      <c r="D2714">
        <f>'raw data Crude oil'!D2715</f>
        <v>0</v>
      </c>
      <c r="E2714">
        <f>'raw data Crude oil'!E2715</f>
        <v>0</v>
      </c>
      <c r="F2714">
        <f>'raw data Crude oil'!F2715</f>
        <v>0</v>
      </c>
      <c r="G2714">
        <f>'raw data Crude oil'!G2715</f>
        <v>0</v>
      </c>
      <c r="H2714">
        <f>'raw data Crude oil'!H2715</f>
        <v>0</v>
      </c>
      <c r="I2714">
        <f>'raw data Crude oil'!I2715</f>
        <v>0</v>
      </c>
      <c r="J2714">
        <f>'raw data Crude oil'!J2715</f>
        <v>0</v>
      </c>
      <c r="K2714">
        <f>'raw data Crude oil'!K2715</f>
        <v>0</v>
      </c>
      <c r="L2714">
        <f>'raw data Crude oil'!L2715</f>
        <v>0</v>
      </c>
      <c r="M2714">
        <f>'raw data Crude oil'!M2715</f>
        <v>0</v>
      </c>
      <c r="N2714">
        <f>'raw data Crude oil'!N2715</f>
        <v>0</v>
      </c>
      <c r="O2714">
        <f>'raw data Crude oil'!O2715</f>
        <v>0</v>
      </c>
      <c r="P2714">
        <f>'raw data Crude oil'!P2715</f>
        <v>0</v>
      </c>
      <c r="Q2714">
        <f>'raw data Crude oil'!Q2715</f>
        <v>0</v>
      </c>
      <c r="R2714">
        <f>'raw data Crude oil'!R2715</f>
        <v>0</v>
      </c>
      <c r="S2714">
        <f>'raw data Crude oil'!S2715</f>
        <v>0</v>
      </c>
      <c r="T2714">
        <f>'raw data Crude oil'!T2715</f>
        <v>0</v>
      </c>
      <c r="U2714">
        <f>'raw data Crude oil'!U2715</f>
        <v>0</v>
      </c>
      <c r="V2714">
        <f>'raw data Crude oil'!V2715</f>
        <v>0</v>
      </c>
      <c r="W2714">
        <f>'raw data Crude oil'!W2715</f>
        <v>0</v>
      </c>
      <c r="X2714">
        <f>'raw data Crude oil'!X2715</f>
        <v>0</v>
      </c>
      <c r="Y2714">
        <f>'raw data Crude oil'!Y2715</f>
        <v>0</v>
      </c>
      <c r="Z2714">
        <f>'raw data Crude oil'!Z2715</f>
        <v>0</v>
      </c>
      <c r="AA2714">
        <f>'raw data Crude oil'!AA2715</f>
        <v>0</v>
      </c>
      <c r="AB2714">
        <f>'raw data Crude oil'!AB2715</f>
        <v>0</v>
      </c>
      <c r="AC2714">
        <f>'raw data Crude oil'!AC2715</f>
        <v>0</v>
      </c>
      <c r="AD2714">
        <f>'raw data Crude oil'!AD2715</f>
        <v>0</v>
      </c>
      <c r="AE2714">
        <f>'raw data Crude oil'!AE2715</f>
        <v>0</v>
      </c>
      <c r="AF2714">
        <f>'raw data Crude oil'!AF2715</f>
        <v>0</v>
      </c>
      <c r="AG2714">
        <f>'raw data Crude oil'!AG2715</f>
        <v>0</v>
      </c>
      <c r="AH2714">
        <f>'raw data Crude oil'!AH2715</f>
        <v>0</v>
      </c>
      <c r="AI2714">
        <f>'raw data Crude oil'!AI2715</f>
        <v>0</v>
      </c>
      <c r="AJ2714">
        <f>'raw data Crude oil'!AJ2715</f>
        <v>0</v>
      </c>
      <c r="AK2714">
        <f>'raw data Crude oil'!AK2715</f>
        <v>0</v>
      </c>
    </row>
    <row r="2715" spans="1:37" x14ac:dyDescent="0.3">
      <c r="A2715" s="18">
        <f>'raw data Crude oil'!A2716</f>
        <v>0</v>
      </c>
      <c r="B2715">
        <f>'raw data Crude oil'!B2716</f>
        <v>0</v>
      </c>
      <c r="C2715">
        <f>'raw data Crude oil'!C2716</f>
        <v>0</v>
      </c>
      <c r="D2715">
        <f>'raw data Crude oil'!D2716</f>
        <v>0</v>
      </c>
      <c r="E2715">
        <f>'raw data Crude oil'!E2716</f>
        <v>0</v>
      </c>
      <c r="F2715">
        <f>'raw data Crude oil'!F2716</f>
        <v>0</v>
      </c>
      <c r="G2715">
        <f>'raw data Crude oil'!G2716</f>
        <v>0</v>
      </c>
      <c r="H2715">
        <f>'raw data Crude oil'!H2716</f>
        <v>0</v>
      </c>
      <c r="I2715">
        <f>'raw data Crude oil'!I2716</f>
        <v>0</v>
      </c>
      <c r="J2715">
        <f>'raw data Crude oil'!J2716</f>
        <v>0</v>
      </c>
      <c r="K2715">
        <f>'raw data Crude oil'!K2716</f>
        <v>0</v>
      </c>
      <c r="L2715">
        <f>'raw data Crude oil'!L2716</f>
        <v>0</v>
      </c>
      <c r="M2715">
        <f>'raw data Crude oil'!M2716</f>
        <v>0</v>
      </c>
      <c r="N2715">
        <f>'raw data Crude oil'!N2716</f>
        <v>0</v>
      </c>
      <c r="O2715">
        <f>'raw data Crude oil'!O2716</f>
        <v>0</v>
      </c>
      <c r="P2715">
        <f>'raw data Crude oil'!P2716</f>
        <v>0</v>
      </c>
      <c r="Q2715">
        <f>'raw data Crude oil'!Q2716</f>
        <v>0</v>
      </c>
      <c r="R2715">
        <f>'raw data Crude oil'!R2716</f>
        <v>0</v>
      </c>
      <c r="S2715">
        <f>'raw data Crude oil'!S2716</f>
        <v>0</v>
      </c>
      <c r="T2715">
        <f>'raw data Crude oil'!T2716</f>
        <v>0</v>
      </c>
      <c r="U2715">
        <f>'raw data Crude oil'!U2716</f>
        <v>0</v>
      </c>
      <c r="V2715">
        <f>'raw data Crude oil'!V2716</f>
        <v>0</v>
      </c>
      <c r="W2715">
        <f>'raw data Crude oil'!W2716</f>
        <v>0</v>
      </c>
      <c r="X2715">
        <f>'raw data Crude oil'!X2716</f>
        <v>0</v>
      </c>
      <c r="Y2715">
        <f>'raw data Crude oil'!Y2716</f>
        <v>0</v>
      </c>
      <c r="Z2715">
        <f>'raw data Crude oil'!Z2716</f>
        <v>0</v>
      </c>
      <c r="AA2715">
        <f>'raw data Crude oil'!AA2716</f>
        <v>0</v>
      </c>
      <c r="AB2715">
        <f>'raw data Crude oil'!AB2716</f>
        <v>0</v>
      </c>
      <c r="AC2715">
        <f>'raw data Crude oil'!AC2716</f>
        <v>0</v>
      </c>
      <c r="AD2715">
        <f>'raw data Crude oil'!AD2716</f>
        <v>0</v>
      </c>
      <c r="AE2715">
        <f>'raw data Crude oil'!AE2716</f>
        <v>0</v>
      </c>
      <c r="AF2715">
        <f>'raw data Crude oil'!AF2716</f>
        <v>0</v>
      </c>
      <c r="AG2715">
        <f>'raw data Crude oil'!AG2716</f>
        <v>0</v>
      </c>
      <c r="AH2715">
        <f>'raw data Crude oil'!AH2716</f>
        <v>0</v>
      </c>
      <c r="AI2715">
        <f>'raw data Crude oil'!AI2716</f>
        <v>0</v>
      </c>
      <c r="AJ2715">
        <f>'raw data Crude oil'!AJ2716</f>
        <v>0</v>
      </c>
      <c r="AK2715">
        <f>'raw data Crude oil'!AK2716</f>
        <v>0</v>
      </c>
    </row>
    <row r="2716" spans="1:37" x14ac:dyDescent="0.3">
      <c r="A2716" s="18">
        <f>'raw data Crude oil'!A2717</f>
        <v>0</v>
      </c>
      <c r="B2716">
        <f>'raw data Crude oil'!B2717</f>
        <v>0</v>
      </c>
      <c r="C2716">
        <f>'raw data Crude oil'!C2717</f>
        <v>0</v>
      </c>
      <c r="D2716">
        <f>'raw data Crude oil'!D2717</f>
        <v>0</v>
      </c>
      <c r="E2716">
        <f>'raw data Crude oil'!E2717</f>
        <v>0</v>
      </c>
      <c r="F2716">
        <f>'raw data Crude oil'!F2717</f>
        <v>0</v>
      </c>
      <c r="G2716">
        <f>'raw data Crude oil'!G2717</f>
        <v>0</v>
      </c>
      <c r="H2716">
        <f>'raw data Crude oil'!H2717</f>
        <v>0</v>
      </c>
      <c r="I2716">
        <f>'raw data Crude oil'!I2717</f>
        <v>0</v>
      </c>
      <c r="J2716">
        <f>'raw data Crude oil'!J2717</f>
        <v>0</v>
      </c>
      <c r="K2716">
        <f>'raw data Crude oil'!K2717</f>
        <v>0</v>
      </c>
      <c r="L2716">
        <f>'raw data Crude oil'!L2717</f>
        <v>0</v>
      </c>
      <c r="M2716">
        <f>'raw data Crude oil'!M2717</f>
        <v>0</v>
      </c>
      <c r="N2716">
        <f>'raw data Crude oil'!N2717</f>
        <v>0</v>
      </c>
      <c r="O2716">
        <f>'raw data Crude oil'!O2717</f>
        <v>0</v>
      </c>
      <c r="P2716">
        <f>'raw data Crude oil'!P2717</f>
        <v>0</v>
      </c>
      <c r="Q2716">
        <f>'raw data Crude oil'!Q2717</f>
        <v>0</v>
      </c>
      <c r="R2716">
        <f>'raw data Crude oil'!R2717</f>
        <v>0</v>
      </c>
      <c r="S2716">
        <f>'raw data Crude oil'!S2717</f>
        <v>0</v>
      </c>
      <c r="T2716">
        <f>'raw data Crude oil'!T2717</f>
        <v>0</v>
      </c>
      <c r="U2716">
        <f>'raw data Crude oil'!U2717</f>
        <v>0</v>
      </c>
      <c r="V2716">
        <f>'raw data Crude oil'!V2717</f>
        <v>0</v>
      </c>
      <c r="W2716">
        <f>'raw data Crude oil'!W2717</f>
        <v>0</v>
      </c>
      <c r="X2716">
        <f>'raw data Crude oil'!X2717</f>
        <v>0</v>
      </c>
      <c r="Y2716">
        <f>'raw data Crude oil'!Y2717</f>
        <v>0</v>
      </c>
      <c r="Z2716">
        <f>'raw data Crude oil'!Z2717</f>
        <v>0</v>
      </c>
      <c r="AA2716">
        <f>'raw data Crude oil'!AA2717</f>
        <v>0</v>
      </c>
      <c r="AB2716">
        <f>'raw data Crude oil'!AB2717</f>
        <v>0</v>
      </c>
      <c r="AC2716">
        <f>'raw data Crude oil'!AC2717</f>
        <v>0</v>
      </c>
      <c r="AD2716">
        <f>'raw data Crude oil'!AD2717</f>
        <v>0</v>
      </c>
      <c r="AE2716">
        <f>'raw data Crude oil'!AE2717</f>
        <v>0</v>
      </c>
      <c r="AF2716">
        <f>'raw data Crude oil'!AF2717</f>
        <v>0</v>
      </c>
      <c r="AG2716">
        <f>'raw data Crude oil'!AG2717</f>
        <v>0</v>
      </c>
      <c r="AH2716">
        <f>'raw data Crude oil'!AH2717</f>
        <v>0</v>
      </c>
      <c r="AI2716">
        <f>'raw data Crude oil'!AI2717</f>
        <v>0</v>
      </c>
      <c r="AJ2716">
        <f>'raw data Crude oil'!AJ2717</f>
        <v>0</v>
      </c>
      <c r="AK2716">
        <f>'raw data Crude oil'!AK2717</f>
        <v>0</v>
      </c>
    </row>
    <row r="2717" spans="1:37" x14ac:dyDescent="0.3">
      <c r="A2717" s="18">
        <f>'raw data Crude oil'!A2718</f>
        <v>0</v>
      </c>
      <c r="B2717">
        <f>'raw data Crude oil'!B2718</f>
        <v>0</v>
      </c>
      <c r="C2717">
        <f>'raw data Crude oil'!C2718</f>
        <v>0</v>
      </c>
      <c r="D2717">
        <f>'raw data Crude oil'!D2718</f>
        <v>0</v>
      </c>
      <c r="E2717">
        <f>'raw data Crude oil'!E2718</f>
        <v>0</v>
      </c>
      <c r="F2717">
        <f>'raw data Crude oil'!F2718</f>
        <v>0</v>
      </c>
      <c r="G2717">
        <f>'raw data Crude oil'!G2718</f>
        <v>0</v>
      </c>
      <c r="H2717">
        <f>'raw data Crude oil'!H2718</f>
        <v>0</v>
      </c>
      <c r="I2717">
        <f>'raw data Crude oil'!I2718</f>
        <v>0</v>
      </c>
      <c r="J2717">
        <f>'raw data Crude oil'!J2718</f>
        <v>0</v>
      </c>
      <c r="K2717">
        <f>'raw data Crude oil'!K2718</f>
        <v>0</v>
      </c>
      <c r="L2717">
        <f>'raw data Crude oil'!L2718</f>
        <v>0</v>
      </c>
      <c r="M2717">
        <f>'raw data Crude oil'!M2718</f>
        <v>0</v>
      </c>
      <c r="N2717">
        <f>'raw data Crude oil'!N2718</f>
        <v>0</v>
      </c>
      <c r="O2717">
        <f>'raw data Crude oil'!O2718</f>
        <v>0</v>
      </c>
      <c r="P2717">
        <f>'raw data Crude oil'!P2718</f>
        <v>0</v>
      </c>
      <c r="Q2717">
        <f>'raw data Crude oil'!Q2718</f>
        <v>0</v>
      </c>
      <c r="R2717">
        <f>'raw data Crude oil'!R2718</f>
        <v>0</v>
      </c>
      <c r="S2717">
        <f>'raw data Crude oil'!S2718</f>
        <v>0</v>
      </c>
      <c r="T2717">
        <f>'raw data Crude oil'!T2718</f>
        <v>0</v>
      </c>
      <c r="U2717">
        <f>'raw data Crude oil'!U2718</f>
        <v>0</v>
      </c>
      <c r="V2717">
        <f>'raw data Crude oil'!V2718</f>
        <v>0</v>
      </c>
      <c r="W2717">
        <f>'raw data Crude oil'!W2718</f>
        <v>0</v>
      </c>
      <c r="X2717">
        <f>'raw data Crude oil'!X2718</f>
        <v>0</v>
      </c>
      <c r="Y2717">
        <f>'raw data Crude oil'!Y2718</f>
        <v>0</v>
      </c>
      <c r="Z2717">
        <f>'raw data Crude oil'!Z2718</f>
        <v>0</v>
      </c>
      <c r="AA2717">
        <f>'raw data Crude oil'!AA2718</f>
        <v>0</v>
      </c>
      <c r="AB2717">
        <f>'raw data Crude oil'!AB2718</f>
        <v>0</v>
      </c>
      <c r="AC2717">
        <f>'raw data Crude oil'!AC2718</f>
        <v>0</v>
      </c>
      <c r="AD2717">
        <f>'raw data Crude oil'!AD2718</f>
        <v>0</v>
      </c>
      <c r="AE2717">
        <f>'raw data Crude oil'!AE2718</f>
        <v>0</v>
      </c>
      <c r="AF2717">
        <f>'raw data Crude oil'!AF2718</f>
        <v>0</v>
      </c>
      <c r="AG2717">
        <f>'raw data Crude oil'!AG2718</f>
        <v>0</v>
      </c>
      <c r="AH2717">
        <f>'raw data Crude oil'!AH2718</f>
        <v>0</v>
      </c>
      <c r="AI2717">
        <f>'raw data Crude oil'!AI2718</f>
        <v>0</v>
      </c>
      <c r="AJ2717">
        <f>'raw data Crude oil'!AJ2718</f>
        <v>0</v>
      </c>
      <c r="AK2717">
        <f>'raw data Crude oil'!AK2718</f>
        <v>0</v>
      </c>
    </row>
    <row r="2718" spans="1:37" x14ac:dyDescent="0.3">
      <c r="A2718" s="18">
        <f>'raw data Crude oil'!A2719</f>
        <v>0</v>
      </c>
      <c r="B2718">
        <f>'raw data Crude oil'!B2719</f>
        <v>0</v>
      </c>
      <c r="C2718">
        <f>'raw data Crude oil'!C2719</f>
        <v>0</v>
      </c>
      <c r="D2718">
        <f>'raw data Crude oil'!D2719</f>
        <v>0</v>
      </c>
      <c r="E2718">
        <f>'raw data Crude oil'!E2719</f>
        <v>0</v>
      </c>
      <c r="F2718">
        <f>'raw data Crude oil'!F2719</f>
        <v>0</v>
      </c>
      <c r="G2718">
        <f>'raw data Crude oil'!G2719</f>
        <v>0</v>
      </c>
      <c r="H2718">
        <f>'raw data Crude oil'!H2719</f>
        <v>0</v>
      </c>
      <c r="I2718">
        <f>'raw data Crude oil'!I2719</f>
        <v>0</v>
      </c>
      <c r="J2718">
        <f>'raw data Crude oil'!J2719</f>
        <v>0</v>
      </c>
      <c r="K2718">
        <f>'raw data Crude oil'!K2719</f>
        <v>0</v>
      </c>
      <c r="L2718">
        <f>'raw data Crude oil'!L2719</f>
        <v>0</v>
      </c>
      <c r="M2718">
        <f>'raw data Crude oil'!M2719</f>
        <v>0</v>
      </c>
      <c r="N2718">
        <f>'raw data Crude oil'!N2719</f>
        <v>0</v>
      </c>
      <c r="O2718">
        <f>'raw data Crude oil'!O2719</f>
        <v>0</v>
      </c>
      <c r="P2718">
        <f>'raw data Crude oil'!P2719</f>
        <v>0</v>
      </c>
      <c r="Q2718">
        <f>'raw data Crude oil'!Q2719</f>
        <v>0</v>
      </c>
      <c r="R2718">
        <f>'raw data Crude oil'!R2719</f>
        <v>0</v>
      </c>
      <c r="S2718">
        <f>'raw data Crude oil'!S2719</f>
        <v>0</v>
      </c>
      <c r="T2718">
        <f>'raw data Crude oil'!T2719</f>
        <v>0</v>
      </c>
      <c r="U2718">
        <f>'raw data Crude oil'!U2719</f>
        <v>0</v>
      </c>
      <c r="V2718">
        <f>'raw data Crude oil'!V2719</f>
        <v>0</v>
      </c>
      <c r="W2718">
        <f>'raw data Crude oil'!W2719</f>
        <v>0</v>
      </c>
      <c r="X2718">
        <f>'raw data Crude oil'!X2719</f>
        <v>0</v>
      </c>
      <c r="Y2718">
        <f>'raw data Crude oil'!Y2719</f>
        <v>0</v>
      </c>
      <c r="Z2718">
        <f>'raw data Crude oil'!Z2719</f>
        <v>0</v>
      </c>
      <c r="AA2718">
        <f>'raw data Crude oil'!AA2719</f>
        <v>0</v>
      </c>
      <c r="AB2718">
        <f>'raw data Crude oil'!AB2719</f>
        <v>0</v>
      </c>
      <c r="AC2718">
        <f>'raw data Crude oil'!AC2719</f>
        <v>0</v>
      </c>
      <c r="AD2718">
        <f>'raw data Crude oil'!AD2719</f>
        <v>0</v>
      </c>
      <c r="AE2718">
        <f>'raw data Crude oil'!AE2719</f>
        <v>0</v>
      </c>
      <c r="AF2718">
        <f>'raw data Crude oil'!AF2719</f>
        <v>0</v>
      </c>
      <c r="AG2718">
        <f>'raw data Crude oil'!AG2719</f>
        <v>0</v>
      </c>
      <c r="AH2718">
        <f>'raw data Crude oil'!AH2719</f>
        <v>0</v>
      </c>
      <c r="AI2718">
        <f>'raw data Crude oil'!AI2719</f>
        <v>0</v>
      </c>
      <c r="AJ2718">
        <f>'raw data Crude oil'!AJ2719</f>
        <v>0</v>
      </c>
      <c r="AK2718">
        <f>'raw data Crude oil'!AK2719</f>
        <v>0</v>
      </c>
    </row>
    <row r="2719" spans="1:37" x14ac:dyDescent="0.3">
      <c r="A2719" s="18">
        <f>'raw data Crude oil'!A2720</f>
        <v>0</v>
      </c>
      <c r="B2719">
        <f>'raw data Crude oil'!B2720</f>
        <v>0</v>
      </c>
      <c r="C2719">
        <f>'raw data Crude oil'!C2720</f>
        <v>0</v>
      </c>
      <c r="D2719">
        <f>'raw data Crude oil'!D2720</f>
        <v>0</v>
      </c>
      <c r="E2719">
        <f>'raw data Crude oil'!E2720</f>
        <v>0</v>
      </c>
      <c r="F2719">
        <f>'raw data Crude oil'!F2720</f>
        <v>0</v>
      </c>
      <c r="G2719">
        <f>'raw data Crude oil'!G2720</f>
        <v>0</v>
      </c>
      <c r="H2719">
        <f>'raw data Crude oil'!H2720</f>
        <v>0</v>
      </c>
      <c r="I2719">
        <f>'raw data Crude oil'!I2720</f>
        <v>0</v>
      </c>
      <c r="J2719">
        <f>'raw data Crude oil'!J2720</f>
        <v>0</v>
      </c>
      <c r="K2719">
        <f>'raw data Crude oil'!K2720</f>
        <v>0</v>
      </c>
      <c r="L2719">
        <f>'raw data Crude oil'!L2720</f>
        <v>0</v>
      </c>
      <c r="M2719">
        <f>'raw data Crude oil'!M2720</f>
        <v>0</v>
      </c>
      <c r="N2719">
        <f>'raw data Crude oil'!N2720</f>
        <v>0</v>
      </c>
      <c r="O2719">
        <f>'raw data Crude oil'!O2720</f>
        <v>0</v>
      </c>
      <c r="P2719">
        <f>'raw data Crude oil'!P2720</f>
        <v>0</v>
      </c>
      <c r="Q2719">
        <f>'raw data Crude oil'!Q2720</f>
        <v>0</v>
      </c>
      <c r="R2719">
        <f>'raw data Crude oil'!R2720</f>
        <v>0</v>
      </c>
      <c r="S2719">
        <f>'raw data Crude oil'!S2720</f>
        <v>0</v>
      </c>
      <c r="T2719">
        <f>'raw data Crude oil'!T2720</f>
        <v>0</v>
      </c>
      <c r="U2719">
        <f>'raw data Crude oil'!U2720</f>
        <v>0</v>
      </c>
      <c r="V2719">
        <f>'raw data Crude oil'!V2720</f>
        <v>0</v>
      </c>
      <c r="W2719">
        <f>'raw data Crude oil'!W2720</f>
        <v>0</v>
      </c>
      <c r="X2719">
        <f>'raw data Crude oil'!X2720</f>
        <v>0</v>
      </c>
      <c r="Y2719">
        <f>'raw data Crude oil'!Y2720</f>
        <v>0</v>
      </c>
      <c r="Z2719">
        <f>'raw data Crude oil'!Z2720</f>
        <v>0</v>
      </c>
      <c r="AA2719">
        <f>'raw data Crude oil'!AA2720</f>
        <v>0</v>
      </c>
      <c r="AB2719">
        <f>'raw data Crude oil'!AB2720</f>
        <v>0</v>
      </c>
      <c r="AC2719">
        <f>'raw data Crude oil'!AC2720</f>
        <v>0</v>
      </c>
      <c r="AD2719">
        <f>'raw data Crude oil'!AD2720</f>
        <v>0</v>
      </c>
      <c r="AE2719">
        <f>'raw data Crude oil'!AE2720</f>
        <v>0</v>
      </c>
      <c r="AF2719">
        <f>'raw data Crude oil'!AF2720</f>
        <v>0</v>
      </c>
      <c r="AG2719">
        <f>'raw data Crude oil'!AG2720</f>
        <v>0</v>
      </c>
      <c r="AH2719">
        <f>'raw data Crude oil'!AH2720</f>
        <v>0</v>
      </c>
      <c r="AI2719">
        <f>'raw data Crude oil'!AI2720</f>
        <v>0</v>
      </c>
      <c r="AJ2719">
        <f>'raw data Crude oil'!AJ2720</f>
        <v>0</v>
      </c>
      <c r="AK2719">
        <f>'raw data Crude oil'!AK2720</f>
        <v>0</v>
      </c>
    </row>
    <row r="2720" spans="1:37" x14ac:dyDescent="0.3">
      <c r="A2720" s="18">
        <f>'raw data Crude oil'!A2721</f>
        <v>0</v>
      </c>
      <c r="B2720">
        <f>'raw data Crude oil'!B2721</f>
        <v>0</v>
      </c>
      <c r="C2720">
        <f>'raw data Crude oil'!C2721</f>
        <v>0</v>
      </c>
      <c r="D2720">
        <f>'raw data Crude oil'!D2721</f>
        <v>0</v>
      </c>
      <c r="E2720">
        <f>'raw data Crude oil'!E2721</f>
        <v>0</v>
      </c>
      <c r="F2720">
        <f>'raw data Crude oil'!F2721</f>
        <v>0</v>
      </c>
      <c r="G2720">
        <f>'raw data Crude oil'!G2721</f>
        <v>0</v>
      </c>
      <c r="H2720">
        <f>'raw data Crude oil'!H2721</f>
        <v>0</v>
      </c>
      <c r="I2720">
        <f>'raw data Crude oil'!I2721</f>
        <v>0</v>
      </c>
      <c r="J2720">
        <f>'raw data Crude oil'!J2721</f>
        <v>0</v>
      </c>
      <c r="K2720">
        <f>'raw data Crude oil'!K2721</f>
        <v>0</v>
      </c>
      <c r="L2720">
        <f>'raw data Crude oil'!L2721</f>
        <v>0</v>
      </c>
      <c r="M2720">
        <f>'raw data Crude oil'!M2721</f>
        <v>0</v>
      </c>
      <c r="N2720">
        <f>'raw data Crude oil'!N2721</f>
        <v>0</v>
      </c>
      <c r="O2720">
        <f>'raw data Crude oil'!O2721</f>
        <v>0</v>
      </c>
      <c r="P2720">
        <f>'raw data Crude oil'!P2721</f>
        <v>0</v>
      </c>
      <c r="Q2720">
        <f>'raw data Crude oil'!Q2721</f>
        <v>0</v>
      </c>
      <c r="R2720">
        <f>'raw data Crude oil'!R2721</f>
        <v>0</v>
      </c>
      <c r="S2720">
        <f>'raw data Crude oil'!S2721</f>
        <v>0</v>
      </c>
      <c r="T2720">
        <f>'raw data Crude oil'!T2721</f>
        <v>0</v>
      </c>
      <c r="U2720">
        <f>'raw data Crude oil'!U2721</f>
        <v>0</v>
      </c>
      <c r="V2720">
        <f>'raw data Crude oil'!V2721</f>
        <v>0</v>
      </c>
      <c r="W2720">
        <f>'raw data Crude oil'!W2721</f>
        <v>0</v>
      </c>
      <c r="X2720">
        <f>'raw data Crude oil'!X2721</f>
        <v>0</v>
      </c>
      <c r="Y2720">
        <f>'raw data Crude oil'!Y2721</f>
        <v>0</v>
      </c>
      <c r="Z2720">
        <f>'raw data Crude oil'!Z2721</f>
        <v>0</v>
      </c>
      <c r="AA2720">
        <f>'raw data Crude oil'!AA2721</f>
        <v>0</v>
      </c>
      <c r="AB2720">
        <f>'raw data Crude oil'!AB2721</f>
        <v>0</v>
      </c>
      <c r="AC2720">
        <f>'raw data Crude oil'!AC2721</f>
        <v>0</v>
      </c>
      <c r="AD2720">
        <f>'raw data Crude oil'!AD2721</f>
        <v>0</v>
      </c>
      <c r="AE2720">
        <f>'raw data Crude oil'!AE2721</f>
        <v>0</v>
      </c>
      <c r="AF2720">
        <f>'raw data Crude oil'!AF2721</f>
        <v>0</v>
      </c>
      <c r="AG2720">
        <f>'raw data Crude oil'!AG2721</f>
        <v>0</v>
      </c>
      <c r="AH2720">
        <f>'raw data Crude oil'!AH2721</f>
        <v>0</v>
      </c>
      <c r="AI2720">
        <f>'raw data Crude oil'!AI2721</f>
        <v>0</v>
      </c>
      <c r="AJ2720">
        <f>'raw data Crude oil'!AJ2721</f>
        <v>0</v>
      </c>
      <c r="AK2720">
        <f>'raw data Crude oil'!AK2721</f>
        <v>0</v>
      </c>
    </row>
    <row r="2721" spans="1:37" x14ac:dyDescent="0.3">
      <c r="A2721" s="18">
        <f>'raw data Crude oil'!A2722</f>
        <v>0</v>
      </c>
      <c r="B2721">
        <f>'raw data Crude oil'!B2722</f>
        <v>0</v>
      </c>
      <c r="C2721">
        <f>'raw data Crude oil'!C2722</f>
        <v>0</v>
      </c>
      <c r="D2721">
        <f>'raw data Crude oil'!D2722</f>
        <v>0</v>
      </c>
      <c r="E2721">
        <f>'raw data Crude oil'!E2722</f>
        <v>0</v>
      </c>
      <c r="F2721">
        <f>'raw data Crude oil'!F2722</f>
        <v>0</v>
      </c>
      <c r="G2721">
        <f>'raw data Crude oil'!G2722</f>
        <v>0</v>
      </c>
      <c r="H2721">
        <f>'raw data Crude oil'!H2722</f>
        <v>0</v>
      </c>
      <c r="I2721">
        <f>'raw data Crude oil'!I2722</f>
        <v>0</v>
      </c>
      <c r="J2721">
        <f>'raw data Crude oil'!J2722</f>
        <v>0</v>
      </c>
      <c r="K2721">
        <f>'raw data Crude oil'!K2722</f>
        <v>0</v>
      </c>
      <c r="L2721">
        <f>'raw data Crude oil'!L2722</f>
        <v>0</v>
      </c>
      <c r="M2721">
        <f>'raw data Crude oil'!M2722</f>
        <v>0</v>
      </c>
      <c r="N2721">
        <f>'raw data Crude oil'!N2722</f>
        <v>0</v>
      </c>
      <c r="O2721">
        <f>'raw data Crude oil'!O2722</f>
        <v>0</v>
      </c>
      <c r="P2721">
        <f>'raw data Crude oil'!P2722</f>
        <v>0</v>
      </c>
      <c r="Q2721">
        <f>'raw data Crude oil'!Q2722</f>
        <v>0</v>
      </c>
      <c r="R2721">
        <f>'raw data Crude oil'!R2722</f>
        <v>0</v>
      </c>
      <c r="S2721">
        <f>'raw data Crude oil'!S2722</f>
        <v>0</v>
      </c>
      <c r="T2721">
        <f>'raw data Crude oil'!T2722</f>
        <v>0</v>
      </c>
      <c r="U2721">
        <f>'raw data Crude oil'!U2722</f>
        <v>0</v>
      </c>
      <c r="V2721">
        <f>'raw data Crude oil'!V2722</f>
        <v>0</v>
      </c>
      <c r="W2721">
        <f>'raw data Crude oil'!W2722</f>
        <v>0</v>
      </c>
      <c r="X2721">
        <f>'raw data Crude oil'!X2722</f>
        <v>0</v>
      </c>
      <c r="Y2721">
        <f>'raw data Crude oil'!Y2722</f>
        <v>0</v>
      </c>
      <c r="Z2721">
        <f>'raw data Crude oil'!Z2722</f>
        <v>0</v>
      </c>
      <c r="AA2721">
        <f>'raw data Crude oil'!AA2722</f>
        <v>0</v>
      </c>
      <c r="AB2721">
        <f>'raw data Crude oil'!AB2722</f>
        <v>0</v>
      </c>
      <c r="AC2721">
        <f>'raw data Crude oil'!AC2722</f>
        <v>0</v>
      </c>
      <c r="AD2721">
        <f>'raw data Crude oil'!AD2722</f>
        <v>0</v>
      </c>
      <c r="AE2721">
        <f>'raw data Crude oil'!AE2722</f>
        <v>0</v>
      </c>
      <c r="AF2721">
        <f>'raw data Crude oil'!AF2722</f>
        <v>0</v>
      </c>
      <c r="AG2721">
        <f>'raw data Crude oil'!AG2722</f>
        <v>0</v>
      </c>
      <c r="AH2721">
        <f>'raw data Crude oil'!AH2722</f>
        <v>0</v>
      </c>
      <c r="AI2721">
        <f>'raw data Crude oil'!AI2722</f>
        <v>0</v>
      </c>
      <c r="AJ2721">
        <f>'raw data Crude oil'!AJ2722</f>
        <v>0</v>
      </c>
      <c r="AK2721">
        <f>'raw data Crude oil'!AK2722</f>
        <v>0</v>
      </c>
    </row>
    <row r="2722" spans="1:37" x14ac:dyDescent="0.3">
      <c r="A2722" s="18">
        <f>'raw data Crude oil'!A2723</f>
        <v>0</v>
      </c>
      <c r="B2722">
        <f>'raw data Crude oil'!B2723</f>
        <v>0</v>
      </c>
      <c r="C2722">
        <f>'raw data Crude oil'!C2723</f>
        <v>0</v>
      </c>
      <c r="D2722">
        <f>'raw data Crude oil'!D2723</f>
        <v>0</v>
      </c>
      <c r="E2722">
        <f>'raw data Crude oil'!E2723</f>
        <v>0</v>
      </c>
      <c r="F2722">
        <f>'raw data Crude oil'!F2723</f>
        <v>0</v>
      </c>
      <c r="G2722">
        <f>'raw data Crude oil'!G2723</f>
        <v>0</v>
      </c>
      <c r="H2722">
        <f>'raw data Crude oil'!H2723</f>
        <v>0</v>
      </c>
      <c r="I2722">
        <f>'raw data Crude oil'!I2723</f>
        <v>0</v>
      </c>
      <c r="J2722">
        <f>'raw data Crude oil'!J2723</f>
        <v>0</v>
      </c>
      <c r="K2722">
        <f>'raw data Crude oil'!K2723</f>
        <v>0</v>
      </c>
      <c r="L2722">
        <f>'raw data Crude oil'!L2723</f>
        <v>0</v>
      </c>
      <c r="M2722">
        <f>'raw data Crude oil'!M2723</f>
        <v>0</v>
      </c>
      <c r="N2722">
        <f>'raw data Crude oil'!N2723</f>
        <v>0</v>
      </c>
      <c r="O2722">
        <f>'raw data Crude oil'!O2723</f>
        <v>0</v>
      </c>
      <c r="P2722">
        <f>'raw data Crude oil'!P2723</f>
        <v>0</v>
      </c>
      <c r="Q2722">
        <f>'raw data Crude oil'!Q2723</f>
        <v>0</v>
      </c>
      <c r="R2722">
        <f>'raw data Crude oil'!R2723</f>
        <v>0</v>
      </c>
      <c r="S2722">
        <f>'raw data Crude oil'!S2723</f>
        <v>0</v>
      </c>
      <c r="T2722">
        <f>'raw data Crude oil'!T2723</f>
        <v>0</v>
      </c>
      <c r="U2722">
        <f>'raw data Crude oil'!U2723</f>
        <v>0</v>
      </c>
      <c r="V2722">
        <f>'raw data Crude oil'!V2723</f>
        <v>0</v>
      </c>
      <c r="W2722">
        <f>'raw data Crude oil'!W2723</f>
        <v>0</v>
      </c>
      <c r="X2722">
        <f>'raw data Crude oil'!X2723</f>
        <v>0</v>
      </c>
      <c r="Y2722">
        <f>'raw data Crude oil'!Y2723</f>
        <v>0</v>
      </c>
      <c r="Z2722">
        <f>'raw data Crude oil'!Z2723</f>
        <v>0</v>
      </c>
      <c r="AA2722">
        <f>'raw data Crude oil'!AA2723</f>
        <v>0</v>
      </c>
      <c r="AB2722">
        <f>'raw data Crude oil'!AB2723</f>
        <v>0</v>
      </c>
      <c r="AC2722">
        <f>'raw data Crude oil'!AC2723</f>
        <v>0</v>
      </c>
      <c r="AD2722">
        <f>'raw data Crude oil'!AD2723</f>
        <v>0</v>
      </c>
      <c r="AE2722">
        <f>'raw data Crude oil'!AE2723</f>
        <v>0</v>
      </c>
      <c r="AF2722">
        <f>'raw data Crude oil'!AF2723</f>
        <v>0</v>
      </c>
      <c r="AG2722">
        <f>'raw data Crude oil'!AG2723</f>
        <v>0</v>
      </c>
      <c r="AH2722">
        <f>'raw data Crude oil'!AH2723</f>
        <v>0</v>
      </c>
      <c r="AI2722">
        <f>'raw data Crude oil'!AI2723</f>
        <v>0</v>
      </c>
      <c r="AJ2722">
        <f>'raw data Crude oil'!AJ2723</f>
        <v>0</v>
      </c>
      <c r="AK2722">
        <f>'raw data Crude oil'!AK2723</f>
        <v>0</v>
      </c>
    </row>
    <row r="2723" spans="1:37" x14ac:dyDescent="0.3">
      <c r="A2723" s="18">
        <f>'raw data Crude oil'!A2724</f>
        <v>0</v>
      </c>
      <c r="B2723">
        <f>'raw data Crude oil'!B2724</f>
        <v>0</v>
      </c>
      <c r="C2723">
        <f>'raw data Crude oil'!C2724</f>
        <v>0</v>
      </c>
      <c r="D2723">
        <f>'raw data Crude oil'!D2724</f>
        <v>0</v>
      </c>
      <c r="E2723">
        <f>'raw data Crude oil'!E2724</f>
        <v>0</v>
      </c>
      <c r="F2723">
        <f>'raw data Crude oil'!F2724</f>
        <v>0</v>
      </c>
      <c r="G2723">
        <f>'raw data Crude oil'!G2724</f>
        <v>0</v>
      </c>
      <c r="H2723">
        <f>'raw data Crude oil'!H2724</f>
        <v>0</v>
      </c>
      <c r="I2723">
        <f>'raw data Crude oil'!I2724</f>
        <v>0</v>
      </c>
      <c r="J2723">
        <f>'raw data Crude oil'!J2724</f>
        <v>0</v>
      </c>
      <c r="K2723">
        <f>'raw data Crude oil'!K2724</f>
        <v>0</v>
      </c>
      <c r="L2723">
        <f>'raw data Crude oil'!L2724</f>
        <v>0</v>
      </c>
      <c r="M2723">
        <f>'raw data Crude oil'!M2724</f>
        <v>0</v>
      </c>
      <c r="N2723">
        <f>'raw data Crude oil'!N2724</f>
        <v>0</v>
      </c>
      <c r="O2723">
        <f>'raw data Crude oil'!O2724</f>
        <v>0</v>
      </c>
      <c r="P2723">
        <f>'raw data Crude oil'!P2724</f>
        <v>0</v>
      </c>
      <c r="Q2723">
        <f>'raw data Crude oil'!Q2724</f>
        <v>0</v>
      </c>
      <c r="R2723">
        <f>'raw data Crude oil'!R2724</f>
        <v>0</v>
      </c>
      <c r="S2723">
        <f>'raw data Crude oil'!S2724</f>
        <v>0</v>
      </c>
      <c r="T2723">
        <f>'raw data Crude oil'!T2724</f>
        <v>0</v>
      </c>
      <c r="U2723">
        <f>'raw data Crude oil'!U2724</f>
        <v>0</v>
      </c>
      <c r="V2723">
        <f>'raw data Crude oil'!V2724</f>
        <v>0</v>
      </c>
      <c r="W2723">
        <f>'raw data Crude oil'!W2724</f>
        <v>0</v>
      </c>
      <c r="X2723">
        <f>'raw data Crude oil'!X2724</f>
        <v>0</v>
      </c>
      <c r="Y2723">
        <f>'raw data Crude oil'!Y2724</f>
        <v>0</v>
      </c>
      <c r="Z2723">
        <f>'raw data Crude oil'!Z2724</f>
        <v>0</v>
      </c>
      <c r="AA2723">
        <f>'raw data Crude oil'!AA2724</f>
        <v>0</v>
      </c>
      <c r="AB2723">
        <f>'raw data Crude oil'!AB2724</f>
        <v>0</v>
      </c>
      <c r="AC2723">
        <f>'raw data Crude oil'!AC2724</f>
        <v>0</v>
      </c>
      <c r="AD2723">
        <f>'raw data Crude oil'!AD2724</f>
        <v>0</v>
      </c>
      <c r="AE2723">
        <f>'raw data Crude oil'!AE2724</f>
        <v>0</v>
      </c>
      <c r="AF2723">
        <f>'raw data Crude oil'!AF2724</f>
        <v>0</v>
      </c>
      <c r="AG2723">
        <f>'raw data Crude oil'!AG2724</f>
        <v>0</v>
      </c>
      <c r="AH2723">
        <f>'raw data Crude oil'!AH2724</f>
        <v>0</v>
      </c>
      <c r="AI2723">
        <f>'raw data Crude oil'!AI2724</f>
        <v>0</v>
      </c>
      <c r="AJ2723">
        <f>'raw data Crude oil'!AJ2724</f>
        <v>0</v>
      </c>
      <c r="AK2723">
        <f>'raw data Crude oil'!AK2724</f>
        <v>0</v>
      </c>
    </row>
    <row r="2724" spans="1:37" x14ac:dyDescent="0.3">
      <c r="A2724" s="18">
        <f>'raw data Crude oil'!A2725</f>
        <v>0</v>
      </c>
      <c r="B2724">
        <f>'raw data Crude oil'!B2725</f>
        <v>0</v>
      </c>
      <c r="C2724">
        <f>'raw data Crude oil'!C2725</f>
        <v>0</v>
      </c>
      <c r="D2724">
        <f>'raw data Crude oil'!D2725</f>
        <v>0</v>
      </c>
      <c r="E2724">
        <f>'raw data Crude oil'!E2725</f>
        <v>0</v>
      </c>
      <c r="F2724">
        <f>'raw data Crude oil'!F2725</f>
        <v>0</v>
      </c>
      <c r="G2724">
        <f>'raw data Crude oil'!G2725</f>
        <v>0</v>
      </c>
      <c r="H2724">
        <f>'raw data Crude oil'!H2725</f>
        <v>0</v>
      </c>
      <c r="I2724">
        <f>'raw data Crude oil'!I2725</f>
        <v>0</v>
      </c>
      <c r="J2724">
        <f>'raw data Crude oil'!J2725</f>
        <v>0</v>
      </c>
      <c r="K2724">
        <f>'raw data Crude oil'!K2725</f>
        <v>0</v>
      </c>
      <c r="L2724">
        <f>'raw data Crude oil'!L2725</f>
        <v>0</v>
      </c>
      <c r="M2724">
        <f>'raw data Crude oil'!M2725</f>
        <v>0</v>
      </c>
      <c r="N2724">
        <f>'raw data Crude oil'!N2725</f>
        <v>0</v>
      </c>
      <c r="O2724">
        <f>'raw data Crude oil'!O2725</f>
        <v>0</v>
      </c>
      <c r="P2724">
        <f>'raw data Crude oil'!P2725</f>
        <v>0</v>
      </c>
      <c r="Q2724">
        <f>'raw data Crude oil'!Q2725</f>
        <v>0</v>
      </c>
      <c r="R2724">
        <f>'raw data Crude oil'!R2725</f>
        <v>0</v>
      </c>
      <c r="S2724">
        <f>'raw data Crude oil'!S2725</f>
        <v>0</v>
      </c>
      <c r="T2724">
        <f>'raw data Crude oil'!T2725</f>
        <v>0</v>
      </c>
      <c r="U2724">
        <f>'raw data Crude oil'!U2725</f>
        <v>0</v>
      </c>
      <c r="V2724">
        <f>'raw data Crude oil'!V2725</f>
        <v>0</v>
      </c>
      <c r="W2724">
        <f>'raw data Crude oil'!W2725</f>
        <v>0</v>
      </c>
      <c r="X2724">
        <f>'raw data Crude oil'!X2725</f>
        <v>0</v>
      </c>
      <c r="Y2724">
        <f>'raw data Crude oil'!Y2725</f>
        <v>0</v>
      </c>
      <c r="Z2724">
        <f>'raw data Crude oil'!Z2725</f>
        <v>0</v>
      </c>
      <c r="AA2724">
        <f>'raw data Crude oil'!AA2725</f>
        <v>0</v>
      </c>
      <c r="AB2724">
        <f>'raw data Crude oil'!AB2725</f>
        <v>0</v>
      </c>
      <c r="AC2724">
        <f>'raw data Crude oil'!AC2725</f>
        <v>0</v>
      </c>
      <c r="AD2724">
        <f>'raw data Crude oil'!AD2725</f>
        <v>0</v>
      </c>
      <c r="AE2724">
        <f>'raw data Crude oil'!AE2725</f>
        <v>0</v>
      </c>
      <c r="AF2724">
        <f>'raw data Crude oil'!AF2725</f>
        <v>0</v>
      </c>
      <c r="AG2724">
        <f>'raw data Crude oil'!AG2725</f>
        <v>0</v>
      </c>
      <c r="AH2724">
        <f>'raw data Crude oil'!AH2725</f>
        <v>0</v>
      </c>
      <c r="AI2724">
        <f>'raw data Crude oil'!AI2725</f>
        <v>0</v>
      </c>
      <c r="AJ2724">
        <f>'raw data Crude oil'!AJ2725</f>
        <v>0</v>
      </c>
      <c r="AK2724">
        <f>'raw data Crude oil'!AK2725</f>
        <v>0</v>
      </c>
    </row>
    <row r="2725" spans="1:37" x14ac:dyDescent="0.3">
      <c r="A2725" s="18">
        <f>'raw data Crude oil'!A2726</f>
        <v>0</v>
      </c>
      <c r="B2725">
        <f>'raw data Crude oil'!B2726</f>
        <v>0</v>
      </c>
      <c r="C2725">
        <f>'raw data Crude oil'!C2726</f>
        <v>0</v>
      </c>
      <c r="D2725">
        <f>'raw data Crude oil'!D2726</f>
        <v>0</v>
      </c>
      <c r="E2725">
        <f>'raw data Crude oil'!E2726</f>
        <v>0</v>
      </c>
      <c r="F2725">
        <f>'raw data Crude oil'!F2726</f>
        <v>0</v>
      </c>
      <c r="G2725">
        <f>'raw data Crude oil'!G2726</f>
        <v>0</v>
      </c>
      <c r="H2725">
        <f>'raw data Crude oil'!H2726</f>
        <v>0</v>
      </c>
      <c r="I2725">
        <f>'raw data Crude oil'!I2726</f>
        <v>0</v>
      </c>
      <c r="J2725">
        <f>'raw data Crude oil'!J2726</f>
        <v>0</v>
      </c>
      <c r="K2725">
        <f>'raw data Crude oil'!K2726</f>
        <v>0</v>
      </c>
      <c r="L2725">
        <f>'raw data Crude oil'!L2726</f>
        <v>0</v>
      </c>
      <c r="M2725">
        <f>'raw data Crude oil'!M2726</f>
        <v>0</v>
      </c>
      <c r="N2725">
        <f>'raw data Crude oil'!N2726</f>
        <v>0</v>
      </c>
      <c r="O2725">
        <f>'raw data Crude oil'!O2726</f>
        <v>0</v>
      </c>
      <c r="P2725">
        <f>'raw data Crude oil'!P2726</f>
        <v>0</v>
      </c>
      <c r="Q2725">
        <f>'raw data Crude oil'!Q2726</f>
        <v>0</v>
      </c>
      <c r="R2725">
        <f>'raw data Crude oil'!R2726</f>
        <v>0</v>
      </c>
      <c r="S2725">
        <f>'raw data Crude oil'!S2726</f>
        <v>0</v>
      </c>
      <c r="T2725">
        <f>'raw data Crude oil'!T2726</f>
        <v>0</v>
      </c>
      <c r="U2725">
        <f>'raw data Crude oil'!U2726</f>
        <v>0</v>
      </c>
      <c r="V2725">
        <f>'raw data Crude oil'!V2726</f>
        <v>0</v>
      </c>
      <c r="W2725">
        <f>'raw data Crude oil'!W2726</f>
        <v>0</v>
      </c>
      <c r="X2725">
        <f>'raw data Crude oil'!X2726</f>
        <v>0</v>
      </c>
      <c r="Y2725">
        <f>'raw data Crude oil'!Y2726</f>
        <v>0</v>
      </c>
      <c r="Z2725">
        <f>'raw data Crude oil'!Z2726</f>
        <v>0</v>
      </c>
      <c r="AA2725">
        <f>'raw data Crude oil'!AA2726</f>
        <v>0</v>
      </c>
      <c r="AB2725">
        <f>'raw data Crude oil'!AB2726</f>
        <v>0</v>
      </c>
      <c r="AC2725">
        <f>'raw data Crude oil'!AC2726</f>
        <v>0</v>
      </c>
      <c r="AD2725">
        <f>'raw data Crude oil'!AD2726</f>
        <v>0</v>
      </c>
      <c r="AE2725">
        <f>'raw data Crude oil'!AE2726</f>
        <v>0</v>
      </c>
      <c r="AF2725">
        <f>'raw data Crude oil'!AF2726</f>
        <v>0</v>
      </c>
      <c r="AG2725">
        <f>'raw data Crude oil'!AG2726</f>
        <v>0</v>
      </c>
      <c r="AH2725">
        <f>'raw data Crude oil'!AH2726</f>
        <v>0</v>
      </c>
      <c r="AI2725">
        <f>'raw data Crude oil'!AI2726</f>
        <v>0</v>
      </c>
      <c r="AJ2725">
        <f>'raw data Crude oil'!AJ2726</f>
        <v>0</v>
      </c>
      <c r="AK2725">
        <f>'raw data Crude oil'!AK2726</f>
        <v>0</v>
      </c>
    </row>
    <row r="2726" spans="1:37" x14ac:dyDescent="0.3">
      <c r="A2726" s="18">
        <f>'raw data Crude oil'!A2727</f>
        <v>0</v>
      </c>
      <c r="B2726">
        <f>'raw data Crude oil'!B2727</f>
        <v>0</v>
      </c>
      <c r="C2726">
        <f>'raw data Crude oil'!C2727</f>
        <v>0</v>
      </c>
      <c r="D2726">
        <f>'raw data Crude oil'!D2727</f>
        <v>0</v>
      </c>
      <c r="E2726">
        <f>'raw data Crude oil'!E2727</f>
        <v>0</v>
      </c>
      <c r="F2726">
        <f>'raw data Crude oil'!F2727</f>
        <v>0</v>
      </c>
      <c r="G2726">
        <f>'raw data Crude oil'!G2727</f>
        <v>0</v>
      </c>
      <c r="H2726">
        <f>'raw data Crude oil'!H2727</f>
        <v>0</v>
      </c>
      <c r="I2726">
        <f>'raw data Crude oil'!I2727</f>
        <v>0</v>
      </c>
      <c r="J2726">
        <f>'raw data Crude oil'!J2727</f>
        <v>0</v>
      </c>
      <c r="K2726">
        <f>'raw data Crude oil'!K2727</f>
        <v>0</v>
      </c>
      <c r="L2726">
        <f>'raw data Crude oil'!L2727</f>
        <v>0</v>
      </c>
      <c r="M2726">
        <f>'raw data Crude oil'!M2727</f>
        <v>0</v>
      </c>
      <c r="N2726">
        <f>'raw data Crude oil'!N2727</f>
        <v>0</v>
      </c>
      <c r="O2726">
        <f>'raw data Crude oil'!O2727</f>
        <v>0</v>
      </c>
      <c r="P2726">
        <f>'raw data Crude oil'!P2727</f>
        <v>0</v>
      </c>
      <c r="Q2726">
        <f>'raw data Crude oil'!Q2727</f>
        <v>0</v>
      </c>
      <c r="R2726">
        <f>'raw data Crude oil'!R2727</f>
        <v>0</v>
      </c>
      <c r="S2726">
        <f>'raw data Crude oil'!S2727</f>
        <v>0</v>
      </c>
      <c r="T2726">
        <f>'raw data Crude oil'!T2727</f>
        <v>0</v>
      </c>
      <c r="U2726">
        <f>'raw data Crude oil'!U2727</f>
        <v>0</v>
      </c>
      <c r="V2726">
        <f>'raw data Crude oil'!V2727</f>
        <v>0</v>
      </c>
      <c r="W2726">
        <f>'raw data Crude oil'!W2727</f>
        <v>0</v>
      </c>
      <c r="X2726">
        <f>'raw data Crude oil'!X2727</f>
        <v>0</v>
      </c>
      <c r="Y2726">
        <f>'raw data Crude oil'!Y2727</f>
        <v>0</v>
      </c>
      <c r="Z2726">
        <f>'raw data Crude oil'!Z2727</f>
        <v>0</v>
      </c>
      <c r="AA2726">
        <f>'raw data Crude oil'!AA2727</f>
        <v>0</v>
      </c>
      <c r="AB2726">
        <f>'raw data Crude oil'!AB2727</f>
        <v>0</v>
      </c>
      <c r="AC2726">
        <f>'raw data Crude oil'!AC2727</f>
        <v>0</v>
      </c>
      <c r="AD2726">
        <f>'raw data Crude oil'!AD2727</f>
        <v>0</v>
      </c>
      <c r="AE2726">
        <f>'raw data Crude oil'!AE2727</f>
        <v>0</v>
      </c>
      <c r="AF2726">
        <f>'raw data Crude oil'!AF2727</f>
        <v>0</v>
      </c>
      <c r="AG2726">
        <f>'raw data Crude oil'!AG2727</f>
        <v>0</v>
      </c>
      <c r="AH2726">
        <f>'raw data Crude oil'!AH2727</f>
        <v>0</v>
      </c>
      <c r="AI2726">
        <f>'raw data Crude oil'!AI2727</f>
        <v>0</v>
      </c>
      <c r="AJ2726">
        <f>'raw data Crude oil'!AJ2727</f>
        <v>0</v>
      </c>
      <c r="AK2726">
        <f>'raw data Crude oil'!AK2727</f>
        <v>0</v>
      </c>
    </row>
    <row r="2727" spans="1:37" x14ac:dyDescent="0.3">
      <c r="A2727" s="18">
        <f>'raw data Crude oil'!A2728</f>
        <v>0</v>
      </c>
      <c r="B2727">
        <f>'raw data Crude oil'!B2728</f>
        <v>0</v>
      </c>
      <c r="C2727">
        <f>'raw data Crude oil'!C2728</f>
        <v>0</v>
      </c>
      <c r="D2727">
        <f>'raw data Crude oil'!D2728</f>
        <v>0</v>
      </c>
      <c r="E2727">
        <f>'raw data Crude oil'!E2728</f>
        <v>0</v>
      </c>
      <c r="F2727">
        <f>'raw data Crude oil'!F2728</f>
        <v>0</v>
      </c>
      <c r="G2727">
        <f>'raw data Crude oil'!G2728</f>
        <v>0</v>
      </c>
      <c r="H2727">
        <f>'raw data Crude oil'!H2728</f>
        <v>0</v>
      </c>
      <c r="I2727">
        <f>'raw data Crude oil'!I2728</f>
        <v>0</v>
      </c>
      <c r="J2727">
        <f>'raw data Crude oil'!J2728</f>
        <v>0</v>
      </c>
      <c r="K2727">
        <f>'raw data Crude oil'!K2728</f>
        <v>0</v>
      </c>
      <c r="L2727">
        <f>'raw data Crude oil'!L2728</f>
        <v>0</v>
      </c>
      <c r="M2727">
        <f>'raw data Crude oil'!M2728</f>
        <v>0</v>
      </c>
      <c r="N2727">
        <f>'raw data Crude oil'!N2728</f>
        <v>0</v>
      </c>
      <c r="O2727">
        <f>'raw data Crude oil'!O2728</f>
        <v>0</v>
      </c>
      <c r="P2727">
        <f>'raw data Crude oil'!P2728</f>
        <v>0</v>
      </c>
      <c r="Q2727">
        <f>'raw data Crude oil'!Q2728</f>
        <v>0</v>
      </c>
      <c r="R2727">
        <f>'raw data Crude oil'!R2728</f>
        <v>0</v>
      </c>
      <c r="S2727">
        <f>'raw data Crude oil'!S2728</f>
        <v>0</v>
      </c>
      <c r="T2727">
        <f>'raw data Crude oil'!T2728</f>
        <v>0</v>
      </c>
      <c r="U2727">
        <f>'raw data Crude oil'!U2728</f>
        <v>0</v>
      </c>
      <c r="V2727">
        <f>'raw data Crude oil'!V2728</f>
        <v>0</v>
      </c>
      <c r="W2727">
        <f>'raw data Crude oil'!W2728</f>
        <v>0</v>
      </c>
      <c r="X2727">
        <f>'raw data Crude oil'!X2728</f>
        <v>0</v>
      </c>
      <c r="Y2727">
        <f>'raw data Crude oil'!Y2728</f>
        <v>0</v>
      </c>
      <c r="Z2727">
        <f>'raw data Crude oil'!Z2728</f>
        <v>0</v>
      </c>
      <c r="AA2727">
        <f>'raw data Crude oil'!AA2728</f>
        <v>0</v>
      </c>
      <c r="AB2727">
        <f>'raw data Crude oil'!AB2728</f>
        <v>0</v>
      </c>
      <c r="AC2727">
        <f>'raw data Crude oil'!AC2728</f>
        <v>0</v>
      </c>
      <c r="AD2727">
        <f>'raw data Crude oil'!AD2728</f>
        <v>0</v>
      </c>
      <c r="AE2727">
        <f>'raw data Crude oil'!AE2728</f>
        <v>0</v>
      </c>
      <c r="AF2727">
        <f>'raw data Crude oil'!AF2728</f>
        <v>0</v>
      </c>
      <c r="AG2727">
        <f>'raw data Crude oil'!AG2728</f>
        <v>0</v>
      </c>
      <c r="AH2727">
        <f>'raw data Crude oil'!AH2728</f>
        <v>0</v>
      </c>
      <c r="AI2727">
        <f>'raw data Crude oil'!AI2728</f>
        <v>0</v>
      </c>
      <c r="AJ2727">
        <f>'raw data Crude oil'!AJ2728</f>
        <v>0</v>
      </c>
      <c r="AK2727">
        <f>'raw data Crude oil'!AK2728</f>
        <v>0</v>
      </c>
    </row>
    <row r="2728" spans="1:37" x14ac:dyDescent="0.3">
      <c r="A2728" s="18">
        <f>'raw data Crude oil'!A2729</f>
        <v>0</v>
      </c>
      <c r="B2728">
        <f>'raw data Crude oil'!B2729</f>
        <v>0</v>
      </c>
      <c r="C2728">
        <f>'raw data Crude oil'!C2729</f>
        <v>0</v>
      </c>
      <c r="D2728">
        <f>'raw data Crude oil'!D2729</f>
        <v>0</v>
      </c>
      <c r="E2728">
        <f>'raw data Crude oil'!E2729</f>
        <v>0</v>
      </c>
      <c r="F2728">
        <f>'raw data Crude oil'!F2729</f>
        <v>0</v>
      </c>
      <c r="G2728">
        <f>'raw data Crude oil'!G2729</f>
        <v>0</v>
      </c>
      <c r="H2728">
        <f>'raw data Crude oil'!H2729</f>
        <v>0</v>
      </c>
      <c r="I2728">
        <f>'raw data Crude oil'!I2729</f>
        <v>0</v>
      </c>
      <c r="J2728">
        <f>'raw data Crude oil'!J2729</f>
        <v>0</v>
      </c>
      <c r="K2728">
        <f>'raw data Crude oil'!K2729</f>
        <v>0</v>
      </c>
      <c r="L2728">
        <f>'raw data Crude oil'!L2729</f>
        <v>0</v>
      </c>
      <c r="M2728">
        <f>'raw data Crude oil'!M2729</f>
        <v>0</v>
      </c>
      <c r="N2728">
        <f>'raw data Crude oil'!N2729</f>
        <v>0</v>
      </c>
      <c r="O2728">
        <f>'raw data Crude oil'!O2729</f>
        <v>0</v>
      </c>
      <c r="P2728">
        <f>'raw data Crude oil'!P2729</f>
        <v>0</v>
      </c>
      <c r="Q2728">
        <f>'raw data Crude oil'!Q2729</f>
        <v>0</v>
      </c>
      <c r="R2728">
        <f>'raw data Crude oil'!R2729</f>
        <v>0</v>
      </c>
      <c r="S2728">
        <f>'raw data Crude oil'!S2729</f>
        <v>0</v>
      </c>
      <c r="T2728">
        <f>'raw data Crude oil'!T2729</f>
        <v>0</v>
      </c>
      <c r="U2728">
        <f>'raw data Crude oil'!U2729</f>
        <v>0</v>
      </c>
      <c r="V2728">
        <f>'raw data Crude oil'!V2729</f>
        <v>0</v>
      </c>
      <c r="W2728">
        <f>'raw data Crude oil'!W2729</f>
        <v>0</v>
      </c>
      <c r="X2728">
        <f>'raw data Crude oil'!X2729</f>
        <v>0</v>
      </c>
      <c r="Y2728">
        <f>'raw data Crude oil'!Y2729</f>
        <v>0</v>
      </c>
      <c r="Z2728">
        <f>'raw data Crude oil'!Z2729</f>
        <v>0</v>
      </c>
      <c r="AA2728">
        <f>'raw data Crude oil'!AA2729</f>
        <v>0</v>
      </c>
      <c r="AB2728">
        <f>'raw data Crude oil'!AB2729</f>
        <v>0</v>
      </c>
      <c r="AC2728">
        <f>'raw data Crude oil'!AC2729</f>
        <v>0</v>
      </c>
      <c r="AD2728">
        <f>'raw data Crude oil'!AD2729</f>
        <v>0</v>
      </c>
      <c r="AE2728">
        <f>'raw data Crude oil'!AE2729</f>
        <v>0</v>
      </c>
      <c r="AF2728">
        <f>'raw data Crude oil'!AF2729</f>
        <v>0</v>
      </c>
      <c r="AG2728">
        <f>'raw data Crude oil'!AG2729</f>
        <v>0</v>
      </c>
      <c r="AH2728">
        <f>'raw data Crude oil'!AH2729</f>
        <v>0</v>
      </c>
      <c r="AI2728">
        <f>'raw data Crude oil'!AI2729</f>
        <v>0</v>
      </c>
      <c r="AJ2728">
        <f>'raw data Crude oil'!AJ2729</f>
        <v>0</v>
      </c>
      <c r="AK2728">
        <f>'raw data Crude oil'!AK2729</f>
        <v>0</v>
      </c>
    </row>
    <row r="2729" spans="1:37" x14ac:dyDescent="0.3">
      <c r="A2729" s="18">
        <f>'raw data Crude oil'!A2730</f>
        <v>0</v>
      </c>
      <c r="B2729">
        <f>'raw data Crude oil'!B2730</f>
        <v>0</v>
      </c>
      <c r="C2729">
        <f>'raw data Crude oil'!C2730</f>
        <v>0</v>
      </c>
      <c r="D2729">
        <f>'raw data Crude oil'!D2730</f>
        <v>0</v>
      </c>
      <c r="E2729">
        <f>'raw data Crude oil'!E2730</f>
        <v>0</v>
      </c>
      <c r="F2729">
        <f>'raw data Crude oil'!F2730</f>
        <v>0</v>
      </c>
      <c r="G2729">
        <f>'raw data Crude oil'!G2730</f>
        <v>0</v>
      </c>
      <c r="H2729">
        <f>'raw data Crude oil'!H2730</f>
        <v>0</v>
      </c>
      <c r="I2729">
        <f>'raw data Crude oil'!I2730</f>
        <v>0</v>
      </c>
      <c r="J2729">
        <f>'raw data Crude oil'!J2730</f>
        <v>0</v>
      </c>
      <c r="K2729">
        <f>'raw data Crude oil'!K2730</f>
        <v>0</v>
      </c>
      <c r="L2729">
        <f>'raw data Crude oil'!L2730</f>
        <v>0</v>
      </c>
      <c r="M2729">
        <f>'raw data Crude oil'!M2730</f>
        <v>0</v>
      </c>
      <c r="N2729">
        <f>'raw data Crude oil'!N2730</f>
        <v>0</v>
      </c>
      <c r="O2729">
        <f>'raw data Crude oil'!O2730</f>
        <v>0</v>
      </c>
      <c r="P2729">
        <f>'raw data Crude oil'!P2730</f>
        <v>0</v>
      </c>
      <c r="Q2729">
        <f>'raw data Crude oil'!Q2730</f>
        <v>0</v>
      </c>
      <c r="R2729">
        <f>'raw data Crude oil'!R2730</f>
        <v>0</v>
      </c>
      <c r="S2729">
        <f>'raw data Crude oil'!S2730</f>
        <v>0</v>
      </c>
      <c r="T2729">
        <f>'raw data Crude oil'!T2730</f>
        <v>0</v>
      </c>
      <c r="U2729">
        <f>'raw data Crude oil'!U2730</f>
        <v>0</v>
      </c>
      <c r="V2729">
        <f>'raw data Crude oil'!V2730</f>
        <v>0</v>
      </c>
      <c r="W2729">
        <f>'raw data Crude oil'!W2730</f>
        <v>0</v>
      </c>
      <c r="X2729">
        <f>'raw data Crude oil'!X2730</f>
        <v>0</v>
      </c>
      <c r="Y2729">
        <f>'raw data Crude oil'!Y2730</f>
        <v>0</v>
      </c>
      <c r="Z2729">
        <f>'raw data Crude oil'!Z2730</f>
        <v>0</v>
      </c>
      <c r="AA2729">
        <f>'raw data Crude oil'!AA2730</f>
        <v>0</v>
      </c>
      <c r="AB2729">
        <f>'raw data Crude oil'!AB2730</f>
        <v>0</v>
      </c>
      <c r="AC2729">
        <f>'raw data Crude oil'!AC2730</f>
        <v>0</v>
      </c>
      <c r="AD2729">
        <f>'raw data Crude oil'!AD2730</f>
        <v>0</v>
      </c>
      <c r="AE2729">
        <f>'raw data Crude oil'!AE2730</f>
        <v>0</v>
      </c>
      <c r="AF2729">
        <f>'raw data Crude oil'!AF2730</f>
        <v>0</v>
      </c>
      <c r="AG2729">
        <f>'raw data Crude oil'!AG2730</f>
        <v>0</v>
      </c>
      <c r="AH2729">
        <f>'raw data Crude oil'!AH2730</f>
        <v>0</v>
      </c>
      <c r="AI2729">
        <f>'raw data Crude oil'!AI2730</f>
        <v>0</v>
      </c>
      <c r="AJ2729">
        <f>'raw data Crude oil'!AJ2730</f>
        <v>0</v>
      </c>
      <c r="AK2729">
        <f>'raw data Crude oil'!AK2730</f>
        <v>0</v>
      </c>
    </row>
    <row r="2730" spans="1:37" x14ac:dyDescent="0.3">
      <c r="A2730" s="18">
        <f>'raw data Crude oil'!A2731</f>
        <v>0</v>
      </c>
      <c r="B2730">
        <f>'raw data Crude oil'!B2731</f>
        <v>0</v>
      </c>
      <c r="C2730">
        <f>'raw data Crude oil'!C2731</f>
        <v>0</v>
      </c>
      <c r="D2730">
        <f>'raw data Crude oil'!D2731</f>
        <v>0</v>
      </c>
      <c r="E2730">
        <f>'raw data Crude oil'!E2731</f>
        <v>0</v>
      </c>
      <c r="F2730">
        <f>'raw data Crude oil'!F2731</f>
        <v>0</v>
      </c>
      <c r="G2730">
        <f>'raw data Crude oil'!G2731</f>
        <v>0</v>
      </c>
      <c r="H2730">
        <f>'raw data Crude oil'!H2731</f>
        <v>0</v>
      </c>
      <c r="I2730">
        <f>'raw data Crude oil'!I2731</f>
        <v>0</v>
      </c>
      <c r="J2730">
        <f>'raw data Crude oil'!J2731</f>
        <v>0</v>
      </c>
      <c r="K2730">
        <f>'raw data Crude oil'!K2731</f>
        <v>0</v>
      </c>
      <c r="L2730">
        <f>'raw data Crude oil'!L2731</f>
        <v>0</v>
      </c>
      <c r="M2730">
        <f>'raw data Crude oil'!M2731</f>
        <v>0</v>
      </c>
      <c r="N2730">
        <f>'raw data Crude oil'!N2731</f>
        <v>0</v>
      </c>
      <c r="O2730">
        <f>'raw data Crude oil'!O2731</f>
        <v>0</v>
      </c>
      <c r="P2730">
        <f>'raw data Crude oil'!P2731</f>
        <v>0</v>
      </c>
      <c r="Q2730">
        <f>'raw data Crude oil'!Q2731</f>
        <v>0</v>
      </c>
      <c r="R2730">
        <f>'raw data Crude oil'!R2731</f>
        <v>0</v>
      </c>
      <c r="S2730">
        <f>'raw data Crude oil'!S2731</f>
        <v>0</v>
      </c>
      <c r="T2730">
        <f>'raw data Crude oil'!T2731</f>
        <v>0</v>
      </c>
      <c r="U2730">
        <f>'raw data Crude oil'!U2731</f>
        <v>0</v>
      </c>
      <c r="V2730">
        <f>'raw data Crude oil'!V2731</f>
        <v>0</v>
      </c>
      <c r="W2730">
        <f>'raw data Crude oil'!W2731</f>
        <v>0</v>
      </c>
      <c r="X2730">
        <f>'raw data Crude oil'!X2731</f>
        <v>0</v>
      </c>
      <c r="Y2730">
        <f>'raw data Crude oil'!Y2731</f>
        <v>0</v>
      </c>
      <c r="Z2730">
        <f>'raw data Crude oil'!Z2731</f>
        <v>0</v>
      </c>
      <c r="AA2730">
        <f>'raw data Crude oil'!AA2731</f>
        <v>0</v>
      </c>
      <c r="AB2730">
        <f>'raw data Crude oil'!AB2731</f>
        <v>0</v>
      </c>
      <c r="AC2730">
        <f>'raw data Crude oil'!AC2731</f>
        <v>0</v>
      </c>
      <c r="AD2730">
        <f>'raw data Crude oil'!AD2731</f>
        <v>0</v>
      </c>
      <c r="AE2730">
        <f>'raw data Crude oil'!AE2731</f>
        <v>0</v>
      </c>
      <c r="AF2730">
        <f>'raw data Crude oil'!AF2731</f>
        <v>0</v>
      </c>
      <c r="AG2730">
        <f>'raw data Crude oil'!AG2731</f>
        <v>0</v>
      </c>
      <c r="AH2730">
        <f>'raw data Crude oil'!AH2731</f>
        <v>0</v>
      </c>
      <c r="AI2730">
        <f>'raw data Crude oil'!AI2731</f>
        <v>0</v>
      </c>
      <c r="AJ2730">
        <f>'raw data Crude oil'!AJ2731</f>
        <v>0</v>
      </c>
      <c r="AK2730">
        <f>'raw data Crude oil'!AK2731</f>
        <v>0</v>
      </c>
    </row>
    <row r="2731" spans="1:37" x14ac:dyDescent="0.3">
      <c r="A2731" s="18">
        <f>'raw data Crude oil'!A2732</f>
        <v>0</v>
      </c>
      <c r="B2731">
        <f>'raw data Crude oil'!B2732</f>
        <v>0</v>
      </c>
      <c r="C2731">
        <f>'raw data Crude oil'!C2732</f>
        <v>0</v>
      </c>
      <c r="D2731">
        <f>'raw data Crude oil'!D2732</f>
        <v>0</v>
      </c>
      <c r="E2731">
        <f>'raw data Crude oil'!E2732</f>
        <v>0</v>
      </c>
      <c r="F2731">
        <f>'raw data Crude oil'!F2732</f>
        <v>0</v>
      </c>
      <c r="G2731">
        <f>'raw data Crude oil'!G2732</f>
        <v>0</v>
      </c>
      <c r="H2731">
        <f>'raw data Crude oil'!H2732</f>
        <v>0</v>
      </c>
      <c r="I2731">
        <f>'raw data Crude oil'!I2732</f>
        <v>0</v>
      </c>
      <c r="J2731">
        <f>'raw data Crude oil'!J2732</f>
        <v>0</v>
      </c>
      <c r="K2731">
        <f>'raw data Crude oil'!K2732</f>
        <v>0</v>
      </c>
      <c r="L2731">
        <f>'raw data Crude oil'!L2732</f>
        <v>0</v>
      </c>
      <c r="M2731">
        <f>'raw data Crude oil'!M2732</f>
        <v>0</v>
      </c>
      <c r="N2731">
        <f>'raw data Crude oil'!N2732</f>
        <v>0</v>
      </c>
      <c r="O2731">
        <f>'raw data Crude oil'!O2732</f>
        <v>0</v>
      </c>
      <c r="P2731">
        <f>'raw data Crude oil'!P2732</f>
        <v>0</v>
      </c>
      <c r="Q2731">
        <f>'raw data Crude oil'!Q2732</f>
        <v>0</v>
      </c>
      <c r="R2731">
        <f>'raw data Crude oil'!R2732</f>
        <v>0</v>
      </c>
      <c r="S2731">
        <f>'raw data Crude oil'!S2732</f>
        <v>0</v>
      </c>
      <c r="T2731">
        <f>'raw data Crude oil'!T2732</f>
        <v>0</v>
      </c>
      <c r="U2731">
        <f>'raw data Crude oil'!U2732</f>
        <v>0</v>
      </c>
      <c r="V2731">
        <f>'raw data Crude oil'!V2732</f>
        <v>0</v>
      </c>
      <c r="W2731">
        <f>'raw data Crude oil'!W2732</f>
        <v>0</v>
      </c>
      <c r="X2731">
        <f>'raw data Crude oil'!X2732</f>
        <v>0</v>
      </c>
      <c r="Y2731">
        <f>'raw data Crude oil'!Y2732</f>
        <v>0</v>
      </c>
      <c r="Z2731">
        <f>'raw data Crude oil'!Z2732</f>
        <v>0</v>
      </c>
      <c r="AA2731">
        <f>'raw data Crude oil'!AA2732</f>
        <v>0</v>
      </c>
      <c r="AB2731">
        <f>'raw data Crude oil'!AB2732</f>
        <v>0</v>
      </c>
      <c r="AC2731">
        <f>'raw data Crude oil'!AC2732</f>
        <v>0</v>
      </c>
      <c r="AD2731">
        <f>'raw data Crude oil'!AD2732</f>
        <v>0</v>
      </c>
      <c r="AE2731">
        <f>'raw data Crude oil'!AE2732</f>
        <v>0</v>
      </c>
      <c r="AF2731">
        <f>'raw data Crude oil'!AF2732</f>
        <v>0</v>
      </c>
      <c r="AG2731">
        <f>'raw data Crude oil'!AG2732</f>
        <v>0</v>
      </c>
      <c r="AH2731">
        <f>'raw data Crude oil'!AH2732</f>
        <v>0</v>
      </c>
      <c r="AI2731">
        <f>'raw data Crude oil'!AI2732</f>
        <v>0</v>
      </c>
      <c r="AJ2731">
        <f>'raw data Crude oil'!AJ2732</f>
        <v>0</v>
      </c>
      <c r="AK2731">
        <f>'raw data Crude oil'!AK2732</f>
        <v>0</v>
      </c>
    </row>
    <row r="2732" spans="1:37" x14ac:dyDescent="0.3">
      <c r="A2732" s="18">
        <f>'raw data Crude oil'!A2733</f>
        <v>0</v>
      </c>
      <c r="B2732">
        <f>'raw data Crude oil'!B2733</f>
        <v>0</v>
      </c>
      <c r="C2732">
        <f>'raw data Crude oil'!C2733</f>
        <v>0</v>
      </c>
      <c r="D2732">
        <f>'raw data Crude oil'!D2733</f>
        <v>0</v>
      </c>
      <c r="E2732">
        <f>'raw data Crude oil'!E2733</f>
        <v>0</v>
      </c>
      <c r="F2732">
        <f>'raw data Crude oil'!F2733</f>
        <v>0</v>
      </c>
      <c r="G2732">
        <f>'raw data Crude oil'!G2733</f>
        <v>0</v>
      </c>
      <c r="H2732">
        <f>'raw data Crude oil'!H2733</f>
        <v>0</v>
      </c>
      <c r="I2732">
        <f>'raw data Crude oil'!I2733</f>
        <v>0</v>
      </c>
      <c r="J2732">
        <f>'raw data Crude oil'!J2733</f>
        <v>0</v>
      </c>
      <c r="K2732">
        <f>'raw data Crude oil'!K2733</f>
        <v>0</v>
      </c>
      <c r="L2732">
        <f>'raw data Crude oil'!L2733</f>
        <v>0</v>
      </c>
      <c r="M2732">
        <f>'raw data Crude oil'!M2733</f>
        <v>0</v>
      </c>
      <c r="N2732">
        <f>'raw data Crude oil'!N2733</f>
        <v>0</v>
      </c>
      <c r="O2732">
        <f>'raw data Crude oil'!O2733</f>
        <v>0</v>
      </c>
      <c r="P2732">
        <f>'raw data Crude oil'!P2733</f>
        <v>0</v>
      </c>
      <c r="Q2732">
        <f>'raw data Crude oil'!Q2733</f>
        <v>0</v>
      </c>
      <c r="R2732">
        <f>'raw data Crude oil'!R2733</f>
        <v>0</v>
      </c>
      <c r="S2732">
        <f>'raw data Crude oil'!S2733</f>
        <v>0</v>
      </c>
      <c r="T2732">
        <f>'raw data Crude oil'!T2733</f>
        <v>0</v>
      </c>
      <c r="U2732">
        <f>'raw data Crude oil'!U2733</f>
        <v>0</v>
      </c>
      <c r="V2732">
        <f>'raw data Crude oil'!V2733</f>
        <v>0</v>
      </c>
      <c r="W2732">
        <f>'raw data Crude oil'!W2733</f>
        <v>0</v>
      </c>
      <c r="X2732">
        <f>'raw data Crude oil'!X2733</f>
        <v>0</v>
      </c>
      <c r="Y2732">
        <f>'raw data Crude oil'!Y2733</f>
        <v>0</v>
      </c>
      <c r="Z2732">
        <f>'raw data Crude oil'!Z2733</f>
        <v>0</v>
      </c>
      <c r="AA2732">
        <f>'raw data Crude oil'!AA2733</f>
        <v>0</v>
      </c>
      <c r="AB2732">
        <f>'raw data Crude oil'!AB2733</f>
        <v>0</v>
      </c>
      <c r="AC2732">
        <f>'raw data Crude oil'!AC2733</f>
        <v>0</v>
      </c>
      <c r="AD2732">
        <f>'raw data Crude oil'!AD2733</f>
        <v>0</v>
      </c>
      <c r="AE2732">
        <f>'raw data Crude oil'!AE2733</f>
        <v>0</v>
      </c>
      <c r="AF2732">
        <f>'raw data Crude oil'!AF2733</f>
        <v>0</v>
      </c>
      <c r="AG2732">
        <f>'raw data Crude oil'!AG2733</f>
        <v>0</v>
      </c>
      <c r="AH2732">
        <f>'raw data Crude oil'!AH2733</f>
        <v>0</v>
      </c>
      <c r="AI2732">
        <f>'raw data Crude oil'!AI2733</f>
        <v>0</v>
      </c>
      <c r="AJ2732">
        <f>'raw data Crude oil'!AJ2733</f>
        <v>0</v>
      </c>
      <c r="AK2732">
        <f>'raw data Crude oil'!AK2733</f>
        <v>0</v>
      </c>
    </row>
    <row r="2733" spans="1:37" x14ac:dyDescent="0.3">
      <c r="A2733" s="18">
        <f>'raw data Crude oil'!A2734</f>
        <v>0</v>
      </c>
      <c r="B2733">
        <f>'raw data Crude oil'!B2734</f>
        <v>0</v>
      </c>
      <c r="C2733">
        <f>'raw data Crude oil'!C2734</f>
        <v>0</v>
      </c>
      <c r="D2733">
        <f>'raw data Crude oil'!D2734</f>
        <v>0</v>
      </c>
      <c r="E2733">
        <f>'raw data Crude oil'!E2734</f>
        <v>0</v>
      </c>
      <c r="F2733">
        <f>'raw data Crude oil'!F2734</f>
        <v>0</v>
      </c>
      <c r="G2733">
        <f>'raw data Crude oil'!G2734</f>
        <v>0</v>
      </c>
      <c r="H2733">
        <f>'raw data Crude oil'!H2734</f>
        <v>0</v>
      </c>
      <c r="I2733">
        <f>'raw data Crude oil'!I2734</f>
        <v>0</v>
      </c>
      <c r="J2733">
        <f>'raw data Crude oil'!J2734</f>
        <v>0</v>
      </c>
      <c r="K2733">
        <f>'raw data Crude oil'!K2734</f>
        <v>0</v>
      </c>
      <c r="L2733">
        <f>'raw data Crude oil'!L2734</f>
        <v>0</v>
      </c>
      <c r="M2733">
        <f>'raw data Crude oil'!M2734</f>
        <v>0</v>
      </c>
      <c r="N2733">
        <f>'raw data Crude oil'!N2734</f>
        <v>0</v>
      </c>
      <c r="O2733">
        <f>'raw data Crude oil'!O2734</f>
        <v>0</v>
      </c>
      <c r="P2733">
        <f>'raw data Crude oil'!P2734</f>
        <v>0</v>
      </c>
      <c r="Q2733">
        <f>'raw data Crude oil'!Q2734</f>
        <v>0</v>
      </c>
      <c r="R2733">
        <f>'raw data Crude oil'!R2734</f>
        <v>0</v>
      </c>
      <c r="S2733">
        <f>'raw data Crude oil'!S2734</f>
        <v>0</v>
      </c>
      <c r="T2733">
        <f>'raw data Crude oil'!T2734</f>
        <v>0</v>
      </c>
      <c r="U2733">
        <f>'raw data Crude oil'!U2734</f>
        <v>0</v>
      </c>
      <c r="V2733">
        <f>'raw data Crude oil'!V2734</f>
        <v>0</v>
      </c>
      <c r="W2733">
        <f>'raw data Crude oil'!W2734</f>
        <v>0</v>
      </c>
      <c r="X2733">
        <f>'raw data Crude oil'!X2734</f>
        <v>0</v>
      </c>
      <c r="Y2733">
        <f>'raw data Crude oil'!Y2734</f>
        <v>0</v>
      </c>
      <c r="Z2733">
        <f>'raw data Crude oil'!Z2734</f>
        <v>0</v>
      </c>
      <c r="AA2733">
        <f>'raw data Crude oil'!AA2734</f>
        <v>0</v>
      </c>
      <c r="AB2733">
        <f>'raw data Crude oil'!AB2734</f>
        <v>0</v>
      </c>
      <c r="AC2733">
        <f>'raw data Crude oil'!AC2734</f>
        <v>0</v>
      </c>
      <c r="AD2733">
        <f>'raw data Crude oil'!AD2734</f>
        <v>0</v>
      </c>
      <c r="AE2733">
        <f>'raw data Crude oil'!AE2734</f>
        <v>0</v>
      </c>
      <c r="AF2733">
        <f>'raw data Crude oil'!AF2734</f>
        <v>0</v>
      </c>
      <c r="AG2733">
        <f>'raw data Crude oil'!AG2734</f>
        <v>0</v>
      </c>
      <c r="AH2733">
        <f>'raw data Crude oil'!AH2734</f>
        <v>0</v>
      </c>
      <c r="AI2733">
        <f>'raw data Crude oil'!AI2734</f>
        <v>0</v>
      </c>
      <c r="AJ2733">
        <f>'raw data Crude oil'!AJ2734</f>
        <v>0</v>
      </c>
      <c r="AK2733">
        <f>'raw data Crude oil'!AK2734</f>
        <v>0</v>
      </c>
    </row>
    <row r="2734" spans="1:37" x14ac:dyDescent="0.3">
      <c r="A2734" s="18">
        <f>'raw data Crude oil'!A2735</f>
        <v>0</v>
      </c>
      <c r="B2734">
        <f>'raw data Crude oil'!B2735</f>
        <v>0</v>
      </c>
      <c r="C2734">
        <f>'raw data Crude oil'!C2735</f>
        <v>0</v>
      </c>
      <c r="D2734">
        <f>'raw data Crude oil'!D2735</f>
        <v>0</v>
      </c>
      <c r="E2734">
        <f>'raw data Crude oil'!E2735</f>
        <v>0</v>
      </c>
      <c r="F2734">
        <f>'raw data Crude oil'!F2735</f>
        <v>0</v>
      </c>
      <c r="G2734">
        <f>'raw data Crude oil'!G2735</f>
        <v>0</v>
      </c>
      <c r="H2734">
        <f>'raw data Crude oil'!H2735</f>
        <v>0</v>
      </c>
      <c r="I2734">
        <f>'raw data Crude oil'!I2735</f>
        <v>0</v>
      </c>
      <c r="J2734">
        <f>'raw data Crude oil'!J2735</f>
        <v>0</v>
      </c>
      <c r="K2734">
        <f>'raw data Crude oil'!K2735</f>
        <v>0</v>
      </c>
      <c r="L2734">
        <f>'raw data Crude oil'!L2735</f>
        <v>0</v>
      </c>
      <c r="M2734">
        <f>'raw data Crude oil'!M2735</f>
        <v>0</v>
      </c>
      <c r="N2734">
        <f>'raw data Crude oil'!N2735</f>
        <v>0</v>
      </c>
      <c r="O2734">
        <f>'raw data Crude oil'!O2735</f>
        <v>0</v>
      </c>
      <c r="P2734">
        <f>'raw data Crude oil'!P2735</f>
        <v>0</v>
      </c>
      <c r="Q2734">
        <f>'raw data Crude oil'!Q2735</f>
        <v>0</v>
      </c>
      <c r="R2734">
        <f>'raw data Crude oil'!R2735</f>
        <v>0</v>
      </c>
      <c r="S2734">
        <f>'raw data Crude oil'!S2735</f>
        <v>0</v>
      </c>
      <c r="T2734">
        <f>'raw data Crude oil'!T2735</f>
        <v>0</v>
      </c>
      <c r="U2734">
        <f>'raw data Crude oil'!U2735</f>
        <v>0</v>
      </c>
      <c r="V2734">
        <f>'raw data Crude oil'!V2735</f>
        <v>0</v>
      </c>
      <c r="W2734">
        <f>'raw data Crude oil'!W2735</f>
        <v>0</v>
      </c>
      <c r="X2734">
        <f>'raw data Crude oil'!X2735</f>
        <v>0</v>
      </c>
      <c r="Y2734">
        <f>'raw data Crude oil'!Y2735</f>
        <v>0</v>
      </c>
      <c r="Z2734">
        <f>'raw data Crude oil'!Z2735</f>
        <v>0</v>
      </c>
      <c r="AA2734">
        <f>'raw data Crude oil'!AA2735</f>
        <v>0</v>
      </c>
      <c r="AB2734">
        <f>'raw data Crude oil'!AB2735</f>
        <v>0</v>
      </c>
      <c r="AC2734">
        <f>'raw data Crude oil'!AC2735</f>
        <v>0</v>
      </c>
      <c r="AD2734">
        <f>'raw data Crude oil'!AD2735</f>
        <v>0</v>
      </c>
      <c r="AE2734">
        <f>'raw data Crude oil'!AE2735</f>
        <v>0</v>
      </c>
      <c r="AF2734">
        <f>'raw data Crude oil'!AF2735</f>
        <v>0</v>
      </c>
      <c r="AG2734">
        <f>'raw data Crude oil'!AG2735</f>
        <v>0</v>
      </c>
      <c r="AH2734">
        <f>'raw data Crude oil'!AH2735</f>
        <v>0</v>
      </c>
      <c r="AI2734">
        <f>'raw data Crude oil'!AI2735</f>
        <v>0</v>
      </c>
      <c r="AJ2734">
        <f>'raw data Crude oil'!AJ2735</f>
        <v>0</v>
      </c>
      <c r="AK2734">
        <f>'raw data Crude oil'!AK2735</f>
        <v>0</v>
      </c>
    </row>
    <row r="2735" spans="1:37" x14ac:dyDescent="0.3">
      <c r="A2735" s="18">
        <f>'raw data Crude oil'!A2736</f>
        <v>0</v>
      </c>
      <c r="B2735">
        <f>'raw data Crude oil'!B2736</f>
        <v>0</v>
      </c>
      <c r="C2735">
        <f>'raw data Crude oil'!C2736</f>
        <v>0</v>
      </c>
      <c r="D2735">
        <f>'raw data Crude oil'!D2736</f>
        <v>0</v>
      </c>
      <c r="E2735">
        <f>'raw data Crude oil'!E2736</f>
        <v>0</v>
      </c>
      <c r="F2735">
        <f>'raw data Crude oil'!F2736</f>
        <v>0</v>
      </c>
      <c r="G2735">
        <f>'raw data Crude oil'!G2736</f>
        <v>0</v>
      </c>
      <c r="H2735">
        <f>'raw data Crude oil'!H2736</f>
        <v>0</v>
      </c>
      <c r="I2735">
        <f>'raw data Crude oil'!I2736</f>
        <v>0</v>
      </c>
      <c r="J2735">
        <f>'raw data Crude oil'!J2736</f>
        <v>0</v>
      </c>
      <c r="K2735">
        <f>'raw data Crude oil'!K2736</f>
        <v>0</v>
      </c>
      <c r="L2735">
        <f>'raw data Crude oil'!L2736</f>
        <v>0</v>
      </c>
      <c r="M2735">
        <f>'raw data Crude oil'!M2736</f>
        <v>0</v>
      </c>
      <c r="N2735">
        <f>'raw data Crude oil'!N2736</f>
        <v>0</v>
      </c>
      <c r="O2735">
        <f>'raw data Crude oil'!O2736</f>
        <v>0</v>
      </c>
      <c r="P2735">
        <f>'raw data Crude oil'!P2736</f>
        <v>0</v>
      </c>
      <c r="Q2735">
        <f>'raw data Crude oil'!Q2736</f>
        <v>0</v>
      </c>
      <c r="R2735">
        <f>'raw data Crude oil'!R2736</f>
        <v>0</v>
      </c>
      <c r="S2735">
        <f>'raw data Crude oil'!S2736</f>
        <v>0</v>
      </c>
      <c r="T2735">
        <f>'raw data Crude oil'!T2736</f>
        <v>0</v>
      </c>
      <c r="U2735">
        <f>'raw data Crude oil'!U2736</f>
        <v>0</v>
      </c>
      <c r="V2735">
        <f>'raw data Crude oil'!V2736</f>
        <v>0</v>
      </c>
      <c r="W2735">
        <f>'raw data Crude oil'!W2736</f>
        <v>0</v>
      </c>
      <c r="X2735">
        <f>'raw data Crude oil'!X2736</f>
        <v>0</v>
      </c>
      <c r="Y2735">
        <f>'raw data Crude oil'!Y2736</f>
        <v>0</v>
      </c>
      <c r="Z2735">
        <f>'raw data Crude oil'!Z2736</f>
        <v>0</v>
      </c>
      <c r="AA2735">
        <f>'raw data Crude oil'!AA2736</f>
        <v>0</v>
      </c>
      <c r="AB2735">
        <f>'raw data Crude oil'!AB2736</f>
        <v>0</v>
      </c>
      <c r="AC2735">
        <f>'raw data Crude oil'!AC2736</f>
        <v>0</v>
      </c>
      <c r="AD2735">
        <f>'raw data Crude oil'!AD2736</f>
        <v>0</v>
      </c>
      <c r="AE2735">
        <f>'raw data Crude oil'!AE2736</f>
        <v>0</v>
      </c>
      <c r="AF2735">
        <f>'raw data Crude oil'!AF2736</f>
        <v>0</v>
      </c>
      <c r="AG2735">
        <f>'raw data Crude oil'!AG2736</f>
        <v>0</v>
      </c>
      <c r="AH2735">
        <f>'raw data Crude oil'!AH2736</f>
        <v>0</v>
      </c>
      <c r="AI2735">
        <f>'raw data Crude oil'!AI2736</f>
        <v>0</v>
      </c>
      <c r="AJ2735">
        <f>'raw data Crude oil'!AJ2736</f>
        <v>0</v>
      </c>
      <c r="AK2735">
        <f>'raw data Crude oil'!AK2736</f>
        <v>0</v>
      </c>
    </row>
    <row r="2736" spans="1:37" x14ac:dyDescent="0.3">
      <c r="A2736" s="18">
        <f>'raw data Crude oil'!A2737</f>
        <v>0</v>
      </c>
      <c r="B2736">
        <f>'raw data Crude oil'!B2737</f>
        <v>0</v>
      </c>
      <c r="C2736">
        <f>'raw data Crude oil'!C2737</f>
        <v>0</v>
      </c>
      <c r="D2736">
        <f>'raw data Crude oil'!D2737</f>
        <v>0</v>
      </c>
      <c r="E2736">
        <f>'raw data Crude oil'!E2737</f>
        <v>0</v>
      </c>
      <c r="F2736">
        <f>'raw data Crude oil'!F2737</f>
        <v>0</v>
      </c>
      <c r="G2736">
        <f>'raw data Crude oil'!G2737</f>
        <v>0</v>
      </c>
      <c r="H2736">
        <f>'raw data Crude oil'!H2737</f>
        <v>0</v>
      </c>
      <c r="I2736">
        <f>'raw data Crude oil'!I2737</f>
        <v>0</v>
      </c>
      <c r="J2736">
        <f>'raw data Crude oil'!J2737</f>
        <v>0</v>
      </c>
      <c r="K2736">
        <f>'raw data Crude oil'!K2737</f>
        <v>0</v>
      </c>
      <c r="L2736">
        <f>'raw data Crude oil'!L2737</f>
        <v>0</v>
      </c>
      <c r="M2736">
        <f>'raw data Crude oil'!M2737</f>
        <v>0</v>
      </c>
      <c r="N2736">
        <f>'raw data Crude oil'!N2737</f>
        <v>0</v>
      </c>
      <c r="O2736">
        <f>'raw data Crude oil'!O2737</f>
        <v>0</v>
      </c>
      <c r="P2736">
        <f>'raw data Crude oil'!P2737</f>
        <v>0</v>
      </c>
      <c r="Q2736">
        <f>'raw data Crude oil'!Q2737</f>
        <v>0</v>
      </c>
      <c r="R2736">
        <f>'raw data Crude oil'!R2737</f>
        <v>0</v>
      </c>
      <c r="S2736">
        <f>'raw data Crude oil'!S2737</f>
        <v>0</v>
      </c>
      <c r="T2736">
        <f>'raw data Crude oil'!T2737</f>
        <v>0</v>
      </c>
      <c r="U2736">
        <f>'raw data Crude oil'!U2737</f>
        <v>0</v>
      </c>
      <c r="V2736">
        <f>'raw data Crude oil'!V2737</f>
        <v>0</v>
      </c>
      <c r="W2736">
        <f>'raw data Crude oil'!W2737</f>
        <v>0</v>
      </c>
      <c r="X2736">
        <f>'raw data Crude oil'!X2737</f>
        <v>0</v>
      </c>
      <c r="Y2736">
        <f>'raw data Crude oil'!Y2737</f>
        <v>0</v>
      </c>
      <c r="Z2736">
        <f>'raw data Crude oil'!Z2737</f>
        <v>0</v>
      </c>
      <c r="AA2736">
        <f>'raw data Crude oil'!AA2737</f>
        <v>0</v>
      </c>
      <c r="AB2736">
        <f>'raw data Crude oil'!AB2737</f>
        <v>0</v>
      </c>
      <c r="AC2736">
        <f>'raw data Crude oil'!AC2737</f>
        <v>0</v>
      </c>
      <c r="AD2736">
        <f>'raw data Crude oil'!AD2737</f>
        <v>0</v>
      </c>
      <c r="AE2736">
        <f>'raw data Crude oil'!AE2737</f>
        <v>0</v>
      </c>
      <c r="AF2736">
        <f>'raw data Crude oil'!AF2737</f>
        <v>0</v>
      </c>
      <c r="AG2736">
        <f>'raw data Crude oil'!AG2737</f>
        <v>0</v>
      </c>
      <c r="AH2736">
        <f>'raw data Crude oil'!AH2737</f>
        <v>0</v>
      </c>
      <c r="AI2736">
        <f>'raw data Crude oil'!AI2737</f>
        <v>0</v>
      </c>
      <c r="AJ2736">
        <f>'raw data Crude oil'!AJ2737</f>
        <v>0</v>
      </c>
      <c r="AK2736">
        <f>'raw data Crude oil'!AK2737</f>
        <v>0</v>
      </c>
    </row>
    <row r="2737" spans="1:37" x14ac:dyDescent="0.3">
      <c r="A2737" s="18">
        <f>'raw data Crude oil'!A2738</f>
        <v>0</v>
      </c>
      <c r="B2737">
        <f>'raw data Crude oil'!B2738</f>
        <v>0</v>
      </c>
      <c r="C2737">
        <f>'raw data Crude oil'!C2738</f>
        <v>0</v>
      </c>
      <c r="D2737">
        <f>'raw data Crude oil'!D2738</f>
        <v>0</v>
      </c>
      <c r="E2737">
        <f>'raw data Crude oil'!E2738</f>
        <v>0</v>
      </c>
      <c r="F2737">
        <f>'raw data Crude oil'!F2738</f>
        <v>0</v>
      </c>
      <c r="G2737">
        <f>'raw data Crude oil'!G2738</f>
        <v>0</v>
      </c>
      <c r="H2737">
        <f>'raw data Crude oil'!H2738</f>
        <v>0</v>
      </c>
      <c r="I2737">
        <f>'raw data Crude oil'!I2738</f>
        <v>0</v>
      </c>
      <c r="J2737">
        <f>'raw data Crude oil'!J2738</f>
        <v>0</v>
      </c>
      <c r="K2737">
        <f>'raw data Crude oil'!K2738</f>
        <v>0</v>
      </c>
      <c r="L2737">
        <f>'raw data Crude oil'!L2738</f>
        <v>0</v>
      </c>
      <c r="M2737">
        <f>'raw data Crude oil'!M2738</f>
        <v>0</v>
      </c>
      <c r="N2737">
        <f>'raw data Crude oil'!N2738</f>
        <v>0</v>
      </c>
      <c r="O2737">
        <f>'raw data Crude oil'!O2738</f>
        <v>0</v>
      </c>
      <c r="P2737">
        <f>'raw data Crude oil'!P2738</f>
        <v>0</v>
      </c>
      <c r="Q2737">
        <f>'raw data Crude oil'!Q2738</f>
        <v>0</v>
      </c>
      <c r="R2737">
        <f>'raw data Crude oil'!R2738</f>
        <v>0</v>
      </c>
      <c r="S2737">
        <f>'raw data Crude oil'!S2738</f>
        <v>0</v>
      </c>
      <c r="T2737">
        <f>'raw data Crude oil'!T2738</f>
        <v>0</v>
      </c>
      <c r="U2737">
        <f>'raw data Crude oil'!U2738</f>
        <v>0</v>
      </c>
      <c r="V2737">
        <f>'raw data Crude oil'!V2738</f>
        <v>0</v>
      </c>
      <c r="W2737">
        <f>'raw data Crude oil'!W2738</f>
        <v>0</v>
      </c>
      <c r="X2737">
        <f>'raw data Crude oil'!X2738</f>
        <v>0</v>
      </c>
      <c r="Y2737">
        <f>'raw data Crude oil'!Y2738</f>
        <v>0</v>
      </c>
      <c r="Z2737">
        <f>'raw data Crude oil'!Z2738</f>
        <v>0</v>
      </c>
      <c r="AA2737">
        <f>'raw data Crude oil'!AA2738</f>
        <v>0</v>
      </c>
      <c r="AB2737">
        <f>'raw data Crude oil'!AB2738</f>
        <v>0</v>
      </c>
      <c r="AC2737">
        <f>'raw data Crude oil'!AC2738</f>
        <v>0</v>
      </c>
      <c r="AD2737">
        <f>'raw data Crude oil'!AD2738</f>
        <v>0</v>
      </c>
      <c r="AE2737">
        <f>'raw data Crude oil'!AE2738</f>
        <v>0</v>
      </c>
      <c r="AF2737">
        <f>'raw data Crude oil'!AF2738</f>
        <v>0</v>
      </c>
      <c r="AG2737">
        <f>'raw data Crude oil'!AG2738</f>
        <v>0</v>
      </c>
      <c r="AH2737">
        <f>'raw data Crude oil'!AH2738</f>
        <v>0</v>
      </c>
      <c r="AI2737">
        <f>'raw data Crude oil'!AI2738</f>
        <v>0</v>
      </c>
      <c r="AJ2737">
        <f>'raw data Crude oil'!AJ2738</f>
        <v>0</v>
      </c>
      <c r="AK2737">
        <f>'raw data Crude oil'!AK2738</f>
        <v>0</v>
      </c>
    </row>
    <row r="2738" spans="1:37" x14ac:dyDescent="0.3">
      <c r="A2738" s="18">
        <f>'raw data Crude oil'!A2739</f>
        <v>0</v>
      </c>
      <c r="B2738">
        <f>'raw data Crude oil'!B2739</f>
        <v>0</v>
      </c>
      <c r="C2738">
        <f>'raw data Crude oil'!C2739</f>
        <v>0</v>
      </c>
      <c r="D2738">
        <f>'raw data Crude oil'!D2739</f>
        <v>0</v>
      </c>
      <c r="E2738">
        <f>'raw data Crude oil'!E2739</f>
        <v>0</v>
      </c>
      <c r="F2738">
        <f>'raw data Crude oil'!F2739</f>
        <v>0</v>
      </c>
      <c r="G2738">
        <f>'raw data Crude oil'!G2739</f>
        <v>0</v>
      </c>
      <c r="H2738">
        <f>'raw data Crude oil'!H2739</f>
        <v>0</v>
      </c>
      <c r="I2738">
        <f>'raw data Crude oil'!I2739</f>
        <v>0</v>
      </c>
      <c r="J2738">
        <f>'raw data Crude oil'!J2739</f>
        <v>0</v>
      </c>
      <c r="K2738">
        <f>'raw data Crude oil'!K2739</f>
        <v>0</v>
      </c>
      <c r="L2738">
        <f>'raw data Crude oil'!L2739</f>
        <v>0</v>
      </c>
      <c r="M2738">
        <f>'raw data Crude oil'!M2739</f>
        <v>0</v>
      </c>
      <c r="N2738">
        <f>'raw data Crude oil'!N2739</f>
        <v>0</v>
      </c>
      <c r="O2738">
        <f>'raw data Crude oil'!O2739</f>
        <v>0</v>
      </c>
      <c r="P2738">
        <f>'raw data Crude oil'!P2739</f>
        <v>0</v>
      </c>
      <c r="Q2738">
        <f>'raw data Crude oil'!Q2739</f>
        <v>0</v>
      </c>
      <c r="R2738">
        <f>'raw data Crude oil'!R2739</f>
        <v>0</v>
      </c>
      <c r="S2738">
        <f>'raw data Crude oil'!S2739</f>
        <v>0</v>
      </c>
      <c r="T2738">
        <f>'raw data Crude oil'!T2739</f>
        <v>0</v>
      </c>
      <c r="U2738">
        <f>'raw data Crude oil'!U2739</f>
        <v>0</v>
      </c>
      <c r="V2738">
        <f>'raw data Crude oil'!V2739</f>
        <v>0</v>
      </c>
      <c r="W2738">
        <f>'raw data Crude oil'!W2739</f>
        <v>0</v>
      </c>
      <c r="X2738">
        <f>'raw data Crude oil'!X2739</f>
        <v>0</v>
      </c>
      <c r="Y2738">
        <f>'raw data Crude oil'!Y2739</f>
        <v>0</v>
      </c>
      <c r="Z2738">
        <f>'raw data Crude oil'!Z2739</f>
        <v>0</v>
      </c>
      <c r="AA2738">
        <f>'raw data Crude oil'!AA2739</f>
        <v>0</v>
      </c>
      <c r="AB2738">
        <f>'raw data Crude oil'!AB2739</f>
        <v>0</v>
      </c>
      <c r="AC2738">
        <f>'raw data Crude oil'!AC2739</f>
        <v>0</v>
      </c>
      <c r="AD2738">
        <f>'raw data Crude oil'!AD2739</f>
        <v>0</v>
      </c>
      <c r="AE2738">
        <f>'raw data Crude oil'!AE2739</f>
        <v>0</v>
      </c>
      <c r="AF2738">
        <f>'raw data Crude oil'!AF2739</f>
        <v>0</v>
      </c>
      <c r="AG2738">
        <f>'raw data Crude oil'!AG2739</f>
        <v>0</v>
      </c>
      <c r="AH2738">
        <f>'raw data Crude oil'!AH2739</f>
        <v>0</v>
      </c>
      <c r="AI2738">
        <f>'raw data Crude oil'!AI2739</f>
        <v>0</v>
      </c>
      <c r="AJ2738">
        <f>'raw data Crude oil'!AJ2739</f>
        <v>0</v>
      </c>
      <c r="AK2738">
        <f>'raw data Crude oil'!AK2739</f>
        <v>0</v>
      </c>
    </row>
    <row r="2739" spans="1:37" x14ac:dyDescent="0.3">
      <c r="A2739" s="18">
        <f>'raw data Crude oil'!A2740</f>
        <v>0</v>
      </c>
      <c r="B2739">
        <f>'raw data Crude oil'!B2740</f>
        <v>0</v>
      </c>
      <c r="C2739">
        <f>'raw data Crude oil'!C2740</f>
        <v>0</v>
      </c>
      <c r="D2739">
        <f>'raw data Crude oil'!D2740</f>
        <v>0</v>
      </c>
      <c r="E2739">
        <f>'raw data Crude oil'!E2740</f>
        <v>0</v>
      </c>
      <c r="F2739">
        <f>'raw data Crude oil'!F2740</f>
        <v>0</v>
      </c>
      <c r="G2739">
        <f>'raw data Crude oil'!G2740</f>
        <v>0</v>
      </c>
      <c r="H2739">
        <f>'raw data Crude oil'!H2740</f>
        <v>0</v>
      </c>
      <c r="I2739">
        <f>'raw data Crude oil'!I2740</f>
        <v>0</v>
      </c>
      <c r="J2739">
        <f>'raw data Crude oil'!J2740</f>
        <v>0</v>
      </c>
      <c r="K2739">
        <f>'raw data Crude oil'!K2740</f>
        <v>0</v>
      </c>
      <c r="L2739">
        <f>'raw data Crude oil'!L2740</f>
        <v>0</v>
      </c>
      <c r="M2739">
        <f>'raw data Crude oil'!M2740</f>
        <v>0</v>
      </c>
      <c r="N2739">
        <f>'raw data Crude oil'!N2740</f>
        <v>0</v>
      </c>
      <c r="O2739">
        <f>'raw data Crude oil'!O2740</f>
        <v>0</v>
      </c>
      <c r="P2739">
        <f>'raw data Crude oil'!P2740</f>
        <v>0</v>
      </c>
      <c r="Q2739">
        <f>'raw data Crude oil'!Q2740</f>
        <v>0</v>
      </c>
      <c r="R2739">
        <f>'raw data Crude oil'!R2740</f>
        <v>0</v>
      </c>
      <c r="S2739">
        <f>'raw data Crude oil'!S2740</f>
        <v>0</v>
      </c>
      <c r="T2739">
        <f>'raw data Crude oil'!T2740</f>
        <v>0</v>
      </c>
      <c r="U2739">
        <f>'raw data Crude oil'!U2740</f>
        <v>0</v>
      </c>
      <c r="V2739">
        <f>'raw data Crude oil'!V2740</f>
        <v>0</v>
      </c>
      <c r="W2739">
        <f>'raw data Crude oil'!W2740</f>
        <v>0</v>
      </c>
      <c r="X2739">
        <f>'raw data Crude oil'!X2740</f>
        <v>0</v>
      </c>
      <c r="Y2739">
        <f>'raw data Crude oil'!Y2740</f>
        <v>0</v>
      </c>
      <c r="Z2739">
        <f>'raw data Crude oil'!Z2740</f>
        <v>0</v>
      </c>
      <c r="AA2739">
        <f>'raw data Crude oil'!AA2740</f>
        <v>0</v>
      </c>
      <c r="AB2739">
        <f>'raw data Crude oil'!AB2740</f>
        <v>0</v>
      </c>
      <c r="AC2739">
        <f>'raw data Crude oil'!AC2740</f>
        <v>0</v>
      </c>
      <c r="AD2739">
        <f>'raw data Crude oil'!AD2740</f>
        <v>0</v>
      </c>
      <c r="AE2739">
        <f>'raw data Crude oil'!AE2740</f>
        <v>0</v>
      </c>
      <c r="AF2739">
        <f>'raw data Crude oil'!AF2740</f>
        <v>0</v>
      </c>
      <c r="AG2739">
        <f>'raw data Crude oil'!AG2740</f>
        <v>0</v>
      </c>
      <c r="AH2739">
        <f>'raw data Crude oil'!AH2740</f>
        <v>0</v>
      </c>
      <c r="AI2739">
        <f>'raw data Crude oil'!AI2740</f>
        <v>0</v>
      </c>
      <c r="AJ2739">
        <f>'raw data Crude oil'!AJ2740</f>
        <v>0</v>
      </c>
      <c r="AK2739">
        <f>'raw data Crude oil'!AK2740</f>
        <v>0</v>
      </c>
    </row>
    <row r="2740" spans="1:37" x14ac:dyDescent="0.3">
      <c r="A2740" s="18">
        <f>'raw data Crude oil'!A2741</f>
        <v>0</v>
      </c>
      <c r="B2740">
        <f>'raw data Crude oil'!B2741</f>
        <v>0</v>
      </c>
      <c r="C2740">
        <f>'raw data Crude oil'!C2741</f>
        <v>0</v>
      </c>
      <c r="D2740">
        <f>'raw data Crude oil'!D2741</f>
        <v>0</v>
      </c>
      <c r="E2740">
        <f>'raw data Crude oil'!E2741</f>
        <v>0</v>
      </c>
      <c r="F2740">
        <f>'raw data Crude oil'!F2741</f>
        <v>0</v>
      </c>
      <c r="G2740">
        <f>'raw data Crude oil'!G2741</f>
        <v>0</v>
      </c>
      <c r="H2740">
        <f>'raw data Crude oil'!H2741</f>
        <v>0</v>
      </c>
      <c r="I2740">
        <f>'raw data Crude oil'!I2741</f>
        <v>0</v>
      </c>
      <c r="J2740">
        <f>'raw data Crude oil'!J2741</f>
        <v>0</v>
      </c>
      <c r="K2740">
        <f>'raw data Crude oil'!K2741</f>
        <v>0</v>
      </c>
      <c r="L2740">
        <f>'raw data Crude oil'!L2741</f>
        <v>0</v>
      </c>
      <c r="M2740">
        <f>'raw data Crude oil'!M2741</f>
        <v>0</v>
      </c>
      <c r="N2740">
        <f>'raw data Crude oil'!N2741</f>
        <v>0</v>
      </c>
      <c r="O2740">
        <f>'raw data Crude oil'!O2741</f>
        <v>0</v>
      </c>
      <c r="P2740">
        <f>'raw data Crude oil'!P2741</f>
        <v>0</v>
      </c>
      <c r="Q2740">
        <f>'raw data Crude oil'!Q2741</f>
        <v>0</v>
      </c>
      <c r="R2740">
        <f>'raw data Crude oil'!R2741</f>
        <v>0</v>
      </c>
      <c r="S2740">
        <f>'raw data Crude oil'!S2741</f>
        <v>0</v>
      </c>
      <c r="T2740">
        <f>'raw data Crude oil'!T2741</f>
        <v>0</v>
      </c>
      <c r="U2740">
        <f>'raw data Crude oil'!U2741</f>
        <v>0</v>
      </c>
      <c r="V2740">
        <f>'raw data Crude oil'!V2741</f>
        <v>0</v>
      </c>
      <c r="W2740">
        <f>'raw data Crude oil'!W2741</f>
        <v>0</v>
      </c>
      <c r="X2740">
        <f>'raw data Crude oil'!X2741</f>
        <v>0</v>
      </c>
      <c r="Y2740">
        <f>'raw data Crude oil'!Y2741</f>
        <v>0</v>
      </c>
      <c r="Z2740">
        <f>'raw data Crude oil'!Z2741</f>
        <v>0</v>
      </c>
      <c r="AA2740">
        <f>'raw data Crude oil'!AA2741</f>
        <v>0</v>
      </c>
      <c r="AB2740">
        <f>'raw data Crude oil'!AB2741</f>
        <v>0</v>
      </c>
      <c r="AC2740">
        <f>'raw data Crude oil'!AC2741</f>
        <v>0</v>
      </c>
      <c r="AD2740">
        <f>'raw data Crude oil'!AD2741</f>
        <v>0</v>
      </c>
      <c r="AE2740">
        <f>'raw data Crude oil'!AE2741</f>
        <v>0</v>
      </c>
      <c r="AF2740">
        <f>'raw data Crude oil'!AF2741</f>
        <v>0</v>
      </c>
      <c r="AG2740">
        <f>'raw data Crude oil'!AG2741</f>
        <v>0</v>
      </c>
      <c r="AH2740">
        <f>'raw data Crude oil'!AH2741</f>
        <v>0</v>
      </c>
      <c r="AI2740">
        <f>'raw data Crude oil'!AI2741</f>
        <v>0</v>
      </c>
      <c r="AJ2740">
        <f>'raw data Crude oil'!AJ2741</f>
        <v>0</v>
      </c>
      <c r="AK2740">
        <f>'raw data Crude oil'!AK2741</f>
        <v>0</v>
      </c>
    </row>
    <row r="2741" spans="1:37" x14ac:dyDescent="0.3">
      <c r="A2741" s="18">
        <f>'raw data Crude oil'!A2742</f>
        <v>0</v>
      </c>
      <c r="B2741">
        <f>'raw data Crude oil'!B2742</f>
        <v>0</v>
      </c>
      <c r="C2741">
        <f>'raw data Crude oil'!C2742</f>
        <v>0</v>
      </c>
      <c r="D2741">
        <f>'raw data Crude oil'!D2742</f>
        <v>0</v>
      </c>
      <c r="E2741">
        <f>'raw data Crude oil'!E2742</f>
        <v>0</v>
      </c>
      <c r="F2741">
        <f>'raw data Crude oil'!F2742</f>
        <v>0</v>
      </c>
      <c r="G2741">
        <f>'raw data Crude oil'!G2742</f>
        <v>0</v>
      </c>
      <c r="H2741">
        <f>'raw data Crude oil'!H2742</f>
        <v>0</v>
      </c>
      <c r="I2741">
        <f>'raw data Crude oil'!I2742</f>
        <v>0</v>
      </c>
      <c r="J2741">
        <f>'raw data Crude oil'!J2742</f>
        <v>0</v>
      </c>
      <c r="K2741">
        <f>'raw data Crude oil'!K2742</f>
        <v>0</v>
      </c>
      <c r="L2741">
        <f>'raw data Crude oil'!L2742</f>
        <v>0</v>
      </c>
      <c r="M2741">
        <f>'raw data Crude oil'!M2742</f>
        <v>0</v>
      </c>
      <c r="N2741">
        <f>'raw data Crude oil'!N2742</f>
        <v>0</v>
      </c>
      <c r="O2741">
        <f>'raw data Crude oil'!O2742</f>
        <v>0</v>
      </c>
      <c r="P2741">
        <f>'raw data Crude oil'!P2742</f>
        <v>0</v>
      </c>
      <c r="Q2741">
        <f>'raw data Crude oil'!Q2742</f>
        <v>0</v>
      </c>
      <c r="R2741">
        <f>'raw data Crude oil'!R2742</f>
        <v>0</v>
      </c>
      <c r="S2741">
        <f>'raw data Crude oil'!S2742</f>
        <v>0</v>
      </c>
      <c r="T2741">
        <f>'raw data Crude oil'!T2742</f>
        <v>0</v>
      </c>
      <c r="U2741">
        <f>'raw data Crude oil'!U2742</f>
        <v>0</v>
      </c>
      <c r="V2741">
        <f>'raw data Crude oil'!V2742</f>
        <v>0</v>
      </c>
      <c r="W2741">
        <f>'raw data Crude oil'!W2742</f>
        <v>0</v>
      </c>
      <c r="X2741">
        <f>'raw data Crude oil'!X2742</f>
        <v>0</v>
      </c>
      <c r="Y2741">
        <f>'raw data Crude oil'!Y2742</f>
        <v>0</v>
      </c>
      <c r="Z2741">
        <f>'raw data Crude oil'!Z2742</f>
        <v>0</v>
      </c>
      <c r="AA2741">
        <f>'raw data Crude oil'!AA2742</f>
        <v>0</v>
      </c>
      <c r="AB2741">
        <f>'raw data Crude oil'!AB2742</f>
        <v>0</v>
      </c>
      <c r="AC2741">
        <f>'raw data Crude oil'!AC2742</f>
        <v>0</v>
      </c>
      <c r="AD2741">
        <f>'raw data Crude oil'!AD2742</f>
        <v>0</v>
      </c>
      <c r="AE2741">
        <f>'raw data Crude oil'!AE2742</f>
        <v>0</v>
      </c>
      <c r="AF2741">
        <f>'raw data Crude oil'!AF2742</f>
        <v>0</v>
      </c>
      <c r="AG2741">
        <f>'raw data Crude oil'!AG2742</f>
        <v>0</v>
      </c>
      <c r="AH2741">
        <f>'raw data Crude oil'!AH2742</f>
        <v>0</v>
      </c>
      <c r="AI2741">
        <f>'raw data Crude oil'!AI2742</f>
        <v>0</v>
      </c>
      <c r="AJ2741">
        <f>'raw data Crude oil'!AJ2742</f>
        <v>0</v>
      </c>
      <c r="AK2741">
        <f>'raw data Crude oil'!AK2742</f>
        <v>0</v>
      </c>
    </row>
    <row r="2742" spans="1:37" x14ac:dyDescent="0.3">
      <c r="A2742" s="18">
        <f>'raw data Crude oil'!A2743</f>
        <v>0</v>
      </c>
      <c r="B2742">
        <f>'raw data Crude oil'!B2743</f>
        <v>0</v>
      </c>
      <c r="C2742">
        <f>'raw data Crude oil'!C2743</f>
        <v>0</v>
      </c>
      <c r="D2742">
        <f>'raw data Crude oil'!D2743</f>
        <v>0</v>
      </c>
      <c r="E2742">
        <f>'raw data Crude oil'!E2743</f>
        <v>0</v>
      </c>
      <c r="F2742">
        <f>'raw data Crude oil'!F2743</f>
        <v>0</v>
      </c>
      <c r="G2742">
        <f>'raw data Crude oil'!G2743</f>
        <v>0</v>
      </c>
      <c r="H2742">
        <f>'raw data Crude oil'!H2743</f>
        <v>0</v>
      </c>
      <c r="I2742">
        <f>'raw data Crude oil'!I2743</f>
        <v>0</v>
      </c>
      <c r="J2742">
        <f>'raw data Crude oil'!J2743</f>
        <v>0</v>
      </c>
      <c r="K2742">
        <f>'raw data Crude oil'!K2743</f>
        <v>0</v>
      </c>
      <c r="L2742">
        <f>'raw data Crude oil'!L2743</f>
        <v>0</v>
      </c>
      <c r="M2742">
        <f>'raw data Crude oil'!M2743</f>
        <v>0</v>
      </c>
      <c r="N2742">
        <f>'raw data Crude oil'!N2743</f>
        <v>0</v>
      </c>
      <c r="O2742">
        <f>'raw data Crude oil'!O2743</f>
        <v>0</v>
      </c>
      <c r="P2742">
        <f>'raw data Crude oil'!P2743</f>
        <v>0</v>
      </c>
      <c r="Q2742">
        <f>'raw data Crude oil'!Q2743</f>
        <v>0</v>
      </c>
      <c r="R2742">
        <f>'raw data Crude oil'!R2743</f>
        <v>0</v>
      </c>
      <c r="S2742">
        <f>'raw data Crude oil'!S2743</f>
        <v>0</v>
      </c>
      <c r="T2742">
        <f>'raw data Crude oil'!T2743</f>
        <v>0</v>
      </c>
      <c r="U2742">
        <f>'raw data Crude oil'!U2743</f>
        <v>0</v>
      </c>
      <c r="V2742">
        <f>'raw data Crude oil'!V2743</f>
        <v>0</v>
      </c>
      <c r="W2742">
        <f>'raw data Crude oil'!W2743</f>
        <v>0</v>
      </c>
      <c r="X2742">
        <f>'raw data Crude oil'!X2743</f>
        <v>0</v>
      </c>
      <c r="Y2742">
        <f>'raw data Crude oil'!Y2743</f>
        <v>0</v>
      </c>
      <c r="Z2742">
        <f>'raw data Crude oil'!Z2743</f>
        <v>0</v>
      </c>
      <c r="AA2742">
        <f>'raw data Crude oil'!AA2743</f>
        <v>0</v>
      </c>
      <c r="AB2742">
        <f>'raw data Crude oil'!AB2743</f>
        <v>0</v>
      </c>
      <c r="AC2742">
        <f>'raw data Crude oil'!AC2743</f>
        <v>0</v>
      </c>
      <c r="AD2742">
        <f>'raw data Crude oil'!AD2743</f>
        <v>0</v>
      </c>
      <c r="AE2742">
        <f>'raw data Crude oil'!AE2743</f>
        <v>0</v>
      </c>
      <c r="AF2742">
        <f>'raw data Crude oil'!AF2743</f>
        <v>0</v>
      </c>
      <c r="AG2742">
        <f>'raw data Crude oil'!AG2743</f>
        <v>0</v>
      </c>
      <c r="AH2742">
        <f>'raw data Crude oil'!AH2743</f>
        <v>0</v>
      </c>
      <c r="AI2742">
        <f>'raw data Crude oil'!AI2743</f>
        <v>0</v>
      </c>
      <c r="AJ2742">
        <f>'raw data Crude oil'!AJ2743</f>
        <v>0</v>
      </c>
      <c r="AK2742">
        <f>'raw data Crude oil'!AK2743</f>
        <v>0</v>
      </c>
    </row>
    <row r="2743" spans="1:37" x14ac:dyDescent="0.3">
      <c r="A2743" s="18">
        <f>'raw data Crude oil'!A2744</f>
        <v>0</v>
      </c>
      <c r="B2743">
        <f>'raw data Crude oil'!B2744</f>
        <v>0</v>
      </c>
      <c r="C2743">
        <f>'raw data Crude oil'!C2744</f>
        <v>0</v>
      </c>
      <c r="D2743">
        <f>'raw data Crude oil'!D2744</f>
        <v>0</v>
      </c>
      <c r="E2743">
        <f>'raw data Crude oil'!E2744</f>
        <v>0</v>
      </c>
      <c r="F2743">
        <f>'raw data Crude oil'!F2744</f>
        <v>0</v>
      </c>
      <c r="G2743">
        <f>'raw data Crude oil'!G2744</f>
        <v>0</v>
      </c>
      <c r="H2743">
        <f>'raw data Crude oil'!H2744</f>
        <v>0</v>
      </c>
      <c r="I2743">
        <f>'raw data Crude oil'!I2744</f>
        <v>0</v>
      </c>
      <c r="J2743">
        <f>'raw data Crude oil'!J2744</f>
        <v>0</v>
      </c>
      <c r="K2743">
        <f>'raw data Crude oil'!K2744</f>
        <v>0</v>
      </c>
      <c r="L2743">
        <f>'raw data Crude oil'!L2744</f>
        <v>0</v>
      </c>
      <c r="M2743">
        <f>'raw data Crude oil'!M2744</f>
        <v>0</v>
      </c>
      <c r="N2743">
        <f>'raw data Crude oil'!N2744</f>
        <v>0</v>
      </c>
      <c r="O2743">
        <f>'raw data Crude oil'!O2744</f>
        <v>0</v>
      </c>
      <c r="P2743">
        <f>'raw data Crude oil'!P2744</f>
        <v>0</v>
      </c>
      <c r="Q2743">
        <f>'raw data Crude oil'!Q2744</f>
        <v>0</v>
      </c>
      <c r="R2743">
        <f>'raw data Crude oil'!R2744</f>
        <v>0</v>
      </c>
      <c r="S2743">
        <f>'raw data Crude oil'!S2744</f>
        <v>0</v>
      </c>
      <c r="T2743">
        <f>'raw data Crude oil'!T2744</f>
        <v>0</v>
      </c>
      <c r="U2743">
        <f>'raw data Crude oil'!U2744</f>
        <v>0</v>
      </c>
      <c r="V2743">
        <f>'raw data Crude oil'!V2744</f>
        <v>0</v>
      </c>
      <c r="W2743">
        <f>'raw data Crude oil'!W2744</f>
        <v>0</v>
      </c>
      <c r="X2743">
        <f>'raw data Crude oil'!X2744</f>
        <v>0</v>
      </c>
      <c r="Y2743">
        <f>'raw data Crude oil'!Y2744</f>
        <v>0</v>
      </c>
      <c r="Z2743">
        <f>'raw data Crude oil'!Z2744</f>
        <v>0</v>
      </c>
      <c r="AA2743">
        <f>'raw data Crude oil'!AA2744</f>
        <v>0</v>
      </c>
      <c r="AB2743">
        <f>'raw data Crude oil'!AB2744</f>
        <v>0</v>
      </c>
      <c r="AC2743">
        <f>'raw data Crude oil'!AC2744</f>
        <v>0</v>
      </c>
      <c r="AD2743">
        <f>'raw data Crude oil'!AD2744</f>
        <v>0</v>
      </c>
      <c r="AE2743">
        <f>'raw data Crude oil'!AE2744</f>
        <v>0</v>
      </c>
      <c r="AF2743">
        <f>'raw data Crude oil'!AF2744</f>
        <v>0</v>
      </c>
      <c r="AG2743">
        <f>'raw data Crude oil'!AG2744</f>
        <v>0</v>
      </c>
      <c r="AH2743">
        <f>'raw data Crude oil'!AH2744</f>
        <v>0</v>
      </c>
      <c r="AI2743">
        <f>'raw data Crude oil'!AI2744</f>
        <v>0</v>
      </c>
      <c r="AJ2743">
        <f>'raw data Crude oil'!AJ2744</f>
        <v>0</v>
      </c>
      <c r="AK2743">
        <f>'raw data Crude oil'!AK2744</f>
        <v>0</v>
      </c>
    </row>
    <row r="2744" spans="1:37" x14ac:dyDescent="0.3">
      <c r="A2744" s="18">
        <f>'raw data Crude oil'!A2745</f>
        <v>0</v>
      </c>
      <c r="B2744">
        <f>'raw data Crude oil'!B2745</f>
        <v>0</v>
      </c>
      <c r="C2744">
        <f>'raw data Crude oil'!C2745</f>
        <v>0</v>
      </c>
      <c r="D2744">
        <f>'raw data Crude oil'!D2745</f>
        <v>0</v>
      </c>
      <c r="E2744">
        <f>'raw data Crude oil'!E2745</f>
        <v>0</v>
      </c>
      <c r="F2744">
        <f>'raw data Crude oil'!F2745</f>
        <v>0</v>
      </c>
      <c r="G2744">
        <f>'raw data Crude oil'!G2745</f>
        <v>0</v>
      </c>
      <c r="H2744">
        <f>'raw data Crude oil'!H2745</f>
        <v>0</v>
      </c>
      <c r="I2744">
        <f>'raw data Crude oil'!I2745</f>
        <v>0</v>
      </c>
      <c r="J2744">
        <f>'raw data Crude oil'!J2745</f>
        <v>0</v>
      </c>
      <c r="K2744">
        <f>'raw data Crude oil'!K2745</f>
        <v>0</v>
      </c>
      <c r="L2744">
        <f>'raw data Crude oil'!L2745</f>
        <v>0</v>
      </c>
      <c r="M2744">
        <f>'raw data Crude oil'!M2745</f>
        <v>0</v>
      </c>
      <c r="N2744">
        <f>'raw data Crude oil'!N2745</f>
        <v>0</v>
      </c>
      <c r="O2744">
        <f>'raw data Crude oil'!O2745</f>
        <v>0</v>
      </c>
      <c r="P2744">
        <f>'raw data Crude oil'!P2745</f>
        <v>0</v>
      </c>
      <c r="Q2744">
        <f>'raw data Crude oil'!Q2745</f>
        <v>0</v>
      </c>
      <c r="R2744">
        <f>'raw data Crude oil'!R2745</f>
        <v>0</v>
      </c>
      <c r="S2744">
        <f>'raw data Crude oil'!S2745</f>
        <v>0</v>
      </c>
      <c r="T2744">
        <f>'raw data Crude oil'!T2745</f>
        <v>0</v>
      </c>
      <c r="U2744">
        <f>'raw data Crude oil'!U2745</f>
        <v>0</v>
      </c>
      <c r="V2744">
        <f>'raw data Crude oil'!V2745</f>
        <v>0</v>
      </c>
      <c r="W2744">
        <f>'raw data Crude oil'!W2745</f>
        <v>0</v>
      </c>
      <c r="X2744">
        <f>'raw data Crude oil'!X2745</f>
        <v>0</v>
      </c>
      <c r="Y2744">
        <f>'raw data Crude oil'!Y2745</f>
        <v>0</v>
      </c>
      <c r="Z2744">
        <f>'raw data Crude oil'!Z2745</f>
        <v>0</v>
      </c>
      <c r="AA2744">
        <f>'raw data Crude oil'!AA2745</f>
        <v>0</v>
      </c>
      <c r="AB2744">
        <f>'raw data Crude oil'!AB2745</f>
        <v>0</v>
      </c>
      <c r="AC2744">
        <f>'raw data Crude oil'!AC2745</f>
        <v>0</v>
      </c>
      <c r="AD2744">
        <f>'raw data Crude oil'!AD2745</f>
        <v>0</v>
      </c>
      <c r="AE2744">
        <f>'raw data Crude oil'!AE2745</f>
        <v>0</v>
      </c>
      <c r="AF2744">
        <f>'raw data Crude oil'!AF2745</f>
        <v>0</v>
      </c>
      <c r="AG2744">
        <f>'raw data Crude oil'!AG2745</f>
        <v>0</v>
      </c>
      <c r="AH2744">
        <f>'raw data Crude oil'!AH2745</f>
        <v>0</v>
      </c>
      <c r="AI2744">
        <f>'raw data Crude oil'!AI2745</f>
        <v>0</v>
      </c>
      <c r="AJ2744">
        <f>'raw data Crude oil'!AJ2745</f>
        <v>0</v>
      </c>
      <c r="AK2744">
        <f>'raw data Crude oil'!AK2745</f>
        <v>0</v>
      </c>
    </row>
    <row r="2745" spans="1:37" x14ac:dyDescent="0.3">
      <c r="A2745" s="18">
        <f>'raw data Crude oil'!A2746</f>
        <v>0</v>
      </c>
      <c r="B2745">
        <f>'raw data Crude oil'!B2746</f>
        <v>0</v>
      </c>
      <c r="C2745">
        <f>'raw data Crude oil'!C2746</f>
        <v>0</v>
      </c>
      <c r="D2745">
        <f>'raw data Crude oil'!D2746</f>
        <v>0</v>
      </c>
      <c r="E2745">
        <f>'raw data Crude oil'!E2746</f>
        <v>0</v>
      </c>
      <c r="F2745">
        <f>'raw data Crude oil'!F2746</f>
        <v>0</v>
      </c>
      <c r="G2745">
        <f>'raw data Crude oil'!G2746</f>
        <v>0</v>
      </c>
      <c r="H2745">
        <f>'raw data Crude oil'!H2746</f>
        <v>0</v>
      </c>
      <c r="I2745">
        <f>'raw data Crude oil'!I2746</f>
        <v>0</v>
      </c>
      <c r="J2745">
        <f>'raw data Crude oil'!J2746</f>
        <v>0</v>
      </c>
      <c r="K2745">
        <f>'raw data Crude oil'!K2746</f>
        <v>0</v>
      </c>
      <c r="L2745">
        <f>'raw data Crude oil'!L2746</f>
        <v>0</v>
      </c>
      <c r="M2745">
        <f>'raw data Crude oil'!M2746</f>
        <v>0</v>
      </c>
      <c r="N2745">
        <f>'raw data Crude oil'!N2746</f>
        <v>0</v>
      </c>
      <c r="O2745">
        <f>'raw data Crude oil'!O2746</f>
        <v>0</v>
      </c>
      <c r="P2745">
        <f>'raw data Crude oil'!P2746</f>
        <v>0</v>
      </c>
      <c r="Q2745">
        <f>'raw data Crude oil'!Q2746</f>
        <v>0</v>
      </c>
      <c r="R2745">
        <f>'raw data Crude oil'!R2746</f>
        <v>0</v>
      </c>
      <c r="S2745">
        <f>'raw data Crude oil'!S2746</f>
        <v>0</v>
      </c>
      <c r="T2745">
        <f>'raw data Crude oil'!T2746</f>
        <v>0</v>
      </c>
      <c r="U2745">
        <f>'raw data Crude oil'!U2746</f>
        <v>0</v>
      </c>
      <c r="V2745">
        <f>'raw data Crude oil'!V2746</f>
        <v>0</v>
      </c>
      <c r="W2745">
        <f>'raw data Crude oil'!W2746</f>
        <v>0</v>
      </c>
      <c r="X2745">
        <f>'raw data Crude oil'!X2746</f>
        <v>0</v>
      </c>
      <c r="Y2745">
        <f>'raw data Crude oil'!Y2746</f>
        <v>0</v>
      </c>
      <c r="Z2745">
        <f>'raw data Crude oil'!Z2746</f>
        <v>0</v>
      </c>
      <c r="AA2745">
        <f>'raw data Crude oil'!AA2746</f>
        <v>0</v>
      </c>
      <c r="AB2745">
        <f>'raw data Crude oil'!AB2746</f>
        <v>0</v>
      </c>
      <c r="AC2745">
        <f>'raw data Crude oil'!AC2746</f>
        <v>0</v>
      </c>
      <c r="AD2745">
        <f>'raw data Crude oil'!AD2746</f>
        <v>0</v>
      </c>
      <c r="AE2745">
        <f>'raw data Crude oil'!AE2746</f>
        <v>0</v>
      </c>
      <c r="AF2745">
        <f>'raw data Crude oil'!AF2746</f>
        <v>0</v>
      </c>
      <c r="AG2745">
        <f>'raw data Crude oil'!AG2746</f>
        <v>0</v>
      </c>
      <c r="AH2745">
        <f>'raw data Crude oil'!AH2746</f>
        <v>0</v>
      </c>
      <c r="AI2745">
        <f>'raw data Crude oil'!AI2746</f>
        <v>0</v>
      </c>
      <c r="AJ2745">
        <f>'raw data Crude oil'!AJ2746</f>
        <v>0</v>
      </c>
      <c r="AK2745">
        <f>'raw data Crude oil'!AK2746</f>
        <v>0</v>
      </c>
    </row>
    <row r="2746" spans="1:37" x14ac:dyDescent="0.3">
      <c r="A2746" s="18">
        <f>'raw data Crude oil'!A2747</f>
        <v>0</v>
      </c>
      <c r="B2746">
        <f>'raw data Crude oil'!B2747</f>
        <v>0</v>
      </c>
      <c r="C2746">
        <f>'raw data Crude oil'!C2747</f>
        <v>0</v>
      </c>
      <c r="D2746">
        <f>'raw data Crude oil'!D2747</f>
        <v>0</v>
      </c>
      <c r="E2746">
        <f>'raw data Crude oil'!E2747</f>
        <v>0</v>
      </c>
      <c r="F2746">
        <f>'raw data Crude oil'!F2747</f>
        <v>0</v>
      </c>
      <c r="G2746">
        <f>'raw data Crude oil'!G2747</f>
        <v>0</v>
      </c>
      <c r="H2746">
        <f>'raw data Crude oil'!H2747</f>
        <v>0</v>
      </c>
      <c r="I2746">
        <f>'raw data Crude oil'!I2747</f>
        <v>0</v>
      </c>
      <c r="J2746">
        <f>'raw data Crude oil'!J2747</f>
        <v>0</v>
      </c>
      <c r="K2746">
        <f>'raw data Crude oil'!K2747</f>
        <v>0</v>
      </c>
      <c r="L2746">
        <f>'raw data Crude oil'!L2747</f>
        <v>0</v>
      </c>
      <c r="M2746">
        <f>'raw data Crude oil'!M2747</f>
        <v>0</v>
      </c>
      <c r="N2746">
        <f>'raw data Crude oil'!N2747</f>
        <v>0</v>
      </c>
      <c r="O2746">
        <f>'raw data Crude oil'!O2747</f>
        <v>0</v>
      </c>
      <c r="P2746">
        <f>'raw data Crude oil'!P2747</f>
        <v>0</v>
      </c>
      <c r="Q2746">
        <f>'raw data Crude oil'!Q2747</f>
        <v>0</v>
      </c>
      <c r="R2746">
        <f>'raw data Crude oil'!R2747</f>
        <v>0</v>
      </c>
      <c r="S2746">
        <f>'raw data Crude oil'!S2747</f>
        <v>0</v>
      </c>
      <c r="T2746">
        <f>'raw data Crude oil'!T2747</f>
        <v>0</v>
      </c>
      <c r="U2746">
        <f>'raw data Crude oil'!U2747</f>
        <v>0</v>
      </c>
      <c r="V2746">
        <f>'raw data Crude oil'!V2747</f>
        <v>0</v>
      </c>
      <c r="W2746">
        <f>'raw data Crude oil'!W2747</f>
        <v>0</v>
      </c>
      <c r="X2746">
        <f>'raw data Crude oil'!X2747</f>
        <v>0</v>
      </c>
      <c r="Y2746">
        <f>'raw data Crude oil'!Y2747</f>
        <v>0</v>
      </c>
      <c r="Z2746">
        <f>'raw data Crude oil'!Z2747</f>
        <v>0</v>
      </c>
      <c r="AA2746">
        <f>'raw data Crude oil'!AA2747</f>
        <v>0</v>
      </c>
      <c r="AB2746">
        <f>'raw data Crude oil'!AB2747</f>
        <v>0</v>
      </c>
      <c r="AC2746">
        <f>'raw data Crude oil'!AC2747</f>
        <v>0</v>
      </c>
      <c r="AD2746">
        <f>'raw data Crude oil'!AD2747</f>
        <v>0</v>
      </c>
      <c r="AE2746">
        <f>'raw data Crude oil'!AE2747</f>
        <v>0</v>
      </c>
      <c r="AF2746">
        <f>'raw data Crude oil'!AF2747</f>
        <v>0</v>
      </c>
      <c r="AG2746">
        <f>'raw data Crude oil'!AG2747</f>
        <v>0</v>
      </c>
      <c r="AH2746">
        <f>'raw data Crude oil'!AH2747</f>
        <v>0</v>
      </c>
      <c r="AI2746">
        <f>'raw data Crude oil'!AI2747</f>
        <v>0</v>
      </c>
      <c r="AJ2746">
        <f>'raw data Crude oil'!AJ2747</f>
        <v>0</v>
      </c>
      <c r="AK2746">
        <f>'raw data Crude oil'!AK2747</f>
        <v>0</v>
      </c>
    </row>
    <row r="2747" spans="1:37" x14ac:dyDescent="0.3">
      <c r="A2747" s="18">
        <f>'raw data Crude oil'!A2748</f>
        <v>0</v>
      </c>
      <c r="B2747">
        <f>'raw data Crude oil'!B2748</f>
        <v>0</v>
      </c>
      <c r="C2747">
        <f>'raw data Crude oil'!C2748</f>
        <v>0</v>
      </c>
      <c r="D2747">
        <f>'raw data Crude oil'!D2748</f>
        <v>0</v>
      </c>
      <c r="E2747">
        <f>'raw data Crude oil'!E2748</f>
        <v>0</v>
      </c>
      <c r="F2747">
        <f>'raw data Crude oil'!F2748</f>
        <v>0</v>
      </c>
      <c r="G2747">
        <f>'raw data Crude oil'!G2748</f>
        <v>0</v>
      </c>
      <c r="H2747">
        <f>'raw data Crude oil'!H2748</f>
        <v>0</v>
      </c>
      <c r="I2747">
        <f>'raw data Crude oil'!I2748</f>
        <v>0</v>
      </c>
      <c r="J2747">
        <f>'raw data Crude oil'!J2748</f>
        <v>0</v>
      </c>
      <c r="K2747">
        <f>'raw data Crude oil'!K2748</f>
        <v>0</v>
      </c>
      <c r="L2747">
        <f>'raw data Crude oil'!L2748</f>
        <v>0</v>
      </c>
      <c r="M2747">
        <f>'raw data Crude oil'!M2748</f>
        <v>0</v>
      </c>
      <c r="N2747">
        <f>'raw data Crude oil'!N2748</f>
        <v>0</v>
      </c>
      <c r="O2747">
        <f>'raw data Crude oil'!O2748</f>
        <v>0</v>
      </c>
      <c r="P2747">
        <f>'raw data Crude oil'!P2748</f>
        <v>0</v>
      </c>
      <c r="Q2747">
        <f>'raw data Crude oil'!Q2748</f>
        <v>0</v>
      </c>
      <c r="R2747">
        <f>'raw data Crude oil'!R2748</f>
        <v>0</v>
      </c>
      <c r="S2747">
        <f>'raw data Crude oil'!S2748</f>
        <v>0</v>
      </c>
      <c r="T2747">
        <f>'raw data Crude oil'!T2748</f>
        <v>0</v>
      </c>
      <c r="U2747">
        <f>'raw data Crude oil'!U2748</f>
        <v>0</v>
      </c>
      <c r="V2747">
        <f>'raw data Crude oil'!V2748</f>
        <v>0</v>
      </c>
      <c r="W2747">
        <f>'raw data Crude oil'!W2748</f>
        <v>0</v>
      </c>
      <c r="X2747">
        <f>'raw data Crude oil'!X2748</f>
        <v>0</v>
      </c>
      <c r="Y2747">
        <f>'raw data Crude oil'!Y2748</f>
        <v>0</v>
      </c>
      <c r="Z2747">
        <f>'raw data Crude oil'!Z2748</f>
        <v>0</v>
      </c>
      <c r="AA2747">
        <f>'raw data Crude oil'!AA2748</f>
        <v>0</v>
      </c>
      <c r="AB2747">
        <f>'raw data Crude oil'!AB2748</f>
        <v>0</v>
      </c>
      <c r="AC2747">
        <f>'raw data Crude oil'!AC2748</f>
        <v>0</v>
      </c>
      <c r="AD2747">
        <f>'raw data Crude oil'!AD2748</f>
        <v>0</v>
      </c>
      <c r="AE2747">
        <f>'raw data Crude oil'!AE2748</f>
        <v>0</v>
      </c>
      <c r="AF2747">
        <f>'raw data Crude oil'!AF2748</f>
        <v>0</v>
      </c>
      <c r="AG2747">
        <f>'raw data Crude oil'!AG2748</f>
        <v>0</v>
      </c>
      <c r="AH2747">
        <f>'raw data Crude oil'!AH2748</f>
        <v>0</v>
      </c>
      <c r="AI2747">
        <f>'raw data Crude oil'!AI2748</f>
        <v>0</v>
      </c>
      <c r="AJ2747">
        <f>'raw data Crude oil'!AJ2748</f>
        <v>0</v>
      </c>
      <c r="AK2747">
        <f>'raw data Crude oil'!AK2748</f>
        <v>0</v>
      </c>
    </row>
    <row r="2748" spans="1:37" x14ac:dyDescent="0.3">
      <c r="A2748" s="18">
        <f>'raw data Crude oil'!A2749</f>
        <v>0</v>
      </c>
      <c r="B2748">
        <f>'raw data Crude oil'!B2749</f>
        <v>0</v>
      </c>
      <c r="C2748">
        <f>'raw data Crude oil'!C2749</f>
        <v>0</v>
      </c>
      <c r="D2748">
        <f>'raw data Crude oil'!D2749</f>
        <v>0</v>
      </c>
      <c r="E2748">
        <f>'raw data Crude oil'!E2749</f>
        <v>0</v>
      </c>
      <c r="F2748">
        <f>'raw data Crude oil'!F2749</f>
        <v>0</v>
      </c>
      <c r="G2748">
        <f>'raw data Crude oil'!G2749</f>
        <v>0</v>
      </c>
      <c r="H2748">
        <f>'raw data Crude oil'!H2749</f>
        <v>0</v>
      </c>
      <c r="I2748">
        <f>'raw data Crude oil'!I2749</f>
        <v>0</v>
      </c>
      <c r="J2748">
        <f>'raw data Crude oil'!J2749</f>
        <v>0</v>
      </c>
      <c r="K2748">
        <f>'raw data Crude oil'!K2749</f>
        <v>0</v>
      </c>
      <c r="L2748">
        <f>'raw data Crude oil'!L2749</f>
        <v>0</v>
      </c>
      <c r="M2748">
        <f>'raw data Crude oil'!M2749</f>
        <v>0</v>
      </c>
      <c r="N2748">
        <f>'raw data Crude oil'!N2749</f>
        <v>0</v>
      </c>
      <c r="O2748">
        <f>'raw data Crude oil'!O2749</f>
        <v>0</v>
      </c>
      <c r="P2748">
        <f>'raw data Crude oil'!P2749</f>
        <v>0</v>
      </c>
      <c r="Q2748">
        <f>'raw data Crude oil'!Q2749</f>
        <v>0</v>
      </c>
      <c r="R2748">
        <f>'raw data Crude oil'!R2749</f>
        <v>0</v>
      </c>
      <c r="S2748">
        <f>'raw data Crude oil'!S2749</f>
        <v>0</v>
      </c>
      <c r="T2748">
        <f>'raw data Crude oil'!T2749</f>
        <v>0</v>
      </c>
      <c r="U2748">
        <f>'raw data Crude oil'!U2749</f>
        <v>0</v>
      </c>
      <c r="V2748">
        <f>'raw data Crude oil'!V2749</f>
        <v>0</v>
      </c>
      <c r="W2748">
        <f>'raw data Crude oil'!W2749</f>
        <v>0</v>
      </c>
      <c r="X2748">
        <f>'raw data Crude oil'!X2749</f>
        <v>0</v>
      </c>
      <c r="Y2748">
        <f>'raw data Crude oil'!Y2749</f>
        <v>0</v>
      </c>
      <c r="Z2748">
        <f>'raw data Crude oil'!Z2749</f>
        <v>0</v>
      </c>
      <c r="AA2748">
        <f>'raw data Crude oil'!AA2749</f>
        <v>0</v>
      </c>
      <c r="AB2748">
        <f>'raw data Crude oil'!AB2749</f>
        <v>0</v>
      </c>
      <c r="AC2748">
        <f>'raw data Crude oil'!AC2749</f>
        <v>0</v>
      </c>
      <c r="AD2748">
        <f>'raw data Crude oil'!AD2749</f>
        <v>0</v>
      </c>
      <c r="AE2748">
        <f>'raw data Crude oil'!AE2749</f>
        <v>0</v>
      </c>
      <c r="AF2748">
        <f>'raw data Crude oil'!AF2749</f>
        <v>0</v>
      </c>
      <c r="AG2748">
        <f>'raw data Crude oil'!AG2749</f>
        <v>0</v>
      </c>
      <c r="AH2748">
        <f>'raw data Crude oil'!AH2749</f>
        <v>0</v>
      </c>
      <c r="AI2748">
        <f>'raw data Crude oil'!AI2749</f>
        <v>0</v>
      </c>
      <c r="AJ2748">
        <f>'raw data Crude oil'!AJ2749</f>
        <v>0</v>
      </c>
      <c r="AK2748">
        <f>'raw data Crude oil'!AK2749</f>
        <v>0</v>
      </c>
    </row>
    <row r="2749" spans="1:37" x14ac:dyDescent="0.3">
      <c r="A2749" s="18">
        <f>'raw data Crude oil'!A2750</f>
        <v>0</v>
      </c>
      <c r="B2749">
        <f>'raw data Crude oil'!B2750</f>
        <v>0</v>
      </c>
      <c r="C2749">
        <f>'raw data Crude oil'!C2750</f>
        <v>0</v>
      </c>
      <c r="D2749">
        <f>'raw data Crude oil'!D2750</f>
        <v>0</v>
      </c>
      <c r="E2749">
        <f>'raw data Crude oil'!E2750</f>
        <v>0</v>
      </c>
      <c r="F2749">
        <f>'raw data Crude oil'!F2750</f>
        <v>0</v>
      </c>
      <c r="G2749">
        <f>'raw data Crude oil'!G2750</f>
        <v>0</v>
      </c>
      <c r="H2749">
        <f>'raw data Crude oil'!H2750</f>
        <v>0</v>
      </c>
      <c r="I2749">
        <f>'raw data Crude oil'!I2750</f>
        <v>0</v>
      </c>
      <c r="J2749">
        <f>'raw data Crude oil'!J2750</f>
        <v>0</v>
      </c>
      <c r="K2749">
        <f>'raw data Crude oil'!K2750</f>
        <v>0</v>
      </c>
      <c r="L2749">
        <f>'raw data Crude oil'!L2750</f>
        <v>0</v>
      </c>
      <c r="M2749">
        <f>'raw data Crude oil'!M2750</f>
        <v>0</v>
      </c>
      <c r="N2749">
        <f>'raw data Crude oil'!N2750</f>
        <v>0</v>
      </c>
      <c r="O2749">
        <f>'raw data Crude oil'!O2750</f>
        <v>0</v>
      </c>
      <c r="P2749">
        <f>'raw data Crude oil'!P2750</f>
        <v>0</v>
      </c>
      <c r="Q2749">
        <f>'raw data Crude oil'!Q2750</f>
        <v>0</v>
      </c>
      <c r="R2749">
        <f>'raw data Crude oil'!R2750</f>
        <v>0</v>
      </c>
      <c r="S2749">
        <f>'raw data Crude oil'!S2750</f>
        <v>0</v>
      </c>
      <c r="T2749">
        <f>'raw data Crude oil'!T2750</f>
        <v>0</v>
      </c>
      <c r="U2749">
        <f>'raw data Crude oil'!U2750</f>
        <v>0</v>
      </c>
      <c r="V2749">
        <f>'raw data Crude oil'!V2750</f>
        <v>0</v>
      </c>
      <c r="W2749">
        <f>'raw data Crude oil'!W2750</f>
        <v>0</v>
      </c>
      <c r="X2749">
        <f>'raw data Crude oil'!X2750</f>
        <v>0</v>
      </c>
      <c r="Y2749">
        <f>'raw data Crude oil'!Y2750</f>
        <v>0</v>
      </c>
      <c r="Z2749">
        <f>'raw data Crude oil'!Z2750</f>
        <v>0</v>
      </c>
      <c r="AA2749">
        <f>'raw data Crude oil'!AA2750</f>
        <v>0</v>
      </c>
      <c r="AB2749">
        <f>'raw data Crude oil'!AB2750</f>
        <v>0</v>
      </c>
      <c r="AC2749">
        <f>'raw data Crude oil'!AC2750</f>
        <v>0</v>
      </c>
      <c r="AD2749">
        <f>'raw data Crude oil'!AD2750</f>
        <v>0</v>
      </c>
      <c r="AE2749">
        <f>'raw data Crude oil'!AE2750</f>
        <v>0</v>
      </c>
      <c r="AF2749">
        <f>'raw data Crude oil'!AF2750</f>
        <v>0</v>
      </c>
      <c r="AG2749">
        <f>'raw data Crude oil'!AG2750</f>
        <v>0</v>
      </c>
      <c r="AH2749">
        <f>'raw data Crude oil'!AH2750</f>
        <v>0</v>
      </c>
      <c r="AI2749">
        <f>'raw data Crude oil'!AI2750</f>
        <v>0</v>
      </c>
      <c r="AJ2749">
        <f>'raw data Crude oil'!AJ2750</f>
        <v>0</v>
      </c>
      <c r="AK2749">
        <f>'raw data Crude oil'!AK2750</f>
        <v>0</v>
      </c>
    </row>
    <row r="2750" spans="1:37" x14ac:dyDescent="0.3">
      <c r="A2750" s="18">
        <f>'raw data Crude oil'!A2751</f>
        <v>0</v>
      </c>
      <c r="B2750">
        <f>'raw data Crude oil'!B2751</f>
        <v>0</v>
      </c>
      <c r="C2750">
        <f>'raw data Crude oil'!C2751</f>
        <v>0</v>
      </c>
      <c r="D2750">
        <f>'raw data Crude oil'!D2751</f>
        <v>0</v>
      </c>
      <c r="E2750">
        <f>'raw data Crude oil'!E2751</f>
        <v>0</v>
      </c>
      <c r="F2750">
        <f>'raw data Crude oil'!F2751</f>
        <v>0</v>
      </c>
      <c r="G2750">
        <f>'raw data Crude oil'!G2751</f>
        <v>0</v>
      </c>
      <c r="H2750">
        <f>'raw data Crude oil'!H2751</f>
        <v>0</v>
      </c>
      <c r="I2750">
        <f>'raw data Crude oil'!I2751</f>
        <v>0</v>
      </c>
      <c r="J2750">
        <f>'raw data Crude oil'!J2751</f>
        <v>0</v>
      </c>
      <c r="K2750">
        <f>'raw data Crude oil'!K2751</f>
        <v>0</v>
      </c>
      <c r="L2750">
        <f>'raw data Crude oil'!L2751</f>
        <v>0</v>
      </c>
      <c r="M2750">
        <f>'raw data Crude oil'!M2751</f>
        <v>0</v>
      </c>
      <c r="N2750">
        <f>'raw data Crude oil'!N2751</f>
        <v>0</v>
      </c>
      <c r="O2750">
        <f>'raw data Crude oil'!O2751</f>
        <v>0</v>
      </c>
      <c r="P2750">
        <f>'raw data Crude oil'!P2751</f>
        <v>0</v>
      </c>
      <c r="Q2750">
        <f>'raw data Crude oil'!Q2751</f>
        <v>0</v>
      </c>
      <c r="R2750">
        <f>'raw data Crude oil'!R2751</f>
        <v>0</v>
      </c>
      <c r="S2750">
        <f>'raw data Crude oil'!S2751</f>
        <v>0</v>
      </c>
      <c r="T2750">
        <f>'raw data Crude oil'!T2751</f>
        <v>0</v>
      </c>
      <c r="U2750">
        <f>'raw data Crude oil'!U2751</f>
        <v>0</v>
      </c>
      <c r="V2750">
        <f>'raw data Crude oil'!V2751</f>
        <v>0</v>
      </c>
      <c r="W2750">
        <f>'raw data Crude oil'!W2751</f>
        <v>0</v>
      </c>
      <c r="X2750">
        <f>'raw data Crude oil'!X2751</f>
        <v>0</v>
      </c>
      <c r="Y2750">
        <f>'raw data Crude oil'!Y2751</f>
        <v>0</v>
      </c>
      <c r="Z2750">
        <f>'raw data Crude oil'!Z2751</f>
        <v>0</v>
      </c>
      <c r="AA2750">
        <f>'raw data Crude oil'!AA2751</f>
        <v>0</v>
      </c>
      <c r="AB2750">
        <f>'raw data Crude oil'!AB2751</f>
        <v>0</v>
      </c>
      <c r="AC2750">
        <f>'raw data Crude oil'!AC2751</f>
        <v>0</v>
      </c>
      <c r="AD2750">
        <f>'raw data Crude oil'!AD2751</f>
        <v>0</v>
      </c>
      <c r="AE2750">
        <f>'raw data Crude oil'!AE2751</f>
        <v>0</v>
      </c>
      <c r="AF2750">
        <f>'raw data Crude oil'!AF2751</f>
        <v>0</v>
      </c>
      <c r="AG2750">
        <f>'raw data Crude oil'!AG2751</f>
        <v>0</v>
      </c>
      <c r="AH2750">
        <f>'raw data Crude oil'!AH2751</f>
        <v>0</v>
      </c>
      <c r="AI2750">
        <f>'raw data Crude oil'!AI2751</f>
        <v>0</v>
      </c>
      <c r="AJ2750">
        <f>'raw data Crude oil'!AJ2751</f>
        <v>0</v>
      </c>
      <c r="AK2750">
        <f>'raw data Crude oil'!AK2751</f>
        <v>0</v>
      </c>
    </row>
    <row r="2751" spans="1:37" x14ac:dyDescent="0.3">
      <c r="A2751" s="18">
        <f>'raw data Crude oil'!A2752</f>
        <v>0</v>
      </c>
      <c r="B2751">
        <f>'raw data Crude oil'!B2752</f>
        <v>0</v>
      </c>
      <c r="C2751">
        <f>'raw data Crude oil'!C2752</f>
        <v>0</v>
      </c>
      <c r="D2751">
        <f>'raw data Crude oil'!D2752</f>
        <v>0</v>
      </c>
      <c r="E2751">
        <f>'raw data Crude oil'!E2752</f>
        <v>0</v>
      </c>
      <c r="F2751">
        <f>'raw data Crude oil'!F2752</f>
        <v>0</v>
      </c>
      <c r="G2751">
        <f>'raw data Crude oil'!G2752</f>
        <v>0</v>
      </c>
      <c r="H2751">
        <f>'raw data Crude oil'!H2752</f>
        <v>0</v>
      </c>
      <c r="I2751">
        <f>'raw data Crude oil'!I2752</f>
        <v>0</v>
      </c>
      <c r="J2751">
        <f>'raw data Crude oil'!J2752</f>
        <v>0</v>
      </c>
      <c r="K2751">
        <f>'raw data Crude oil'!K2752</f>
        <v>0</v>
      </c>
      <c r="L2751">
        <f>'raw data Crude oil'!L2752</f>
        <v>0</v>
      </c>
      <c r="M2751">
        <f>'raw data Crude oil'!M2752</f>
        <v>0</v>
      </c>
      <c r="N2751">
        <f>'raw data Crude oil'!N2752</f>
        <v>0</v>
      </c>
      <c r="O2751">
        <f>'raw data Crude oil'!O2752</f>
        <v>0</v>
      </c>
      <c r="P2751">
        <f>'raw data Crude oil'!P2752</f>
        <v>0</v>
      </c>
      <c r="Q2751">
        <f>'raw data Crude oil'!Q2752</f>
        <v>0</v>
      </c>
      <c r="R2751">
        <f>'raw data Crude oil'!R2752</f>
        <v>0</v>
      </c>
      <c r="S2751">
        <f>'raw data Crude oil'!S2752</f>
        <v>0</v>
      </c>
      <c r="T2751">
        <f>'raw data Crude oil'!T2752</f>
        <v>0</v>
      </c>
      <c r="U2751">
        <f>'raw data Crude oil'!U2752</f>
        <v>0</v>
      </c>
      <c r="V2751">
        <f>'raw data Crude oil'!V2752</f>
        <v>0</v>
      </c>
      <c r="W2751">
        <f>'raw data Crude oil'!W2752</f>
        <v>0</v>
      </c>
      <c r="X2751">
        <f>'raw data Crude oil'!X2752</f>
        <v>0</v>
      </c>
      <c r="Y2751">
        <f>'raw data Crude oil'!Y2752</f>
        <v>0</v>
      </c>
      <c r="Z2751">
        <f>'raw data Crude oil'!Z2752</f>
        <v>0</v>
      </c>
      <c r="AA2751">
        <f>'raw data Crude oil'!AA2752</f>
        <v>0</v>
      </c>
      <c r="AB2751">
        <f>'raw data Crude oil'!AB2752</f>
        <v>0</v>
      </c>
      <c r="AC2751">
        <f>'raw data Crude oil'!AC2752</f>
        <v>0</v>
      </c>
      <c r="AD2751">
        <f>'raw data Crude oil'!AD2752</f>
        <v>0</v>
      </c>
      <c r="AE2751">
        <f>'raw data Crude oil'!AE2752</f>
        <v>0</v>
      </c>
      <c r="AF2751">
        <f>'raw data Crude oil'!AF2752</f>
        <v>0</v>
      </c>
      <c r="AG2751">
        <f>'raw data Crude oil'!AG2752</f>
        <v>0</v>
      </c>
      <c r="AH2751">
        <f>'raw data Crude oil'!AH2752</f>
        <v>0</v>
      </c>
      <c r="AI2751">
        <f>'raw data Crude oil'!AI2752</f>
        <v>0</v>
      </c>
      <c r="AJ2751">
        <f>'raw data Crude oil'!AJ2752</f>
        <v>0</v>
      </c>
      <c r="AK2751">
        <f>'raw data Crude oil'!AK2752</f>
        <v>0</v>
      </c>
    </row>
    <row r="2752" spans="1:37" x14ac:dyDescent="0.3">
      <c r="A2752" s="18">
        <f>'raw data Crude oil'!A2753</f>
        <v>0</v>
      </c>
      <c r="B2752">
        <f>'raw data Crude oil'!B2753</f>
        <v>0</v>
      </c>
      <c r="C2752">
        <f>'raw data Crude oil'!C2753</f>
        <v>0</v>
      </c>
      <c r="D2752">
        <f>'raw data Crude oil'!D2753</f>
        <v>0</v>
      </c>
      <c r="E2752">
        <f>'raw data Crude oil'!E2753</f>
        <v>0</v>
      </c>
      <c r="F2752">
        <f>'raw data Crude oil'!F2753</f>
        <v>0</v>
      </c>
      <c r="G2752">
        <f>'raw data Crude oil'!G2753</f>
        <v>0</v>
      </c>
      <c r="H2752">
        <f>'raw data Crude oil'!H2753</f>
        <v>0</v>
      </c>
      <c r="I2752">
        <f>'raw data Crude oil'!I2753</f>
        <v>0</v>
      </c>
      <c r="J2752">
        <f>'raw data Crude oil'!J2753</f>
        <v>0</v>
      </c>
      <c r="K2752">
        <f>'raw data Crude oil'!K2753</f>
        <v>0</v>
      </c>
      <c r="L2752">
        <f>'raw data Crude oil'!L2753</f>
        <v>0</v>
      </c>
      <c r="M2752">
        <f>'raw data Crude oil'!M2753</f>
        <v>0</v>
      </c>
      <c r="N2752">
        <f>'raw data Crude oil'!N2753</f>
        <v>0</v>
      </c>
      <c r="O2752">
        <f>'raw data Crude oil'!O2753</f>
        <v>0</v>
      </c>
      <c r="P2752">
        <f>'raw data Crude oil'!P2753</f>
        <v>0</v>
      </c>
      <c r="Q2752">
        <f>'raw data Crude oil'!Q2753</f>
        <v>0</v>
      </c>
      <c r="R2752">
        <f>'raw data Crude oil'!R2753</f>
        <v>0</v>
      </c>
      <c r="S2752">
        <f>'raw data Crude oil'!S2753</f>
        <v>0</v>
      </c>
      <c r="T2752">
        <f>'raw data Crude oil'!T2753</f>
        <v>0</v>
      </c>
      <c r="U2752">
        <f>'raw data Crude oil'!U2753</f>
        <v>0</v>
      </c>
      <c r="V2752">
        <f>'raw data Crude oil'!V2753</f>
        <v>0</v>
      </c>
      <c r="W2752">
        <f>'raw data Crude oil'!W2753</f>
        <v>0</v>
      </c>
      <c r="X2752">
        <f>'raw data Crude oil'!X2753</f>
        <v>0</v>
      </c>
      <c r="Y2752">
        <f>'raw data Crude oil'!Y2753</f>
        <v>0</v>
      </c>
      <c r="Z2752">
        <f>'raw data Crude oil'!Z2753</f>
        <v>0</v>
      </c>
      <c r="AA2752">
        <f>'raw data Crude oil'!AA2753</f>
        <v>0</v>
      </c>
      <c r="AB2752">
        <f>'raw data Crude oil'!AB2753</f>
        <v>0</v>
      </c>
      <c r="AC2752">
        <f>'raw data Crude oil'!AC2753</f>
        <v>0</v>
      </c>
      <c r="AD2752">
        <f>'raw data Crude oil'!AD2753</f>
        <v>0</v>
      </c>
      <c r="AE2752">
        <f>'raw data Crude oil'!AE2753</f>
        <v>0</v>
      </c>
      <c r="AF2752">
        <f>'raw data Crude oil'!AF2753</f>
        <v>0</v>
      </c>
      <c r="AG2752">
        <f>'raw data Crude oil'!AG2753</f>
        <v>0</v>
      </c>
      <c r="AH2752">
        <f>'raw data Crude oil'!AH2753</f>
        <v>0</v>
      </c>
      <c r="AI2752">
        <f>'raw data Crude oil'!AI2753</f>
        <v>0</v>
      </c>
      <c r="AJ2752">
        <f>'raw data Crude oil'!AJ2753</f>
        <v>0</v>
      </c>
      <c r="AK2752">
        <f>'raw data Crude oil'!AK2753</f>
        <v>0</v>
      </c>
    </row>
    <row r="2753" spans="1:37" x14ac:dyDescent="0.3">
      <c r="A2753" s="18">
        <f>'raw data Crude oil'!A2754</f>
        <v>0</v>
      </c>
      <c r="B2753">
        <f>'raw data Crude oil'!B2754</f>
        <v>0</v>
      </c>
      <c r="C2753">
        <f>'raw data Crude oil'!C2754</f>
        <v>0</v>
      </c>
      <c r="D2753">
        <f>'raw data Crude oil'!D2754</f>
        <v>0</v>
      </c>
      <c r="E2753">
        <f>'raw data Crude oil'!E2754</f>
        <v>0</v>
      </c>
      <c r="F2753">
        <f>'raw data Crude oil'!F2754</f>
        <v>0</v>
      </c>
      <c r="G2753">
        <f>'raw data Crude oil'!G2754</f>
        <v>0</v>
      </c>
      <c r="H2753">
        <f>'raw data Crude oil'!H2754</f>
        <v>0</v>
      </c>
      <c r="I2753">
        <f>'raw data Crude oil'!I2754</f>
        <v>0</v>
      </c>
      <c r="J2753">
        <f>'raw data Crude oil'!J2754</f>
        <v>0</v>
      </c>
      <c r="K2753">
        <f>'raw data Crude oil'!K2754</f>
        <v>0</v>
      </c>
      <c r="L2753">
        <f>'raw data Crude oil'!L2754</f>
        <v>0</v>
      </c>
      <c r="M2753">
        <f>'raw data Crude oil'!M2754</f>
        <v>0</v>
      </c>
      <c r="N2753">
        <f>'raw data Crude oil'!N2754</f>
        <v>0</v>
      </c>
      <c r="O2753">
        <f>'raw data Crude oil'!O2754</f>
        <v>0</v>
      </c>
      <c r="P2753">
        <f>'raw data Crude oil'!P2754</f>
        <v>0</v>
      </c>
      <c r="Q2753">
        <f>'raw data Crude oil'!Q2754</f>
        <v>0</v>
      </c>
      <c r="R2753">
        <f>'raw data Crude oil'!R2754</f>
        <v>0</v>
      </c>
      <c r="S2753">
        <f>'raw data Crude oil'!S2754</f>
        <v>0</v>
      </c>
      <c r="T2753">
        <f>'raw data Crude oil'!T2754</f>
        <v>0</v>
      </c>
      <c r="U2753">
        <f>'raw data Crude oil'!U2754</f>
        <v>0</v>
      </c>
      <c r="V2753">
        <f>'raw data Crude oil'!V2754</f>
        <v>0</v>
      </c>
      <c r="W2753">
        <f>'raw data Crude oil'!W2754</f>
        <v>0</v>
      </c>
      <c r="X2753">
        <f>'raw data Crude oil'!X2754</f>
        <v>0</v>
      </c>
      <c r="Y2753">
        <f>'raw data Crude oil'!Y2754</f>
        <v>0</v>
      </c>
      <c r="Z2753">
        <f>'raw data Crude oil'!Z2754</f>
        <v>0</v>
      </c>
      <c r="AA2753">
        <f>'raw data Crude oil'!AA2754</f>
        <v>0</v>
      </c>
      <c r="AB2753">
        <f>'raw data Crude oil'!AB2754</f>
        <v>0</v>
      </c>
      <c r="AC2753">
        <f>'raw data Crude oil'!AC2754</f>
        <v>0</v>
      </c>
      <c r="AD2753">
        <f>'raw data Crude oil'!AD2754</f>
        <v>0</v>
      </c>
      <c r="AE2753">
        <f>'raw data Crude oil'!AE2754</f>
        <v>0</v>
      </c>
      <c r="AF2753">
        <f>'raw data Crude oil'!AF2754</f>
        <v>0</v>
      </c>
      <c r="AG2753">
        <f>'raw data Crude oil'!AG2754</f>
        <v>0</v>
      </c>
      <c r="AH2753">
        <f>'raw data Crude oil'!AH2754</f>
        <v>0</v>
      </c>
      <c r="AI2753">
        <f>'raw data Crude oil'!AI2754</f>
        <v>0</v>
      </c>
      <c r="AJ2753">
        <f>'raw data Crude oil'!AJ2754</f>
        <v>0</v>
      </c>
      <c r="AK2753">
        <f>'raw data Crude oil'!AK2754</f>
        <v>0</v>
      </c>
    </row>
    <row r="2754" spans="1:37" x14ac:dyDescent="0.3">
      <c r="A2754" s="18">
        <f>'raw data Crude oil'!A2755</f>
        <v>0</v>
      </c>
      <c r="B2754">
        <f>'raw data Crude oil'!B2755</f>
        <v>0</v>
      </c>
      <c r="C2754">
        <f>'raw data Crude oil'!C2755</f>
        <v>0</v>
      </c>
      <c r="D2754">
        <f>'raw data Crude oil'!D2755</f>
        <v>0</v>
      </c>
      <c r="E2754">
        <f>'raw data Crude oil'!E2755</f>
        <v>0</v>
      </c>
      <c r="F2754">
        <f>'raw data Crude oil'!F2755</f>
        <v>0</v>
      </c>
      <c r="G2754">
        <f>'raw data Crude oil'!G2755</f>
        <v>0</v>
      </c>
      <c r="H2754">
        <f>'raw data Crude oil'!H2755</f>
        <v>0</v>
      </c>
      <c r="I2754">
        <f>'raw data Crude oil'!I2755</f>
        <v>0</v>
      </c>
      <c r="J2754">
        <f>'raw data Crude oil'!J2755</f>
        <v>0</v>
      </c>
      <c r="K2754">
        <f>'raw data Crude oil'!K2755</f>
        <v>0</v>
      </c>
      <c r="L2754">
        <f>'raw data Crude oil'!L2755</f>
        <v>0</v>
      </c>
      <c r="M2754">
        <f>'raw data Crude oil'!M2755</f>
        <v>0</v>
      </c>
      <c r="N2754">
        <f>'raw data Crude oil'!N2755</f>
        <v>0</v>
      </c>
      <c r="O2754">
        <f>'raw data Crude oil'!O2755</f>
        <v>0</v>
      </c>
      <c r="P2754">
        <f>'raw data Crude oil'!P2755</f>
        <v>0</v>
      </c>
      <c r="Q2754">
        <f>'raw data Crude oil'!Q2755</f>
        <v>0</v>
      </c>
      <c r="R2754">
        <f>'raw data Crude oil'!R2755</f>
        <v>0</v>
      </c>
      <c r="S2754">
        <f>'raw data Crude oil'!S2755</f>
        <v>0</v>
      </c>
      <c r="T2754">
        <f>'raw data Crude oil'!T2755</f>
        <v>0</v>
      </c>
      <c r="U2754">
        <f>'raw data Crude oil'!U2755</f>
        <v>0</v>
      </c>
      <c r="V2754">
        <f>'raw data Crude oil'!V2755</f>
        <v>0</v>
      </c>
      <c r="W2754">
        <f>'raw data Crude oil'!W2755</f>
        <v>0</v>
      </c>
      <c r="X2754">
        <f>'raw data Crude oil'!X2755</f>
        <v>0</v>
      </c>
      <c r="Y2754">
        <f>'raw data Crude oil'!Y2755</f>
        <v>0</v>
      </c>
      <c r="Z2754">
        <f>'raw data Crude oil'!Z2755</f>
        <v>0</v>
      </c>
      <c r="AA2754">
        <f>'raw data Crude oil'!AA2755</f>
        <v>0</v>
      </c>
      <c r="AB2754">
        <f>'raw data Crude oil'!AB2755</f>
        <v>0</v>
      </c>
      <c r="AC2754">
        <f>'raw data Crude oil'!AC2755</f>
        <v>0</v>
      </c>
      <c r="AD2754">
        <f>'raw data Crude oil'!AD2755</f>
        <v>0</v>
      </c>
      <c r="AE2754">
        <f>'raw data Crude oil'!AE2755</f>
        <v>0</v>
      </c>
      <c r="AF2754">
        <f>'raw data Crude oil'!AF2755</f>
        <v>0</v>
      </c>
      <c r="AG2754">
        <f>'raw data Crude oil'!AG2755</f>
        <v>0</v>
      </c>
      <c r="AH2754">
        <f>'raw data Crude oil'!AH2755</f>
        <v>0</v>
      </c>
      <c r="AI2754">
        <f>'raw data Crude oil'!AI2755</f>
        <v>0</v>
      </c>
      <c r="AJ2754">
        <f>'raw data Crude oil'!AJ2755</f>
        <v>0</v>
      </c>
      <c r="AK2754">
        <f>'raw data Crude oil'!AK2755</f>
        <v>0</v>
      </c>
    </row>
    <row r="2755" spans="1:37" x14ac:dyDescent="0.3">
      <c r="A2755" s="18">
        <f>'raw data Crude oil'!A2756</f>
        <v>0</v>
      </c>
      <c r="B2755">
        <f>'raw data Crude oil'!B2756</f>
        <v>0</v>
      </c>
      <c r="C2755">
        <f>'raw data Crude oil'!C2756</f>
        <v>0</v>
      </c>
      <c r="D2755">
        <f>'raw data Crude oil'!D2756</f>
        <v>0</v>
      </c>
      <c r="E2755">
        <f>'raw data Crude oil'!E2756</f>
        <v>0</v>
      </c>
      <c r="F2755">
        <f>'raw data Crude oil'!F2756</f>
        <v>0</v>
      </c>
      <c r="G2755">
        <f>'raw data Crude oil'!G2756</f>
        <v>0</v>
      </c>
      <c r="H2755">
        <f>'raw data Crude oil'!H2756</f>
        <v>0</v>
      </c>
      <c r="I2755">
        <f>'raw data Crude oil'!I2756</f>
        <v>0</v>
      </c>
      <c r="J2755">
        <f>'raw data Crude oil'!J2756</f>
        <v>0</v>
      </c>
      <c r="K2755">
        <f>'raw data Crude oil'!K2756</f>
        <v>0</v>
      </c>
      <c r="L2755">
        <f>'raw data Crude oil'!L2756</f>
        <v>0</v>
      </c>
      <c r="M2755">
        <f>'raw data Crude oil'!M2756</f>
        <v>0</v>
      </c>
      <c r="N2755">
        <f>'raw data Crude oil'!N2756</f>
        <v>0</v>
      </c>
      <c r="O2755">
        <f>'raw data Crude oil'!O2756</f>
        <v>0</v>
      </c>
      <c r="P2755">
        <f>'raw data Crude oil'!P2756</f>
        <v>0</v>
      </c>
      <c r="Q2755">
        <f>'raw data Crude oil'!Q2756</f>
        <v>0</v>
      </c>
      <c r="R2755">
        <f>'raw data Crude oil'!R2756</f>
        <v>0</v>
      </c>
      <c r="S2755">
        <f>'raw data Crude oil'!S2756</f>
        <v>0</v>
      </c>
      <c r="T2755">
        <f>'raw data Crude oil'!T2756</f>
        <v>0</v>
      </c>
      <c r="U2755">
        <f>'raw data Crude oil'!U2756</f>
        <v>0</v>
      </c>
      <c r="V2755">
        <f>'raw data Crude oil'!V2756</f>
        <v>0</v>
      </c>
      <c r="W2755">
        <f>'raw data Crude oil'!W2756</f>
        <v>0</v>
      </c>
      <c r="X2755">
        <f>'raw data Crude oil'!X2756</f>
        <v>0</v>
      </c>
      <c r="Y2755">
        <f>'raw data Crude oil'!Y2756</f>
        <v>0</v>
      </c>
      <c r="Z2755">
        <f>'raw data Crude oil'!Z2756</f>
        <v>0</v>
      </c>
      <c r="AA2755">
        <f>'raw data Crude oil'!AA2756</f>
        <v>0</v>
      </c>
      <c r="AB2755">
        <f>'raw data Crude oil'!AB2756</f>
        <v>0</v>
      </c>
      <c r="AC2755">
        <f>'raw data Crude oil'!AC2756</f>
        <v>0</v>
      </c>
      <c r="AD2755">
        <f>'raw data Crude oil'!AD2756</f>
        <v>0</v>
      </c>
      <c r="AE2755">
        <f>'raw data Crude oil'!AE2756</f>
        <v>0</v>
      </c>
      <c r="AF2755">
        <f>'raw data Crude oil'!AF2756</f>
        <v>0</v>
      </c>
      <c r="AG2755">
        <f>'raw data Crude oil'!AG2756</f>
        <v>0</v>
      </c>
      <c r="AH2755">
        <f>'raw data Crude oil'!AH2756</f>
        <v>0</v>
      </c>
      <c r="AI2755">
        <f>'raw data Crude oil'!AI2756</f>
        <v>0</v>
      </c>
      <c r="AJ2755">
        <f>'raw data Crude oil'!AJ2756</f>
        <v>0</v>
      </c>
      <c r="AK2755">
        <f>'raw data Crude oil'!AK2756</f>
        <v>0</v>
      </c>
    </row>
    <row r="2756" spans="1:37" x14ac:dyDescent="0.3">
      <c r="A2756" s="18">
        <f>'raw data Crude oil'!A2757</f>
        <v>0</v>
      </c>
      <c r="B2756">
        <f>'raw data Crude oil'!B2757</f>
        <v>0</v>
      </c>
      <c r="C2756">
        <f>'raw data Crude oil'!C2757</f>
        <v>0</v>
      </c>
      <c r="D2756">
        <f>'raw data Crude oil'!D2757</f>
        <v>0</v>
      </c>
      <c r="E2756">
        <f>'raw data Crude oil'!E2757</f>
        <v>0</v>
      </c>
      <c r="F2756">
        <f>'raw data Crude oil'!F2757</f>
        <v>0</v>
      </c>
      <c r="G2756">
        <f>'raw data Crude oil'!G2757</f>
        <v>0</v>
      </c>
      <c r="H2756">
        <f>'raw data Crude oil'!H2757</f>
        <v>0</v>
      </c>
      <c r="I2756">
        <f>'raw data Crude oil'!I2757</f>
        <v>0</v>
      </c>
      <c r="J2756">
        <f>'raw data Crude oil'!J2757</f>
        <v>0</v>
      </c>
      <c r="K2756">
        <f>'raw data Crude oil'!K2757</f>
        <v>0</v>
      </c>
      <c r="L2756">
        <f>'raw data Crude oil'!L2757</f>
        <v>0</v>
      </c>
      <c r="M2756">
        <f>'raw data Crude oil'!M2757</f>
        <v>0</v>
      </c>
      <c r="N2756">
        <f>'raw data Crude oil'!N2757</f>
        <v>0</v>
      </c>
      <c r="O2756">
        <f>'raw data Crude oil'!O2757</f>
        <v>0</v>
      </c>
      <c r="P2756">
        <f>'raw data Crude oil'!P2757</f>
        <v>0</v>
      </c>
      <c r="Q2756">
        <f>'raw data Crude oil'!Q2757</f>
        <v>0</v>
      </c>
      <c r="R2756">
        <f>'raw data Crude oil'!R2757</f>
        <v>0</v>
      </c>
      <c r="S2756">
        <f>'raw data Crude oil'!S2757</f>
        <v>0</v>
      </c>
      <c r="T2756">
        <f>'raw data Crude oil'!T2757</f>
        <v>0</v>
      </c>
      <c r="U2756">
        <f>'raw data Crude oil'!U2757</f>
        <v>0</v>
      </c>
      <c r="V2756">
        <f>'raw data Crude oil'!V2757</f>
        <v>0</v>
      </c>
      <c r="W2756">
        <f>'raw data Crude oil'!W2757</f>
        <v>0</v>
      </c>
      <c r="X2756">
        <f>'raw data Crude oil'!X2757</f>
        <v>0</v>
      </c>
      <c r="Y2756">
        <f>'raw data Crude oil'!Y2757</f>
        <v>0</v>
      </c>
      <c r="Z2756">
        <f>'raw data Crude oil'!Z2757</f>
        <v>0</v>
      </c>
      <c r="AA2756">
        <f>'raw data Crude oil'!AA2757</f>
        <v>0</v>
      </c>
      <c r="AB2756">
        <f>'raw data Crude oil'!AB2757</f>
        <v>0</v>
      </c>
      <c r="AC2756">
        <f>'raw data Crude oil'!AC2757</f>
        <v>0</v>
      </c>
      <c r="AD2756">
        <f>'raw data Crude oil'!AD2757</f>
        <v>0</v>
      </c>
      <c r="AE2756">
        <f>'raw data Crude oil'!AE2757</f>
        <v>0</v>
      </c>
      <c r="AF2756">
        <f>'raw data Crude oil'!AF2757</f>
        <v>0</v>
      </c>
      <c r="AG2756">
        <f>'raw data Crude oil'!AG2757</f>
        <v>0</v>
      </c>
      <c r="AH2756">
        <f>'raw data Crude oil'!AH2757</f>
        <v>0</v>
      </c>
      <c r="AI2756">
        <f>'raw data Crude oil'!AI2757</f>
        <v>0</v>
      </c>
      <c r="AJ2756">
        <f>'raw data Crude oil'!AJ2757</f>
        <v>0</v>
      </c>
      <c r="AK2756">
        <f>'raw data Crude oil'!AK2757</f>
        <v>0</v>
      </c>
    </row>
    <row r="2757" spans="1:37" x14ac:dyDescent="0.3">
      <c r="A2757" s="18">
        <f>'raw data Crude oil'!A2758</f>
        <v>0</v>
      </c>
      <c r="B2757">
        <f>'raw data Crude oil'!B2758</f>
        <v>0</v>
      </c>
      <c r="C2757">
        <f>'raw data Crude oil'!C2758</f>
        <v>0</v>
      </c>
      <c r="D2757">
        <f>'raw data Crude oil'!D2758</f>
        <v>0</v>
      </c>
      <c r="E2757">
        <f>'raw data Crude oil'!E2758</f>
        <v>0</v>
      </c>
      <c r="F2757">
        <f>'raw data Crude oil'!F2758</f>
        <v>0</v>
      </c>
      <c r="G2757">
        <f>'raw data Crude oil'!G2758</f>
        <v>0</v>
      </c>
      <c r="H2757">
        <f>'raw data Crude oil'!H2758</f>
        <v>0</v>
      </c>
      <c r="I2757">
        <f>'raw data Crude oil'!I2758</f>
        <v>0</v>
      </c>
      <c r="J2757">
        <f>'raw data Crude oil'!J2758</f>
        <v>0</v>
      </c>
      <c r="K2757">
        <f>'raw data Crude oil'!K2758</f>
        <v>0</v>
      </c>
      <c r="L2757">
        <f>'raw data Crude oil'!L2758</f>
        <v>0</v>
      </c>
      <c r="M2757">
        <f>'raw data Crude oil'!M2758</f>
        <v>0</v>
      </c>
      <c r="N2757">
        <f>'raw data Crude oil'!N2758</f>
        <v>0</v>
      </c>
      <c r="O2757">
        <f>'raw data Crude oil'!O2758</f>
        <v>0</v>
      </c>
      <c r="P2757">
        <f>'raw data Crude oil'!P2758</f>
        <v>0</v>
      </c>
      <c r="Q2757">
        <f>'raw data Crude oil'!Q2758</f>
        <v>0</v>
      </c>
      <c r="R2757">
        <f>'raw data Crude oil'!R2758</f>
        <v>0</v>
      </c>
      <c r="S2757">
        <f>'raw data Crude oil'!S2758</f>
        <v>0</v>
      </c>
      <c r="T2757">
        <f>'raw data Crude oil'!T2758</f>
        <v>0</v>
      </c>
      <c r="U2757">
        <f>'raw data Crude oil'!U2758</f>
        <v>0</v>
      </c>
      <c r="V2757">
        <f>'raw data Crude oil'!V2758</f>
        <v>0</v>
      </c>
      <c r="W2757">
        <f>'raw data Crude oil'!W2758</f>
        <v>0</v>
      </c>
      <c r="X2757">
        <f>'raw data Crude oil'!X2758</f>
        <v>0</v>
      </c>
      <c r="Y2757">
        <f>'raw data Crude oil'!Y2758</f>
        <v>0</v>
      </c>
      <c r="Z2757">
        <f>'raw data Crude oil'!Z2758</f>
        <v>0</v>
      </c>
      <c r="AA2757">
        <f>'raw data Crude oil'!AA2758</f>
        <v>0</v>
      </c>
      <c r="AB2757">
        <f>'raw data Crude oil'!AB2758</f>
        <v>0</v>
      </c>
      <c r="AC2757">
        <f>'raw data Crude oil'!AC2758</f>
        <v>0</v>
      </c>
      <c r="AD2757">
        <f>'raw data Crude oil'!AD2758</f>
        <v>0</v>
      </c>
      <c r="AE2757">
        <f>'raw data Crude oil'!AE2758</f>
        <v>0</v>
      </c>
      <c r="AF2757">
        <f>'raw data Crude oil'!AF2758</f>
        <v>0</v>
      </c>
      <c r="AG2757">
        <f>'raw data Crude oil'!AG2758</f>
        <v>0</v>
      </c>
      <c r="AH2757">
        <f>'raw data Crude oil'!AH2758</f>
        <v>0</v>
      </c>
      <c r="AI2757">
        <f>'raw data Crude oil'!AI2758</f>
        <v>0</v>
      </c>
      <c r="AJ2757">
        <f>'raw data Crude oil'!AJ2758</f>
        <v>0</v>
      </c>
      <c r="AK2757">
        <f>'raw data Crude oil'!AK2758</f>
        <v>0</v>
      </c>
    </row>
    <row r="2758" spans="1:37" x14ac:dyDescent="0.3">
      <c r="A2758" s="18">
        <f>'raw data Crude oil'!A2759</f>
        <v>0</v>
      </c>
      <c r="B2758">
        <f>'raw data Crude oil'!B2759</f>
        <v>0</v>
      </c>
      <c r="C2758">
        <f>'raw data Crude oil'!C2759</f>
        <v>0</v>
      </c>
      <c r="D2758">
        <f>'raw data Crude oil'!D2759</f>
        <v>0</v>
      </c>
      <c r="E2758">
        <f>'raw data Crude oil'!E2759</f>
        <v>0</v>
      </c>
      <c r="F2758">
        <f>'raw data Crude oil'!F2759</f>
        <v>0</v>
      </c>
      <c r="G2758">
        <f>'raw data Crude oil'!G2759</f>
        <v>0</v>
      </c>
      <c r="H2758">
        <f>'raw data Crude oil'!H2759</f>
        <v>0</v>
      </c>
      <c r="I2758">
        <f>'raw data Crude oil'!I2759</f>
        <v>0</v>
      </c>
      <c r="J2758">
        <f>'raw data Crude oil'!J2759</f>
        <v>0</v>
      </c>
      <c r="K2758">
        <f>'raw data Crude oil'!K2759</f>
        <v>0</v>
      </c>
      <c r="L2758">
        <f>'raw data Crude oil'!L2759</f>
        <v>0</v>
      </c>
      <c r="M2758">
        <f>'raw data Crude oil'!M2759</f>
        <v>0</v>
      </c>
      <c r="N2758">
        <f>'raw data Crude oil'!N2759</f>
        <v>0</v>
      </c>
      <c r="O2758">
        <f>'raw data Crude oil'!O2759</f>
        <v>0</v>
      </c>
      <c r="P2758">
        <f>'raw data Crude oil'!P2759</f>
        <v>0</v>
      </c>
      <c r="Q2758">
        <f>'raw data Crude oil'!Q2759</f>
        <v>0</v>
      </c>
      <c r="R2758">
        <f>'raw data Crude oil'!R2759</f>
        <v>0</v>
      </c>
      <c r="S2758">
        <f>'raw data Crude oil'!S2759</f>
        <v>0</v>
      </c>
      <c r="T2758">
        <f>'raw data Crude oil'!T2759</f>
        <v>0</v>
      </c>
      <c r="U2758">
        <f>'raw data Crude oil'!U2759</f>
        <v>0</v>
      </c>
      <c r="V2758">
        <f>'raw data Crude oil'!V2759</f>
        <v>0</v>
      </c>
      <c r="W2758">
        <f>'raw data Crude oil'!W2759</f>
        <v>0</v>
      </c>
      <c r="X2758">
        <f>'raw data Crude oil'!X2759</f>
        <v>0</v>
      </c>
      <c r="Y2758">
        <f>'raw data Crude oil'!Y2759</f>
        <v>0</v>
      </c>
      <c r="Z2758">
        <f>'raw data Crude oil'!Z2759</f>
        <v>0</v>
      </c>
      <c r="AA2758">
        <f>'raw data Crude oil'!AA2759</f>
        <v>0</v>
      </c>
      <c r="AB2758">
        <f>'raw data Crude oil'!AB2759</f>
        <v>0</v>
      </c>
      <c r="AC2758">
        <f>'raw data Crude oil'!AC2759</f>
        <v>0</v>
      </c>
      <c r="AD2758">
        <f>'raw data Crude oil'!AD2759</f>
        <v>0</v>
      </c>
      <c r="AE2758">
        <f>'raw data Crude oil'!AE2759</f>
        <v>0</v>
      </c>
      <c r="AF2758">
        <f>'raw data Crude oil'!AF2759</f>
        <v>0</v>
      </c>
      <c r="AG2758">
        <f>'raw data Crude oil'!AG2759</f>
        <v>0</v>
      </c>
      <c r="AH2758">
        <f>'raw data Crude oil'!AH2759</f>
        <v>0</v>
      </c>
      <c r="AI2758">
        <f>'raw data Crude oil'!AI2759</f>
        <v>0</v>
      </c>
      <c r="AJ2758">
        <f>'raw data Crude oil'!AJ2759</f>
        <v>0</v>
      </c>
      <c r="AK2758">
        <f>'raw data Crude oil'!AK2759</f>
        <v>0</v>
      </c>
    </row>
    <row r="2759" spans="1:37" x14ac:dyDescent="0.3">
      <c r="A2759" s="18">
        <f>'raw data Crude oil'!A2760</f>
        <v>0</v>
      </c>
      <c r="B2759">
        <f>'raw data Crude oil'!B2760</f>
        <v>0</v>
      </c>
      <c r="C2759">
        <f>'raw data Crude oil'!C2760</f>
        <v>0</v>
      </c>
      <c r="D2759">
        <f>'raw data Crude oil'!D2760</f>
        <v>0</v>
      </c>
      <c r="E2759">
        <f>'raw data Crude oil'!E2760</f>
        <v>0</v>
      </c>
      <c r="F2759">
        <f>'raw data Crude oil'!F2760</f>
        <v>0</v>
      </c>
      <c r="G2759">
        <f>'raw data Crude oil'!G2760</f>
        <v>0</v>
      </c>
      <c r="H2759">
        <f>'raw data Crude oil'!H2760</f>
        <v>0</v>
      </c>
      <c r="I2759">
        <f>'raw data Crude oil'!I2760</f>
        <v>0</v>
      </c>
      <c r="J2759">
        <f>'raw data Crude oil'!J2760</f>
        <v>0</v>
      </c>
      <c r="K2759">
        <f>'raw data Crude oil'!K2760</f>
        <v>0</v>
      </c>
      <c r="L2759">
        <f>'raw data Crude oil'!L2760</f>
        <v>0</v>
      </c>
      <c r="M2759">
        <f>'raw data Crude oil'!M2760</f>
        <v>0</v>
      </c>
      <c r="N2759">
        <f>'raw data Crude oil'!N2760</f>
        <v>0</v>
      </c>
      <c r="O2759">
        <f>'raw data Crude oil'!O2760</f>
        <v>0</v>
      </c>
      <c r="P2759">
        <f>'raw data Crude oil'!P2760</f>
        <v>0</v>
      </c>
      <c r="Q2759">
        <f>'raw data Crude oil'!Q2760</f>
        <v>0</v>
      </c>
      <c r="R2759">
        <f>'raw data Crude oil'!R2760</f>
        <v>0</v>
      </c>
      <c r="S2759">
        <f>'raw data Crude oil'!S2760</f>
        <v>0</v>
      </c>
      <c r="T2759">
        <f>'raw data Crude oil'!T2760</f>
        <v>0</v>
      </c>
      <c r="U2759">
        <f>'raw data Crude oil'!U2760</f>
        <v>0</v>
      </c>
      <c r="V2759">
        <f>'raw data Crude oil'!V2760</f>
        <v>0</v>
      </c>
      <c r="W2759">
        <f>'raw data Crude oil'!W2760</f>
        <v>0</v>
      </c>
      <c r="X2759">
        <f>'raw data Crude oil'!X2760</f>
        <v>0</v>
      </c>
      <c r="Y2759">
        <f>'raw data Crude oil'!Y2760</f>
        <v>0</v>
      </c>
      <c r="Z2759">
        <f>'raw data Crude oil'!Z2760</f>
        <v>0</v>
      </c>
      <c r="AA2759">
        <f>'raw data Crude oil'!AA2760</f>
        <v>0</v>
      </c>
      <c r="AB2759">
        <f>'raw data Crude oil'!AB2760</f>
        <v>0</v>
      </c>
      <c r="AC2759">
        <f>'raw data Crude oil'!AC2760</f>
        <v>0</v>
      </c>
      <c r="AD2759">
        <f>'raw data Crude oil'!AD2760</f>
        <v>0</v>
      </c>
      <c r="AE2759">
        <f>'raw data Crude oil'!AE2760</f>
        <v>0</v>
      </c>
      <c r="AF2759">
        <f>'raw data Crude oil'!AF2760</f>
        <v>0</v>
      </c>
      <c r="AG2759">
        <f>'raw data Crude oil'!AG2760</f>
        <v>0</v>
      </c>
      <c r="AH2759">
        <f>'raw data Crude oil'!AH2760</f>
        <v>0</v>
      </c>
      <c r="AI2759">
        <f>'raw data Crude oil'!AI2760</f>
        <v>0</v>
      </c>
      <c r="AJ2759">
        <f>'raw data Crude oil'!AJ2760</f>
        <v>0</v>
      </c>
      <c r="AK2759">
        <f>'raw data Crude oil'!AK2760</f>
        <v>0</v>
      </c>
    </row>
    <row r="2760" spans="1:37" x14ac:dyDescent="0.3">
      <c r="A2760" s="18">
        <f>'raw data Crude oil'!A2761</f>
        <v>0</v>
      </c>
      <c r="B2760">
        <f>'raw data Crude oil'!B2761</f>
        <v>0</v>
      </c>
      <c r="C2760">
        <f>'raw data Crude oil'!C2761</f>
        <v>0</v>
      </c>
      <c r="D2760">
        <f>'raw data Crude oil'!D2761</f>
        <v>0</v>
      </c>
      <c r="E2760">
        <f>'raw data Crude oil'!E2761</f>
        <v>0</v>
      </c>
      <c r="F2760">
        <f>'raw data Crude oil'!F2761</f>
        <v>0</v>
      </c>
      <c r="G2760">
        <f>'raw data Crude oil'!G2761</f>
        <v>0</v>
      </c>
      <c r="H2760">
        <f>'raw data Crude oil'!H2761</f>
        <v>0</v>
      </c>
      <c r="I2760">
        <f>'raw data Crude oil'!I2761</f>
        <v>0</v>
      </c>
      <c r="J2760">
        <f>'raw data Crude oil'!J2761</f>
        <v>0</v>
      </c>
      <c r="K2760">
        <f>'raw data Crude oil'!K2761</f>
        <v>0</v>
      </c>
      <c r="L2760">
        <f>'raw data Crude oil'!L2761</f>
        <v>0</v>
      </c>
      <c r="M2760">
        <f>'raw data Crude oil'!M2761</f>
        <v>0</v>
      </c>
      <c r="N2760">
        <f>'raw data Crude oil'!N2761</f>
        <v>0</v>
      </c>
      <c r="O2760">
        <f>'raw data Crude oil'!O2761</f>
        <v>0</v>
      </c>
      <c r="P2760">
        <f>'raw data Crude oil'!P2761</f>
        <v>0</v>
      </c>
      <c r="Q2760">
        <f>'raw data Crude oil'!Q2761</f>
        <v>0</v>
      </c>
      <c r="R2760">
        <f>'raw data Crude oil'!R2761</f>
        <v>0</v>
      </c>
      <c r="S2760">
        <f>'raw data Crude oil'!S2761</f>
        <v>0</v>
      </c>
      <c r="T2760">
        <f>'raw data Crude oil'!T2761</f>
        <v>0</v>
      </c>
      <c r="U2760">
        <f>'raw data Crude oil'!U2761</f>
        <v>0</v>
      </c>
      <c r="V2760">
        <f>'raw data Crude oil'!V2761</f>
        <v>0</v>
      </c>
      <c r="W2760">
        <f>'raw data Crude oil'!W2761</f>
        <v>0</v>
      </c>
      <c r="X2760">
        <f>'raw data Crude oil'!X2761</f>
        <v>0</v>
      </c>
      <c r="Y2760">
        <f>'raw data Crude oil'!Y2761</f>
        <v>0</v>
      </c>
      <c r="Z2760">
        <f>'raw data Crude oil'!Z2761</f>
        <v>0</v>
      </c>
      <c r="AA2760">
        <f>'raw data Crude oil'!AA2761</f>
        <v>0</v>
      </c>
      <c r="AB2760">
        <f>'raw data Crude oil'!AB2761</f>
        <v>0</v>
      </c>
      <c r="AC2760">
        <f>'raw data Crude oil'!AC2761</f>
        <v>0</v>
      </c>
      <c r="AD2760">
        <f>'raw data Crude oil'!AD2761</f>
        <v>0</v>
      </c>
      <c r="AE2760">
        <f>'raw data Crude oil'!AE2761</f>
        <v>0</v>
      </c>
      <c r="AF2760">
        <f>'raw data Crude oil'!AF2761</f>
        <v>0</v>
      </c>
      <c r="AG2760">
        <f>'raw data Crude oil'!AG2761</f>
        <v>0</v>
      </c>
      <c r="AH2760">
        <f>'raw data Crude oil'!AH2761</f>
        <v>0</v>
      </c>
      <c r="AI2760">
        <f>'raw data Crude oil'!AI2761</f>
        <v>0</v>
      </c>
      <c r="AJ2760">
        <f>'raw data Crude oil'!AJ2761</f>
        <v>0</v>
      </c>
      <c r="AK2760">
        <f>'raw data Crude oil'!AK2761</f>
        <v>0</v>
      </c>
    </row>
    <row r="2761" spans="1:37" x14ac:dyDescent="0.3">
      <c r="A2761" s="18">
        <f>'raw data Crude oil'!A2762</f>
        <v>0</v>
      </c>
      <c r="B2761">
        <f>'raw data Crude oil'!B2762</f>
        <v>0</v>
      </c>
      <c r="C2761">
        <f>'raw data Crude oil'!C2762</f>
        <v>0</v>
      </c>
      <c r="D2761">
        <f>'raw data Crude oil'!D2762</f>
        <v>0</v>
      </c>
      <c r="E2761">
        <f>'raw data Crude oil'!E2762</f>
        <v>0</v>
      </c>
      <c r="F2761">
        <f>'raw data Crude oil'!F2762</f>
        <v>0</v>
      </c>
      <c r="G2761">
        <f>'raw data Crude oil'!G2762</f>
        <v>0</v>
      </c>
      <c r="H2761">
        <f>'raw data Crude oil'!H2762</f>
        <v>0</v>
      </c>
      <c r="I2761">
        <f>'raw data Crude oil'!I2762</f>
        <v>0</v>
      </c>
      <c r="J2761">
        <f>'raw data Crude oil'!J2762</f>
        <v>0</v>
      </c>
      <c r="K2761">
        <f>'raw data Crude oil'!K2762</f>
        <v>0</v>
      </c>
      <c r="L2761">
        <f>'raw data Crude oil'!L2762</f>
        <v>0</v>
      </c>
      <c r="M2761">
        <f>'raw data Crude oil'!M2762</f>
        <v>0</v>
      </c>
      <c r="N2761">
        <f>'raw data Crude oil'!N2762</f>
        <v>0</v>
      </c>
      <c r="O2761">
        <f>'raw data Crude oil'!O2762</f>
        <v>0</v>
      </c>
      <c r="P2761">
        <f>'raw data Crude oil'!P2762</f>
        <v>0</v>
      </c>
      <c r="Q2761">
        <f>'raw data Crude oil'!Q2762</f>
        <v>0</v>
      </c>
      <c r="R2761">
        <f>'raw data Crude oil'!R2762</f>
        <v>0</v>
      </c>
      <c r="S2761">
        <f>'raw data Crude oil'!S2762</f>
        <v>0</v>
      </c>
      <c r="T2761">
        <f>'raw data Crude oil'!T2762</f>
        <v>0</v>
      </c>
      <c r="U2761">
        <f>'raw data Crude oil'!U2762</f>
        <v>0</v>
      </c>
      <c r="V2761">
        <f>'raw data Crude oil'!V2762</f>
        <v>0</v>
      </c>
      <c r="W2761">
        <f>'raw data Crude oil'!W2762</f>
        <v>0</v>
      </c>
      <c r="X2761">
        <f>'raw data Crude oil'!X2762</f>
        <v>0</v>
      </c>
      <c r="Y2761">
        <f>'raw data Crude oil'!Y2762</f>
        <v>0</v>
      </c>
      <c r="Z2761">
        <f>'raw data Crude oil'!Z2762</f>
        <v>0</v>
      </c>
      <c r="AA2761">
        <f>'raw data Crude oil'!AA2762</f>
        <v>0</v>
      </c>
      <c r="AB2761">
        <f>'raw data Crude oil'!AB2762</f>
        <v>0</v>
      </c>
      <c r="AC2761">
        <f>'raw data Crude oil'!AC2762</f>
        <v>0</v>
      </c>
      <c r="AD2761">
        <f>'raw data Crude oil'!AD2762</f>
        <v>0</v>
      </c>
      <c r="AE2761">
        <f>'raw data Crude oil'!AE2762</f>
        <v>0</v>
      </c>
      <c r="AF2761">
        <f>'raw data Crude oil'!AF2762</f>
        <v>0</v>
      </c>
      <c r="AG2761">
        <f>'raw data Crude oil'!AG2762</f>
        <v>0</v>
      </c>
      <c r="AH2761">
        <f>'raw data Crude oil'!AH2762</f>
        <v>0</v>
      </c>
      <c r="AI2761">
        <f>'raw data Crude oil'!AI2762</f>
        <v>0</v>
      </c>
      <c r="AJ2761">
        <f>'raw data Crude oil'!AJ2762</f>
        <v>0</v>
      </c>
      <c r="AK2761">
        <f>'raw data Crude oil'!AK2762</f>
        <v>0</v>
      </c>
    </row>
    <row r="2762" spans="1:37" x14ac:dyDescent="0.3">
      <c r="A2762" s="18">
        <f>'raw data Crude oil'!A2763</f>
        <v>0</v>
      </c>
      <c r="B2762">
        <f>'raw data Crude oil'!B2763</f>
        <v>0</v>
      </c>
      <c r="C2762">
        <f>'raw data Crude oil'!C2763</f>
        <v>0</v>
      </c>
      <c r="D2762">
        <f>'raw data Crude oil'!D2763</f>
        <v>0</v>
      </c>
      <c r="E2762">
        <f>'raw data Crude oil'!E2763</f>
        <v>0</v>
      </c>
      <c r="F2762">
        <f>'raw data Crude oil'!F2763</f>
        <v>0</v>
      </c>
      <c r="G2762">
        <f>'raw data Crude oil'!G2763</f>
        <v>0</v>
      </c>
      <c r="H2762">
        <f>'raw data Crude oil'!H2763</f>
        <v>0</v>
      </c>
      <c r="I2762">
        <f>'raw data Crude oil'!I2763</f>
        <v>0</v>
      </c>
      <c r="J2762">
        <f>'raw data Crude oil'!J2763</f>
        <v>0</v>
      </c>
      <c r="K2762">
        <f>'raw data Crude oil'!K2763</f>
        <v>0</v>
      </c>
      <c r="L2762">
        <f>'raw data Crude oil'!L2763</f>
        <v>0</v>
      </c>
      <c r="M2762">
        <f>'raw data Crude oil'!M2763</f>
        <v>0</v>
      </c>
      <c r="N2762">
        <f>'raw data Crude oil'!N2763</f>
        <v>0</v>
      </c>
      <c r="O2762">
        <f>'raw data Crude oil'!O2763</f>
        <v>0</v>
      </c>
      <c r="P2762">
        <f>'raw data Crude oil'!P2763</f>
        <v>0</v>
      </c>
      <c r="Q2762">
        <f>'raw data Crude oil'!Q2763</f>
        <v>0</v>
      </c>
      <c r="R2762">
        <f>'raw data Crude oil'!R2763</f>
        <v>0</v>
      </c>
      <c r="S2762">
        <f>'raw data Crude oil'!S2763</f>
        <v>0</v>
      </c>
      <c r="T2762">
        <f>'raw data Crude oil'!T2763</f>
        <v>0</v>
      </c>
      <c r="U2762">
        <f>'raw data Crude oil'!U2763</f>
        <v>0</v>
      </c>
      <c r="V2762">
        <f>'raw data Crude oil'!V2763</f>
        <v>0</v>
      </c>
      <c r="W2762">
        <f>'raw data Crude oil'!W2763</f>
        <v>0</v>
      </c>
      <c r="X2762">
        <f>'raw data Crude oil'!X2763</f>
        <v>0</v>
      </c>
      <c r="Y2762">
        <f>'raw data Crude oil'!Y2763</f>
        <v>0</v>
      </c>
      <c r="Z2762">
        <f>'raw data Crude oil'!Z2763</f>
        <v>0</v>
      </c>
      <c r="AA2762">
        <f>'raw data Crude oil'!AA2763</f>
        <v>0</v>
      </c>
      <c r="AB2762">
        <f>'raw data Crude oil'!AB2763</f>
        <v>0</v>
      </c>
      <c r="AC2762">
        <f>'raw data Crude oil'!AC2763</f>
        <v>0</v>
      </c>
      <c r="AD2762">
        <f>'raw data Crude oil'!AD2763</f>
        <v>0</v>
      </c>
      <c r="AE2762">
        <f>'raw data Crude oil'!AE2763</f>
        <v>0</v>
      </c>
      <c r="AF2762">
        <f>'raw data Crude oil'!AF2763</f>
        <v>0</v>
      </c>
      <c r="AG2762">
        <f>'raw data Crude oil'!AG2763</f>
        <v>0</v>
      </c>
      <c r="AH2762">
        <f>'raw data Crude oil'!AH2763</f>
        <v>0</v>
      </c>
      <c r="AI2762">
        <f>'raw data Crude oil'!AI2763</f>
        <v>0</v>
      </c>
      <c r="AJ2762">
        <f>'raw data Crude oil'!AJ2763</f>
        <v>0</v>
      </c>
      <c r="AK2762">
        <f>'raw data Crude oil'!AK2763</f>
        <v>0</v>
      </c>
    </row>
    <row r="2763" spans="1:37" x14ac:dyDescent="0.3">
      <c r="A2763" s="18">
        <f>'raw data Crude oil'!A2764</f>
        <v>0</v>
      </c>
      <c r="B2763">
        <f>'raw data Crude oil'!B2764</f>
        <v>0</v>
      </c>
      <c r="C2763">
        <f>'raw data Crude oil'!C2764</f>
        <v>0</v>
      </c>
      <c r="D2763">
        <f>'raw data Crude oil'!D2764</f>
        <v>0</v>
      </c>
      <c r="E2763">
        <f>'raw data Crude oil'!E2764</f>
        <v>0</v>
      </c>
      <c r="F2763">
        <f>'raw data Crude oil'!F2764</f>
        <v>0</v>
      </c>
      <c r="G2763">
        <f>'raw data Crude oil'!G2764</f>
        <v>0</v>
      </c>
      <c r="H2763">
        <f>'raw data Crude oil'!H2764</f>
        <v>0</v>
      </c>
      <c r="I2763">
        <f>'raw data Crude oil'!I2764</f>
        <v>0</v>
      </c>
      <c r="J2763">
        <f>'raw data Crude oil'!J2764</f>
        <v>0</v>
      </c>
      <c r="K2763">
        <f>'raw data Crude oil'!K2764</f>
        <v>0</v>
      </c>
      <c r="L2763">
        <f>'raw data Crude oil'!L2764</f>
        <v>0</v>
      </c>
      <c r="M2763">
        <f>'raw data Crude oil'!M2764</f>
        <v>0</v>
      </c>
      <c r="N2763">
        <f>'raw data Crude oil'!N2764</f>
        <v>0</v>
      </c>
      <c r="O2763">
        <f>'raw data Crude oil'!O2764</f>
        <v>0</v>
      </c>
      <c r="P2763">
        <f>'raw data Crude oil'!P2764</f>
        <v>0</v>
      </c>
      <c r="Q2763">
        <f>'raw data Crude oil'!Q2764</f>
        <v>0</v>
      </c>
      <c r="R2763">
        <f>'raw data Crude oil'!R2764</f>
        <v>0</v>
      </c>
      <c r="S2763">
        <f>'raw data Crude oil'!S2764</f>
        <v>0</v>
      </c>
      <c r="T2763">
        <f>'raw data Crude oil'!T2764</f>
        <v>0</v>
      </c>
      <c r="U2763">
        <f>'raw data Crude oil'!U2764</f>
        <v>0</v>
      </c>
      <c r="V2763">
        <f>'raw data Crude oil'!V2764</f>
        <v>0</v>
      </c>
      <c r="W2763">
        <f>'raw data Crude oil'!W2764</f>
        <v>0</v>
      </c>
      <c r="X2763">
        <f>'raw data Crude oil'!X2764</f>
        <v>0</v>
      </c>
      <c r="Y2763">
        <f>'raw data Crude oil'!Y2764</f>
        <v>0</v>
      </c>
      <c r="Z2763">
        <f>'raw data Crude oil'!Z2764</f>
        <v>0</v>
      </c>
      <c r="AA2763">
        <f>'raw data Crude oil'!AA2764</f>
        <v>0</v>
      </c>
      <c r="AB2763">
        <f>'raw data Crude oil'!AB2764</f>
        <v>0</v>
      </c>
      <c r="AC2763">
        <f>'raw data Crude oil'!AC2764</f>
        <v>0</v>
      </c>
      <c r="AD2763">
        <f>'raw data Crude oil'!AD2764</f>
        <v>0</v>
      </c>
      <c r="AE2763">
        <f>'raw data Crude oil'!AE2764</f>
        <v>0</v>
      </c>
      <c r="AF2763">
        <f>'raw data Crude oil'!AF2764</f>
        <v>0</v>
      </c>
      <c r="AG2763">
        <f>'raw data Crude oil'!AG2764</f>
        <v>0</v>
      </c>
      <c r="AH2763">
        <f>'raw data Crude oil'!AH2764</f>
        <v>0</v>
      </c>
      <c r="AI2763">
        <f>'raw data Crude oil'!AI2764</f>
        <v>0</v>
      </c>
      <c r="AJ2763">
        <f>'raw data Crude oil'!AJ2764</f>
        <v>0</v>
      </c>
      <c r="AK2763">
        <f>'raw data Crude oil'!AK2764</f>
        <v>0</v>
      </c>
    </row>
    <row r="2764" spans="1:37" x14ac:dyDescent="0.3">
      <c r="A2764" s="18">
        <f>'raw data Crude oil'!A2765</f>
        <v>0</v>
      </c>
      <c r="B2764">
        <f>'raw data Crude oil'!B2765</f>
        <v>0</v>
      </c>
      <c r="C2764">
        <f>'raw data Crude oil'!C2765</f>
        <v>0</v>
      </c>
      <c r="D2764">
        <f>'raw data Crude oil'!D2765</f>
        <v>0</v>
      </c>
      <c r="E2764">
        <f>'raw data Crude oil'!E2765</f>
        <v>0</v>
      </c>
      <c r="F2764">
        <f>'raw data Crude oil'!F2765</f>
        <v>0</v>
      </c>
      <c r="G2764">
        <f>'raw data Crude oil'!G2765</f>
        <v>0</v>
      </c>
      <c r="H2764">
        <f>'raw data Crude oil'!H2765</f>
        <v>0</v>
      </c>
      <c r="I2764">
        <f>'raw data Crude oil'!I2765</f>
        <v>0</v>
      </c>
      <c r="J2764">
        <f>'raw data Crude oil'!J2765</f>
        <v>0</v>
      </c>
      <c r="K2764">
        <f>'raw data Crude oil'!K2765</f>
        <v>0</v>
      </c>
      <c r="L2764">
        <f>'raw data Crude oil'!L2765</f>
        <v>0</v>
      </c>
      <c r="M2764">
        <f>'raw data Crude oil'!M2765</f>
        <v>0</v>
      </c>
      <c r="N2764">
        <f>'raw data Crude oil'!N2765</f>
        <v>0</v>
      </c>
      <c r="O2764">
        <f>'raw data Crude oil'!O2765</f>
        <v>0</v>
      </c>
      <c r="P2764">
        <f>'raw data Crude oil'!P2765</f>
        <v>0</v>
      </c>
      <c r="Q2764">
        <f>'raw data Crude oil'!Q2765</f>
        <v>0</v>
      </c>
      <c r="R2764">
        <f>'raw data Crude oil'!R2765</f>
        <v>0</v>
      </c>
      <c r="S2764">
        <f>'raw data Crude oil'!S2765</f>
        <v>0</v>
      </c>
      <c r="T2764">
        <f>'raw data Crude oil'!T2765</f>
        <v>0</v>
      </c>
      <c r="U2764">
        <f>'raw data Crude oil'!U2765</f>
        <v>0</v>
      </c>
      <c r="V2764">
        <f>'raw data Crude oil'!V2765</f>
        <v>0</v>
      </c>
      <c r="W2764">
        <f>'raw data Crude oil'!W2765</f>
        <v>0</v>
      </c>
      <c r="X2764">
        <f>'raw data Crude oil'!X2765</f>
        <v>0</v>
      </c>
      <c r="Y2764">
        <f>'raw data Crude oil'!Y2765</f>
        <v>0</v>
      </c>
      <c r="Z2764">
        <f>'raw data Crude oil'!Z2765</f>
        <v>0</v>
      </c>
      <c r="AA2764">
        <f>'raw data Crude oil'!AA2765</f>
        <v>0</v>
      </c>
      <c r="AB2764">
        <f>'raw data Crude oil'!AB2765</f>
        <v>0</v>
      </c>
      <c r="AC2764">
        <f>'raw data Crude oil'!AC2765</f>
        <v>0</v>
      </c>
      <c r="AD2764">
        <f>'raw data Crude oil'!AD2765</f>
        <v>0</v>
      </c>
      <c r="AE2764">
        <f>'raw data Crude oil'!AE2765</f>
        <v>0</v>
      </c>
      <c r="AF2764">
        <f>'raw data Crude oil'!AF2765</f>
        <v>0</v>
      </c>
      <c r="AG2764">
        <f>'raw data Crude oil'!AG2765</f>
        <v>0</v>
      </c>
      <c r="AH2764">
        <f>'raw data Crude oil'!AH2765</f>
        <v>0</v>
      </c>
      <c r="AI2764">
        <f>'raw data Crude oil'!AI2765</f>
        <v>0</v>
      </c>
      <c r="AJ2764">
        <f>'raw data Crude oil'!AJ2765</f>
        <v>0</v>
      </c>
      <c r="AK2764">
        <f>'raw data Crude oil'!AK2765</f>
        <v>0</v>
      </c>
    </row>
    <row r="2765" spans="1:37" x14ac:dyDescent="0.3">
      <c r="A2765" s="18">
        <f>'raw data Crude oil'!A2766</f>
        <v>0</v>
      </c>
      <c r="B2765">
        <f>'raw data Crude oil'!B2766</f>
        <v>0</v>
      </c>
      <c r="C2765">
        <f>'raw data Crude oil'!C2766</f>
        <v>0</v>
      </c>
      <c r="D2765">
        <f>'raw data Crude oil'!D2766</f>
        <v>0</v>
      </c>
      <c r="E2765">
        <f>'raw data Crude oil'!E2766</f>
        <v>0</v>
      </c>
      <c r="F2765">
        <f>'raw data Crude oil'!F2766</f>
        <v>0</v>
      </c>
      <c r="G2765">
        <f>'raw data Crude oil'!G2766</f>
        <v>0</v>
      </c>
      <c r="H2765">
        <f>'raw data Crude oil'!H2766</f>
        <v>0</v>
      </c>
      <c r="I2765">
        <f>'raw data Crude oil'!I2766</f>
        <v>0</v>
      </c>
      <c r="J2765">
        <f>'raw data Crude oil'!J2766</f>
        <v>0</v>
      </c>
      <c r="K2765">
        <f>'raw data Crude oil'!K2766</f>
        <v>0</v>
      </c>
      <c r="L2765">
        <f>'raw data Crude oil'!L2766</f>
        <v>0</v>
      </c>
      <c r="M2765">
        <f>'raw data Crude oil'!M2766</f>
        <v>0</v>
      </c>
      <c r="N2765">
        <f>'raw data Crude oil'!N2766</f>
        <v>0</v>
      </c>
      <c r="O2765">
        <f>'raw data Crude oil'!O2766</f>
        <v>0</v>
      </c>
      <c r="P2765">
        <f>'raw data Crude oil'!P2766</f>
        <v>0</v>
      </c>
      <c r="Q2765">
        <f>'raw data Crude oil'!Q2766</f>
        <v>0</v>
      </c>
      <c r="R2765">
        <f>'raw data Crude oil'!R2766</f>
        <v>0</v>
      </c>
      <c r="S2765">
        <f>'raw data Crude oil'!S2766</f>
        <v>0</v>
      </c>
      <c r="T2765">
        <f>'raw data Crude oil'!T2766</f>
        <v>0</v>
      </c>
      <c r="U2765">
        <f>'raw data Crude oil'!U2766</f>
        <v>0</v>
      </c>
      <c r="V2765">
        <f>'raw data Crude oil'!V2766</f>
        <v>0</v>
      </c>
      <c r="W2765">
        <f>'raw data Crude oil'!W2766</f>
        <v>0</v>
      </c>
      <c r="X2765">
        <f>'raw data Crude oil'!X2766</f>
        <v>0</v>
      </c>
      <c r="Y2765">
        <f>'raw data Crude oil'!Y2766</f>
        <v>0</v>
      </c>
      <c r="Z2765">
        <f>'raw data Crude oil'!Z2766</f>
        <v>0</v>
      </c>
      <c r="AA2765">
        <f>'raw data Crude oil'!AA2766</f>
        <v>0</v>
      </c>
      <c r="AB2765">
        <f>'raw data Crude oil'!AB2766</f>
        <v>0</v>
      </c>
      <c r="AC2765">
        <f>'raw data Crude oil'!AC2766</f>
        <v>0</v>
      </c>
      <c r="AD2765">
        <f>'raw data Crude oil'!AD2766</f>
        <v>0</v>
      </c>
      <c r="AE2765">
        <f>'raw data Crude oil'!AE2766</f>
        <v>0</v>
      </c>
      <c r="AF2765">
        <f>'raw data Crude oil'!AF2766</f>
        <v>0</v>
      </c>
      <c r="AG2765">
        <f>'raw data Crude oil'!AG2766</f>
        <v>0</v>
      </c>
      <c r="AH2765">
        <f>'raw data Crude oil'!AH2766</f>
        <v>0</v>
      </c>
      <c r="AI2765">
        <f>'raw data Crude oil'!AI2766</f>
        <v>0</v>
      </c>
      <c r="AJ2765">
        <f>'raw data Crude oil'!AJ2766</f>
        <v>0</v>
      </c>
      <c r="AK2765">
        <f>'raw data Crude oil'!AK2766</f>
        <v>0</v>
      </c>
    </row>
    <row r="2766" spans="1:37" x14ac:dyDescent="0.3">
      <c r="A2766" s="18">
        <f>'raw data Crude oil'!A2767</f>
        <v>0</v>
      </c>
      <c r="B2766">
        <f>'raw data Crude oil'!B2767</f>
        <v>0</v>
      </c>
      <c r="C2766">
        <f>'raw data Crude oil'!C2767</f>
        <v>0</v>
      </c>
      <c r="D2766">
        <f>'raw data Crude oil'!D2767</f>
        <v>0</v>
      </c>
      <c r="E2766">
        <f>'raw data Crude oil'!E2767</f>
        <v>0</v>
      </c>
      <c r="F2766">
        <f>'raw data Crude oil'!F2767</f>
        <v>0</v>
      </c>
      <c r="G2766">
        <f>'raw data Crude oil'!G2767</f>
        <v>0</v>
      </c>
      <c r="H2766">
        <f>'raw data Crude oil'!H2767</f>
        <v>0</v>
      </c>
      <c r="I2766">
        <f>'raw data Crude oil'!I2767</f>
        <v>0</v>
      </c>
      <c r="J2766">
        <f>'raw data Crude oil'!J2767</f>
        <v>0</v>
      </c>
      <c r="K2766">
        <f>'raw data Crude oil'!K2767</f>
        <v>0</v>
      </c>
      <c r="L2766">
        <f>'raw data Crude oil'!L2767</f>
        <v>0</v>
      </c>
      <c r="M2766">
        <f>'raw data Crude oil'!M2767</f>
        <v>0</v>
      </c>
      <c r="N2766">
        <f>'raw data Crude oil'!N2767</f>
        <v>0</v>
      </c>
      <c r="O2766">
        <f>'raw data Crude oil'!O2767</f>
        <v>0</v>
      </c>
      <c r="P2766">
        <f>'raw data Crude oil'!P2767</f>
        <v>0</v>
      </c>
      <c r="Q2766">
        <f>'raw data Crude oil'!Q2767</f>
        <v>0</v>
      </c>
      <c r="R2766">
        <f>'raw data Crude oil'!R2767</f>
        <v>0</v>
      </c>
      <c r="S2766">
        <f>'raw data Crude oil'!S2767</f>
        <v>0</v>
      </c>
      <c r="T2766">
        <f>'raw data Crude oil'!T2767</f>
        <v>0</v>
      </c>
      <c r="U2766">
        <f>'raw data Crude oil'!U2767</f>
        <v>0</v>
      </c>
      <c r="V2766">
        <f>'raw data Crude oil'!V2767</f>
        <v>0</v>
      </c>
      <c r="W2766">
        <f>'raw data Crude oil'!W2767</f>
        <v>0</v>
      </c>
      <c r="X2766">
        <f>'raw data Crude oil'!X2767</f>
        <v>0</v>
      </c>
      <c r="Y2766">
        <f>'raw data Crude oil'!Y2767</f>
        <v>0</v>
      </c>
      <c r="Z2766">
        <f>'raw data Crude oil'!Z2767</f>
        <v>0</v>
      </c>
      <c r="AA2766">
        <f>'raw data Crude oil'!AA2767</f>
        <v>0</v>
      </c>
      <c r="AB2766">
        <f>'raw data Crude oil'!AB2767</f>
        <v>0</v>
      </c>
      <c r="AC2766">
        <f>'raw data Crude oil'!AC2767</f>
        <v>0</v>
      </c>
      <c r="AD2766">
        <f>'raw data Crude oil'!AD2767</f>
        <v>0</v>
      </c>
      <c r="AE2766">
        <f>'raw data Crude oil'!AE2767</f>
        <v>0</v>
      </c>
      <c r="AF2766">
        <f>'raw data Crude oil'!AF2767</f>
        <v>0</v>
      </c>
      <c r="AG2766">
        <f>'raw data Crude oil'!AG2767</f>
        <v>0</v>
      </c>
      <c r="AH2766">
        <f>'raw data Crude oil'!AH2767</f>
        <v>0</v>
      </c>
      <c r="AI2766">
        <f>'raw data Crude oil'!AI2767</f>
        <v>0</v>
      </c>
      <c r="AJ2766">
        <f>'raw data Crude oil'!AJ2767</f>
        <v>0</v>
      </c>
      <c r="AK2766">
        <f>'raw data Crude oil'!AK2767</f>
        <v>0</v>
      </c>
    </row>
    <row r="2767" spans="1:37" x14ac:dyDescent="0.3">
      <c r="A2767" s="18">
        <f>'raw data Crude oil'!A2768</f>
        <v>0</v>
      </c>
      <c r="B2767">
        <f>'raw data Crude oil'!B2768</f>
        <v>0</v>
      </c>
      <c r="C2767">
        <f>'raw data Crude oil'!C2768</f>
        <v>0</v>
      </c>
      <c r="D2767">
        <f>'raw data Crude oil'!D2768</f>
        <v>0</v>
      </c>
      <c r="E2767">
        <f>'raw data Crude oil'!E2768</f>
        <v>0</v>
      </c>
      <c r="F2767">
        <f>'raw data Crude oil'!F2768</f>
        <v>0</v>
      </c>
      <c r="G2767">
        <f>'raw data Crude oil'!G2768</f>
        <v>0</v>
      </c>
      <c r="H2767">
        <f>'raw data Crude oil'!H2768</f>
        <v>0</v>
      </c>
      <c r="I2767">
        <f>'raw data Crude oil'!I2768</f>
        <v>0</v>
      </c>
      <c r="J2767">
        <f>'raw data Crude oil'!J2768</f>
        <v>0</v>
      </c>
      <c r="K2767">
        <f>'raw data Crude oil'!K2768</f>
        <v>0</v>
      </c>
      <c r="L2767">
        <f>'raw data Crude oil'!L2768</f>
        <v>0</v>
      </c>
      <c r="M2767">
        <f>'raw data Crude oil'!M2768</f>
        <v>0</v>
      </c>
      <c r="N2767">
        <f>'raw data Crude oil'!N2768</f>
        <v>0</v>
      </c>
      <c r="O2767">
        <f>'raw data Crude oil'!O2768</f>
        <v>0</v>
      </c>
      <c r="P2767">
        <f>'raw data Crude oil'!P2768</f>
        <v>0</v>
      </c>
      <c r="Q2767">
        <f>'raw data Crude oil'!Q2768</f>
        <v>0</v>
      </c>
      <c r="R2767">
        <f>'raw data Crude oil'!R2768</f>
        <v>0</v>
      </c>
      <c r="S2767">
        <f>'raw data Crude oil'!S2768</f>
        <v>0</v>
      </c>
      <c r="T2767">
        <f>'raw data Crude oil'!T2768</f>
        <v>0</v>
      </c>
      <c r="U2767">
        <f>'raw data Crude oil'!U2768</f>
        <v>0</v>
      </c>
      <c r="V2767">
        <f>'raw data Crude oil'!V2768</f>
        <v>0</v>
      </c>
      <c r="W2767">
        <f>'raw data Crude oil'!W2768</f>
        <v>0</v>
      </c>
      <c r="X2767">
        <f>'raw data Crude oil'!X2768</f>
        <v>0</v>
      </c>
      <c r="Y2767">
        <f>'raw data Crude oil'!Y2768</f>
        <v>0</v>
      </c>
      <c r="Z2767">
        <f>'raw data Crude oil'!Z2768</f>
        <v>0</v>
      </c>
      <c r="AA2767">
        <f>'raw data Crude oil'!AA2768</f>
        <v>0</v>
      </c>
      <c r="AB2767">
        <f>'raw data Crude oil'!AB2768</f>
        <v>0</v>
      </c>
      <c r="AC2767">
        <f>'raw data Crude oil'!AC2768</f>
        <v>0</v>
      </c>
      <c r="AD2767">
        <f>'raw data Crude oil'!AD2768</f>
        <v>0</v>
      </c>
      <c r="AE2767">
        <f>'raw data Crude oil'!AE2768</f>
        <v>0</v>
      </c>
      <c r="AF2767">
        <f>'raw data Crude oil'!AF2768</f>
        <v>0</v>
      </c>
      <c r="AG2767">
        <f>'raw data Crude oil'!AG2768</f>
        <v>0</v>
      </c>
      <c r="AH2767">
        <f>'raw data Crude oil'!AH2768</f>
        <v>0</v>
      </c>
      <c r="AI2767">
        <f>'raw data Crude oil'!AI2768</f>
        <v>0</v>
      </c>
      <c r="AJ2767">
        <f>'raw data Crude oil'!AJ2768</f>
        <v>0</v>
      </c>
      <c r="AK2767">
        <f>'raw data Crude oil'!AK2768</f>
        <v>0</v>
      </c>
    </row>
    <row r="2768" spans="1:37" x14ac:dyDescent="0.3">
      <c r="A2768" s="18">
        <f>'raw data Crude oil'!A2769</f>
        <v>0</v>
      </c>
      <c r="B2768">
        <f>'raw data Crude oil'!B2769</f>
        <v>0</v>
      </c>
      <c r="C2768">
        <f>'raw data Crude oil'!C2769</f>
        <v>0</v>
      </c>
      <c r="D2768">
        <f>'raw data Crude oil'!D2769</f>
        <v>0</v>
      </c>
      <c r="E2768">
        <f>'raw data Crude oil'!E2769</f>
        <v>0</v>
      </c>
      <c r="F2768">
        <f>'raw data Crude oil'!F2769</f>
        <v>0</v>
      </c>
      <c r="G2768">
        <f>'raw data Crude oil'!G2769</f>
        <v>0</v>
      </c>
      <c r="H2768">
        <f>'raw data Crude oil'!H2769</f>
        <v>0</v>
      </c>
      <c r="I2768">
        <f>'raw data Crude oil'!I2769</f>
        <v>0</v>
      </c>
      <c r="J2768">
        <f>'raw data Crude oil'!J2769</f>
        <v>0</v>
      </c>
      <c r="K2768">
        <f>'raw data Crude oil'!K2769</f>
        <v>0</v>
      </c>
      <c r="L2768">
        <f>'raw data Crude oil'!L2769</f>
        <v>0</v>
      </c>
      <c r="M2768">
        <f>'raw data Crude oil'!M2769</f>
        <v>0</v>
      </c>
      <c r="N2768">
        <f>'raw data Crude oil'!N2769</f>
        <v>0</v>
      </c>
      <c r="O2768">
        <f>'raw data Crude oil'!O2769</f>
        <v>0</v>
      </c>
      <c r="P2768">
        <f>'raw data Crude oil'!P2769</f>
        <v>0</v>
      </c>
      <c r="Q2768">
        <f>'raw data Crude oil'!Q2769</f>
        <v>0</v>
      </c>
      <c r="R2768">
        <f>'raw data Crude oil'!R2769</f>
        <v>0</v>
      </c>
      <c r="S2768">
        <f>'raw data Crude oil'!S2769</f>
        <v>0</v>
      </c>
      <c r="T2768">
        <f>'raw data Crude oil'!T2769</f>
        <v>0</v>
      </c>
      <c r="U2768">
        <f>'raw data Crude oil'!U2769</f>
        <v>0</v>
      </c>
      <c r="V2768">
        <f>'raw data Crude oil'!V2769</f>
        <v>0</v>
      </c>
      <c r="W2768">
        <f>'raw data Crude oil'!W2769</f>
        <v>0</v>
      </c>
      <c r="X2768">
        <f>'raw data Crude oil'!X2769</f>
        <v>0</v>
      </c>
      <c r="Y2768">
        <f>'raw data Crude oil'!Y2769</f>
        <v>0</v>
      </c>
      <c r="Z2768">
        <f>'raw data Crude oil'!Z2769</f>
        <v>0</v>
      </c>
      <c r="AA2768">
        <f>'raw data Crude oil'!AA2769</f>
        <v>0</v>
      </c>
      <c r="AB2768">
        <f>'raw data Crude oil'!AB2769</f>
        <v>0</v>
      </c>
      <c r="AC2768">
        <f>'raw data Crude oil'!AC2769</f>
        <v>0</v>
      </c>
      <c r="AD2768">
        <f>'raw data Crude oil'!AD2769</f>
        <v>0</v>
      </c>
      <c r="AE2768">
        <f>'raw data Crude oil'!AE2769</f>
        <v>0</v>
      </c>
      <c r="AF2768">
        <f>'raw data Crude oil'!AF2769</f>
        <v>0</v>
      </c>
      <c r="AG2768">
        <f>'raw data Crude oil'!AG2769</f>
        <v>0</v>
      </c>
      <c r="AH2768">
        <f>'raw data Crude oil'!AH2769</f>
        <v>0</v>
      </c>
      <c r="AI2768">
        <f>'raw data Crude oil'!AI2769</f>
        <v>0</v>
      </c>
      <c r="AJ2768">
        <f>'raw data Crude oil'!AJ2769</f>
        <v>0</v>
      </c>
      <c r="AK2768">
        <f>'raw data Crude oil'!AK2769</f>
        <v>0</v>
      </c>
    </row>
    <row r="2769" spans="1:37" x14ac:dyDescent="0.3">
      <c r="A2769" s="18">
        <f>'raw data Crude oil'!A2770</f>
        <v>0</v>
      </c>
      <c r="B2769">
        <f>'raw data Crude oil'!B2770</f>
        <v>0</v>
      </c>
      <c r="C2769">
        <f>'raw data Crude oil'!C2770</f>
        <v>0</v>
      </c>
      <c r="D2769">
        <f>'raw data Crude oil'!D2770</f>
        <v>0</v>
      </c>
      <c r="E2769">
        <f>'raw data Crude oil'!E2770</f>
        <v>0</v>
      </c>
      <c r="F2769">
        <f>'raw data Crude oil'!F2770</f>
        <v>0</v>
      </c>
      <c r="G2769">
        <f>'raw data Crude oil'!G2770</f>
        <v>0</v>
      </c>
      <c r="H2769">
        <f>'raw data Crude oil'!H2770</f>
        <v>0</v>
      </c>
      <c r="I2769">
        <f>'raw data Crude oil'!I2770</f>
        <v>0</v>
      </c>
      <c r="J2769">
        <f>'raw data Crude oil'!J2770</f>
        <v>0</v>
      </c>
      <c r="K2769">
        <f>'raw data Crude oil'!K2770</f>
        <v>0</v>
      </c>
      <c r="L2769">
        <f>'raw data Crude oil'!L2770</f>
        <v>0</v>
      </c>
      <c r="M2769">
        <f>'raw data Crude oil'!M2770</f>
        <v>0</v>
      </c>
      <c r="N2769">
        <f>'raw data Crude oil'!N2770</f>
        <v>0</v>
      </c>
      <c r="O2769">
        <f>'raw data Crude oil'!O2770</f>
        <v>0</v>
      </c>
      <c r="P2769">
        <f>'raw data Crude oil'!P2770</f>
        <v>0</v>
      </c>
      <c r="Q2769">
        <f>'raw data Crude oil'!Q2770</f>
        <v>0</v>
      </c>
      <c r="R2769">
        <f>'raw data Crude oil'!R2770</f>
        <v>0</v>
      </c>
      <c r="S2769">
        <f>'raw data Crude oil'!S2770</f>
        <v>0</v>
      </c>
      <c r="T2769">
        <f>'raw data Crude oil'!T2770</f>
        <v>0</v>
      </c>
      <c r="U2769">
        <f>'raw data Crude oil'!U2770</f>
        <v>0</v>
      </c>
      <c r="V2769">
        <f>'raw data Crude oil'!V2770</f>
        <v>0</v>
      </c>
      <c r="W2769">
        <f>'raw data Crude oil'!W2770</f>
        <v>0</v>
      </c>
      <c r="X2769">
        <f>'raw data Crude oil'!X2770</f>
        <v>0</v>
      </c>
      <c r="Y2769">
        <f>'raw data Crude oil'!Y2770</f>
        <v>0</v>
      </c>
      <c r="Z2769">
        <f>'raw data Crude oil'!Z2770</f>
        <v>0</v>
      </c>
      <c r="AA2769">
        <f>'raw data Crude oil'!AA2770</f>
        <v>0</v>
      </c>
      <c r="AB2769">
        <f>'raw data Crude oil'!AB2770</f>
        <v>0</v>
      </c>
      <c r="AC2769">
        <f>'raw data Crude oil'!AC2770</f>
        <v>0</v>
      </c>
      <c r="AD2769">
        <f>'raw data Crude oil'!AD2770</f>
        <v>0</v>
      </c>
      <c r="AE2769">
        <f>'raw data Crude oil'!AE2770</f>
        <v>0</v>
      </c>
      <c r="AF2769">
        <f>'raw data Crude oil'!AF2770</f>
        <v>0</v>
      </c>
      <c r="AG2769">
        <f>'raw data Crude oil'!AG2770</f>
        <v>0</v>
      </c>
      <c r="AH2769">
        <f>'raw data Crude oil'!AH2770</f>
        <v>0</v>
      </c>
      <c r="AI2769">
        <f>'raw data Crude oil'!AI2770</f>
        <v>0</v>
      </c>
      <c r="AJ2769">
        <f>'raw data Crude oil'!AJ2770</f>
        <v>0</v>
      </c>
      <c r="AK2769">
        <f>'raw data Crude oil'!AK2770</f>
        <v>0</v>
      </c>
    </row>
    <row r="2770" spans="1:37" x14ac:dyDescent="0.3">
      <c r="A2770" s="18">
        <f>'raw data Crude oil'!A2771</f>
        <v>0</v>
      </c>
      <c r="B2770">
        <f>'raw data Crude oil'!B2771</f>
        <v>0</v>
      </c>
      <c r="C2770">
        <f>'raw data Crude oil'!C2771</f>
        <v>0</v>
      </c>
      <c r="D2770">
        <f>'raw data Crude oil'!D2771</f>
        <v>0</v>
      </c>
      <c r="E2770">
        <f>'raw data Crude oil'!E2771</f>
        <v>0</v>
      </c>
      <c r="F2770">
        <f>'raw data Crude oil'!F2771</f>
        <v>0</v>
      </c>
      <c r="G2770">
        <f>'raw data Crude oil'!G2771</f>
        <v>0</v>
      </c>
      <c r="H2770">
        <f>'raw data Crude oil'!H2771</f>
        <v>0</v>
      </c>
      <c r="I2770">
        <f>'raw data Crude oil'!I2771</f>
        <v>0</v>
      </c>
      <c r="J2770">
        <f>'raw data Crude oil'!J2771</f>
        <v>0</v>
      </c>
      <c r="K2770">
        <f>'raw data Crude oil'!K2771</f>
        <v>0</v>
      </c>
      <c r="L2770">
        <f>'raw data Crude oil'!L2771</f>
        <v>0</v>
      </c>
      <c r="M2770">
        <f>'raw data Crude oil'!M2771</f>
        <v>0</v>
      </c>
      <c r="N2770">
        <f>'raw data Crude oil'!N2771</f>
        <v>0</v>
      </c>
      <c r="O2770">
        <f>'raw data Crude oil'!O2771</f>
        <v>0</v>
      </c>
      <c r="P2770">
        <f>'raw data Crude oil'!P2771</f>
        <v>0</v>
      </c>
      <c r="Q2770">
        <f>'raw data Crude oil'!Q2771</f>
        <v>0</v>
      </c>
      <c r="R2770">
        <f>'raw data Crude oil'!R2771</f>
        <v>0</v>
      </c>
      <c r="S2770">
        <f>'raw data Crude oil'!S2771</f>
        <v>0</v>
      </c>
      <c r="T2770">
        <f>'raw data Crude oil'!T2771</f>
        <v>0</v>
      </c>
      <c r="U2770">
        <f>'raw data Crude oil'!U2771</f>
        <v>0</v>
      </c>
      <c r="V2770">
        <f>'raw data Crude oil'!V2771</f>
        <v>0</v>
      </c>
      <c r="W2770">
        <f>'raw data Crude oil'!W2771</f>
        <v>0</v>
      </c>
      <c r="X2770">
        <f>'raw data Crude oil'!X2771</f>
        <v>0</v>
      </c>
      <c r="Y2770">
        <f>'raw data Crude oil'!Y2771</f>
        <v>0</v>
      </c>
      <c r="Z2770">
        <f>'raw data Crude oil'!Z2771</f>
        <v>0</v>
      </c>
      <c r="AA2770">
        <f>'raw data Crude oil'!AA2771</f>
        <v>0</v>
      </c>
      <c r="AB2770">
        <f>'raw data Crude oil'!AB2771</f>
        <v>0</v>
      </c>
      <c r="AC2770">
        <f>'raw data Crude oil'!AC2771</f>
        <v>0</v>
      </c>
      <c r="AD2770">
        <f>'raw data Crude oil'!AD2771</f>
        <v>0</v>
      </c>
      <c r="AE2770">
        <f>'raw data Crude oil'!AE2771</f>
        <v>0</v>
      </c>
      <c r="AF2770">
        <f>'raw data Crude oil'!AF2771</f>
        <v>0</v>
      </c>
      <c r="AG2770">
        <f>'raw data Crude oil'!AG2771</f>
        <v>0</v>
      </c>
      <c r="AH2770">
        <f>'raw data Crude oil'!AH2771</f>
        <v>0</v>
      </c>
      <c r="AI2770">
        <f>'raw data Crude oil'!AI2771</f>
        <v>0</v>
      </c>
      <c r="AJ2770">
        <f>'raw data Crude oil'!AJ2771</f>
        <v>0</v>
      </c>
      <c r="AK2770">
        <f>'raw data Crude oil'!AK2771</f>
        <v>0</v>
      </c>
    </row>
    <row r="2771" spans="1:37" x14ac:dyDescent="0.3">
      <c r="A2771" s="18">
        <f>'raw data Crude oil'!A2772</f>
        <v>0</v>
      </c>
      <c r="B2771">
        <f>'raw data Crude oil'!B2772</f>
        <v>0</v>
      </c>
      <c r="C2771">
        <f>'raw data Crude oil'!C2772</f>
        <v>0</v>
      </c>
      <c r="D2771">
        <f>'raw data Crude oil'!D2772</f>
        <v>0</v>
      </c>
      <c r="E2771">
        <f>'raw data Crude oil'!E2772</f>
        <v>0</v>
      </c>
      <c r="F2771">
        <f>'raw data Crude oil'!F2772</f>
        <v>0</v>
      </c>
      <c r="G2771">
        <f>'raw data Crude oil'!G2772</f>
        <v>0</v>
      </c>
      <c r="H2771">
        <f>'raw data Crude oil'!H2772</f>
        <v>0</v>
      </c>
      <c r="I2771">
        <f>'raw data Crude oil'!I2772</f>
        <v>0</v>
      </c>
      <c r="J2771">
        <f>'raw data Crude oil'!J2772</f>
        <v>0</v>
      </c>
      <c r="K2771">
        <f>'raw data Crude oil'!K2772</f>
        <v>0</v>
      </c>
      <c r="L2771">
        <f>'raw data Crude oil'!L2772</f>
        <v>0</v>
      </c>
      <c r="M2771">
        <f>'raw data Crude oil'!M2772</f>
        <v>0</v>
      </c>
      <c r="N2771">
        <f>'raw data Crude oil'!N2772</f>
        <v>0</v>
      </c>
      <c r="O2771">
        <f>'raw data Crude oil'!O2772</f>
        <v>0</v>
      </c>
      <c r="P2771">
        <f>'raw data Crude oil'!P2772</f>
        <v>0</v>
      </c>
      <c r="Q2771">
        <f>'raw data Crude oil'!Q2772</f>
        <v>0</v>
      </c>
      <c r="R2771">
        <f>'raw data Crude oil'!R2772</f>
        <v>0</v>
      </c>
      <c r="S2771">
        <f>'raw data Crude oil'!S2772</f>
        <v>0</v>
      </c>
      <c r="T2771">
        <f>'raw data Crude oil'!T2772</f>
        <v>0</v>
      </c>
      <c r="U2771">
        <f>'raw data Crude oil'!U2772</f>
        <v>0</v>
      </c>
      <c r="V2771">
        <f>'raw data Crude oil'!V2772</f>
        <v>0</v>
      </c>
      <c r="W2771">
        <f>'raw data Crude oil'!W2772</f>
        <v>0</v>
      </c>
      <c r="X2771">
        <f>'raw data Crude oil'!X2772</f>
        <v>0</v>
      </c>
      <c r="Y2771">
        <f>'raw data Crude oil'!Y2772</f>
        <v>0</v>
      </c>
      <c r="Z2771">
        <f>'raw data Crude oil'!Z2772</f>
        <v>0</v>
      </c>
      <c r="AA2771">
        <f>'raw data Crude oil'!AA2772</f>
        <v>0</v>
      </c>
      <c r="AB2771">
        <f>'raw data Crude oil'!AB2772</f>
        <v>0</v>
      </c>
      <c r="AC2771">
        <f>'raw data Crude oil'!AC2772</f>
        <v>0</v>
      </c>
      <c r="AD2771">
        <f>'raw data Crude oil'!AD2772</f>
        <v>0</v>
      </c>
      <c r="AE2771">
        <f>'raw data Crude oil'!AE2772</f>
        <v>0</v>
      </c>
      <c r="AF2771">
        <f>'raw data Crude oil'!AF2772</f>
        <v>0</v>
      </c>
      <c r="AG2771">
        <f>'raw data Crude oil'!AG2772</f>
        <v>0</v>
      </c>
      <c r="AH2771">
        <f>'raw data Crude oil'!AH2772</f>
        <v>0</v>
      </c>
      <c r="AI2771">
        <f>'raw data Crude oil'!AI2772</f>
        <v>0</v>
      </c>
      <c r="AJ2771">
        <f>'raw data Crude oil'!AJ2772</f>
        <v>0</v>
      </c>
      <c r="AK2771">
        <f>'raw data Crude oil'!AK2772</f>
        <v>0</v>
      </c>
    </row>
    <row r="2772" spans="1:37" x14ac:dyDescent="0.3">
      <c r="A2772" s="18">
        <f>'raw data Crude oil'!A2773</f>
        <v>0</v>
      </c>
      <c r="B2772">
        <f>'raw data Crude oil'!B2773</f>
        <v>0</v>
      </c>
      <c r="C2772">
        <f>'raw data Crude oil'!C2773</f>
        <v>0</v>
      </c>
      <c r="D2772">
        <f>'raw data Crude oil'!D2773</f>
        <v>0</v>
      </c>
      <c r="E2772">
        <f>'raw data Crude oil'!E2773</f>
        <v>0</v>
      </c>
      <c r="F2772">
        <f>'raw data Crude oil'!F2773</f>
        <v>0</v>
      </c>
      <c r="G2772">
        <f>'raw data Crude oil'!G2773</f>
        <v>0</v>
      </c>
      <c r="H2772">
        <f>'raw data Crude oil'!H2773</f>
        <v>0</v>
      </c>
      <c r="I2772">
        <f>'raw data Crude oil'!I2773</f>
        <v>0</v>
      </c>
      <c r="J2772">
        <f>'raw data Crude oil'!J2773</f>
        <v>0</v>
      </c>
      <c r="K2772">
        <f>'raw data Crude oil'!K2773</f>
        <v>0</v>
      </c>
      <c r="L2772">
        <f>'raw data Crude oil'!L2773</f>
        <v>0</v>
      </c>
      <c r="M2772">
        <f>'raw data Crude oil'!M2773</f>
        <v>0</v>
      </c>
      <c r="N2772">
        <f>'raw data Crude oil'!N2773</f>
        <v>0</v>
      </c>
      <c r="O2772">
        <f>'raw data Crude oil'!O2773</f>
        <v>0</v>
      </c>
      <c r="P2772">
        <f>'raw data Crude oil'!P2773</f>
        <v>0</v>
      </c>
      <c r="Q2772">
        <f>'raw data Crude oil'!Q2773</f>
        <v>0</v>
      </c>
      <c r="R2772">
        <f>'raw data Crude oil'!R2773</f>
        <v>0</v>
      </c>
      <c r="S2772">
        <f>'raw data Crude oil'!S2773</f>
        <v>0</v>
      </c>
      <c r="T2772">
        <f>'raw data Crude oil'!T2773</f>
        <v>0</v>
      </c>
      <c r="U2772">
        <f>'raw data Crude oil'!U2773</f>
        <v>0</v>
      </c>
      <c r="V2772">
        <f>'raw data Crude oil'!V2773</f>
        <v>0</v>
      </c>
      <c r="W2772">
        <f>'raw data Crude oil'!W2773</f>
        <v>0</v>
      </c>
      <c r="X2772">
        <f>'raw data Crude oil'!X2773</f>
        <v>0</v>
      </c>
      <c r="Y2772">
        <f>'raw data Crude oil'!Y2773</f>
        <v>0</v>
      </c>
      <c r="Z2772">
        <f>'raw data Crude oil'!Z2773</f>
        <v>0</v>
      </c>
      <c r="AA2772">
        <f>'raw data Crude oil'!AA2773</f>
        <v>0</v>
      </c>
      <c r="AB2772">
        <f>'raw data Crude oil'!AB2773</f>
        <v>0</v>
      </c>
      <c r="AC2772">
        <f>'raw data Crude oil'!AC2773</f>
        <v>0</v>
      </c>
      <c r="AD2772">
        <f>'raw data Crude oil'!AD2773</f>
        <v>0</v>
      </c>
      <c r="AE2772">
        <f>'raw data Crude oil'!AE2773</f>
        <v>0</v>
      </c>
      <c r="AF2772">
        <f>'raw data Crude oil'!AF2773</f>
        <v>0</v>
      </c>
      <c r="AG2772">
        <f>'raw data Crude oil'!AG2773</f>
        <v>0</v>
      </c>
      <c r="AH2772">
        <f>'raw data Crude oil'!AH2773</f>
        <v>0</v>
      </c>
      <c r="AI2772">
        <f>'raw data Crude oil'!AI2773</f>
        <v>0</v>
      </c>
      <c r="AJ2772">
        <f>'raw data Crude oil'!AJ2773</f>
        <v>0</v>
      </c>
      <c r="AK2772">
        <f>'raw data Crude oil'!AK2773</f>
        <v>0</v>
      </c>
    </row>
    <row r="2773" spans="1:37" x14ac:dyDescent="0.3">
      <c r="A2773" s="18">
        <f>'raw data Crude oil'!A2774</f>
        <v>0</v>
      </c>
      <c r="B2773">
        <f>'raw data Crude oil'!B2774</f>
        <v>0</v>
      </c>
      <c r="C2773">
        <f>'raw data Crude oil'!C2774</f>
        <v>0</v>
      </c>
      <c r="D2773">
        <f>'raw data Crude oil'!D2774</f>
        <v>0</v>
      </c>
      <c r="E2773">
        <f>'raw data Crude oil'!E2774</f>
        <v>0</v>
      </c>
      <c r="F2773">
        <f>'raw data Crude oil'!F2774</f>
        <v>0</v>
      </c>
      <c r="G2773">
        <f>'raw data Crude oil'!G2774</f>
        <v>0</v>
      </c>
      <c r="H2773">
        <f>'raw data Crude oil'!H2774</f>
        <v>0</v>
      </c>
      <c r="I2773">
        <f>'raw data Crude oil'!I2774</f>
        <v>0</v>
      </c>
      <c r="J2773">
        <f>'raw data Crude oil'!J2774</f>
        <v>0</v>
      </c>
      <c r="K2773">
        <f>'raw data Crude oil'!K2774</f>
        <v>0</v>
      </c>
      <c r="L2773">
        <f>'raw data Crude oil'!L2774</f>
        <v>0</v>
      </c>
      <c r="M2773">
        <f>'raw data Crude oil'!M2774</f>
        <v>0</v>
      </c>
      <c r="N2773">
        <f>'raw data Crude oil'!N2774</f>
        <v>0</v>
      </c>
      <c r="O2773">
        <f>'raw data Crude oil'!O2774</f>
        <v>0</v>
      </c>
      <c r="P2773">
        <f>'raw data Crude oil'!P2774</f>
        <v>0</v>
      </c>
      <c r="Q2773">
        <f>'raw data Crude oil'!Q2774</f>
        <v>0</v>
      </c>
      <c r="R2773">
        <f>'raw data Crude oil'!R2774</f>
        <v>0</v>
      </c>
      <c r="S2773">
        <f>'raw data Crude oil'!S2774</f>
        <v>0</v>
      </c>
      <c r="T2773">
        <f>'raw data Crude oil'!T2774</f>
        <v>0</v>
      </c>
      <c r="U2773">
        <f>'raw data Crude oil'!U2774</f>
        <v>0</v>
      </c>
      <c r="V2773">
        <f>'raw data Crude oil'!V2774</f>
        <v>0</v>
      </c>
      <c r="W2773">
        <f>'raw data Crude oil'!W2774</f>
        <v>0</v>
      </c>
      <c r="X2773">
        <f>'raw data Crude oil'!X2774</f>
        <v>0</v>
      </c>
      <c r="Y2773">
        <f>'raw data Crude oil'!Y2774</f>
        <v>0</v>
      </c>
      <c r="Z2773">
        <f>'raw data Crude oil'!Z2774</f>
        <v>0</v>
      </c>
      <c r="AA2773">
        <f>'raw data Crude oil'!AA2774</f>
        <v>0</v>
      </c>
      <c r="AB2773">
        <f>'raw data Crude oil'!AB2774</f>
        <v>0</v>
      </c>
      <c r="AC2773">
        <f>'raw data Crude oil'!AC2774</f>
        <v>0</v>
      </c>
      <c r="AD2773">
        <f>'raw data Crude oil'!AD2774</f>
        <v>0</v>
      </c>
      <c r="AE2773">
        <f>'raw data Crude oil'!AE2774</f>
        <v>0</v>
      </c>
      <c r="AF2773">
        <f>'raw data Crude oil'!AF2774</f>
        <v>0</v>
      </c>
      <c r="AG2773">
        <f>'raw data Crude oil'!AG2774</f>
        <v>0</v>
      </c>
      <c r="AH2773">
        <f>'raw data Crude oil'!AH2774</f>
        <v>0</v>
      </c>
      <c r="AI2773">
        <f>'raw data Crude oil'!AI2774</f>
        <v>0</v>
      </c>
      <c r="AJ2773">
        <f>'raw data Crude oil'!AJ2774</f>
        <v>0</v>
      </c>
      <c r="AK2773">
        <f>'raw data Crude oil'!AK2774</f>
        <v>0</v>
      </c>
    </row>
    <row r="2774" spans="1:37" x14ac:dyDescent="0.3">
      <c r="A2774" s="18">
        <f>'raw data Crude oil'!A2775</f>
        <v>0</v>
      </c>
      <c r="B2774">
        <f>'raw data Crude oil'!B2775</f>
        <v>0</v>
      </c>
      <c r="C2774">
        <f>'raw data Crude oil'!C2775</f>
        <v>0</v>
      </c>
      <c r="D2774">
        <f>'raw data Crude oil'!D2775</f>
        <v>0</v>
      </c>
      <c r="E2774">
        <f>'raw data Crude oil'!E2775</f>
        <v>0</v>
      </c>
      <c r="F2774">
        <f>'raw data Crude oil'!F2775</f>
        <v>0</v>
      </c>
      <c r="G2774">
        <f>'raw data Crude oil'!G2775</f>
        <v>0</v>
      </c>
      <c r="H2774">
        <f>'raw data Crude oil'!H2775</f>
        <v>0</v>
      </c>
      <c r="I2774">
        <f>'raw data Crude oil'!I2775</f>
        <v>0</v>
      </c>
      <c r="J2774">
        <f>'raw data Crude oil'!J2775</f>
        <v>0</v>
      </c>
      <c r="K2774">
        <f>'raw data Crude oil'!K2775</f>
        <v>0</v>
      </c>
      <c r="L2774">
        <f>'raw data Crude oil'!L2775</f>
        <v>0</v>
      </c>
      <c r="M2774">
        <f>'raw data Crude oil'!M2775</f>
        <v>0</v>
      </c>
      <c r="N2774">
        <f>'raw data Crude oil'!N2775</f>
        <v>0</v>
      </c>
      <c r="O2774">
        <f>'raw data Crude oil'!O2775</f>
        <v>0</v>
      </c>
      <c r="P2774">
        <f>'raw data Crude oil'!P2775</f>
        <v>0</v>
      </c>
      <c r="Q2774">
        <f>'raw data Crude oil'!Q2775</f>
        <v>0</v>
      </c>
      <c r="R2774">
        <f>'raw data Crude oil'!R2775</f>
        <v>0</v>
      </c>
      <c r="S2774">
        <f>'raw data Crude oil'!S2775</f>
        <v>0</v>
      </c>
      <c r="T2774">
        <f>'raw data Crude oil'!T2775</f>
        <v>0</v>
      </c>
      <c r="U2774">
        <f>'raw data Crude oil'!U2775</f>
        <v>0</v>
      </c>
      <c r="V2774">
        <f>'raw data Crude oil'!V2775</f>
        <v>0</v>
      </c>
      <c r="W2774">
        <f>'raw data Crude oil'!W2775</f>
        <v>0</v>
      </c>
      <c r="X2774">
        <f>'raw data Crude oil'!X2775</f>
        <v>0</v>
      </c>
      <c r="Y2774">
        <f>'raw data Crude oil'!Y2775</f>
        <v>0</v>
      </c>
      <c r="Z2774">
        <f>'raw data Crude oil'!Z2775</f>
        <v>0</v>
      </c>
      <c r="AA2774">
        <f>'raw data Crude oil'!AA2775</f>
        <v>0</v>
      </c>
      <c r="AB2774">
        <f>'raw data Crude oil'!AB2775</f>
        <v>0</v>
      </c>
      <c r="AC2774">
        <f>'raw data Crude oil'!AC2775</f>
        <v>0</v>
      </c>
      <c r="AD2774">
        <f>'raw data Crude oil'!AD2775</f>
        <v>0</v>
      </c>
      <c r="AE2774">
        <f>'raw data Crude oil'!AE2775</f>
        <v>0</v>
      </c>
      <c r="AF2774">
        <f>'raw data Crude oil'!AF2775</f>
        <v>0</v>
      </c>
      <c r="AG2774">
        <f>'raw data Crude oil'!AG2775</f>
        <v>0</v>
      </c>
      <c r="AH2774">
        <f>'raw data Crude oil'!AH2775</f>
        <v>0</v>
      </c>
      <c r="AI2774">
        <f>'raw data Crude oil'!AI2775</f>
        <v>0</v>
      </c>
      <c r="AJ2774">
        <f>'raw data Crude oil'!AJ2775</f>
        <v>0</v>
      </c>
      <c r="AK2774">
        <f>'raw data Crude oil'!AK2775</f>
        <v>0</v>
      </c>
    </row>
    <row r="2775" spans="1:37" x14ac:dyDescent="0.3">
      <c r="A2775" s="18">
        <f>'raw data Crude oil'!A2776</f>
        <v>0</v>
      </c>
      <c r="B2775">
        <f>'raw data Crude oil'!B2776</f>
        <v>0</v>
      </c>
      <c r="C2775">
        <f>'raw data Crude oil'!C2776</f>
        <v>0</v>
      </c>
      <c r="D2775">
        <f>'raw data Crude oil'!D2776</f>
        <v>0</v>
      </c>
      <c r="E2775">
        <f>'raw data Crude oil'!E2776</f>
        <v>0</v>
      </c>
      <c r="F2775">
        <f>'raw data Crude oil'!F2776</f>
        <v>0</v>
      </c>
      <c r="G2775">
        <f>'raw data Crude oil'!G2776</f>
        <v>0</v>
      </c>
      <c r="H2775">
        <f>'raw data Crude oil'!H2776</f>
        <v>0</v>
      </c>
      <c r="I2775">
        <f>'raw data Crude oil'!I2776</f>
        <v>0</v>
      </c>
      <c r="J2775">
        <f>'raw data Crude oil'!J2776</f>
        <v>0</v>
      </c>
      <c r="K2775">
        <f>'raw data Crude oil'!K2776</f>
        <v>0</v>
      </c>
      <c r="L2775">
        <f>'raw data Crude oil'!L2776</f>
        <v>0</v>
      </c>
      <c r="M2775">
        <f>'raw data Crude oil'!M2776</f>
        <v>0</v>
      </c>
      <c r="N2775">
        <f>'raw data Crude oil'!N2776</f>
        <v>0</v>
      </c>
      <c r="O2775">
        <f>'raw data Crude oil'!O2776</f>
        <v>0</v>
      </c>
      <c r="P2775">
        <f>'raw data Crude oil'!P2776</f>
        <v>0</v>
      </c>
      <c r="Q2775">
        <f>'raw data Crude oil'!Q2776</f>
        <v>0</v>
      </c>
      <c r="R2775">
        <f>'raw data Crude oil'!R2776</f>
        <v>0</v>
      </c>
      <c r="S2775">
        <f>'raw data Crude oil'!S2776</f>
        <v>0</v>
      </c>
      <c r="T2775">
        <f>'raw data Crude oil'!T2776</f>
        <v>0</v>
      </c>
      <c r="U2775">
        <f>'raw data Crude oil'!U2776</f>
        <v>0</v>
      </c>
      <c r="V2775">
        <f>'raw data Crude oil'!V2776</f>
        <v>0</v>
      </c>
      <c r="W2775">
        <f>'raw data Crude oil'!W2776</f>
        <v>0</v>
      </c>
      <c r="X2775">
        <f>'raw data Crude oil'!X2776</f>
        <v>0</v>
      </c>
      <c r="Y2775">
        <f>'raw data Crude oil'!Y2776</f>
        <v>0</v>
      </c>
      <c r="Z2775">
        <f>'raw data Crude oil'!Z2776</f>
        <v>0</v>
      </c>
      <c r="AA2775">
        <f>'raw data Crude oil'!AA2776</f>
        <v>0</v>
      </c>
      <c r="AB2775">
        <f>'raw data Crude oil'!AB2776</f>
        <v>0</v>
      </c>
      <c r="AC2775">
        <f>'raw data Crude oil'!AC2776</f>
        <v>0</v>
      </c>
      <c r="AD2775">
        <f>'raw data Crude oil'!AD2776</f>
        <v>0</v>
      </c>
      <c r="AE2775">
        <f>'raw data Crude oil'!AE2776</f>
        <v>0</v>
      </c>
      <c r="AF2775">
        <f>'raw data Crude oil'!AF2776</f>
        <v>0</v>
      </c>
      <c r="AG2775">
        <f>'raw data Crude oil'!AG2776</f>
        <v>0</v>
      </c>
      <c r="AH2775">
        <f>'raw data Crude oil'!AH2776</f>
        <v>0</v>
      </c>
      <c r="AI2775">
        <f>'raw data Crude oil'!AI2776</f>
        <v>0</v>
      </c>
      <c r="AJ2775">
        <f>'raw data Crude oil'!AJ2776</f>
        <v>0</v>
      </c>
      <c r="AK2775">
        <f>'raw data Crude oil'!AK2776</f>
        <v>0</v>
      </c>
    </row>
    <row r="2776" spans="1:37" x14ac:dyDescent="0.3">
      <c r="A2776" s="18">
        <f>'raw data Crude oil'!A2777</f>
        <v>0</v>
      </c>
      <c r="B2776">
        <f>'raw data Crude oil'!B2777</f>
        <v>0</v>
      </c>
      <c r="C2776">
        <f>'raw data Crude oil'!C2777</f>
        <v>0</v>
      </c>
      <c r="D2776">
        <f>'raw data Crude oil'!D2777</f>
        <v>0</v>
      </c>
      <c r="E2776">
        <f>'raw data Crude oil'!E2777</f>
        <v>0</v>
      </c>
      <c r="F2776">
        <f>'raw data Crude oil'!F2777</f>
        <v>0</v>
      </c>
      <c r="G2776">
        <f>'raw data Crude oil'!G2777</f>
        <v>0</v>
      </c>
      <c r="H2776">
        <f>'raw data Crude oil'!H2777</f>
        <v>0</v>
      </c>
      <c r="I2776">
        <f>'raw data Crude oil'!I2777</f>
        <v>0</v>
      </c>
      <c r="J2776">
        <f>'raw data Crude oil'!J2777</f>
        <v>0</v>
      </c>
      <c r="K2776">
        <f>'raw data Crude oil'!K2777</f>
        <v>0</v>
      </c>
      <c r="L2776">
        <f>'raw data Crude oil'!L2777</f>
        <v>0</v>
      </c>
      <c r="M2776">
        <f>'raw data Crude oil'!M2777</f>
        <v>0</v>
      </c>
      <c r="N2776">
        <f>'raw data Crude oil'!N2777</f>
        <v>0</v>
      </c>
      <c r="O2776">
        <f>'raw data Crude oil'!O2777</f>
        <v>0</v>
      </c>
      <c r="P2776">
        <f>'raw data Crude oil'!P2777</f>
        <v>0</v>
      </c>
      <c r="Q2776">
        <f>'raw data Crude oil'!Q2777</f>
        <v>0</v>
      </c>
      <c r="R2776">
        <f>'raw data Crude oil'!R2777</f>
        <v>0</v>
      </c>
      <c r="S2776">
        <f>'raw data Crude oil'!S2777</f>
        <v>0</v>
      </c>
      <c r="T2776">
        <f>'raw data Crude oil'!T2777</f>
        <v>0</v>
      </c>
      <c r="U2776">
        <f>'raw data Crude oil'!U2777</f>
        <v>0</v>
      </c>
      <c r="V2776">
        <f>'raw data Crude oil'!V2777</f>
        <v>0</v>
      </c>
      <c r="W2776">
        <f>'raw data Crude oil'!W2777</f>
        <v>0</v>
      </c>
      <c r="X2776">
        <f>'raw data Crude oil'!X2777</f>
        <v>0</v>
      </c>
      <c r="Y2776">
        <f>'raw data Crude oil'!Y2777</f>
        <v>0</v>
      </c>
      <c r="Z2776">
        <f>'raw data Crude oil'!Z2777</f>
        <v>0</v>
      </c>
      <c r="AA2776">
        <f>'raw data Crude oil'!AA2777</f>
        <v>0</v>
      </c>
      <c r="AB2776">
        <f>'raw data Crude oil'!AB2777</f>
        <v>0</v>
      </c>
      <c r="AC2776">
        <f>'raw data Crude oil'!AC2777</f>
        <v>0</v>
      </c>
      <c r="AD2776">
        <f>'raw data Crude oil'!AD2777</f>
        <v>0</v>
      </c>
      <c r="AE2776">
        <f>'raw data Crude oil'!AE2777</f>
        <v>0</v>
      </c>
      <c r="AF2776">
        <f>'raw data Crude oil'!AF2777</f>
        <v>0</v>
      </c>
      <c r="AG2776">
        <f>'raw data Crude oil'!AG2777</f>
        <v>0</v>
      </c>
      <c r="AH2776">
        <f>'raw data Crude oil'!AH2777</f>
        <v>0</v>
      </c>
      <c r="AI2776">
        <f>'raw data Crude oil'!AI2777</f>
        <v>0</v>
      </c>
      <c r="AJ2776">
        <f>'raw data Crude oil'!AJ2777</f>
        <v>0</v>
      </c>
      <c r="AK2776">
        <f>'raw data Crude oil'!AK2777</f>
        <v>0</v>
      </c>
    </row>
    <row r="2777" spans="1:37" x14ac:dyDescent="0.3">
      <c r="A2777" s="18">
        <f>'raw data Crude oil'!A2778</f>
        <v>0</v>
      </c>
      <c r="B2777">
        <f>'raw data Crude oil'!B2778</f>
        <v>0</v>
      </c>
      <c r="C2777">
        <f>'raw data Crude oil'!C2778</f>
        <v>0</v>
      </c>
      <c r="D2777">
        <f>'raw data Crude oil'!D2778</f>
        <v>0</v>
      </c>
      <c r="E2777">
        <f>'raw data Crude oil'!E2778</f>
        <v>0</v>
      </c>
      <c r="F2777">
        <f>'raw data Crude oil'!F2778</f>
        <v>0</v>
      </c>
      <c r="G2777">
        <f>'raw data Crude oil'!G2778</f>
        <v>0</v>
      </c>
      <c r="H2777">
        <f>'raw data Crude oil'!H2778</f>
        <v>0</v>
      </c>
      <c r="I2777">
        <f>'raw data Crude oil'!I2778</f>
        <v>0</v>
      </c>
      <c r="J2777">
        <f>'raw data Crude oil'!J2778</f>
        <v>0</v>
      </c>
      <c r="K2777">
        <f>'raw data Crude oil'!K2778</f>
        <v>0</v>
      </c>
      <c r="L2777">
        <f>'raw data Crude oil'!L2778</f>
        <v>0</v>
      </c>
      <c r="M2777">
        <f>'raw data Crude oil'!M2778</f>
        <v>0</v>
      </c>
      <c r="N2777">
        <f>'raw data Crude oil'!N2778</f>
        <v>0</v>
      </c>
      <c r="O2777">
        <f>'raw data Crude oil'!O2778</f>
        <v>0</v>
      </c>
      <c r="P2777">
        <f>'raw data Crude oil'!P2778</f>
        <v>0</v>
      </c>
      <c r="Q2777">
        <f>'raw data Crude oil'!Q2778</f>
        <v>0</v>
      </c>
      <c r="R2777">
        <f>'raw data Crude oil'!R2778</f>
        <v>0</v>
      </c>
      <c r="S2777">
        <f>'raw data Crude oil'!S2778</f>
        <v>0</v>
      </c>
      <c r="T2777">
        <f>'raw data Crude oil'!T2778</f>
        <v>0</v>
      </c>
      <c r="U2777">
        <f>'raw data Crude oil'!U2778</f>
        <v>0</v>
      </c>
      <c r="V2777">
        <f>'raw data Crude oil'!V2778</f>
        <v>0</v>
      </c>
      <c r="W2777">
        <f>'raw data Crude oil'!W2778</f>
        <v>0</v>
      </c>
      <c r="X2777">
        <f>'raw data Crude oil'!X2778</f>
        <v>0</v>
      </c>
      <c r="Y2777">
        <f>'raw data Crude oil'!Y2778</f>
        <v>0</v>
      </c>
      <c r="Z2777">
        <f>'raw data Crude oil'!Z2778</f>
        <v>0</v>
      </c>
      <c r="AA2777">
        <f>'raw data Crude oil'!AA2778</f>
        <v>0</v>
      </c>
      <c r="AB2777">
        <f>'raw data Crude oil'!AB2778</f>
        <v>0</v>
      </c>
      <c r="AC2777">
        <f>'raw data Crude oil'!AC2778</f>
        <v>0</v>
      </c>
      <c r="AD2777">
        <f>'raw data Crude oil'!AD2778</f>
        <v>0</v>
      </c>
      <c r="AE2777">
        <f>'raw data Crude oil'!AE2778</f>
        <v>0</v>
      </c>
      <c r="AF2777">
        <f>'raw data Crude oil'!AF2778</f>
        <v>0</v>
      </c>
      <c r="AG2777">
        <f>'raw data Crude oil'!AG2778</f>
        <v>0</v>
      </c>
      <c r="AH2777">
        <f>'raw data Crude oil'!AH2778</f>
        <v>0</v>
      </c>
      <c r="AI2777">
        <f>'raw data Crude oil'!AI2778</f>
        <v>0</v>
      </c>
      <c r="AJ2777">
        <f>'raw data Crude oil'!AJ2778</f>
        <v>0</v>
      </c>
      <c r="AK2777">
        <f>'raw data Crude oil'!AK2778</f>
        <v>0</v>
      </c>
    </row>
    <row r="2778" spans="1:37" x14ac:dyDescent="0.3">
      <c r="A2778" s="18">
        <f>'raw data Crude oil'!A2779</f>
        <v>0</v>
      </c>
      <c r="B2778">
        <f>'raw data Crude oil'!B2779</f>
        <v>0</v>
      </c>
      <c r="C2778">
        <f>'raw data Crude oil'!C2779</f>
        <v>0</v>
      </c>
      <c r="D2778">
        <f>'raw data Crude oil'!D2779</f>
        <v>0</v>
      </c>
      <c r="E2778">
        <f>'raw data Crude oil'!E2779</f>
        <v>0</v>
      </c>
      <c r="F2778">
        <f>'raw data Crude oil'!F2779</f>
        <v>0</v>
      </c>
      <c r="G2778">
        <f>'raw data Crude oil'!G2779</f>
        <v>0</v>
      </c>
      <c r="H2778">
        <f>'raw data Crude oil'!H2779</f>
        <v>0</v>
      </c>
      <c r="I2778">
        <f>'raw data Crude oil'!I2779</f>
        <v>0</v>
      </c>
      <c r="J2778">
        <f>'raw data Crude oil'!J2779</f>
        <v>0</v>
      </c>
      <c r="K2778">
        <f>'raw data Crude oil'!K2779</f>
        <v>0</v>
      </c>
      <c r="L2778">
        <f>'raw data Crude oil'!L2779</f>
        <v>0</v>
      </c>
      <c r="M2778">
        <f>'raw data Crude oil'!M2779</f>
        <v>0</v>
      </c>
      <c r="N2778">
        <f>'raw data Crude oil'!N2779</f>
        <v>0</v>
      </c>
      <c r="O2778">
        <f>'raw data Crude oil'!O2779</f>
        <v>0</v>
      </c>
      <c r="P2778">
        <f>'raw data Crude oil'!P2779</f>
        <v>0</v>
      </c>
      <c r="Q2778">
        <f>'raw data Crude oil'!Q2779</f>
        <v>0</v>
      </c>
      <c r="R2778">
        <f>'raw data Crude oil'!R2779</f>
        <v>0</v>
      </c>
      <c r="S2778">
        <f>'raw data Crude oil'!S2779</f>
        <v>0</v>
      </c>
      <c r="T2778">
        <f>'raw data Crude oil'!T2779</f>
        <v>0</v>
      </c>
      <c r="U2778">
        <f>'raw data Crude oil'!U2779</f>
        <v>0</v>
      </c>
      <c r="V2778">
        <f>'raw data Crude oil'!V2779</f>
        <v>0</v>
      </c>
      <c r="W2778">
        <f>'raw data Crude oil'!W2779</f>
        <v>0</v>
      </c>
      <c r="X2778">
        <f>'raw data Crude oil'!X2779</f>
        <v>0</v>
      </c>
      <c r="Y2778">
        <f>'raw data Crude oil'!Y2779</f>
        <v>0</v>
      </c>
      <c r="Z2778">
        <f>'raw data Crude oil'!Z2779</f>
        <v>0</v>
      </c>
      <c r="AA2778">
        <f>'raw data Crude oil'!AA2779</f>
        <v>0</v>
      </c>
      <c r="AB2778">
        <f>'raw data Crude oil'!AB2779</f>
        <v>0</v>
      </c>
      <c r="AC2778">
        <f>'raw data Crude oil'!AC2779</f>
        <v>0</v>
      </c>
      <c r="AD2778">
        <f>'raw data Crude oil'!AD2779</f>
        <v>0</v>
      </c>
      <c r="AE2778">
        <f>'raw data Crude oil'!AE2779</f>
        <v>0</v>
      </c>
      <c r="AF2778">
        <f>'raw data Crude oil'!AF2779</f>
        <v>0</v>
      </c>
      <c r="AG2778">
        <f>'raw data Crude oil'!AG2779</f>
        <v>0</v>
      </c>
      <c r="AH2778">
        <f>'raw data Crude oil'!AH2779</f>
        <v>0</v>
      </c>
      <c r="AI2778">
        <f>'raw data Crude oil'!AI2779</f>
        <v>0</v>
      </c>
      <c r="AJ2778">
        <f>'raw data Crude oil'!AJ2779</f>
        <v>0</v>
      </c>
      <c r="AK2778">
        <f>'raw data Crude oil'!AK2779</f>
        <v>0</v>
      </c>
    </row>
    <row r="2779" spans="1:37" x14ac:dyDescent="0.3">
      <c r="A2779" s="18">
        <f>'raw data Crude oil'!A2780</f>
        <v>0</v>
      </c>
      <c r="B2779">
        <f>'raw data Crude oil'!B2780</f>
        <v>0</v>
      </c>
      <c r="C2779">
        <f>'raw data Crude oil'!C2780</f>
        <v>0</v>
      </c>
      <c r="D2779">
        <f>'raw data Crude oil'!D2780</f>
        <v>0</v>
      </c>
      <c r="E2779">
        <f>'raw data Crude oil'!E2780</f>
        <v>0</v>
      </c>
      <c r="F2779">
        <f>'raw data Crude oil'!F2780</f>
        <v>0</v>
      </c>
      <c r="G2779">
        <f>'raw data Crude oil'!G2780</f>
        <v>0</v>
      </c>
      <c r="H2779">
        <f>'raw data Crude oil'!H2780</f>
        <v>0</v>
      </c>
      <c r="I2779">
        <f>'raw data Crude oil'!I2780</f>
        <v>0</v>
      </c>
      <c r="J2779">
        <f>'raw data Crude oil'!J2780</f>
        <v>0</v>
      </c>
      <c r="K2779">
        <f>'raw data Crude oil'!K2780</f>
        <v>0</v>
      </c>
      <c r="L2779">
        <f>'raw data Crude oil'!L2780</f>
        <v>0</v>
      </c>
      <c r="M2779">
        <f>'raw data Crude oil'!M2780</f>
        <v>0</v>
      </c>
      <c r="N2779">
        <f>'raw data Crude oil'!N2780</f>
        <v>0</v>
      </c>
      <c r="O2779">
        <f>'raw data Crude oil'!O2780</f>
        <v>0</v>
      </c>
      <c r="P2779">
        <f>'raw data Crude oil'!P2780</f>
        <v>0</v>
      </c>
      <c r="Q2779">
        <f>'raw data Crude oil'!Q2780</f>
        <v>0</v>
      </c>
      <c r="R2779">
        <f>'raw data Crude oil'!R2780</f>
        <v>0</v>
      </c>
      <c r="S2779">
        <f>'raw data Crude oil'!S2780</f>
        <v>0</v>
      </c>
      <c r="T2779">
        <f>'raw data Crude oil'!T2780</f>
        <v>0</v>
      </c>
      <c r="U2779">
        <f>'raw data Crude oil'!U2780</f>
        <v>0</v>
      </c>
      <c r="V2779">
        <f>'raw data Crude oil'!V2780</f>
        <v>0</v>
      </c>
      <c r="W2779">
        <f>'raw data Crude oil'!W2780</f>
        <v>0</v>
      </c>
      <c r="X2779">
        <f>'raw data Crude oil'!X2780</f>
        <v>0</v>
      </c>
      <c r="Y2779">
        <f>'raw data Crude oil'!Y2780</f>
        <v>0</v>
      </c>
      <c r="Z2779">
        <f>'raw data Crude oil'!Z2780</f>
        <v>0</v>
      </c>
      <c r="AA2779">
        <f>'raw data Crude oil'!AA2780</f>
        <v>0</v>
      </c>
      <c r="AB2779">
        <f>'raw data Crude oil'!AB2780</f>
        <v>0</v>
      </c>
      <c r="AC2779">
        <f>'raw data Crude oil'!AC2780</f>
        <v>0</v>
      </c>
      <c r="AD2779">
        <f>'raw data Crude oil'!AD2780</f>
        <v>0</v>
      </c>
      <c r="AE2779">
        <f>'raw data Crude oil'!AE2780</f>
        <v>0</v>
      </c>
      <c r="AF2779">
        <f>'raw data Crude oil'!AF2780</f>
        <v>0</v>
      </c>
      <c r="AG2779">
        <f>'raw data Crude oil'!AG2780</f>
        <v>0</v>
      </c>
      <c r="AH2779">
        <f>'raw data Crude oil'!AH2780</f>
        <v>0</v>
      </c>
      <c r="AI2779">
        <f>'raw data Crude oil'!AI2780</f>
        <v>0</v>
      </c>
      <c r="AJ2779">
        <f>'raw data Crude oil'!AJ2780</f>
        <v>0</v>
      </c>
      <c r="AK2779">
        <f>'raw data Crude oil'!AK2780</f>
        <v>0</v>
      </c>
    </row>
    <row r="2780" spans="1:37" x14ac:dyDescent="0.3">
      <c r="A2780" s="18">
        <f>'raw data Crude oil'!A2781</f>
        <v>0</v>
      </c>
      <c r="B2780">
        <f>'raw data Crude oil'!B2781</f>
        <v>0</v>
      </c>
      <c r="C2780">
        <f>'raw data Crude oil'!C2781</f>
        <v>0</v>
      </c>
      <c r="D2780">
        <f>'raw data Crude oil'!D2781</f>
        <v>0</v>
      </c>
      <c r="E2780">
        <f>'raw data Crude oil'!E2781</f>
        <v>0</v>
      </c>
      <c r="F2780">
        <f>'raw data Crude oil'!F2781</f>
        <v>0</v>
      </c>
      <c r="G2780">
        <f>'raw data Crude oil'!G2781</f>
        <v>0</v>
      </c>
      <c r="H2780">
        <f>'raw data Crude oil'!H2781</f>
        <v>0</v>
      </c>
      <c r="I2780">
        <f>'raw data Crude oil'!I2781</f>
        <v>0</v>
      </c>
      <c r="J2780">
        <f>'raw data Crude oil'!J2781</f>
        <v>0</v>
      </c>
      <c r="K2780">
        <f>'raw data Crude oil'!K2781</f>
        <v>0</v>
      </c>
      <c r="L2780">
        <f>'raw data Crude oil'!L2781</f>
        <v>0</v>
      </c>
      <c r="M2780">
        <f>'raw data Crude oil'!M2781</f>
        <v>0</v>
      </c>
      <c r="N2780">
        <f>'raw data Crude oil'!N2781</f>
        <v>0</v>
      </c>
      <c r="O2780">
        <f>'raw data Crude oil'!O2781</f>
        <v>0</v>
      </c>
      <c r="P2780">
        <f>'raw data Crude oil'!P2781</f>
        <v>0</v>
      </c>
      <c r="Q2780">
        <f>'raw data Crude oil'!Q2781</f>
        <v>0</v>
      </c>
      <c r="R2780">
        <f>'raw data Crude oil'!R2781</f>
        <v>0</v>
      </c>
      <c r="S2780">
        <f>'raw data Crude oil'!S2781</f>
        <v>0</v>
      </c>
      <c r="T2780">
        <f>'raw data Crude oil'!T2781</f>
        <v>0</v>
      </c>
      <c r="U2780">
        <f>'raw data Crude oil'!U2781</f>
        <v>0</v>
      </c>
      <c r="V2780">
        <f>'raw data Crude oil'!V2781</f>
        <v>0</v>
      </c>
      <c r="W2780">
        <f>'raw data Crude oil'!W2781</f>
        <v>0</v>
      </c>
      <c r="X2780">
        <f>'raw data Crude oil'!X2781</f>
        <v>0</v>
      </c>
      <c r="Y2780">
        <f>'raw data Crude oil'!Y2781</f>
        <v>0</v>
      </c>
      <c r="Z2780">
        <f>'raw data Crude oil'!Z2781</f>
        <v>0</v>
      </c>
      <c r="AA2780">
        <f>'raw data Crude oil'!AA2781</f>
        <v>0</v>
      </c>
      <c r="AB2780">
        <f>'raw data Crude oil'!AB2781</f>
        <v>0</v>
      </c>
      <c r="AC2780">
        <f>'raw data Crude oil'!AC2781</f>
        <v>0</v>
      </c>
      <c r="AD2780">
        <f>'raw data Crude oil'!AD2781</f>
        <v>0</v>
      </c>
      <c r="AE2780">
        <f>'raw data Crude oil'!AE2781</f>
        <v>0</v>
      </c>
      <c r="AF2780">
        <f>'raw data Crude oil'!AF2781</f>
        <v>0</v>
      </c>
      <c r="AG2780">
        <f>'raw data Crude oil'!AG2781</f>
        <v>0</v>
      </c>
      <c r="AH2780">
        <f>'raw data Crude oil'!AH2781</f>
        <v>0</v>
      </c>
      <c r="AI2780">
        <f>'raw data Crude oil'!AI2781</f>
        <v>0</v>
      </c>
      <c r="AJ2780">
        <f>'raw data Crude oil'!AJ2781</f>
        <v>0</v>
      </c>
      <c r="AK2780">
        <f>'raw data Crude oil'!AK2781</f>
        <v>0</v>
      </c>
    </row>
    <row r="2781" spans="1:37" x14ac:dyDescent="0.3">
      <c r="A2781" s="18">
        <f>'raw data Crude oil'!A2782</f>
        <v>0</v>
      </c>
      <c r="B2781">
        <f>'raw data Crude oil'!B2782</f>
        <v>0</v>
      </c>
      <c r="C2781">
        <f>'raw data Crude oil'!C2782</f>
        <v>0</v>
      </c>
      <c r="D2781">
        <f>'raw data Crude oil'!D2782</f>
        <v>0</v>
      </c>
      <c r="E2781">
        <f>'raw data Crude oil'!E2782</f>
        <v>0</v>
      </c>
      <c r="F2781">
        <f>'raw data Crude oil'!F2782</f>
        <v>0</v>
      </c>
      <c r="G2781">
        <f>'raw data Crude oil'!G2782</f>
        <v>0</v>
      </c>
      <c r="H2781">
        <f>'raw data Crude oil'!H2782</f>
        <v>0</v>
      </c>
      <c r="I2781">
        <f>'raw data Crude oil'!I2782</f>
        <v>0</v>
      </c>
      <c r="J2781">
        <f>'raw data Crude oil'!J2782</f>
        <v>0</v>
      </c>
      <c r="K2781">
        <f>'raw data Crude oil'!K2782</f>
        <v>0</v>
      </c>
      <c r="L2781">
        <f>'raw data Crude oil'!L2782</f>
        <v>0</v>
      </c>
      <c r="M2781">
        <f>'raw data Crude oil'!M2782</f>
        <v>0</v>
      </c>
      <c r="N2781">
        <f>'raw data Crude oil'!N2782</f>
        <v>0</v>
      </c>
      <c r="O2781">
        <f>'raw data Crude oil'!O2782</f>
        <v>0</v>
      </c>
      <c r="P2781">
        <f>'raw data Crude oil'!P2782</f>
        <v>0</v>
      </c>
      <c r="Q2781">
        <f>'raw data Crude oil'!Q2782</f>
        <v>0</v>
      </c>
      <c r="R2781">
        <f>'raw data Crude oil'!R2782</f>
        <v>0</v>
      </c>
      <c r="S2781">
        <f>'raw data Crude oil'!S2782</f>
        <v>0</v>
      </c>
      <c r="T2781">
        <f>'raw data Crude oil'!T2782</f>
        <v>0</v>
      </c>
      <c r="U2781">
        <f>'raw data Crude oil'!U2782</f>
        <v>0</v>
      </c>
      <c r="V2781">
        <f>'raw data Crude oil'!V2782</f>
        <v>0</v>
      </c>
      <c r="W2781">
        <f>'raw data Crude oil'!W2782</f>
        <v>0</v>
      </c>
      <c r="X2781">
        <f>'raw data Crude oil'!X2782</f>
        <v>0</v>
      </c>
      <c r="Y2781">
        <f>'raw data Crude oil'!Y2782</f>
        <v>0</v>
      </c>
      <c r="Z2781">
        <f>'raw data Crude oil'!Z2782</f>
        <v>0</v>
      </c>
      <c r="AA2781">
        <f>'raw data Crude oil'!AA2782</f>
        <v>0</v>
      </c>
      <c r="AB2781">
        <f>'raw data Crude oil'!AB2782</f>
        <v>0</v>
      </c>
      <c r="AC2781">
        <f>'raw data Crude oil'!AC2782</f>
        <v>0</v>
      </c>
      <c r="AD2781">
        <f>'raw data Crude oil'!AD2782</f>
        <v>0</v>
      </c>
      <c r="AE2781">
        <f>'raw data Crude oil'!AE2782</f>
        <v>0</v>
      </c>
      <c r="AF2781">
        <f>'raw data Crude oil'!AF2782</f>
        <v>0</v>
      </c>
      <c r="AG2781">
        <f>'raw data Crude oil'!AG2782</f>
        <v>0</v>
      </c>
      <c r="AH2781">
        <f>'raw data Crude oil'!AH2782</f>
        <v>0</v>
      </c>
      <c r="AI2781">
        <f>'raw data Crude oil'!AI2782</f>
        <v>0</v>
      </c>
      <c r="AJ2781">
        <f>'raw data Crude oil'!AJ2782</f>
        <v>0</v>
      </c>
      <c r="AK2781">
        <f>'raw data Crude oil'!AK2782</f>
        <v>0</v>
      </c>
    </row>
    <row r="2782" spans="1:37" x14ac:dyDescent="0.3">
      <c r="A2782" s="18">
        <f>'raw data Crude oil'!A2783</f>
        <v>0</v>
      </c>
      <c r="B2782">
        <f>'raw data Crude oil'!B2783</f>
        <v>0</v>
      </c>
      <c r="C2782">
        <f>'raw data Crude oil'!C2783</f>
        <v>0</v>
      </c>
      <c r="D2782">
        <f>'raw data Crude oil'!D2783</f>
        <v>0</v>
      </c>
      <c r="E2782">
        <f>'raw data Crude oil'!E2783</f>
        <v>0</v>
      </c>
      <c r="F2782">
        <f>'raw data Crude oil'!F2783</f>
        <v>0</v>
      </c>
      <c r="G2782">
        <f>'raw data Crude oil'!G2783</f>
        <v>0</v>
      </c>
      <c r="H2782">
        <f>'raw data Crude oil'!H2783</f>
        <v>0</v>
      </c>
      <c r="I2782">
        <f>'raw data Crude oil'!I2783</f>
        <v>0</v>
      </c>
      <c r="J2782">
        <f>'raw data Crude oil'!J2783</f>
        <v>0</v>
      </c>
      <c r="K2782">
        <f>'raw data Crude oil'!K2783</f>
        <v>0</v>
      </c>
      <c r="L2782">
        <f>'raw data Crude oil'!L2783</f>
        <v>0</v>
      </c>
      <c r="M2782">
        <f>'raw data Crude oil'!M2783</f>
        <v>0</v>
      </c>
      <c r="N2782">
        <f>'raw data Crude oil'!N2783</f>
        <v>0</v>
      </c>
      <c r="O2782">
        <f>'raw data Crude oil'!O2783</f>
        <v>0</v>
      </c>
      <c r="P2782">
        <f>'raw data Crude oil'!P2783</f>
        <v>0</v>
      </c>
      <c r="Q2782">
        <f>'raw data Crude oil'!Q2783</f>
        <v>0</v>
      </c>
      <c r="R2782">
        <f>'raw data Crude oil'!R2783</f>
        <v>0</v>
      </c>
      <c r="S2782">
        <f>'raw data Crude oil'!S2783</f>
        <v>0</v>
      </c>
      <c r="T2782">
        <f>'raw data Crude oil'!T2783</f>
        <v>0</v>
      </c>
      <c r="U2782">
        <f>'raw data Crude oil'!U2783</f>
        <v>0</v>
      </c>
      <c r="V2782">
        <f>'raw data Crude oil'!V2783</f>
        <v>0</v>
      </c>
      <c r="W2782">
        <f>'raw data Crude oil'!W2783</f>
        <v>0</v>
      </c>
      <c r="X2782">
        <f>'raw data Crude oil'!X2783</f>
        <v>0</v>
      </c>
      <c r="Y2782">
        <f>'raw data Crude oil'!Y2783</f>
        <v>0</v>
      </c>
      <c r="Z2782">
        <f>'raw data Crude oil'!Z2783</f>
        <v>0</v>
      </c>
      <c r="AA2782">
        <f>'raw data Crude oil'!AA2783</f>
        <v>0</v>
      </c>
      <c r="AB2782">
        <f>'raw data Crude oil'!AB2783</f>
        <v>0</v>
      </c>
      <c r="AC2782">
        <f>'raw data Crude oil'!AC2783</f>
        <v>0</v>
      </c>
      <c r="AD2782">
        <f>'raw data Crude oil'!AD2783</f>
        <v>0</v>
      </c>
      <c r="AE2782">
        <f>'raw data Crude oil'!AE2783</f>
        <v>0</v>
      </c>
      <c r="AF2782">
        <f>'raw data Crude oil'!AF2783</f>
        <v>0</v>
      </c>
      <c r="AG2782">
        <f>'raw data Crude oil'!AG2783</f>
        <v>0</v>
      </c>
      <c r="AH2782">
        <f>'raw data Crude oil'!AH2783</f>
        <v>0</v>
      </c>
      <c r="AI2782">
        <f>'raw data Crude oil'!AI2783</f>
        <v>0</v>
      </c>
      <c r="AJ2782">
        <f>'raw data Crude oil'!AJ2783</f>
        <v>0</v>
      </c>
      <c r="AK2782">
        <f>'raw data Crude oil'!AK2783</f>
        <v>0</v>
      </c>
    </row>
    <row r="2783" spans="1:37" x14ac:dyDescent="0.3">
      <c r="A2783" s="18">
        <f>'raw data Crude oil'!A2784</f>
        <v>0</v>
      </c>
      <c r="B2783">
        <f>'raw data Crude oil'!B2784</f>
        <v>0</v>
      </c>
      <c r="C2783">
        <f>'raw data Crude oil'!C2784</f>
        <v>0</v>
      </c>
      <c r="D2783">
        <f>'raw data Crude oil'!D2784</f>
        <v>0</v>
      </c>
      <c r="E2783">
        <f>'raw data Crude oil'!E2784</f>
        <v>0</v>
      </c>
      <c r="F2783">
        <f>'raw data Crude oil'!F2784</f>
        <v>0</v>
      </c>
      <c r="G2783">
        <f>'raw data Crude oil'!G2784</f>
        <v>0</v>
      </c>
      <c r="H2783">
        <f>'raw data Crude oil'!H2784</f>
        <v>0</v>
      </c>
      <c r="I2783">
        <f>'raw data Crude oil'!I2784</f>
        <v>0</v>
      </c>
      <c r="J2783">
        <f>'raw data Crude oil'!J2784</f>
        <v>0</v>
      </c>
      <c r="K2783">
        <f>'raw data Crude oil'!K2784</f>
        <v>0</v>
      </c>
      <c r="L2783">
        <f>'raw data Crude oil'!L2784</f>
        <v>0</v>
      </c>
      <c r="M2783">
        <f>'raw data Crude oil'!M2784</f>
        <v>0</v>
      </c>
      <c r="N2783">
        <f>'raw data Crude oil'!N2784</f>
        <v>0</v>
      </c>
      <c r="O2783">
        <f>'raw data Crude oil'!O2784</f>
        <v>0</v>
      </c>
      <c r="P2783">
        <f>'raw data Crude oil'!P2784</f>
        <v>0</v>
      </c>
      <c r="Q2783">
        <f>'raw data Crude oil'!Q2784</f>
        <v>0</v>
      </c>
      <c r="R2783">
        <f>'raw data Crude oil'!R2784</f>
        <v>0</v>
      </c>
      <c r="S2783">
        <f>'raw data Crude oil'!S2784</f>
        <v>0</v>
      </c>
      <c r="T2783">
        <f>'raw data Crude oil'!T2784</f>
        <v>0</v>
      </c>
      <c r="U2783">
        <f>'raw data Crude oil'!U2784</f>
        <v>0</v>
      </c>
      <c r="V2783">
        <f>'raw data Crude oil'!V2784</f>
        <v>0</v>
      </c>
      <c r="W2783">
        <f>'raw data Crude oil'!W2784</f>
        <v>0</v>
      </c>
      <c r="X2783">
        <f>'raw data Crude oil'!X2784</f>
        <v>0</v>
      </c>
      <c r="Y2783">
        <f>'raw data Crude oil'!Y2784</f>
        <v>0</v>
      </c>
      <c r="Z2783">
        <f>'raw data Crude oil'!Z2784</f>
        <v>0</v>
      </c>
      <c r="AA2783">
        <f>'raw data Crude oil'!AA2784</f>
        <v>0</v>
      </c>
      <c r="AB2783">
        <f>'raw data Crude oil'!AB2784</f>
        <v>0</v>
      </c>
      <c r="AC2783">
        <f>'raw data Crude oil'!AC2784</f>
        <v>0</v>
      </c>
      <c r="AD2783">
        <f>'raw data Crude oil'!AD2784</f>
        <v>0</v>
      </c>
      <c r="AE2783">
        <f>'raw data Crude oil'!AE2784</f>
        <v>0</v>
      </c>
      <c r="AF2783">
        <f>'raw data Crude oil'!AF2784</f>
        <v>0</v>
      </c>
      <c r="AG2783">
        <f>'raw data Crude oil'!AG2784</f>
        <v>0</v>
      </c>
      <c r="AH2783">
        <f>'raw data Crude oil'!AH2784</f>
        <v>0</v>
      </c>
      <c r="AI2783">
        <f>'raw data Crude oil'!AI2784</f>
        <v>0</v>
      </c>
      <c r="AJ2783">
        <f>'raw data Crude oil'!AJ2784</f>
        <v>0</v>
      </c>
      <c r="AK2783">
        <f>'raw data Crude oil'!AK2784</f>
        <v>0</v>
      </c>
    </row>
    <row r="2784" spans="1:37" x14ac:dyDescent="0.3">
      <c r="A2784" s="18">
        <f>'raw data Crude oil'!A2785</f>
        <v>0</v>
      </c>
      <c r="B2784">
        <f>'raw data Crude oil'!B2785</f>
        <v>0</v>
      </c>
      <c r="C2784">
        <f>'raw data Crude oil'!C2785</f>
        <v>0</v>
      </c>
      <c r="D2784">
        <f>'raw data Crude oil'!D2785</f>
        <v>0</v>
      </c>
      <c r="E2784">
        <f>'raw data Crude oil'!E2785</f>
        <v>0</v>
      </c>
      <c r="F2784">
        <f>'raw data Crude oil'!F2785</f>
        <v>0</v>
      </c>
      <c r="G2784">
        <f>'raw data Crude oil'!G2785</f>
        <v>0</v>
      </c>
      <c r="H2784">
        <f>'raw data Crude oil'!H2785</f>
        <v>0</v>
      </c>
      <c r="I2784">
        <f>'raw data Crude oil'!I2785</f>
        <v>0</v>
      </c>
      <c r="J2784">
        <f>'raw data Crude oil'!J2785</f>
        <v>0</v>
      </c>
      <c r="K2784">
        <f>'raw data Crude oil'!K2785</f>
        <v>0</v>
      </c>
      <c r="L2784">
        <f>'raw data Crude oil'!L2785</f>
        <v>0</v>
      </c>
      <c r="M2784">
        <f>'raw data Crude oil'!M2785</f>
        <v>0</v>
      </c>
      <c r="N2784">
        <f>'raw data Crude oil'!N2785</f>
        <v>0</v>
      </c>
      <c r="O2784">
        <f>'raw data Crude oil'!O2785</f>
        <v>0</v>
      </c>
      <c r="P2784">
        <f>'raw data Crude oil'!P2785</f>
        <v>0</v>
      </c>
      <c r="Q2784">
        <f>'raw data Crude oil'!Q2785</f>
        <v>0</v>
      </c>
      <c r="R2784">
        <f>'raw data Crude oil'!R2785</f>
        <v>0</v>
      </c>
      <c r="S2784">
        <f>'raw data Crude oil'!S2785</f>
        <v>0</v>
      </c>
      <c r="T2784">
        <f>'raw data Crude oil'!T2785</f>
        <v>0</v>
      </c>
      <c r="U2784">
        <f>'raw data Crude oil'!U2785</f>
        <v>0</v>
      </c>
      <c r="V2784">
        <f>'raw data Crude oil'!V2785</f>
        <v>0</v>
      </c>
      <c r="W2784">
        <f>'raw data Crude oil'!W2785</f>
        <v>0</v>
      </c>
      <c r="X2784">
        <f>'raw data Crude oil'!X2785</f>
        <v>0</v>
      </c>
      <c r="Y2784">
        <f>'raw data Crude oil'!Y2785</f>
        <v>0</v>
      </c>
      <c r="Z2784">
        <f>'raw data Crude oil'!Z2785</f>
        <v>0</v>
      </c>
      <c r="AA2784">
        <f>'raw data Crude oil'!AA2785</f>
        <v>0</v>
      </c>
      <c r="AB2784">
        <f>'raw data Crude oil'!AB2785</f>
        <v>0</v>
      </c>
      <c r="AC2784">
        <f>'raw data Crude oil'!AC2785</f>
        <v>0</v>
      </c>
      <c r="AD2784">
        <f>'raw data Crude oil'!AD2785</f>
        <v>0</v>
      </c>
      <c r="AE2784">
        <f>'raw data Crude oil'!AE2785</f>
        <v>0</v>
      </c>
      <c r="AF2784">
        <f>'raw data Crude oil'!AF2785</f>
        <v>0</v>
      </c>
      <c r="AG2784">
        <f>'raw data Crude oil'!AG2785</f>
        <v>0</v>
      </c>
      <c r="AH2784">
        <f>'raw data Crude oil'!AH2785</f>
        <v>0</v>
      </c>
      <c r="AI2784">
        <f>'raw data Crude oil'!AI2785</f>
        <v>0</v>
      </c>
      <c r="AJ2784">
        <f>'raw data Crude oil'!AJ2785</f>
        <v>0</v>
      </c>
      <c r="AK2784">
        <f>'raw data Crude oil'!AK2785</f>
        <v>0</v>
      </c>
    </row>
    <row r="2785" spans="1:37" x14ac:dyDescent="0.3">
      <c r="A2785" s="18">
        <f>'raw data Crude oil'!A2786</f>
        <v>0</v>
      </c>
      <c r="B2785">
        <f>'raw data Crude oil'!B2786</f>
        <v>0</v>
      </c>
      <c r="C2785">
        <f>'raw data Crude oil'!C2786</f>
        <v>0</v>
      </c>
      <c r="D2785">
        <f>'raw data Crude oil'!D2786</f>
        <v>0</v>
      </c>
      <c r="E2785">
        <f>'raw data Crude oil'!E2786</f>
        <v>0</v>
      </c>
      <c r="F2785">
        <f>'raw data Crude oil'!F2786</f>
        <v>0</v>
      </c>
      <c r="G2785">
        <f>'raw data Crude oil'!G2786</f>
        <v>0</v>
      </c>
      <c r="H2785">
        <f>'raw data Crude oil'!H2786</f>
        <v>0</v>
      </c>
      <c r="I2785">
        <f>'raw data Crude oil'!I2786</f>
        <v>0</v>
      </c>
      <c r="J2785">
        <f>'raw data Crude oil'!J2786</f>
        <v>0</v>
      </c>
      <c r="K2785">
        <f>'raw data Crude oil'!K2786</f>
        <v>0</v>
      </c>
      <c r="L2785">
        <f>'raw data Crude oil'!L2786</f>
        <v>0</v>
      </c>
      <c r="M2785">
        <f>'raw data Crude oil'!M2786</f>
        <v>0</v>
      </c>
      <c r="N2785">
        <f>'raw data Crude oil'!N2786</f>
        <v>0</v>
      </c>
      <c r="O2785">
        <f>'raw data Crude oil'!O2786</f>
        <v>0</v>
      </c>
      <c r="P2785">
        <f>'raw data Crude oil'!P2786</f>
        <v>0</v>
      </c>
      <c r="Q2785">
        <f>'raw data Crude oil'!Q2786</f>
        <v>0</v>
      </c>
      <c r="R2785">
        <f>'raw data Crude oil'!R2786</f>
        <v>0</v>
      </c>
      <c r="S2785">
        <f>'raw data Crude oil'!S2786</f>
        <v>0</v>
      </c>
      <c r="T2785">
        <f>'raw data Crude oil'!T2786</f>
        <v>0</v>
      </c>
      <c r="U2785">
        <f>'raw data Crude oil'!U2786</f>
        <v>0</v>
      </c>
      <c r="V2785">
        <f>'raw data Crude oil'!V2786</f>
        <v>0</v>
      </c>
      <c r="W2785">
        <f>'raw data Crude oil'!W2786</f>
        <v>0</v>
      </c>
      <c r="X2785">
        <f>'raw data Crude oil'!X2786</f>
        <v>0</v>
      </c>
      <c r="Y2785">
        <f>'raw data Crude oil'!Y2786</f>
        <v>0</v>
      </c>
      <c r="Z2785">
        <f>'raw data Crude oil'!Z2786</f>
        <v>0</v>
      </c>
      <c r="AA2785">
        <f>'raw data Crude oil'!AA2786</f>
        <v>0</v>
      </c>
      <c r="AB2785">
        <f>'raw data Crude oil'!AB2786</f>
        <v>0</v>
      </c>
      <c r="AC2785">
        <f>'raw data Crude oil'!AC2786</f>
        <v>0</v>
      </c>
      <c r="AD2785">
        <f>'raw data Crude oil'!AD2786</f>
        <v>0</v>
      </c>
      <c r="AE2785">
        <f>'raw data Crude oil'!AE2786</f>
        <v>0</v>
      </c>
      <c r="AF2785">
        <f>'raw data Crude oil'!AF2786</f>
        <v>0</v>
      </c>
      <c r="AG2785">
        <f>'raw data Crude oil'!AG2786</f>
        <v>0</v>
      </c>
      <c r="AH2785">
        <f>'raw data Crude oil'!AH2786</f>
        <v>0</v>
      </c>
      <c r="AI2785">
        <f>'raw data Crude oil'!AI2786</f>
        <v>0</v>
      </c>
      <c r="AJ2785">
        <f>'raw data Crude oil'!AJ2786</f>
        <v>0</v>
      </c>
      <c r="AK2785">
        <f>'raw data Crude oil'!AK2786</f>
        <v>0</v>
      </c>
    </row>
    <row r="2786" spans="1:37" x14ac:dyDescent="0.3">
      <c r="A2786" s="18">
        <f>'raw data Crude oil'!A2787</f>
        <v>0</v>
      </c>
      <c r="B2786">
        <f>'raw data Crude oil'!B2787</f>
        <v>0</v>
      </c>
      <c r="C2786">
        <f>'raw data Crude oil'!C2787</f>
        <v>0</v>
      </c>
      <c r="D2786">
        <f>'raw data Crude oil'!D2787</f>
        <v>0</v>
      </c>
      <c r="E2786">
        <f>'raw data Crude oil'!E2787</f>
        <v>0</v>
      </c>
      <c r="F2786">
        <f>'raw data Crude oil'!F2787</f>
        <v>0</v>
      </c>
      <c r="G2786">
        <f>'raw data Crude oil'!G2787</f>
        <v>0</v>
      </c>
      <c r="H2786">
        <f>'raw data Crude oil'!H2787</f>
        <v>0</v>
      </c>
      <c r="I2786">
        <f>'raw data Crude oil'!I2787</f>
        <v>0</v>
      </c>
      <c r="J2786">
        <f>'raw data Crude oil'!J2787</f>
        <v>0</v>
      </c>
      <c r="K2786">
        <f>'raw data Crude oil'!K2787</f>
        <v>0</v>
      </c>
      <c r="L2786">
        <f>'raw data Crude oil'!L2787</f>
        <v>0</v>
      </c>
      <c r="M2786">
        <f>'raw data Crude oil'!M2787</f>
        <v>0</v>
      </c>
      <c r="N2786">
        <f>'raw data Crude oil'!N2787</f>
        <v>0</v>
      </c>
      <c r="O2786">
        <f>'raw data Crude oil'!O2787</f>
        <v>0</v>
      </c>
      <c r="P2786">
        <f>'raw data Crude oil'!P2787</f>
        <v>0</v>
      </c>
      <c r="Q2786">
        <f>'raw data Crude oil'!Q2787</f>
        <v>0</v>
      </c>
      <c r="R2786">
        <f>'raw data Crude oil'!R2787</f>
        <v>0</v>
      </c>
      <c r="S2786">
        <f>'raw data Crude oil'!S2787</f>
        <v>0</v>
      </c>
      <c r="T2786">
        <f>'raw data Crude oil'!T2787</f>
        <v>0</v>
      </c>
      <c r="U2786">
        <f>'raw data Crude oil'!U2787</f>
        <v>0</v>
      </c>
      <c r="V2786">
        <f>'raw data Crude oil'!V2787</f>
        <v>0</v>
      </c>
      <c r="W2786">
        <f>'raw data Crude oil'!W2787</f>
        <v>0</v>
      </c>
      <c r="X2786">
        <f>'raw data Crude oil'!X2787</f>
        <v>0</v>
      </c>
      <c r="Y2786">
        <f>'raw data Crude oil'!Y2787</f>
        <v>0</v>
      </c>
      <c r="Z2786">
        <f>'raw data Crude oil'!Z2787</f>
        <v>0</v>
      </c>
      <c r="AA2786">
        <f>'raw data Crude oil'!AA2787</f>
        <v>0</v>
      </c>
      <c r="AB2786">
        <f>'raw data Crude oil'!AB2787</f>
        <v>0</v>
      </c>
      <c r="AC2786">
        <f>'raw data Crude oil'!AC2787</f>
        <v>0</v>
      </c>
      <c r="AD2786">
        <f>'raw data Crude oil'!AD2787</f>
        <v>0</v>
      </c>
      <c r="AE2786">
        <f>'raw data Crude oil'!AE2787</f>
        <v>0</v>
      </c>
      <c r="AF2786">
        <f>'raw data Crude oil'!AF2787</f>
        <v>0</v>
      </c>
      <c r="AG2786">
        <f>'raw data Crude oil'!AG2787</f>
        <v>0</v>
      </c>
      <c r="AH2786">
        <f>'raw data Crude oil'!AH2787</f>
        <v>0</v>
      </c>
      <c r="AI2786">
        <f>'raw data Crude oil'!AI2787</f>
        <v>0</v>
      </c>
      <c r="AJ2786">
        <f>'raw data Crude oil'!AJ2787</f>
        <v>0</v>
      </c>
      <c r="AK2786">
        <f>'raw data Crude oil'!AK2787</f>
        <v>0</v>
      </c>
    </row>
    <row r="2787" spans="1:37" x14ac:dyDescent="0.3">
      <c r="A2787" s="18">
        <f>'raw data Crude oil'!A2788</f>
        <v>0</v>
      </c>
      <c r="B2787">
        <f>'raw data Crude oil'!B2788</f>
        <v>0</v>
      </c>
      <c r="C2787">
        <f>'raw data Crude oil'!C2788</f>
        <v>0</v>
      </c>
      <c r="D2787">
        <f>'raw data Crude oil'!D2788</f>
        <v>0</v>
      </c>
      <c r="E2787">
        <f>'raw data Crude oil'!E2788</f>
        <v>0</v>
      </c>
      <c r="F2787">
        <f>'raw data Crude oil'!F2788</f>
        <v>0</v>
      </c>
      <c r="G2787">
        <f>'raw data Crude oil'!G2788</f>
        <v>0</v>
      </c>
      <c r="H2787">
        <f>'raw data Crude oil'!H2788</f>
        <v>0</v>
      </c>
      <c r="I2787">
        <f>'raw data Crude oil'!I2788</f>
        <v>0</v>
      </c>
      <c r="J2787">
        <f>'raw data Crude oil'!J2788</f>
        <v>0</v>
      </c>
      <c r="K2787">
        <f>'raw data Crude oil'!K2788</f>
        <v>0</v>
      </c>
      <c r="L2787">
        <f>'raw data Crude oil'!L2788</f>
        <v>0</v>
      </c>
      <c r="M2787">
        <f>'raw data Crude oil'!M2788</f>
        <v>0</v>
      </c>
      <c r="N2787">
        <f>'raw data Crude oil'!N2788</f>
        <v>0</v>
      </c>
      <c r="O2787">
        <f>'raw data Crude oil'!O2788</f>
        <v>0</v>
      </c>
      <c r="P2787">
        <f>'raw data Crude oil'!P2788</f>
        <v>0</v>
      </c>
      <c r="Q2787">
        <f>'raw data Crude oil'!Q2788</f>
        <v>0</v>
      </c>
      <c r="R2787">
        <f>'raw data Crude oil'!R2788</f>
        <v>0</v>
      </c>
      <c r="S2787">
        <f>'raw data Crude oil'!S2788</f>
        <v>0</v>
      </c>
      <c r="T2787">
        <f>'raw data Crude oil'!T2788</f>
        <v>0</v>
      </c>
      <c r="U2787">
        <f>'raw data Crude oil'!U2788</f>
        <v>0</v>
      </c>
      <c r="V2787">
        <f>'raw data Crude oil'!V2788</f>
        <v>0</v>
      </c>
      <c r="W2787">
        <f>'raw data Crude oil'!W2788</f>
        <v>0</v>
      </c>
      <c r="X2787">
        <f>'raw data Crude oil'!X2788</f>
        <v>0</v>
      </c>
      <c r="Y2787">
        <f>'raw data Crude oil'!Y2788</f>
        <v>0</v>
      </c>
      <c r="Z2787">
        <f>'raw data Crude oil'!Z2788</f>
        <v>0</v>
      </c>
      <c r="AA2787">
        <f>'raw data Crude oil'!AA2788</f>
        <v>0</v>
      </c>
      <c r="AB2787">
        <f>'raw data Crude oil'!AB2788</f>
        <v>0</v>
      </c>
      <c r="AC2787">
        <f>'raw data Crude oil'!AC2788</f>
        <v>0</v>
      </c>
      <c r="AD2787">
        <f>'raw data Crude oil'!AD2788</f>
        <v>0</v>
      </c>
      <c r="AE2787">
        <f>'raw data Crude oil'!AE2788</f>
        <v>0</v>
      </c>
      <c r="AF2787">
        <f>'raw data Crude oil'!AF2788</f>
        <v>0</v>
      </c>
      <c r="AG2787">
        <f>'raw data Crude oil'!AG2788</f>
        <v>0</v>
      </c>
      <c r="AH2787">
        <f>'raw data Crude oil'!AH2788</f>
        <v>0</v>
      </c>
      <c r="AI2787">
        <f>'raw data Crude oil'!AI2788</f>
        <v>0</v>
      </c>
      <c r="AJ2787">
        <f>'raw data Crude oil'!AJ2788</f>
        <v>0</v>
      </c>
      <c r="AK2787">
        <f>'raw data Crude oil'!AK2788</f>
        <v>0</v>
      </c>
    </row>
    <row r="2788" spans="1:37" x14ac:dyDescent="0.3">
      <c r="A2788" s="18">
        <f>'raw data Crude oil'!A2789</f>
        <v>0</v>
      </c>
      <c r="B2788">
        <f>'raw data Crude oil'!B2789</f>
        <v>0</v>
      </c>
      <c r="C2788">
        <f>'raw data Crude oil'!C2789</f>
        <v>0</v>
      </c>
      <c r="D2788">
        <f>'raw data Crude oil'!D2789</f>
        <v>0</v>
      </c>
      <c r="E2788">
        <f>'raw data Crude oil'!E2789</f>
        <v>0</v>
      </c>
      <c r="F2788">
        <f>'raw data Crude oil'!F2789</f>
        <v>0</v>
      </c>
      <c r="G2788">
        <f>'raw data Crude oil'!G2789</f>
        <v>0</v>
      </c>
      <c r="H2788">
        <f>'raw data Crude oil'!H2789</f>
        <v>0</v>
      </c>
      <c r="I2788">
        <f>'raw data Crude oil'!I2789</f>
        <v>0</v>
      </c>
      <c r="J2788">
        <f>'raw data Crude oil'!J2789</f>
        <v>0</v>
      </c>
      <c r="K2788">
        <f>'raw data Crude oil'!K2789</f>
        <v>0</v>
      </c>
      <c r="L2788">
        <f>'raw data Crude oil'!L2789</f>
        <v>0</v>
      </c>
      <c r="M2788">
        <f>'raw data Crude oil'!M2789</f>
        <v>0</v>
      </c>
      <c r="N2788">
        <f>'raw data Crude oil'!N2789</f>
        <v>0</v>
      </c>
      <c r="O2788">
        <f>'raw data Crude oil'!O2789</f>
        <v>0</v>
      </c>
      <c r="P2788">
        <f>'raw data Crude oil'!P2789</f>
        <v>0</v>
      </c>
      <c r="Q2788">
        <f>'raw data Crude oil'!Q2789</f>
        <v>0</v>
      </c>
      <c r="R2788">
        <f>'raw data Crude oil'!R2789</f>
        <v>0</v>
      </c>
      <c r="S2788">
        <f>'raw data Crude oil'!S2789</f>
        <v>0</v>
      </c>
      <c r="T2788">
        <f>'raw data Crude oil'!T2789</f>
        <v>0</v>
      </c>
      <c r="U2788">
        <f>'raw data Crude oil'!U2789</f>
        <v>0</v>
      </c>
      <c r="V2788">
        <f>'raw data Crude oil'!V2789</f>
        <v>0</v>
      </c>
      <c r="W2788">
        <f>'raw data Crude oil'!W2789</f>
        <v>0</v>
      </c>
      <c r="X2788">
        <f>'raw data Crude oil'!X2789</f>
        <v>0</v>
      </c>
      <c r="Y2788">
        <f>'raw data Crude oil'!Y2789</f>
        <v>0</v>
      </c>
      <c r="Z2788">
        <f>'raw data Crude oil'!Z2789</f>
        <v>0</v>
      </c>
      <c r="AA2788">
        <f>'raw data Crude oil'!AA2789</f>
        <v>0</v>
      </c>
      <c r="AB2788">
        <f>'raw data Crude oil'!AB2789</f>
        <v>0</v>
      </c>
      <c r="AC2788">
        <f>'raw data Crude oil'!AC2789</f>
        <v>0</v>
      </c>
      <c r="AD2788">
        <f>'raw data Crude oil'!AD2789</f>
        <v>0</v>
      </c>
      <c r="AE2788">
        <f>'raw data Crude oil'!AE2789</f>
        <v>0</v>
      </c>
      <c r="AF2788">
        <f>'raw data Crude oil'!AF2789</f>
        <v>0</v>
      </c>
      <c r="AG2788">
        <f>'raw data Crude oil'!AG2789</f>
        <v>0</v>
      </c>
      <c r="AH2788">
        <f>'raw data Crude oil'!AH2789</f>
        <v>0</v>
      </c>
      <c r="AI2788">
        <f>'raw data Crude oil'!AI2789</f>
        <v>0</v>
      </c>
      <c r="AJ2788">
        <f>'raw data Crude oil'!AJ2789</f>
        <v>0</v>
      </c>
      <c r="AK2788">
        <f>'raw data Crude oil'!AK2789</f>
        <v>0</v>
      </c>
    </row>
    <row r="2789" spans="1:37" x14ac:dyDescent="0.3">
      <c r="A2789" s="18">
        <f>'raw data Crude oil'!A2790</f>
        <v>0</v>
      </c>
      <c r="B2789">
        <f>'raw data Crude oil'!B2790</f>
        <v>0</v>
      </c>
      <c r="C2789">
        <f>'raw data Crude oil'!C2790</f>
        <v>0</v>
      </c>
      <c r="D2789">
        <f>'raw data Crude oil'!D2790</f>
        <v>0</v>
      </c>
      <c r="E2789">
        <f>'raw data Crude oil'!E2790</f>
        <v>0</v>
      </c>
      <c r="F2789">
        <f>'raw data Crude oil'!F2790</f>
        <v>0</v>
      </c>
      <c r="G2789">
        <f>'raw data Crude oil'!G2790</f>
        <v>0</v>
      </c>
      <c r="H2789">
        <f>'raw data Crude oil'!H2790</f>
        <v>0</v>
      </c>
      <c r="I2789">
        <f>'raw data Crude oil'!I2790</f>
        <v>0</v>
      </c>
      <c r="J2789">
        <f>'raw data Crude oil'!J2790</f>
        <v>0</v>
      </c>
      <c r="K2789">
        <f>'raw data Crude oil'!K2790</f>
        <v>0</v>
      </c>
      <c r="L2789">
        <f>'raw data Crude oil'!L2790</f>
        <v>0</v>
      </c>
      <c r="M2789">
        <f>'raw data Crude oil'!M2790</f>
        <v>0</v>
      </c>
      <c r="N2789">
        <f>'raw data Crude oil'!N2790</f>
        <v>0</v>
      </c>
      <c r="O2789">
        <f>'raw data Crude oil'!O2790</f>
        <v>0</v>
      </c>
      <c r="P2789">
        <f>'raw data Crude oil'!P2790</f>
        <v>0</v>
      </c>
      <c r="Q2789">
        <f>'raw data Crude oil'!Q2790</f>
        <v>0</v>
      </c>
      <c r="R2789">
        <f>'raw data Crude oil'!R2790</f>
        <v>0</v>
      </c>
      <c r="S2789">
        <f>'raw data Crude oil'!S2790</f>
        <v>0</v>
      </c>
      <c r="T2789">
        <f>'raw data Crude oil'!T2790</f>
        <v>0</v>
      </c>
      <c r="U2789">
        <f>'raw data Crude oil'!U2790</f>
        <v>0</v>
      </c>
      <c r="V2789">
        <f>'raw data Crude oil'!V2790</f>
        <v>0</v>
      </c>
      <c r="W2789">
        <f>'raw data Crude oil'!W2790</f>
        <v>0</v>
      </c>
      <c r="X2789">
        <f>'raw data Crude oil'!X2790</f>
        <v>0</v>
      </c>
      <c r="Y2789">
        <f>'raw data Crude oil'!Y2790</f>
        <v>0</v>
      </c>
      <c r="Z2789">
        <f>'raw data Crude oil'!Z2790</f>
        <v>0</v>
      </c>
      <c r="AA2789">
        <f>'raw data Crude oil'!AA2790</f>
        <v>0</v>
      </c>
      <c r="AB2789">
        <f>'raw data Crude oil'!AB2790</f>
        <v>0</v>
      </c>
      <c r="AC2789">
        <f>'raw data Crude oil'!AC2790</f>
        <v>0</v>
      </c>
      <c r="AD2789">
        <f>'raw data Crude oil'!AD2790</f>
        <v>0</v>
      </c>
      <c r="AE2789">
        <f>'raw data Crude oil'!AE2790</f>
        <v>0</v>
      </c>
      <c r="AF2789">
        <f>'raw data Crude oil'!AF2790</f>
        <v>0</v>
      </c>
      <c r="AG2789">
        <f>'raw data Crude oil'!AG2790</f>
        <v>0</v>
      </c>
      <c r="AH2789">
        <f>'raw data Crude oil'!AH2790</f>
        <v>0</v>
      </c>
      <c r="AI2789">
        <f>'raw data Crude oil'!AI2790</f>
        <v>0</v>
      </c>
      <c r="AJ2789">
        <f>'raw data Crude oil'!AJ2790</f>
        <v>0</v>
      </c>
      <c r="AK2789">
        <f>'raw data Crude oil'!AK2790</f>
        <v>0</v>
      </c>
    </row>
    <row r="2790" spans="1:37" x14ac:dyDescent="0.3">
      <c r="A2790" s="18">
        <f>'raw data Crude oil'!A2791</f>
        <v>0</v>
      </c>
      <c r="B2790">
        <f>'raw data Crude oil'!B2791</f>
        <v>0</v>
      </c>
      <c r="C2790">
        <f>'raw data Crude oil'!C2791</f>
        <v>0</v>
      </c>
      <c r="D2790">
        <f>'raw data Crude oil'!D2791</f>
        <v>0</v>
      </c>
      <c r="E2790">
        <f>'raw data Crude oil'!E2791</f>
        <v>0</v>
      </c>
      <c r="F2790">
        <f>'raw data Crude oil'!F2791</f>
        <v>0</v>
      </c>
      <c r="G2790">
        <f>'raw data Crude oil'!G2791</f>
        <v>0</v>
      </c>
      <c r="H2790">
        <f>'raw data Crude oil'!H2791</f>
        <v>0</v>
      </c>
      <c r="I2790">
        <f>'raw data Crude oil'!I2791</f>
        <v>0</v>
      </c>
      <c r="J2790">
        <f>'raw data Crude oil'!J2791</f>
        <v>0</v>
      </c>
      <c r="K2790">
        <f>'raw data Crude oil'!K2791</f>
        <v>0</v>
      </c>
      <c r="L2790">
        <f>'raw data Crude oil'!L2791</f>
        <v>0</v>
      </c>
      <c r="M2790">
        <f>'raw data Crude oil'!M2791</f>
        <v>0</v>
      </c>
      <c r="N2790">
        <f>'raw data Crude oil'!N2791</f>
        <v>0</v>
      </c>
      <c r="O2790">
        <f>'raw data Crude oil'!O2791</f>
        <v>0</v>
      </c>
      <c r="P2790">
        <f>'raw data Crude oil'!P2791</f>
        <v>0</v>
      </c>
      <c r="Q2790">
        <f>'raw data Crude oil'!Q2791</f>
        <v>0</v>
      </c>
      <c r="R2790">
        <f>'raw data Crude oil'!R2791</f>
        <v>0</v>
      </c>
      <c r="S2790">
        <f>'raw data Crude oil'!S2791</f>
        <v>0</v>
      </c>
      <c r="T2790">
        <f>'raw data Crude oil'!T2791</f>
        <v>0</v>
      </c>
      <c r="U2790">
        <f>'raw data Crude oil'!U2791</f>
        <v>0</v>
      </c>
      <c r="V2790">
        <f>'raw data Crude oil'!V2791</f>
        <v>0</v>
      </c>
      <c r="W2790">
        <f>'raw data Crude oil'!W2791</f>
        <v>0</v>
      </c>
      <c r="X2790">
        <f>'raw data Crude oil'!X2791</f>
        <v>0</v>
      </c>
      <c r="Y2790">
        <f>'raw data Crude oil'!Y2791</f>
        <v>0</v>
      </c>
      <c r="Z2790">
        <f>'raw data Crude oil'!Z2791</f>
        <v>0</v>
      </c>
      <c r="AA2790">
        <f>'raw data Crude oil'!AA2791</f>
        <v>0</v>
      </c>
      <c r="AB2790">
        <f>'raw data Crude oil'!AB2791</f>
        <v>0</v>
      </c>
      <c r="AC2790">
        <f>'raw data Crude oil'!AC2791</f>
        <v>0</v>
      </c>
      <c r="AD2790">
        <f>'raw data Crude oil'!AD2791</f>
        <v>0</v>
      </c>
      <c r="AE2790">
        <f>'raw data Crude oil'!AE2791</f>
        <v>0</v>
      </c>
      <c r="AF2790">
        <f>'raw data Crude oil'!AF2791</f>
        <v>0</v>
      </c>
      <c r="AG2790">
        <f>'raw data Crude oil'!AG2791</f>
        <v>0</v>
      </c>
      <c r="AH2790">
        <f>'raw data Crude oil'!AH2791</f>
        <v>0</v>
      </c>
      <c r="AI2790">
        <f>'raw data Crude oil'!AI2791</f>
        <v>0</v>
      </c>
      <c r="AJ2790">
        <f>'raw data Crude oil'!AJ2791</f>
        <v>0</v>
      </c>
      <c r="AK2790">
        <f>'raw data Crude oil'!AK2791</f>
        <v>0</v>
      </c>
    </row>
    <row r="2791" spans="1:37" x14ac:dyDescent="0.3">
      <c r="A2791" s="18">
        <f>'raw data Crude oil'!A2792</f>
        <v>0</v>
      </c>
      <c r="B2791">
        <f>'raw data Crude oil'!B2792</f>
        <v>0</v>
      </c>
      <c r="C2791">
        <f>'raw data Crude oil'!C2792</f>
        <v>0</v>
      </c>
      <c r="D2791">
        <f>'raw data Crude oil'!D2792</f>
        <v>0</v>
      </c>
      <c r="E2791">
        <f>'raw data Crude oil'!E2792</f>
        <v>0</v>
      </c>
      <c r="F2791">
        <f>'raw data Crude oil'!F2792</f>
        <v>0</v>
      </c>
      <c r="G2791">
        <f>'raw data Crude oil'!G2792</f>
        <v>0</v>
      </c>
      <c r="H2791">
        <f>'raw data Crude oil'!H2792</f>
        <v>0</v>
      </c>
      <c r="I2791">
        <f>'raw data Crude oil'!I2792</f>
        <v>0</v>
      </c>
      <c r="J2791">
        <f>'raw data Crude oil'!J2792</f>
        <v>0</v>
      </c>
      <c r="K2791">
        <f>'raw data Crude oil'!K2792</f>
        <v>0</v>
      </c>
      <c r="L2791">
        <f>'raw data Crude oil'!L2792</f>
        <v>0</v>
      </c>
      <c r="M2791">
        <f>'raw data Crude oil'!M2792</f>
        <v>0</v>
      </c>
      <c r="N2791">
        <f>'raw data Crude oil'!N2792</f>
        <v>0</v>
      </c>
      <c r="O2791">
        <f>'raw data Crude oil'!O2792</f>
        <v>0</v>
      </c>
      <c r="P2791">
        <f>'raw data Crude oil'!P2792</f>
        <v>0</v>
      </c>
      <c r="Q2791">
        <f>'raw data Crude oil'!Q2792</f>
        <v>0</v>
      </c>
      <c r="R2791">
        <f>'raw data Crude oil'!R2792</f>
        <v>0</v>
      </c>
      <c r="S2791">
        <f>'raw data Crude oil'!S2792</f>
        <v>0</v>
      </c>
      <c r="T2791">
        <f>'raw data Crude oil'!T2792</f>
        <v>0</v>
      </c>
      <c r="U2791">
        <f>'raw data Crude oil'!U2792</f>
        <v>0</v>
      </c>
      <c r="V2791">
        <f>'raw data Crude oil'!V2792</f>
        <v>0</v>
      </c>
      <c r="W2791">
        <f>'raw data Crude oil'!W2792</f>
        <v>0</v>
      </c>
      <c r="X2791">
        <f>'raw data Crude oil'!X2792</f>
        <v>0</v>
      </c>
      <c r="Y2791">
        <f>'raw data Crude oil'!Y2792</f>
        <v>0</v>
      </c>
      <c r="Z2791">
        <f>'raw data Crude oil'!Z2792</f>
        <v>0</v>
      </c>
      <c r="AA2791">
        <f>'raw data Crude oil'!AA2792</f>
        <v>0</v>
      </c>
      <c r="AB2791">
        <f>'raw data Crude oil'!AB2792</f>
        <v>0</v>
      </c>
      <c r="AC2791">
        <f>'raw data Crude oil'!AC2792</f>
        <v>0</v>
      </c>
      <c r="AD2791">
        <f>'raw data Crude oil'!AD2792</f>
        <v>0</v>
      </c>
      <c r="AE2791">
        <f>'raw data Crude oil'!AE2792</f>
        <v>0</v>
      </c>
      <c r="AF2791">
        <f>'raw data Crude oil'!AF2792</f>
        <v>0</v>
      </c>
      <c r="AG2791">
        <f>'raw data Crude oil'!AG2792</f>
        <v>0</v>
      </c>
      <c r="AH2791">
        <f>'raw data Crude oil'!AH2792</f>
        <v>0</v>
      </c>
      <c r="AI2791">
        <f>'raw data Crude oil'!AI2792</f>
        <v>0</v>
      </c>
      <c r="AJ2791">
        <f>'raw data Crude oil'!AJ2792</f>
        <v>0</v>
      </c>
      <c r="AK2791">
        <f>'raw data Crude oil'!AK2792</f>
        <v>0</v>
      </c>
    </row>
    <row r="2792" spans="1:37" x14ac:dyDescent="0.3">
      <c r="A2792" s="18">
        <f>'raw data Crude oil'!A2793</f>
        <v>0</v>
      </c>
      <c r="B2792">
        <f>'raw data Crude oil'!B2793</f>
        <v>0</v>
      </c>
      <c r="C2792">
        <f>'raw data Crude oil'!C2793</f>
        <v>0</v>
      </c>
      <c r="D2792">
        <f>'raw data Crude oil'!D2793</f>
        <v>0</v>
      </c>
      <c r="E2792">
        <f>'raw data Crude oil'!E2793</f>
        <v>0</v>
      </c>
      <c r="F2792">
        <f>'raw data Crude oil'!F2793</f>
        <v>0</v>
      </c>
      <c r="G2792">
        <f>'raw data Crude oil'!G2793</f>
        <v>0</v>
      </c>
      <c r="H2792">
        <f>'raw data Crude oil'!H2793</f>
        <v>0</v>
      </c>
      <c r="I2792">
        <f>'raw data Crude oil'!I2793</f>
        <v>0</v>
      </c>
      <c r="J2792">
        <f>'raw data Crude oil'!J2793</f>
        <v>0</v>
      </c>
      <c r="K2792">
        <f>'raw data Crude oil'!K2793</f>
        <v>0</v>
      </c>
      <c r="L2792">
        <f>'raw data Crude oil'!L2793</f>
        <v>0</v>
      </c>
      <c r="M2792">
        <f>'raw data Crude oil'!M2793</f>
        <v>0</v>
      </c>
      <c r="N2792">
        <f>'raw data Crude oil'!N2793</f>
        <v>0</v>
      </c>
      <c r="O2792">
        <f>'raw data Crude oil'!O2793</f>
        <v>0</v>
      </c>
      <c r="P2792">
        <f>'raw data Crude oil'!P2793</f>
        <v>0</v>
      </c>
      <c r="Q2792">
        <f>'raw data Crude oil'!Q2793</f>
        <v>0</v>
      </c>
      <c r="R2792">
        <f>'raw data Crude oil'!R2793</f>
        <v>0</v>
      </c>
      <c r="S2792">
        <f>'raw data Crude oil'!S2793</f>
        <v>0</v>
      </c>
      <c r="T2792">
        <f>'raw data Crude oil'!T2793</f>
        <v>0</v>
      </c>
      <c r="U2792">
        <f>'raw data Crude oil'!U2793</f>
        <v>0</v>
      </c>
      <c r="V2792">
        <f>'raw data Crude oil'!V2793</f>
        <v>0</v>
      </c>
      <c r="W2792">
        <f>'raw data Crude oil'!W2793</f>
        <v>0</v>
      </c>
      <c r="X2792">
        <f>'raw data Crude oil'!X2793</f>
        <v>0</v>
      </c>
      <c r="Y2792">
        <f>'raw data Crude oil'!Y2793</f>
        <v>0</v>
      </c>
      <c r="Z2792">
        <f>'raw data Crude oil'!Z2793</f>
        <v>0</v>
      </c>
      <c r="AA2792">
        <f>'raw data Crude oil'!AA2793</f>
        <v>0</v>
      </c>
      <c r="AB2792">
        <f>'raw data Crude oil'!AB2793</f>
        <v>0</v>
      </c>
      <c r="AC2792">
        <f>'raw data Crude oil'!AC2793</f>
        <v>0</v>
      </c>
      <c r="AD2792">
        <f>'raw data Crude oil'!AD2793</f>
        <v>0</v>
      </c>
      <c r="AE2792">
        <f>'raw data Crude oil'!AE2793</f>
        <v>0</v>
      </c>
      <c r="AF2792">
        <f>'raw data Crude oil'!AF2793</f>
        <v>0</v>
      </c>
      <c r="AG2792">
        <f>'raw data Crude oil'!AG2793</f>
        <v>0</v>
      </c>
      <c r="AH2792">
        <f>'raw data Crude oil'!AH2793</f>
        <v>0</v>
      </c>
      <c r="AI2792">
        <f>'raw data Crude oil'!AI2793</f>
        <v>0</v>
      </c>
      <c r="AJ2792">
        <f>'raw data Crude oil'!AJ2793</f>
        <v>0</v>
      </c>
      <c r="AK2792">
        <f>'raw data Crude oil'!AK2793</f>
        <v>0</v>
      </c>
    </row>
    <row r="2793" spans="1:37" x14ac:dyDescent="0.3">
      <c r="A2793" s="18">
        <f>'raw data Crude oil'!A2794</f>
        <v>0</v>
      </c>
      <c r="B2793">
        <f>'raw data Crude oil'!B2794</f>
        <v>0</v>
      </c>
      <c r="C2793">
        <f>'raw data Crude oil'!C2794</f>
        <v>0</v>
      </c>
      <c r="D2793">
        <f>'raw data Crude oil'!D2794</f>
        <v>0</v>
      </c>
      <c r="E2793">
        <f>'raw data Crude oil'!E2794</f>
        <v>0</v>
      </c>
      <c r="F2793">
        <f>'raw data Crude oil'!F2794</f>
        <v>0</v>
      </c>
      <c r="G2793">
        <f>'raw data Crude oil'!G2794</f>
        <v>0</v>
      </c>
      <c r="H2793">
        <f>'raw data Crude oil'!H2794</f>
        <v>0</v>
      </c>
      <c r="I2793">
        <f>'raw data Crude oil'!I2794</f>
        <v>0</v>
      </c>
      <c r="J2793">
        <f>'raw data Crude oil'!J2794</f>
        <v>0</v>
      </c>
      <c r="K2793">
        <f>'raw data Crude oil'!K2794</f>
        <v>0</v>
      </c>
      <c r="L2793">
        <f>'raw data Crude oil'!L2794</f>
        <v>0</v>
      </c>
      <c r="M2793">
        <f>'raw data Crude oil'!M2794</f>
        <v>0</v>
      </c>
      <c r="N2793">
        <f>'raw data Crude oil'!N2794</f>
        <v>0</v>
      </c>
      <c r="O2793">
        <f>'raw data Crude oil'!O2794</f>
        <v>0</v>
      </c>
      <c r="P2793">
        <f>'raw data Crude oil'!P2794</f>
        <v>0</v>
      </c>
      <c r="Q2793">
        <f>'raw data Crude oil'!Q2794</f>
        <v>0</v>
      </c>
      <c r="R2793">
        <f>'raw data Crude oil'!R2794</f>
        <v>0</v>
      </c>
      <c r="S2793">
        <f>'raw data Crude oil'!S2794</f>
        <v>0</v>
      </c>
      <c r="T2793">
        <f>'raw data Crude oil'!T2794</f>
        <v>0</v>
      </c>
      <c r="U2793">
        <f>'raw data Crude oil'!U2794</f>
        <v>0</v>
      </c>
      <c r="V2793">
        <f>'raw data Crude oil'!V2794</f>
        <v>0</v>
      </c>
      <c r="W2793">
        <f>'raw data Crude oil'!W2794</f>
        <v>0</v>
      </c>
      <c r="X2793">
        <f>'raw data Crude oil'!X2794</f>
        <v>0</v>
      </c>
      <c r="Y2793">
        <f>'raw data Crude oil'!Y2794</f>
        <v>0</v>
      </c>
      <c r="Z2793">
        <f>'raw data Crude oil'!Z2794</f>
        <v>0</v>
      </c>
      <c r="AA2793">
        <f>'raw data Crude oil'!AA2794</f>
        <v>0</v>
      </c>
      <c r="AB2793">
        <f>'raw data Crude oil'!AB2794</f>
        <v>0</v>
      </c>
      <c r="AC2793">
        <f>'raw data Crude oil'!AC2794</f>
        <v>0</v>
      </c>
      <c r="AD2793">
        <f>'raw data Crude oil'!AD2794</f>
        <v>0</v>
      </c>
      <c r="AE2793">
        <f>'raw data Crude oil'!AE2794</f>
        <v>0</v>
      </c>
      <c r="AF2793">
        <f>'raw data Crude oil'!AF2794</f>
        <v>0</v>
      </c>
      <c r="AG2793">
        <f>'raw data Crude oil'!AG2794</f>
        <v>0</v>
      </c>
      <c r="AH2793">
        <f>'raw data Crude oil'!AH2794</f>
        <v>0</v>
      </c>
      <c r="AI2793">
        <f>'raw data Crude oil'!AI2794</f>
        <v>0</v>
      </c>
      <c r="AJ2793">
        <f>'raw data Crude oil'!AJ2794</f>
        <v>0</v>
      </c>
      <c r="AK2793">
        <f>'raw data Crude oil'!AK2794</f>
        <v>0</v>
      </c>
    </row>
    <row r="2794" spans="1:37" x14ac:dyDescent="0.3">
      <c r="A2794" s="18">
        <f>'raw data Crude oil'!A2795</f>
        <v>0</v>
      </c>
      <c r="B2794">
        <f>'raw data Crude oil'!B2795</f>
        <v>0</v>
      </c>
      <c r="C2794">
        <f>'raw data Crude oil'!C2795</f>
        <v>0</v>
      </c>
      <c r="D2794">
        <f>'raw data Crude oil'!D2795</f>
        <v>0</v>
      </c>
      <c r="E2794">
        <f>'raw data Crude oil'!E2795</f>
        <v>0</v>
      </c>
      <c r="F2794">
        <f>'raw data Crude oil'!F2795</f>
        <v>0</v>
      </c>
      <c r="G2794">
        <f>'raw data Crude oil'!G2795</f>
        <v>0</v>
      </c>
      <c r="H2794">
        <f>'raw data Crude oil'!H2795</f>
        <v>0</v>
      </c>
      <c r="I2794">
        <f>'raw data Crude oil'!I2795</f>
        <v>0</v>
      </c>
      <c r="J2794">
        <f>'raw data Crude oil'!J2795</f>
        <v>0</v>
      </c>
      <c r="K2794">
        <f>'raw data Crude oil'!K2795</f>
        <v>0</v>
      </c>
      <c r="L2794">
        <f>'raw data Crude oil'!L2795</f>
        <v>0</v>
      </c>
      <c r="M2794">
        <f>'raw data Crude oil'!M2795</f>
        <v>0</v>
      </c>
      <c r="N2794">
        <f>'raw data Crude oil'!N2795</f>
        <v>0</v>
      </c>
      <c r="O2794">
        <f>'raw data Crude oil'!O2795</f>
        <v>0</v>
      </c>
      <c r="P2794">
        <f>'raw data Crude oil'!P2795</f>
        <v>0</v>
      </c>
      <c r="Q2794">
        <f>'raw data Crude oil'!Q2795</f>
        <v>0</v>
      </c>
      <c r="R2794">
        <f>'raw data Crude oil'!R2795</f>
        <v>0</v>
      </c>
      <c r="S2794">
        <f>'raw data Crude oil'!S2795</f>
        <v>0</v>
      </c>
      <c r="T2794">
        <f>'raw data Crude oil'!T2795</f>
        <v>0</v>
      </c>
      <c r="U2794">
        <f>'raw data Crude oil'!U2795</f>
        <v>0</v>
      </c>
      <c r="V2794">
        <f>'raw data Crude oil'!V2795</f>
        <v>0</v>
      </c>
      <c r="W2794">
        <f>'raw data Crude oil'!W2795</f>
        <v>0</v>
      </c>
      <c r="X2794">
        <f>'raw data Crude oil'!X2795</f>
        <v>0</v>
      </c>
      <c r="Y2794">
        <f>'raw data Crude oil'!Y2795</f>
        <v>0</v>
      </c>
      <c r="Z2794">
        <f>'raw data Crude oil'!Z2795</f>
        <v>0</v>
      </c>
      <c r="AA2794">
        <f>'raw data Crude oil'!AA2795</f>
        <v>0</v>
      </c>
      <c r="AB2794">
        <f>'raw data Crude oil'!AB2795</f>
        <v>0</v>
      </c>
      <c r="AC2794">
        <f>'raw data Crude oil'!AC2795</f>
        <v>0</v>
      </c>
      <c r="AD2794">
        <f>'raw data Crude oil'!AD2795</f>
        <v>0</v>
      </c>
      <c r="AE2794">
        <f>'raw data Crude oil'!AE2795</f>
        <v>0</v>
      </c>
      <c r="AF2794">
        <f>'raw data Crude oil'!AF2795</f>
        <v>0</v>
      </c>
      <c r="AG2794">
        <f>'raw data Crude oil'!AG2795</f>
        <v>0</v>
      </c>
      <c r="AH2794">
        <f>'raw data Crude oil'!AH2795</f>
        <v>0</v>
      </c>
      <c r="AI2794">
        <f>'raw data Crude oil'!AI2795</f>
        <v>0</v>
      </c>
      <c r="AJ2794">
        <f>'raw data Crude oil'!AJ2795</f>
        <v>0</v>
      </c>
      <c r="AK2794">
        <f>'raw data Crude oil'!AK2795</f>
        <v>0</v>
      </c>
    </row>
    <row r="2795" spans="1:37" x14ac:dyDescent="0.3">
      <c r="A2795" s="18">
        <f>'raw data Crude oil'!A2796</f>
        <v>0</v>
      </c>
      <c r="B2795">
        <f>'raw data Crude oil'!B2796</f>
        <v>0</v>
      </c>
      <c r="C2795">
        <f>'raw data Crude oil'!C2796</f>
        <v>0</v>
      </c>
      <c r="D2795">
        <f>'raw data Crude oil'!D2796</f>
        <v>0</v>
      </c>
      <c r="E2795">
        <f>'raw data Crude oil'!E2796</f>
        <v>0</v>
      </c>
      <c r="F2795">
        <f>'raw data Crude oil'!F2796</f>
        <v>0</v>
      </c>
      <c r="G2795">
        <f>'raw data Crude oil'!G2796</f>
        <v>0</v>
      </c>
      <c r="H2795">
        <f>'raw data Crude oil'!H2796</f>
        <v>0</v>
      </c>
      <c r="I2795">
        <f>'raw data Crude oil'!I2796</f>
        <v>0</v>
      </c>
      <c r="J2795">
        <f>'raw data Crude oil'!J2796</f>
        <v>0</v>
      </c>
      <c r="K2795">
        <f>'raw data Crude oil'!K2796</f>
        <v>0</v>
      </c>
      <c r="L2795">
        <f>'raw data Crude oil'!L2796</f>
        <v>0</v>
      </c>
      <c r="M2795">
        <f>'raw data Crude oil'!M2796</f>
        <v>0</v>
      </c>
      <c r="N2795">
        <f>'raw data Crude oil'!N2796</f>
        <v>0</v>
      </c>
      <c r="O2795">
        <f>'raw data Crude oil'!O2796</f>
        <v>0</v>
      </c>
      <c r="P2795">
        <f>'raw data Crude oil'!P2796</f>
        <v>0</v>
      </c>
      <c r="Q2795">
        <f>'raw data Crude oil'!Q2796</f>
        <v>0</v>
      </c>
      <c r="R2795">
        <f>'raw data Crude oil'!R2796</f>
        <v>0</v>
      </c>
      <c r="S2795">
        <f>'raw data Crude oil'!S2796</f>
        <v>0</v>
      </c>
      <c r="T2795">
        <f>'raw data Crude oil'!T2796</f>
        <v>0</v>
      </c>
      <c r="U2795">
        <f>'raw data Crude oil'!U2796</f>
        <v>0</v>
      </c>
      <c r="V2795">
        <f>'raw data Crude oil'!V2796</f>
        <v>0</v>
      </c>
      <c r="W2795">
        <f>'raw data Crude oil'!W2796</f>
        <v>0</v>
      </c>
      <c r="X2795">
        <f>'raw data Crude oil'!X2796</f>
        <v>0</v>
      </c>
      <c r="Y2795">
        <f>'raw data Crude oil'!Y2796</f>
        <v>0</v>
      </c>
      <c r="Z2795">
        <f>'raw data Crude oil'!Z2796</f>
        <v>0</v>
      </c>
      <c r="AA2795">
        <f>'raw data Crude oil'!AA2796</f>
        <v>0</v>
      </c>
      <c r="AB2795">
        <f>'raw data Crude oil'!AB2796</f>
        <v>0</v>
      </c>
      <c r="AC2795">
        <f>'raw data Crude oil'!AC2796</f>
        <v>0</v>
      </c>
      <c r="AD2795">
        <f>'raw data Crude oil'!AD2796</f>
        <v>0</v>
      </c>
      <c r="AE2795">
        <f>'raw data Crude oil'!AE2796</f>
        <v>0</v>
      </c>
      <c r="AF2795">
        <f>'raw data Crude oil'!AF2796</f>
        <v>0</v>
      </c>
      <c r="AG2795">
        <f>'raw data Crude oil'!AG2796</f>
        <v>0</v>
      </c>
      <c r="AH2795">
        <f>'raw data Crude oil'!AH2796</f>
        <v>0</v>
      </c>
      <c r="AI2795">
        <f>'raw data Crude oil'!AI2796</f>
        <v>0</v>
      </c>
      <c r="AJ2795">
        <f>'raw data Crude oil'!AJ2796</f>
        <v>0</v>
      </c>
      <c r="AK2795">
        <f>'raw data Crude oil'!AK2796</f>
        <v>0</v>
      </c>
    </row>
    <row r="2796" spans="1:37" x14ac:dyDescent="0.3">
      <c r="A2796" s="18">
        <f>'raw data Crude oil'!A2797</f>
        <v>0</v>
      </c>
      <c r="B2796">
        <f>'raw data Crude oil'!B2797</f>
        <v>0</v>
      </c>
      <c r="C2796">
        <f>'raw data Crude oil'!C2797</f>
        <v>0</v>
      </c>
      <c r="D2796">
        <f>'raw data Crude oil'!D2797</f>
        <v>0</v>
      </c>
      <c r="E2796">
        <f>'raw data Crude oil'!E2797</f>
        <v>0</v>
      </c>
      <c r="F2796">
        <f>'raw data Crude oil'!F2797</f>
        <v>0</v>
      </c>
      <c r="G2796">
        <f>'raw data Crude oil'!G2797</f>
        <v>0</v>
      </c>
      <c r="H2796">
        <f>'raw data Crude oil'!H2797</f>
        <v>0</v>
      </c>
      <c r="I2796">
        <f>'raw data Crude oil'!I2797</f>
        <v>0</v>
      </c>
      <c r="J2796">
        <f>'raw data Crude oil'!J2797</f>
        <v>0</v>
      </c>
      <c r="K2796">
        <f>'raw data Crude oil'!K2797</f>
        <v>0</v>
      </c>
      <c r="L2796">
        <f>'raw data Crude oil'!L2797</f>
        <v>0</v>
      </c>
      <c r="M2796">
        <f>'raw data Crude oil'!M2797</f>
        <v>0</v>
      </c>
      <c r="N2796">
        <f>'raw data Crude oil'!N2797</f>
        <v>0</v>
      </c>
      <c r="O2796">
        <f>'raw data Crude oil'!O2797</f>
        <v>0</v>
      </c>
      <c r="P2796">
        <f>'raw data Crude oil'!P2797</f>
        <v>0</v>
      </c>
      <c r="Q2796">
        <f>'raw data Crude oil'!Q2797</f>
        <v>0</v>
      </c>
      <c r="R2796">
        <f>'raw data Crude oil'!R2797</f>
        <v>0</v>
      </c>
      <c r="S2796">
        <f>'raw data Crude oil'!S2797</f>
        <v>0</v>
      </c>
      <c r="T2796">
        <f>'raw data Crude oil'!T2797</f>
        <v>0</v>
      </c>
      <c r="U2796">
        <f>'raw data Crude oil'!U2797</f>
        <v>0</v>
      </c>
      <c r="V2796">
        <f>'raw data Crude oil'!V2797</f>
        <v>0</v>
      </c>
      <c r="W2796">
        <f>'raw data Crude oil'!W2797</f>
        <v>0</v>
      </c>
      <c r="X2796">
        <f>'raw data Crude oil'!X2797</f>
        <v>0</v>
      </c>
      <c r="Y2796">
        <f>'raw data Crude oil'!Y2797</f>
        <v>0</v>
      </c>
      <c r="Z2796">
        <f>'raw data Crude oil'!Z2797</f>
        <v>0</v>
      </c>
      <c r="AA2796">
        <f>'raw data Crude oil'!AA2797</f>
        <v>0</v>
      </c>
      <c r="AB2796">
        <f>'raw data Crude oil'!AB2797</f>
        <v>0</v>
      </c>
      <c r="AC2796">
        <f>'raw data Crude oil'!AC2797</f>
        <v>0</v>
      </c>
      <c r="AD2796">
        <f>'raw data Crude oil'!AD2797</f>
        <v>0</v>
      </c>
      <c r="AE2796">
        <f>'raw data Crude oil'!AE2797</f>
        <v>0</v>
      </c>
      <c r="AF2796">
        <f>'raw data Crude oil'!AF2797</f>
        <v>0</v>
      </c>
      <c r="AG2796">
        <f>'raw data Crude oil'!AG2797</f>
        <v>0</v>
      </c>
      <c r="AH2796">
        <f>'raw data Crude oil'!AH2797</f>
        <v>0</v>
      </c>
      <c r="AI2796">
        <f>'raw data Crude oil'!AI2797</f>
        <v>0</v>
      </c>
      <c r="AJ2796">
        <f>'raw data Crude oil'!AJ2797</f>
        <v>0</v>
      </c>
      <c r="AK2796">
        <f>'raw data Crude oil'!AK2797</f>
        <v>0</v>
      </c>
    </row>
    <row r="2797" spans="1:37" x14ac:dyDescent="0.3">
      <c r="A2797" s="18">
        <f>'raw data Crude oil'!A2798</f>
        <v>0</v>
      </c>
      <c r="B2797">
        <f>'raw data Crude oil'!B2798</f>
        <v>0</v>
      </c>
      <c r="C2797">
        <f>'raw data Crude oil'!C2798</f>
        <v>0</v>
      </c>
      <c r="D2797">
        <f>'raw data Crude oil'!D2798</f>
        <v>0</v>
      </c>
      <c r="E2797">
        <f>'raw data Crude oil'!E2798</f>
        <v>0</v>
      </c>
      <c r="F2797">
        <f>'raw data Crude oil'!F2798</f>
        <v>0</v>
      </c>
      <c r="G2797">
        <f>'raw data Crude oil'!G2798</f>
        <v>0</v>
      </c>
      <c r="H2797">
        <f>'raw data Crude oil'!H2798</f>
        <v>0</v>
      </c>
      <c r="I2797">
        <f>'raw data Crude oil'!I2798</f>
        <v>0</v>
      </c>
      <c r="J2797">
        <f>'raw data Crude oil'!J2798</f>
        <v>0</v>
      </c>
      <c r="K2797">
        <f>'raw data Crude oil'!K2798</f>
        <v>0</v>
      </c>
      <c r="L2797">
        <f>'raw data Crude oil'!L2798</f>
        <v>0</v>
      </c>
      <c r="M2797">
        <f>'raw data Crude oil'!M2798</f>
        <v>0</v>
      </c>
      <c r="N2797">
        <f>'raw data Crude oil'!N2798</f>
        <v>0</v>
      </c>
      <c r="O2797">
        <f>'raw data Crude oil'!O2798</f>
        <v>0</v>
      </c>
      <c r="P2797">
        <f>'raw data Crude oil'!P2798</f>
        <v>0</v>
      </c>
      <c r="Q2797">
        <f>'raw data Crude oil'!Q2798</f>
        <v>0</v>
      </c>
      <c r="R2797">
        <f>'raw data Crude oil'!R2798</f>
        <v>0</v>
      </c>
      <c r="S2797">
        <f>'raw data Crude oil'!S2798</f>
        <v>0</v>
      </c>
      <c r="T2797">
        <f>'raw data Crude oil'!T2798</f>
        <v>0</v>
      </c>
      <c r="U2797">
        <f>'raw data Crude oil'!U2798</f>
        <v>0</v>
      </c>
      <c r="V2797">
        <f>'raw data Crude oil'!V2798</f>
        <v>0</v>
      </c>
      <c r="W2797">
        <f>'raw data Crude oil'!W2798</f>
        <v>0</v>
      </c>
      <c r="X2797">
        <f>'raw data Crude oil'!X2798</f>
        <v>0</v>
      </c>
      <c r="Y2797">
        <f>'raw data Crude oil'!Y2798</f>
        <v>0</v>
      </c>
      <c r="Z2797">
        <f>'raw data Crude oil'!Z2798</f>
        <v>0</v>
      </c>
      <c r="AA2797">
        <f>'raw data Crude oil'!AA2798</f>
        <v>0</v>
      </c>
      <c r="AB2797">
        <f>'raw data Crude oil'!AB2798</f>
        <v>0</v>
      </c>
      <c r="AC2797">
        <f>'raw data Crude oil'!AC2798</f>
        <v>0</v>
      </c>
      <c r="AD2797">
        <f>'raw data Crude oil'!AD2798</f>
        <v>0</v>
      </c>
      <c r="AE2797">
        <f>'raw data Crude oil'!AE2798</f>
        <v>0</v>
      </c>
      <c r="AF2797">
        <f>'raw data Crude oil'!AF2798</f>
        <v>0</v>
      </c>
      <c r="AG2797">
        <f>'raw data Crude oil'!AG2798</f>
        <v>0</v>
      </c>
      <c r="AH2797">
        <f>'raw data Crude oil'!AH2798</f>
        <v>0</v>
      </c>
      <c r="AI2797">
        <f>'raw data Crude oil'!AI2798</f>
        <v>0</v>
      </c>
      <c r="AJ2797">
        <f>'raw data Crude oil'!AJ2798</f>
        <v>0</v>
      </c>
      <c r="AK2797">
        <f>'raw data Crude oil'!AK2798</f>
        <v>0</v>
      </c>
    </row>
    <row r="2798" spans="1:37" x14ac:dyDescent="0.3">
      <c r="A2798" s="18">
        <f>'raw data Crude oil'!A2799</f>
        <v>0</v>
      </c>
      <c r="B2798">
        <f>'raw data Crude oil'!B2799</f>
        <v>0</v>
      </c>
      <c r="C2798">
        <f>'raw data Crude oil'!C2799</f>
        <v>0</v>
      </c>
      <c r="D2798">
        <f>'raw data Crude oil'!D2799</f>
        <v>0</v>
      </c>
      <c r="E2798">
        <f>'raw data Crude oil'!E2799</f>
        <v>0</v>
      </c>
      <c r="F2798">
        <f>'raw data Crude oil'!F2799</f>
        <v>0</v>
      </c>
      <c r="G2798">
        <f>'raw data Crude oil'!G2799</f>
        <v>0</v>
      </c>
      <c r="H2798">
        <f>'raw data Crude oil'!H2799</f>
        <v>0</v>
      </c>
      <c r="I2798">
        <f>'raw data Crude oil'!I2799</f>
        <v>0</v>
      </c>
      <c r="J2798">
        <f>'raw data Crude oil'!J2799</f>
        <v>0</v>
      </c>
      <c r="K2798">
        <f>'raw data Crude oil'!K2799</f>
        <v>0</v>
      </c>
      <c r="L2798">
        <f>'raw data Crude oil'!L2799</f>
        <v>0</v>
      </c>
      <c r="M2798">
        <f>'raw data Crude oil'!M2799</f>
        <v>0</v>
      </c>
      <c r="N2798">
        <f>'raw data Crude oil'!N2799</f>
        <v>0</v>
      </c>
      <c r="O2798">
        <f>'raw data Crude oil'!O2799</f>
        <v>0</v>
      </c>
      <c r="P2798">
        <f>'raw data Crude oil'!P2799</f>
        <v>0</v>
      </c>
      <c r="Q2798">
        <f>'raw data Crude oil'!Q2799</f>
        <v>0</v>
      </c>
      <c r="R2798">
        <f>'raw data Crude oil'!R2799</f>
        <v>0</v>
      </c>
      <c r="S2798">
        <f>'raw data Crude oil'!S2799</f>
        <v>0</v>
      </c>
      <c r="T2798">
        <f>'raw data Crude oil'!T2799</f>
        <v>0</v>
      </c>
      <c r="U2798">
        <f>'raw data Crude oil'!U2799</f>
        <v>0</v>
      </c>
      <c r="V2798">
        <f>'raw data Crude oil'!V2799</f>
        <v>0</v>
      </c>
      <c r="W2798">
        <f>'raw data Crude oil'!W2799</f>
        <v>0</v>
      </c>
      <c r="X2798">
        <f>'raw data Crude oil'!X2799</f>
        <v>0</v>
      </c>
      <c r="Y2798">
        <f>'raw data Crude oil'!Y2799</f>
        <v>0</v>
      </c>
      <c r="Z2798">
        <f>'raw data Crude oil'!Z2799</f>
        <v>0</v>
      </c>
      <c r="AA2798">
        <f>'raw data Crude oil'!AA2799</f>
        <v>0</v>
      </c>
      <c r="AB2798">
        <f>'raw data Crude oil'!AB2799</f>
        <v>0</v>
      </c>
      <c r="AC2798">
        <f>'raw data Crude oil'!AC2799</f>
        <v>0</v>
      </c>
      <c r="AD2798">
        <f>'raw data Crude oil'!AD2799</f>
        <v>0</v>
      </c>
      <c r="AE2798">
        <f>'raw data Crude oil'!AE2799</f>
        <v>0</v>
      </c>
      <c r="AF2798">
        <f>'raw data Crude oil'!AF2799</f>
        <v>0</v>
      </c>
      <c r="AG2798">
        <f>'raw data Crude oil'!AG2799</f>
        <v>0</v>
      </c>
      <c r="AH2798">
        <f>'raw data Crude oil'!AH2799</f>
        <v>0</v>
      </c>
      <c r="AI2798">
        <f>'raw data Crude oil'!AI2799</f>
        <v>0</v>
      </c>
      <c r="AJ2798">
        <f>'raw data Crude oil'!AJ2799</f>
        <v>0</v>
      </c>
      <c r="AK2798">
        <f>'raw data Crude oil'!AK2799</f>
        <v>0</v>
      </c>
    </row>
    <row r="2799" spans="1:37" x14ac:dyDescent="0.3">
      <c r="A2799" s="18">
        <f>'raw data Crude oil'!A2800</f>
        <v>0</v>
      </c>
      <c r="B2799">
        <f>'raw data Crude oil'!B2800</f>
        <v>0</v>
      </c>
      <c r="C2799">
        <f>'raw data Crude oil'!C2800</f>
        <v>0</v>
      </c>
      <c r="D2799">
        <f>'raw data Crude oil'!D2800</f>
        <v>0</v>
      </c>
      <c r="E2799">
        <f>'raw data Crude oil'!E2800</f>
        <v>0</v>
      </c>
      <c r="F2799">
        <f>'raw data Crude oil'!F2800</f>
        <v>0</v>
      </c>
      <c r="G2799">
        <f>'raw data Crude oil'!G2800</f>
        <v>0</v>
      </c>
      <c r="H2799">
        <f>'raw data Crude oil'!H2800</f>
        <v>0</v>
      </c>
      <c r="I2799">
        <f>'raw data Crude oil'!I2800</f>
        <v>0</v>
      </c>
      <c r="J2799">
        <f>'raw data Crude oil'!J2800</f>
        <v>0</v>
      </c>
      <c r="K2799">
        <f>'raw data Crude oil'!K2800</f>
        <v>0</v>
      </c>
      <c r="L2799">
        <f>'raw data Crude oil'!L2800</f>
        <v>0</v>
      </c>
      <c r="M2799">
        <f>'raw data Crude oil'!M2800</f>
        <v>0</v>
      </c>
      <c r="N2799">
        <f>'raw data Crude oil'!N2800</f>
        <v>0</v>
      </c>
      <c r="O2799">
        <f>'raw data Crude oil'!O2800</f>
        <v>0</v>
      </c>
      <c r="P2799">
        <f>'raw data Crude oil'!P2800</f>
        <v>0</v>
      </c>
      <c r="Q2799">
        <f>'raw data Crude oil'!Q2800</f>
        <v>0</v>
      </c>
      <c r="R2799">
        <f>'raw data Crude oil'!R2800</f>
        <v>0</v>
      </c>
      <c r="S2799">
        <f>'raw data Crude oil'!S2800</f>
        <v>0</v>
      </c>
      <c r="T2799">
        <f>'raw data Crude oil'!T2800</f>
        <v>0</v>
      </c>
      <c r="U2799">
        <f>'raw data Crude oil'!U2800</f>
        <v>0</v>
      </c>
      <c r="V2799">
        <f>'raw data Crude oil'!V2800</f>
        <v>0</v>
      </c>
      <c r="W2799">
        <f>'raw data Crude oil'!W2800</f>
        <v>0</v>
      </c>
      <c r="X2799">
        <f>'raw data Crude oil'!X2800</f>
        <v>0</v>
      </c>
      <c r="Y2799">
        <f>'raw data Crude oil'!Y2800</f>
        <v>0</v>
      </c>
      <c r="Z2799">
        <f>'raw data Crude oil'!Z2800</f>
        <v>0</v>
      </c>
      <c r="AA2799">
        <f>'raw data Crude oil'!AA2800</f>
        <v>0</v>
      </c>
      <c r="AB2799">
        <f>'raw data Crude oil'!AB2800</f>
        <v>0</v>
      </c>
      <c r="AC2799">
        <f>'raw data Crude oil'!AC2800</f>
        <v>0</v>
      </c>
      <c r="AD2799">
        <f>'raw data Crude oil'!AD2800</f>
        <v>0</v>
      </c>
      <c r="AE2799">
        <f>'raw data Crude oil'!AE2800</f>
        <v>0</v>
      </c>
      <c r="AF2799">
        <f>'raw data Crude oil'!AF2800</f>
        <v>0</v>
      </c>
      <c r="AG2799">
        <f>'raw data Crude oil'!AG2800</f>
        <v>0</v>
      </c>
      <c r="AH2799">
        <f>'raw data Crude oil'!AH2800</f>
        <v>0</v>
      </c>
      <c r="AI2799">
        <f>'raw data Crude oil'!AI2800</f>
        <v>0</v>
      </c>
      <c r="AJ2799">
        <f>'raw data Crude oil'!AJ2800</f>
        <v>0</v>
      </c>
      <c r="AK2799">
        <f>'raw data Crude oil'!AK2800</f>
        <v>0</v>
      </c>
    </row>
    <row r="2800" spans="1:37" x14ac:dyDescent="0.3">
      <c r="A2800" s="18">
        <f>'raw data Crude oil'!A2801</f>
        <v>0</v>
      </c>
      <c r="B2800">
        <f>'raw data Crude oil'!B2801</f>
        <v>0</v>
      </c>
      <c r="C2800">
        <f>'raw data Crude oil'!C2801</f>
        <v>0</v>
      </c>
      <c r="D2800">
        <f>'raw data Crude oil'!D2801</f>
        <v>0</v>
      </c>
      <c r="E2800">
        <f>'raw data Crude oil'!E2801</f>
        <v>0</v>
      </c>
      <c r="F2800">
        <f>'raw data Crude oil'!F2801</f>
        <v>0</v>
      </c>
      <c r="G2800">
        <f>'raw data Crude oil'!G2801</f>
        <v>0</v>
      </c>
      <c r="H2800">
        <f>'raw data Crude oil'!H2801</f>
        <v>0</v>
      </c>
      <c r="I2800">
        <f>'raw data Crude oil'!I2801</f>
        <v>0</v>
      </c>
      <c r="J2800">
        <f>'raw data Crude oil'!J2801</f>
        <v>0</v>
      </c>
      <c r="K2800">
        <f>'raw data Crude oil'!K2801</f>
        <v>0</v>
      </c>
      <c r="L2800">
        <f>'raw data Crude oil'!L2801</f>
        <v>0</v>
      </c>
      <c r="M2800">
        <f>'raw data Crude oil'!M2801</f>
        <v>0</v>
      </c>
      <c r="N2800">
        <f>'raw data Crude oil'!N2801</f>
        <v>0</v>
      </c>
      <c r="O2800">
        <f>'raw data Crude oil'!O2801</f>
        <v>0</v>
      </c>
      <c r="P2800">
        <f>'raw data Crude oil'!P2801</f>
        <v>0</v>
      </c>
      <c r="Q2800">
        <f>'raw data Crude oil'!Q2801</f>
        <v>0</v>
      </c>
      <c r="R2800">
        <f>'raw data Crude oil'!R2801</f>
        <v>0</v>
      </c>
      <c r="S2800">
        <f>'raw data Crude oil'!S2801</f>
        <v>0</v>
      </c>
      <c r="T2800">
        <f>'raw data Crude oil'!T2801</f>
        <v>0</v>
      </c>
      <c r="U2800">
        <f>'raw data Crude oil'!U2801</f>
        <v>0</v>
      </c>
      <c r="V2800">
        <f>'raw data Crude oil'!V2801</f>
        <v>0</v>
      </c>
      <c r="W2800">
        <f>'raw data Crude oil'!W2801</f>
        <v>0</v>
      </c>
      <c r="X2800">
        <f>'raw data Crude oil'!X2801</f>
        <v>0</v>
      </c>
      <c r="Y2800">
        <f>'raw data Crude oil'!Y2801</f>
        <v>0</v>
      </c>
      <c r="Z2800">
        <f>'raw data Crude oil'!Z2801</f>
        <v>0</v>
      </c>
      <c r="AA2800">
        <f>'raw data Crude oil'!AA2801</f>
        <v>0</v>
      </c>
      <c r="AB2800">
        <f>'raw data Crude oil'!AB2801</f>
        <v>0</v>
      </c>
      <c r="AC2800">
        <f>'raw data Crude oil'!AC2801</f>
        <v>0</v>
      </c>
      <c r="AD2800">
        <f>'raw data Crude oil'!AD2801</f>
        <v>0</v>
      </c>
      <c r="AE2800">
        <f>'raw data Crude oil'!AE2801</f>
        <v>0</v>
      </c>
      <c r="AF2800">
        <f>'raw data Crude oil'!AF2801</f>
        <v>0</v>
      </c>
      <c r="AG2800">
        <f>'raw data Crude oil'!AG2801</f>
        <v>0</v>
      </c>
      <c r="AH2800">
        <f>'raw data Crude oil'!AH2801</f>
        <v>0</v>
      </c>
      <c r="AI2800">
        <f>'raw data Crude oil'!AI2801</f>
        <v>0</v>
      </c>
      <c r="AJ2800">
        <f>'raw data Crude oil'!AJ2801</f>
        <v>0</v>
      </c>
      <c r="AK2800">
        <f>'raw data Crude oil'!AK2801</f>
        <v>0</v>
      </c>
    </row>
    <row r="2801" spans="1:37" x14ac:dyDescent="0.3">
      <c r="A2801" s="18">
        <f>'raw data Crude oil'!A2802</f>
        <v>0</v>
      </c>
      <c r="B2801">
        <f>'raw data Crude oil'!B2802</f>
        <v>0</v>
      </c>
      <c r="C2801">
        <f>'raw data Crude oil'!C2802</f>
        <v>0</v>
      </c>
      <c r="D2801">
        <f>'raw data Crude oil'!D2802</f>
        <v>0</v>
      </c>
      <c r="E2801">
        <f>'raw data Crude oil'!E2802</f>
        <v>0</v>
      </c>
      <c r="F2801">
        <f>'raw data Crude oil'!F2802</f>
        <v>0</v>
      </c>
      <c r="G2801">
        <f>'raw data Crude oil'!G2802</f>
        <v>0</v>
      </c>
      <c r="H2801">
        <f>'raw data Crude oil'!H2802</f>
        <v>0</v>
      </c>
      <c r="I2801">
        <f>'raw data Crude oil'!I2802</f>
        <v>0</v>
      </c>
      <c r="J2801">
        <f>'raw data Crude oil'!J2802</f>
        <v>0</v>
      </c>
      <c r="K2801">
        <f>'raw data Crude oil'!K2802</f>
        <v>0</v>
      </c>
      <c r="L2801">
        <f>'raw data Crude oil'!L2802</f>
        <v>0</v>
      </c>
      <c r="M2801">
        <f>'raw data Crude oil'!M2802</f>
        <v>0</v>
      </c>
      <c r="N2801">
        <f>'raw data Crude oil'!N2802</f>
        <v>0</v>
      </c>
      <c r="O2801">
        <f>'raw data Crude oil'!O2802</f>
        <v>0</v>
      </c>
      <c r="P2801">
        <f>'raw data Crude oil'!P2802</f>
        <v>0</v>
      </c>
      <c r="Q2801">
        <f>'raw data Crude oil'!Q2802</f>
        <v>0</v>
      </c>
      <c r="R2801">
        <f>'raw data Crude oil'!R2802</f>
        <v>0</v>
      </c>
      <c r="S2801">
        <f>'raw data Crude oil'!S2802</f>
        <v>0</v>
      </c>
      <c r="T2801">
        <f>'raw data Crude oil'!T2802</f>
        <v>0</v>
      </c>
      <c r="U2801">
        <f>'raw data Crude oil'!U2802</f>
        <v>0</v>
      </c>
      <c r="V2801">
        <f>'raw data Crude oil'!V2802</f>
        <v>0</v>
      </c>
      <c r="W2801">
        <f>'raw data Crude oil'!W2802</f>
        <v>0</v>
      </c>
      <c r="X2801">
        <f>'raw data Crude oil'!X2802</f>
        <v>0</v>
      </c>
      <c r="Y2801">
        <f>'raw data Crude oil'!Y2802</f>
        <v>0</v>
      </c>
      <c r="Z2801">
        <f>'raw data Crude oil'!Z2802</f>
        <v>0</v>
      </c>
      <c r="AA2801">
        <f>'raw data Crude oil'!AA2802</f>
        <v>0</v>
      </c>
      <c r="AB2801">
        <f>'raw data Crude oil'!AB2802</f>
        <v>0</v>
      </c>
      <c r="AC2801">
        <f>'raw data Crude oil'!AC2802</f>
        <v>0</v>
      </c>
      <c r="AD2801">
        <f>'raw data Crude oil'!AD2802</f>
        <v>0</v>
      </c>
      <c r="AE2801">
        <f>'raw data Crude oil'!AE2802</f>
        <v>0</v>
      </c>
      <c r="AF2801">
        <f>'raw data Crude oil'!AF2802</f>
        <v>0</v>
      </c>
      <c r="AG2801">
        <f>'raw data Crude oil'!AG2802</f>
        <v>0</v>
      </c>
      <c r="AH2801">
        <f>'raw data Crude oil'!AH2802</f>
        <v>0</v>
      </c>
      <c r="AI2801">
        <f>'raw data Crude oil'!AI2802</f>
        <v>0</v>
      </c>
      <c r="AJ2801">
        <f>'raw data Crude oil'!AJ2802</f>
        <v>0</v>
      </c>
      <c r="AK2801">
        <f>'raw data Crude oil'!AK2802</f>
        <v>0</v>
      </c>
    </row>
    <row r="2802" spans="1:37" x14ac:dyDescent="0.3">
      <c r="A2802" s="18">
        <f>'raw data Crude oil'!A2803</f>
        <v>0</v>
      </c>
      <c r="B2802">
        <f>'raw data Crude oil'!B2803</f>
        <v>0</v>
      </c>
      <c r="C2802">
        <f>'raw data Crude oil'!C2803</f>
        <v>0</v>
      </c>
      <c r="D2802">
        <f>'raw data Crude oil'!D2803</f>
        <v>0</v>
      </c>
      <c r="E2802">
        <f>'raw data Crude oil'!E2803</f>
        <v>0</v>
      </c>
      <c r="F2802">
        <f>'raw data Crude oil'!F2803</f>
        <v>0</v>
      </c>
      <c r="G2802">
        <f>'raw data Crude oil'!G2803</f>
        <v>0</v>
      </c>
      <c r="H2802">
        <f>'raw data Crude oil'!H2803</f>
        <v>0</v>
      </c>
      <c r="I2802">
        <f>'raw data Crude oil'!I2803</f>
        <v>0</v>
      </c>
      <c r="J2802">
        <f>'raw data Crude oil'!J2803</f>
        <v>0</v>
      </c>
      <c r="K2802">
        <f>'raw data Crude oil'!K2803</f>
        <v>0</v>
      </c>
      <c r="L2802">
        <f>'raw data Crude oil'!L2803</f>
        <v>0</v>
      </c>
      <c r="M2802">
        <f>'raw data Crude oil'!M2803</f>
        <v>0</v>
      </c>
      <c r="N2802">
        <f>'raw data Crude oil'!N2803</f>
        <v>0</v>
      </c>
      <c r="O2802">
        <f>'raw data Crude oil'!O2803</f>
        <v>0</v>
      </c>
      <c r="P2802">
        <f>'raw data Crude oil'!P2803</f>
        <v>0</v>
      </c>
      <c r="Q2802">
        <f>'raw data Crude oil'!Q2803</f>
        <v>0</v>
      </c>
      <c r="R2802">
        <f>'raw data Crude oil'!R2803</f>
        <v>0</v>
      </c>
      <c r="S2802">
        <f>'raw data Crude oil'!S2803</f>
        <v>0</v>
      </c>
      <c r="T2802">
        <f>'raw data Crude oil'!T2803</f>
        <v>0</v>
      </c>
      <c r="U2802">
        <f>'raw data Crude oil'!U2803</f>
        <v>0</v>
      </c>
      <c r="V2802">
        <f>'raw data Crude oil'!V2803</f>
        <v>0</v>
      </c>
      <c r="W2802">
        <f>'raw data Crude oil'!W2803</f>
        <v>0</v>
      </c>
      <c r="X2802">
        <f>'raw data Crude oil'!X2803</f>
        <v>0</v>
      </c>
      <c r="Y2802">
        <f>'raw data Crude oil'!Y2803</f>
        <v>0</v>
      </c>
      <c r="Z2802">
        <f>'raw data Crude oil'!Z2803</f>
        <v>0</v>
      </c>
      <c r="AA2802">
        <f>'raw data Crude oil'!AA2803</f>
        <v>0</v>
      </c>
      <c r="AB2802">
        <f>'raw data Crude oil'!AB2803</f>
        <v>0</v>
      </c>
      <c r="AC2802">
        <f>'raw data Crude oil'!AC2803</f>
        <v>0</v>
      </c>
      <c r="AD2802">
        <f>'raw data Crude oil'!AD2803</f>
        <v>0</v>
      </c>
      <c r="AE2802">
        <f>'raw data Crude oil'!AE2803</f>
        <v>0</v>
      </c>
      <c r="AF2802">
        <f>'raw data Crude oil'!AF2803</f>
        <v>0</v>
      </c>
      <c r="AG2802">
        <f>'raw data Crude oil'!AG2803</f>
        <v>0</v>
      </c>
      <c r="AH2802">
        <f>'raw data Crude oil'!AH2803</f>
        <v>0</v>
      </c>
      <c r="AI2802">
        <f>'raw data Crude oil'!AI2803</f>
        <v>0</v>
      </c>
      <c r="AJ2802">
        <f>'raw data Crude oil'!AJ2803</f>
        <v>0</v>
      </c>
      <c r="AK2802">
        <f>'raw data Crude oil'!AK2803</f>
        <v>0</v>
      </c>
    </row>
    <row r="2803" spans="1:37" x14ac:dyDescent="0.3">
      <c r="A2803" s="18">
        <f>'raw data Crude oil'!A2804</f>
        <v>0</v>
      </c>
      <c r="B2803">
        <f>'raw data Crude oil'!B2804</f>
        <v>0</v>
      </c>
      <c r="C2803">
        <f>'raw data Crude oil'!C2804</f>
        <v>0</v>
      </c>
      <c r="D2803">
        <f>'raw data Crude oil'!D2804</f>
        <v>0</v>
      </c>
      <c r="E2803">
        <f>'raw data Crude oil'!E2804</f>
        <v>0</v>
      </c>
      <c r="F2803">
        <f>'raw data Crude oil'!F2804</f>
        <v>0</v>
      </c>
      <c r="G2803">
        <f>'raw data Crude oil'!G2804</f>
        <v>0</v>
      </c>
      <c r="H2803">
        <f>'raw data Crude oil'!H2804</f>
        <v>0</v>
      </c>
      <c r="I2803">
        <f>'raw data Crude oil'!I2804</f>
        <v>0</v>
      </c>
      <c r="J2803">
        <f>'raw data Crude oil'!J2804</f>
        <v>0</v>
      </c>
      <c r="K2803">
        <f>'raw data Crude oil'!K2804</f>
        <v>0</v>
      </c>
      <c r="L2803">
        <f>'raw data Crude oil'!L2804</f>
        <v>0</v>
      </c>
      <c r="M2803">
        <f>'raw data Crude oil'!M2804</f>
        <v>0</v>
      </c>
      <c r="N2803">
        <f>'raw data Crude oil'!N2804</f>
        <v>0</v>
      </c>
      <c r="O2803">
        <f>'raw data Crude oil'!O2804</f>
        <v>0</v>
      </c>
      <c r="P2803">
        <f>'raw data Crude oil'!P2804</f>
        <v>0</v>
      </c>
      <c r="Q2803">
        <f>'raw data Crude oil'!Q2804</f>
        <v>0</v>
      </c>
      <c r="R2803">
        <f>'raw data Crude oil'!R2804</f>
        <v>0</v>
      </c>
      <c r="S2803">
        <f>'raw data Crude oil'!S2804</f>
        <v>0</v>
      </c>
      <c r="T2803">
        <f>'raw data Crude oil'!T2804</f>
        <v>0</v>
      </c>
      <c r="U2803">
        <f>'raw data Crude oil'!U2804</f>
        <v>0</v>
      </c>
      <c r="V2803">
        <f>'raw data Crude oil'!V2804</f>
        <v>0</v>
      </c>
      <c r="W2803">
        <f>'raw data Crude oil'!W2804</f>
        <v>0</v>
      </c>
      <c r="X2803">
        <f>'raw data Crude oil'!X2804</f>
        <v>0</v>
      </c>
      <c r="Y2803">
        <f>'raw data Crude oil'!Y2804</f>
        <v>0</v>
      </c>
      <c r="Z2803">
        <f>'raw data Crude oil'!Z2804</f>
        <v>0</v>
      </c>
      <c r="AA2803">
        <f>'raw data Crude oil'!AA2804</f>
        <v>0</v>
      </c>
      <c r="AB2803">
        <f>'raw data Crude oil'!AB2804</f>
        <v>0</v>
      </c>
      <c r="AC2803">
        <f>'raw data Crude oil'!AC2804</f>
        <v>0</v>
      </c>
      <c r="AD2803">
        <f>'raw data Crude oil'!AD2804</f>
        <v>0</v>
      </c>
      <c r="AE2803">
        <f>'raw data Crude oil'!AE2804</f>
        <v>0</v>
      </c>
      <c r="AF2803">
        <f>'raw data Crude oil'!AF2804</f>
        <v>0</v>
      </c>
      <c r="AG2803">
        <f>'raw data Crude oil'!AG2804</f>
        <v>0</v>
      </c>
      <c r="AH2803">
        <f>'raw data Crude oil'!AH2804</f>
        <v>0</v>
      </c>
      <c r="AI2803">
        <f>'raw data Crude oil'!AI2804</f>
        <v>0</v>
      </c>
      <c r="AJ2803">
        <f>'raw data Crude oil'!AJ2804</f>
        <v>0</v>
      </c>
      <c r="AK2803">
        <f>'raw data Crude oil'!AK2804</f>
        <v>0</v>
      </c>
    </row>
    <row r="2804" spans="1:37" x14ac:dyDescent="0.3">
      <c r="A2804" s="18">
        <f>'raw data Crude oil'!A2805</f>
        <v>0</v>
      </c>
      <c r="B2804">
        <f>'raw data Crude oil'!B2805</f>
        <v>0</v>
      </c>
      <c r="C2804">
        <f>'raw data Crude oil'!C2805</f>
        <v>0</v>
      </c>
      <c r="D2804">
        <f>'raw data Crude oil'!D2805</f>
        <v>0</v>
      </c>
      <c r="E2804">
        <f>'raw data Crude oil'!E2805</f>
        <v>0</v>
      </c>
      <c r="F2804">
        <f>'raw data Crude oil'!F2805</f>
        <v>0</v>
      </c>
      <c r="G2804">
        <f>'raw data Crude oil'!G2805</f>
        <v>0</v>
      </c>
      <c r="H2804">
        <f>'raw data Crude oil'!H2805</f>
        <v>0</v>
      </c>
      <c r="I2804">
        <f>'raw data Crude oil'!I2805</f>
        <v>0</v>
      </c>
      <c r="J2804">
        <f>'raw data Crude oil'!J2805</f>
        <v>0</v>
      </c>
      <c r="K2804">
        <f>'raw data Crude oil'!K2805</f>
        <v>0</v>
      </c>
      <c r="L2804">
        <f>'raw data Crude oil'!L2805</f>
        <v>0</v>
      </c>
      <c r="M2804">
        <f>'raw data Crude oil'!M2805</f>
        <v>0</v>
      </c>
      <c r="N2804">
        <f>'raw data Crude oil'!N2805</f>
        <v>0</v>
      </c>
      <c r="O2804">
        <f>'raw data Crude oil'!O2805</f>
        <v>0</v>
      </c>
      <c r="P2804">
        <f>'raw data Crude oil'!P2805</f>
        <v>0</v>
      </c>
      <c r="Q2804">
        <f>'raw data Crude oil'!Q2805</f>
        <v>0</v>
      </c>
      <c r="R2804">
        <f>'raw data Crude oil'!R2805</f>
        <v>0</v>
      </c>
      <c r="S2804">
        <f>'raw data Crude oil'!S2805</f>
        <v>0</v>
      </c>
      <c r="T2804">
        <f>'raw data Crude oil'!T2805</f>
        <v>0</v>
      </c>
      <c r="U2804">
        <f>'raw data Crude oil'!U2805</f>
        <v>0</v>
      </c>
      <c r="V2804">
        <f>'raw data Crude oil'!V2805</f>
        <v>0</v>
      </c>
      <c r="W2804">
        <f>'raw data Crude oil'!W2805</f>
        <v>0</v>
      </c>
      <c r="X2804">
        <f>'raw data Crude oil'!X2805</f>
        <v>0</v>
      </c>
      <c r="Y2804">
        <f>'raw data Crude oil'!Y2805</f>
        <v>0</v>
      </c>
      <c r="Z2804">
        <f>'raw data Crude oil'!Z2805</f>
        <v>0</v>
      </c>
      <c r="AA2804">
        <f>'raw data Crude oil'!AA2805</f>
        <v>0</v>
      </c>
      <c r="AB2804">
        <f>'raw data Crude oil'!AB2805</f>
        <v>0</v>
      </c>
      <c r="AC2804">
        <f>'raw data Crude oil'!AC2805</f>
        <v>0</v>
      </c>
      <c r="AD2804">
        <f>'raw data Crude oil'!AD2805</f>
        <v>0</v>
      </c>
      <c r="AE2804">
        <f>'raw data Crude oil'!AE2805</f>
        <v>0</v>
      </c>
      <c r="AF2804">
        <f>'raw data Crude oil'!AF2805</f>
        <v>0</v>
      </c>
      <c r="AG2804">
        <f>'raw data Crude oil'!AG2805</f>
        <v>0</v>
      </c>
      <c r="AH2804">
        <f>'raw data Crude oil'!AH2805</f>
        <v>0</v>
      </c>
      <c r="AI2804">
        <f>'raw data Crude oil'!AI2805</f>
        <v>0</v>
      </c>
      <c r="AJ2804">
        <f>'raw data Crude oil'!AJ2805</f>
        <v>0</v>
      </c>
      <c r="AK2804">
        <f>'raw data Crude oil'!AK2805</f>
        <v>0</v>
      </c>
    </row>
    <row r="2805" spans="1:37" x14ac:dyDescent="0.3">
      <c r="A2805" s="18">
        <f>'raw data Crude oil'!A2806</f>
        <v>0</v>
      </c>
      <c r="B2805">
        <f>'raw data Crude oil'!B2806</f>
        <v>0</v>
      </c>
      <c r="C2805">
        <f>'raw data Crude oil'!C2806</f>
        <v>0</v>
      </c>
      <c r="D2805">
        <f>'raw data Crude oil'!D2806</f>
        <v>0</v>
      </c>
      <c r="E2805">
        <f>'raw data Crude oil'!E2806</f>
        <v>0</v>
      </c>
      <c r="F2805">
        <f>'raw data Crude oil'!F2806</f>
        <v>0</v>
      </c>
      <c r="G2805">
        <f>'raw data Crude oil'!G2806</f>
        <v>0</v>
      </c>
      <c r="H2805">
        <f>'raw data Crude oil'!H2806</f>
        <v>0</v>
      </c>
      <c r="I2805">
        <f>'raw data Crude oil'!I2806</f>
        <v>0</v>
      </c>
      <c r="J2805">
        <f>'raw data Crude oil'!J2806</f>
        <v>0</v>
      </c>
      <c r="K2805">
        <f>'raw data Crude oil'!K2806</f>
        <v>0</v>
      </c>
      <c r="L2805">
        <f>'raw data Crude oil'!L2806</f>
        <v>0</v>
      </c>
      <c r="M2805">
        <f>'raw data Crude oil'!M2806</f>
        <v>0</v>
      </c>
      <c r="N2805">
        <f>'raw data Crude oil'!N2806</f>
        <v>0</v>
      </c>
      <c r="O2805">
        <f>'raw data Crude oil'!O2806</f>
        <v>0</v>
      </c>
      <c r="P2805">
        <f>'raw data Crude oil'!P2806</f>
        <v>0</v>
      </c>
      <c r="Q2805">
        <f>'raw data Crude oil'!Q2806</f>
        <v>0</v>
      </c>
      <c r="R2805">
        <f>'raw data Crude oil'!R2806</f>
        <v>0</v>
      </c>
      <c r="S2805">
        <f>'raw data Crude oil'!S2806</f>
        <v>0</v>
      </c>
      <c r="T2805">
        <f>'raw data Crude oil'!T2806</f>
        <v>0</v>
      </c>
      <c r="U2805">
        <f>'raw data Crude oil'!U2806</f>
        <v>0</v>
      </c>
      <c r="V2805">
        <f>'raw data Crude oil'!V2806</f>
        <v>0</v>
      </c>
      <c r="W2805">
        <f>'raw data Crude oil'!W2806</f>
        <v>0</v>
      </c>
      <c r="X2805">
        <f>'raw data Crude oil'!X2806</f>
        <v>0</v>
      </c>
      <c r="Y2805">
        <f>'raw data Crude oil'!Y2806</f>
        <v>0</v>
      </c>
      <c r="Z2805">
        <f>'raw data Crude oil'!Z2806</f>
        <v>0</v>
      </c>
      <c r="AA2805">
        <f>'raw data Crude oil'!AA2806</f>
        <v>0</v>
      </c>
      <c r="AB2805">
        <f>'raw data Crude oil'!AB2806</f>
        <v>0</v>
      </c>
      <c r="AC2805">
        <f>'raw data Crude oil'!AC2806</f>
        <v>0</v>
      </c>
      <c r="AD2805">
        <f>'raw data Crude oil'!AD2806</f>
        <v>0</v>
      </c>
      <c r="AE2805">
        <f>'raw data Crude oil'!AE2806</f>
        <v>0</v>
      </c>
      <c r="AF2805">
        <f>'raw data Crude oil'!AF2806</f>
        <v>0</v>
      </c>
      <c r="AG2805">
        <f>'raw data Crude oil'!AG2806</f>
        <v>0</v>
      </c>
      <c r="AH2805">
        <f>'raw data Crude oil'!AH2806</f>
        <v>0</v>
      </c>
      <c r="AI2805">
        <f>'raw data Crude oil'!AI2806</f>
        <v>0</v>
      </c>
      <c r="AJ2805">
        <f>'raw data Crude oil'!AJ2806</f>
        <v>0</v>
      </c>
      <c r="AK2805">
        <f>'raw data Crude oil'!AK2806</f>
        <v>0</v>
      </c>
    </row>
    <row r="2806" spans="1:37" x14ac:dyDescent="0.3">
      <c r="A2806" s="18">
        <f>'raw data Crude oil'!A2807</f>
        <v>0</v>
      </c>
      <c r="B2806">
        <f>'raw data Crude oil'!B2807</f>
        <v>0</v>
      </c>
      <c r="C2806">
        <f>'raw data Crude oil'!C2807</f>
        <v>0</v>
      </c>
      <c r="D2806">
        <f>'raw data Crude oil'!D2807</f>
        <v>0</v>
      </c>
      <c r="E2806">
        <f>'raw data Crude oil'!E2807</f>
        <v>0</v>
      </c>
      <c r="F2806">
        <f>'raw data Crude oil'!F2807</f>
        <v>0</v>
      </c>
      <c r="G2806">
        <f>'raw data Crude oil'!G2807</f>
        <v>0</v>
      </c>
      <c r="H2806">
        <f>'raw data Crude oil'!H2807</f>
        <v>0</v>
      </c>
      <c r="I2806">
        <f>'raw data Crude oil'!I2807</f>
        <v>0</v>
      </c>
      <c r="J2806">
        <f>'raw data Crude oil'!J2807</f>
        <v>0</v>
      </c>
      <c r="K2806">
        <f>'raw data Crude oil'!K2807</f>
        <v>0</v>
      </c>
      <c r="L2806">
        <f>'raw data Crude oil'!L2807</f>
        <v>0</v>
      </c>
      <c r="M2806">
        <f>'raw data Crude oil'!M2807</f>
        <v>0</v>
      </c>
      <c r="N2806">
        <f>'raw data Crude oil'!N2807</f>
        <v>0</v>
      </c>
      <c r="O2806">
        <f>'raw data Crude oil'!O2807</f>
        <v>0</v>
      </c>
      <c r="P2806">
        <f>'raw data Crude oil'!P2807</f>
        <v>0</v>
      </c>
      <c r="Q2806">
        <f>'raw data Crude oil'!Q2807</f>
        <v>0</v>
      </c>
      <c r="R2806">
        <f>'raw data Crude oil'!R2807</f>
        <v>0</v>
      </c>
      <c r="S2806">
        <f>'raw data Crude oil'!S2807</f>
        <v>0</v>
      </c>
      <c r="T2806">
        <f>'raw data Crude oil'!T2807</f>
        <v>0</v>
      </c>
      <c r="U2806">
        <f>'raw data Crude oil'!U2807</f>
        <v>0</v>
      </c>
      <c r="V2806">
        <f>'raw data Crude oil'!V2807</f>
        <v>0</v>
      </c>
      <c r="W2806">
        <f>'raw data Crude oil'!W2807</f>
        <v>0</v>
      </c>
      <c r="X2806">
        <f>'raw data Crude oil'!X2807</f>
        <v>0</v>
      </c>
      <c r="Y2806">
        <f>'raw data Crude oil'!Y2807</f>
        <v>0</v>
      </c>
      <c r="Z2806">
        <f>'raw data Crude oil'!Z2807</f>
        <v>0</v>
      </c>
      <c r="AA2806">
        <f>'raw data Crude oil'!AA2807</f>
        <v>0</v>
      </c>
      <c r="AB2806">
        <f>'raw data Crude oil'!AB2807</f>
        <v>0</v>
      </c>
      <c r="AC2806">
        <f>'raw data Crude oil'!AC2807</f>
        <v>0</v>
      </c>
      <c r="AD2806">
        <f>'raw data Crude oil'!AD2807</f>
        <v>0</v>
      </c>
      <c r="AE2806">
        <f>'raw data Crude oil'!AE2807</f>
        <v>0</v>
      </c>
      <c r="AF2806">
        <f>'raw data Crude oil'!AF2807</f>
        <v>0</v>
      </c>
      <c r="AG2806">
        <f>'raw data Crude oil'!AG2807</f>
        <v>0</v>
      </c>
      <c r="AH2806">
        <f>'raw data Crude oil'!AH2807</f>
        <v>0</v>
      </c>
      <c r="AI2806">
        <f>'raw data Crude oil'!AI2807</f>
        <v>0</v>
      </c>
      <c r="AJ2806">
        <f>'raw data Crude oil'!AJ2807</f>
        <v>0</v>
      </c>
      <c r="AK2806">
        <f>'raw data Crude oil'!AK2807</f>
        <v>0</v>
      </c>
    </row>
    <row r="2807" spans="1:37" x14ac:dyDescent="0.3">
      <c r="A2807" s="18">
        <f>'raw data Crude oil'!A2808</f>
        <v>0</v>
      </c>
      <c r="B2807">
        <f>'raw data Crude oil'!B2808</f>
        <v>0</v>
      </c>
      <c r="C2807">
        <f>'raw data Crude oil'!C2808</f>
        <v>0</v>
      </c>
      <c r="D2807">
        <f>'raw data Crude oil'!D2808</f>
        <v>0</v>
      </c>
      <c r="E2807">
        <f>'raw data Crude oil'!E2808</f>
        <v>0</v>
      </c>
      <c r="F2807">
        <f>'raw data Crude oil'!F2808</f>
        <v>0</v>
      </c>
      <c r="G2807">
        <f>'raw data Crude oil'!G2808</f>
        <v>0</v>
      </c>
      <c r="H2807">
        <f>'raw data Crude oil'!H2808</f>
        <v>0</v>
      </c>
      <c r="I2807">
        <f>'raw data Crude oil'!I2808</f>
        <v>0</v>
      </c>
      <c r="J2807">
        <f>'raw data Crude oil'!J2808</f>
        <v>0</v>
      </c>
      <c r="K2807">
        <f>'raw data Crude oil'!K2808</f>
        <v>0</v>
      </c>
      <c r="L2807">
        <f>'raw data Crude oil'!L2808</f>
        <v>0</v>
      </c>
      <c r="M2807">
        <f>'raw data Crude oil'!M2808</f>
        <v>0</v>
      </c>
      <c r="N2807">
        <f>'raw data Crude oil'!N2808</f>
        <v>0</v>
      </c>
      <c r="O2807">
        <f>'raw data Crude oil'!O2808</f>
        <v>0</v>
      </c>
      <c r="P2807">
        <f>'raw data Crude oil'!P2808</f>
        <v>0</v>
      </c>
      <c r="Q2807">
        <f>'raw data Crude oil'!Q2808</f>
        <v>0</v>
      </c>
      <c r="R2807">
        <f>'raw data Crude oil'!R2808</f>
        <v>0</v>
      </c>
      <c r="S2807">
        <f>'raw data Crude oil'!S2808</f>
        <v>0</v>
      </c>
      <c r="T2807">
        <f>'raw data Crude oil'!T2808</f>
        <v>0</v>
      </c>
      <c r="U2807">
        <f>'raw data Crude oil'!U2808</f>
        <v>0</v>
      </c>
      <c r="V2807">
        <f>'raw data Crude oil'!V2808</f>
        <v>0</v>
      </c>
      <c r="W2807">
        <f>'raw data Crude oil'!W2808</f>
        <v>0</v>
      </c>
      <c r="X2807">
        <f>'raw data Crude oil'!X2808</f>
        <v>0</v>
      </c>
      <c r="Y2807">
        <f>'raw data Crude oil'!Y2808</f>
        <v>0</v>
      </c>
      <c r="Z2807">
        <f>'raw data Crude oil'!Z2808</f>
        <v>0</v>
      </c>
      <c r="AA2807">
        <f>'raw data Crude oil'!AA2808</f>
        <v>0</v>
      </c>
      <c r="AB2807">
        <f>'raw data Crude oil'!AB2808</f>
        <v>0</v>
      </c>
      <c r="AC2807">
        <f>'raw data Crude oil'!AC2808</f>
        <v>0</v>
      </c>
      <c r="AD2807">
        <f>'raw data Crude oil'!AD2808</f>
        <v>0</v>
      </c>
      <c r="AE2807">
        <f>'raw data Crude oil'!AE2808</f>
        <v>0</v>
      </c>
      <c r="AF2807">
        <f>'raw data Crude oil'!AF2808</f>
        <v>0</v>
      </c>
      <c r="AG2807">
        <f>'raw data Crude oil'!AG2808</f>
        <v>0</v>
      </c>
      <c r="AH2807">
        <f>'raw data Crude oil'!AH2808</f>
        <v>0</v>
      </c>
      <c r="AI2807">
        <f>'raw data Crude oil'!AI2808</f>
        <v>0</v>
      </c>
      <c r="AJ2807">
        <f>'raw data Crude oil'!AJ2808</f>
        <v>0</v>
      </c>
      <c r="AK2807">
        <f>'raw data Crude oil'!AK2808</f>
        <v>0</v>
      </c>
    </row>
    <row r="2808" spans="1:37" x14ac:dyDescent="0.3">
      <c r="A2808" s="18">
        <f>'raw data Crude oil'!A2809</f>
        <v>0</v>
      </c>
      <c r="B2808">
        <f>'raw data Crude oil'!B2809</f>
        <v>0</v>
      </c>
      <c r="C2808">
        <f>'raw data Crude oil'!C2809</f>
        <v>0</v>
      </c>
      <c r="D2808">
        <f>'raw data Crude oil'!D2809</f>
        <v>0</v>
      </c>
      <c r="E2808">
        <f>'raw data Crude oil'!E2809</f>
        <v>0</v>
      </c>
      <c r="F2808">
        <f>'raw data Crude oil'!F2809</f>
        <v>0</v>
      </c>
      <c r="G2808">
        <f>'raw data Crude oil'!G2809</f>
        <v>0</v>
      </c>
      <c r="H2808">
        <f>'raw data Crude oil'!H2809</f>
        <v>0</v>
      </c>
      <c r="I2808">
        <f>'raw data Crude oil'!I2809</f>
        <v>0</v>
      </c>
      <c r="J2808">
        <f>'raw data Crude oil'!J2809</f>
        <v>0</v>
      </c>
      <c r="K2808">
        <f>'raw data Crude oil'!K2809</f>
        <v>0</v>
      </c>
      <c r="L2808">
        <f>'raw data Crude oil'!L2809</f>
        <v>0</v>
      </c>
      <c r="M2808">
        <f>'raw data Crude oil'!M2809</f>
        <v>0</v>
      </c>
      <c r="N2808">
        <f>'raw data Crude oil'!N2809</f>
        <v>0</v>
      </c>
      <c r="O2808">
        <f>'raw data Crude oil'!O2809</f>
        <v>0</v>
      </c>
      <c r="P2808">
        <f>'raw data Crude oil'!P2809</f>
        <v>0</v>
      </c>
      <c r="Q2808">
        <f>'raw data Crude oil'!Q2809</f>
        <v>0</v>
      </c>
      <c r="R2808">
        <f>'raw data Crude oil'!R2809</f>
        <v>0</v>
      </c>
      <c r="S2808">
        <f>'raw data Crude oil'!S2809</f>
        <v>0</v>
      </c>
      <c r="T2808">
        <f>'raw data Crude oil'!T2809</f>
        <v>0</v>
      </c>
      <c r="U2808">
        <f>'raw data Crude oil'!U2809</f>
        <v>0</v>
      </c>
      <c r="V2808">
        <f>'raw data Crude oil'!V2809</f>
        <v>0</v>
      </c>
      <c r="W2808">
        <f>'raw data Crude oil'!W2809</f>
        <v>0</v>
      </c>
      <c r="X2808">
        <f>'raw data Crude oil'!X2809</f>
        <v>0</v>
      </c>
      <c r="Y2808">
        <f>'raw data Crude oil'!Y2809</f>
        <v>0</v>
      </c>
      <c r="Z2808">
        <f>'raw data Crude oil'!Z2809</f>
        <v>0</v>
      </c>
      <c r="AA2808">
        <f>'raw data Crude oil'!AA2809</f>
        <v>0</v>
      </c>
      <c r="AB2808">
        <f>'raw data Crude oil'!AB2809</f>
        <v>0</v>
      </c>
      <c r="AC2808">
        <f>'raw data Crude oil'!AC2809</f>
        <v>0</v>
      </c>
      <c r="AD2808">
        <f>'raw data Crude oil'!AD2809</f>
        <v>0</v>
      </c>
      <c r="AE2808">
        <f>'raw data Crude oil'!AE2809</f>
        <v>0</v>
      </c>
      <c r="AF2808">
        <f>'raw data Crude oil'!AF2809</f>
        <v>0</v>
      </c>
      <c r="AG2808">
        <f>'raw data Crude oil'!AG2809</f>
        <v>0</v>
      </c>
      <c r="AH2808">
        <f>'raw data Crude oil'!AH2809</f>
        <v>0</v>
      </c>
      <c r="AI2808">
        <f>'raw data Crude oil'!AI2809</f>
        <v>0</v>
      </c>
      <c r="AJ2808">
        <f>'raw data Crude oil'!AJ2809</f>
        <v>0</v>
      </c>
      <c r="AK2808">
        <f>'raw data Crude oil'!AK2809</f>
        <v>0</v>
      </c>
    </row>
    <row r="2809" spans="1:37" x14ac:dyDescent="0.3">
      <c r="A2809" s="18">
        <f>'raw data Crude oil'!A2810</f>
        <v>0</v>
      </c>
      <c r="B2809">
        <f>'raw data Crude oil'!B2810</f>
        <v>0</v>
      </c>
      <c r="C2809">
        <f>'raw data Crude oil'!C2810</f>
        <v>0</v>
      </c>
      <c r="D2809">
        <f>'raw data Crude oil'!D2810</f>
        <v>0</v>
      </c>
      <c r="E2809">
        <f>'raw data Crude oil'!E2810</f>
        <v>0</v>
      </c>
      <c r="F2809">
        <f>'raw data Crude oil'!F2810</f>
        <v>0</v>
      </c>
      <c r="G2809">
        <f>'raw data Crude oil'!G2810</f>
        <v>0</v>
      </c>
      <c r="H2809">
        <f>'raw data Crude oil'!H2810</f>
        <v>0</v>
      </c>
      <c r="I2809">
        <f>'raw data Crude oil'!I2810</f>
        <v>0</v>
      </c>
      <c r="J2809">
        <f>'raw data Crude oil'!J2810</f>
        <v>0</v>
      </c>
      <c r="K2809">
        <f>'raw data Crude oil'!K2810</f>
        <v>0</v>
      </c>
      <c r="L2809">
        <f>'raw data Crude oil'!L2810</f>
        <v>0</v>
      </c>
      <c r="M2809">
        <f>'raw data Crude oil'!M2810</f>
        <v>0</v>
      </c>
      <c r="N2809">
        <f>'raw data Crude oil'!N2810</f>
        <v>0</v>
      </c>
      <c r="O2809">
        <f>'raw data Crude oil'!O2810</f>
        <v>0</v>
      </c>
      <c r="P2809">
        <f>'raw data Crude oil'!P2810</f>
        <v>0</v>
      </c>
      <c r="Q2809">
        <f>'raw data Crude oil'!Q2810</f>
        <v>0</v>
      </c>
      <c r="R2809">
        <f>'raw data Crude oil'!R2810</f>
        <v>0</v>
      </c>
      <c r="S2809">
        <f>'raw data Crude oil'!S2810</f>
        <v>0</v>
      </c>
      <c r="T2809">
        <f>'raw data Crude oil'!T2810</f>
        <v>0</v>
      </c>
      <c r="U2809">
        <f>'raw data Crude oil'!U2810</f>
        <v>0</v>
      </c>
      <c r="V2809">
        <f>'raw data Crude oil'!V2810</f>
        <v>0</v>
      </c>
      <c r="W2809">
        <f>'raw data Crude oil'!W2810</f>
        <v>0</v>
      </c>
      <c r="X2809">
        <f>'raw data Crude oil'!X2810</f>
        <v>0</v>
      </c>
      <c r="Y2809">
        <f>'raw data Crude oil'!Y2810</f>
        <v>0</v>
      </c>
      <c r="Z2809">
        <f>'raw data Crude oil'!Z2810</f>
        <v>0</v>
      </c>
      <c r="AA2809">
        <f>'raw data Crude oil'!AA2810</f>
        <v>0</v>
      </c>
      <c r="AB2809">
        <f>'raw data Crude oil'!AB2810</f>
        <v>0</v>
      </c>
      <c r="AC2809">
        <f>'raw data Crude oil'!AC2810</f>
        <v>0</v>
      </c>
      <c r="AD2809">
        <f>'raw data Crude oil'!AD2810</f>
        <v>0</v>
      </c>
      <c r="AE2809">
        <f>'raw data Crude oil'!AE2810</f>
        <v>0</v>
      </c>
      <c r="AF2809">
        <f>'raw data Crude oil'!AF2810</f>
        <v>0</v>
      </c>
      <c r="AG2809">
        <f>'raw data Crude oil'!AG2810</f>
        <v>0</v>
      </c>
      <c r="AH2809">
        <f>'raw data Crude oil'!AH2810</f>
        <v>0</v>
      </c>
      <c r="AI2809">
        <f>'raw data Crude oil'!AI2810</f>
        <v>0</v>
      </c>
      <c r="AJ2809">
        <f>'raw data Crude oil'!AJ2810</f>
        <v>0</v>
      </c>
      <c r="AK2809">
        <f>'raw data Crude oil'!AK2810</f>
        <v>0</v>
      </c>
    </row>
    <row r="2810" spans="1:37" x14ac:dyDescent="0.3">
      <c r="A2810" s="18">
        <f>'raw data Crude oil'!A2811</f>
        <v>0</v>
      </c>
      <c r="B2810">
        <f>'raw data Crude oil'!B2811</f>
        <v>0</v>
      </c>
      <c r="C2810">
        <f>'raw data Crude oil'!C2811</f>
        <v>0</v>
      </c>
      <c r="D2810">
        <f>'raw data Crude oil'!D2811</f>
        <v>0</v>
      </c>
      <c r="E2810">
        <f>'raw data Crude oil'!E2811</f>
        <v>0</v>
      </c>
      <c r="F2810">
        <f>'raw data Crude oil'!F2811</f>
        <v>0</v>
      </c>
      <c r="G2810">
        <f>'raw data Crude oil'!G2811</f>
        <v>0</v>
      </c>
      <c r="H2810">
        <f>'raw data Crude oil'!H2811</f>
        <v>0</v>
      </c>
      <c r="I2810">
        <f>'raw data Crude oil'!I2811</f>
        <v>0</v>
      </c>
      <c r="J2810">
        <f>'raw data Crude oil'!J2811</f>
        <v>0</v>
      </c>
      <c r="K2810">
        <f>'raw data Crude oil'!K2811</f>
        <v>0</v>
      </c>
      <c r="L2810">
        <f>'raw data Crude oil'!L2811</f>
        <v>0</v>
      </c>
      <c r="M2810">
        <f>'raw data Crude oil'!M2811</f>
        <v>0</v>
      </c>
      <c r="N2810">
        <f>'raw data Crude oil'!N2811</f>
        <v>0</v>
      </c>
      <c r="O2810">
        <f>'raw data Crude oil'!O2811</f>
        <v>0</v>
      </c>
      <c r="P2810">
        <f>'raw data Crude oil'!P2811</f>
        <v>0</v>
      </c>
      <c r="Q2810">
        <f>'raw data Crude oil'!Q2811</f>
        <v>0</v>
      </c>
      <c r="R2810">
        <f>'raw data Crude oil'!R2811</f>
        <v>0</v>
      </c>
      <c r="S2810">
        <f>'raw data Crude oil'!S2811</f>
        <v>0</v>
      </c>
      <c r="T2810">
        <f>'raw data Crude oil'!T2811</f>
        <v>0</v>
      </c>
      <c r="U2810">
        <f>'raw data Crude oil'!U2811</f>
        <v>0</v>
      </c>
      <c r="V2810">
        <f>'raw data Crude oil'!V2811</f>
        <v>0</v>
      </c>
      <c r="W2810">
        <f>'raw data Crude oil'!W2811</f>
        <v>0</v>
      </c>
      <c r="X2810">
        <f>'raw data Crude oil'!X2811</f>
        <v>0</v>
      </c>
      <c r="Y2810">
        <f>'raw data Crude oil'!Y2811</f>
        <v>0</v>
      </c>
      <c r="Z2810">
        <f>'raw data Crude oil'!Z2811</f>
        <v>0</v>
      </c>
      <c r="AA2810">
        <f>'raw data Crude oil'!AA2811</f>
        <v>0</v>
      </c>
      <c r="AB2810">
        <f>'raw data Crude oil'!AB2811</f>
        <v>0</v>
      </c>
      <c r="AC2810">
        <f>'raw data Crude oil'!AC2811</f>
        <v>0</v>
      </c>
      <c r="AD2810">
        <f>'raw data Crude oil'!AD2811</f>
        <v>0</v>
      </c>
      <c r="AE2810">
        <f>'raw data Crude oil'!AE2811</f>
        <v>0</v>
      </c>
      <c r="AF2810">
        <f>'raw data Crude oil'!AF2811</f>
        <v>0</v>
      </c>
      <c r="AG2810">
        <f>'raw data Crude oil'!AG2811</f>
        <v>0</v>
      </c>
      <c r="AH2810">
        <f>'raw data Crude oil'!AH2811</f>
        <v>0</v>
      </c>
      <c r="AI2810">
        <f>'raw data Crude oil'!AI2811</f>
        <v>0</v>
      </c>
      <c r="AJ2810">
        <f>'raw data Crude oil'!AJ2811</f>
        <v>0</v>
      </c>
      <c r="AK2810">
        <f>'raw data Crude oil'!AK2811</f>
        <v>0</v>
      </c>
    </row>
    <row r="2811" spans="1:37" x14ac:dyDescent="0.3">
      <c r="A2811" s="18">
        <f>'raw data Crude oil'!A2812</f>
        <v>0</v>
      </c>
      <c r="B2811">
        <f>'raw data Crude oil'!B2812</f>
        <v>0</v>
      </c>
      <c r="C2811">
        <f>'raw data Crude oil'!C2812</f>
        <v>0</v>
      </c>
      <c r="D2811">
        <f>'raw data Crude oil'!D2812</f>
        <v>0</v>
      </c>
      <c r="E2811">
        <f>'raw data Crude oil'!E2812</f>
        <v>0</v>
      </c>
      <c r="F2811">
        <f>'raw data Crude oil'!F2812</f>
        <v>0</v>
      </c>
      <c r="G2811">
        <f>'raw data Crude oil'!G2812</f>
        <v>0</v>
      </c>
      <c r="H2811">
        <f>'raw data Crude oil'!H2812</f>
        <v>0</v>
      </c>
      <c r="I2811">
        <f>'raw data Crude oil'!I2812</f>
        <v>0</v>
      </c>
      <c r="J2811">
        <f>'raw data Crude oil'!J2812</f>
        <v>0</v>
      </c>
      <c r="K2811">
        <f>'raw data Crude oil'!K2812</f>
        <v>0</v>
      </c>
      <c r="L2811">
        <f>'raw data Crude oil'!L2812</f>
        <v>0</v>
      </c>
      <c r="M2811">
        <f>'raw data Crude oil'!M2812</f>
        <v>0</v>
      </c>
      <c r="N2811">
        <f>'raw data Crude oil'!N2812</f>
        <v>0</v>
      </c>
      <c r="O2811">
        <f>'raw data Crude oil'!O2812</f>
        <v>0</v>
      </c>
      <c r="P2811">
        <f>'raw data Crude oil'!P2812</f>
        <v>0</v>
      </c>
      <c r="Q2811">
        <f>'raw data Crude oil'!Q2812</f>
        <v>0</v>
      </c>
      <c r="R2811">
        <f>'raw data Crude oil'!R2812</f>
        <v>0</v>
      </c>
      <c r="S2811">
        <f>'raw data Crude oil'!S2812</f>
        <v>0</v>
      </c>
      <c r="T2811">
        <f>'raw data Crude oil'!T2812</f>
        <v>0</v>
      </c>
      <c r="U2811">
        <f>'raw data Crude oil'!U2812</f>
        <v>0</v>
      </c>
      <c r="V2811">
        <f>'raw data Crude oil'!V2812</f>
        <v>0</v>
      </c>
      <c r="W2811">
        <f>'raw data Crude oil'!W2812</f>
        <v>0</v>
      </c>
      <c r="X2811">
        <f>'raw data Crude oil'!X2812</f>
        <v>0</v>
      </c>
      <c r="Y2811">
        <f>'raw data Crude oil'!Y2812</f>
        <v>0</v>
      </c>
      <c r="Z2811">
        <f>'raw data Crude oil'!Z2812</f>
        <v>0</v>
      </c>
      <c r="AA2811">
        <f>'raw data Crude oil'!AA2812</f>
        <v>0</v>
      </c>
      <c r="AB2811">
        <f>'raw data Crude oil'!AB2812</f>
        <v>0</v>
      </c>
      <c r="AC2811">
        <f>'raw data Crude oil'!AC2812</f>
        <v>0</v>
      </c>
      <c r="AD2811">
        <f>'raw data Crude oil'!AD2812</f>
        <v>0</v>
      </c>
      <c r="AE2811">
        <f>'raw data Crude oil'!AE2812</f>
        <v>0</v>
      </c>
      <c r="AF2811">
        <f>'raw data Crude oil'!AF2812</f>
        <v>0</v>
      </c>
      <c r="AG2811">
        <f>'raw data Crude oil'!AG2812</f>
        <v>0</v>
      </c>
      <c r="AH2811">
        <f>'raw data Crude oil'!AH2812</f>
        <v>0</v>
      </c>
      <c r="AI2811">
        <f>'raw data Crude oil'!AI2812</f>
        <v>0</v>
      </c>
      <c r="AJ2811">
        <f>'raw data Crude oil'!AJ2812</f>
        <v>0</v>
      </c>
      <c r="AK2811">
        <f>'raw data Crude oil'!AK2812</f>
        <v>0</v>
      </c>
    </row>
    <row r="2812" spans="1:37" x14ac:dyDescent="0.3">
      <c r="A2812" s="18">
        <f>'raw data Crude oil'!A2813</f>
        <v>0</v>
      </c>
      <c r="B2812">
        <f>'raw data Crude oil'!B2813</f>
        <v>0</v>
      </c>
      <c r="C2812">
        <f>'raw data Crude oil'!C2813</f>
        <v>0</v>
      </c>
      <c r="D2812">
        <f>'raw data Crude oil'!D2813</f>
        <v>0</v>
      </c>
      <c r="E2812">
        <f>'raw data Crude oil'!E2813</f>
        <v>0</v>
      </c>
      <c r="F2812">
        <f>'raw data Crude oil'!F2813</f>
        <v>0</v>
      </c>
      <c r="G2812">
        <f>'raw data Crude oil'!G2813</f>
        <v>0</v>
      </c>
      <c r="H2812">
        <f>'raw data Crude oil'!H2813</f>
        <v>0</v>
      </c>
      <c r="I2812">
        <f>'raw data Crude oil'!I2813</f>
        <v>0</v>
      </c>
      <c r="J2812">
        <f>'raw data Crude oil'!J2813</f>
        <v>0</v>
      </c>
      <c r="K2812">
        <f>'raw data Crude oil'!K2813</f>
        <v>0</v>
      </c>
      <c r="L2812">
        <f>'raw data Crude oil'!L2813</f>
        <v>0</v>
      </c>
      <c r="M2812">
        <f>'raw data Crude oil'!M2813</f>
        <v>0</v>
      </c>
      <c r="N2812">
        <f>'raw data Crude oil'!N2813</f>
        <v>0</v>
      </c>
      <c r="O2812">
        <f>'raw data Crude oil'!O2813</f>
        <v>0</v>
      </c>
      <c r="P2812">
        <f>'raw data Crude oil'!P2813</f>
        <v>0</v>
      </c>
      <c r="Q2812">
        <f>'raw data Crude oil'!Q2813</f>
        <v>0</v>
      </c>
      <c r="R2812">
        <f>'raw data Crude oil'!R2813</f>
        <v>0</v>
      </c>
      <c r="S2812">
        <f>'raw data Crude oil'!S2813</f>
        <v>0</v>
      </c>
      <c r="T2812">
        <f>'raw data Crude oil'!T2813</f>
        <v>0</v>
      </c>
      <c r="U2812">
        <f>'raw data Crude oil'!U2813</f>
        <v>0</v>
      </c>
      <c r="V2812">
        <f>'raw data Crude oil'!V2813</f>
        <v>0</v>
      </c>
      <c r="W2812">
        <f>'raw data Crude oil'!W2813</f>
        <v>0</v>
      </c>
      <c r="X2812">
        <f>'raw data Crude oil'!X2813</f>
        <v>0</v>
      </c>
      <c r="Y2812">
        <f>'raw data Crude oil'!Y2813</f>
        <v>0</v>
      </c>
      <c r="Z2812">
        <f>'raw data Crude oil'!Z2813</f>
        <v>0</v>
      </c>
      <c r="AA2812">
        <f>'raw data Crude oil'!AA2813</f>
        <v>0</v>
      </c>
      <c r="AB2812">
        <f>'raw data Crude oil'!AB2813</f>
        <v>0</v>
      </c>
      <c r="AC2812">
        <f>'raw data Crude oil'!AC2813</f>
        <v>0</v>
      </c>
      <c r="AD2812">
        <f>'raw data Crude oil'!AD2813</f>
        <v>0</v>
      </c>
      <c r="AE2812">
        <f>'raw data Crude oil'!AE2813</f>
        <v>0</v>
      </c>
      <c r="AF2812">
        <f>'raw data Crude oil'!AF2813</f>
        <v>0</v>
      </c>
      <c r="AG2812">
        <f>'raw data Crude oil'!AG2813</f>
        <v>0</v>
      </c>
      <c r="AH2812">
        <f>'raw data Crude oil'!AH2813</f>
        <v>0</v>
      </c>
      <c r="AI2812">
        <f>'raw data Crude oil'!AI2813</f>
        <v>0</v>
      </c>
      <c r="AJ2812">
        <f>'raw data Crude oil'!AJ2813</f>
        <v>0</v>
      </c>
      <c r="AK2812">
        <f>'raw data Crude oil'!AK2813</f>
        <v>0</v>
      </c>
    </row>
    <row r="2813" spans="1:37" x14ac:dyDescent="0.3">
      <c r="A2813" s="18">
        <f>'raw data Crude oil'!A2814</f>
        <v>0</v>
      </c>
      <c r="B2813">
        <f>'raw data Crude oil'!B2814</f>
        <v>0</v>
      </c>
      <c r="C2813">
        <f>'raw data Crude oil'!C2814</f>
        <v>0</v>
      </c>
      <c r="D2813">
        <f>'raw data Crude oil'!D2814</f>
        <v>0</v>
      </c>
      <c r="E2813">
        <f>'raw data Crude oil'!E2814</f>
        <v>0</v>
      </c>
      <c r="F2813">
        <f>'raw data Crude oil'!F2814</f>
        <v>0</v>
      </c>
      <c r="G2813">
        <f>'raw data Crude oil'!G2814</f>
        <v>0</v>
      </c>
      <c r="H2813">
        <f>'raw data Crude oil'!H2814</f>
        <v>0</v>
      </c>
      <c r="I2813">
        <f>'raw data Crude oil'!I2814</f>
        <v>0</v>
      </c>
      <c r="J2813">
        <f>'raw data Crude oil'!J2814</f>
        <v>0</v>
      </c>
      <c r="K2813">
        <f>'raw data Crude oil'!K2814</f>
        <v>0</v>
      </c>
      <c r="L2813">
        <f>'raw data Crude oil'!L2814</f>
        <v>0</v>
      </c>
      <c r="M2813">
        <f>'raw data Crude oil'!M2814</f>
        <v>0</v>
      </c>
      <c r="N2813">
        <f>'raw data Crude oil'!N2814</f>
        <v>0</v>
      </c>
      <c r="O2813">
        <f>'raw data Crude oil'!O2814</f>
        <v>0</v>
      </c>
      <c r="P2813">
        <f>'raw data Crude oil'!P2814</f>
        <v>0</v>
      </c>
      <c r="Q2813">
        <f>'raw data Crude oil'!Q2814</f>
        <v>0</v>
      </c>
      <c r="R2813">
        <f>'raw data Crude oil'!R2814</f>
        <v>0</v>
      </c>
      <c r="S2813">
        <f>'raw data Crude oil'!S2814</f>
        <v>0</v>
      </c>
      <c r="T2813">
        <f>'raw data Crude oil'!T2814</f>
        <v>0</v>
      </c>
      <c r="U2813">
        <f>'raw data Crude oil'!U2814</f>
        <v>0</v>
      </c>
      <c r="V2813">
        <f>'raw data Crude oil'!V2814</f>
        <v>0</v>
      </c>
      <c r="W2813">
        <f>'raw data Crude oil'!W2814</f>
        <v>0</v>
      </c>
      <c r="X2813">
        <f>'raw data Crude oil'!X2814</f>
        <v>0</v>
      </c>
      <c r="Y2813">
        <f>'raw data Crude oil'!Y2814</f>
        <v>0</v>
      </c>
      <c r="Z2813">
        <f>'raw data Crude oil'!Z2814</f>
        <v>0</v>
      </c>
      <c r="AA2813">
        <f>'raw data Crude oil'!AA2814</f>
        <v>0</v>
      </c>
      <c r="AB2813">
        <f>'raw data Crude oil'!AB2814</f>
        <v>0</v>
      </c>
      <c r="AC2813">
        <f>'raw data Crude oil'!AC2814</f>
        <v>0</v>
      </c>
      <c r="AD2813">
        <f>'raw data Crude oil'!AD2814</f>
        <v>0</v>
      </c>
      <c r="AE2813">
        <f>'raw data Crude oil'!AE2814</f>
        <v>0</v>
      </c>
      <c r="AF2813">
        <f>'raw data Crude oil'!AF2814</f>
        <v>0</v>
      </c>
      <c r="AG2813">
        <f>'raw data Crude oil'!AG2814</f>
        <v>0</v>
      </c>
      <c r="AH2813">
        <f>'raw data Crude oil'!AH2814</f>
        <v>0</v>
      </c>
      <c r="AI2813">
        <f>'raw data Crude oil'!AI2814</f>
        <v>0</v>
      </c>
      <c r="AJ2813">
        <f>'raw data Crude oil'!AJ2814</f>
        <v>0</v>
      </c>
      <c r="AK2813">
        <f>'raw data Crude oil'!AK2814</f>
        <v>0</v>
      </c>
    </row>
    <row r="2814" spans="1:37" x14ac:dyDescent="0.3">
      <c r="A2814" s="18">
        <f>'raw data Crude oil'!A2815</f>
        <v>0</v>
      </c>
      <c r="B2814">
        <f>'raw data Crude oil'!B2815</f>
        <v>0</v>
      </c>
      <c r="C2814">
        <f>'raw data Crude oil'!C2815</f>
        <v>0</v>
      </c>
      <c r="D2814">
        <f>'raw data Crude oil'!D2815</f>
        <v>0</v>
      </c>
      <c r="E2814">
        <f>'raw data Crude oil'!E2815</f>
        <v>0</v>
      </c>
      <c r="F2814">
        <f>'raw data Crude oil'!F2815</f>
        <v>0</v>
      </c>
      <c r="G2814">
        <f>'raw data Crude oil'!G2815</f>
        <v>0</v>
      </c>
      <c r="H2814">
        <f>'raw data Crude oil'!H2815</f>
        <v>0</v>
      </c>
      <c r="I2814">
        <f>'raw data Crude oil'!I2815</f>
        <v>0</v>
      </c>
      <c r="J2814">
        <f>'raw data Crude oil'!J2815</f>
        <v>0</v>
      </c>
      <c r="K2814">
        <f>'raw data Crude oil'!K2815</f>
        <v>0</v>
      </c>
      <c r="L2814">
        <f>'raw data Crude oil'!L2815</f>
        <v>0</v>
      </c>
      <c r="M2814">
        <f>'raw data Crude oil'!M2815</f>
        <v>0</v>
      </c>
      <c r="N2814">
        <f>'raw data Crude oil'!N2815</f>
        <v>0</v>
      </c>
      <c r="O2814">
        <f>'raw data Crude oil'!O2815</f>
        <v>0</v>
      </c>
      <c r="P2814">
        <f>'raw data Crude oil'!P2815</f>
        <v>0</v>
      </c>
      <c r="Q2814">
        <f>'raw data Crude oil'!Q2815</f>
        <v>0</v>
      </c>
      <c r="R2814">
        <f>'raw data Crude oil'!R2815</f>
        <v>0</v>
      </c>
      <c r="S2814">
        <f>'raw data Crude oil'!S2815</f>
        <v>0</v>
      </c>
      <c r="T2814">
        <f>'raw data Crude oil'!T2815</f>
        <v>0</v>
      </c>
      <c r="U2814">
        <f>'raw data Crude oil'!U2815</f>
        <v>0</v>
      </c>
      <c r="V2814">
        <f>'raw data Crude oil'!V2815</f>
        <v>0</v>
      </c>
      <c r="W2814">
        <f>'raw data Crude oil'!W2815</f>
        <v>0</v>
      </c>
      <c r="X2814">
        <f>'raw data Crude oil'!X2815</f>
        <v>0</v>
      </c>
      <c r="Y2814">
        <f>'raw data Crude oil'!Y2815</f>
        <v>0</v>
      </c>
      <c r="Z2814">
        <f>'raw data Crude oil'!Z2815</f>
        <v>0</v>
      </c>
      <c r="AA2814">
        <f>'raw data Crude oil'!AA2815</f>
        <v>0</v>
      </c>
      <c r="AB2814">
        <f>'raw data Crude oil'!AB2815</f>
        <v>0</v>
      </c>
      <c r="AC2814">
        <f>'raw data Crude oil'!AC2815</f>
        <v>0</v>
      </c>
      <c r="AD2814">
        <f>'raw data Crude oil'!AD2815</f>
        <v>0</v>
      </c>
      <c r="AE2814">
        <f>'raw data Crude oil'!AE2815</f>
        <v>0</v>
      </c>
      <c r="AF2814">
        <f>'raw data Crude oil'!AF2815</f>
        <v>0</v>
      </c>
      <c r="AG2814">
        <f>'raw data Crude oil'!AG2815</f>
        <v>0</v>
      </c>
      <c r="AH2814">
        <f>'raw data Crude oil'!AH2815</f>
        <v>0</v>
      </c>
      <c r="AI2814">
        <f>'raw data Crude oil'!AI2815</f>
        <v>0</v>
      </c>
      <c r="AJ2814">
        <f>'raw data Crude oil'!AJ2815</f>
        <v>0</v>
      </c>
      <c r="AK2814">
        <f>'raw data Crude oil'!AK2815</f>
        <v>0</v>
      </c>
    </row>
    <row r="2815" spans="1:37" x14ac:dyDescent="0.3">
      <c r="A2815" s="18">
        <f>'raw data Crude oil'!A2816</f>
        <v>0</v>
      </c>
      <c r="B2815">
        <f>'raw data Crude oil'!B2816</f>
        <v>0</v>
      </c>
      <c r="C2815">
        <f>'raw data Crude oil'!C2816</f>
        <v>0</v>
      </c>
      <c r="D2815">
        <f>'raw data Crude oil'!D2816</f>
        <v>0</v>
      </c>
      <c r="E2815">
        <f>'raw data Crude oil'!E2816</f>
        <v>0</v>
      </c>
      <c r="F2815">
        <f>'raw data Crude oil'!F2816</f>
        <v>0</v>
      </c>
      <c r="G2815">
        <f>'raw data Crude oil'!G2816</f>
        <v>0</v>
      </c>
      <c r="H2815">
        <f>'raw data Crude oil'!H2816</f>
        <v>0</v>
      </c>
      <c r="I2815">
        <f>'raw data Crude oil'!I2816</f>
        <v>0</v>
      </c>
      <c r="J2815">
        <f>'raw data Crude oil'!J2816</f>
        <v>0</v>
      </c>
      <c r="K2815">
        <f>'raw data Crude oil'!K2816</f>
        <v>0</v>
      </c>
      <c r="L2815">
        <f>'raw data Crude oil'!L2816</f>
        <v>0</v>
      </c>
      <c r="M2815">
        <f>'raw data Crude oil'!M2816</f>
        <v>0</v>
      </c>
      <c r="N2815">
        <f>'raw data Crude oil'!N2816</f>
        <v>0</v>
      </c>
      <c r="O2815">
        <f>'raw data Crude oil'!O2816</f>
        <v>0</v>
      </c>
      <c r="P2815">
        <f>'raw data Crude oil'!P2816</f>
        <v>0</v>
      </c>
      <c r="Q2815">
        <f>'raw data Crude oil'!Q2816</f>
        <v>0</v>
      </c>
      <c r="R2815">
        <f>'raw data Crude oil'!R2816</f>
        <v>0</v>
      </c>
      <c r="S2815">
        <f>'raw data Crude oil'!S2816</f>
        <v>0</v>
      </c>
      <c r="T2815">
        <f>'raw data Crude oil'!T2816</f>
        <v>0</v>
      </c>
      <c r="U2815">
        <f>'raw data Crude oil'!U2816</f>
        <v>0</v>
      </c>
      <c r="V2815">
        <f>'raw data Crude oil'!V2816</f>
        <v>0</v>
      </c>
      <c r="W2815">
        <f>'raw data Crude oil'!W2816</f>
        <v>0</v>
      </c>
      <c r="X2815">
        <f>'raw data Crude oil'!X2816</f>
        <v>0</v>
      </c>
      <c r="Y2815">
        <f>'raw data Crude oil'!Y2816</f>
        <v>0</v>
      </c>
      <c r="Z2815">
        <f>'raw data Crude oil'!Z2816</f>
        <v>0</v>
      </c>
      <c r="AA2815">
        <f>'raw data Crude oil'!AA2816</f>
        <v>0</v>
      </c>
      <c r="AB2815">
        <f>'raw data Crude oil'!AB2816</f>
        <v>0</v>
      </c>
      <c r="AC2815">
        <f>'raw data Crude oil'!AC2816</f>
        <v>0</v>
      </c>
      <c r="AD2815">
        <f>'raw data Crude oil'!AD2816</f>
        <v>0</v>
      </c>
      <c r="AE2815">
        <f>'raw data Crude oil'!AE2816</f>
        <v>0</v>
      </c>
      <c r="AF2815">
        <f>'raw data Crude oil'!AF2816</f>
        <v>0</v>
      </c>
      <c r="AG2815">
        <f>'raw data Crude oil'!AG2816</f>
        <v>0</v>
      </c>
      <c r="AH2815">
        <f>'raw data Crude oil'!AH2816</f>
        <v>0</v>
      </c>
      <c r="AI2815">
        <f>'raw data Crude oil'!AI2816</f>
        <v>0</v>
      </c>
      <c r="AJ2815">
        <f>'raw data Crude oil'!AJ2816</f>
        <v>0</v>
      </c>
      <c r="AK2815">
        <f>'raw data Crude oil'!AK2816</f>
        <v>0</v>
      </c>
    </row>
    <row r="2816" spans="1:37" x14ac:dyDescent="0.3">
      <c r="A2816" s="18">
        <f>'raw data Crude oil'!A2817</f>
        <v>0</v>
      </c>
      <c r="B2816">
        <f>'raw data Crude oil'!B2817</f>
        <v>0</v>
      </c>
      <c r="C2816">
        <f>'raw data Crude oil'!C2817</f>
        <v>0</v>
      </c>
      <c r="D2816">
        <f>'raw data Crude oil'!D2817</f>
        <v>0</v>
      </c>
      <c r="E2816">
        <f>'raw data Crude oil'!E2817</f>
        <v>0</v>
      </c>
      <c r="F2816">
        <f>'raw data Crude oil'!F2817</f>
        <v>0</v>
      </c>
      <c r="G2816">
        <f>'raw data Crude oil'!G2817</f>
        <v>0</v>
      </c>
      <c r="H2816">
        <f>'raw data Crude oil'!H2817</f>
        <v>0</v>
      </c>
      <c r="I2816">
        <f>'raw data Crude oil'!I2817</f>
        <v>0</v>
      </c>
      <c r="J2816">
        <f>'raw data Crude oil'!J2817</f>
        <v>0</v>
      </c>
      <c r="K2816">
        <f>'raw data Crude oil'!K2817</f>
        <v>0</v>
      </c>
      <c r="L2816">
        <f>'raw data Crude oil'!L2817</f>
        <v>0</v>
      </c>
      <c r="M2816">
        <f>'raw data Crude oil'!M2817</f>
        <v>0</v>
      </c>
      <c r="N2816">
        <f>'raw data Crude oil'!N2817</f>
        <v>0</v>
      </c>
      <c r="O2816">
        <f>'raw data Crude oil'!O2817</f>
        <v>0</v>
      </c>
      <c r="P2816">
        <f>'raw data Crude oil'!P2817</f>
        <v>0</v>
      </c>
      <c r="Q2816">
        <f>'raw data Crude oil'!Q2817</f>
        <v>0</v>
      </c>
      <c r="R2816">
        <f>'raw data Crude oil'!R2817</f>
        <v>0</v>
      </c>
      <c r="S2816">
        <f>'raw data Crude oil'!S2817</f>
        <v>0</v>
      </c>
      <c r="T2816">
        <f>'raw data Crude oil'!T2817</f>
        <v>0</v>
      </c>
      <c r="U2816">
        <f>'raw data Crude oil'!U2817</f>
        <v>0</v>
      </c>
      <c r="V2816">
        <f>'raw data Crude oil'!V2817</f>
        <v>0</v>
      </c>
      <c r="W2816">
        <f>'raw data Crude oil'!W2817</f>
        <v>0</v>
      </c>
      <c r="X2816">
        <f>'raw data Crude oil'!X2817</f>
        <v>0</v>
      </c>
      <c r="Y2816">
        <f>'raw data Crude oil'!Y2817</f>
        <v>0</v>
      </c>
      <c r="Z2816">
        <f>'raw data Crude oil'!Z2817</f>
        <v>0</v>
      </c>
      <c r="AA2816">
        <f>'raw data Crude oil'!AA2817</f>
        <v>0</v>
      </c>
      <c r="AB2816">
        <f>'raw data Crude oil'!AB2817</f>
        <v>0</v>
      </c>
      <c r="AC2816">
        <f>'raw data Crude oil'!AC2817</f>
        <v>0</v>
      </c>
      <c r="AD2816">
        <f>'raw data Crude oil'!AD2817</f>
        <v>0</v>
      </c>
      <c r="AE2816">
        <f>'raw data Crude oil'!AE2817</f>
        <v>0</v>
      </c>
      <c r="AF2816">
        <f>'raw data Crude oil'!AF2817</f>
        <v>0</v>
      </c>
      <c r="AG2816">
        <f>'raw data Crude oil'!AG2817</f>
        <v>0</v>
      </c>
      <c r="AH2816">
        <f>'raw data Crude oil'!AH2817</f>
        <v>0</v>
      </c>
      <c r="AI2816">
        <f>'raw data Crude oil'!AI2817</f>
        <v>0</v>
      </c>
      <c r="AJ2816">
        <f>'raw data Crude oil'!AJ2817</f>
        <v>0</v>
      </c>
      <c r="AK2816">
        <f>'raw data Crude oil'!AK2817</f>
        <v>0</v>
      </c>
    </row>
    <row r="2817" spans="1:37" x14ac:dyDescent="0.3">
      <c r="A2817" s="18">
        <f>'raw data Crude oil'!A2818</f>
        <v>0</v>
      </c>
      <c r="B2817">
        <f>'raw data Crude oil'!B2818</f>
        <v>0</v>
      </c>
      <c r="C2817">
        <f>'raw data Crude oil'!C2818</f>
        <v>0</v>
      </c>
      <c r="D2817">
        <f>'raw data Crude oil'!D2818</f>
        <v>0</v>
      </c>
      <c r="E2817">
        <f>'raw data Crude oil'!E2818</f>
        <v>0</v>
      </c>
      <c r="F2817">
        <f>'raw data Crude oil'!F2818</f>
        <v>0</v>
      </c>
      <c r="G2817">
        <f>'raw data Crude oil'!G2818</f>
        <v>0</v>
      </c>
      <c r="H2817">
        <f>'raw data Crude oil'!H2818</f>
        <v>0</v>
      </c>
      <c r="I2817">
        <f>'raw data Crude oil'!I2818</f>
        <v>0</v>
      </c>
      <c r="J2817">
        <f>'raw data Crude oil'!J2818</f>
        <v>0</v>
      </c>
      <c r="K2817">
        <f>'raw data Crude oil'!K2818</f>
        <v>0</v>
      </c>
      <c r="L2817">
        <f>'raw data Crude oil'!L2818</f>
        <v>0</v>
      </c>
      <c r="M2817">
        <f>'raw data Crude oil'!M2818</f>
        <v>0</v>
      </c>
      <c r="N2817">
        <f>'raw data Crude oil'!N2818</f>
        <v>0</v>
      </c>
      <c r="O2817">
        <f>'raw data Crude oil'!O2818</f>
        <v>0</v>
      </c>
      <c r="P2817">
        <f>'raw data Crude oil'!P2818</f>
        <v>0</v>
      </c>
      <c r="Q2817">
        <f>'raw data Crude oil'!Q2818</f>
        <v>0</v>
      </c>
      <c r="R2817">
        <f>'raw data Crude oil'!R2818</f>
        <v>0</v>
      </c>
      <c r="S2817">
        <f>'raw data Crude oil'!S2818</f>
        <v>0</v>
      </c>
      <c r="T2817">
        <f>'raw data Crude oil'!T2818</f>
        <v>0</v>
      </c>
      <c r="U2817">
        <f>'raw data Crude oil'!U2818</f>
        <v>0</v>
      </c>
      <c r="V2817">
        <f>'raw data Crude oil'!V2818</f>
        <v>0</v>
      </c>
      <c r="W2817">
        <f>'raw data Crude oil'!W2818</f>
        <v>0</v>
      </c>
      <c r="X2817">
        <f>'raw data Crude oil'!X2818</f>
        <v>0</v>
      </c>
      <c r="Y2817">
        <f>'raw data Crude oil'!Y2818</f>
        <v>0</v>
      </c>
      <c r="Z2817">
        <f>'raw data Crude oil'!Z2818</f>
        <v>0</v>
      </c>
      <c r="AA2817">
        <f>'raw data Crude oil'!AA2818</f>
        <v>0</v>
      </c>
      <c r="AB2817">
        <f>'raw data Crude oil'!AB2818</f>
        <v>0</v>
      </c>
      <c r="AC2817">
        <f>'raw data Crude oil'!AC2818</f>
        <v>0</v>
      </c>
      <c r="AD2817">
        <f>'raw data Crude oil'!AD2818</f>
        <v>0</v>
      </c>
      <c r="AE2817">
        <f>'raw data Crude oil'!AE2818</f>
        <v>0</v>
      </c>
      <c r="AF2817">
        <f>'raw data Crude oil'!AF2818</f>
        <v>0</v>
      </c>
      <c r="AG2817">
        <f>'raw data Crude oil'!AG2818</f>
        <v>0</v>
      </c>
      <c r="AH2817">
        <f>'raw data Crude oil'!AH2818</f>
        <v>0</v>
      </c>
      <c r="AI2817">
        <f>'raw data Crude oil'!AI2818</f>
        <v>0</v>
      </c>
      <c r="AJ2817">
        <f>'raw data Crude oil'!AJ2818</f>
        <v>0</v>
      </c>
      <c r="AK2817">
        <f>'raw data Crude oil'!AK2818</f>
        <v>0</v>
      </c>
    </row>
    <row r="2818" spans="1:37" x14ac:dyDescent="0.3">
      <c r="A2818" s="18">
        <f>'raw data Crude oil'!A2819</f>
        <v>0</v>
      </c>
      <c r="B2818">
        <f>'raw data Crude oil'!B2819</f>
        <v>0</v>
      </c>
      <c r="C2818">
        <f>'raw data Crude oil'!C2819</f>
        <v>0</v>
      </c>
      <c r="D2818">
        <f>'raw data Crude oil'!D2819</f>
        <v>0</v>
      </c>
      <c r="E2818">
        <f>'raw data Crude oil'!E2819</f>
        <v>0</v>
      </c>
      <c r="F2818">
        <f>'raw data Crude oil'!F2819</f>
        <v>0</v>
      </c>
      <c r="G2818">
        <f>'raw data Crude oil'!G2819</f>
        <v>0</v>
      </c>
      <c r="H2818">
        <f>'raw data Crude oil'!H2819</f>
        <v>0</v>
      </c>
      <c r="I2818">
        <f>'raw data Crude oil'!I2819</f>
        <v>0</v>
      </c>
      <c r="J2818">
        <f>'raw data Crude oil'!J2819</f>
        <v>0</v>
      </c>
      <c r="K2818">
        <f>'raw data Crude oil'!K2819</f>
        <v>0</v>
      </c>
      <c r="L2818">
        <f>'raw data Crude oil'!L2819</f>
        <v>0</v>
      </c>
      <c r="M2818">
        <f>'raw data Crude oil'!M2819</f>
        <v>0</v>
      </c>
      <c r="N2818">
        <f>'raw data Crude oil'!N2819</f>
        <v>0</v>
      </c>
      <c r="O2818">
        <f>'raw data Crude oil'!O2819</f>
        <v>0</v>
      </c>
      <c r="P2818">
        <f>'raw data Crude oil'!P2819</f>
        <v>0</v>
      </c>
      <c r="Q2818">
        <f>'raw data Crude oil'!Q2819</f>
        <v>0</v>
      </c>
      <c r="R2818">
        <f>'raw data Crude oil'!R2819</f>
        <v>0</v>
      </c>
      <c r="S2818">
        <f>'raw data Crude oil'!S2819</f>
        <v>0</v>
      </c>
      <c r="T2818">
        <f>'raw data Crude oil'!T2819</f>
        <v>0</v>
      </c>
      <c r="U2818">
        <f>'raw data Crude oil'!U2819</f>
        <v>0</v>
      </c>
      <c r="V2818">
        <f>'raw data Crude oil'!V2819</f>
        <v>0</v>
      </c>
      <c r="W2818">
        <f>'raw data Crude oil'!W2819</f>
        <v>0</v>
      </c>
      <c r="X2818">
        <f>'raw data Crude oil'!X2819</f>
        <v>0</v>
      </c>
      <c r="Y2818">
        <f>'raw data Crude oil'!Y2819</f>
        <v>0</v>
      </c>
      <c r="Z2818">
        <f>'raw data Crude oil'!Z2819</f>
        <v>0</v>
      </c>
      <c r="AA2818">
        <f>'raw data Crude oil'!AA2819</f>
        <v>0</v>
      </c>
      <c r="AB2818">
        <f>'raw data Crude oil'!AB2819</f>
        <v>0</v>
      </c>
      <c r="AC2818">
        <f>'raw data Crude oil'!AC2819</f>
        <v>0</v>
      </c>
      <c r="AD2818">
        <f>'raw data Crude oil'!AD2819</f>
        <v>0</v>
      </c>
      <c r="AE2818">
        <f>'raw data Crude oil'!AE2819</f>
        <v>0</v>
      </c>
      <c r="AF2818">
        <f>'raw data Crude oil'!AF2819</f>
        <v>0</v>
      </c>
      <c r="AG2818">
        <f>'raw data Crude oil'!AG2819</f>
        <v>0</v>
      </c>
      <c r="AH2818">
        <f>'raw data Crude oil'!AH2819</f>
        <v>0</v>
      </c>
      <c r="AI2818">
        <f>'raw data Crude oil'!AI2819</f>
        <v>0</v>
      </c>
      <c r="AJ2818">
        <f>'raw data Crude oil'!AJ2819</f>
        <v>0</v>
      </c>
      <c r="AK2818">
        <f>'raw data Crude oil'!AK2819</f>
        <v>0</v>
      </c>
    </row>
    <row r="2819" spans="1:37" x14ac:dyDescent="0.3">
      <c r="A2819" s="18">
        <f>'raw data Crude oil'!A2820</f>
        <v>0</v>
      </c>
      <c r="B2819">
        <f>'raw data Crude oil'!B2820</f>
        <v>0</v>
      </c>
      <c r="C2819">
        <f>'raw data Crude oil'!C2820</f>
        <v>0</v>
      </c>
      <c r="D2819">
        <f>'raw data Crude oil'!D2820</f>
        <v>0</v>
      </c>
      <c r="E2819">
        <f>'raw data Crude oil'!E2820</f>
        <v>0</v>
      </c>
      <c r="F2819">
        <f>'raw data Crude oil'!F2820</f>
        <v>0</v>
      </c>
      <c r="G2819">
        <f>'raw data Crude oil'!G2820</f>
        <v>0</v>
      </c>
      <c r="H2819">
        <f>'raw data Crude oil'!H2820</f>
        <v>0</v>
      </c>
      <c r="I2819">
        <f>'raw data Crude oil'!I2820</f>
        <v>0</v>
      </c>
      <c r="J2819">
        <f>'raw data Crude oil'!J2820</f>
        <v>0</v>
      </c>
      <c r="K2819">
        <f>'raw data Crude oil'!K2820</f>
        <v>0</v>
      </c>
      <c r="L2819">
        <f>'raw data Crude oil'!L2820</f>
        <v>0</v>
      </c>
      <c r="M2819">
        <f>'raw data Crude oil'!M2820</f>
        <v>0</v>
      </c>
      <c r="N2819">
        <f>'raw data Crude oil'!N2820</f>
        <v>0</v>
      </c>
      <c r="O2819">
        <f>'raw data Crude oil'!O2820</f>
        <v>0</v>
      </c>
      <c r="P2819">
        <f>'raw data Crude oil'!P2820</f>
        <v>0</v>
      </c>
      <c r="Q2819">
        <f>'raw data Crude oil'!Q2820</f>
        <v>0</v>
      </c>
      <c r="R2819">
        <f>'raw data Crude oil'!R2820</f>
        <v>0</v>
      </c>
      <c r="S2819">
        <f>'raw data Crude oil'!S2820</f>
        <v>0</v>
      </c>
      <c r="T2819">
        <f>'raw data Crude oil'!T2820</f>
        <v>0</v>
      </c>
      <c r="U2819">
        <f>'raw data Crude oil'!U2820</f>
        <v>0</v>
      </c>
      <c r="V2819">
        <f>'raw data Crude oil'!V2820</f>
        <v>0</v>
      </c>
      <c r="W2819">
        <f>'raw data Crude oil'!W2820</f>
        <v>0</v>
      </c>
      <c r="X2819">
        <f>'raw data Crude oil'!X2820</f>
        <v>0</v>
      </c>
      <c r="Y2819">
        <f>'raw data Crude oil'!Y2820</f>
        <v>0</v>
      </c>
      <c r="Z2819">
        <f>'raw data Crude oil'!Z2820</f>
        <v>0</v>
      </c>
      <c r="AA2819">
        <f>'raw data Crude oil'!AA2820</f>
        <v>0</v>
      </c>
      <c r="AB2819">
        <f>'raw data Crude oil'!AB2820</f>
        <v>0</v>
      </c>
      <c r="AC2819">
        <f>'raw data Crude oil'!AC2820</f>
        <v>0</v>
      </c>
      <c r="AD2819">
        <f>'raw data Crude oil'!AD2820</f>
        <v>0</v>
      </c>
      <c r="AE2819">
        <f>'raw data Crude oil'!AE2820</f>
        <v>0</v>
      </c>
      <c r="AF2819">
        <f>'raw data Crude oil'!AF2820</f>
        <v>0</v>
      </c>
      <c r="AG2819">
        <f>'raw data Crude oil'!AG2820</f>
        <v>0</v>
      </c>
      <c r="AH2819">
        <f>'raw data Crude oil'!AH2820</f>
        <v>0</v>
      </c>
      <c r="AI2819">
        <f>'raw data Crude oil'!AI2820</f>
        <v>0</v>
      </c>
      <c r="AJ2819">
        <f>'raw data Crude oil'!AJ2820</f>
        <v>0</v>
      </c>
      <c r="AK2819">
        <f>'raw data Crude oil'!AK2820</f>
        <v>0</v>
      </c>
    </row>
    <row r="2820" spans="1:37" x14ac:dyDescent="0.3">
      <c r="A2820" s="18">
        <f>'raw data Crude oil'!A2821</f>
        <v>0</v>
      </c>
      <c r="B2820">
        <f>'raw data Crude oil'!B2821</f>
        <v>0</v>
      </c>
      <c r="C2820">
        <f>'raw data Crude oil'!C2821</f>
        <v>0</v>
      </c>
      <c r="D2820">
        <f>'raw data Crude oil'!D2821</f>
        <v>0</v>
      </c>
      <c r="E2820">
        <f>'raw data Crude oil'!E2821</f>
        <v>0</v>
      </c>
      <c r="F2820">
        <f>'raw data Crude oil'!F2821</f>
        <v>0</v>
      </c>
      <c r="G2820">
        <f>'raw data Crude oil'!G2821</f>
        <v>0</v>
      </c>
      <c r="H2820">
        <f>'raw data Crude oil'!H2821</f>
        <v>0</v>
      </c>
      <c r="I2820">
        <f>'raw data Crude oil'!I2821</f>
        <v>0</v>
      </c>
      <c r="J2820">
        <f>'raw data Crude oil'!J2821</f>
        <v>0</v>
      </c>
      <c r="K2820">
        <f>'raw data Crude oil'!K2821</f>
        <v>0</v>
      </c>
      <c r="L2820">
        <f>'raw data Crude oil'!L2821</f>
        <v>0</v>
      </c>
      <c r="M2820">
        <f>'raw data Crude oil'!M2821</f>
        <v>0</v>
      </c>
      <c r="N2820">
        <f>'raw data Crude oil'!N2821</f>
        <v>0</v>
      </c>
      <c r="O2820">
        <f>'raw data Crude oil'!O2821</f>
        <v>0</v>
      </c>
      <c r="P2820">
        <f>'raw data Crude oil'!P2821</f>
        <v>0</v>
      </c>
      <c r="Q2820">
        <f>'raw data Crude oil'!Q2821</f>
        <v>0</v>
      </c>
      <c r="R2820">
        <f>'raw data Crude oil'!R2821</f>
        <v>0</v>
      </c>
      <c r="S2820">
        <f>'raw data Crude oil'!S2821</f>
        <v>0</v>
      </c>
      <c r="T2820">
        <f>'raw data Crude oil'!T2821</f>
        <v>0</v>
      </c>
      <c r="U2820">
        <f>'raw data Crude oil'!U2821</f>
        <v>0</v>
      </c>
      <c r="V2820">
        <f>'raw data Crude oil'!V2821</f>
        <v>0</v>
      </c>
      <c r="W2820">
        <f>'raw data Crude oil'!W2821</f>
        <v>0</v>
      </c>
      <c r="X2820">
        <f>'raw data Crude oil'!X2821</f>
        <v>0</v>
      </c>
      <c r="Y2820">
        <f>'raw data Crude oil'!Y2821</f>
        <v>0</v>
      </c>
      <c r="Z2820">
        <f>'raw data Crude oil'!Z2821</f>
        <v>0</v>
      </c>
      <c r="AA2820">
        <f>'raw data Crude oil'!AA2821</f>
        <v>0</v>
      </c>
      <c r="AB2820">
        <f>'raw data Crude oil'!AB2821</f>
        <v>0</v>
      </c>
      <c r="AC2820">
        <f>'raw data Crude oil'!AC2821</f>
        <v>0</v>
      </c>
      <c r="AD2820">
        <f>'raw data Crude oil'!AD2821</f>
        <v>0</v>
      </c>
      <c r="AE2820">
        <f>'raw data Crude oil'!AE2821</f>
        <v>0</v>
      </c>
      <c r="AF2820">
        <f>'raw data Crude oil'!AF2821</f>
        <v>0</v>
      </c>
      <c r="AG2820">
        <f>'raw data Crude oil'!AG2821</f>
        <v>0</v>
      </c>
      <c r="AH2820">
        <f>'raw data Crude oil'!AH2821</f>
        <v>0</v>
      </c>
      <c r="AI2820">
        <f>'raw data Crude oil'!AI2821</f>
        <v>0</v>
      </c>
      <c r="AJ2820">
        <f>'raw data Crude oil'!AJ2821</f>
        <v>0</v>
      </c>
      <c r="AK2820">
        <f>'raw data Crude oil'!AK2821</f>
        <v>0</v>
      </c>
    </row>
    <row r="2821" spans="1:37" x14ac:dyDescent="0.3">
      <c r="A2821" s="18">
        <f>'raw data Crude oil'!A2822</f>
        <v>0</v>
      </c>
      <c r="B2821">
        <f>'raw data Crude oil'!B2822</f>
        <v>0</v>
      </c>
      <c r="C2821">
        <f>'raw data Crude oil'!C2822</f>
        <v>0</v>
      </c>
      <c r="D2821">
        <f>'raw data Crude oil'!D2822</f>
        <v>0</v>
      </c>
      <c r="E2821">
        <f>'raw data Crude oil'!E2822</f>
        <v>0</v>
      </c>
      <c r="F2821">
        <f>'raw data Crude oil'!F2822</f>
        <v>0</v>
      </c>
      <c r="G2821">
        <f>'raw data Crude oil'!G2822</f>
        <v>0</v>
      </c>
      <c r="H2821">
        <f>'raw data Crude oil'!H2822</f>
        <v>0</v>
      </c>
      <c r="I2821">
        <f>'raw data Crude oil'!I2822</f>
        <v>0</v>
      </c>
      <c r="J2821">
        <f>'raw data Crude oil'!J2822</f>
        <v>0</v>
      </c>
      <c r="K2821">
        <f>'raw data Crude oil'!K2822</f>
        <v>0</v>
      </c>
      <c r="L2821">
        <f>'raw data Crude oil'!L2822</f>
        <v>0</v>
      </c>
      <c r="M2821">
        <f>'raw data Crude oil'!M2822</f>
        <v>0</v>
      </c>
      <c r="N2821">
        <f>'raw data Crude oil'!N2822</f>
        <v>0</v>
      </c>
      <c r="O2821">
        <f>'raw data Crude oil'!O2822</f>
        <v>0</v>
      </c>
      <c r="P2821">
        <f>'raw data Crude oil'!P2822</f>
        <v>0</v>
      </c>
      <c r="Q2821">
        <f>'raw data Crude oil'!Q2822</f>
        <v>0</v>
      </c>
      <c r="R2821">
        <f>'raw data Crude oil'!R2822</f>
        <v>0</v>
      </c>
      <c r="S2821">
        <f>'raw data Crude oil'!S2822</f>
        <v>0</v>
      </c>
      <c r="T2821">
        <f>'raw data Crude oil'!T2822</f>
        <v>0</v>
      </c>
      <c r="U2821">
        <f>'raw data Crude oil'!U2822</f>
        <v>0</v>
      </c>
      <c r="V2821">
        <f>'raw data Crude oil'!V2822</f>
        <v>0</v>
      </c>
      <c r="W2821">
        <f>'raw data Crude oil'!W2822</f>
        <v>0</v>
      </c>
      <c r="X2821">
        <f>'raw data Crude oil'!X2822</f>
        <v>0</v>
      </c>
      <c r="Y2821">
        <f>'raw data Crude oil'!Y2822</f>
        <v>0</v>
      </c>
      <c r="Z2821">
        <f>'raw data Crude oil'!Z2822</f>
        <v>0</v>
      </c>
      <c r="AA2821">
        <f>'raw data Crude oil'!AA2822</f>
        <v>0</v>
      </c>
      <c r="AB2821">
        <f>'raw data Crude oil'!AB2822</f>
        <v>0</v>
      </c>
      <c r="AC2821">
        <f>'raw data Crude oil'!AC2822</f>
        <v>0</v>
      </c>
      <c r="AD2821">
        <f>'raw data Crude oil'!AD2822</f>
        <v>0</v>
      </c>
      <c r="AE2821">
        <f>'raw data Crude oil'!AE2822</f>
        <v>0</v>
      </c>
      <c r="AF2821">
        <f>'raw data Crude oil'!AF2822</f>
        <v>0</v>
      </c>
      <c r="AG2821">
        <f>'raw data Crude oil'!AG2822</f>
        <v>0</v>
      </c>
      <c r="AH2821">
        <f>'raw data Crude oil'!AH2822</f>
        <v>0</v>
      </c>
      <c r="AI2821">
        <f>'raw data Crude oil'!AI2822</f>
        <v>0</v>
      </c>
      <c r="AJ2821">
        <f>'raw data Crude oil'!AJ2822</f>
        <v>0</v>
      </c>
      <c r="AK2821">
        <f>'raw data Crude oil'!AK2822</f>
        <v>0</v>
      </c>
    </row>
    <row r="2822" spans="1:37" x14ac:dyDescent="0.3">
      <c r="A2822" s="18">
        <f>'raw data Crude oil'!A2823</f>
        <v>0</v>
      </c>
      <c r="B2822">
        <f>'raw data Crude oil'!B2823</f>
        <v>0</v>
      </c>
      <c r="C2822">
        <f>'raw data Crude oil'!C2823</f>
        <v>0</v>
      </c>
      <c r="D2822">
        <f>'raw data Crude oil'!D2823</f>
        <v>0</v>
      </c>
      <c r="E2822">
        <f>'raw data Crude oil'!E2823</f>
        <v>0</v>
      </c>
      <c r="F2822">
        <f>'raw data Crude oil'!F2823</f>
        <v>0</v>
      </c>
      <c r="G2822">
        <f>'raw data Crude oil'!G2823</f>
        <v>0</v>
      </c>
      <c r="H2822">
        <f>'raw data Crude oil'!H2823</f>
        <v>0</v>
      </c>
      <c r="I2822">
        <f>'raw data Crude oil'!I2823</f>
        <v>0</v>
      </c>
      <c r="J2822">
        <f>'raw data Crude oil'!J2823</f>
        <v>0</v>
      </c>
      <c r="K2822">
        <f>'raw data Crude oil'!K2823</f>
        <v>0</v>
      </c>
      <c r="L2822">
        <f>'raw data Crude oil'!L2823</f>
        <v>0</v>
      </c>
      <c r="M2822">
        <f>'raw data Crude oil'!M2823</f>
        <v>0</v>
      </c>
      <c r="N2822">
        <f>'raw data Crude oil'!N2823</f>
        <v>0</v>
      </c>
      <c r="O2822">
        <f>'raw data Crude oil'!O2823</f>
        <v>0</v>
      </c>
      <c r="P2822">
        <f>'raw data Crude oil'!P2823</f>
        <v>0</v>
      </c>
      <c r="Q2822">
        <f>'raw data Crude oil'!Q2823</f>
        <v>0</v>
      </c>
      <c r="R2822">
        <f>'raw data Crude oil'!R2823</f>
        <v>0</v>
      </c>
      <c r="S2822">
        <f>'raw data Crude oil'!S2823</f>
        <v>0</v>
      </c>
      <c r="T2822">
        <f>'raw data Crude oil'!T2823</f>
        <v>0</v>
      </c>
      <c r="U2822">
        <f>'raw data Crude oil'!U2823</f>
        <v>0</v>
      </c>
      <c r="V2822">
        <f>'raw data Crude oil'!V2823</f>
        <v>0</v>
      </c>
      <c r="W2822">
        <f>'raw data Crude oil'!W2823</f>
        <v>0</v>
      </c>
      <c r="X2822">
        <f>'raw data Crude oil'!X2823</f>
        <v>0</v>
      </c>
      <c r="Y2822">
        <f>'raw data Crude oil'!Y2823</f>
        <v>0</v>
      </c>
      <c r="Z2822">
        <f>'raw data Crude oil'!Z2823</f>
        <v>0</v>
      </c>
      <c r="AA2822">
        <f>'raw data Crude oil'!AA2823</f>
        <v>0</v>
      </c>
      <c r="AB2822">
        <f>'raw data Crude oil'!AB2823</f>
        <v>0</v>
      </c>
      <c r="AC2822">
        <f>'raw data Crude oil'!AC2823</f>
        <v>0</v>
      </c>
      <c r="AD2822">
        <f>'raw data Crude oil'!AD2823</f>
        <v>0</v>
      </c>
      <c r="AE2822">
        <f>'raw data Crude oil'!AE2823</f>
        <v>0</v>
      </c>
      <c r="AF2822">
        <f>'raw data Crude oil'!AF2823</f>
        <v>0</v>
      </c>
      <c r="AG2822">
        <f>'raw data Crude oil'!AG2823</f>
        <v>0</v>
      </c>
      <c r="AH2822">
        <f>'raw data Crude oil'!AH2823</f>
        <v>0</v>
      </c>
      <c r="AI2822">
        <f>'raw data Crude oil'!AI2823</f>
        <v>0</v>
      </c>
      <c r="AJ2822">
        <f>'raw data Crude oil'!AJ2823</f>
        <v>0</v>
      </c>
      <c r="AK2822">
        <f>'raw data Crude oil'!AK2823</f>
        <v>0</v>
      </c>
    </row>
    <row r="2823" spans="1:37" x14ac:dyDescent="0.3">
      <c r="A2823" s="18">
        <f>'raw data Crude oil'!A2824</f>
        <v>0</v>
      </c>
      <c r="B2823">
        <f>'raw data Crude oil'!B2824</f>
        <v>0</v>
      </c>
      <c r="C2823">
        <f>'raw data Crude oil'!C2824</f>
        <v>0</v>
      </c>
      <c r="D2823">
        <f>'raw data Crude oil'!D2824</f>
        <v>0</v>
      </c>
      <c r="E2823">
        <f>'raw data Crude oil'!E2824</f>
        <v>0</v>
      </c>
      <c r="F2823">
        <f>'raw data Crude oil'!F2824</f>
        <v>0</v>
      </c>
      <c r="G2823">
        <f>'raw data Crude oil'!G2824</f>
        <v>0</v>
      </c>
      <c r="H2823">
        <f>'raw data Crude oil'!H2824</f>
        <v>0</v>
      </c>
      <c r="I2823">
        <f>'raw data Crude oil'!I2824</f>
        <v>0</v>
      </c>
      <c r="J2823">
        <f>'raw data Crude oil'!J2824</f>
        <v>0</v>
      </c>
      <c r="K2823">
        <f>'raw data Crude oil'!K2824</f>
        <v>0</v>
      </c>
      <c r="L2823">
        <f>'raw data Crude oil'!L2824</f>
        <v>0</v>
      </c>
      <c r="M2823">
        <f>'raw data Crude oil'!M2824</f>
        <v>0</v>
      </c>
      <c r="N2823">
        <f>'raw data Crude oil'!N2824</f>
        <v>0</v>
      </c>
      <c r="O2823">
        <f>'raw data Crude oil'!O2824</f>
        <v>0</v>
      </c>
      <c r="P2823">
        <f>'raw data Crude oil'!P2824</f>
        <v>0</v>
      </c>
      <c r="Q2823">
        <f>'raw data Crude oil'!Q2824</f>
        <v>0</v>
      </c>
      <c r="R2823">
        <f>'raw data Crude oil'!R2824</f>
        <v>0</v>
      </c>
      <c r="S2823">
        <f>'raw data Crude oil'!S2824</f>
        <v>0</v>
      </c>
      <c r="T2823">
        <f>'raw data Crude oil'!T2824</f>
        <v>0</v>
      </c>
      <c r="U2823">
        <f>'raw data Crude oil'!U2824</f>
        <v>0</v>
      </c>
      <c r="V2823">
        <f>'raw data Crude oil'!V2824</f>
        <v>0</v>
      </c>
      <c r="W2823">
        <f>'raw data Crude oil'!W2824</f>
        <v>0</v>
      </c>
      <c r="X2823">
        <f>'raw data Crude oil'!X2824</f>
        <v>0</v>
      </c>
      <c r="Y2823">
        <f>'raw data Crude oil'!Y2824</f>
        <v>0</v>
      </c>
      <c r="Z2823">
        <f>'raw data Crude oil'!Z2824</f>
        <v>0</v>
      </c>
      <c r="AA2823">
        <f>'raw data Crude oil'!AA2824</f>
        <v>0</v>
      </c>
      <c r="AB2823">
        <f>'raw data Crude oil'!AB2824</f>
        <v>0</v>
      </c>
      <c r="AC2823">
        <f>'raw data Crude oil'!AC2824</f>
        <v>0</v>
      </c>
      <c r="AD2823">
        <f>'raw data Crude oil'!AD2824</f>
        <v>0</v>
      </c>
      <c r="AE2823">
        <f>'raw data Crude oil'!AE2824</f>
        <v>0</v>
      </c>
      <c r="AF2823">
        <f>'raw data Crude oil'!AF2824</f>
        <v>0</v>
      </c>
      <c r="AG2823">
        <f>'raw data Crude oil'!AG2824</f>
        <v>0</v>
      </c>
      <c r="AH2823">
        <f>'raw data Crude oil'!AH2824</f>
        <v>0</v>
      </c>
      <c r="AI2823">
        <f>'raw data Crude oil'!AI2824</f>
        <v>0</v>
      </c>
      <c r="AJ2823">
        <f>'raw data Crude oil'!AJ2824</f>
        <v>0</v>
      </c>
      <c r="AK2823">
        <f>'raw data Crude oil'!AK2824</f>
        <v>0</v>
      </c>
    </row>
    <row r="2824" spans="1:37" x14ac:dyDescent="0.3">
      <c r="A2824" s="18">
        <f>'raw data Crude oil'!A2825</f>
        <v>0</v>
      </c>
      <c r="B2824">
        <f>'raw data Crude oil'!B2825</f>
        <v>0</v>
      </c>
      <c r="C2824">
        <f>'raw data Crude oil'!C2825</f>
        <v>0</v>
      </c>
      <c r="D2824">
        <f>'raw data Crude oil'!D2825</f>
        <v>0</v>
      </c>
      <c r="E2824">
        <f>'raw data Crude oil'!E2825</f>
        <v>0</v>
      </c>
      <c r="F2824">
        <f>'raw data Crude oil'!F2825</f>
        <v>0</v>
      </c>
      <c r="G2824">
        <f>'raw data Crude oil'!G2825</f>
        <v>0</v>
      </c>
      <c r="H2824">
        <f>'raw data Crude oil'!H2825</f>
        <v>0</v>
      </c>
      <c r="I2824">
        <f>'raw data Crude oil'!I2825</f>
        <v>0</v>
      </c>
      <c r="J2824">
        <f>'raw data Crude oil'!J2825</f>
        <v>0</v>
      </c>
      <c r="K2824">
        <f>'raw data Crude oil'!K2825</f>
        <v>0</v>
      </c>
      <c r="L2824">
        <f>'raw data Crude oil'!L2825</f>
        <v>0</v>
      </c>
      <c r="M2824">
        <f>'raw data Crude oil'!M2825</f>
        <v>0</v>
      </c>
      <c r="N2824">
        <f>'raw data Crude oil'!N2825</f>
        <v>0</v>
      </c>
      <c r="O2824">
        <f>'raw data Crude oil'!O2825</f>
        <v>0</v>
      </c>
      <c r="P2824">
        <f>'raw data Crude oil'!P2825</f>
        <v>0</v>
      </c>
      <c r="Q2824">
        <f>'raw data Crude oil'!Q2825</f>
        <v>0</v>
      </c>
      <c r="R2824">
        <f>'raw data Crude oil'!R2825</f>
        <v>0</v>
      </c>
      <c r="S2824">
        <f>'raw data Crude oil'!S2825</f>
        <v>0</v>
      </c>
      <c r="T2824">
        <f>'raw data Crude oil'!T2825</f>
        <v>0</v>
      </c>
      <c r="U2824">
        <f>'raw data Crude oil'!U2825</f>
        <v>0</v>
      </c>
      <c r="V2824">
        <f>'raw data Crude oil'!V2825</f>
        <v>0</v>
      </c>
      <c r="W2824">
        <f>'raw data Crude oil'!W2825</f>
        <v>0</v>
      </c>
      <c r="X2824">
        <f>'raw data Crude oil'!X2825</f>
        <v>0</v>
      </c>
      <c r="Y2824">
        <f>'raw data Crude oil'!Y2825</f>
        <v>0</v>
      </c>
      <c r="Z2824">
        <f>'raw data Crude oil'!Z2825</f>
        <v>0</v>
      </c>
      <c r="AA2824">
        <f>'raw data Crude oil'!AA2825</f>
        <v>0</v>
      </c>
      <c r="AB2824">
        <f>'raw data Crude oil'!AB2825</f>
        <v>0</v>
      </c>
      <c r="AC2824">
        <f>'raw data Crude oil'!AC2825</f>
        <v>0</v>
      </c>
      <c r="AD2824">
        <f>'raw data Crude oil'!AD2825</f>
        <v>0</v>
      </c>
      <c r="AE2824">
        <f>'raw data Crude oil'!AE2825</f>
        <v>0</v>
      </c>
      <c r="AF2824">
        <f>'raw data Crude oil'!AF2825</f>
        <v>0</v>
      </c>
      <c r="AG2824">
        <f>'raw data Crude oil'!AG2825</f>
        <v>0</v>
      </c>
      <c r="AH2824">
        <f>'raw data Crude oil'!AH2825</f>
        <v>0</v>
      </c>
      <c r="AI2824">
        <f>'raw data Crude oil'!AI2825</f>
        <v>0</v>
      </c>
      <c r="AJ2824">
        <f>'raw data Crude oil'!AJ2825</f>
        <v>0</v>
      </c>
      <c r="AK2824">
        <f>'raw data Crude oil'!AK2825</f>
        <v>0</v>
      </c>
    </row>
    <row r="2825" spans="1:37" x14ac:dyDescent="0.3">
      <c r="A2825" s="18">
        <f>'raw data Crude oil'!A2826</f>
        <v>0</v>
      </c>
      <c r="B2825">
        <f>'raw data Crude oil'!B2826</f>
        <v>0</v>
      </c>
      <c r="C2825">
        <f>'raw data Crude oil'!C2826</f>
        <v>0</v>
      </c>
      <c r="D2825">
        <f>'raw data Crude oil'!D2826</f>
        <v>0</v>
      </c>
      <c r="E2825">
        <f>'raw data Crude oil'!E2826</f>
        <v>0</v>
      </c>
      <c r="F2825">
        <f>'raw data Crude oil'!F2826</f>
        <v>0</v>
      </c>
      <c r="G2825">
        <f>'raw data Crude oil'!G2826</f>
        <v>0</v>
      </c>
      <c r="H2825">
        <f>'raw data Crude oil'!H2826</f>
        <v>0</v>
      </c>
      <c r="I2825">
        <f>'raw data Crude oil'!I2826</f>
        <v>0</v>
      </c>
      <c r="J2825">
        <f>'raw data Crude oil'!J2826</f>
        <v>0</v>
      </c>
      <c r="K2825">
        <f>'raw data Crude oil'!K2826</f>
        <v>0</v>
      </c>
      <c r="L2825">
        <f>'raw data Crude oil'!L2826</f>
        <v>0</v>
      </c>
      <c r="M2825">
        <f>'raw data Crude oil'!M2826</f>
        <v>0</v>
      </c>
      <c r="N2825">
        <f>'raw data Crude oil'!N2826</f>
        <v>0</v>
      </c>
      <c r="O2825">
        <f>'raw data Crude oil'!O2826</f>
        <v>0</v>
      </c>
      <c r="P2825">
        <f>'raw data Crude oil'!P2826</f>
        <v>0</v>
      </c>
      <c r="Q2825">
        <f>'raw data Crude oil'!Q2826</f>
        <v>0</v>
      </c>
      <c r="R2825">
        <f>'raw data Crude oil'!R2826</f>
        <v>0</v>
      </c>
      <c r="S2825">
        <f>'raw data Crude oil'!S2826</f>
        <v>0</v>
      </c>
      <c r="T2825">
        <f>'raw data Crude oil'!T2826</f>
        <v>0</v>
      </c>
      <c r="U2825">
        <f>'raw data Crude oil'!U2826</f>
        <v>0</v>
      </c>
      <c r="V2825">
        <f>'raw data Crude oil'!V2826</f>
        <v>0</v>
      </c>
      <c r="W2825">
        <f>'raw data Crude oil'!W2826</f>
        <v>0</v>
      </c>
      <c r="X2825">
        <f>'raw data Crude oil'!X2826</f>
        <v>0</v>
      </c>
      <c r="Y2825">
        <f>'raw data Crude oil'!Y2826</f>
        <v>0</v>
      </c>
      <c r="Z2825">
        <f>'raw data Crude oil'!Z2826</f>
        <v>0</v>
      </c>
      <c r="AA2825">
        <f>'raw data Crude oil'!AA2826</f>
        <v>0</v>
      </c>
      <c r="AB2825">
        <f>'raw data Crude oil'!AB2826</f>
        <v>0</v>
      </c>
      <c r="AC2825">
        <f>'raw data Crude oil'!AC2826</f>
        <v>0</v>
      </c>
      <c r="AD2825">
        <f>'raw data Crude oil'!AD2826</f>
        <v>0</v>
      </c>
      <c r="AE2825">
        <f>'raw data Crude oil'!AE2826</f>
        <v>0</v>
      </c>
      <c r="AF2825">
        <f>'raw data Crude oil'!AF2826</f>
        <v>0</v>
      </c>
      <c r="AG2825">
        <f>'raw data Crude oil'!AG2826</f>
        <v>0</v>
      </c>
      <c r="AH2825">
        <f>'raw data Crude oil'!AH2826</f>
        <v>0</v>
      </c>
      <c r="AI2825">
        <f>'raw data Crude oil'!AI2826</f>
        <v>0</v>
      </c>
      <c r="AJ2825">
        <f>'raw data Crude oil'!AJ2826</f>
        <v>0</v>
      </c>
      <c r="AK2825">
        <f>'raw data Crude oil'!AK2826</f>
        <v>0</v>
      </c>
    </row>
    <row r="2826" spans="1:37" x14ac:dyDescent="0.3">
      <c r="A2826" s="18">
        <f>'raw data Crude oil'!A2827</f>
        <v>0</v>
      </c>
      <c r="B2826">
        <f>'raw data Crude oil'!B2827</f>
        <v>0</v>
      </c>
      <c r="C2826">
        <f>'raw data Crude oil'!C2827</f>
        <v>0</v>
      </c>
      <c r="D2826">
        <f>'raw data Crude oil'!D2827</f>
        <v>0</v>
      </c>
      <c r="E2826">
        <f>'raw data Crude oil'!E2827</f>
        <v>0</v>
      </c>
      <c r="F2826">
        <f>'raw data Crude oil'!F2827</f>
        <v>0</v>
      </c>
      <c r="G2826">
        <f>'raw data Crude oil'!G2827</f>
        <v>0</v>
      </c>
      <c r="H2826">
        <f>'raw data Crude oil'!H2827</f>
        <v>0</v>
      </c>
      <c r="I2826">
        <f>'raw data Crude oil'!I2827</f>
        <v>0</v>
      </c>
      <c r="J2826">
        <f>'raw data Crude oil'!J2827</f>
        <v>0</v>
      </c>
      <c r="K2826">
        <f>'raw data Crude oil'!K2827</f>
        <v>0</v>
      </c>
      <c r="L2826">
        <f>'raw data Crude oil'!L2827</f>
        <v>0</v>
      </c>
      <c r="M2826">
        <f>'raw data Crude oil'!M2827</f>
        <v>0</v>
      </c>
      <c r="N2826">
        <f>'raw data Crude oil'!N2827</f>
        <v>0</v>
      </c>
      <c r="O2826">
        <f>'raw data Crude oil'!O2827</f>
        <v>0</v>
      </c>
      <c r="P2826">
        <f>'raw data Crude oil'!P2827</f>
        <v>0</v>
      </c>
      <c r="Q2826">
        <f>'raw data Crude oil'!Q2827</f>
        <v>0</v>
      </c>
      <c r="R2826">
        <f>'raw data Crude oil'!R2827</f>
        <v>0</v>
      </c>
      <c r="S2826">
        <f>'raw data Crude oil'!S2827</f>
        <v>0</v>
      </c>
      <c r="T2826">
        <f>'raw data Crude oil'!T2827</f>
        <v>0</v>
      </c>
      <c r="U2826">
        <f>'raw data Crude oil'!U2827</f>
        <v>0</v>
      </c>
      <c r="V2826">
        <f>'raw data Crude oil'!V2827</f>
        <v>0</v>
      </c>
      <c r="W2826">
        <f>'raw data Crude oil'!W2827</f>
        <v>0</v>
      </c>
      <c r="X2826">
        <f>'raw data Crude oil'!X2827</f>
        <v>0</v>
      </c>
      <c r="Y2826">
        <f>'raw data Crude oil'!Y2827</f>
        <v>0</v>
      </c>
      <c r="Z2826">
        <f>'raw data Crude oil'!Z2827</f>
        <v>0</v>
      </c>
      <c r="AA2826">
        <f>'raw data Crude oil'!AA2827</f>
        <v>0</v>
      </c>
      <c r="AB2826">
        <f>'raw data Crude oil'!AB2827</f>
        <v>0</v>
      </c>
      <c r="AC2826">
        <f>'raw data Crude oil'!AC2827</f>
        <v>0</v>
      </c>
      <c r="AD2826">
        <f>'raw data Crude oil'!AD2827</f>
        <v>0</v>
      </c>
      <c r="AE2826">
        <f>'raw data Crude oil'!AE2827</f>
        <v>0</v>
      </c>
      <c r="AF2826">
        <f>'raw data Crude oil'!AF2827</f>
        <v>0</v>
      </c>
      <c r="AG2826">
        <f>'raw data Crude oil'!AG2827</f>
        <v>0</v>
      </c>
      <c r="AH2826">
        <f>'raw data Crude oil'!AH2827</f>
        <v>0</v>
      </c>
      <c r="AI2826">
        <f>'raw data Crude oil'!AI2827</f>
        <v>0</v>
      </c>
      <c r="AJ2826">
        <f>'raw data Crude oil'!AJ2827</f>
        <v>0</v>
      </c>
      <c r="AK2826">
        <f>'raw data Crude oil'!AK2827</f>
        <v>0</v>
      </c>
    </row>
    <row r="2827" spans="1:37" x14ac:dyDescent="0.3">
      <c r="A2827" s="18">
        <f>'raw data Crude oil'!A2828</f>
        <v>0</v>
      </c>
      <c r="B2827">
        <f>'raw data Crude oil'!B2828</f>
        <v>0</v>
      </c>
      <c r="C2827">
        <f>'raw data Crude oil'!C2828</f>
        <v>0</v>
      </c>
      <c r="D2827">
        <f>'raw data Crude oil'!D2828</f>
        <v>0</v>
      </c>
      <c r="E2827">
        <f>'raw data Crude oil'!E2828</f>
        <v>0</v>
      </c>
      <c r="F2827">
        <f>'raw data Crude oil'!F2828</f>
        <v>0</v>
      </c>
      <c r="G2827">
        <f>'raw data Crude oil'!G2828</f>
        <v>0</v>
      </c>
      <c r="H2827">
        <f>'raw data Crude oil'!H2828</f>
        <v>0</v>
      </c>
      <c r="I2827">
        <f>'raw data Crude oil'!I2828</f>
        <v>0</v>
      </c>
      <c r="J2827">
        <f>'raw data Crude oil'!J2828</f>
        <v>0</v>
      </c>
      <c r="K2827">
        <f>'raw data Crude oil'!K2828</f>
        <v>0</v>
      </c>
      <c r="L2827">
        <f>'raw data Crude oil'!L2828</f>
        <v>0</v>
      </c>
      <c r="M2827">
        <f>'raw data Crude oil'!M2828</f>
        <v>0</v>
      </c>
      <c r="N2827">
        <f>'raw data Crude oil'!N2828</f>
        <v>0</v>
      </c>
      <c r="O2827">
        <f>'raw data Crude oil'!O2828</f>
        <v>0</v>
      </c>
      <c r="P2827">
        <f>'raw data Crude oil'!P2828</f>
        <v>0</v>
      </c>
      <c r="Q2827">
        <f>'raw data Crude oil'!Q2828</f>
        <v>0</v>
      </c>
      <c r="R2827">
        <f>'raw data Crude oil'!R2828</f>
        <v>0</v>
      </c>
      <c r="S2827">
        <f>'raw data Crude oil'!S2828</f>
        <v>0</v>
      </c>
      <c r="T2827">
        <f>'raw data Crude oil'!T2828</f>
        <v>0</v>
      </c>
      <c r="U2827">
        <f>'raw data Crude oil'!U2828</f>
        <v>0</v>
      </c>
      <c r="V2827">
        <f>'raw data Crude oil'!V2828</f>
        <v>0</v>
      </c>
      <c r="W2827">
        <f>'raw data Crude oil'!W2828</f>
        <v>0</v>
      </c>
      <c r="X2827">
        <f>'raw data Crude oil'!X2828</f>
        <v>0</v>
      </c>
      <c r="Y2827">
        <f>'raw data Crude oil'!Y2828</f>
        <v>0</v>
      </c>
      <c r="Z2827">
        <f>'raw data Crude oil'!Z2828</f>
        <v>0</v>
      </c>
      <c r="AA2827">
        <f>'raw data Crude oil'!AA2828</f>
        <v>0</v>
      </c>
      <c r="AB2827">
        <f>'raw data Crude oil'!AB2828</f>
        <v>0</v>
      </c>
      <c r="AC2827">
        <f>'raw data Crude oil'!AC2828</f>
        <v>0</v>
      </c>
      <c r="AD2827">
        <f>'raw data Crude oil'!AD2828</f>
        <v>0</v>
      </c>
      <c r="AE2827">
        <f>'raw data Crude oil'!AE2828</f>
        <v>0</v>
      </c>
      <c r="AF2827">
        <f>'raw data Crude oil'!AF2828</f>
        <v>0</v>
      </c>
      <c r="AG2827">
        <f>'raw data Crude oil'!AG2828</f>
        <v>0</v>
      </c>
      <c r="AH2827">
        <f>'raw data Crude oil'!AH2828</f>
        <v>0</v>
      </c>
      <c r="AI2827">
        <f>'raw data Crude oil'!AI2828</f>
        <v>0</v>
      </c>
      <c r="AJ2827">
        <f>'raw data Crude oil'!AJ2828</f>
        <v>0</v>
      </c>
      <c r="AK2827">
        <f>'raw data Crude oil'!AK2828</f>
        <v>0</v>
      </c>
    </row>
    <row r="2828" spans="1:37" x14ac:dyDescent="0.3">
      <c r="A2828" s="18">
        <f>'raw data Crude oil'!A2829</f>
        <v>0</v>
      </c>
      <c r="B2828">
        <f>'raw data Crude oil'!B2829</f>
        <v>0</v>
      </c>
      <c r="C2828">
        <f>'raw data Crude oil'!C2829</f>
        <v>0</v>
      </c>
      <c r="D2828">
        <f>'raw data Crude oil'!D2829</f>
        <v>0</v>
      </c>
      <c r="E2828">
        <f>'raw data Crude oil'!E2829</f>
        <v>0</v>
      </c>
      <c r="F2828">
        <f>'raw data Crude oil'!F2829</f>
        <v>0</v>
      </c>
      <c r="G2828">
        <f>'raw data Crude oil'!G2829</f>
        <v>0</v>
      </c>
      <c r="H2828">
        <f>'raw data Crude oil'!H2829</f>
        <v>0</v>
      </c>
      <c r="I2828">
        <f>'raw data Crude oil'!I2829</f>
        <v>0</v>
      </c>
      <c r="J2828">
        <f>'raw data Crude oil'!J2829</f>
        <v>0</v>
      </c>
      <c r="K2828">
        <f>'raw data Crude oil'!K2829</f>
        <v>0</v>
      </c>
      <c r="L2828">
        <f>'raw data Crude oil'!L2829</f>
        <v>0</v>
      </c>
      <c r="M2828">
        <f>'raw data Crude oil'!M2829</f>
        <v>0</v>
      </c>
      <c r="N2828">
        <f>'raw data Crude oil'!N2829</f>
        <v>0</v>
      </c>
      <c r="O2828">
        <f>'raw data Crude oil'!O2829</f>
        <v>0</v>
      </c>
      <c r="P2828">
        <f>'raw data Crude oil'!P2829</f>
        <v>0</v>
      </c>
      <c r="Q2828">
        <f>'raw data Crude oil'!Q2829</f>
        <v>0</v>
      </c>
      <c r="R2828">
        <f>'raw data Crude oil'!R2829</f>
        <v>0</v>
      </c>
      <c r="S2828">
        <f>'raw data Crude oil'!S2829</f>
        <v>0</v>
      </c>
      <c r="T2828">
        <f>'raw data Crude oil'!T2829</f>
        <v>0</v>
      </c>
      <c r="U2828">
        <f>'raw data Crude oil'!U2829</f>
        <v>0</v>
      </c>
      <c r="V2828">
        <f>'raw data Crude oil'!V2829</f>
        <v>0</v>
      </c>
      <c r="W2828">
        <f>'raw data Crude oil'!W2829</f>
        <v>0</v>
      </c>
      <c r="X2828">
        <f>'raw data Crude oil'!X2829</f>
        <v>0</v>
      </c>
      <c r="Y2828">
        <f>'raw data Crude oil'!Y2829</f>
        <v>0</v>
      </c>
      <c r="Z2828">
        <f>'raw data Crude oil'!Z2829</f>
        <v>0</v>
      </c>
      <c r="AA2828">
        <f>'raw data Crude oil'!AA2829</f>
        <v>0</v>
      </c>
      <c r="AB2828">
        <f>'raw data Crude oil'!AB2829</f>
        <v>0</v>
      </c>
      <c r="AC2828">
        <f>'raw data Crude oil'!AC2829</f>
        <v>0</v>
      </c>
      <c r="AD2828">
        <f>'raw data Crude oil'!AD2829</f>
        <v>0</v>
      </c>
      <c r="AE2828">
        <f>'raw data Crude oil'!AE2829</f>
        <v>0</v>
      </c>
      <c r="AF2828">
        <f>'raw data Crude oil'!AF2829</f>
        <v>0</v>
      </c>
      <c r="AG2828">
        <f>'raw data Crude oil'!AG2829</f>
        <v>0</v>
      </c>
      <c r="AH2828">
        <f>'raw data Crude oil'!AH2829</f>
        <v>0</v>
      </c>
      <c r="AI2828">
        <f>'raw data Crude oil'!AI2829</f>
        <v>0</v>
      </c>
      <c r="AJ2828">
        <f>'raw data Crude oil'!AJ2829</f>
        <v>0</v>
      </c>
      <c r="AK2828">
        <f>'raw data Crude oil'!AK2829</f>
        <v>0</v>
      </c>
    </row>
    <row r="2829" spans="1:37" x14ac:dyDescent="0.3">
      <c r="A2829" s="18">
        <f>'raw data Crude oil'!A2830</f>
        <v>0</v>
      </c>
      <c r="B2829">
        <f>'raw data Crude oil'!B2830</f>
        <v>0</v>
      </c>
      <c r="C2829">
        <f>'raw data Crude oil'!C2830</f>
        <v>0</v>
      </c>
      <c r="D2829">
        <f>'raw data Crude oil'!D2830</f>
        <v>0</v>
      </c>
      <c r="E2829">
        <f>'raw data Crude oil'!E2830</f>
        <v>0</v>
      </c>
      <c r="F2829">
        <f>'raw data Crude oil'!F2830</f>
        <v>0</v>
      </c>
      <c r="G2829">
        <f>'raw data Crude oil'!G2830</f>
        <v>0</v>
      </c>
      <c r="H2829">
        <f>'raw data Crude oil'!H2830</f>
        <v>0</v>
      </c>
      <c r="I2829">
        <f>'raw data Crude oil'!I2830</f>
        <v>0</v>
      </c>
      <c r="J2829">
        <f>'raw data Crude oil'!J2830</f>
        <v>0</v>
      </c>
      <c r="K2829">
        <f>'raw data Crude oil'!K2830</f>
        <v>0</v>
      </c>
      <c r="L2829">
        <f>'raw data Crude oil'!L2830</f>
        <v>0</v>
      </c>
      <c r="M2829">
        <f>'raw data Crude oil'!M2830</f>
        <v>0</v>
      </c>
      <c r="N2829">
        <f>'raw data Crude oil'!N2830</f>
        <v>0</v>
      </c>
      <c r="O2829">
        <f>'raw data Crude oil'!O2830</f>
        <v>0</v>
      </c>
      <c r="P2829">
        <f>'raw data Crude oil'!P2830</f>
        <v>0</v>
      </c>
      <c r="Q2829">
        <f>'raw data Crude oil'!Q2830</f>
        <v>0</v>
      </c>
      <c r="R2829">
        <f>'raw data Crude oil'!R2830</f>
        <v>0</v>
      </c>
      <c r="S2829">
        <f>'raw data Crude oil'!S2830</f>
        <v>0</v>
      </c>
      <c r="T2829">
        <f>'raw data Crude oil'!T2830</f>
        <v>0</v>
      </c>
      <c r="U2829">
        <f>'raw data Crude oil'!U2830</f>
        <v>0</v>
      </c>
      <c r="V2829">
        <f>'raw data Crude oil'!V2830</f>
        <v>0</v>
      </c>
      <c r="W2829">
        <f>'raw data Crude oil'!W2830</f>
        <v>0</v>
      </c>
      <c r="X2829">
        <f>'raw data Crude oil'!X2830</f>
        <v>0</v>
      </c>
      <c r="Y2829">
        <f>'raw data Crude oil'!Y2830</f>
        <v>0</v>
      </c>
      <c r="Z2829">
        <f>'raw data Crude oil'!Z2830</f>
        <v>0</v>
      </c>
      <c r="AA2829">
        <f>'raw data Crude oil'!AA2830</f>
        <v>0</v>
      </c>
      <c r="AB2829">
        <f>'raw data Crude oil'!AB2830</f>
        <v>0</v>
      </c>
      <c r="AC2829">
        <f>'raw data Crude oil'!AC2830</f>
        <v>0</v>
      </c>
      <c r="AD2829">
        <f>'raw data Crude oil'!AD2830</f>
        <v>0</v>
      </c>
      <c r="AE2829">
        <f>'raw data Crude oil'!AE2830</f>
        <v>0</v>
      </c>
      <c r="AF2829">
        <f>'raw data Crude oil'!AF2830</f>
        <v>0</v>
      </c>
      <c r="AG2829">
        <f>'raw data Crude oil'!AG2830</f>
        <v>0</v>
      </c>
      <c r="AH2829">
        <f>'raw data Crude oil'!AH2830</f>
        <v>0</v>
      </c>
      <c r="AI2829">
        <f>'raw data Crude oil'!AI2830</f>
        <v>0</v>
      </c>
      <c r="AJ2829">
        <f>'raw data Crude oil'!AJ2830</f>
        <v>0</v>
      </c>
      <c r="AK2829">
        <f>'raw data Crude oil'!AK2830</f>
        <v>0</v>
      </c>
    </row>
    <row r="2830" spans="1:37" x14ac:dyDescent="0.3">
      <c r="A2830" s="18">
        <f>'raw data Crude oil'!A2831</f>
        <v>0</v>
      </c>
      <c r="B2830">
        <f>'raw data Crude oil'!B2831</f>
        <v>0</v>
      </c>
      <c r="C2830">
        <f>'raw data Crude oil'!C2831</f>
        <v>0</v>
      </c>
      <c r="D2830">
        <f>'raw data Crude oil'!D2831</f>
        <v>0</v>
      </c>
      <c r="E2830">
        <f>'raw data Crude oil'!E2831</f>
        <v>0</v>
      </c>
      <c r="F2830">
        <f>'raw data Crude oil'!F2831</f>
        <v>0</v>
      </c>
      <c r="G2830">
        <f>'raw data Crude oil'!G2831</f>
        <v>0</v>
      </c>
      <c r="H2830">
        <f>'raw data Crude oil'!H2831</f>
        <v>0</v>
      </c>
      <c r="I2830">
        <f>'raw data Crude oil'!I2831</f>
        <v>0</v>
      </c>
      <c r="J2830">
        <f>'raw data Crude oil'!J2831</f>
        <v>0</v>
      </c>
      <c r="K2830">
        <f>'raw data Crude oil'!K2831</f>
        <v>0</v>
      </c>
      <c r="L2830">
        <f>'raw data Crude oil'!L2831</f>
        <v>0</v>
      </c>
      <c r="M2830">
        <f>'raw data Crude oil'!M2831</f>
        <v>0</v>
      </c>
      <c r="N2830">
        <f>'raw data Crude oil'!N2831</f>
        <v>0</v>
      </c>
      <c r="O2830">
        <f>'raw data Crude oil'!O2831</f>
        <v>0</v>
      </c>
      <c r="P2830">
        <f>'raw data Crude oil'!P2831</f>
        <v>0</v>
      </c>
      <c r="Q2830">
        <f>'raw data Crude oil'!Q2831</f>
        <v>0</v>
      </c>
      <c r="R2830">
        <f>'raw data Crude oil'!R2831</f>
        <v>0</v>
      </c>
      <c r="S2830">
        <f>'raw data Crude oil'!S2831</f>
        <v>0</v>
      </c>
      <c r="T2830">
        <f>'raw data Crude oil'!T2831</f>
        <v>0</v>
      </c>
      <c r="U2830">
        <f>'raw data Crude oil'!U2831</f>
        <v>0</v>
      </c>
      <c r="V2830">
        <f>'raw data Crude oil'!V2831</f>
        <v>0</v>
      </c>
      <c r="W2830">
        <f>'raw data Crude oil'!W2831</f>
        <v>0</v>
      </c>
      <c r="X2830">
        <f>'raw data Crude oil'!X2831</f>
        <v>0</v>
      </c>
      <c r="Y2830">
        <f>'raw data Crude oil'!Y2831</f>
        <v>0</v>
      </c>
      <c r="Z2830">
        <f>'raw data Crude oil'!Z2831</f>
        <v>0</v>
      </c>
      <c r="AA2830">
        <f>'raw data Crude oil'!AA2831</f>
        <v>0</v>
      </c>
      <c r="AB2830">
        <f>'raw data Crude oil'!AB2831</f>
        <v>0</v>
      </c>
      <c r="AC2830">
        <f>'raw data Crude oil'!AC2831</f>
        <v>0</v>
      </c>
      <c r="AD2830">
        <f>'raw data Crude oil'!AD2831</f>
        <v>0</v>
      </c>
      <c r="AE2830">
        <f>'raw data Crude oil'!AE2831</f>
        <v>0</v>
      </c>
      <c r="AF2830">
        <f>'raw data Crude oil'!AF2831</f>
        <v>0</v>
      </c>
      <c r="AG2830">
        <f>'raw data Crude oil'!AG2831</f>
        <v>0</v>
      </c>
      <c r="AH2830">
        <f>'raw data Crude oil'!AH2831</f>
        <v>0</v>
      </c>
      <c r="AI2830">
        <f>'raw data Crude oil'!AI2831</f>
        <v>0</v>
      </c>
      <c r="AJ2830">
        <f>'raw data Crude oil'!AJ2831</f>
        <v>0</v>
      </c>
      <c r="AK2830">
        <f>'raw data Crude oil'!AK2831</f>
        <v>0</v>
      </c>
    </row>
    <row r="2831" spans="1:37" x14ac:dyDescent="0.3">
      <c r="A2831" s="18">
        <f>'raw data Crude oil'!A2832</f>
        <v>0</v>
      </c>
      <c r="B2831">
        <f>'raw data Crude oil'!B2832</f>
        <v>0</v>
      </c>
      <c r="C2831">
        <f>'raw data Crude oil'!C2832</f>
        <v>0</v>
      </c>
      <c r="D2831">
        <f>'raw data Crude oil'!D2832</f>
        <v>0</v>
      </c>
      <c r="E2831">
        <f>'raw data Crude oil'!E2832</f>
        <v>0</v>
      </c>
      <c r="F2831">
        <f>'raw data Crude oil'!F2832</f>
        <v>0</v>
      </c>
      <c r="G2831">
        <f>'raw data Crude oil'!G2832</f>
        <v>0</v>
      </c>
      <c r="H2831">
        <f>'raw data Crude oil'!H2832</f>
        <v>0</v>
      </c>
      <c r="I2831">
        <f>'raw data Crude oil'!I2832</f>
        <v>0</v>
      </c>
      <c r="J2831">
        <f>'raw data Crude oil'!J2832</f>
        <v>0</v>
      </c>
      <c r="K2831">
        <f>'raw data Crude oil'!K2832</f>
        <v>0</v>
      </c>
      <c r="L2831">
        <f>'raw data Crude oil'!L2832</f>
        <v>0</v>
      </c>
      <c r="M2831">
        <f>'raw data Crude oil'!M2832</f>
        <v>0</v>
      </c>
      <c r="N2831">
        <f>'raw data Crude oil'!N2832</f>
        <v>0</v>
      </c>
      <c r="O2831">
        <f>'raw data Crude oil'!O2832</f>
        <v>0</v>
      </c>
      <c r="P2831">
        <f>'raw data Crude oil'!P2832</f>
        <v>0</v>
      </c>
      <c r="Q2831">
        <f>'raw data Crude oil'!Q2832</f>
        <v>0</v>
      </c>
      <c r="R2831">
        <f>'raw data Crude oil'!R2832</f>
        <v>0</v>
      </c>
      <c r="S2831">
        <f>'raw data Crude oil'!S2832</f>
        <v>0</v>
      </c>
      <c r="T2831">
        <f>'raw data Crude oil'!T2832</f>
        <v>0</v>
      </c>
      <c r="U2831">
        <f>'raw data Crude oil'!U2832</f>
        <v>0</v>
      </c>
      <c r="V2831">
        <f>'raw data Crude oil'!V2832</f>
        <v>0</v>
      </c>
      <c r="W2831">
        <f>'raw data Crude oil'!W2832</f>
        <v>0</v>
      </c>
      <c r="X2831">
        <f>'raw data Crude oil'!X2832</f>
        <v>0</v>
      </c>
      <c r="Y2831">
        <f>'raw data Crude oil'!Y2832</f>
        <v>0</v>
      </c>
      <c r="Z2831">
        <f>'raw data Crude oil'!Z2832</f>
        <v>0</v>
      </c>
      <c r="AA2831">
        <f>'raw data Crude oil'!AA2832</f>
        <v>0</v>
      </c>
      <c r="AB2831">
        <f>'raw data Crude oil'!AB2832</f>
        <v>0</v>
      </c>
      <c r="AC2831">
        <f>'raw data Crude oil'!AC2832</f>
        <v>0</v>
      </c>
      <c r="AD2831">
        <f>'raw data Crude oil'!AD2832</f>
        <v>0</v>
      </c>
      <c r="AE2831">
        <f>'raw data Crude oil'!AE2832</f>
        <v>0</v>
      </c>
      <c r="AF2831">
        <f>'raw data Crude oil'!AF2832</f>
        <v>0</v>
      </c>
      <c r="AG2831">
        <f>'raw data Crude oil'!AG2832</f>
        <v>0</v>
      </c>
      <c r="AH2831">
        <f>'raw data Crude oil'!AH2832</f>
        <v>0</v>
      </c>
      <c r="AI2831">
        <f>'raw data Crude oil'!AI2832</f>
        <v>0</v>
      </c>
      <c r="AJ2831">
        <f>'raw data Crude oil'!AJ2832</f>
        <v>0</v>
      </c>
      <c r="AK2831">
        <f>'raw data Crude oil'!AK2832</f>
        <v>0</v>
      </c>
    </row>
    <row r="2832" spans="1:37" x14ac:dyDescent="0.3">
      <c r="A2832" s="18">
        <f>'raw data Crude oil'!A2833</f>
        <v>0</v>
      </c>
      <c r="B2832">
        <f>'raw data Crude oil'!B2833</f>
        <v>0</v>
      </c>
      <c r="C2832">
        <f>'raw data Crude oil'!C2833</f>
        <v>0</v>
      </c>
      <c r="D2832">
        <f>'raw data Crude oil'!D2833</f>
        <v>0</v>
      </c>
      <c r="E2832">
        <f>'raw data Crude oil'!E2833</f>
        <v>0</v>
      </c>
      <c r="F2832">
        <f>'raw data Crude oil'!F2833</f>
        <v>0</v>
      </c>
      <c r="G2832">
        <f>'raw data Crude oil'!G2833</f>
        <v>0</v>
      </c>
      <c r="H2832">
        <f>'raw data Crude oil'!H2833</f>
        <v>0</v>
      </c>
      <c r="I2832">
        <f>'raw data Crude oil'!I2833</f>
        <v>0</v>
      </c>
      <c r="J2832">
        <f>'raw data Crude oil'!J2833</f>
        <v>0</v>
      </c>
      <c r="K2832">
        <f>'raw data Crude oil'!K2833</f>
        <v>0</v>
      </c>
      <c r="L2832">
        <f>'raw data Crude oil'!L2833</f>
        <v>0</v>
      </c>
      <c r="M2832">
        <f>'raw data Crude oil'!M2833</f>
        <v>0</v>
      </c>
      <c r="N2832">
        <f>'raw data Crude oil'!N2833</f>
        <v>0</v>
      </c>
      <c r="O2832">
        <f>'raw data Crude oil'!O2833</f>
        <v>0</v>
      </c>
      <c r="P2832">
        <f>'raw data Crude oil'!P2833</f>
        <v>0</v>
      </c>
      <c r="Q2832">
        <f>'raw data Crude oil'!Q2833</f>
        <v>0</v>
      </c>
      <c r="R2832">
        <f>'raw data Crude oil'!R2833</f>
        <v>0</v>
      </c>
      <c r="S2832">
        <f>'raw data Crude oil'!S2833</f>
        <v>0</v>
      </c>
      <c r="T2832">
        <f>'raw data Crude oil'!T2833</f>
        <v>0</v>
      </c>
      <c r="U2832">
        <f>'raw data Crude oil'!U2833</f>
        <v>0</v>
      </c>
      <c r="V2832">
        <f>'raw data Crude oil'!V2833</f>
        <v>0</v>
      </c>
      <c r="W2832">
        <f>'raw data Crude oil'!W2833</f>
        <v>0</v>
      </c>
      <c r="X2832">
        <f>'raw data Crude oil'!X2833</f>
        <v>0</v>
      </c>
      <c r="Y2832">
        <f>'raw data Crude oil'!Y2833</f>
        <v>0</v>
      </c>
      <c r="Z2832">
        <f>'raw data Crude oil'!Z2833</f>
        <v>0</v>
      </c>
      <c r="AA2832">
        <f>'raw data Crude oil'!AA2833</f>
        <v>0</v>
      </c>
      <c r="AB2832">
        <f>'raw data Crude oil'!AB2833</f>
        <v>0</v>
      </c>
      <c r="AC2832">
        <f>'raw data Crude oil'!AC2833</f>
        <v>0</v>
      </c>
      <c r="AD2832">
        <f>'raw data Crude oil'!AD2833</f>
        <v>0</v>
      </c>
      <c r="AE2832">
        <f>'raw data Crude oil'!AE2833</f>
        <v>0</v>
      </c>
      <c r="AF2832">
        <f>'raw data Crude oil'!AF2833</f>
        <v>0</v>
      </c>
      <c r="AG2832">
        <f>'raw data Crude oil'!AG2833</f>
        <v>0</v>
      </c>
      <c r="AH2832">
        <f>'raw data Crude oil'!AH2833</f>
        <v>0</v>
      </c>
      <c r="AI2832">
        <f>'raw data Crude oil'!AI2833</f>
        <v>0</v>
      </c>
      <c r="AJ2832">
        <f>'raw data Crude oil'!AJ2833</f>
        <v>0</v>
      </c>
      <c r="AK2832">
        <f>'raw data Crude oil'!AK2833</f>
        <v>0</v>
      </c>
    </row>
    <row r="2833" spans="1:37" x14ac:dyDescent="0.3">
      <c r="A2833" s="18">
        <f>'raw data Crude oil'!A2834</f>
        <v>0</v>
      </c>
      <c r="B2833">
        <f>'raw data Crude oil'!B2834</f>
        <v>0</v>
      </c>
      <c r="C2833">
        <f>'raw data Crude oil'!C2834</f>
        <v>0</v>
      </c>
      <c r="D2833">
        <f>'raw data Crude oil'!D2834</f>
        <v>0</v>
      </c>
      <c r="E2833">
        <f>'raw data Crude oil'!E2834</f>
        <v>0</v>
      </c>
      <c r="F2833">
        <f>'raw data Crude oil'!F2834</f>
        <v>0</v>
      </c>
      <c r="G2833">
        <f>'raw data Crude oil'!G2834</f>
        <v>0</v>
      </c>
      <c r="H2833">
        <f>'raw data Crude oil'!H2834</f>
        <v>0</v>
      </c>
      <c r="I2833">
        <f>'raw data Crude oil'!I2834</f>
        <v>0</v>
      </c>
      <c r="J2833">
        <f>'raw data Crude oil'!J2834</f>
        <v>0</v>
      </c>
      <c r="K2833">
        <f>'raw data Crude oil'!K2834</f>
        <v>0</v>
      </c>
      <c r="L2833">
        <f>'raw data Crude oil'!L2834</f>
        <v>0</v>
      </c>
      <c r="M2833">
        <f>'raw data Crude oil'!M2834</f>
        <v>0</v>
      </c>
      <c r="N2833">
        <f>'raw data Crude oil'!N2834</f>
        <v>0</v>
      </c>
      <c r="O2833">
        <f>'raw data Crude oil'!O2834</f>
        <v>0</v>
      </c>
      <c r="P2833">
        <f>'raw data Crude oil'!P2834</f>
        <v>0</v>
      </c>
      <c r="Q2833">
        <f>'raw data Crude oil'!Q2834</f>
        <v>0</v>
      </c>
      <c r="R2833">
        <f>'raw data Crude oil'!R2834</f>
        <v>0</v>
      </c>
      <c r="S2833">
        <f>'raw data Crude oil'!S2834</f>
        <v>0</v>
      </c>
      <c r="T2833">
        <f>'raw data Crude oil'!T2834</f>
        <v>0</v>
      </c>
      <c r="U2833">
        <f>'raw data Crude oil'!U2834</f>
        <v>0</v>
      </c>
      <c r="V2833">
        <f>'raw data Crude oil'!V2834</f>
        <v>0</v>
      </c>
      <c r="W2833">
        <f>'raw data Crude oil'!W2834</f>
        <v>0</v>
      </c>
      <c r="X2833">
        <f>'raw data Crude oil'!X2834</f>
        <v>0</v>
      </c>
      <c r="Y2833">
        <f>'raw data Crude oil'!Y2834</f>
        <v>0</v>
      </c>
      <c r="Z2833">
        <f>'raw data Crude oil'!Z2834</f>
        <v>0</v>
      </c>
      <c r="AA2833">
        <f>'raw data Crude oil'!AA2834</f>
        <v>0</v>
      </c>
      <c r="AB2833">
        <f>'raw data Crude oil'!AB2834</f>
        <v>0</v>
      </c>
      <c r="AC2833">
        <f>'raw data Crude oil'!AC2834</f>
        <v>0</v>
      </c>
      <c r="AD2833">
        <f>'raw data Crude oil'!AD2834</f>
        <v>0</v>
      </c>
      <c r="AE2833">
        <f>'raw data Crude oil'!AE2834</f>
        <v>0</v>
      </c>
      <c r="AF2833">
        <f>'raw data Crude oil'!AF2834</f>
        <v>0</v>
      </c>
      <c r="AG2833">
        <f>'raw data Crude oil'!AG2834</f>
        <v>0</v>
      </c>
      <c r="AH2833">
        <f>'raw data Crude oil'!AH2834</f>
        <v>0</v>
      </c>
      <c r="AI2833">
        <f>'raw data Crude oil'!AI2834</f>
        <v>0</v>
      </c>
      <c r="AJ2833">
        <f>'raw data Crude oil'!AJ2834</f>
        <v>0</v>
      </c>
      <c r="AK2833">
        <f>'raw data Crude oil'!AK2834</f>
        <v>0</v>
      </c>
    </row>
    <row r="2834" spans="1:37" x14ac:dyDescent="0.3">
      <c r="A2834" s="18">
        <f>'raw data Crude oil'!A2835</f>
        <v>0</v>
      </c>
      <c r="B2834">
        <f>'raw data Crude oil'!B2835</f>
        <v>0</v>
      </c>
      <c r="C2834">
        <f>'raw data Crude oil'!C2835</f>
        <v>0</v>
      </c>
      <c r="D2834">
        <f>'raw data Crude oil'!D2835</f>
        <v>0</v>
      </c>
      <c r="E2834">
        <f>'raw data Crude oil'!E2835</f>
        <v>0</v>
      </c>
      <c r="F2834">
        <f>'raw data Crude oil'!F2835</f>
        <v>0</v>
      </c>
      <c r="G2834">
        <f>'raw data Crude oil'!G2835</f>
        <v>0</v>
      </c>
      <c r="H2834">
        <f>'raw data Crude oil'!H2835</f>
        <v>0</v>
      </c>
      <c r="I2834">
        <f>'raw data Crude oil'!I2835</f>
        <v>0</v>
      </c>
      <c r="J2834">
        <f>'raw data Crude oil'!J2835</f>
        <v>0</v>
      </c>
      <c r="K2834">
        <f>'raw data Crude oil'!K2835</f>
        <v>0</v>
      </c>
      <c r="L2834">
        <f>'raw data Crude oil'!L2835</f>
        <v>0</v>
      </c>
      <c r="M2834">
        <f>'raw data Crude oil'!M2835</f>
        <v>0</v>
      </c>
      <c r="N2834">
        <f>'raw data Crude oil'!N2835</f>
        <v>0</v>
      </c>
      <c r="O2834">
        <f>'raw data Crude oil'!O2835</f>
        <v>0</v>
      </c>
      <c r="P2834">
        <f>'raw data Crude oil'!P2835</f>
        <v>0</v>
      </c>
      <c r="Q2834">
        <f>'raw data Crude oil'!Q2835</f>
        <v>0</v>
      </c>
      <c r="R2834">
        <f>'raw data Crude oil'!R2835</f>
        <v>0</v>
      </c>
      <c r="S2834">
        <f>'raw data Crude oil'!S2835</f>
        <v>0</v>
      </c>
      <c r="T2834">
        <f>'raw data Crude oil'!T2835</f>
        <v>0</v>
      </c>
      <c r="U2834">
        <f>'raw data Crude oil'!U2835</f>
        <v>0</v>
      </c>
      <c r="V2834">
        <f>'raw data Crude oil'!V2835</f>
        <v>0</v>
      </c>
      <c r="W2834">
        <f>'raw data Crude oil'!W2835</f>
        <v>0</v>
      </c>
      <c r="X2834">
        <f>'raw data Crude oil'!X2835</f>
        <v>0</v>
      </c>
      <c r="Y2834">
        <f>'raw data Crude oil'!Y2835</f>
        <v>0</v>
      </c>
      <c r="Z2834">
        <f>'raw data Crude oil'!Z2835</f>
        <v>0</v>
      </c>
      <c r="AA2834">
        <f>'raw data Crude oil'!AA2835</f>
        <v>0</v>
      </c>
      <c r="AB2834">
        <f>'raw data Crude oil'!AB2835</f>
        <v>0</v>
      </c>
      <c r="AC2834">
        <f>'raw data Crude oil'!AC2835</f>
        <v>0</v>
      </c>
      <c r="AD2834">
        <f>'raw data Crude oil'!AD2835</f>
        <v>0</v>
      </c>
      <c r="AE2834">
        <f>'raw data Crude oil'!AE2835</f>
        <v>0</v>
      </c>
      <c r="AF2834">
        <f>'raw data Crude oil'!AF2835</f>
        <v>0</v>
      </c>
      <c r="AG2834">
        <f>'raw data Crude oil'!AG2835</f>
        <v>0</v>
      </c>
      <c r="AH2834">
        <f>'raw data Crude oil'!AH2835</f>
        <v>0</v>
      </c>
      <c r="AI2834">
        <f>'raw data Crude oil'!AI2835</f>
        <v>0</v>
      </c>
      <c r="AJ2834">
        <f>'raw data Crude oil'!AJ2835</f>
        <v>0</v>
      </c>
      <c r="AK2834">
        <f>'raw data Crude oil'!AK2835</f>
        <v>0</v>
      </c>
    </row>
    <row r="2835" spans="1:37" x14ac:dyDescent="0.3">
      <c r="A2835" s="18">
        <f>'raw data Crude oil'!A2836</f>
        <v>0</v>
      </c>
      <c r="B2835">
        <f>'raw data Crude oil'!B2836</f>
        <v>0</v>
      </c>
      <c r="C2835">
        <f>'raw data Crude oil'!C2836</f>
        <v>0</v>
      </c>
      <c r="D2835">
        <f>'raw data Crude oil'!D2836</f>
        <v>0</v>
      </c>
      <c r="E2835">
        <f>'raw data Crude oil'!E2836</f>
        <v>0</v>
      </c>
      <c r="F2835">
        <f>'raw data Crude oil'!F2836</f>
        <v>0</v>
      </c>
      <c r="G2835">
        <f>'raw data Crude oil'!G2836</f>
        <v>0</v>
      </c>
      <c r="H2835">
        <f>'raw data Crude oil'!H2836</f>
        <v>0</v>
      </c>
      <c r="I2835">
        <f>'raw data Crude oil'!I2836</f>
        <v>0</v>
      </c>
      <c r="J2835">
        <f>'raw data Crude oil'!J2836</f>
        <v>0</v>
      </c>
      <c r="K2835">
        <f>'raw data Crude oil'!K2836</f>
        <v>0</v>
      </c>
      <c r="L2835">
        <f>'raw data Crude oil'!L2836</f>
        <v>0</v>
      </c>
      <c r="M2835">
        <f>'raw data Crude oil'!M2836</f>
        <v>0</v>
      </c>
      <c r="N2835">
        <f>'raw data Crude oil'!N2836</f>
        <v>0</v>
      </c>
      <c r="O2835">
        <f>'raw data Crude oil'!O2836</f>
        <v>0</v>
      </c>
      <c r="P2835">
        <f>'raw data Crude oil'!P2836</f>
        <v>0</v>
      </c>
      <c r="Q2835">
        <f>'raw data Crude oil'!Q2836</f>
        <v>0</v>
      </c>
      <c r="R2835">
        <f>'raw data Crude oil'!R2836</f>
        <v>0</v>
      </c>
      <c r="S2835">
        <f>'raw data Crude oil'!S2836</f>
        <v>0</v>
      </c>
      <c r="T2835">
        <f>'raw data Crude oil'!T2836</f>
        <v>0</v>
      </c>
      <c r="U2835">
        <f>'raw data Crude oil'!U2836</f>
        <v>0</v>
      </c>
      <c r="V2835">
        <f>'raw data Crude oil'!V2836</f>
        <v>0</v>
      </c>
      <c r="W2835">
        <f>'raw data Crude oil'!W2836</f>
        <v>0</v>
      </c>
      <c r="X2835">
        <f>'raw data Crude oil'!X2836</f>
        <v>0</v>
      </c>
      <c r="Y2835">
        <f>'raw data Crude oil'!Y2836</f>
        <v>0</v>
      </c>
      <c r="Z2835">
        <f>'raw data Crude oil'!Z2836</f>
        <v>0</v>
      </c>
      <c r="AA2835">
        <f>'raw data Crude oil'!AA2836</f>
        <v>0</v>
      </c>
      <c r="AB2835">
        <f>'raw data Crude oil'!AB2836</f>
        <v>0</v>
      </c>
      <c r="AC2835">
        <f>'raw data Crude oil'!AC2836</f>
        <v>0</v>
      </c>
      <c r="AD2835">
        <f>'raw data Crude oil'!AD2836</f>
        <v>0</v>
      </c>
      <c r="AE2835">
        <f>'raw data Crude oil'!AE2836</f>
        <v>0</v>
      </c>
      <c r="AF2835">
        <f>'raw data Crude oil'!AF2836</f>
        <v>0</v>
      </c>
      <c r="AG2835">
        <f>'raw data Crude oil'!AG2836</f>
        <v>0</v>
      </c>
      <c r="AH2835">
        <f>'raw data Crude oil'!AH2836</f>
        <v>0</v>
      </c>
      <c r="AI2835">
        <f>'raw data Crude oil'!AI2836</f>
        <v>0</v>
      </c>
      <c r="AJ2835">
        <f>'raw data Crude oil'!AJ2836</f>
        <v>0</v>
      </c>
      <c r="AK2835">
        <f>'raw data Crude oil'!AK2836</f>
        <v>0</v>
      </c>
    </row>
    <row r="2836" spans="1:37" x14ac:dyDescent="0.3">
      <c r="A2836" s="18">
        <f>'raw data Crude oil'!A2837</f>
        <v>0</v>
      </c>
      <c r="B2836">
        <f>'raw data Crude oil'!B2837</f>
        <v>0</v>
      </c>
      <c r="C2836">
        <f>'raw data Crude oil'!C2837</f>
        <v>0</v>
      </c>
      <c r="D2836">
        <f>'raw data Crude oil'!D2837</f>
        <v>0</v>
      </c>
      <c r="E2836">
        <f>'raw data Crude oil'!E2837</f>
        <v>0</v>
      </c>
      <c r="F2836">
        <f>'raw data Crude oil'!F2837</f>
        <v>0</v>
      </c>
      <c r="G2836">
        <f>'raw data Crude oil'!G2837</f>
        <v>0</v>
      </c>
      <c r="H2836">
        <f>'raw data Crude oil'!H2837</f>
        <v>0</v>
      </c>
      <c r="I2836">
        <f>'raw data Crude oil'!I2837</f>
        <v>0</v>
      </c>
      <c r="J2836">
        <f>'raw data Crude oil'!J2837</f>
        <v>0</v>
      </c>
      <c r="K2836">
        <f>'raw data Crude oil'!K2837</f>
        <v>0</v>
      </c>
      <c r="L2836">
        <f>'raw data Crude oil'!L2837</f>
        <v>0</v>
      </c>
      <c r="M2836">
        <f>'raw data Crude oil'!M2837</f>
        <v>0</v>
      </c>
      <c r="N2836">
        <f>'raw data Crude oil'!N2837</f>
        <v>0</v>
      </c>
      <c r="O2836">
        <f>'raw data Crude oil'!O2837</f>
        <v>0</v>
      </c>
      <c r="P2836">
        <f>'raw data Crude oil'!P2837</f>
        <v>0</v>
      </c>
      <c r="Q2836">
        <f>'raw data Crude oil'!Q2837</f>
        <v>0</v>
      </c>
      <c r="R2836">
        <f>'raw data Crude oil'!R2837</f>
        <v>0</v>
      </c>
      <c r="S2836">
        <f>'raw data Crude oil'!S2837</f>
        <v>0</v>
      </c>
      <c r="T2836">
        <f>'raw data Crude oil'!T2837</f>
        <v>0</v>
      </c>
      <c r="U2836">
        <f>'raw data Crude oil'!U2837</f>
        <v>0</v>
      </c>
      <c r="V2836">
        <f>'raw data Crude oil'!V2837</f>
        <v>0</v>
      </c>
      <c r="W2836">
        <f>'raw data Crude oil'!W2837</f>
        <v>0</v>
      </c>
      <c r="X2836">
        <f>'raw data Crude oil'!X2837</f>
        <v>0</v>
      </c>
      <c r="Y2836">
        <f>'raw data Crude oil'!Y2837</f>
        <v>0</v>
      </c>
      <c r="Z2836">
        <f>'raw data Crude oil'!Z2837</f>
        <v>0</v>
      </c>
      <c r="AA2836">
        <f>'raw data Crude oil'!AA2837</f>
        <v>0</v>
      </c>
      <c r="AB2836">
        <f>'raw data Crude oil'!AB2837</f>
        <v>0</v>
      </c>
      <c r="AC2836">
        <f>'raw data Crude oil'!AC2837</f>
        <v>0</v>
      </c>
      <c r="AD2836">
        <f>'raw data Crude oil'!AD2837</f>
        <v>0</v>
      </c>
      <c r="AE2836">
        <f>'raw data Crude oil'!AE2837</f>
        <v>0</v>
      </c>
      <c r="AF2836">
        <f>'raw data Crude oil'!AF2837</f>
        <v>0</v>
      </c>
      <c r="AG2836">
        <f>'raw data Crude oil'!AG2837</f>
        <v>0</v>
      </c>
      <c r="AH2836">
        <f>'raw data Crude oil'!AH2837</f>
        <v>0</v>
      </c>
      <c r="AI2836">
        <f>'raw data Crude oil'!AI2837</f>
        <v>0</v>
      </c>
      <c r="AJ2836">
        <f>'raw data Crude oil'!AJ2837</f>
        <v>0</v>
      </c>
      <c r="AK2836">
        <f>'raw data Crude oil'!AK2837</f>
        <v>0</v>
      </c>
    </row>
    <row r="2837" spans="1:37" x14ac:dyDescent="0.3">
      <c r="A2837" s="18">
        <f>'raw data Crude oil'!A2838</f>
        <v>0</v>
      </c>
      <c r="B2837">
        <f>'raw data Crude oil'!B2838</f>
        <v>0</v>
      </c>
      <c r="C2837">
        <f>'raw data Crude oil'!C2838</f>
        <v>0</v>
      </c>
      <c r="D2837">
        <f>'raw data Crude oil'!D2838</f>
        <v>0</v>
      </c>
      <c r="E2837">
        <f>'raw data Crude oil'!E2838</f>
        <v>0</v>
      </c>
      <c r="F2837">
        <f>'raw data Crude oil'!F2838</f>
        <v>0</v>
      </c>
      <c r="G2837">
        <f>'raw data Crude oil'!G2838</f>
        <v>0</v>
      </c>
      <c r="H2837">
        <f>'raw data Crude oil'!H2838</f>
        <v>0</v>
      </c>
      <c r="I2837">
        <f>'raw data Crude oil'!I2838</f>
        <v>0</v>
      </c>
      <c r="J2837">
        <f>'raw data Crude oil'!J2838</f>
        <v>0</v>
      </c>
      <c r="K2837">
        <f>'raw data Crude oil'!K2838</f>
        <v>0</v>
      </c>
      <c r="L2837">
        <f>'raw data Crude oil'!L2838</f>
        <v>0</v>
      </c>
      <c r="M2837">
        <f>'raw data Crude oil'!M2838</f>
        <v>0</v>
      </c>
      <c r="N2837">
        <f>'raw data Crude oil'!N2838</f>
        <v>0</v>
      </c>
      <c r="O2837">
        <f>'raw data Crude oil'!O2838</f>
        <v>0</v>
      </c>
      <c r="P2837">
        <f>'raw data Crude oil'!P2838</f>
        <v>0</v>
      </c>
      <c r="Q2837">
        <f>'raw data Crude oil'!Q2838</f>
        <v>0</v>
      </c>
      <c r="R2837">
        <f>'raw data Crude oil'!R2838</f>
        <v>0</v>
      </c>
      <c r="S2837">
        <f>'raw data Crude oil'!S2838</f>
        <v>0</v>
      </c>
      <c r="T2837">
        <f>'raw data Crude oil'!T2838</f>
        <v>0</v>
      </c>
      <c r="U2837">
        <f>'raw data Crude oil'!U2838</f>
        <v>0</v>
      </c>
      <c r="V2837">
        <f>'raw data Crude oil'!V2838</f>
        <v>0</v>
      </c>
      <c r="W2837">
        <f>'raw data Crude oil'!W2838</f>
        <v>0</v>
      </c>
      <c r="X2837">
        <f>'raw data Crude oil'!X2838</f>
        <v>0</v>
      </c>
      <c r="Y2837">
        <f>'raw data Crude oil'!Y2838</f>
        <v>0</v>
      </c>
      <c r="Z2837">
        <f>'raw data Crude oil'!Z2838</f>
        <v>0</v>
      </c>
      <c r="AA2837">
        <f>'raw data Crude oil'!AA2838</f>
        <v>0</v>
      </c>
      <c r="AB2837">
        <f>'raw data Crude oil'!AB2838</f>
        <v>0</v>
      </c>
      <c r="AC2837">
        <f>'raw data Crude oil'!AC2838</f>
        <v>0</v>
      </c>
      <c r="AD2837">
        <f>'raw data Crude oil'!AD2838</f>
        <v>0</v>
      </c>
      <c r="AE2837">
        <f>'raw data Crude oil'!AE2838</f>
        <v>0</v>
      </c>
      <c r="AF2837">
        <f>'raw data Crude oil'!AF2838</f>
        <v>0</v>
      </c>
      <c r="AG2837">
        <f>'raw data Crude oil'!AG2838</f>
        <v>0</v>
      </c>
      <c r="AH2837">
        <f>'raw data Crude oil'!AH2838</f>
        <v>0</v>
      </c>
      <c r="AI2837">
        <f>'raw data Crude oil'!AI2838</f>
        <v>0</v>
      </c>
      <c r="AJ2837">
        <f>'raw data Crude oil'!AJ2838</f>
        <v>0</v>
      </c>
      <c r="AK2837">
        <f>'raw data Crude oil'!AK2838</f>
        <v>0</v>
      </c>
    </row>
    <row r="2838" spans="1:37" x14ac:dyDescent="0.3">
      <c r="A2838" s="18">
        <f>'raw data Crude oil'!A2839</f>
        <v>0</v>
      </c>
      <c r="B2838">
        <f>'raw data Crude oil'!B2839</f>
        <v>0</v>
      </c>
      <c r="C2838">
        <f>'raw data Crude oil'!C2839</f>
        <v>0</v>
      </c>
      <c r="D2838">
        <f>'raw data Crude oil'!D2839</f>
        <v>0</v>
      </c>
      <c r="E2838">
        <f>'raw data Crude oil'!E2839</f>
        <v>0</v>
      </c>
      <c r="F2838">
        <f>'raw data Crude oil'!F2839</f>
        <v>0</v>
      </c>
      <c r="G2838">
        <f>'raw data Crude oil'!G2839</f>
        <v>0</v>
      </c>
      <c r="H2838">
        <f>'raw data Crude oil'!H2839</f>
        <v>0</v>
      </c>
      <c r="I2838">
        <f>'raw data Crude oil'!I2839</f>
        <v>0</v>
      </c>
      <c r="J2838">
        <f>'raw data Crude oil'!J2839</f>
        <v>0</v>
      </c>
      <c r="K2838">
        <f>'raw data Crude oil'!K2839</f>
        <v>0</v>
      </c>
      <c r="L2838">
        <f>'raw data Crude oil'!L2839</f>
        <v>0</v>
      </c>
      <c r="M2838">
        <f>'raw data Crude oil'!M2839</f>
        <v>0</v>
      </c>
      <c r="N2838">
        <f>'raw data Crude oil'!N2839</f>
        <v>0</v>
      </c>
      <c r="O2838">
        <f>'raw data Crude oil'!O2839</f>
        <v>0</v>
      </c>
      <c r="P2838">
        <f>'raw data Crude oil'!P2839</f>
        <v>0</v>
      </c>
      <c r="Q2838">
        <f>'raw data Crude oil'!Q2839</f>
        <v>0</v>
      </c>
      <c r="R2838">
        <f>'raw data Crude oil'!R2839</f>
        <v>0</v>
      </c>
      <c r="S2838">
        <f>'raw data Crude oil'!S2839</f>
        <v>0</v>
      </c>
      <c r="T2838">
        <f>'raw data Crude oil'!T2839</f>
        <v>0</v>
      </c>
      <c r="U2838">
        <f>'raw data Crude oil'!U2839</f>
        <v>0</v>
      </c>
      <c r="V2838">
        <f>'raw data Crude oil'!V2839</f>
        <v>0</v>
      </c>
      <c r="W2838">
        <f>'raw data Crude oil'!W2839</f>
        <v>0</v>
      </c>
      <c r="X2838">
        <f>'raw data Crude oil'!X2839</f>
        <v>0</v>
      </c>
      <c r="Y2838">
        <f>'raw data Crude oil'!Y2839</f>
        <v>0</v>
      </c>
      <c r="Z2838">
        <f>'raw data Crude oil'!Z2839</f>
        <v>0</v>
      </c>
      <c r="AA2838">
        <f>'raw data Crude oil'!AA2839</f>
        <v>0</v>
      </c>
      <c r="AB2838">
        <f>'raw data Crude oil'!AB2839</f>
        <v>0</v>
      </c>
      <c r="AC2838">
        <f>'raw data Crude oil'!AC2839</f>
        <v>0</v>
      </c>
      <c r="AD2838">
        <f>'raw data Crude oil'!AD2839</f>
        <v>0</v>
      </c>
      <c r="AE2838">
        <f>'raw data Crude oil'!AE2839</f>
        <v>0</v>
      </c>
      <c r="AF2838">
        <f>'raw data Crude oil'!AF2839</f>
        <v>0</v>
      </c>
      <c r="AG2838">
        <f>'raw data Crude oil'!AG2839</f>
        <v>0</v>
      </c>
      <c r="AH2838">
        <f>'raw data Crude oil'!AH2839</f>
        <v>0</v>
      </c>
      <c r="AI2838">
        <f>'raw data Crude oil'!AI2839</f>
        <v>0</v>
      </c>
      <c r="AJ2838">
        <f>'raw data Crude oil'!AJ2839</f>
        <v>0</v>
      </c>
      <c r="AK2838">
        <f>'raw data Crude oil'!AK2839</f>
        <v>0</v>
      </c>
    </row>
    <row r="2839" spans="1:37" x14ac:dyDescent="0.3">
      <c r="A2839" s="18">
        <f>'raw data Crude oil'!A2840</f>
        <v>0</v>
      </c>
      <c r="B2839">
        <f>'raw data Crude oil'!B2840</f>
        <v>0</v>
      </c>
      <c r="C2839">
        <f>'raw data Crude oil'!C2840</f>
        <v>0</v>
      </c>
      <c r="D2839">
        <f>'raw data Crude oil'!D2840</f>
        <v>0</v>
      </c>
      <c r="E2839">
        <f>'raw data Crude oil'!E2840</f>
        <v>0</v>
      </c>
      <c r="F2839">
        <f>'raw data Crude oil'!F2840</f>
        <v>0</v>
      </c>
      <c r="G2839">
        <f>'raw data Crude oil'!G2840</f>
        <v>0</v>
      </c>
      <c r="H2839">
        <f>'raw data Crude oil'!H2840</f>
        <v>0</v>
      </c>
      <c r="I2839">
        <f>'raw data Crude oil'!I2840</f>
        <v>0</v>
      </c>
      <c r="J2839">
        <f>'raw data Crude oil'!J2840</f>
        <v>0</v>
      </c>
      <c r="K2839">
        <f>'raw data Crude oil'!K2840</f>
        <v>0</v>
      </c>
      <c r="L2839">
        <f>'raw data Crude oil'!L2840</f>
        <v>0</v>
      </c>
      <c r="M2839">
        <f>'raw data Crude oil'!M2840</f>
        <v>0</v>
      </c>
      <c r="N2839">
        <f>'raw data Crude oil'!N2840</f>
        <v>0</v>
      </c>
      <c r="O2839">
        <f>'raw data Crude oil'!O2840</f>
        <v>0</v>
      </c>
      <c r="P2839">
        <f>'raw data Crude oil'!P2840</f>
        <v>0</v>
      </c>
      <c r="Q2839">
        <f>'raw data Crude oil'!Q2840</f>
        <v>0</v>
      </c>
      <c r="R2839">
        <f>'raw data Crude oil'!R2840</f>
        <v>0</v>
      </c>
      <c r="S2839">
        <f>'raw data Crude oil'!S2840</f>
        <v>0</v>
      </c>
      <c r="T2839">
        <f>'raw data Crude oil'!T2840</f>
        <v>0</v>
      </c>
      <c r="U2839">
        <f>'raw data Crude oil'!U2840</f>
        <v>0</v>
      </c>
      <c r="V2839">
        <f>'raw data Crude oil'!V2840</f>
        <v>0</v>
      </c>
      <c r="W2839">
        <f>'raw data Crude oil'!W2840</f>
        <v>0</v>
      </c>
      <c r="X2839">
        <f>'raw data Crude oil'!X2840</f>
        <v>0</v>
      </c>
      <c r="Y2839">
        <f>'raw data Crude oil'!Y2840</f>
        <v>0</v>
      </c>
      <c r="Z2839">
        <f>'raw data Crude oil'!Z2840</f>
        <v>0</v>
      </c>
      <c r="AA2839">
        <f>'raw data Crude oil'!AA2840</f>
        <v>0</v>
      </c>
      <c r="AB2839">
        <f>'raw data Crude oil'!AB2840</f>
        <v>0</v>
      </c>
      <c r="AC2839">
        <f>'raw data Crude oil'!AC2840</f>
        <v>0</v>
      </c>
      <c r="AD2839">
        <f>'raw data Crude oil'!AD2840</f>
        <v>0</v>
      </c>
      <c r="AE2839">
        <f>'raw data Crude oil'!AE2840</f>
        <v>0</v>
      </c>
      <c r="AF2839">
        <f>'raw data Crude oil'!AF2840</f>
        <v>0</v>
      </c>
      <c r="AG2839">
        <f>'raw data Crude oil'!AG2840</f>
        <v>0</v>
      </c>
      <c r="AH2839">
        <f>'raw data Crude oil'!AH2840</f>
        <v>0</v>
      </c>
      <c r="AI2839">
        <f>'raw data Crude oil'!AI2840</f>
        <v>0</v>
      </c>
      <c r="AJ2839">
        <f>'raw data Crude oil'!AJ2840</f>
        <v>0</v>
      </c>
      <c r="AK2839">
        <f>'raw data Crude oil'!AK2840</f>
        <v>0</v>
      </c>
    </row>
    <row r="2840" spans="1:37" x14ac:dyDescent="0.3">
      <c r="A2840" s="18">
        <f>'raw data Crude oil'!A2841</f>
        <v>0</v>
      </c>
      <c r="B2840">
        <f>'raw data Crude oil'!B2841</f>
        <v>0</v>
      </c>
      <c r="C2840">
        <f>'raw data Crude oil'!C2841</f>
        <v>0</v>
      </c>
      <c r="D2840">
        <f>'raw data Crude oil'!D2841</f>
        <v>0</v>
      </c>
      <c r="E2840">
        <f>'raw data Crude oil'!E2841</f>
        <v>0</v>
      </c>
      <c r="F2840">
        <f>'raw data Crude oil'!F2841</f>
        <v>0</v>
      </c>
      <c r="G2840">
        <f>'raw data Crude oil'!G2841</f>
        <v>0</v>
      </c>
      <c r="H2840">
        <f>'raw data Crude oil'!H2841</f>
        <v>0</v>
      </c>
      <c r="I2840">
        <f>'raw data Crude oil'!I2841</f>
        <v>0</v>
      </c>
      <c r="J2840">
        <f>'raw data Crude oil'!J2841</f>
        <v>0</v>
      </c>
      <c r="K2840">
        <f>'raw data Crude oil'!K2841</f>
        <v>0</v>
      </c>
      <c r="L2840">
        <f>'raw data Crude oil'!L2841</f>
        <v>0</v>
      </c>
      <c r="M2840">
        <f>'raw data Crude oil'!M2841</f>
        <v>0</v>
      </c>
      <c r="N2840">
        <f>'raw data Crude oil'!N2841</f>
        <v>0</v>
      </c>
      <c r="O2840">
        <f>'raw data Crude oil'!O2841</f>
        <v>0</v>
      </c>
      <c r="P2840">
        <f>'raw data Crude oil'!P2841</f>
        <v>0</v>
      </c>
      <c r="Q2840">
        <f>'raw data Crude oil'!Q2841</f>
        <v>0</v>
      </c>
      <c r="R2840">
        <f>'raw data Crude oil'!R2841</f>
        <v>0</v>
      </c>
      <c r="S2840">
        <f>'raw data Crude oil'!S2841</f>
        <v>0</v>
      </c>
      <c r="T2840">
        <f>'raw data Crude oil'!T2841</f>
        <v>0</v>
      </c>
      <c r="U2840">
        <f>'raw data Crude oil'!U2841</f>
        <v>0</v>
      </c>
      <c r="V2840">
        <f>'raw data Crude oil'!V2841</f>
        <v>0</v>
      </c>
      <c r="W2840">
        <f>'raw data Crude oil'!W2841</f>
        <v>0</v>
      </c>
      <c r="X2840">
        <f>'raw data Crude oil'!X2841</f>
        <v>0</v>
      </c>
      <c r="Y2840">
        <f>'raw data Crude oil'!Y2841</f>
        <v>0</v>
      </c>
      <c r="Z2840">
        <f>'raw data Crude oil'!Z2841</f>
        <v>0</v>
      </c>
      <c r="AA2840">
        <f>'raw data Crude oil'!AA2841</f>
        <v>0</v>
      </c>
      <c r="AB2840">
        <f>'raw data Crude oil'!AB2841</f>
        <v>0</v>
      </c>
      <c r="AC2840">
        <f>'raw data Crude oil'!AC2841</f>
        <v>0</v>
      </c>
      <c r="AD2840">
        <f>'raw data Crude oil'!AD2841</f>
        <v>0</v>
      </c>
      <c r="AE2840">
        <f>'raw data Crude oil'!AE2841</f>
        <v>0</v>
      </c>
      <c r="AF2840">
        <f>'raw data Crude oil'!AF2841</f>
        <v>0</v>
      </c>
      <c r="AG2840">
        <f>'raw data Crude oil'!AG2841</f>
        <v>0</v>
      </c>
      <c r="AH2840">
        <f>'raw data Crude oil'!AH2841</f>
        <v>0</v>
      </c>
      <c r="AI2840">
        <f>'raw data Crude oil'!AI2841</f>
        <v>0</v>
      </c>
      <c r="AJ2840">
        <f>'raw data Crude oil'!AJ2841</f>
        <v>0</v>
      </c>
      <c r="AK2840">
        <f>'raw data Crude oil'!AK2841</f>
        <v>0</v>
      </c>
    </row>
    <row r="2841" spans="1:37" x14ac:dyDescent="0.3">
      <c r="A2841" s="18">
        <f>'raw data Crude oil'!A2842</f>
        <v>0</v>
      </c>
      <c r="B2841">
        <f>'raw data Crude oil'!B2842</f>
        <v>0</v>
      </c>
      <c r="C2841">
        <f>'raw data Crude oil'!C2842</f>
        <v>0</v>
      </c>
      <c r="D2841">
        <f>'raw data Crude oil'!D2842</f>
        <v>0</v>
      </c>
      <c r="E2841">
        <f>'raw data Crude oil'!E2842</f>
        <v>0</v>
      </c>
      <c r="F2841">
        <f>'raw data Crude oil'!F2842</f>
        <v>0</v>
      </c>
      <c r="G2841">
        <f>'raw data Crude oil'!G2842</f>
        <v>0</v>
      </c>
      <c r="H2841">
        <f>'raw data Crude oil'!H2842</f>
        <v>0</v>
      </c>
      <c r="I2841">
        <f>'raw data Crude oil'!I2842</f>
        <v>0</v>
      </c>
      <c r="J2841">
        <f>'raw data Crude oil'!J2842</f>
        <v>0</v>
      </c>
      <c r="K2841">
        <f>'raw data Crude oil'!K2842</f>
        <v>0</v>
      </c>
      <c r="L2841">
        <f>'raw data Crude oil'!L2842</f>
        <v>0</v>
      </c>
      <c r="M2841">
        <f>'raw data Crude oil'!M2842</f>
        <v>0</v>
      </c>
      <c r="N2841">
        <f>'raw data Crude oil'!N2842</f>
        <v>0</v>
      </c>
      <c r="O2841">
        <f>'raw data Crude oil'!O2842</f>
        <v>0</v>
      </c>
      <c r="P2841">
        <f>'raw data Crude oil'!P2842</f>
        <v>0</v>
      </c>
      <c r="Q2841">
        <f>'raw data Crude oil'!Q2842</f>
        <v>0</v>
      </c>
      <c r="R2841">
        <f>'raw data Crude oil'!R2842</f>
        <v>0</v>
      </c>
      <c r="S2841">
        <f>'raw data Crude oil'!S2842</f>
        <v>0</v>
      </c>
      <c r="T2841">
        <f>'raw data Crude oil'!T2842</f>
        <v>0</v>
      </c>
      <c r="U2841">
        <f>'raw data Crude oil'!U2842</f>
        <v>0</v>
      </c>
      <c r="V2841">
        <f>'raw data Crude oil'!V2842</f>
        <v>0</v>
      </c>
      <c r="W2841">
        <f>'raw data Crude oil'!W2842</f>
        <v>0</v>
      </c>
      <c r="X2841">
        <f>'raw data Crude oil'!X2842</f>
        <v>0</v>
      </c>
      <c r="Y2841">
        <f>'raw data Crude oil'!Y2842</f>
        <v>0</v>
      </c>
      <c r="Z2841">
        <f>'raw data Crude oil'!Z2842</f>
        <v>0</v>
      </c>
      <c r="AA2841">
        <f>'raw data Crude oil'!AA2842</f>
        <v>0</v>
      </c>
      <c r="AB2841">
        <f>'raw data Crude oil'!AB2842</f>
        <v>0</v>
      </c>
      <c r="AC2841">
        <f>'raw data Crude oil'!AC2842</f>
        <v>0</v>
      </c>
      <c r="AD2841">
        <f>'raw data Crude oil'!AD2842</f>
        <v>0</v>
      </c>
      <c r="AE2841">
        <f>'raw data Crude oil'!AE2842</f>
        <v>0</v>
      </c>
      <c r="AF2841">
        <f>'raw data Crude oil'!AF2842</f>
        <v>0</v>
      </c>
      <c r="AG2841">
        <f>'raw data Crude oil'!AG2842</f>
        <v>0</v>
      </c>
      <c r="AH2841">
        <f>'raw data Crude oil'!AH2842</f>
        <v>0</v>
      </c>
      <c r="AI2841">
        <f>'raw data Crude oil'!AI2842</f>
        <v>0</v>
      </c>
      <c r="AJ2841">
        <f>'raw data Crude oil'!AJ2842</f>
        <v>0</v>
      </c>
      <c r="AK2841">
        <f>'raw data Crude oil'!AK2842</f>
        <v>0</v>
      </c>
    </row>
    <row r="2842" spans="1:37" x14ac:dyDescent="0.3">
      <c r="A2842" s="18">
        <f>'raw data Crude oil'!A2843</f>
        <v>0</v>
      </c>
      <c r="B2842">
        <f>'raw data Crude oil'!B2843</f>
        <v>0</v>
      </c>
      <c r="C2842">
        <f>'raw data Crude oil'!C2843</f>
        <v>0</v>
      </c>
      <c r="D2842">
        <f>'raw data Crude oil'!D2843</f>
        <v>0</v>
      </c>
      <c r="E2842">
        <f>'raw data Crude oil'!E2843</f>
        <v>0</v>
      </c>
      <c r="F2842">
        <f>'raw data Crude oil'!F2843</f>
        <v>0</v>
      </c>
      <c r="G2842">
        <f>'raw data Crude oil'!G2843</f>
        <v>0</v>
      </c>
      <c r="H2842">
        <f>'raw data Crude oil'!H2843</f>
        <v>0</v>
      </c>
      <c r="I2842">
        <f>'raw data Crude oil'!I2843</f>
        <v>0</v>
      </c>
      <c r="J2842">
        <f>'raw data Crude oil'!J2843</f>
        <v>0</v>
      </c>
      <c r="K2842">
        <f>'raw data Crude oil'!K2843</f>
        <v>0</v>
      </c>
      <c r="L2842">
        <f>'raw data Crude oil'!L2843</f>
        <v>0</v>
      </c>
      <c r="M2842">
        <f>'raw data Crude oil'!M2843</f>
        <v>0</v>
      </c>
      <c r="N2842">
        <f>'raw data Crude oil'!N2843</f>
        <v>0</v>
      </c>
      <c r="O2842">
        <f>'raw data Crude oil'!O2843</f>
        <v>0</v>
      </c>
      <c r="P2842">
        <f>'raw data Crude oil'!P2843</f>
        <v>0</v>
      </c>
      <c r="Q2842">
        <f>'raw data Crude oil'!Q2843</f>
        <v>0</v>
      </c>
      <c r="R2842">
        <f>'raw data Crude oil'!R2843</f>
        <v>0</v>
      </c>
      <c r="S2842">
        <f>'raw data Crude oil'!S2843</f>
        <v>0</v>
      </c>
      <c r="T2842">
        <f>'raw data Crude oil'!T2843</f>
        <v>0</v>
      </c>
      <c r="U2842">
        <f>'raw data Crude oil'!U2843</f>
        <v>0</v>
      </c>
      <c r="V2842">
        <f>'raw data Crude oil'!V2843</f>
        <v>0</v>
      </c>
      <c r="W2842">
        <f>'raw data Crude oil'!W2843</f>
        <v>0</v>
      </c>
      <c r="X2842">
        <f>'raw data Crude oil'!X2843</f>
        <v>0</v>
      </c>
      <c r="Y2842">
        <f>'raw data Crude oil'!Y2843</f>
        <v>0</v>
      </c>
      <c r="Z2842">
        <f>'raw data Crude oil'!Z2843</f>
        <v>0</v>
      </c>
      <c r="AA2842">
        <f>'raw data Crude oil'!AA2843</f>
        <v>0</v>
      </c>
      <c r="AB2842">
        <f>'raw data Crude oil'!AB2843</f>
        <v>0</v>
      </c>
      <c r="AC2842">
        <f>'raw data Crude oil'!AC2843</f>
        <v>0</v>
      </c>
      <c r="AD2842">
        <f>'raw data Crude oil'!AD2843</f>
        <v>0</v>
      </c>
      <c r="AE2842">
        <f>'raw data Crude oil'!AE2843</f>
        <v>0</v>
      </c>
      <c r="AF2842">
        <f>'raw data Crude oil'!AF2843</f>
        <v>0</v>
      </c>
      <c r="AG2842">
        <f>'raw data Crude oil'!AG2843</f>
        <v>0</v>
      </c>
      <c r="AH2842">
        <f>'raw data Crude oil'!AH2843</f>
        <v>0</v>
      </c>
      <c r="AI2842">
        <f>'raw data Crude oil'!AI2843</f>
        <v>0</v>
      </c>
      <c r="AJ2842">
        <f>'raw data Crude oil'!AJ2843</f>
        <v>0</v>
      </c>
      <c r="AK2842">
        <f>'raw data Crude oil'!AK2843</f>
        <v>0</v>
      </c>
    </row>
    <row r="2843" spans="1:37" x14ac:dyDescent="0.3">
      <c r="A2843" s="18">
        <f>'raw data Crude oil'!A2844</f>
        <v>0</v>
      </c>
      <c r="B2843">
        <f>'raw data Crude oil'!B2844</f>
        <v>0</v>
      </c>
      <c r="C2843">
        <f>'raw data Crude oil'!C2844</f>
        <v>0</v>
      </c>
      <c r="D2843">
        <f>'raw data Crude oil'!D2844</f>
        <v>0</v>
      </c>
      <c r="E2843">
        <f>'raw data Crude oil'!E2844</f>
        <v>0</v>
      </c>
      <c r="F2843">
        <f>'raw data Crude oil'!F2844</f>
        <v>0</v>
      </c>
      <c r="G2843">
        <f>'raw data Crude oil'!G2844</f>
        <v>0</v>
      </c>
      <c r="H2843">
        <f>'raw data Crude oil'!H2844</f>
        <v>0</v>
      </c>
      <c r="I2843">
        <f>'raw data Crude oil'!I2844</f>
        <v>0</v>
      </c>
      <c r="J2843">
        <f>'raw data Crude oil'!J2844</f>
        <v>0</v>
      </c>
      <c r="K2843">
        <f>'raw data Crude oil'!K2844</f>
        <v>0</v>
      </c>
      <c r="L2843">
        <f>'raw data Crude oil'!L2844</f>
        <v>0</v>
      </c>
      <c r="M2843">
        <f>'raw data Crude oil'!M2844</f>
        <v>0</v>
      </c>
      <c r="N2843">
        <f>'raw data Crude oil'!N2844</f>
        <v>0</v>
      </c>
      <c r="O2843">
        <f>'raw data Crude oil'!O2844</f>
        <v>0</v>
      </c>
      <c r="P2843">
        <f>'raw data Crude oil'!P2844</f>
        <v>0</v>
      </c>
      <c r="Q2843">
        <f>'raw data Crude oil'!Q2844</f>
        <v>0</v>
      </c>
      <c r="R2843">
        <f>'raw data Crude oil'!R2844</f>
        <v>0</v>
      </c>
      <c r="S2843">
        <f>'raw data Crude oil'!S2844</f>
        <v>0</v>
      </c>
      <c r="T2843">
        <f>'raw data Crude oil'!T2844</f>
        <v>0</v>
      </c>
      <c r="U2843">
        <f>'raw data Crude oil'!U2844</f>
        <v>0</v>
      </c>
      <c r="V2843">
        <f>'raw data Crude oil'!V2844</f>
        <v>0</v>
      </c>
      <c r="W2843">
        <f>'raw data Crude oil'!W2844</f>
        <v>0</v>
      </c>
      <c r="X2843">
        <f>'raw data Crude oil'!X2844</f>
        <v>0</v>
      </c>
      <c r="Y2843">
        <f>'raw data Crude oil'!Y2844</f>
        <v>0</v>
      </c>
      <c r="Z2843">
        <f>'raw data Crude oil'!Z2844</f>
        <v>0</v>
      </c>
      <c r="AA2843">
        <f>'raw data Crude oil'!AA2844</f>
        <v>0</v>
      </c>
      <c r="AB2843">
        <f>'raw data Crude oil'!AB2844</f>
        <v>0</v>
      </c>
      <c r="AC2843">
        <f>'raw data Crude oil'!AC2844</f>
        <v>0</v>
      </c>
      <c r="AD2843">
        <f>'raw data Crude oil'!AD2844</f>
        <v>0</v>
      </c>
      <c r="AE2843">
        <f>'raw data Crude oil'!AE2844</f>
        <v>0</v>
      </c>
      <c r="AF2843">
        <f>'raw data Crude oil'!AF2844</f>
        <v>0</v>
      </c>
      <c r="AG2843">
        <f>'raw data Crude oil'!AG2844</f>
        <v>0</v>
      </c>
      <c r="AH2843">
        <f>'raw data Crude oil'!AH2844</f>
        <v>0</v>
      </c>
      <c r="AI2843">
        <f>'raw data Crude oil'!AI2844</f>
        <v>0</v>
      </c>
      <c r="AJ2843">
        <f>'raw data Crude oil'!AJ2844</f>
        <v>0</v>
      </c>
      <c r="AK2843">
        <f>'raw data Crude oil'!AK2844</f>
        <v>0</v>
      </c>
    </row>
    <row r="2844" spans="1:37" x14ac:dyDescent="0.3">
      <c r="A2844" s="18">
        <f>'raw data Crude oil'!A2845</f>
        <v>0</v>
      </c>
      <c r="B2844">
        <f>'raw data Crude oil'!B2845</f>
        <v>0</v>
      </c>
      <c r="C2844">
        <f>'raw data Crude oil'!C2845</f>
        <v>0</v>
      </c>
      <c r="D2844">
        <f>'raw data Crude oil'!D2845</f>
        <v>0</v>
      </c>
      <c r="E2844">
        <f>'raw data Crude oil'!E2845</f>
        <v>0</v>
      </c>
      <c r="F2844">
        <f>'raw data Crude oil'!F2845</f>
        <v>0</v>
      </c>
      <c r="G2844">
        <f>'raw data Crude oil'!G2845</f>
        <v>0</v>
      </c>
      <c r="H2844">
        <f>'raw data Crude oil'!H2845</f>
        <v>0</v>
      </c>
      <c r="I2844">
        <f>'raw data Crude oil'!I2845</f>
        <v>0</v>
      </c>
      <c r="J2844">
        <f>'raw data Crude oil'!J2845</f>
        <v>0</v>
      </c>
      <c r="K2844">
        <f>'raw data Crude oil'!K2845</f>
        <v>0</v>
      </c>
      <c r="L2844">
        <f>'raw data Crude oil'!L2845</f>
        <v>0</v>
      </c>
      <c r="M2844">
        <f>'raw data Crude oil'!M2845</f>
        <v>0</v>
      </c>
      <c r="N2844">
        <f>'raw data Crude oil'!N2845</f>
        <v>0</v>
      </c>
      <c r="O2844">
        <f>'raw data Crude oil'!O2845</f>
        <v>0</v>
      </c>
      <c r="P2844">
        <f>'raw data Crude oil'!P2845</f>
        <v>0</v>
      </c>
      <c r="Q2844">
        <f>'raw data Crude oil'!Q2845</f>
        <v>0</v>
      </c>
      <c r="R2844">
        <f>'raw data Crude oil'!R2845</f>
        <v>0</v>
      </c>
      <c r="S2844">
        <f>'raw data Crude oil'!S2845</f>
        <v>0</v>
      </c>
      <c r="T2844">
        <f>'raw data Crude oil'!T2845</f>
        <v>0</v>
      </c>
      <c r="U2844">
        <f>'raw data Crude oil'!U2845</f>
        <v>0</v>
      </c>
      <c r="V2844">
        <f>'raw data Crude oil'!V2845</f>
        <v>0</v>
      </c>
      <c r="W2844">
        <f>'raw data Crude oil'!W2845</f>
        <v>0</v>
      </c>
      <c r="X2844">
        <f>'raw data Crude oil'!X2845</f>
        <v>0</v>
      </c>
      <c r="Y2844">
        <f>'raw data Crude oil'!Y2845</f>
        <v>0</v>
      </c>
      <c r="Z2844">
        <f>'raw data Crude oil'!Z2845</f>
        <v>0</v>
      </c>
      <c r="AA2844">
        <f>'raw data Crude oil'!AA2845</f>
        <v>0</v>
      </c>
      <c r="AB2844">
        <f>'raw data Crude oil'!AB2845</f>
        <v>0</v>
      </c>
      <c r="AC2844">
        <f>'raw data Crude oil'!AC2845</f>
        <v>0</v>
      </c>
      <c r="AD2844">
        <f>'raw data Crude oil'!AD2845</f>
        <v>0</v>
      </c>
      <c r="AE2844">
        <f>'raw data Crude oil'!AE2845</f>
        <v>0</v>
      </c>
      <c r="AF2844">
        <f>'raw data Crude oil'!AF2845</f>
        <v>0</v>
      </c>
      <c r="AG2844">
        <f>'raw data Crude oil'!AG2845</f>
        <v>0</v>
      </c>
      <c r="AH2844">
        <f>'raw data Crude oil'!AH2845</f>
        <v>0</v>
      </c>
      <c r="AI2844">
        <f>'raw data Crude oil'!AI2845</f>
        <v>0</v>
      </c>
      <c r="AJ2844">
        <f>'raw data Crude oil'!AJ2845</f>
        <v>0</v>
      </c>
      <c r="AK2844">
        <f>'raw data Crude oil'!AK2845</f>
        <v>0</v>
      </c>
    </row>
    <row r="2845" spans="1:37" x14ac:dyDescent="0.3">
      <c r="A2845" s="18">
        <f>'raw data Crude oil'!A2846</f>
        <v>0</v>
      </c>
      <c r="B2845">
        <f>'raw data Crude oil'!B2846</f>
        <v>0</v>
      </c>
      <c r="C2845">
        <f>'raw data Crude oil'!C2846</f>
        <v>0</v>
      </c>
      <c r="D2845">
        <f>'raw data Crude oil'!D2846</f>
        <v>0</v>
      </c>
      <c r="E2845">
        <f>'raw data Crude oil'!E2846</f>
        <v>0</v>
      </c>
      <c r="F2845">
        <f>'raw data Crude oil'!F2846</f>
        <v>0</v>
      </c>
      <c r="G2845">
        <f>'raw data Crude oil'!G2846</f>
        <v>0</v>
      </c>
      <c r="H2845">
        <f>'raw data Crude oil'!H2846</f>
        <v>0</v>
      </c>
      <c r="I2845">
        <f>'raw data Crude oil'!I2846</f>
        <v>0</v>
      </c>
      <c r="J2845">
        <f>'raw data Crude oil'!J2846</f>
        <v>0</v>
      </c>
      <c r="K2845">
        <f>'raw data Crude oil'!K2846</f>
        <v>0</v>
      </c>
      <c r="L2845">
        <f>'raw data Crude oil'!L2846</f>
        <v>0</v>
      </c>
      <c r="M2845">
        <f>'raw data Crude oil'!M2846</f>
        <v>0</v>
      </c>
      <c r="N2845">
        <f>'raw data Crude oil'!N2846</f>
        <v>0</v>
      </c>
      <c r="O2845">
        <f>'raw data Crude oil'!O2846</f>
        <v>0</v>
      </c>
      <c r="P2845">
        <f>'raw data Crude oil'!P2846</f>
        <v>0</v>
      </c>
      <c r="Q2845">
        <f>'raw data Crude oil'!Q2846</f>
        <v>0</v>
      </c>
      <c r="R2845">
        <f>'raw data Crude oil'!R2846</f>
        <v>0</v>
      </c>
      <c r="S2845">
        <f>'raw data Crude oil'!S2846</f>
        <v>0</v>
      </c>
      <c r="T2845">
        <f>'raw data Crude oil'!T2846</f>
        <v>0</v>
      </c>
      <c r="U2845">
        <f>'raw data Crude oil'!U2846</f>
        <v>0</v>
      </c>
      <c r="V2845">
        <f>'raw data Crude oil'!V2846</f>
        <v>0</v>
      </c>
      <c r="W2845">
        <f>'raw data Crude oil'!W2846</f>
        <v>0</v>
      </c>
      <c r="X2845">
        <f>'raw data Crude oil'!X2846</f>
        <v>0</v>
      </c>
      <c r="Y2845">
        <f>'raw data Crude oil'!Y2846</f>
        <v>0</v>
      </c>
      <c r="Z2845">
        <f>'raw data Crude oil'!Z2846</f>
        <v>0</v>
      </c>
      <c r="AA2845">
        <f>'raw data Crude oil'!AA2846</f>
        <v>0</v>
      </c>
      <c r="AB2845">
        <f>'raw data Crude oil'!AB2846</f>
        <v>0</v>
      </c>
      <c r="AC2845">
        <f>'raw data Crude oil'!AC2846</f>
        <v>0</v>
      </c>
      <c r="AD2845">
        <f>'raw data Crude oil'!AD2846</f>
        <v>0</v>
      </c>
      <c r="AE2845">
        <f>'raw data Crude oil'!AE2846</f>
        <v>0</v>
      </c>
      <c r="AF2845">
        <f>'raw data Crude oil'!AF2846</f>
        <v>0</v>
      </c>
      <c r="AG2845">
        <f>'raw data Crude oil'!AG2846</f>
        <v>0</v>
      </c>
      <c r="AH2845">
        <f>'raw data Crude oil'!AH2846</f>
        <v>0</v>
      </c>
      <c r="AI2845">
        <f>'raw data Crude oil'!AI2846</f>
        <v>0</v>
      </c>
      <c r="AJ2845">
        <f>'raw data Crude oil'!AJ2846</f>
        <v>0</v>
      </c>
      <c r="AK2845">
        <f>'raw data Crude oil'!AK2846</f>
        <v>0</v>
      </c>
    </row>
    <row r="2846" spans="1:37" x14ac:dyDescent="0.3">
      <c r="A2846" s="18">
        <f>'raw data Crude oil'!A2847</f>
        <v>0</v>
      </c>
      <c r="B2846">
        <f>'raw data Crude oil'!B2847</f>
        <v>0</v>
      </c>
      <c r="C2846">
        <f>'raw data Crude oil'!C2847</f>
        <v>0</v>
      </c>
      <c r="D2846">
        <f>'raw data Crude oil'!D2847</f>
        <v>0</v>
      </c>
      <c r="E2846">
        <f>'raw data Crude oil'!E2847</f>
        <v>0</v>
      </c>
      <c r="F2846">
        <f>'raw data Crude oil'!F2847</f>
        <v>0</v>
      </c>
      <c r="G2846">
        <f>'raw data Crude oil'!G2847</f>
        <v>0</v>
      </c>
      <c r="H2846">
        <f>'raw data Crude oil'!H2847</f>
        <v>0</v>
      </c>
      <c r="I2846">
        <f>'raw data Crude oil'!I2847</f>
        <v>0</v>
      </c>
      <c r="J2846">
        <f>'raw data Crude oil'!J2847</f>
        <v>0</v>
      </c>
      <c r="K2846">
        <f>'raw data Crude oil'!K2847</f>
        <v>0</v>
      </c>
      <c r="L2846">
        <f>'raw data Crude oil'!L2847</f>
        <v>0</v>
      </c>
      <c r="M2846">
        <f>'raw data Crude oil'!M2847</f>
        <v>0</v>
      </c>
      <c r="N2846">
        <f>'raw data Crude oil'!N2847</f>
        <v>0</v>
      </c>
      <c r="O2846">
        <f>'raw data Crude oil'!O2847</f>
        <v>0</v>
      </c>
      <c r="P2846">
        <f>'raw data Crude oil'!P2847</f>
        <v>0</v>
      </c>
      <c r="Q2846">
        <f>'raw data Crude oil'!Q2847</f>
        <v>0</v>
      </c>
      <c r="R2846">
        <f>'raw data Crude oil'!R2847</f>
        <v>0</v>
      </c>
      <c r="S2846">
        <f>'raw data Crude oil'!S2847</f>
        <v>0</v>
      </c>
      <c r="T2846">
        <f>'raw data Crude oil'!T2847</f>
        <v>0</v>
      </c>
      <c r="U2846">
        <f>'raw data Crude oil'!U2847</f>
        <v>0</v>
      </c>
      <c r="V2846">
        <f>'raw data Crude oil'!V2847</f>
        <v>0</v>
      </c>
      <c r="W2846">
        <f>'raw data Crude oil'!W2847</f>
        <v>0</v>
      </c>
      <c r="X2846">
        <f>'raw data Crude oil'!X2847</f>
        <v>0</v>
      </c>
      <c r="Y2846">
        <f>'raw data Crude oil'!Y2847</f>
        <v>0</v>
      </c>
      <c r="Z2846">
        <f>'raw data Crude oil'!Z2847</f>
        <v>0</v>
      </c>
      <c r="AA2846">
        <f>'raw data Crude oil'!AA2847</f>
        <v>0</v>
      </c>
      <c r="AB2846">
        <f>'raw data Crude oil'!AB2847</f>
        <v>0</v>
      </c>
      <c r="AC2846">
        <f>'raw data Crude oil'!AC2847</f>
        <v>0</v>
      </c>
      <c r="AD2846">
        <f>'raw data Crude oil'!AD2847</f>
        <v>0</v>
      </c>
      <c r="AE2846">
        <f>'raw data Crude oil'!AE2847</f>
        <v>0</v>
      </c>
      <c r="AF2846">
        <f>'raw data Crude oil'!AF2847</f>
        <v>0</v>
      </c>
      <c r="AG2846">
        <f>'raw data Crude oil'!AG2847</f>
        <v>0</v>
      </c>
      <c r="AH2846">
        <f>'raw data Crude oil'!AH2847</f>
        <v>0</v>
      </c>
      <c r="AI2846">
        <f>'raw data Crude oil'!AI2847</f>
        <v>0</v>
      </c>
      <c r="AJ2846">
        <f>'raw data Crude oil'!AJ2847</f>
        <v>0</v>
      </c>
      <c r="AK2846">
        <f>'raw data Crude oil'!AK2847</f>
        <v>0</v>
      </c>
    </row>
    <row r="2847" spans="1:37" x14ac:dyDescent="0.3">
      <c r="A2847" s="18">
        <f>'raw data Crude oil'!A2848</f>
        <v>0</v>
      </c>
      <c r="B2847">
        <f>'raw data Crude oil'!B2848</f>
        <v>0</v>
      </c>
      <c r="C2847">
        <f>'raw data Crude oil'!C2848</f>
        <v>0</v>
      </c>
      <c r="D2847">
        <f>'raw data Crude oil'!D2848</f>
        <v>0</v>
      </c>
      <c r="E2847">
        <f>'raw data Crude oil'!E2848</f>
        <v>0</v>
      </c>
      <c r="F2847">
        <f>'raw data Crude oil'!F2848</f>
        <v>0</v>
      </c>
      <c r="G2847">
        <f>'raw data Crude oil'!G2848</f>
        <v>0</v>
      </c>
      <c r="H2847">
        <f>'raw data Crude oil'!H2848</f>
        <v>0</v>
      </c>
      <c r="I2847">
        <f>'raw data Crude oil'!I2848</f>
        <v>0</v>
      </c>
      <c r="J2847">
        <f>'raw data Crude oil'!J2848</f>
        <v>0</v>
      </c>
      <c r="K2847">
        <f>'raw data Crude oil'!K2848</f>
        <v>0</v>
      </c>
      <c r="L2847">
        <f>'raw data Crude oil'!L2848</f>
        <v>0</v>
      </c>
      <c r="M2847">
        <f>'raw data Crude oil'!M2848</f>
        <v>0</v>
      </c>
      <c r="N2847">
        <f>'raw data Crude oil'!N2848</f>
        <v>0</v>
      </c>
      <c r="O2847">
        <f>'raw data Crude oil'!O2848</f>
        <v>0</v>
      </c>
      <c r="P2847">
        <f>'raw data Crude oil'!P2848</f>
        <v>0</v>
      </c>
      <c r="Q2847">
        <f>'raw data Crude oil'!Q2848</f>
        <v>0</v>
      </c>
      <c r="R2847">
        <f>'raw data Crude oil'!R2848</f>
        <v>0</v>
      </c>
      <c r="S2847">
        <f>'raw data Crude oil'!S2848</f>
        <v>0</v>
      </c>
      <c r="T2847">
        <f>'raw data Crude oil'!T2848</f>
        <v>0</v>
      </c>
      <c r="U2847">
        <f>'raw data Crude oil'!U2848</f>
        <v>0</v>
      </c>
      <c r="V2847">
        <f>'raw data Crude oil'!V2848</f>
        <v>0</v>
      </c>
      <c r="W2847">
        <f>'raw data Crude oil'!W2848</f>
        <v>0</v>
      </c>
      <c r="X2847">
        <f>'raw data Crude oil'!X2848</f>
        <v>0</v>
      </c>
      <c r="Y2847">
        <f>'raw data Crude oil'!Y2848</f>
        <v>0</v>
      </c>
      <c r="Z2847">
        <f>'raw data Crude oil'!Z2848</f>
        <v>0</v>
      </c>
      <c r="AA2847">
        <f>'raw data Crude oil'!AA2848</f>
        <v>0</v>
      </c>
      <c r="AB2847">
        <f>'raw data Crude oil'!AB2848</f>
        <v>0</v>
      </c>
      <c r="AC2847">
        <f>'raw data Crude oil'!AC2848</f>
        <v>0</v>
      </c>
      <c r="AD2847">
        <f>'raw data Crude oil'!AD2848</f>
        <v>0</v>
      </c>
      <c r="AE2847">
        <f>'raw data Crude oil'!AE2848</f>
        <v>0</v>
      </c>
      <c r="AF2847">
        <f>'raw data Crude oil'!AF2848</f>
        <v>0</v>
      </c>
      <c r="AG2847">
        <f>'raw data Crude oil'!AG2848</f>
        <v>0</v>
      </c>
      <c r="AH2847">
        <f>'raw data Crude oil'!AH2848</f>
        <v>0</v>
      </c>
      <c r="AI2847">
        <f>'raw data Crude oil'!AI2848</f>
        <v>0</v>
      </c>
      <c r="AJ2847">
        <f>'raw data Crude oil'!AJ2848</f>
        <v>0</v>
      </c>
      <c r="AK2847">
        <f>'raw data Crude oil'!AK2848</f>
        <v>0</v>
      </c>
    </row>
    <row r="2848" spans="1:37" x14ac:dyDescent="0.3">
      <c r="A2848" s="18">
        <f>'raw data Crude oil'!A2849</f>
        <v>0</v>
      </c>
      <c r="B2848">
        <f>'raw data Crude oil'!B2849</f>
        <v>0</v>
      </c>
      <c r="C2848">
        <f>'raw data Crude oil'!C2849</f>
        <v>0</v>
      </c>
      <c r="D2848">
        <f>'raw data Crude oil'!D2849</f>
        <v>0</v>
      </c>
      <c r="E2848">
        <f>'raw data Crude oil'!E2849</f>
        <v>0</v>
      </c>
      <c r="F2848">
        <f>'raw data Crude oil'!F2849</f>
        <v>0</v>
      </c>
      <c r="G2848">
        <f>'raw data Crude oil'!G2849</f>
        <v>0</v>
      </c>
      <c r="H2848">
        <f>'raw data Crude oil'!H2849</f>
        <v>0</v>
      </c>
      <c r="I2848">
        <f>'raw data Crude oil'!I2849</f>
        <v>0</v>
      </c>
      <c r="J2848">
        <f>'raw data Crude oil'!J2849</f>
        <v>0</v>
      </c>
      <c r="K2848">
        <f>'raw data Crude oil'!K2849</f>
        <v>0</v>
      </c>
      <c r="L2848">
        <f>'raw data Crude oil'!L2849</f>
        <v>0</v>
      </c>
      <c r="M2848">
        <f>'raw data Crude oil'!M2849</f>
        <v>0</v>
      </c>
      <c r="N2848">
        <f>'raw data Crude oil'!N2849</f>
        <v>0</v>
      </c>
      <c r="O2848">
        <f>'raw data Crude oil'!O2849</f>
        <v>0</v>
      </c>
      <c r="P2848">
        <f>'raw data Crude oil'!P2849</f>
        <v>0</v>
      </c>
      <c r="Q2848">
        <f>'raw data Crude oil'!Q2849</f>
        <v>0</v>
      </c>
      <c r="R2848">
        <f>'raw data Crude oil'!R2849</f>
        <v>0</v>
      </c>
      <c r="S2848">
        <f>'raw data Crude oil'!S2849</f>
        <v>0</v>
      </c>
      <c r="T2848">
        <f>'raw data Crude oil'!T2849</f>
        <v>0</v>
      </c>
      <c r="U2848">
        <f>'raw data Crude oil'!U2849</f>
        <v>0</v>
      </c>
      <c r="V2848">
        <f>'raw data Crude oil'!V2849</f>
        <v>0</v>
      </c>
      <c r="W2848">
        <f>'raw data Crude oil'!W2849</f>
        <v>0</v>
      </c>
      <c r="X2848">
        <f>'raw data Crude oil'!X2849</f>
        <v>0</v>
      </c>
      <c r="Y2848">
        <f>'raw data Crude oil'!Y2849</f>
        <v>0</v>
      </c>
      <c r="Z2848">
        <f>'raw data Crude oil'!Z2849</f>
        <v>0</v>
      </c>
      <c r="AA2848">
        <f>'raw data Crude oil'!AA2849</f>
        <v>0</v>
      </c>
      <c r="AB2848">
        <f>'raw data Crude oil'!AB2849</f>
        <v>0</v>
      </c>
      <c r="AC2848">
        <f>'raw data Crude oil'!AC2849</f>
        <v>0</v>
      </c>
      <c r="AD2848">
        <f>'raw data Crude oil'!AD2849</f>
        <v>0</v>
      </c>
      <c r="AE2848">
        <f>'raw data Crude oil'!AE2849</f>
        <v>0</v>
      </c>
      <c r="AF2848">
        <f>'raw data Crude oil'!AF2849</f>
        <v>0</v>
      </c>
      <c r="AG2848">
        <f>'raw data Crude oil'!AG2849</f>
        <v>0</v>
      </c>
      <c r="AH2848">
        <f>'raw data Crude oil'!AH2849</f>
        <v>0</v>
      </c>
      <c r="AI2848">
        <f>'raw data Crude oil'!AI2849</f>
        <v>0</v>
      </c>
      <c r="AJ2848">
        <f>'raw data Crude oil'!AJ2849</f>
        <v>0</v>
      </c>
      <c r="AK2848">
        <f>'raw data Crude oil'!AK2849</f>
        <v>0</v>
      </c>
    </row>
    <row r="2849" spans="1:37" x14ac:dyDescent="0.3">
      <c r="A2849" s="18">
        <f>'raw data Crude oil'!A2850</f>
        <v>0</v>
      </c>
      <c r="B2849">
        <f>'raw data Crude oil'!B2850</f>
        <v>0</v>
      </c>
      <c r="C2849">
        <f>'raw data Crude oil'!C2850</f>
        <v>0</v>
      </c>
      <c r="D2849">
        <f>'raw data Crude oil'!D2850</f>
        <v>0</v>
      </c>
      <c r="E2849">
        <f>'raw data Crude oil'!E2850</f>
        <v>0</v>
      </c>
      <c r="F2849">
        <f>'raw data Crude oil'!F2850</f>
        <v>0</v>
      </c>
      <c r="G2849">
        <f>'raw data Crude oil'!G2850</f>
        <v>0</v>
      </c>
      <c r="H2849">
        <f>'raw data Crude oil'!H2850</f>
        <v>0</v>
      </c>
      <c r="I2849">
        <f>'raw data Crude oil'!I2850</f>
        <v>0</v>
      </c>
      <c r="J2849">
        <f>'raw data Crude oil'!J2850</f>
        <v>0</v>
      </c>
      <c r="K2849">
        <f>'raw data Crude oil'!K2850</f>
        <v>0</v>
      </c>
      <c r="L2849">
        <f>'raw data Crude oil'!L2850</f>
        <v>0</v>
      </c>
      <c r="M2849">
        <f>'raw data Crude oil'!M2850</f>
        <v>0</v>
      </c>
      <c r="N2849">
        <f>'raw data Crude oil'!N2850</f>
        <v>0</v>
      </c>
      <c r="O2849">
        <f>'raw data Crude oil'!O2850</f>
        <v>0</v>
      </c>
      <c r="P2849">
        <f>'raw data Crude oil'!P2850</f>
        <v>0</v>
      </c>
      <c r="Q2849">
        <f>'raw data Crude oil'!Q2850</f>
        <v>0</v>
      </c>
      <c r="R2849">
        <f>'raw data Crude oil'!R2850</f>
        <v>0</v>
      </c>
      <c r="S2849">
        <f>'raw data Crude oil'!S2850</f>
        <v>0</v>
      </c>
      <c r="T2849">
        <f>'raw data Crude oil'!T2850</f>
        <v>0</v>
      </c>
      <c r="U2849">
        <f>'raw data Crude oil'!U2850</f>
        <v>0</v>
      </c>
      <c r="V2849">
        <f>'raw data Crude oil'!V2850</f>
        <v>0</v>
      </c>
      <c r="W2849">
        <f>'raw data Crude oil'!W2850</f>
        <v>0</v>
      </c>
      <c r="X2849">
        <f>'raw data Crude oil'!X2850</f>
        <v>0</v>
      </c>
      <c r="Y2849">
        <f>'raw data Crude oil'!Y2850</f>
        <v>0</v>
      </c>
      <c r="Z2849">
        <f>'raw data Crude oil'!Z2850</f>
        <v>0</v>
      </c>
      <c r="AA2849">
        <f>'raw data Crude oil'!AA2850</f>
        <v>0</v>
      </c>
      <c r="AB2849">
        <f>'raw data Crude oil'!AB2850</f>
        <v>0</v>
      </c>
      <c r="AC2849">
        <f>'raw data Crude oil'!AC2850</f>
        <v>0</v>
      </c>
      <c r="AD2849">
        <f>'raw data Crude oil'!AD2850</f>
        <v>0</v>
      </c>
      <c r="AE2849">
        <f>'raw data Crude oil'!AE2850</f>
        <v>0</v>
      </c>
      <c r="AF2849">
        <f>'raw data Crude oil'!AF2850</f>
        <v>0</v>
      </c>
      <c r="AG2849">
        <f>'raw data Crude oil'!AG2850</f>
        <v>0</v>
      </c>
      <c r="AH2849">
        <f>'raw data Crude oil'!AH2850</f>
        <v>0</v>
      </c>
      <c r="AI2849">
        <f>'raw data Crude oil'!AI2850</f>
        <v>0</v>
      </c>
      <c r="AJ2849">
        <f>'raw data Crude oil'!AJ2850</f>
        <v>0</v>
      </c>
      <c r="AK2849">
        <f>'raw data Crude oil'!AK2850</f>
        <v>0</v>
      </c>
    </row>
    <row r="2850" spans="1:37" x14ac:dyDescent="0.3">
      <c r="A2850" s="18">
        <f>'raw data Crude oil'!A2851</f>
        <v>0</v>
      </c>
      <c r="B2850">
        <f>'raw data Crude oil'!B2851</f>
        <v>0</v>
      </c>
      <c r="C2850">
        <f>'raw data Crude oil'!C2851</f>
        <v>0</v>
      </c>
      <c r="D2850">
        <f>'raw data Crude oil'!D2851</f>
        <v>0</v>
      </c>
      <c r="E2850">
        <f>'raw data Crude oil'!E2851</f>
        <v>0</v>
      </c>
      <c r="F2850">
        <f>'raw data Crude oil'!F2851</f>
        <v>0</v>
      </c>
      <c r="G2850">
        <f>'raw data Crude oil'!G2851</f>
        <v>0</v>
      </c>
      <c r="H2850">
        <f>'raw data Crude oil'!H2851</f>
        <v>0</v>
      </c>
      <c r="I2850">
        <f>'raw data Crude oil'!I2851</f>
        <v>0</v>
      </c>
      <c r="J2850">
        <f>'raw data Crude oil'!J2851</f>
        <v>0</v>
      </c>
      <c r="K2850">
        <f>'raw data Crude oil'!K2851</f>
        <v>0</v>
      </c>
      <c r="L2850">
        <f>'raw data Crude oil'!L2851</f>
        <v>0</v>
      </c>
      <c r="M2850">
        <f>'raw data Crude oil'!M2851</f>
        <v>0</v>
      </c>
      <c r="N2850">
        <f>'raw data Crude oil'!N2851</f>
        <v>0</v>
      </c>
      <c r="O2850">
        <f>'raw data Crude oil'!O2851</f>
        <v>0</v>
      </c>
      <c r="P2850">
        <f>'raw data Crude oil'!P2851</f>
        <v>0</v>
      </c>
      <c r="Q2850">
        <f>'raw data Crude oil'!Q2851</f>
        <v>0</v>
      </c>
      <c r="R2850">
        <f>'raw data Crude oil'!R2851</f>
        <v>0</v>
      </c>
      <c r="S2850">
        <f>'raw data Crude oil'!S2851</f>
        <v>0</v>
      </c>
      <c r="T2850">
        <f>'raw data Crude oil'!T2851</f>
        <v>0</v>
      </c>
      <c r="U2850">
        <f>'raw data Crude oil'!U2851</f>
        <v>0</v>
      </c>
      <c r="V2850">
        <f>'raw data Crude oil'!V2851</f>
        <v>0</v>
      </c>
      <c r="W2850">
        <f>'raw data Crude oil'!W2851</f>
        <v>0</v>
      </c>
      <c r="X2850">
        <f>'raw data Crude oil'!X2851</f>
        <v>0</v>
      </c>
      <c r="Y2850">
        <f>'raw data Crude oil'!Y2851</f>
        <v>0</v>
      </c>
      <c r="Z2850">
        <f>'raw data Crude oil'!Z2851</f>
        <v>0</v>
      </c>
      <c r="AA2850">
        <f>'raw data Crude oil'!AA2851</f>
        <v>0</v>
      </c>
      <c r="AB2850">
        <f>'raw data Crude oil'!AB2851</f>
        <v>0</v>
      </c>
      <c r="AC2850">
        <f>'raw data Crude oil'!AC2851</f>
        <v>0</v>
      </c>
      <c r="AD2850">
        <f>'raw data Crude oil'!AD2851</f>
        <v>0</v>
      </c>
      <c r="AE2850">
        <f>'raw data Crude oil'!AE2851</f>
        <v>0</v>
      </c>
      <c r="AF2850">
        <f>'raw data Crude oil'!AF2851</f>
        <v>0</v>
      </c>
      <c r="AG2850">
        <f>'raw data Crude oil'!AG2851</f>
        <v>0</v>
      </c>
      <c r="AH2850">
        <f>'raw data Crude oil'!AH2851</f>
        <v>0</v>
      </c>
      <c r="AI2850">
        <f>'raw data Crude oil'!AI2851</f>
        <v>0</v>
      </c>
      <c r="AJ2850">
        <f>'raw data Crude oil'!AJ2851</f>
        <v>0</v>
      </c>
      <c r="AK2850">
        <f>'raw data Crude oil'!AK2851</f>
        <v>0</v>
      </c>
    </row>
    <row r="2851" spans="1:37" x14ac:dyDescent="0.3">
      <c r="A2851" s="18">
        <f>'raw data Crude oil'!A2852</f>
        <v>0</v>
      </c>
      <c r="B2851">
        <f>'raw data Crude oil'!B2852</f>
        <v>0</v>
      </c>
      <c r="C2851">
        <f>'raw data Crude oil'!C2852</f>
        <v>0</v>
      </c>
      <c r="D2851">
        <f>'raw data Crude oil'!D2852</f>
        <v>0</v>
      </c>
      <c r="E2851">
        <f>'raw data Crude oil'!E2852</f>
        <v>0</v>
      </c>
      <c r="F2851">
        <f>'raw data Crude oil'!F2852</f>
        <v>0</v>
      </c>
      <c r="G2851">
        <f>'raw data Crude oil'!G2852</f>
        <v>0</v>
      </c>
      <c r="H2851">
        <f>'raw data Crude oil'!H2852</f>
        <v>0</v>
      </c>
      <c r="I2851">
        <f>'raw data Crude oil'!I2852</f>
        <v>0</v>
      </c>
      <c r="J2851">
        <f>'raw data Crude oil'!J2852</f>
        <v>0</v>
      </c>
      <c r="K2851">
        <f>'raw data Crude oil'!K2852</f>
        <v>0</v>
      </c>
      <c r="L2851">
        <f>'raw data Crude oil'!L2852</f>
        <v>0</v>
      </c>
      <c r="M2851">
        <f>'raw data Crude oil'!M2852</f>
        <v>0</v>
      </c>
      <c r="N2851">
        <f>'raw data Crude oil'!N2852</f>
        <v>0</v>
      </c>
      <c r="O2851">
        <f>'raw data Crude oil'!O2852</f>
        <v>0</v>
      </c>
      <c r="P2851">
        <f>'raw data Crude oil'!P2852</f>
        <v>0</v>
      </c>
      <c r="Q2851">
        <f>'raw data Crude oil'!Q2852</f>
        <v>0</v>
      </c>
      <c r="R2851">
        <f>'raw data Crude oil'!R2852</f>
        <v>0</v>
      </c>
      <c r="S2851">
        <f>'raw data Crude oil'!S2852</f>
        <v>0</v>
      </c>
      <c r="T2851">
        <f>'raw data Crude oil'!T2852</f>
        <v>0</v>
      </c>
      <c r="U2851">
        <f>'raw data Crude oil'!U2852</f>
        <v>0</v>
      </c>
      <c r="V2851">
        <f>'raw data Crude oil'!V2852</f>
        <v>0</v>
      </c>
      <c r="W2851">
        <f>'raw data Crude oil'!W2852</f>
        <v>0</v>
      </c>
      <c r="X2851">
        <f>'raw data Crude oil'!X2852</f>
        <v>0</v>
      </c>
      <c r="Y2851">
        <f>'raw data Crude oil'!Y2852</f>
        <v>0</v>
      </c>
      <c r="Z2851">
        <f>'raw data Crude oil'!Z2852</f>
        <v>0</v>
      </c>
      <c r="AA2851">
        <f>'raw data Crude oil'!AA2852</f>
        <v>0</v>
      </c>
      <c r="AB2851">
        <f>'raw data Crude oil'!AB2852</f>
        <v>0</v>
      </c>
      <c r="AC2851">
        <f>'raw data Crude oil'!AC2852</f>
        <v>0</v>
      </c>
      <c r="AD2851">
        <f>'raw data Crude oil'!AD2852</f>
        <v>0</v>
      </c>
      <c r="AE2851">
        <f>'raw data Crude oil'!AE2852</f>
        <v>0</v>
      </c>
      <c r="AF2851">
        <f>'raw data Crude oil'!AF2852</f>
        <v>0</v>
      </c>
      <c r="AG2851">
        <f>'raw data Crude oil'!AG2852</f>
        <v>0</v>
      </c>
      <c r="AH2851">
        <f>'raw data Crude oil'!AH2852</f>
        <v>0</v>
      </c>
      <c r="AI2851">
        <f>'raw data Crude oil'!AI2852</f>
        <v>0</v>
      </c>
      <c r="AJ2851">
        <f>'raw data Crude oil'!AJ2852</f>
        <v>0</v>
      </c>
      <c r="AK2851">
        <f>'raw data Crude oil'!AK2852</f>
        <v>0</v>
      </c>
    </row>
    <row r="2852" spans="1:37" x14ac:dyDescent="0.3">
      <c r="A2852" s="18">
        <f>'raw data Crude oil'!A2853</f>
        <v>0</v>
      </c>
      <c r="B2852">
        <f>'raw data Crude oil'!B2853</f>
        <v>0</v>
      </c>
      <c r="C2852">
        <f>'raw data Crude oil'!C2853</f>
        <v>0</v>
      </c>
      <c r="D2852">
        <f>'raw data Crude oil'!D2853</f>
        <v>0</v>
      </c>
      <c r="E2852">
        <f>'raw data Crude oil'!E2853</f>
        <v>0</v>
      </c>
      <c r="F2852">
        <f>'raw data Crude oil'!F2853</f>
        <v>0</v>
      </c>
      <c r="G2852">
        <f>'raw data Crude oil'!G2853</f>
        <v>0</v>
      </c>
      <c r="H2852">
        <f>'raw data Crude oil'!H2853</f>
        <v>0</v>
      </c>
      <c r="I2852">
        <f>'raw data Crude oil'!I2853</f>
        <v>0</v>
      </c>
      <c r="J2852">
        <f>'raw data Crude oil'!J2853</f>
        <v>0</v>
      </c>
      <c r="K2852">
        <f>'raw data Crude oil'!K2853</f>
        <v>0</v>
      </c>
      <c r="L2852">
        <f>'raw data Crude oil'!L2853</f>
        <v>0</v>
      </c>
      <c r="M2852">
        <f>'raw data Crude oil'!M2853</f>
        <v>0</v>
      </c>
      <c r="N2852">
        <f>'raw data Crude oil'!N2853</f>
        <v>0</v>
      </c>
      <c r="O2852">
        <f>'raw data Crude oil'!O2853</f>
        <v>0</v>
      </c>
      <c r="P2852">
        <f>'raw data Crude oil'!P2853</f>
        <v>0</v>
      </c>
      <c r="Q2852">
        <f>'raw data Crude oil'!Q2853</f>
        <v>0</v>
      </c>
      <c r="R2852">
        <f>'raw data Crude oil'!R2853</f>
        <v>0</v>
      </c>
      <c r="S2852">
        <f>'raw data Crude oil'!S2853</f>
        <v>0</v>
      </c>
      <c r="T2852">
        <f>'raw data Crude oil'!T2853</f>
        <v>0</v>
      </c>
      <c r="U2852">
        <f>'raw data Crude oil'!U2853</f>
        <v>0</v>
      </c>
      <c r="V2852">
        <f>'raw data Crude oil'!V2853</f>
        <v>0</v>
      </c>
      <c r="W2852">
        <f>'raw data Crude oil'!W2853</f>
        <v>0</v>
      </c>
      <c r="X2852">
        <f>'raw data Crude oil'!X2853</f>
        <v>0</v>
      </c>
      <c r="Y2852">
        <f>'raw data Crude oil'!Y2853</f>
        <v>0</v>
      </c>
      <c r="Z2852">
        <f>'raw data Crude oil'!Z2853</f>
        <v>0</v>
      </c>
      <c r="AA2852">
        <f>'raw data Crude oil'!AA2853</f>
        <v>0</v>
      </c>
      <c r="AB2852">
        <f>'raw data Crude oil'!AB2853</f>
        <v>0</v>
      </c>
      <c r="AC2852">
        <f>'raw data Crude oil'!AC2853</f>
        <v>0</v>
      </c>
      <c r="AD2852">
        <f>'raw data Crude oil'!AD2853</f>
        <v>0</v>
      </c>
      <c r="AE2852">
        <f>'raw data Crude oil'!AE2853</f>
        <v>0</v>
      </c>
      <c r="AF2852">
        <f>'raw data Crude oil'!AF2853</f>
        <v>0</v>
      </c>
      <c r="AG2852">
        <f>'raw data Crude oil'!AG2853</f>
        <v>0</v>
      </c>
      <c r="AH2852">
        <f>'raw data Crude oil'!AH2853</f>
        <v>0</v>
      </c>
      <c r="AI2852">
        <f>'raw data Crude oil'!AI2853</f>
        <v>0</v>
      </c>
      <c r="AJ2852">
        <f>'raw data Crude oil'!AJ2853</f>
        <v>0</v>
      </c>
      <c r="AK2852">
        <f>'raw data Crude oil'!AK2853</f>
        <v>0</v>
      </c>
    </row>
    <row r="2853" spans="1:37" x14ac:dyDescent="0.3">
      <c r="A2853" s="18">
        <f>'raw data Crude oil'!A2854</f>
        <v>0</v>
      </c>
      <c r="B2853">
        <f>'raw data Crude oil'!B2854</f>
        <v>0</v>
      </c>
      <c r="C2853">
        <f>'raw data Crude oil'!C2854</f>
        <v>0</v>
      </c>
      <c r="D2853">
        <f>'raw data Crude oil'!D2854</f>
        <v>0</v>
      </c>
      <c r="E2853">
        <f>'raw data Crude oil'!E2854</f>
        <v>0</v>
      </c>
      <c r="F2853">
        <f>'raw data Crude oil'!F2854</f>
        <v>0</v>
      </c>
      <c r="G2853">
        <f>'raw data Crude oil'!G2854</f>
        <v>0</v>
      </c>
      <c r="H2853">
        <f>'raw data Crude oil'!H2854</f>
        <v>0</v>
      </c>
      <c r="I2853">
        <f>'raw data Crude oil'!I2854</f>
        <v>0</v>
      </c>
      <c r="J2853">
        <f>'raw data Crude oil'!J2854</f>
        <v>0</v>
      </c>
      <c r="K2853">
        <f>'raw data Crude oil'!K2854</f>
        <v>0</v>
      </c>
      <c r="L2853">
        <f>'raw data Crude oil'!L2854</f>
        <v>0</v>
      </c>
      <c r="M2853">
        <f>'raw data Crude oil'!M2854</f>
        <v>0</v>
      </c>
      <c r="N2853">
        <f>'raw data Crude oil'!N2854</f>
        <v>0</v>
      </c>
      <c r="O2853">
        <f>'raw data Crude oil'!O2854</f>
        <v>0</v>
      </c>
      <c r="P2853">
        <f>'raw data Crude oil'!P2854</f>
        <v>0</v>
      </c>
      <c r="Q2853">
        <f>'raw data Crude oil'!Q2854</f>
        <v>0</v>
      </c>
      <c r="R2853">
        <f>'raw data Crude oil'!R2854</f>
        <v>0</v>
      </c>
      <c r="S2853">
        <f>'raw data Crude oil'!S2854</f>
        <v>0</v>
      </c>
      <c r="T2853">
        <f>'raw data Crude oil'!T2854</f>
        <v>0</v>
      </c>
      <c r="U2853">
        <f>'raw data Crude oil'!U2854</f>
        <v>0</v>
      </c>
      <c r="V2853">
        <f>'raw data Crude oil'!V2854</f>
        <v>0</v>
      </c>
      <c r="W2853">
        <f>'raw data Crude oil'!W2854</f>
        <v>0</v>
      </c>
      <c r="X2853">
        <f>'raw data Crude oil'!X2854</f>
        <v>0</v>
      </c>
      <c r="Y2853">
        <f>'raw data Crude oil'!Y2854</f>
        <v>0</v>
      </c>
      <c r="Z2853">
        <f>'raw data Crude oil'!Z2854</f>
        <v>0</v>
      </c>
      <c r="AA2853">
        <f>'raw data Crude oil'!AA2854</f>
        <v>0</v>
      </c>
      <c r="AB2853">
        <f>'raw data Crude oil'!AB2854</f>
        <v>0</v>
      </c>
      <c r="AC2853">
        <f>'raw data Crude oil'!AC2854</f>
        <v>0</v>
      </c>
      <c r="AD2853">
        <f>'raw data Crude oil'!AD2854</f>
        <v>0</v>
      </c>
      <c r="AE2853">
        <f>'raw data Crude oil'!AE2854</f>
        <v>0</v>
      </c>
      <c r="AF2853">
        <f>'raw data Crude oil'!AF2854</f>
        <v>0</v>
      </c>
      <c r="AG2853">
        <f>'raw data Crude oil'!AG2854</f>
        <v>0</v>
      </c>
      <c r="AH2853">
        <f>'raw data Crude oil'!AH2854</f>
        <v>0</v>
      </c>
      <c r="AI2853">
        <f>'raw data Crude oil'!AI2854</f>
        <v>0</v>
      </c>
      <c r="AJ2853">
        <f>'raw data Crude oil'!AJ2854</f>
        <v>0</v>
      </c>
      <c r="AK2853">
        <f>'raw data Crude oil'!AK2854</f>
        <v>0</v>
      </c>
    </row>
    <row r="2854" spans="1:37" x14ac:dyDescent="0.3">
      <c r="A2854" s="18">
        <f>'raw data Crude oil'!A2855</f>
        <v>0</v>
      </c>
      <c r="B2854">
        <f>'raw data Crude oil'!B2855</f>
        <v>0</v>
      </c>
      <c r="C2854">
        <f>'raw data Crude oil'!C2855</f>
        <v>0</v>
      </c>
      <c r="D2854">
        <f>'raw data Crude oil'!D2855</f>
        <v>0</v>
      </c>
      <c r="E2854">
        <f>'raw data Crude oil'!E2855</f>
        <v>0</v>
      </c>
      <c r="F2854">
        <f>'raw data Crude oil'!F2855</f>
        <v>0</v>
      </c>
      <c r="G2854">
        <f>'raw data Crude oil'!G2855</f>
        <v>0</v>
      </c>
      <c r="H2854">
        <f>'raw data Crude oil'!H2855</f>
        <v>0</v>
      </c>
      <c r="I2854">
        <f>'raw data Crude oil'!I2855</f>
        <v>0</v>
      </c>
      <c r="J2854">
        <f>'raw data Crude oil'!J2855</f>
        <v>0</v>
      </c>
      <c r="K2854">
        <f>'raw data Crude oil'!K2855</f>
        <v>0</v>
      </c>
      <c r="L2854">
        <f>'raw data Crude oil'!L2855</f>
        <v>0</v>
      </c>
      <c r="M2854">
        <f>'raw data Crude oil'!M2855</f>
        <v>0</v>
      </c>
      <c r="N2854">
        <f>'raw data Crude oil'!N2855</f>
        <v>0</v>
      </c>
      <c r="O2854">
        <f>'raw data Crude oil'!O2855</f>
        <v>0</v>
      </c>
      <c r="P2854">
        <f>'raw data Crude oil'!P2855</f>
        <v>0</v>
      </c>
      <c r="Q2854">
        <f>'raw data Crude oil'!Q2855</f>
        <v>0</v>
      </c>
      <c r="R2854">
        <f>'raw data Crude oil'!R2855</f>
        <v>0</v>
      </c>
      <c r="S2854">
        <f>'raw data Crude oil'!S2855</f>
        <v>0</v>
      </c>
      <c r="T2854">
        <f>'raw data Crude oil'!T2855</f>
        <v>0</v>
      </c>
      <c r="U2854">
        <f>'raw data Crude oil'!U2855</f>
        <v>0</v>
      </c>
      <c r="V2854">
        <f>'raw data Crude oil'!V2855</f>
        <v>0</v>
      </c>
      <c r="W2854">
        <f>'raw data Crude oil'!W2855</f>
        <v>0</v>
      </c>
      <c r="X2854">
        <f>'raw data Crude oil'!X2855</f>
        <v>0</v>
      </c>
      <c r="Y2854">
        <f>'raw data Crude oil'!Y2855</f>
        <v>0</v>
      </c>
      <c r="Z2854">
        <f>'raw data Crude oil'!Z2855</f>
        <v>0</v>
      </c>
      <c r="AA2854">
        <f>'raw data Crude oil'!AA2855</f>
        <v>0</v>
      </c>
      <c r="AB2854">
        <f>'raw data Crude oil'!AB2855</f>
        <v>0</v>
      </c>
      <c r="AC2854">
        <f>'raw data Crude oil'!AC2855</f>
        <v>0</v>
      </c>
      <c r="AD2854">
        <f>'raw data Crude oil'!AD2855</f>
        <v>0</v>
      </c>
      <c r="AE2854">
        <f>'raw data Crude oil'!AE2855</f>
        <v>0</v>
      </c>
      <c r="AF2854">
        <f>'raw data Crude oil'!AF2855</f>
        <v>0</v>
      </c>
      <c r="AG2854">
        <f>'raw data Crude oil'!AG2855</f>
        <v>0</v>
      </c>
      <c r="AH2854">
        <f>'raw data Crude oil'!AH2855</f>
        <v>0</v>
      </c>
      <c r="AI2854">
        <f>'raw data Crude oil'!AI2855</f>
        <v>0</v>
      </c>
      <c r="AJ2854">
        <f>'raw data Crude oil'!AJ2855</f>
        <v>0</v>
      </c>
      <c r="AK2854">
        <f>'raw data Crude oil'!AK2855</f>
        <v>0</v>
      </c>
    </row>
    <row r="2855" spans="1:37" x14ac:dyDescent="0.3">
      <c r="A2855" s="18">
        <f>'raw data Crude oil'!A2856</f>
        <v>0</v>
      </c>
      <c r="B2855">
        <f>'raw data Crude oil'!B2856</f>
        <v>0</v>
      </c>
      <c r="C2855">
        <f>'raw data Crude oil'!C2856</f>
        <v>0</v>
      </c>
      <c r="D2855">
        <f>'raw data Crude oil'!D2856</f>
        <v>0</v>
      </c>
      <c r="E2855">
        <f>'raw data Crude oil'!E2856</f>
        <v>0</v>
      </c>
      <c r="F2855">
        <f>'raw data Crude oil'!F2856</f>
        <v>0</v>
      </c>
      <c r="G2855">
        <f>'raw data Crude oil'!G2856</f>
        <v>0</v>
      </c>
      <c r="H2855">
        <f>'raw data Crude oil'!H2856</f>
        <v>0</v>
      </c>
      <c r="I2855">
        <f>'raw data Crude oil'!I2856</f>
        <v>0</v>
      </c>
      <c r="J2855">
        <f>'raw data Crude oil'!J2856</f>
        <v>0</v>
      </c>
      <c r="K2855">
        <f>'raw data Crude oil'!K2856</f>
        <v>0</v>
      </c>
      <c r="L2855">
        <f>'raw data Crude oil'!L2856</f>
        <v>0</v>
      </c>
      <c r="M2855">
        <f>'raw data Crude oil'!M2856</f>
        <v>0</v>
      </c>
      <c r="N2855">
        <f>'raw data Crude oil'!N2856</f>
        <v>0</v>
      </c>
      <c r="O2855">
        <f>'raw data Crude oil'!O2856</f>
        <v>0</v>
      </c>
      <c r="P2855">
        <f>'raw data Crude oil'!P2856</f>
        <v>0</v>
      </c>
      <c r="Q2855">
        <f>'raw data Crude oil'!Q2856</f>
        <v>0</v>
      </c>
      <c r="R2855">
        <f>'raw data Crude oil'!R2856</f>
        <v>0</v>
      </c>
      <c r="S2855">
        <f>'raw data Crude oil'!S2856</f>
        <v>0</v>
      </c>
      <c r="T2855">
        <f>'raw data Crude oil'!T2856</f>
        <v>0</v>
      </c>
      <c r="U2855">
        <f>'raw data Crude oil'!U2856</f>
        <v>0</v>
      </c>
      <c r="V2855">
        <f>'raw data Crude oil'!V2856</f>
        <v>0</v>
      </c>
      <c r="W2855">
        <f>'raw data Crude oil'!W2856</f>
        <v>0</v>
      </c>
      <c r="X2855">
        <f>'raw data Crude oil'!X2856</f>
        <v>0</v>
      </c>
      <c r="Y2855">
        <f>'raw data Crude oil'!Y2856</f>
        <v>0</v>
      </c>
      <c r="Z2855">
        <f>'raw data Crude oil'!Z2856</f>
        <v>0</v>
      </c>
      <c r="AA2855">
        <f>'raw data Crude oil'!AA2856</f>
        <v>0</v>
      </c>
      <c r="AB2855">
        <f>'raw data Crude oil'!AB2856</f>
        <v>0</v>
      </c>
      <c r="AC2855">
        <f>'raw data Crude oil'!AC2856</f>
        <v>0</v>
      </c>
      <c r="AD2855">
        <f>'raw data Crude oil'!AD2856</f>
        <v>0</v>
      </c>
      <c r="AE2855">
        <f>'raw data Crude oil'!AE2856</f>
        <v>0</v>
      </c>
      <c r="AF2855">
        <f>'raw data Crude oil'!AF2856</f>
        <v>0</v>
      </c>
      <c r="AG2855">
        <f>'raw data Crude oil'!AG2856</f>
        <v>0</v>
      </c>
      <c r="AH2855">
        <f>'raw data Crude oil'!AH2856</f>
        <v>0</v>
      </c>
      <c r="AI2855">
        <f>'raw data Crude oil'!AI2856</f>
        <v>0</v>
      </c>
      <c r="AJ2855">
        <f>'raw data Crude oil'!AJ2856</f>
        <v>0</v>
      </c>
      <c r="AK2855">
        <f>'raw data Crude oil'!AK2856</f>
        <v>0</v>
      </c>
    </row>
    <row r="2856" spans="1:37" x14ac:dyDescent="0.3">
      <c r="A2856" s="18">
        <f>'raw data Crude oil'!A2857</f>
        <v>0</v>
      </c>
      <c r="B2856">
        <f>'raw data Crude oil'!B2857</f>
        <v>0</v>
      </c>
      <c r="C2856">
        <f>'raw data Crude oil'!C2857</f>
        <v>0</v>
      </c>
      <c r="D2856">
        <f>'raw data Crude oil'!D2857</f>
        <v>0</v>
      </c>
      <c r="E2856">
        <f>'raw data Crude oil'!E2857</f>
        <v>0</v>
      </c>
      <c r="F2856">
        <f>'raw data Crude oil'!F2857</f>
        <v>0</v>
      </c>
      <c r="G2856">
        <f>'raw data Crude oil'!G2857</f>
        <v>0</v>
      </c>
      <c r="H2856">
        <f>'raw data Crude oil'!H2857</f>
        <v>0</v>
      </c>
      <c r="I2856">
        <f>'raw data Crude oil'!I2857</f>
        <v>0</v>
      </c>
      <c r="J2856">
        <f>'raw data Crude oil'!J2857</f>
        <v>0</v>
      </c>
      <c r="K2856">
        <f>'raw data Crude oil'!K2857</f>
        <v>0</v>
      </c>
      <c r="L2856">
        <f>'raw data Crude oil'!L2857</f>
        <v>0</v>
      </c>
      <c r="M2856">
        <f>'raw data Crude oil'!M2857</f>
        <v>0</v>
      </c>
      <c r="N2856">
        <f>'raw data Crude oil'!N2857</f>
        <v>0</v>
      </c>
      <c r="O2856">
        <f>'raw data Crude oil'!O2857</f>
        <v>0</v>
      </c>
      <c r="P2856">
        <f>'raw data Crude oil'!P2857</f>
        <v>0</v>
      </c>
      <c r="Q2856">
        <f>'raw data Crude oil'!Q2857</f>
        <v>0</v>
      </c>
      <c r="R2856">
        <f>'raw data Crude oil'!R2857</f>
        <v>0</v>
      </c>
      <c r="S2856">
        <f>'raw data Crude oil'!S2857</f>
        <v>0</v>
      </c>
      <c r="T2856">
        <f>'raw data Crude oil'!T2857</f>
        <v>0</v>
      </c>
      <c r="U2856">
        <f>'raw data Crude oil'!U2857</f>
        <v>0</v>
      </c>
      <c r="V2856">
        <f>'raw data Crude oil'!V2857</f>
        <v>0</v>
      </c>
      <c r="W2856">
        <f>'raw data Crude oil'!W2857</f>
        <v>0</v>
      </c>
      <c r="X2856">
        <f>'raw data Crude oil'!X2857</f>
        <v>0</v>
      </c>
      <c r="Y2856">
        <f>'raw data Crude oil'!Y2857</f>
        <v>0</v>
      </c>
      <c r="Z2856">
        <f>'raw data Crude oil'!Z2857</f>
        <v>0</v>
      </c>
      <c r="AA2856">
        <f>'raw data Crude oil'!AA2857</f>
        <v>0</v>
      </c>
      <c r="AB2856">
        <f>'raw data Crude oil'!AB2857</f>
        <v>0</v>
      </c>
      <c r="AC2856">
        <f>'raw data Crude oil'!AC2857</f>
        <v>0</v>
      </c>
      <c r="AD2856">
        <f>'raw data Crude oil'!AD2857</f>
        <v>0</v>
      </c>
      <c r="AE2856">
        <f>'raw data Crude oil'!AE2857</f>
        <v>0</v>
      </c>
      <c r="AF2856">
        <f>'raw data Crude oil'!AF2857</f>
        <v>0</v>
      </c>
      <c r="AG2856">
        <f>'raw data Crude oil'!AG2857</f>
        <v>0</v>
      </c>
      <c r="AH2856">
        <f>'raw data Crude oil'!AH2857</f>
        <v>0</v>
      </c>
      <c r="AI2856">
        <f>'raw data Crude oil'!AI2857</f>
        <v>0</v>
      </c>
      <c r="AJ2856">
        <f>'raw data Crude oil'!AJ2857</f>
        <v>0</v>
      </c>
      <c r="AK2856">
        <f>'raw data Crude oil'!AK2857</f>
        <v>0</v>
      </c>
    </row>
    <row r="2857" spans="1:37" x14ac:dyDescent="0.3">
      <c r="A2857" s="18">
        <f>'raw data Crude oil'!A2858</f>
        <v>0</v>
      </c>
      <c r="B2857">
        <f>'raw data Crude oil'!B2858</f>
        <v>0</v>
      </c>
      <c r="C2857">
        <f>'raw data Crude oil'!C2858</f>
        <v>0</v>
      </c>
      <c r="D2857">
        <f>'raw data Crude oil'!D2858</f>
        <v>0</v>
      </c>
      <c r="E2857">
        <f>'raw data Crude oil'!E2858</f>
        <v>0</v>
      </c>
      <c r="F2857">
        <f>'raw data Crude oil'!F2858</f>
        <v>0</v>
      </c>
      <c r="G2857">
        <f>'raw data Crude oil'!G2858</f>
        <v>0</v>
      </c>
      <c r="H2857">
        <f>'raw data Crude oil'!H2858</f>
        <v>0</v>
      </c>
      <c r="I2857">
        <f>'raw data Crude oil'!I2858</f>
        <v>0</v>
      </c>
      <c r="J2857">
        <f>'raw data Crude oil'!J2858</f>
        <v>0</v>
      </c>
      <c r="K2857">
        <f>'raw data Crude oil'!K2858</f>
        <v>0</v>
      </c>
      <c r="L2857">
        <f>'raw data Crude oil'!L2858</f>
        <v>0</v>
      </c>
      <c r="M2857">
        <f>'raw data Crude oil'!M2858</f>
        <v>0</v>
      </c>
      <c r="N2857">
        <f>'raw data Crude oil'!N2858</f>
        <v>0</v>
      </c>
      <c r="O2857">
        <f>'raw data Crude oil'!O2858</f>
        <v>0</v>
      </c>
      <c r="P2857">
        <f>'raw data Crude oil'!P2858</f>
        <v>0</v>
      </c>
      <c r="Q2857">
        <f>'raw data Crude oil'!Q2858</f>
        <v>0</v>
      </c>
      <c r="R2857">
        <f>'raw data Crude oil'!R2858</f>
        <v>0</v>
      </c>
      <c r="S2857">
        <f>'raw data Crude oil'!S2858</f>
        <v>0</v>
      </c>
      <c r="T2857">
        <f>'raw data Crude oil'!T2858</f>
        <v>0</v>
      </c>
      <c r="U2857">
        <f>'raw data Crude oil'!U2858</f>
        <v>0</v>
      </c>
      <c r="V2857">
        <f>'raw data Crude oil'!V2858</f>
        <v>0</v>
      </c>
      <c r="W2857">
        <f>'raw data Crude oil'!W2858</f>
        <v>0</v>
      </c>
      <c r="X2857">
        <f>'raw data Crude oil'!X2858</f>
        <v>0</v>
      </c>
      <c r="Y2857">
        <f>'raw data Crude oil'!Y2858</f>
        <v>0</v>
      </c>
      <c r="Z2857">
        <f>'raw data Crude oil'!Z2858</f>
        <v>0</v>
      </c>
      <c r="AA2857">
        <f>'raw data Crude oil'!AA2858</f>
        <v>0</v>
      </c>
      <c r="AB2857">
        <f>'raw data Crude oil'!AB2858</f>
        <v>0</v>
      </c>
      <c r="AC2857">
        <f>'raw data Crude oil'!AC2858</f>
        <v>0</v>
      </c>
      <c r="AD2857">
        <f>'raw data Crude oil'!AD2858</f>
        <v>0</v>
      </c>
      <c r="AE2857">
        <f>'raw data Crude oil'!AE2858</f>
        <v>0</v>
      </c>
      <c r="AF2857">
        <f>'raw data Crude oil'!AF2858</f>
        <v>0</v>
      </c>
      <c r="AG2857">
        <f>'raw data Crude oil'!AG2858</f>
        <v>0</v>
      </c>
      <c r="AH2857">
        <f>'raw data Crude oil'!AH2858</f>
        <v>0</v>
      </c>
      <c r="AI2857">
        <f>'raw data Crude oil'!AI2858</f>
        <v>0</v>
      </c>
      <c r="AJ2857">
        <f>'raw data Crude oil'!AJ2858</f>
        <v>0</v>
      </c>
      <c r="AK2857">
        <f>'raw data Crude oil'!AK2858</f>
        <v>0</v>
      </c>
    </row>
    <row r="2858" spans="1:37" x14ac:dyDescent="0.3">
      <c r="A2858" s="18">
        <f>'raw data Crude oil'!A2859</f>
        <v>0</v>
      </c>
      <c r="B2858">
        <f>'raw data Crude oil'!B2859</f>
        <v>0</v>
      </c>
      <c r="C2858">
        <f>'raw data Crude oil'!C2859</f>
        <v>0</v>
      </c>
      <c r="D2858">
        <f>'raw data Crude oil'!D2859</f>
        <v>0</v>
      </c>
      <c r="E2858">
        <f>'raw data Crude oil'!E2859</f>
        <v>0</v>
      </c>
      <c r="F2858">
        <f>'raw data Crude oil'!F2859</f>
        <v>0</v>
      </c>
      <c r="G2858">
        <f>'raw data Crude oil'!G2859</f>
        <v>0</v>
      </c>
      <c r="H2858">
        <f>'raw data Crude oil'!H2859</f>
        <v>0</v>
      </c>
      <c r="I2858">
        <f>'raw data Crude oil'!I2859</f>
        <v>0</v>
      </c>
      <c r="J2858">
        <f>'raw data Crude oil'!J2859</f>
        <v>0</v>
      </c>
      <c r="K2858">
        <f>'raw data Crude oil'!K2859</f>
        <v>0</v>
      </c>
      <c r="L2858">
        <f>'raw data Crude oil'!L2859</f>
        <v>0</v>
      </c>
      <c r="M2858">
        <f>'raw data Crude oil'!M2859</f>
        <v>0</v>
      </c>
      <c r="N2858">
        <f>'raw data Crude oil'!N2859</f>
        <v>0</v>
      </c>
      <c r="O2858">
        <f>'raw data Crude oil'!O2859</f>
        <v>0</v>
      </c>
      <c r="P2858">
        <f>'raw data Crude oil'!P2859</f>
        <v>0</v>
      </c>
      <c r="Q2858">
        <f>'raw data Crude oil'!Q2859</f>
        <v>0</v>
      </c>
      <c r="R2858">
        <f>'raw data Crude oil'!R2859</f>
        <v>0</v>
      </c>
      <c r="S2858">
        <f>'raw data Crude oil'!S2859</f>
        <v>0</v>
      </c>
      <c r="T2858">
        <f>'raw data Crude oil'!T2859</f>
        <v>0</v>
      </c>
      <c r="U2858">
        <f>'raw data Crude oil'!U2859</f>
        <v>0</v>
      </c>
      <c r="V2858">
        <f>'raw data Crude oil'!V2859</f>
        <v>0</v>
      </c>
      <c r="W2858">
        <f>'raw data Crude oil'!W2859</f>
        <v>0</v>
      </c>
      <c r="X2858">
        <f>'raw data Crude oil'!X2859</f>
        <v>0</v>
      </c>
      <c r="Y2858">
        <f>'raw data Crude oil'!Y2859</f>
        <v>0</v>
      </c>
      <c r="Z2858">
        <f>'raw data Crude oil'!Z2859</f>
        <v>0</v>
      </c>
      <c r="AA2858">
        <f>'raw data Crude oil'!AA2859</f>
        <v>0</v>
      </c>
      <c r="AB2858">
        <f>'raw data Crude oil'!AB2859</f>
        <v>0</v>
      </c>
      <c r="AC2858">
        <f>'raw data Crude oil'!AC2859</f>
        <v>0</v>
      </c>
      <c r="AD2858">
        <f>'raw data Crude oil'!AD2859</f>
        <v>0</v>
      </c>
      <c r="AE2858">
        <f>'raw data Crude oil'!AE2859</f>
        <v>0</v>
      </c>
      <c r="AF2858">
        <f>'raw data Crude oil'!AF2859</f>
        <v>0</v>
      </c>
      <c r="AG2858">
        <f>'raw data Crude oil'!AG2859</f>
        <v>0</v>
      </c>
      <c r="AH2858">
        <f>'raw data Crude oil'!AH2859</f>
        <v>0</v>
      </c>
      <c r="AI2858">
        <f>'raw data Crude oil'!AI2859</f>
        <v>0</v>
      </c>
      <c r="AJ2858">
        <f>'raw data Crude oil'!AJ2859</f>
        <v>0</v>
      </c>
      <c r="AK2858">
        <f>'raw data Crude oil'!AK2859</f>
        <v>0</v>
      </c>
    </row>
    <row r="2859" spans="1:37" x14ac:dyDescent="0.3">
      <c r="A2859" s="18">
        <f>'raw data Crude oil'!A2860</f>
        <v>0</v>
      </c>
      <c r="B2859">
        <f>'raw data Crude oil'!B2860</f>
        <v>0</v>
      </c>
      <c r="C2859">
        <f>'raw data Crude oil'!C2860</f>
        <v>0</v>
      </c>
      <c r="D2859">
        <f>'raw data Crude oil'!D2860</f>
        <v>0</v>
      </c>
      <c r="E2859">
        <f>'raw data Crude oil'!E2860</f>
        <v>0</v>
      </c>
      <c r="F2859">
        <f>'raw data Crude oil'!F2860</f>
        <v>0</v>
      </c>
      <c r="G2859">
        <f>'raw data Crude oil'!G2860</f>
        <v>0</v>
      </c>
      <c r="H2859">
        <f>'raw data Crude oil'!H2860</f>
        <v>0</v>
      </c>
      <c r="I2859">
        <f>'raw data Crude oil'!I2860</f>
        <v>0</v>
      </c>
      <c r="J2859">
        <f>'raw data Crude oil'!J2860</f>
        <v>0</v>
      </c>
      <c r="K2859">
        <f>'raw data Crude oil'!K2860</f>
        <v>0</v>
      </c>
      <c r="L2859">
        <f>'raw data Crude oil'!L2860</f>
        <v>0</v>
      </c>
      <c r="M2859">
        <f>'raw data Crude oil'!M2860</f>
        <v>0</v>
      </c>
      <c r="N2859">
        <f>'raw data Crude oil'!N2860</f>
        <v>0</v>
      </c>
      <c r="O2859">
        <f>'raw data Crude oil'!O2860</f>
        <v>0</v>
      </c>
      <c r="P2859">
        <f>'raw data Crude oil'!P2860</f>
        <v>0</v>
      </c>
      <c r="Q2859">
        <f>'raw data Crude oil'!Q2860</f>
        <v>0</v>
      </c>
      <c r="R2859">
        <f>'raw data Crude oil'!R2860</f>
        <v>0</v>
      </c>
      <c r="S2859">
        <f>'raw data Crude oil'!S2860</f>
        <v>0</v>
      </c>
      <c r="T2859">
        <f>'raw data Crude oil'!T2860</f>
        <v>0</v>
      </c>
      <c r="U2859">
        <f>'raw data Crude oil'!U2860</f>
        <v>0</v>
      </c>
      <c r="V2859">
        <f>'raw data Crude oil'!V2860</f>
        <v>0</v>
      </c>
      <c r="W2859">
        <f>'raw data Crude oil'!W2860</f>
        <v>0</v>
      </c>
      <c r="X2859">
        <f>'raw data Crude oil'!X2860</f>
        <v>0</v>
      </c>
      <c r="Y2859">
        <f>'raw data Crude oil'!Y2860</f>
        <v>0</v>
      </c>
      <c r="Z2859">
        <f>'raw data Crude oil'!Z2860</f>
        <v>0</v>
      </c>
      <c r="AA2859">
        <f>'raw data Crude oil'!AA2860</f>
        <v>0</v>
      </c>
      <c r="AB2859">
        <f>'raw data Crude oil'!AB2860</f>
        <v>0</v>
      </c>
      <c r="AC2859">
        <f>'raw data Crude oil'!AC2860</f>
        <v>0</v>
      </c>
      <c r="AD2859">
        <f>'raw data Crude oil'!AD2860</f>
        <v>0</v>
      </c>
      <c r="AE2859">
        <f>'raw data Crude oil'!AE2860</f>
        <v>0</v>
      </c>
      <c r="AF2859">
        <f>'raw data Crude oil'!AF2860</f>
        <v>0</v>
      </c>
      <c r="AG2859">
        <f>'raw data Crude oil'!AG2860</f>
        <v>0</v>
      </c>
      <c r="AH2859">
        <f>'raw data Crude oil'!AH2860</f>
        <v>0</v>
      </c>
      <c r="AI2859">
        <f>'raw data Crude oil'!AI2860</f>
        <v>0</v>
      </c>
      <c r="AJ2859">
        <f>'raw data Crude oil'!AJ2860</f>
        <v>0</v>
      </c>
      <c r="AK2859">
        <f>'raw data Crude oil'!AK2860</f>
        <v>0</v>
      </c>
    </row>
    <row r="2860" spans="1:37" x14ac:dyDescent="0.3">
      <c r="A2860" s="18">
        <f>'raw data Crude oil'!A2861</f>
        <v>0</v>
      </c>
      <c r="B2860">
        <f>'raw data Crude oil'!B2861</f>
        <v>0</v>
      </c>
      <c r="C2860">
        <f>'raw data Crude oil'!C2861</f>
        <v>0</v>
      </c>
      <c r="D2860">
        <f>'raw data Crude oil'!D2861</f>
        <v>0</v>
      </c>
      <c r="E2860">
        <f>'raw data Crude oil'!E2861</f>
        <v>0</v>
      </c>
      <c r="F2860">
        <f>'raw data Crude oil'!F2861</f>
        <v>0</v>
      </c>
      <c r="G2860">
        <f>'raw data Crude oil'!G2861</f>
        <v>0</v>
      </c>
      <c r="H2860">
        <f>'raw data Crude oil'!H2861</f>
        <v>0</v>
      </c>
      <c r="I2860">
        <f>'raw data Crude oil'!I2861</f>
        <v>0</v>
      </c>
      <c r="J2860">
        <f>'raw data Crude oil'!J2861</f>
        <v>0</v>
      </c>
      <c r="K2860">
        <f>'raw data Crude oil'!K2861</f>
        <v>0</v>
      </c>
      <c r="L2860">
        <f>'raw data Crude oil'!L2861</f>
        <v>0</v>
      </c>
      <c r="M2860">
        <f>'raw data Crude oil'!M2861</f>
        <v>0</v>
      </c>
      <c r="N2860">
        <f>'raw data Crude oil'!N2861</f>
        <v>0</v>
      </c>
      <c r="O2860">
        <f>'raw data Crude oil'!O2861</f>
        <v>0</v>
      </c>
      <c r="P2860">
        <f>'raw data Crude oil'!P2861</f>
        <v>0</v>
      </c>
      <c r="Q2860">
        <f>'raw data Crude oil'!Q2861</f>
        <v>0</v>
      </c>
      <c r="R2860">
        <f>'raw data Crude oil'!R2861</f>
        <v>0</v>
      </c>
      <c r="S2860">
        <f>'raw data Crude oil'!S2861</f>
        <v>0</v>
      </c>
      <c r="T2860">
        <f>'raw data Crude oil'!T2861</f>
        <v>0</v>
      </c>
      <c r="U2860">
        <f>'raw data Crude oil'!U2861</f>
        <v>0</v>
      </c>
      <c r="V2860">
        <f>'raw data Crude oil'!V2861</f>
        <v>0</v>
      </c>
      <c r="W2860">
        <f>'raw data Crude oil'!W2861</f>
        <v>0</v>
      </c>
      <c r="X2860">
        <f>'raw data Crude oil'!X2861</f>
        <v>0</v>
      </c>
      <c r="Y2860">
        <f>'raw data Crude oil'!Y2861</f>
        <v>0</v>
      </c>
      <c r="Z2860">
        <f>'raw data Crude oil'!Z2861</f>
        <v>0</v>
      </c>
      <c r="AA2860">
        <f>'raw data Crude oil'!AA2861</f>
        <v>0</v>
      </c>
      <c r="AB2860">
        <f>'raw data Crude oil'!AB2861</f>
        <v>0</v>
      </c>
      <c r="AC2860">
        <f>'raw data Crude oil'!AC2861</f>
        <v>0</v>
      </c>
      <c r="AD2860">
        <f>'raw data Crude oil'!AD2861</f>
        <v>0</v>
      </c>
      <c r="AE2860">
        <f>'raw data Crude oil'!AE2861</f>
        <v>0</v>
      </c>
      <c r="AF2860">
        <f>'raw data Crude oil'!AF2861</f>
        <v>0</v>
      </c>
      <c r="AG2860">
        <f>'raw data Crude oil'!AG2861</f>
        <v>0</v>
      </c>
      <c r="AH2860">
        <f>'raw data Crude oil'!AH2861</f>
        <v>0</v>
      </c>
      <c r="AI2860">
        <f>'raw data Crude oil'!AI2861</f>
        <v>0</v>
      </c>
      <c r="AJ2860">
        <f>'raw data Crude oil'!AJ2861</f>
        <v>0</v>
      </c>
      <c r="AK2860">
        <f>'raw data Crude oil'!AK2861</f>
        <v>0</v>
      </c>
    </row>
    <row r="2861" spans="1:37" x14ac:dyDescent="0.3">
      <c r="A2861" s="18">
        <f>'raw data Crude oil'!A2862</f>
        <v>0</v>
      </c>
      <c r="B2861">
        <f>'raw data Crude oil'!B2862</f>
        <v>0</v>
      </c>
      <c r="C2861">
        <f>'raw data Crude oil'!C2862</f>
        <v>0</v>
      </c>
      <c r="D2861">
        <f>'raw data Crude oil'!D2862</f>
        <v>0</v>
      </c>
      <c r="E2861">
        <f>'raw data Crude oil'!E2862</f>
        <v>0</v>
      </c>
      <c r="F2861">
        <f>'raw data Crude oil'!F2862</f>
        <v>0</v>
      </c>
      <c r="G2861">
        <f>'raw data Crude oil'!G2862</f>
        <v>0</v>
      </c>
      <c r="H2861">
        <f>'raw data Crude oil'!H2862</f>
        <v>0</v>
      </c>
      <c r="I2861">
        <f>'raw data Crude oil'!I2862</f>
        <v>0</v>
      </c>
      <c r="J2861">
        <f>'raw data Crude oil'!J2862</f>
        <v>0</v>
      </c>
      <c r="K2861">
        <f>'raw data Crude oil'!K2862</f>
        <v>0</v>
      </c>
      <c r="L2861">
        <f>'raw data Crude oil'!L2862</f>
        <v>0</v>
      </c>
      <c r="M2861">
        <f>'raw data Crude oil'!M2862</f>
        <v>0</v>
      </c>
      <c r="N2861">
        <f>'raw data Crude oil'!N2862</f>
        <v>0</v>
      </c>
      <c r="O2861">
        <f>'raw data Crude oil'!O2862</f>
        <v>0</v>
      </c>
      <c r="P2861">
        <f>'raw data Crude oil'!P2862</f>
        <v>0</v>
      </c>
      <c r="Q2861">
        <f>'raw data Crude oil'!Q2862</f>
        <v>0</v>
      </c>
      <c r="R2861">
        <f>'raw data Crude oil'!R2862</f>
        <v>0</v>
      </c>
      <c r="S2861">
        <f>'raw data Crude oil'!S2862</f>
        <v>0</v>
      </c>
      <c r="T2861">
        <f>'raw data Crude oil'!T2862</f>
        <v>0</v>
      </c>
      <c r="U2861">
        <f>'raw data Crude oil'!U2862</f>
        <v>0</v>
      </c>
      <c r="V2861">
        <f>'raw data Crude oil'!V2862</f>
        <v>0</v>
      </c>
      <c r="W2861">
        <f>'raw data Crude oil'!W2862</f>
        <v>0</v>
      </c>
      <c r="X2861">
        <f>'raw data Crude oil'!X2862</f>
        <v>0</v>
      </c>
      <c r="Y2861">
        <f>'raw data Crude oil'!Y2862</f>
        <v>0</v>
      </c>
      <c r="Z2861">
        <f>'raw data Crude oil'!Z2862</f>
        <v>0</v>
      </c>
      <c r="AA2861">
        <f>'raw data Crude oil'!AA2862</f>
        <v>0</v>
      </c>
      <c r="AB2861">
        <f>'raw data Crude oil'!AB2862</f>
        <v>0</v>
      </c>
      <c r="AC2861">
        <f>'raw data Crude oil'!AC2862</f>
        <v>0</v>
      </c>
      <c r="AD2861">
        <f>'raw data Crude oil'!AD2862</f>
        <v>0</v>
      </c>
      <c r="AE2861">
        <f>'raw data Crude oil'!AE2862</f>
        <v>0</v>
      </c>
      <c r="AF2861">
        <f>'raw data Crude oil'!AF2862</f>
        <v>0</v>
      </c>
      <c r="AG2861">
        <f>'raw data Crude oil'!AG2862</f>
        <v>0</v>
      </c>
      <c r="AH2861">
        <f>'raw data Crude oil'!AH2862</f>
        <v>0</v>
      </c>
      <c r="AI2861">
        <f>'raw data Crude oil'!AI2862</f>
        <v>0</v>
      </c>
      <c r="AJ2861">
        <f>'raw data Crude oil'!AJ2862</f>
        <v>0</v>
      </c>
      <c r="AK2861">
        <f>'raw data Crude oil'!AK2862</f>
        <v>0</v>
      </c>
    </row>
    <row r="2862" spans="1:37" x14ac:dyDescent="0.3">
      <c r="A2862" s="18">
        <f>'raw data Crude oil'!A2863</f>
        <v>0</v>
      </c>
      <c r="B2862">
        <f>'raw data Crude oil'!B2863</f>
        <v>0</v>
      </c>
      <c r="C2862">
        <f>'raw data Crude oil'!C2863</f>
        <v>0</v>
      </c>
      <c r="D2862">
        <f>'raw data Crude oil'!D2863</f>
        <v>0</v>
      </c>
      <c r="E2862">
        <f>'raw data Crude oil'!E2863</f>
        <v>0</v>
      </c>
      <c r="F2862">
        <f>'raw data Crude oil'!F2863</f>
        <v>0</v>
      </c>
      <c r="G2862">
        <f>'raw data Crude oil'!G2863</f>
        <v>0</v>
      </c>
      <c r="H2862">
        <f>'raw data Crude oil'!H2863</f>
        <v>0</v>
      </c>
      <c r="I2862">
        <f>'raw data Crude oil'!I2863</f>
        <v>0</v>
      </c>
      <c r="J2862">
        <f>'raw data Crude oil'!J2863</f>
        <v>0</v>
      </c>
      <c r="K2862">
        <f>'raw data Crude oil'!K2863</f>
        <v>0</v>
      </c>
      <c r="L2862">
        <f>'raw data Crude oil'!L2863</f>
        <v>0</v>
      </c>
      <c r="M2862">
        <f>'raw data Crude oil'!M2863</f>
        <v>0</v>
      </c>
      <c r="N2862">
        <f>'raw data Crude oil'!N2863</f>
        <v>0</v>
      </c>
      <c r="O2862">
        <f>'raw data Crude oil'!O2863</f>
        <v>0</v>
      </c>
      <c r="P2862">
        <f>'raw data Crude oil'!P2863</f>
        <v>0</v>
      </c>
      <c r="Q2862">
        <f>'raw data Crude oil'!Q2863</f>
        <v>0</v>
      </c>
      <c r="R2862">
        <f>'raw data Crude oil'!R2863</f>
        <v>0</v>
      </c>
      <c r="S2862">
        <f>'raw data Crude oil'!S2863</f>
        <v>0</v>
      </c>
      <c r="T2862">
        <f>'raw data Crude oil'!T2863</f>
        <v>0</v>
      </c>
      <c r="U2862">
        <f>'raw data Crude oil'!U2863</f>
        <v>0</v>
      </c>
      <c r="V2862">
        <f>'raw data Crude oil'!V2863</f>
        <v>0</v>
      </c>
      <c r="W2862">
        <f>'raw data Crude oil'!W2863</f>
        <v>0</v>
      </c>
      <c r="X2862">
        <f>'raw data Crude oil'!X2863</f>
        <v>0</v>
      </c>
      <c r="Y2862">
        <f>'raw data Crude oil'!Y2863</f>
        <v>0</v>
      </c>
      <c r="Z2862">
        <f>'raw data Crude oil'!Z2863</f>
        <v>0</v>
      </c>
      <c r="AA2862">
        <f>'raw data Crude oil'!AA2863</f>
        <v>0</v>
      </c>
      <c r="AB2862">
        <f>'raw data Crude oil'!AB2863</f>
        <v>0</v>
      </c>
      <c r="AC2862">
        <f>'raw data Crude oil'!AC2863</f>
        <v>0</v>
      </c>
      <c r="AD2862">
        <f>'raw data Crude oil'!AD2863</f>
        <v>0</v>
      </c>
      <c r="AE2862">
        <f>'raw data Crude oil'!AE2863</f>
        <v>0</v>
      </c>
      <c r="AF2862">
        <f>'raw data Crude oil'!AF2863</f>
        <v>0</v>
      </c>
      <c r="AG2862">
        <f>'raw data Crude oil'!AG2863</f>
        <v>0</v>
      </c>
      <c r="AH2862">
        <f>'raw data Crude oil'!AH2863</f>
        <v>0</v>
      </c>
      <c r="AI2862">
        <f>'raw data Crude oil'!AI2863</f>
        <v>0</v>
      </c>
      <c r="AJ2862">
        <f>'raw data Crude oil'!AJ2863</f>
        <v>0</v>
      </c>
      <c r="AK2862">
        <f>'raw data Crude oil'!AK2863</f>
        <v>0</v>
      </c>
    </row>
    <row r="2863" spans="1:37" x14ac:dyDescent="0.3">
      <c r="A2863" s="18">
        <f>'raw data Crude oil'!A2864</f>
        <v>0</v>
      </c>
      <c r="B2863">
        <f>'raw data Crude oil'!B2864</f>
        <v>0</v>
      </c>
      <c r="C2863">
        <f>'raw data Crude oil'!C2864</f>
        <v>0</v>
      </c>
      <c r="D2863">
        <f>'raw data Crude oil'!D2864</f>
        <v>0</v>
      </c>
      <c r="E2863">
        <f>'raw data Crude oil'!E2864</f>
        <v>0</v>
      </c>
      <c r="F2863">
        <f>'raw data Crude oil'!F2864</f>
        <v>0</v>
      </c>
      <c r="G2863">
        <f>'raw data Crude oil'!G2864</f>
        <v>0</v>
      </c>
      <c r="H2863">
        <f>'raw data Crude oil'!H2864</f>
        <v>0</v>
      </c>
      <c r="I2863">
        <f>'raw data Crude oil'!I2864</f>
        <v>0</v>
      </c>
      <c r="J2863">
        <f>'raw data Crude oil'!J2864</f>
        <v>0</v>
      </c>
      <c r="K2863">
        <f>'raw data Crude oil'!K2864</f>
        <v>0</v>
      </c>
      <c r="L2863">
        <f>'raw data Crude oil'!L2864</f>
        <v>0</v>
      </c>
      <c r="M2863">
        <f>'raw data Crude oil'!M2864</f>
        <v>0</v>
      </c>
      <c r="N2863">
        <f>'raw data Crude oil'!N2864</f>
        <v>0</v>
      </c>
      <c r="O2863">
        <f>'raw data Crude oil'!O2864</f>
        <v>0</v>
      </c>
      <c r="P2863">
        <f>'raw data Crude oil'!P2864</f>
        <v>0</v>
      </c>
      <c r="Q2863">
        <f>'raw data Crude oil'!Q2864</f>
        <v>0</v>
      </c>
      <c r="R2863">
        <f>'raw data Crude oil'!R2864</f>
        <v>0</v>
      </c>
      <c r="S2863">
        <f>'raw data Crude oil'!S2864</f>
        <v>0</v>
      </c>
      <c r="T2863">
        <f>'raw data Crude oil'!T2864</f>
        <v>0</v>
      </c>
      <c r="U2863">
        <f>'raw data Crude oil'!U2864</f>
        <v>0</v>
      </c>
      <c r="V2863">
        <f>'raw data Crude oil'!V2864</f>
        <v>0</v>
      </c>
      <c r="W2863">
        <f>'raw data Crude oil'!W2864</f>
        <v>0</v>
      </c>
      <c r="X2863">
        <f>'raw data Crude oil'!X2864</f>
        <v>0</v>
      </c>
      <c r="Y2863">
        <f>'raw data Crude oil'!Y2864</f>
        <v>0</v>
      </c>
      <c r="Z2863">
        <f>'raw data Crude oil'!Z2864</f>
        <v>0</v>
      </c>
      <c r="AA2863">
        <f>'raw data Crude oil'!AA2864</f>
        <v>0</v>
      </c>
      <c r="AB2863">
        <f>'raw data Crude oil'!AB2864</f>
        <v>0</v>
      </c>
      <c r="AC2863">
        <f>'raw data Crude oil'!AC2864</f>
        <v>0</v>
      </c>
      <c r="AD2863">
        <f>'raw data Crude oil'!AD2864</f>
        <v>0</v>
      </c>
      <c r="AE2863">
        <f>'raw data Crude oil'!AE2864</f>
        <v>0</v>
      </c>
      <c r="AF2863">
        <f>'raw data Crude oil'!AF2864</f>
        <v>0</v>
      </c>
      <c r="AG2863">
        <f>'raw data Crude oil'!AG2864</f>
        <v>0</v>
      </c>
      <c r="AH2863">
        <f>'raw data Crude oil'!AH2864</f>
        <v>0</v>
      </c>
      <c r="AI2863">
        <f>'raw data Crude oil'!AI2864</f>
        <v>0</v>
      </c>
      <c r="AJ2863">
        <f>'raw data Crude oil'!AJ2864</f>
        <v>0</v>
      </c>
      <c r="AK2863">
        <f>'raw data Crude oil'!AK2864</f>
        <v>0</v>
      </c>
    </row>
    <row r="2864" spans="1:37" x14ac:dyDescent="0.3">
      <c r="A2864" s="18">
        <f>'raw data Crude oil'!A2865</f>
        <v>0</v>
      </c>
      <c r="B2864">
        <f>'raw data Crude oil'!B2865</f>
        <v>0</v>
      </c>
      <c r="C2864">
        <f>'raw data Crude oil'!C2865</f>
        <v>0</v>
      </c>
      <c r="D2864">
        <f>'raw data Crude oil'!D2865</f>
        <v>0</v>
      </c>
      <c r="E2864">
        <f>'raw data Crude oil'!E2865</f>
        <v>0</v>
      </c>
      <c r="F2864">
        <f>'raw data Crude oil'!F2865</f>
        <v>0</v>
      </c>
      <c r="G2864">
        <f>'raw data Crude oil'!G2865</f>
        <v>0</v>
      </c>
      <c r="H2864">
        <f>'raw data Crude oil'!H2865</f>
        <v>0</v>
      </c>
      <c r="I2864">
        <f>'raw data Crude oil'!I2865</f>
        <v>0</v>
      </c>
      <c r="J2864">
        <f>'raw data Crude oil'!J2865</f>
        <v>0</v>
      </c>
      <c r="K2864">
        <f>'raw data Crude oil'!K2865</f>
        <v>0</v>
      </c>
      <c r="L2864">
        <f>'raw data Crude oil'!L2865</f>
        <v>0</v>
      </c>
      <c r="M2864">
        <f>'raw data Crude oil'!M2865</f>
        <v>0</v>
      </c>
      <c r="N2864">
        <f>'raw data Crude oil'!N2865</f>
        <v>0</v>
      </c>
      <c r="O2864">
        <f>'raw data Crude oil'!O2865</f>
        <v>0</v>
      </c>
      <c r="P2864">
        <f>'raw data Crude oil'!P2865</f>
        <v>0</v>
      </c>
      <c r="Q2864">
        <f>'raw data Crude oil'!Q2865</f>
        <v>0</v>
      </c>
      <c r="R2864">
        <f>'raw data Crude oil'!R2865</f>
        <v>0</v>
      </c>
      <c r="S2864">
        <f>'raw data Crude oil'!S2865</f>
        <v>0</v>
      </c>
      <c r="T2864">
        <f>'raw data Crude oil'!T2865</f>
        <v>0</v>
      </c>
      <c r="U2864">
        <f>'raw data Crude oil'!U2865</f>
        <v>0</v>
      </c>
      <c r="V2864">
        <f>'raw data Crude oil'!V2865</f>
        <v>0</v>
      </c>
      <c r="W2864">
        <f>'raw data Crude oil'!W2865</f>
        <v>0</v>
      </c>
      <c r="X2864">
        <f>'raw data Crude oil'!X2865</f>
        <v>0</v>
      </c>
      <c r="Y2864">
        <f>'raw data Crude oil'!Y2865</f>
        <v>0</v>
      </c>
      <c r="Z2864">
        <f>'raw data Crude oil'!Z2865</f>
        <v>0</v>
      </c>
      <c r="AA2864">
        <f>'raw data Crude oil'!AA2865</f>
        <v>0</v>
      </c>
      <c r="AB2864">
        <f>'raw data Crude oil'!AB2865</f>
        <v>0</v>
      </c>
      <c r="AC2864">
        <f>'raw data Crude oil'!AC2865</f>
        <v>0</v>
      </c>
      <c r="AD2864">
        <f>'raw data Crude oil'!AD2865</f>
        <v>0</v>
      </c>
      <c r="AE2864">
        <f>'raw data Crude oil'!AE2865</f>
        <v>0</v>
      </c>
      <c r="AF2864">
        <f>'raw data Crude oil'!AF2865</f>
        <v>0</v>
      </c>
      <c r="AG2864">
        <f>'raw data Crude oil'!AG2865</f>
        <v>0</v>
      </c>
      <c r="AH2864">
        <f>'raw data Crude oil'!AH2865</f>
        <v>0</v>
      </c>
      <c r="AI2864">
        <f>'raw data Crude oil'!AI2865</f>
        <v>0</v>
      </c>
      <c r="AJ2864">
        <f>'raw data Crude oil'!AJ2865</f>
        <v>0</v>
      </c>
      <c r="AK2864">
        <f>'raw data Crude oil'!AK2865</f>
        <v>0</v>
      </c>
    </row>
    <row r="2865" spans="1:37" x14ac:dyDescent="0.3">
      <c r="A2865" s="18">
        <f>'raw data Crude oil'!A2866</f>
        <v>0</v>
      </c>
      <c r="B2865">
        <f>'raw data Crude oil'!B2866</f>
        <v>0</v>
      </c>
      <c r="C2865">
        <f>'raw data Crude oil'!C2866</f>
        <v>0</v>
      </c>
      <c r="D2865">
        <f>'raw data Crude oil'!D2866</f>
        <v>0</v>
      </c>
      <c r="E2865">
        <f>'raw data Crude oil'!E2866</f>
        <v>0</v>
      </c>
      <c r="F2865">
        <f>'raw data Crude oil'!F2866</f>
        <v>0</v>
      </c>
      <c r="G2865">
        <f>'raw data Crude oil'!G2866</f>
        <v>0</v>
      </c>
      <c r="H2865">
        <f>'raw data Crude oil'!H2866</f>
        <v>0</v>
      </c>
      <c r="I2865">
        <f>'raw data Crude oil'!I2866</f>
        <v>0</v>
      </c>
      <c r="J2865">
        <f>'raw data Crude oil'!J2866</f>
        <v>0</v>
      </c>
      <c r="K2865">
        <f>'raw data Crude oil'!K2866</f>
        <v>0</v>
      </c>
      <c r="L2865">
        <f>'raw data Crude oil'!L2866</f>
        <v>0</v>
      </c>
      <c r="M2865">
        <f>'raw data Crude oil'!M2866</f>
        <v>0</v>
      </c>
      <c r="N2865">
        <f>'raw data Crude oil'!N2866</f>
        <v>0</v>
      </c>
      <c r="O2865">
        <f>'raw data Crude oil'!O2866</f>
        <v>0</v>
      </c>
      <c r="P2865">
        <f>'raw data Crude oil'!P2866</f>
        <v>0</v>
      </c>
      <c r="Q2865">
        <f>'raw data Crude oil'!Q2866</f>
        <v>0</v>
      </c>
      <c r="R2865">
        <f>'raw data Crude oil'!R2866</f>
        <v>0</v>
      </c>
      <c r="S2865">
        <f>'raw data Crude oil'!S2866</f>
        <v>0</v>
      </c>
      <c r="T2865">
        <f>'raw data Crude oil'!T2866</f>
        <v>0</v>
      </c>
      <c r="U2865">
        <f>'raw data Crude oil'!U2866</f>
        <v>0</v>
      </c>
      <c r="V2865">
        <f>'raw data Crude oil'!V2866</f>
        <v>0</v>
      </c>
      <c r="W2865">
        <f>'raw data Crude oil'!W2866</f>
        <v>0</v>
      </c>
      <c r="X2865">
        <f>'raw data Crude oil'!X2866</f>
        <v>0</v>
      </c>
      <c r="Y2865">
        <f>'raw data Crude oil'!Y2866</f>
        <v>0</v>
      </c>
      <c r="Z2865">
        <f>'raw data Crude oil'!Z2866</f>
        <v>0</v>
      </c>
      <c r="AA2865">
        <f>'raw data Crude oil'!AA2866</f>
        <v>0</v>
      </c>
      <c r="AB2865">
        <f>'raw data Crude oil'!AB2866</f>
        <v>0</v>
      </c>
      <c r="AC2865">
        <f>'raw data Crude oil'!AC2866</f>
        <v>0</v>
      </c>
      <c r="AD2865">
        <f>'raw data Crude oil'!AD2866</f>
        <v>0</v>
      </c>
      <c r="AE2865">
        <f>'raw data Crude oil'!AE2866</f>
        <v>0</v>
      </c>
      <c r="AF2865">
        <f>'raw data Crude oil'!AF2866</f>
        <v>0</v>
      </c>
      <c r="AG2865">
        <f>'raw data Crude oil'!AG2866</f>
        <v>0</v>
      </c>
      <c r="AH2865">
        <f>'raw data Crude oil'!AH2866</f>
        <v>0</v>
      </c>
      <c r="AI2865">
        <f>'raw data Crude oil'!AI2866</f>
        <v>0</v>
      </c>
      <c r="AJ2865">
        <f>'raw data Crude oil'!AJ2866</f>
        <v>0</v>
      </c>
      <c r="AK2865">
        <f>'raw data Crude oil'!AK2866</f>
        <v>0</v>
      </c>
    </row>
    <row r="2866" spans="1:37" x14ac:dyDescent="0.3">
      <c r="A2866" s="18">
        <f>'raw data Crude oil'!A2867</f>
        <v>0</v>
      </c>
      <c r="B2866">
        <f>'raw data Crude oil'!B2867</f>
        <v>0</v>
      </c>
      <c r="C2866">
        <f>'raw data Crude oil'!C2867</f>
        <v>0</v>
      </c>
      <c r="D2866">
        <f>'raw data Crude oil'!D2867</f>
        <v>0</v>
      </c>
      <c r="E2866">
        <f>'raw data Crude oil'!E2867</f>
        <v>0</v>
      </c>
      <c r="F2866">
        <f>'raw data Crude oil'!F2867</f>
        <v>0</v>
      </c>
      <c r="G2866">
        <f>'raw data Crude oil'!G2867</f>
        <v>0</v>
      </c>
      <c r="H2866">
        <f>'raw data Crude oil'!H2867</f>
        <v>0</v>
      </c>
      <c r="I2866">
        <f>'raw data Crude oil'!I2867</f>
        <v>0</v>
      </c>
      <c r="J2866">
        <f>'raw data Crude oil'!J2867</f>
        <v>0</v>
      </c>
      <c r="K2866">
        <f>'raw data Crude oil'!K2867</f>
        <v>0</v>
      </c>
      <c r="L2866">
        <f>'raw data Crude oil'!L2867</f>
        <v>0</v>
      </c>
      <c r="M2866">
        <f>'raw data Crude oil'!M2867</f>
        <v>0</v>
      </c>
      <c r="N2866">
        <f>'raw data Crude oil'!N2867</f>
        <v>0</v>
      </c>
      <c r="O2866">
        <f>'raw data Crude oil'!O2867</f>
        <v>0</v>
      </c>
      <c r="P2866">
        <f>'raw data Crude oil'!P2867</f>
        <v>0</v>
      </c>
      <c r="Q2866">
        <f>'raw data Crude oil'!Q2867</f>
        <v>0</v>
      </c>
      <c r="R2866">
        <f>'raw data Crude oil'!R2867</f>
        <v>0</v>
      </c>
      <c r="S2866">
        <f>'raw data Crude oil'!S2867</f>
        <v>0</v>
      </c>
      <c r="T2866">
        <f>'raw data Crude oil'!T2867</f>
        <v>0</v>
      </c>
      <c r="U2866">
        <f>'raw data Crude oil'!U2867</f>
        <v>0</v>
      </c>
      <c r="V2866">
        <f>'raw data Crude oil'!V2867</f>
        <v>0</v>
      </c>
      <c r="W2866">
        <f>'raw data Crude oil'!W2867</f>
        <v>0</v>
      </c>
      <c r="X2866">
        <f>'raw data Crude oil'!X2867</f>
        <v>0</v>
      </c>
      <c r="Y2866">
        <f>'raw data Crude oil'!Y2867</f>
        <v>0</v>
      </c>
      <c r="Z2866">
        <f>'raw data Crude oil'!Z2867</f>
        <v>0</v>
      </c>
      <c r="AA2866">
        <f>'raw data Crude oil'!AA2867</f>
        <v>0</v>
      </c>
      <c r="AB2866">
        <f>'raw data Crude oil'!AB2867</f>
        <v>0</v>
      </c>
      <c r="AC2866">
        <f>'raw data Crude oil'!AC2867</f>
        <v>0</v>
      </c>
      <c r="AD2866">
        <f>'raw data Crude oil'!AD2867</f>
        <v>0</v>
      </c>
      <c r="AE2866">
        <f>'raw data Crude oil'!AE2867</f>
        <v>0</v>
      </c>
      <c r="AF2866">
        <f>'raw data Crude oil'!AF2867</f>
        <v>0</v>
      </c>
      <c r="AG2866">
        <f>'raw data Crude oil'!AG2867</f>
        <v>0</v>
      </c>
      <c r="AH2866">
        <f>'raw data Crude oil'!AH2867</f>
        <v>0</v>
      </c>
      <c r="AI2866">
        <f>'raw data Crude oil'!AI2867</f>
        <v>0</v>
      </c>
      <c r="AJ2866">
        <f>'raw data Crude oil'!AJ2867</f>
        <v>0</v>
      </c>
      <c r="AK2866">
        <f>'raw data Crude oil'!AK2867</f>
        <v>0</v>
      </c>
    </row>
    <row r="2867" spans="1:37" x14ac:dyDescent="0.3">
      <c r="A2867" s="18">
        <f>'raw data Crude oil'!A2868</f>
        <v>0</v>
      </c>
      <c r="B2867">
        <f>'raw data Crude oil'!B2868</f>
        <v>0</v>
      </c>
      <c r="C2867">
        <f>'raw data Crude oil'!C2868</f>
        <v>0</v>
      </c>
      <c r="D2867">
        <f>'raw data Crude oil'!D2868</f>
        <v>0</v>
      </c>
      <c r="E2867">
        <f>'raw data Crude oil'!E2868</f>
        <v>0</v>
      </c>
      <c r="F2867">
        <f>'raw data Crude oil'!F2868</f>
        <v>0</v>
      </c>
      <c r="G2867">
        <f>'raw data Crude oil'!G2868</f>
        <v>0</v>
      </c>
      <c r="H2867">
        <f>'raw data Crude oil'!H2868</f>
        <v>0</v>
      </c>
      <c r="I2867">
        <f>'raw data Crude oil'!I2868</f>
        <v>0</v>
      </c>
      <c r="J2867">
        <f>'raw data Crude oil'!J2868</f>
        <v>0</v>
      </c>
      <c r="K2867">
        <f>'raw data Crude oil'!K2868</f>
        <v>0</v>
      </c>
      <c r="L2867">
        <f>'raw data Crude oil'!L2868</f>
        <v>0</v>
      </c>
      <c r="M2867">
        <f>'raw data Crude oil'!M2868</f>
        <v>0</v>
      </c>
      <c r="N2867">
        <f>'raw data Crude oil'!N2868</f>
        <v>0</v>
      </c>
      <c r="O2867">
        <f>'raw data Crude oil'!O2868</f>
        <v>0</v>
      </c>
      <c r="P2867">
        <f>'raw data Crude oil'!P2868</f>
        <v>0</v>
      </c>
      <c r="Q2867">
        <f>'raw data Crude oil'!Q2868</f>
        <v>0</v>
      </c>
      <c r="R2867">
        <f>'raw data Crude oil'!R2868</f>
        <v>0</v>
      </c>
      <c r="S2867">
        <f>'raw data Crude oil'!S2868</f>
        <v>0</v>
      </c>
      <c r="T2867">
        <f>'raw data Crude oil'!T2868</f>
        <v>0</v>
      </c>
      <c r="U2867">
        <f>'raw data Crude oil'!U2868</f>
        <v>0</v>
      </c>
      <c r="V2867">
        <f>'raw data Crude oil'!V2868</f>
        <v>0</v>
      </c>
      <c r="W2867">
        <f>'raw data Crude oil'!W2868</f>
        <v>0</v>
      </c>
      <c r="X2867">
        <f>'raw data Crude oil'!X2868</f>
        <v>0</v>
      </c>
      <c r="Y2867">
        <f>'raw data Crude oil'!Y2868</f>
        <v>0</v>
      </c>
      <c r="Z2867">
        <f>'raw data Crude oil'!Z2868</f>
        <v>0</v>
      </c>
      <c r="AA2867">
        <f>'raw data Crude oil'!AA2868</f>
        <v>0</v>
      </c>
      <c r="AB2867">
        <f>'raw data Crude oil'!AB2868</f>
        <v>0</v>
      </c>
      <c r="AC2867">
        <f>'raw data Crude oil'!AC2868</f>
        <v>0</v>
      </c>
      <c r="AD2867">
        <f>'raw data Crude oil'!AD2868</f>
        <v>0</v>
      </c>
      <c r="AE2867">
        <f>'raw data Crude oil'!AE2868</f>
        <v>0</v>
      </c>
      <c r="AF2867">
        <f>'raw data Crude oil'!AF2868</f>
        <v>0</v>
      </c>
      <c r="AG2867">
        <f>'raw data Crude oil'!AG2868</f>
        <v>0</v>
      </c>
      <c r="AH2867">
        <f>'raw data Crude oil'!AH2868</f>
        <v>0</v>
      </c>
      <c r="AI2867">
        <f>'raw data Crude oil'!AI2868</f>
        <v>0</v>
      </c>
      <c r="AJ2867">
        <f>'raw data Crude oil'!AJ2868</f>
        <v>0</v>
      </c>
      <c r="AK2867">
        <f>'raw data Crude oil'!AK2868</f>
        <v>0</v>
      </c>
    </row>
    <row r="2868" spans="1:37" x14ac:dyDescent="0.3">
      <c r="A2868" s="18">
        <f>'raw data Crude oil'!A2869</f>
        <v>0</v>
      </c>
      <c r="B2868">
        <f>'raw data Crude oil'!B2869</f>
        <v>0</v>
      </c>
      <c r="C2868">
        <f>'raw data Crude oil'!C2869</f>
        <v>0</v>
      </c>
      <c r="D2868">
        <f>'raw data Crude oil'!D2869</f>
        <v>0</v>
      </c>
      <c r="E2868">
        <f>'raw data Crude oil'!E2869</f>
        <v>0</v>
      </c>
      <c r="F2868">
        <f>'raw data Crude oil'!F2869</f>
        <v>0</v>
      </c>
      <c r="G2868">
        <f>'raw data Crude oil'!G2869</f>
        <v>0</v>
      </c>
      <c r="H2868">
        <f>'raw data Crude oil'!H2869</f>
        <v>0</v>
      </c>
      <c r="I2868">
        <f>'raw data Crude oil'!I2869</f>
        <v>0</v>
      </c>
      <c r="J2868">
        <f>'raw data Crude oil'!J2869</f>
        <v>0</v>
      </c>
      <c r="K2868">
        <f>'raw data Crude oil'!K2869</f>
        <v>0</v>
      </c>
      <c r="L2868">
        <f>'raw data Crude oil'!L2869</f>
        <v>0</v>
      </c>
      <c r="M2868">
        <f>'raw data Crude oil'!M2869</f>
        <v>0</v>
      </c>
      <c r="N2868">
        <f>'raw data Crude oil'!N2869</f>
        <v>0</v>
      </c>
      <c r="O2868">
        <f>'raw data Crude oil'!O2869</f>
        <v>0</v>
      </c>
      <c r="P2868">
        <f>'raw data Crude oil'!P2869</f>
        <v>0</v>
      </c>
      <c r="Q2868">
        <f>'raw data Crude oil'!Q2869</f>
        <v>0</v>
      </c>
      <c r="R2868">
        <f>'raw data Crude oil'!R2869</f>
        <v>0</v>
      </c>
      <c r="S2868">
        <f>'raw data Crude oil'!S2869</f>
        <v>0</v>
      </c>
      <c r="T2868">
        <f>'raw data Crude oil'!T2869</f>
        <v>0</v>
      </c>
      <c r="U2868">
        <f>'raw data Crude oil'!U2869</f>
        <v>0</v>
      </c>
      <c r="V2868">
        <f>'raw data Crude oil'!V2869</f>
        <v>0</v>
      </c>
      <c r="W2868">
        <f>'raw data Crude oil'!W2869</f>
        <v>0</v>
      </c>
      <c r="X2868">
        <f>'raw data Crude oil'!X2869</f>
        <v>0</v>
      </c>
      <c r="Y2868">
        <f>'raw data Crude oil'!Y2869</f>
        <v>0</v>
      </c>
      <c r="Z2868">
        <f>'raw data Crude oil'!Z2869</f>
        <v>0</v>
      </c>
      <c r="AA2868">
        <f>'raw data Crude oil'!AA2869</f>
        <v>0</v>
      </c>
      <c r="AB2868">
        <f>'raw data Crude oil'!AB2869</f>
        <v>0</v>
      </c>
      <c r="AC2868">
        <f>'raw data Crude oil'!AC2869</f>
        <v>0</v>
      </c>
      <c r="AD2868">
        <f>'raw data Crude oil'!AD2869</f>
        <v>0</v>
      </c>
      <c r="AE2868">
        <f>'raw data Crude oil'!AE2869</f>
        <v>0</v>
      </c>
      <c r="AF2868">
        <f>'raw data Crude oil'!AF2869</f>
        <v>0</v>
      </c>
      <c r="AG2868">
        <f>'raw data Crude oil'!AG2869</f>
        <v>0</v>
      </c>
      <c r="AH2868">
        <f>'raw data Crude oil'!AH2869</f>
        <v>0</v>
      </c>
      <c r="AI2868">
        <f>'raw data Crude oil'!AI2869</f>
        <v>0</v>
      </c>
      <c r="AJ2868">
        <f>'raw data Crude oil'!AJ2869</f>
        <v>0</v>
      </c>
      <c r="AK2868">
        <f>'raw data Crude oil'!AK2869</f>
        <v>0</v>
      </c>
    </row>
    <row r="2869" spans="1:37" x14ac:dyDescent="0.3">
      <c r="A2869" s="18">
        <f>'raw data Crude oil'!A2870</f>
        <v>0</v>
      </c>
      <c r="B2869">
        <f>'raw data Crude oil'!B2870</f>
        <v>0</v>
      </c>
      <c r="C2869">
        <f>'raw data Crude oil'!C2870</f>
        <v>0</v>
      </c>
      <c r="D2869">
        <f>'raw data Crude oil'!D2870</f>
        <v>0</v>
      </c>
      <c r="E2869">
        <f>'raw data Crude oil'!E2870</f>
        <v>0</v>
      </c>
      <c r="F2869">
        <f>'raw data Crude oil'!F2870</f>
        <v>0</v>
      </c>
      <c r="G2869">
        <f>'raw data Crude oil'!G2870</f>
        <v>0</v>
      </c>
      <c r="H2869">
        <f>'raw data Crude oil'!H2870</f>
        <v>0</v>
      </c>
      <c r="I2869">
        <f>'raw data Crude oil'!I2870</f>
        <v>0</v>
      </c>
      <c r="J2869">
        <f>'raw data Crude oil'!J2870</f>
        <v>0</v>
      </c>
      <c r="K2869">
        <f>'raw data Crude oil'!K2870</f>
        <v>0</v>
      </c>
      <c r="L2869">
        <f>'raw data Crude oil'!L2870</f>
        <v>0</v>
      </c>
      <c r="M2869">
        <f>'raw data Crude oil'!M2870</f>
        <v>0</v>
      </c>
      <c r="N2869">
        <f>'raw data Crude oil'!N2870</f>
        <v>0</v>
      </c>
      <c r="O2869">
        <f>'raw data Crude oil'!O2870</f>
        <v>0</v>
      </c>
      <c r="P2869">
        <f>'raw data Crude oil'!P2870</f>
        <v>0</v>
      </c>
      <c r="Q2869">
        <f>'raw data Crude oil'!Q2870</f>
        <v>0</v>
      </c>
      <c r="R2869">
        <f>'raw data Crude oil'!R2870</f>
        <v>0</v>
      </c>
      <c r="S2869">
        <f>'raw data Crude oil'!S2870</f>
        <v>0</v>
      </c>
      <c r="T2869">
        <f>'raw data Crude oil'!T2870</f>
        <v>0</v>
      </c>
      <c r="U2869">
        <f>'raw data Crude oil'!U2870</f>
        <v>0</v>
      </c>
      <c r="V2869">
        <f>'raw data Crude oil'!V2870</f>
        <v>0</v>
      </c>
      <c r="W2869">
        <f>'raw data Crude oil'!W2870</f>
        <v>0</v>
      </c>
      <c r="X2869">
        <f>'raw data Crude oil'!X2870</f>
        <v>0</v>
      </c>
      <c r="Y2869">
        <f>'raw data Crude oil'!Y2870</f>
        <v>0</v>
      </c>
      <c r="Z2869">
        <f>'raw data Crude oil'!Z2870</f>
        <v>0</v>
      </c>
      <c r="AA2869">
        <f>'raw data Crude oil'!AA2870</f>
        <v>0</v>
      </c>
      <c r="AB2869">
        <f>'raw data Crude oil'!AB2870</f>
        <v>0</v>
      </c>
      <c r="AC2869">
        <f>'raw data Crude oil'!AC2870</f>
        <v>0</v>
      </c>
      <c r="AD2869">
        <f>'raw data Crude oil'!AD2870</f>
        <v>0</v>
      </c>
      <c r="AE2869">
        <f>'raw data Crude oil'!AE2870</f>
        <v>0</v>
      </c>
      <c r="AF2869">
        <f>'raw data Crude oil'!AF2870</f>
        <v>0</v>
      </c>
      <c r="AG2869">
        <f>'raw data Crude oil'!AG2870</f>
        <v>0</v>
      </c>
      <c r="AH2869">
        <f>'raw data Crude oil'!AH2870</f>
        <v>0</v>
      </c>
      <c r="AI2869">
        <f>'raw data Crude oil'!AI2870</f>
        <v>0</v>
      </c>
      <c r="AJ2869">
        <f>'raw data Crude oil'!AJ2870</f>
        <v>0</v>
      </c>
      <c r="AK2869">
        <f>'raw data Crude oil'!AK2870</f>
        <v>0</v>
      </c>
    </row>
    <row r="2870" spans="1:37" x14ac:dyDescent="0.3">
      <c r="A2870" s="18">
        <f>'raw data Crude oil'!A2871</f>
        <v>0</v>
      </c>
      <c r="B2870">
        <f>'raw data Crude oil'!B2871</f>
        <v>0</v>
      </c>
      <c r="C2870">
        <f>'raw data Crude oil'!C2871</f>
        <v>0</v>
      </c>
      <c r="D2870">
        <f>'raw data Crude oil'!D2871</f>
        <v>0</v>
      </c>
      <c r="E2870">
        <f>'raw data Crude oil'!E2871</f>
        <v>0</v>
      </c>
      <c r="F2870">
        <f>'raw data Crude oil'!F2871</f>
        <v>0</v>
      </c>
      <c r="G2870">
        <f>'raw data Crude oil'!G2871</f>
        <v>0</v>
      </c>
      <c r="H2870">
        <f>'raw data Crude oil'!H2871</f>
        <v>0</v>
      </c>
      <c r="I2870">
        <f>'raw data Crude oil'!I2871</f>
        <v>0</v>
      </c>
      <c r="J2870">
        <f>'raw data Crude oil'!J2871</f>
        <v>0</v>
      </c>
      <c r="K2870">
        <f>'raw data Crude oil'!K2871</f>
        <v>0</v>
      </c>
      <c r="L2870">
        <f>'raw data Crude oil'!L2871</f>
        <v>0</v>
      </c>
      <c r="M2870">
        <f>'raw data Crude oil'!M2871</f>
        <v>0</v>
      </c>
      <c r="N2870">
        <f>'raw data Crude oil'!N2871</f>
        <v>0</v>
      </c>
      <c r="O2870">
        <f>'raw data Crude oil'!O2871</f>
        <v>0</v>
      </c>
      <c r="P2870">
        <f>'raw data Crude oil'!P2871</f>
        <v>0</v>
      </c>
      <c r="Q2870">
        <f>'raw data Crude oil'!Q2871</f>
        <v>0</v>
      </c>
      <c r="R2870">
        <f>'raw data Crude oil'!R2871</f>
        <v>0</v>
      </c>
      <c r="S2870">
        <f>'raw data Crude oil'!S2871</f>
        <v>0</v>
      </c>
      <c r="T2870">
        <f>'raw data Crude oil'!T2871</f>
        <v>0</v>
      </c>
      <c r="U2870">
        <f>'raw data Crude oil'!U2871</f>
        <v>0</v>
      </c>
      <c r="V2870">
        <f>'raw data Crude oil'!V2871</f>
        <v>0</v>
      </c>
      <c r="W2870">
        <f>'raw data Crude oil'!W2871</f>
        <v>0</v>
      </c>
      <c r="X2870">
        <f>'raw data Crude oil'!X2871</f>
        <v>0</v>
      </c>
      <c r="Y2870">
        <f>'raw data Crude oil'!Y2871</f>
        <v>0</v>
      </c>
      <c r="Z2870">
        <f>'raw data Crude oil'!Z2871</f>
        <v>0</v>
      </c>
      <c r="AA2870">
        <f>'raw data Crude oil'!AA2871</f>
        <v>0</v>
      </c>
      <c r="AB2870">
        <f>'raw data Crude oil'!AB2871</f>
        <v>0</v>
      </c>
      <c r="AC2870">
        <f>'raw data Crude oil'!AC2871</f>
        <v>0</v>
      </c>
      <c r="AD2870">
        <f>'raw data Crude oil'!AD2871</f>
        <v>0</v>
      </c>
      <c r="AE2870">
        <f>'raw data Crude oil'!AE2871</f>
        <v>0</v>
      </c>
      <c r="AF2870">
        <f>'raw data Crude oil'!AF2871</f>
        <v>0</v>
      </c>
      <c r="AG2870">
        <f>'raw data Crude oil'!AG2871</f>
        <v>0</v>
      </c>
      <c r="AH2870">
        <f>'raw data Crude oil'!AH2871</f>
        <v>0</v>
      </c>
      <c r="AI2870">
        <f>'raw data Crude oil'!AI2871</f>
        <v>0</v>
      </c>
      <c r="AJ2870">
        <f>'raw data Crude oil'!AJ2871</f>
        <v>0</v>
      </c>
      <c r="AK2870">
        <f>'raw data Crude oil'!AK2871</f>
        <v>0</v>
      </c>
    </row>
    <row r="2871" spans="1:37" x14ac:dyDescent="0.3">
      <c r="A2871" s="18">
        <f>'raw data Crude oil'!A2872</f>
        <v>0</v>
      </c>
      <c r="B2871">
        <f>'raw data Crude oil'!B2872</f>
        <v>0</v>
      </c>
      <c r="C2871">
        <f>'raw data Crude oil'!C2872</f>
        <v>0</v>
      </c>
      <c r="D2871">
        <f>'raw data Crude oil'!D2872</f>
        <v>0</v>
      </c>
      <c r="E2871">
        <f>'raw data Crude oil'!E2872</f>
        <v>0</v>
      </c>
      <c r="F2871">
        <f>'raw data Crude oil'!F2872</f>
        <v>0</v>
      </c>
      <c r="G2871">
        <f>'raw data Crude oil'!G2872</f>
        <v>0</v>
      </c>
      <c r="H2871">
        <f>'raw data Crude oil'!H2872</f>
        <v>0</v>
      </c>
      <c r="I2871">
        <f>'raw data Crude oil'!I2872</f>
        <v>0</v>
      </c>
      <c r="J2871">
        <f>'raw data Crude oil'!J2872</f>
        <v>0</v>
      </c>
      <c r="K2871">
        <f>'raw data Crude oil'!K2872</f>
        <v>0</v>
      </c>
      <c r="L2871">
        <f>'raw data Crude oil'!L2872</f>
        <v>0</v>
      </c>
      <c r="M2871">
        <f>'raw data Crude oil'!M2872</f>
        <v>0</v>
      </c>
      <c r="N2871">
        <f>'raw data Crude oil'!N2872</f>
        <v>0</v>
      </c>
      <c r="O2871">
        <f>'raw data Crude oil'!O2872</f>
        <v>0</v>
      </c>
      <c r="P2871">
        <f>'raw data Crude oil'!P2872</f>
        <v>0</v>
      </c>
      <c r="Q2871">
        <f>'raw data Crude oil'!Q2872</f>
        <v>0</v>
      </c>
      <c r="R2871">
        <f>'raw data Crude oil'!R2872</f>
        <v>0</v>
      </c>
      <c r="S2871">
        <f>'raw data Crude oil'!S2872</f>
        <v>0</v>
      </c>
      <c r="T2871">
        <f>'raw data Crude oil'!T2872</f>
        <v>0</v>
      </c>
      <c r="U2871">
        <f>'raw data Crude oil'!U2872</f>
        <v>0</v>
      </c>
      <c r="V2871">
        <f>'raw data Crude oil'!V2872</f>
        <v>0</v>
      </c>
      <c r="W2871">
        <f>'raw data Crude oil'!W2872</f>
        <v>0</v>
      </c>
      <c r="X2871">
        <f>'raw data Crude oil'!X2872</f>
        <v>0</v>
      </c>
      <c r="Y2871">
        <f>'raw data Crude oil'!Y2872</f>
        <v>0</v>
      </c>
      <c r="Z2871">
        <f>'raw data Crude oil'!Z2872</f>
        <v>0</v>
      </c>
      <c r="AA2871">
        <f>'raw data Crude oil'!AA2872</f>
        <v>0</v>
      </c>
      <c r="AB2871">
        <f>'raw data Crude oil'!AB2872</f>
        <v>0</v>
      </c>
      <c r="AC2871">
        <f>'raw data Crude oil'!AC2872</f>
        <v>0</v>
      </c>
      <c r="AD2871">
        <f>'raw data Crude oil'!AD2872</f>
        <v>0</v>
      </c>
      <c r="AE2871">
        <f>'raw data Crude oil'!AE2872</f>
        <v>0</v>
      </c>
      <c r="AF2871">
        <f>'raw data Crude oil'!AF2872</f>
        <v>0</v>
      </c>
      <c r="AG2871">
        <f>'raw data Crude oil'!AG2872</f>
        <v>0</v>
      </c>
      <c r="AH2871">
        <f>'raw data Crude oil'!AH2872</f>
        <v>0</v>
      </c>
      <c r="AI2871">
        <f>'raw data Crude oil'!AI2872</f>
        <v>0</v>
      </c>
      <c r="AJ2871">
        <f>'raw data Crude oil'!AJ2872</f>
        <v>0</v>
      </c>
      <c r="AK2871">
        <f>'raw data Crude oil'!AK2872</f>
        <v>0</v>
      </c>
    </row>
    <row r="2872" spans="1:37" x14ac:dyDescent="0.3">
      <c r="A2872" s="18">
        <f>'raw data Crude oil'!A2873</f>
        <v>0</v>
      </c>
      <c r="B2872">
        <f>'raw data Crude oil'!B2873</f>
        <v>0</v>
      </c>
      <c r="C2872">
        <f>'raw data Crude oil'!C2873</f>
        <v>0</v>
      </c>
      <c r="D2872">
        <f>'raw data Crude oil'!D2873</f>
        <v>0</v>
      </c>
      <c r="E2872">
        <f>'raw data Crude oil'!E2873</f>
        <v>0</v>
      </c>
      <c r="F2872">
        <f>'raw data Crude oil'!F2873</f>
        <v>0</v>
      </c>
      <c r="G2872">
        <f>'raw data Crude oil'!G2873</f>
        <v>0</v>
      </c>
      <c r="H2872">
        <f>'raw data Crude oil'!H2873</f>
        <v>0</v>
      </c>
      <c r="I2872">
        <f>'raw data Crude oil'!I2873</f>
        <v>0</v>
      </c>
      <c r="J2872">
        <f>'raw data Crude oil'!J2873</f>
        <v>0</v>
      </c>
      <c r="K2872">
        <f>'raw data Crude oil'!K2873</f>
        <v>0</v>
      </c>
      <c r="L2872">
        <f>'raw data Crude oil'!L2873</f>
        <v>0</v>
      </c>
      <c r="M2872">
        <f>'raw data Crude oil'!M2873</f>
        <v>0</v>
      </c>
      <c r="N2872">
        <f>'raw data Crude oil'!N2873</f>
        <v>0</v>
      </c>
      <c r="O2872">
        <f>'raw data Crude oil'!O2873</f>
        <v>0</v>
      </c>
      <c r="P2872">
        <f>'raw data Crude oil'!P2873</f>
        <v>0</v>
      </c>
      <c r="Q2872">
        <f>'raw data Crude oil'!Q2873</f>
        <v>0</v>
      </c>
      <c r="R2872">
        <f>'raw data Crude oil'!R2873</f>
        <v>0</v>
      </c>
      <c r="S2872">
        <f>'raw data Crude oil'!S2873</f>
        <v>0</v>
      </c>
      <c r="T2872">
        <f>'raw data Crude oil'!T2873</f>
        <v>0</v>
      </c>
      <c r="U2872">
        <f>'raw data Crude oil'!U2873</f>
        <v>0</v>
      </c>
      <c r="V2872">
        <f>'raw data Crude oil'!V2873</f>
        <v>0</v>
      </c>
      <c r="W2872">
        <f>'raw data Crude oil'!W2873</f>
        <v>0</v>
      </c>
      <c r="X2872">
        <f>'raw data Crude oil'!X2873</f>
        <v>0</v>
      </c>
      <c r="Y2872">
        <f>'raw data Crude oil'!Y2873</f>
        <v>0</v>
      </c>
      <c r="Z2872">
        <f>'raw data Crude oil'!Z2873</f>
        <v>0</v>
      </c>
      <c r="AA2872">
        <f>'raw data Crude oil'!AA2873</f>
        <v>0</v>
      </c>
      <c r="AB2872">
        <f>'raw data Crude oil'!AB2873</f>
        <v>0</v>
      </c>
      <c r="AC2872">
        <f>'raw data Crude oil'!AC2873</f>
        <v>0</v>
      </c>
      <c r="AD2872">
        <f>'raw data Crude oil'!AD2873</f>
        <v>0</v>
      </c>
      <c r="AE2872">
        <f>'raw data Crude oil'!AE2873</f>
        <v>0</v>
      </c>
      <c r="AF2872">
        <f>'raw data Crude oil'!AF2873</f>
        <v>0</v>
      </c>
      <c r="AG2872">
        <f>'raw data Crude oil'!AG2873</f>
        <v>0</v>
      </c>
      <c r="AH2872">
        <f>'raw data Crude oil'!AH2873</f>
        <v>0</v>
      </c>
      <c r="AI2872">
        <f>'raw data Crude oil'!AI2873</f>
        <v>0</v>
      </c>
      <c r="AJ2872">
        <f>'raw data Crude oil'!AJ2873</f>
        <v>0</v>
      </c>
      <c r="AK2872">
        <f>'raw data Crude oil'!AK2873</f>
        <v>0</v>
      </c>
    </row>
    <row r="2873" spans="1:37" x14ac:dyDescent="0.3">
      <c r="A2873" s="18">
        <f>'raw data Crude oil'!A2874</f>
        <v>0</v>
      </c>
      <c r="B2873">
        <f>'raw data Crude oil'!B2874</f>
        <v>0</v>
      </c>
      <c r="C2873">
        <f>'raw data Crude oil'!C2874</f>
        <v>0</v>
      </c>
      <c r="D2873">
        <f>'raw data Crude oil'!D2874</f>
        <v>0</v>
      </c>
      <c r="E2873">
        <f>'raw data Crude oil'!E2874</f>
        <v>0</v>
      </c>
      <c r="F2873">
        <f>'raw data Crude oil'!F2874</f>
        <v>0</v>
      </c>
      <c r="G2873">
        <f>'raw data Crude oil'!G2874</f>
        <v>0</v>
      </c>
      <c r="H2873">
        <f>'raw data Crude oil'!H2874</f>
        <v>0</v>
      </c>
      <c r="I2873">
        <f>'raw data Crude oil'!I2874</f>
        <v>0</v>
      </c>
      <c r="J2873">
        <f>'raw data Crude oil'!J2874</f>
        <v>0</v>
      </c>
      <c r="K2873">
        <f>'raw data Crude oil'!K2874</f>
        <v>0</v>
      </c>
      <c r="L2873">
        <f>'raw data Crude oil'!L2874</f>
        <v>0</v>
      </c>
      <c r="M2873">
        <f>'raw data Crude oil'!M2874</f>
        <v>0</v>
      </c>
      <c r="N2873">
        <f>'raw data Crude oil'!N2874</f>
        <v>0</v>
      </c>
      <c r="O2873">
        <f>'raw data Crude oil'!O2874</f>
        <v>0</v>
      </c>
      <c r="P2873">
        <f>'raw data Crude oil'!P2874</f>
        <v>0</v>
      </c>
      <c r="Q2873">
        <f>'raw data Crude oil'!Q2874</f>
        <v>0</v>
      </c>
      <c r="R2873">
        <f>'raw data Crude oil'!R2874</f>
        <v>0</v>
      </c>
      <c r="S2873">
        <f>'raw data Crude oil'!S2874</f>
        <v>0</v>
      </c>
      <c r="T2873">
        <f>'raw data Crude oil'!T2874</f>
        <v>0</v>
      </c>
      <c r="U2873">
        <f>'raw data Crude oil'!U2874</f>
        <v>0</v>
      </c>
      <c r="V2873">
        <f>'raw data Crude oil'!V2874</f>
        <v>0</v>
      </c>
      <c r="W2873">
        <f>'raw data Crude oil'!W2874</f>
        <v>0</v>
      </c>
      <c r="X2873">
        <f>'raw data Crude oil'!X2874</f>
        <v>0</v>
      </c>
      <c r="Y2873">
        <f>'raw data Crude oil'!Y2874</f>
        <v>0</v>
      </c>
      <c r="Z2873">
        <f>'raw data Crude oil'!Z2874</f>
        <v>0</v>
      </c>
      <c r="AA2873">
        <f>'raw data Crude oil'!AA2874</f>
        <v>0</v>
      </c>
      <c r="AB2873">
        <f>'raw data Crude oil'!AB2874</f>
        <v>0</v>
      </c>
      <c r="AC2873">
        <f>'raw data Crude oil'!AC2874</f>
        <v>0</v>
      </c>
      <c r="AD2873">
        <f>'raw data Crude oil'!AD2874</f>
        <v>0</v>
      </c>
      <c r="AE2873">
        <f>'raw data Crude oil'!AE2874</f>
        <v>0</v>
      </c>
      <c r="AF2873">
        <f>'raw data Crude oil'!AF2874</f>
        <v>0</v>
      </c>
      <c r="AG2873">
        <f>'raw data Crude oil'!AG2874</f>
        <v>0</v>
      </c>
      <c r="AH2873">
        <f>'raw data Crude oil'!AH2874</f>
        <v>0</v>
      </c>
      <c r="AI2873">
        <f>'raw data Crude oil'!AI2874</f>
        <v>0</v>
      </c>
      <c r="AJ2873">
        <f>'raw data Crude oil'!AJ2874</f>
        <v>0</v>
      </c>
      <c r="AK2873">
        <f>'raw data Crude oil'!AK2874</f>
        <v>0</v>
      </c>
    </row>
    <row r="2874" spans="1:37" x14ac:dyDescent="0.3">
      <c r="A2874" s="18">
        <f>'raw data Crude oil'!A2875</f>
        <v>0</v>
      </c>
      <c r="B2874">
        <f>'raw data Crude oil'!B2875</f>
        <v>0</v>
      </c>
      <c r="C2874">
        <f>'raw data Crude oil'!C2875</f>
        <v>0</v>
      </c>
      <c r="D2874">
        <f>'raw data Crude oil'!D2875</f>
        <v>0</v>
      </c>
      <c r="E2874">
        <f>'raw data Crude oil'!E2875</f>
        <v>0</v>
      </c>
      <c r="F2874">
        <f>'raw data Crude oil'!F2875</f>
        <v>0</v>
      </c>
      <c r="G2874">
        <f>'raw data Crude oil'!G2875</f>
        <v>0</v>
      </c>
      <c r="H2874">
        <f>'raw data Crude oil'!H2875</f>
        <v>0</v>
      </c>
      <c r="I2874">
        <f>'raw data Crude oil'!I2875</f>
        <v>0</v>
      </c>
      <c r="J2874">
        <f>'raw data Crude oil'!J2875</f>
        <v>0</v>
      </c>
      <c r="K2874">
        <f>'raw data Crude oil'!K2875</f>
        <v>0</v>
      </c>
      <c r="L2874">
        <f>'raw data Crude oil'!L2875</f>
        <v>0</v>
      </c>
      <c r="M2874">
        <f>'raw data Crude oil'!M2875</f>
        <v>0</v>
      </c>
      <c r="N2874">
        <f>'raw data Crude oil'!N2875</f>
        <v>0</v>
      </c>
      <c r="O2874">
        <f>'raw data Crude oil'!O2875</f>
        <v>0</v>
      </c>
      <c r="P2874">
        <f>'raw data Crude oil'!P2875</f>
        <v>0</v>
      </c>
      <c r="Q2874">
        <f>'raw data Crude oil'!Q2875</f>
        <v>0</v>
      </c>
      <c r="R2874">
        <f>'raw data Crude oil'!R2875</f>
        <v>0</v>
      </c>
      <c r="S2874">
        <f>'raw data Crude oil'!S2875</f>
        <v>0</v>
      </c>
      <c r="T2874">
        <f>'raw data Crude oil'!T2875</f>
        <v>0</v>
      </c>
      <c r="U2874">
        <f>'raw data Crude oil'!U2875</f>
        <v>0</v>
      </c>
      <c r="V2874">
        <f>'raw data Crude oil'!V2875</f>
        <v>0</v>
      </c>
      <c r="W2874">
        <f>'raw data Crude oil'!W2875</f>
        <v>0</v>
      </c>
      <c r="X2874">
        <f>'raw data Crude oil'!X2875</f>
        <v>0</v>
      </c>
      <c r="Y2874">
        <f>'raw data Crude oil'!Y2875</f>
        <v>0</v>
      </c>
      <c r="Z2874">
        <f>'raw data Crude oil'!Z2875</f>
        <v>0</v>
      </c>
      <c r="AA2874">
        <f>'raw data Crude oil'!AA2875</f>
        <v>0</v>
      </c>
      <c r="AB2874">
        <f>'raw data Crude oil'!AB2875</f>
        <v>0</v>
      </c>
      <c r="AC2874">
        <f>'raw data Crude oil'!AC2875</f>
        <v>0</v>
      </c>
      <c r="AD2874">
        <f>'raw data Crude oil'!AD2875</f>
        <v>0</v>
      </c>
      <c r="AE2874">
        <f>'raw data Crude oil'!AE2875</f>
        <v>0</v>
      </c>
      <c r="AF2874">
        <f>'raw data Crude oil'!AF2875</f>
        <v>0</v>
      </c>
      <c r="AG2874">
        <f>'raw data Crude oil'!AG2875</f>
        <v>0</v>
      </c>
      <c r="AH2874">
        <f>'raw data Crude oil'!AH2875</f>
        <v>0</v>
      </c>
      <c r="AI2874">
        <f>'raw data Crude oil'!AI2875</f>
        <v>0</v>
      </c>
      <c r="AJ2874">
        <f>'raw data Crude oil'!AJ2875</f>
        <v>0</v>
      </c>
      <c r="AK2874">
        <f>'raw data Crude oil'!AK2875</f>
        <v>0</v>
      </c>
    </row>
    <row r="2875" spans="1:37" x14ac:dyDescent="0.3">
      <c r="A2875" s="18">
        <f>'raw data Crude oil'!A2876</f>
        <v>0</v>
      </c>
      <c r="B2875">
        <f>'raw data Crude oil'!B2876</f>
        <v>0</v>
      </c>
      <c r="C2875">
        <f>'raw data Crude oil'!C2876</f>
        <v>0</v>
      </c>
      <c r="D2875">
        <f>'raw data Crude oil'!D2876</f>
        <v>0</v>
      </c>
      <c r="E2875">
        <f>'raw data Crude oil'!E2876</f>
        <v>0</v>
      </c>
      <c r="F2875">
        <f>'raw data Crude oil'!F2876</f>
        <v>0</v>
      </c>
      <c r="G2875">
        <f>'raw data Crude oil'!G2876</f>
        <v>0</v>
      </c>
      <c r="H2875">
        <f>'raw data Crude oil'!H2876</f>
        <v>0</v>
      </c>
      <c r="I2875">
        <f>'raw data Crude oil'!I2876</f>
        <v>0</v>
      </c>
      <c r="J2875">
        <f>'raw data Crude oil'!J2876</f>
        <v>0</v>
      </c>
      <c r="K2875">
        <f>'raw data Crude oil'!K2876</f>
        <v>0</v>
      </c>
      <c r="L2875">
        <f>'raw data Crude oil'!L2876</f>
        <v>0</v>
      </c>
      <c r="M2875">
        <f>'raw data Crude oil'!M2876</f>
        <v>0</v>
      </c>
      <c r="N2875">
        <f>'raw data Crude oil'!N2876</f>
        <v>0</v>
      </c>
      <c r="O2875">
        <f>'raw data Crude oil'!O2876</f>
        <v>0</v>
      </c>
      <c r="P2875">
        <f>'raw data Crude oil'!P2876</f>
        <v>0</v>
      </c>
      <c r="Q2875">
        <f>'raw data Crude oil'!Q2876</f>
        <v>0</v>
      </c>
      <c r="R2875">
        <f>'raw data Crude oil'!R2876</f>
        <v>0</v>
      </c>
      <c r="S2875">
        <f>'raw data Crude oil'!S2876</f>
        <v>0</v>
      </c>
      <c r="T2875">
        <f>'raw data Crude oil'!T2876</f>
        <v>0</v>
      </c>
      <c r="U2875">
        <f>'raw data Crude oil'!U2876</f>
        <v>0</v>
      </c>
      <c r="V2875">
        <f>'raw data Crude oil'!V2876</f>
        <v>0</v>
      </c>
      <c r="W2875">
        <f>'raw data Crude oil'!W2876</f>
        <v>0</v>
      </c>
      <c r="X2875">
        <f>'raw data Crude oil'!X2876</f>
        <v>0</v>
      </c>
      <c r="Y2875">
        <f>'raw data Crude oil'!Y2876</f>
        <v>0</v>
      </c>
      <c r="Z2875">
        <f>'raw data Crude oil'!Z2876</f>
        <v>0</v>
      </c>
      <c r="AA2875">
        <f>'raw data Crude oil'!AA2876</f>
        <v>0</v>
      </c>
      <c r="AB2875">
        <f>'raw data Crude oil'!AB2876</f>
        <v>0</v>
      </c>
      <c r="AC2875">
        <f>'raw data Crude oil'!AC2876</f>
        <v>0</v>
      </c>
      <c r="AD2875">
        <f>'raw data Crude oil'!AD2876</f>
        <v>0</v>
      </c>
      <c r="AE2875">
        <f>'raw data Crude oil'!AE2876</f>
        <v>0</v>
      </c>
      <c r="AF2875">
        <f>'raw data Crude oil'!AF2876</f>
        <v>0</v>
      </c>
      <c r="AG2875">
        <f>'raw data Crude oil'!AG2876</f>
        <v>0</v>
      </c>
      <c r="AH2875">
        <f>'raw data Crude oil'!AH2876</f>
        <v>0</v>
      </c>
      <c r="AI2875">
        <f>'raw data Crude oil'!AI2876</f>
        <v>0</v>
      </c>
      <c r="AJ2875">
        <f>'raw data Crude oil'!AJ2876</f>
        <v>0</v>
      </c>
      <c r="AK2875">
        <f>'raw data Crude oil'!AK2876</f>
        <v>0</v>
      </c>
    </row>
    <row r="2876" spans="1:37" x14ac:dyDescent="0.3">
      <c r="A2876" s="18">
        <f>'raw data Crude oil'!A2877</f>
        <v>0</v>
      </c>
      <c r="B2876">
        <f>'raw data Crude oil'!B2877</f>
        <v>0</v>
      </c>
      <c r="C2876">
        <f>'raw data Crude oil'!C2877</f>
        <v>0</v>
      </c>
      <c r="D2876">
        <f>'raw data Crude oil'!D2877</f>
        <v>0</v>
      </c>
      <c r="E2876">
        <f>'raw data Crude oil'!E2877</f>
        <v>0</v>
      </c>
      <c r="F2876">
        <f>'raw data Crude oil'!F2877</f>
        <v>0</v>
      </c>
      <c r="G2876">
        <f>'raw data Crude oil'!G2877</f>
        <v>0</v>
      </c>
      <c r="H2876">
        <f>'raw data Crude oil'!H2877</f>
        <v>0</v>
      </c>
      <c r="I2876">
        <f>'raw data Crude oil'!I2877</f>
        <v>0</v>
      </c>
      <c r="J2876">
        <f>'raw data Crude oil'!J2877</f>
        <v>0</v>
      </c>
      <c r="K2876">
        <f>'raw data Crude oil'!K2877</f>
        <v>0</v>
      </c>
      <c r="L2876">
        <f>'raw data Crude oil'!L2877</f>
        <v>0</v>
      </c>
      <c r="M2876">
        <f>'raw data Crude oil'!M2877</f>
        <v>0</v>
      </c>
      <c r="N2876">
        <f>'raw data Crude oil'!N2877</f>
        <v>0</v>
      </c>
      <c r="O2876">
        <f>'raw data Crude oil'!O2877</f>
        <v>0</v>
      </c>
      <c r="P2876">
        <f>'raw data Crude oil'!P2877</f>
        <v>0</v>
      </c>
      <c r="Q2876">
        <f>'raw data Crude oil'!Q2877</f>
        <v>0</v>
      </c>
      <c r="R2876">
        <f>'raw data Crude oil'!R2877</f>
        <v>0</v>
      </c>
      <c r="S2876">
        <f>'raw data Crude oil'!S2877</f>
        <v>0</v>
      </c>
      <c r="T2876">
        <f>'raw data Crude oil'!T2877</f>
        <v>0</v>
      </c>
      <c r="U2876">
        <f>'raw data Crude oil'!U2877</f>
        <v>0</v>
      </c>
      <c r="V2876">
        <f>'raw data Crude oil'!V2877</f>
        <v>0</v>
      </c>
      <c r="W2876">
        <f>'raw data Crude oil'!W2877</f>
        <v>0</v>
      </c>
      <c r="X2876">
        <f>'raw data Crude oil'!X2877</f>
        <v>0</v>
      </c>
      <c r="Y2876">
        <f>'raw data Crude oil'!Y2877</f>
        <v>0</v>
      </c>
      <c r="Z2876">
        <f>'raw data Crude oil'!Z2877</f>
        <v>0</v>
      </c>
      <c r="AA2876">
        <f>'raw data Crude oil'!AA2877</f>
        <v>0</v>
      </c>
      <c r="AB2876">
        <f>'raw data Crude oil'!AB2877</f>
        <v>0</v>
      </c>
      <c r="AC2876">
        <f>'raw data Crude oil'!AC2877</f>
        <v>0</v>
      </c>
      <c r="AD2876">
        <f>'raw data Crude oil'!AD2877</f>
        <v>0</v>
      </c>
      <c r="AE2876">
        <f>'raw data Crude oil'!AE2877</f>
        <v>0</v>
      </c>
      <c r="AF2876">
        <f>'raw data Crude oil'!AF2877</f>
        <v>0</v>
      </c>
      <c r="AG2876">
        <f>'raw data Crude oil'!AG2877</f>
        <v>0</v>
      </c>
      <c r="AH2876">
        <f>'raw data Crude oil'!AH2877</f>
        <v>0</v>
      </c>
      <c r="AI2876">
        <f>'raw data Crude oil'!AI2877</f>
        <v>0</v>
      </c>
      <c r="AJ2876">
        <f>'raw data Crude oil'!AJ2877</f>
        <v>0</v>
      </c>
      <c r="AK2876">
        <f>'raw data Crude oil'!AK2877</f>
        <v>0</v>
      </c>
    </row>
    <row r="2877" spans="1:37" x14ac:dyDescent="0.3">
      <c r="A2877" s="18">
        <f>'raw data Crude oil'!A2878</f>
        <v>0</v>
      </c>
      <c r="B2877">
        <f>'raw data Crude oil'!B2878</f>
        <v>0</v>
      </c>
      <c r="C2877">
        <f>'raw data Crude oil'!C2878</f>
        <v>0</v>
      </c>
      <c r="D2877">
        <f>'raw data Crude oil'!D2878</f>
        <v>0</v>
      </c>
      <c r="E2877">
        <f>'raw data Crude oil'!E2878</f>
        <v>0</v>
      </c>
      <c r="F2877">
        <f>'raw data Crude oil'!F2878</f>
        <v>0</v>
      </c>
      <c r="G2877">
        <f>'raw data Crude oil'!G2878</f>
        <v>0</v>
      </c>
      <c r="H2877">
        <f>'raw data Crude oil'!H2878</f>
        <v>0</v>
      </c>
      <c r="I2877">
        <f>'raw data Crude oil'!I2878</f>
        <v>0</v>
      </c>
      <c r="J2877">
        <f>'raw data Crude oil'!J2878</f>
        <v>0</v>
      </c>
      <c r="K2877">
        <f>'raw data Crude oil'!K2878</f>
        <v>0</v>
      </c>
      <c r="L2877">
        <f>'raw data Crude oil'!L2878</f>
        <v>0</v>
      </c>
      <c r="M2877">
        <f>'raw data Crude oil'!M2878</f>
        <v>0</v>
      </c>
      <c r="N2877">
        <f>'raw data Crude oil'!N2878</f>
        <v>0</v>
      </c>
      <c r="O2877">
        <f>'raw data Crude oil'!O2878</f>
        <v>0</v>
      </c>
      <c r="P2877">
        <f>'raw data Crude oil'!P2878</f>
        <v>0</v>
      </c>
      <c r="Q2877">
        <f>'raw data Crude oil'!Q2878</f>
        <v>0</v>
      </c>
      <c r="R2877">
        <f>'raw data Crude oil'!R2878</f>
        <v>0</v>
      </c>
      <c r="S2877">
        <f>'raw data Crude oil'!S2878</f>
        <v>0</v>
      </c>
      <c r="T2877">
        <f>'raw data Crude oil'!T2878</f>
        <v>0</v>
      </c>
      <c r="U2877">
        <f>'raw data Crude oil'!U2878</f>
        <v>0</v>
      </c>
      <c r="V2877">
        <f>'raw data Crude oil'!V2878</f>
        <v>0</v>
      </c>
      <c r="W2877">
        <f>'raw data Crude oil'!W2878</f>
        <v>0</v>
      </c>
      <c r="X2877">
        <f>'raw data Crude oil'!X2878</f>
        <v>0</v>
      </c>
      <c r="Y2877">
        <f>'raw data Crude oil'!Y2878</f>
        <v>0</v>
      </c>
      <c r="Z2877">
        <f>'raw data Crude oil'!Z2878</f>
        <v>0</v>
      </c>
      <c r="AA2877">
        <f>'raw data Crude oil'!AA2878</f>
        <v>0</v>
      </c>
      <c r="AB2877">
        <f>'raw data Crude oil'!AB2878</f>
        <v>0</v>
      </c>
      <c r="AC2877">
        <f>'raw data Crude oil'!AC2878</f>
        <v>0</v>
      </c>
      <c r="AD2877">
        <f>'raw data Crude oil'!AD2878</f>
        <v>0</v>
      </c>
      <c r="AE2877">
        <f>'raw data Crude oil'!AE2878</f>
        <v>0</v>
      </c>
      <c r="AF2877">
        <f>'raw data Crude oil'!AF2878</f>
        <v>0</v>
      </c>
      <c r="AG2877">
        <f>'raw data Crude oil'!AG2878</f>
        <v>0</v>
      </c>
      <c r="AH2877">
        <f>'raw data Crude oil'!AH2878</f>
        <v>0</v>
      </c>
      <c r="AI2877">
        <f>'raw data Crude oil'!AI2878</f>
        <v>0</v>
      </c>
      <c r="AJ2877">
        <f>'raw data Crude oil'!AJ2878</f>
        <v>0</v>
      </c>
      <c r="AK2877">
        <f>'raw data Crude oil'!AK2878</f>
        <v>0</v>
      </c>
    </row>
    <row r="2878" spans="1:37" x14ac:dyDescent="0.3">
      <c r="A2878" s="18">
        <f>'raw data Crude oil'!A2879</f>
        <v>0</v>
      </c>
      <c r="B2878">
        <f>'raw data Crude oil'!B2879</f>
        <v>0</v>
      </c>
      <c r="C2878">
        <f>'raw data Crude oil'!C2879</f>
        <v>0</v>
      </c>
      <c r="D2878">
        <f>'raw data Crude oil'!D2879</f>
        <v>0</v>
      </c>
      <c r="E2878">
        <f>'raw data Crude oil'!E2879</f>
        <v>0</v>
      </c>
      <c r="F2878">
        <f>'raw data Crude oil'!F2879</f>
        <v>0</v>
      </c>
      <c r="G2878">
        <f>'raw data Crude oil'!G2879</f>
        <v>0</v>
      </c>
      <c r="H2878">
        <f>'raw data Crude oil'!H2879</f>
        <v>0</v>
      </c>
      <c r="I2878">
        <f>'raw data Crude oil'!I2879</f>
        <v>0</v>
      </c>
      <c r="J2878">
        <f>'raw data Crude oil'!J2879</f>
        <v>0</v>
      </c>
      <c r="K2878">
        <f>'raw data Crude oil'!K2879</f>
        <v>0</v>
      </c>
      <c r="L2878">
        <f>'raw data Crude oil'!L2879</f>
        <v>0</v>
      </c>
      <c r="M2878">
        <f>'raw data Crude oil'!M2879</f>
        <v>0</v>
      </c>
      <c r="N2878">
        <f>'raw data Crude oil'!N2879</f>
        <v>0</v>
      </c>
      <c r="O2878">
        <f>'raw data Crude oil'!O2879</f>
        <v>0</v>
      </c>
      <c r="P2878">
        <f>'raw data Crude oil'!P2879</f>
        <v>0</v>
      </c>
      <c r="Q2878">
        <f>'raw data Crude oil'!Q2879</f>
        <v>0</v>
      </c>
      <c r="R2878">
        <f>'raw data Crude oil'!R2879</f>
        <v>0</v>
      </c>
      <c r="S2878">
        <f>'raw data Crude oil'!S2879</f>
        <v>0</v>
      </c>
      <c r="T2878">
        <f>'raw data Crude oil'!T2879</f>
        <v>0</v>
      </c>
      <c r="U2878">
        <f>'raw data Crude oil'!U2879</f>
        <v>0</v>
      </c>
      <c r="V2878">
        <f>'raw data Crude oil'!V2879</f>
        <v>0</v>
      </c>
      <c r="W2878">
        <f>'raw data Crude oil'!W2879</f>
        <v>0</v>
      </c>
      <c r="X2878">
        <f>'raw data Crude oil'!X2879</f>
        <v>0</v>
      </c>
      <c r="Y2878">
        <f>'raw data Crude oil'!Y2879</f>
        <v>0</v>
      </c>
      <c r="Z2878">
        <f>'raw data Crude oil'!Z2879</f>
        <v>0</v>
      </c>
      <c r="AA2878">
        <f>'raw data Crude oil'!AA2879</f>
        <v>0</v>
      </c>
      <c r="AB2878">
        <f>'raw data Crude oil'!AB2879</f>
        <v>0</v>
      </c>
      <c r="AC2878">
        <f>'raw data Crude oil'!AC2879</f>
        <v>0</v>
      </c>
      <c r="AD2878">
        <f>'raw data Crude oil'!AD2879</f>
        <v>0</v>
      </c>
      <c r="AE2878">
        <f>'raw data Crude oil'!AE2879</f>
        <v>0</v>
      </c>
      <c r="AF2878">
        <f>'raw data Crude oil'!AF2879</f>
        <v>0</v>
      </c>
      <c r="AG2878">
        <f>'raw data Crude oil'!AG2879</f>
        <v>0</v>
      </c>
      <c r="AH2878">
        <f>'raw data Crude oil'!AH2879</f>
        <v>0</v>
      </c>
      <c r="AI2878">
        <f>'raw data Crude oil'!AI2879</f>
        <v>0</v>
      </c>
      <c r="AJ2878">
        <f>'raw data Crude oil'!AJ2879</f>
        <v>0</v>
      </c>
      <c r="AK2878">
        <f>'raw data Crude oil'!AK2879</f>
        <v>0</v>
      </c>
    </row>
    <row r="2879" spans="1:37" x14ac:dyDescent="0.3">
      <c r="A2879" s="18">
        <f>'raw data Crude oil'!A2880</f>
        <v>0</v>
      </c>
      <c r="B2879">
        <f>'raw data Crude oil'!B2880</f>
        <v>0</v>
      </c>
      <c r="C2879">
        <f>'raw data Crude oil'!C2880</f>
        <v>0</v>
      </c>
      <c r="D2879">
        <f>'raw data Crude oil'!D2880</f>
        <v>0</v>
      </c>
      <c r="E2879">
        <f>'raw data Crude oil'!E2880</f>
        <v>0</v>
      </c>
      <c r="F2879">
        <f>'raw data Crude oil'!F2880</f>
        <v>0</v>
      </c>
      <c r="G2879">
        <f>'raw data Crude oil'!G2880</f>
        <v>0</v>
      </c>
      <c r="H2879">
        <f>'raw data Crude oil'!H2880</f>
        <v>0</v>
      </c>
      <c r="I2879">
        <f>'raw data Crude oil'!I2880</f>
        <v>0</v>
      </c>
      <c r="J2879">
        <f>'raw data Crude oil'!J2880</f>
        <v>0</v>
      </c>
      <c r="K2879">
        <f>'raw data Crude oil'!K2880</f>
        <v>0</v>
      </c>
      <c r="L2879">
        <f>'raw data Crude oil'!L2880</f>
        <v>0</v>
      </c>
      <c r="M2879">
        <f>'raw data Crude oil'!M2880</f>
        <v>0</v>
      </c>
      <c r="N2879">
        <f>'raw data Crude oil'!N2880</f>
        <v>0</v>
      </c>
      <c r="O2879">
        <f>'raw data Crude oil'!O2880</f>
        <v>0</v>
      </c>
      <c r="P2879">
        <f>'raw data Crude oil'!P2880</f>
        <v>0</v>
      </c>
      <c r="Q2879">
        <f>'raw data Crude oil'!Q2880</f>
        <v>0</v>
      </c>
      <c r="R2879">
        <f>'raw data Crude oil'!R2880</f>
        <v>0</v>
      </c>
      <c r="S2879">
        <f>'raw data Crude oil'!S2880</f>
        <v>0</v>
      </c>
      <c r="T2879">
        <f>'raw data Crude oil'!T2880</f>
        <v>0</v>
      </c>
      <c r="U2879">
        <f>'raw data Crude oil'!U2880</f>
        <v>0</v>
      </c>
      <c r="V2879">
        <f>'raw data Crude oil'!V2880</f>
        <v>0</v>
      </c>
      <c r="W2879">
        <f>'raw data Crude oil'!W2880</f>
        <v>0</v>
      </c>
      <c r="X2879">
        <f>'raw data Crude oil'!X2880</f>
        <v>0</v>
      </c>
      <c r="Y2879">
        <f>'raw data Crude oil'!Y2880</f>
        <v>0</v>
      </c>
      <c r="Z2879">
        <f>'raw data Crude oil'!Z2880</f>
        <v>0</v>
      </c>
      <c r="AA2879">
        <f>'raw data Crude oil'!AA2880</f>
        <v>0</v>
      </c>
      <c r="AB2879">
        <f>'raw data Crude oil'!AB2880</f>
        <v>0</v>
      </c>
      <c r="AC2879">
        <f>'raw data Crude oil'!AC2880</f>
        <v>0</v>
      </c>
      <c r="AD2879">
        <f>'raw data Crude oil'!AD2880</f>
        <v>0</v>
      </c>
      <c r="AE2879">
        <f>'raw data Crude oil'!AE2880</f>
        <v>0</v>
      </c>
      <c r="AF2879">
        <f>'raw data Crude oil'!AF2880</f>
        <v>0</v>
      </c>
      <c r="AG2879">
        <f>'raw data Crude oil'!AG2880</f>
        <v>0</v>
      </c>
      <c r="AH2879">
        <f>'raw data Crude oil'!AH2880</f>
        <v>0</v>
      </c>
      <c r="AI2879">
        <f>'raw data Crude oil'!AI2880</f>
        <v>0</v>
      </c>
      <c r="AJ2879">
        <f>'raw data Crude oil'!AJ2880</f>
        <v>0</v>
      </c>
      <c r="AK2879">
        <f>'raw data Crude oil'!AK2880</f>
        <v>0</v>
      </c>
    </row>
    <row r="2880" spans="1:37" x14ac:dyDescent="0.3">
      <c r="A2880" s="18">
        <f>'raw data Crude oil'!A2881</f>
        <v>0</v>
      </c>
      <c r="B2880">
        <f>'raw data Crude oil'!B2881</f>
        <v>0</v>
      </c>
      <c r="C2880">
        <f>'raw data Crude oil'!C2881</f>
        <v>0</v>
      </c>
      <c r="D2880">
        <f>'raw data Crude oil'!D2881</f>
        <v>0</v>
      </c>
      <c r="E2880">
        <f>'raw data Crude oil'!E2881</f>
        <v>0</v>
      </c>
      <c r="F2880">
        <f>'raw data Crude oil'!F2881</f>
        <v>0</v>
      </c>
      <c r="G2880">
        <f>'raw data Crude oil'!G2881</f>
        <v>0</v>
      </c>
      <c r="H2880">
        <f>'raw data Crude oil'!H2881</f>
        <v>0</v>
      </c>
      <c r="I2880">
        <f>'raw data Crude oil'!I2881</f>
        <v>0</v>
      </c>
      <c r="J2880">
        <f>'raw data Crude oil'!J2881</f>
        <v>0</v>
      </c>
      <c r="K2880">
        <f>'raw data Crude oil'!K2881</f>
        <v>0</v>
      </c>
      <c r="L2880">
        <f>'raw data Crude oil'!L2881</f>
        <v>0</v>
      </c>
      <c r="M2880">
        <f>'raw data Crude oil'!M2881</f>
        <v>0</v>
      </c>
      <c r="N2880">
        <f>'raw data Crude oil'!N2881</f>
        <v>0</v>
      </c>
      <c r="O2880">
        <f>'raw data Crude oil'!O2881</f>
        <v>0</v>
      </c>
      <c r="P2880">
        <f>'raw data Crude oil'!P2881</f>
        <v>0</v>
      </c>
      <c r="Q2880">
        <f>'raw data Crude oil'!Q2881</f>
        <v>0</v>
      </c>
      <c r="R2880">
        <f>'raw data Crude oil'!R2881</f>
        <v>0</v>
      </c>
      <c r="S2880">
        <f>'raw data Crude oil'!S2881</f>
        <v>0</v>
      </c>
      <c r="T2880">
        <f>'raw data Crude oil'!T2881</f>
        <v>0</v>
      </c>
      <c r="U2880">
        <f>'raw data Crude oil'!U2881</f>
        <v>0</v>
      </c>
      <c r="V2880">
        <f>'raw data Crude oil'!V2881</f>
        <v>0</v>
      </c>
      <c r="W2880">
        <f>'raw data Crude oil'!W2881</f>
        <v>0</v>
      </c>
      <c r="X2880">
        <f>'raw data Crude oil'!X2881</f>
        <v>0</v>
      </c>
      <c r="Y2880">
        <f>'raw data Crude oil'!Y2881</f>
        <v>0</v>
      </c>
      <c r="Z2880">
        <f>'raw data Crude oil'!Z2881</f>
        <v>0</v>
      </c>
      <c r="AA2880">
        <f>'raw data Crude oil'!AA2881</f>
        <v>0</v>
      </c>
      <c r="AB2880">
        <f>'raw data Crude oil'!AB2881</f>
        <v>0</v>
      </c>
      <c r="AC2880">
        <f>'raw data Crude oil'!AC2881</f>
        <v>0</v>
      </c>
      <c r="AD2880">
        <f>'raw data Crude oil'!AD2881</f>
        <v>0</v>
      </c>
      <c r="AE2880">
        <f>'raw data Crude oil'!AE2881</f>
        <v>0</v>
      </c>
      <c r="AF2880">
        <f>'raw data Crude oil'!AF2881</f>
        <v>0</v>
      </c>
      <c r="AG2880">
        <f>'raw data Crude oil'!AG2881</f>
        <v>0</v>
      </c>
      <c r="AH2880">
        <f>'raw data Crude oil'!AH2881</f>
        <v>0</v>
      </c>
      <c r="AI2880">
        <f>'raw data Crude oil'!AI2881</f>
        <v>0</v>
      </c>
      <c r="AJ2880">
        <f>'raw data Crude oil'!AJ2881</f>
        <v>0</v>
      </c>
      <c r="AK2880">
        <f>'raw data Crude oil'!AK2881</f>
        <v>0</v>
      </c>
    </row>
    <row r="2881" spans="1:37" x14ac:dyDescent="0.3">
      <c r="A2881" s="18">
        <f>'raw data Crude oil'!A2882</f>
        <v>0</v>
      </c>
      <c r="B2881">
        <f>'raw data Crude oil'!B2882</f>
        <v>0</v>
      </c>
      <c r="C2881">
        <f>'raw data Crude oil'!C2882</f>
        <v>0</v>
      </c>
      <c r="D2881">
        <f>'raw data Crude oil'!D2882</f>
        <v>0</v>
      </c>
      <c r="E2881">
        <f>'raw data Crude oil'!E2882</f>
        <v>0</v>
      </c>
      <c r="F2881">
        <f>'raw data Crude oil'!F2882</f>
        <v>0</v>
      </c>
      <c r="G2881">
        <f>'raw data Crude oil'!G2882</f>
        <v>0</v>
      </c>
      <c r="H2881">
        <f>'raw data Crude oil'!H2882</f>
        <v>0</v>
      </c>
      <c r="I2881">
        <f>'raw data Crude oil'!I2882</f>
        <v>0</v>
      </c>
      <c r="J2881">
        <f>'raw data Crude oil'!J2882</f>
        <v>0</v>
      </c>
      <c r="K2881">
        <f>'raw data Crude oil'!K2882</f>
        <v>0</v>
      </c>
      <c r="L2881">
        <f>'raw data Crude oil'!L2882</f>
        <v>0</v>
      </c>
      <c r="M2881">
        <f>'raw data Crude oil'!M2882</f>
        <v>0</v>
      </c>
      <c r="N2881">
        <f>'raw data Crude oil'!N2882</f>
        <v>0</v>
      </c>
      <c r="O2881">
        <f>'raw data Crude oil'!O2882</f>
        <v>0</v>
      </c>
      <c r="P2881">
        <f>'raw data Crude oil'!P2882</f>
        <v>0</v>
      </c>
      <c r="Q2881">
        <f>'raw data Crude oil'!Q2882</f>
        <v>0</v>
      </c>
      <c r="R2881">
        <f>'raw data Crude oil'!R2882</f>
        <v>0</v>
      </c>
      <c r="S2881">
        <f>'raw data Crude oil'!S2882</f>
        <v>0</v>
      </c>
      <c r="T2881">
        <f>'raw data Crude oil'!T2882</f>
        <v>0</v>
      </c>
      <c r="U2881">
        <f>'raw data Crude oil'!U2882</f>
        <v>0</v>
      </c>
      <c r="V2881">
        <f>'raw data Crude oil'!V2882</f>
        <v>0</v>
      </c>
      <c r="W2881">
        <f>'raw data Crude oil'!W2882</f>
        <v>0</v>
      </c>
      <c r="X2881">
        <f>'raw data Crude oil'!X2882</f>
        <v>0</v>
      </c>
      <c r="Y2881">
        <f>'raw data Crude oil'!Y2882</f>
        <v>0</v>
      </c>
      <c r="Z2881">
        <f>'raw data Crude oil'!Z2882</f>
        <v>0</v>
      </c>
      <c r="AA2881">
        <f>'raw data Crude oil'!AA2882</f>
        <v>0</v>
      </c>
      <c r="AB2881">
        <f>'raw data Crude oil'!AB2882</f>
        <v>0</v>
      </c>
      <c r="AC2881">
        <f>'raw data Crude oil'!AC2882</f>
        <v>0</v>
      </c>
      <c r="AD2881">
        <f>'raw data Crude oil'!AD2882</f>
        <v>0</v>
      </c>
      <c r="AE2881">
        <f>'raw data Crude oil'!AE2882</f>
        <v>0</v>
      </c>
      <c r="AF2881">
        <f>'raw data Crude oil'!AF2882</f>
        <v>0</v>
      </c>
      <c r="AG2881">
        <f>'raw data Crude oil'!AG2882</f>
        <v>0</v>
      </c>
      <c r="AH2881">
        <f>'raw data Crude oil'!AH2882</f>
        <v>0</v>
      </c>
      <c r="AI2881">
        <f>'raw data Crude oil'!AI2882</f>
        <v>0</v>
      </c>
      <c r="AJ2881">
        <f>'raw data Crude oil'!AJ2882</f>
        <v>0</v>
      </c>
      <c r="AK2881">
        <f>'raw data Crude oil'!AK2882</f>
        <v>0</v>
      </c>
    </row>
    <row r="2882" spans="1:37" x14ac:dyDescent="0.3">
      <c r="A2882" s="18">
        <f>'raw data Crude oil'!A2883</f>
        <v>0</v>
      </c>
      <c r="B2882">
        <f>'raw data Crude oil'!B2883</f>
        <v>0</v>
      </c>
      <c r="C2882">
        <f>'raw data Crude oil'!C2883</f>
        <v>0</v>
      </c>
      <c r="D2882">
        <f>'raw data Crude oil'!D2883</f>
        <v>0</v>
      </c>
      <c r="E2882">
        <f>'raw data Crude oil'!E2883</f>
        <v>0</v>
      </c>
      <c r="F2882">
        <f>'raw data Crude oil'!F2883</f>
        <v>0</v>
      </c>
      <c r="G2882">
        <f>'raw data Crude oil'!G2883</f>
        <v>0</v>
      </c>
      <c r="H2882">
        <f>'raw data Crude oil'!H2883</f>
        <v>0</v>
      </c>
      <c r="I2882">
        <f>'raw data Crude oil'!I2883</f>
        <v>0</v>
      </c>
      <c r="J2882">
        <f>'raw data Crude oil'!J2883</f>
        <v>0</v>
      </c>
      <c r="K2882">
        <f>'raw data Crude oil'!K2883</f>
        <v>0</v>
      </c>
      <c r="L2882">
        <f>'raw data Crude oil'!L2883</f>
        <v>0</v>
      </c>
      <c r="M2882">
        <f>'raw data Crude oil'!M2883</f>
        <v>0</v>
      </c>
      <c r="N2882">
        <f>'raw data Crude oil'!N2883</f>
        <v>0</v>
      </c>
      <c r="O2882">
        <f>'raw data Crude oil'!O2883</f>
        <v>0</v>
      </c>
      <c r="P2882">
        <f>'raw data Crude oil'!P2883</f>
        <v>0</v>
      </c>
      <c r="Q2882">
        <f>'raw data Crude oil'!Q2883</f>
        <v>0</v>
      </c>
      <c r="R2882">
        <f>'raw data Crude oil'!R2883</f>
        <v>0</v>
      </c>
      <c r="S2882">
        <f>'raw data Crude oil'!S2883</f>
        <v>0</v>
      </c>
      <c r="T2882">
        <f>'raw data Crude oil'!T2883</f>
        <v>0</v>
      </c>
      <c r="U2882">
        <f>'raw data Crude oil'!U2883</f>
        <v>0</v>
      </c>
      <c r="V2882">
        <f>'raw data Crude oil'!V2883</f>
        <v>0</v>
      </c>
      <c r="W2882">
        <f>'raw data Crude oil'!W2883</f>
        <v>0</v>
      </c>
      <c r="X2882">
        <f>'raw data Crude oil'!X2883</f>
        <v>0</v>
      </c>
      <c r="Y2882">
        <f>'raw data Crude oil'!Y2883</f>
        <v>0</v>
      </c>
      <c r="Z2882">
        <f>'raw data Crude oil'!Z2883</f>
        <v>0</v>
      </c>
      <c r="AA2882">
        <f>'raw data Crude oil'!AA2883</f>
        <v>0</v>
      </c>
      <c r="AB2882">
        <f>'raw data Crude oil'!AB2883</f>
        <v>0</v>
      </c>
      <c r="AC2882">
        <f>'raw data Crude oil'!AC2883</f>
        <v>0</v>
      </c>
      <c r="AD2882">
        <f>'raw data Crude oil'!AD2883</f>
        <v>0</v>
      </c>
      <c r="AE2882">
        <f>'raw data Crude oil'!AE2883</f>
        <v>0</v>
      </c>
      <c r="AF2882">
        <f>'raw data Crude oil'!AF2883</f>
        <v>0</v>
      </c>
      <c r="AG2882">
        <f>'raw data Crude oil'!AG2883</f>
        <v>0</v>
      </c>
      <c r="AH2882">
        <f>'raw data Crude oil'!AH2883</f>
        <v>0</v>
      </c>
      <c r="AI2882">
        <f>'raw data Crude oil'!AI2883</f>
        <v>0</v>
      </c>
      <c r="AJ2882">
        <f>'raw data Crude oil'!AJ2883</f>
        <v>0</v>
      </c>
      <c r="AK2882">
        <f>'raw data Crude oil'!AK2883</f>
        <v>0</v>
      </c>
    </row>
    <row r="2883" spans="1:37" x14ac:dyDescent="0.3">
      <c r="A2883" s="18">
        <f>'raw data Crude oil'!A2884</f>
        <v>0</v>
      </c>
      <c r="B2883">
        <f>'raw data Crude oil'!B2884</f>
        <v>0</v>
      </c>
      <c r="C2883">
        <f>'raw data Crude oil'!C2884</f>
        <v>0</v>
      </c>
      <c r="D2883">
        <f>'raw data Crude oil'!D2884</f>
        <v>0</v>
      </c>
      <c r="E2883">
        <f>'raw data Crude oil'!E2884</f>
        <v>0</v>
      </c>
      <c r="F2883">
        <f>'raw data Crude oil'!F2884</f>
        <v>0</v>
      </c>
      <c r="G2883">
        <f>'raw data Crude oil'!G2884</f>
        <v>0</v>
      </c>
      <c r="H2883">
        <f>'raw data Crude oil'!H2884</f>
        <v>0</v>
      </c>
      <c r="I2883">
        <f>'raw data Crude oil'!I2884</f>
        <v>0</v>
      </c>
      <c r="J2883">
        <f>'raw data Crude oil'!J2884</f>
        <v>0</v>
      </c>
      <c r="K2883">
        <f>'raw data Crude oil'!K2884</f>
        <v>0</v>
      </c>
      <c r="L2883">
        <f>'raw data Crude oil'!L2884</f>
        <v>0</v>
      </c>
      <c r="M2883">
        <f>'raw data Crude oil'!M2884</f>
        <v>0</v>
      </c>
      <c r="N2883">
        <f>'raw data Crude oil'!N2884</f>
        <v>0</v>
      </c>
      <c r="O2883">
        <f>'raw data Crude oil'!O2884</f>
        <v>0</v>
      </c>
      <c r="P2883">
        <f>'raw data Crude oil'!P2884</f>
        <v>0</v>
      </c>
      <c r="Q2883">
        <f>'raw data Crude oil'!Q2884</f>
        <v>0</v>
      </c>
      <c r="R2883">
        <f>'raw data Crude oil'!R2884</f>
        <v>0</v>
      </c>
      <c r="S2883">
        <f>'raw data Crude oil'!S2884</f>
        <v>0</v>
      </c>
      <c r="T2883">
        <f>'raw data Crude oil'!T2884</f>
        <v>0</v>
      </c>
      <c r="U2883">
        <f>'raw data Crude oil'!U2884</f>
        <v>0</v>
      </c>
      <c r="V2883">
        <f>'raw data Crude oil'!V2884</f>
        <v>0</v>
      </c>
      <c r="W2883">
        <f>'raw data Crude oil'!W2884</f>
        <v>0</v>
      </c>
      <c r="X2883">
        <f>'raw data Crude oil'!X2884</f>
        <v>0</v>
      </c>
      <c r="Y2883">
        <f>'raw data Crude oil'!Y2884</f>
        <v>0</v>
      </c>
      <c r="Z2883">
        <f>'raw data Crude oil'!Z2884</f>
        <v>0</v>
      </c>
      <c r="AA2883">
        <f>'raw data Crude oil'!AA2884</f>
        <v>0</v>
      </c>
      <c r="AB2883">
        <f>'raw data Crude oil'!AB2884</f>
        <v>0</v>
      </c>
      <c r="AC2883">
        <f>'raw data Crude oil'!AC2884</f>
        <v>0</v>
      </c>
      <c r="AD2883">
        <f>'raw data Crude oil'!AD2884</f>
        <v>0</v>
      </c>
      <c r="AE2883">
        <f>'raw data Crude oil'!AE2884</f>
        <v>0</v>
      </c>
      <c r="AF2883">
        <f>'raw data Crude oil'!AF2884</f>
        <v>0</v>
      </c>
      <c r="AG2883">
        <f>'raw data Crude oil'!AG2884</f>
        <v>0</v>
      </c>
      <c r="AH2883">
        <f>'raw data Crude oil'!AH2884</f>
        <v>0</v>
      </c>
      <c r="AI2883">
        <f>'raw data Crude oil'!AI2884</f>
        <v>0</v>
      </c>
      <c r="AJ2883">
        <f>'raw data Crude oil'!AJ2884</f>
        <v>0</v>
      </c>
      <c r="AK2883">
        <f>'raw data Crude oil'!AK2884</f>
        <v>0</v>
      </c>
    </row>
    <row r="2884" spans="1:37" x14ac:dyDescent="0.3">
      <c r="A2884" s="18">
        <f>'raw data Crude oil'!A2885</f>
        <v>0</v>
      </c>
      <c r="B2884">
        <f>'raw data Crude oil'!B2885</f>
        <v>0</v>
      </c>
      <c r="C2884">
        <f>'raw data Crude oil'!C2885</f>
        <v>0</v>
      </c>
      <c r="D2884">
        <f>'raw data Crude oil'!D2885</f>
        <v>0</v>
      </c>
      <c r="E2884">
        <f>'raw data Crude oil'!E2885</f>
        <v>0</v>
      </c>
      <c r="F2884">
        <f>'raw data Crude oil'!F2885</f>
        <v>0</v>
      </c>
      <c r="G2884">
        <f>'raw data Crude oil'!G2885</f>
        <v>0</v>
      </c>
      <c r="H2884">
        <f>'raw data Crude oil'!H2885</f>
        <v>0</v>
      </c>
      <c r="I2884">
        <f>'raw data Crude oil'!I2885</f>
        <v>0</v>
      </c>
      <c r="J2884">
        <f>'raw data Crude oil'!J2885</f>
        <v>0</v>
      </c>
      <c r="K2884">
        <f>'raw data Crude oil'!K2885</f>
        <v>0</v>
      </c>
      <c r="L2884">
        <f>'raw data Crude oil'!L2885</f>
        <v>0</v>
      </c>
      <c r="M2884">
        <f>'raw data Crude oil'!M2885</f>
        <v>0</v>
      </c>
      <c r="N2884">
        <f>'raw data Crude oil'!N2885</f>
        <v>0</v>
      </c>
      <c r="O2884">
        <f>'raw data Crude oil'!O2885</f>
        <v>0</v>
      </c>
      <c r="P2884">
        <f>'raw data Crude oil'!P2885</f>
        <v>0</v>
      </c>
      <c r="Q2884">
        <f>'raw data Crude oil'!Q2885</f>
        <v>0</v>
      </c>
      <c r="R2884">
        <f>'raw data Crude oil'!R2885</f>
        <v>0</v>
      </c>
      <c r="S2884">
        <f>'raw data Crude oil'!S2885</f>
        <v>0</v>
      </c>
      <c r="T2884">
        <f>'raw data Crude oil'!T2885</f>
        <v>0</v>
      </c>
      <c r="U2884">
        <f>'raw data Crude oil'!U2885</f>
        <v>0</v>
      </c>
      <c r="V2884">
        <f>'raw data Crude oil'!V2885</f>
        <v>0</v>
      </c>
      <c r="W2884">
        <f>'raw data Crude oil'!W2885</f>
        <v>0</v>
      </c>
      <c r="X2884">
        <f>'raw data Crude oil'!X2885</f>
        <v>0</v>
      </c>
      <c r="Y2884">
        <f>'raw data Crude oil'!Y2885</f>
        <v>0</v>
      </c>
      <c r="Z2884">
        <f>'raw data Crude oil'!Z2885</f>
        <v>0</v>
      </c>
      <c r="AA2884">
        <f>'raw data Crude oil'!AA2885</f>
        <v>0</v>
      </c>
      <c r="AB2884">
        <f>'raw data Crude oil'!AB2885</f>
        <v>0</v>
      </c>
      <c r="AC2884">
        <f>'raw data Crude oil'!AC2885</f>
        <v>0</v>
      </c>
      <c r="AD2884">
        <f>'raw data Crude oil'!AD2885</f>
        <v>0</v>
      </c>
      <c r="AE2884">
        <f>'raw data Crude oil'!AE2885</f>
        <v>0</v>
      </c>
      <c r="AF2884">
        <f>'raw data Crude oil'!AF2885</f>
        <v>0</v>
      </c>
      <c r="AG2884">
        <f>'raw data Crude oil'!AG2885</f>
        <v>0</v>
      </c>
      <c r="AH2884">
        <f>'raw data Crude oil'!AH2885</f>
        <v>0</v>
      </c>
      <c r="AI2884">
        <f>'raw data Crude oil'!AI2885</f>
        <v>0</v>
      </c>
      <c r="AJ2884">
        <f>'raw data Crude oil'!AJ2885</f>
        <v>0</v>
      </c>
      <c r="AK2884">
        <f>'raw data Crude oil'!AK2885</f>
        <v>0</v>
      </c>
    </row>
    <row r="2885" spans="1:37" x14ac:dyDescent="0.3">
      <c r="A2885" s="18">
        <f>'raw data Crude oil'!A2886</f>
        <v>0</v>
      </c>
      <c r="B2885">
        <f>'raw data Crude oil'!B2886</f>
        <v>0</v>
      </c>
      <c r="C2885">
        <f>'raw data Crude oil'!C2886</f>
        <v>0</v>
      </c>
      <c r="D2885">
        <f>'raw data Crude oil'!D2886</f>
        <v>0</v>
      </c>
      <c r="E2885">
        <f>'raw data Crude oil'!E2886</f>
        <v>0</v>
      </c>
      <c r="F2885">
        <f>'raw data Crude oil'!F2886</f>
        <v>0</v>
      </c>
      <c r="G2885">
        <f>'raw data Crude oil'!G2886</f>
        <v>0</v>
      </c>
      <c r="H2885">
        <f>'raw data Crude oil'!H2886</f>
        <v>0</v>
      </c>
      <c r="I2885">
        <f>'raw data Crude oil'!I2886</f>
        <v>0</v>
      </c>
      <c r="J2885">
        <f>'raw data Crude oil'!J2886</f>
        <v>0</v>
      </c>
      <c r="K2885">
        <f>'raw data Crude oil'!K2886</f>
        <v>0</v>
      </c>
      <c r="L2885">
        <f>'raw data Crude oil'!L2886</f>
        <v>0</v>
      </c>
      <c r="M2885">
        <f>'raw data Crude oil'!M2886</f>
        <v>0</v>
      </c>
      <c r="N2885">
        <f>'raw data Crude oil'!N2886</f>
        <v>0</v>
      </c>
      <c r="O2885">
        <f>'raw data Crude oil'!O2886</f>
        <v>0</v>
      </c>
      <c r="P2885">
        <f>'raw data Crude oil'!P2886</f>
        <v>0</v>
      </c>
      <c r="Q2885">
        <f>'raw data Crude oil'!Q2886</f>
        <v>0</v>
      </c>
      <c r="R2885">
        <f>'raw data Crude oil'!R2886</f>
        <v>0</v>
      </c>
      <c r="S2885">
        <f>'raw data Crude oil'!S2886</f>
        <v>0</v>
      </c>
      <c r="T2885">
        <f>'raw data Crude oil'!T2886</f>
        <v>0</v>
      </c>
      <c r="U2885">
        <f>'raw data Crude oil'!U2886</f>
        <v>0</v>
      </c>
      <c r="V2885">
        <f>'raw data Crude oil'!V2886</f>
        <v>0</v>
      </c>
      <c r="W2885">
        <f>'raw data Crude oil'!W2886</f>
        <v>0</v>
      </c>
      <c r="X2885">
        <f>'raw data Crude oil'!X2886</f>
        <v>0</v>
      </c>
      <c r="Y2885">
        <f>'raw data Crude oil'!Y2886</f>
        <v>0</v>
      </c>
      <c r="Z2885">
        <f>'raw data Crude oil'!Z2886</f>
        <v>0</v>
      </c>
      <c r="AA2885">
        <f>'raw data Crude oil'!AA2886</f>
        <v>0</v>
      </c>
      <c r="AB2885">
        <f>'raw data Crude oil'!AB2886</f>
        <v>0</v>
      </c>
      <c r="AC2885">
        <f>'raw data Crude oil'!AC2886</f>
        <v>0</v>
      </c>
      <c r="AD2885">
        <f>'raw data Crude oil'!AD2886</f>
        <v>0</v>
      </c>
      <c r="AE2885">
        <f>'raw data Crude oil'!AE2886</f>
        <v>0</v>
      </c>
      <c r="AF2885">
        <f>'raw data Crude oil'!AF2886</f>
        <v>0</v>
      </c>
      <c r="AG2885">
        <f>'raw data Crude oil'!AG2886</f>
        <v>0</v>
      </c>
      <c r="AH2885">
        <f>'raw data Crude oil'!AH2886</f>
        <v>0</v>
      </c>
      <c r="AI2885">
        <f>'raw data Crude oil'!AI2886</f>
        <v>0</v>
      </c>
      <c r="AJ2885">
        <f>'raw data Crude oil'!AJ2886</f>
        <v>0</v>
      </c>
      <c r="AK2885">
        <f>'raw data Crude oil'!AK2886</f>
        <v>0</v>
      </c>
    </row>
    <row r="2886" spans="1:37" x14ac:dyDescent="0.3">
      <c r="A2886" s="18">
        <f>'raw data Crude oil'!A2887</f>
        <v>0</v>
      </c>
      <c r="B2886">
        <f>'raw data Crude oil'!B2887</f>
        <v>0</v>
      </c>
      <c r="C2886">
        <f>'raw data Crude oil'!C2887</f>
        <v>0</v>
      </c>
      <c r="D2886">
        <f>'raw data Crude oil'!D2887</f>
        <v>0</v>
      </c>
      <c r="E2886">
        <f>'raw data Crude oil'!E2887</f>
        <v>0</v>
      </c>
      <c r="F2886">
        <f>'raw data Crude oil'!F2887</f>
        <v>0</v>
      </c>
      <c r="G2886">
        <f>'raw data Crude oil'!G2887</f>
        <v>0</v>
      </c>
      <c r="H2886">
        <f>'raw data Crude oil'!H2887</f>
        <v>0</v>
      </c>
      <c r="I2886">
        <f>'raw data Crude oil'!I2887</f>
        <v>0</v>
      </c>
      <c r="J2886">
        <f>'raw data Crude oil'!J2887</f>
        <v>0</v>
      </c>
      <c r="K2886">
        <f>'raw data Crude oil'!K2887</f>
        <v>0</v>
      </c>
      <c r="L2886">
        <f>'raw data Crude oil'!L2887</f>
        <v>0</v>
      </c>
      <c r="M2886">
        <f>'raw data Crude oil'!M2887</f>
        <v>0</v>
      </c>
      <c r="N2886">
        <f>'raw data Crude oil'!N2887</f>
        <v>0</v>
      </c>
      <c r="O2886">
        <f>'raw data Crude oil'!O2887</f>
        <v>0</v>
      </c>
      <c r="P2886">
        <f>'raw data Crude oil'!P2887</f>
        <v>0</v>
      </c>
      <c r="Q2886">
        <f>'raw data Crude oil'!Q2887</f>
        <v>0</v>
      </c>
      <c r="R2886">
        <f>'raw data Crude oil'!R2887</f>
        <v>0</v>
      </c>
      <c r="S2886">
        <f>'raw data Crude oil'!S2887</f>
        <v>0</v>
      </c>
      <c r="T2886">
        <f>'raw data Crude oil'!T2887</f>
        <v>0</v>
      </c>
      <c r="U2886">
        <f>'raw data Crude oil'!U2887</f>
        <v>0</v>
      </c>
      <c r="V2886">
        <f>'raw data Crude oil'!V2887</f>
        <v>0</v>
      </c>
      <c r="W2886">
        <f>'raw data Crude oil'!W2887</f>
        <v>0</v>
      </c>
      <c r="X2886">
        <f>'raw data Crude oil'!X2887</f>
        <v>0</v>
      </c>
      <c r="Y2886">
        <f>'raw data Crude oil'!Y2887</f>
        <v>0</v>
      </c>
      <c r="Z2886">
        <f>'raw data Crude oil'!Z2887</f>
        <v>0</v>
      </c>
      <c r="AA2886">
        <f>'raw data Crude oil'!AA2887</f>
        <v>0</v>
      </c>
      <c r="AB2886">
        <f>'raw data Crude oil'!AB2887</f>
        <v>0</v>
      </c>
      <c r="AC2886">
        <f>'raw data Crude oil'!AC2887</f>
        <v>0</v>
      </c>
      <c r="AD2886">
        <f>'raw data Crude oil'!AD2887</f>
        <v>0</v>
      </c>
      <c r="AE2886">
        <f>'raw data Crude oil'!AE2887</f>
        <v>0</v>
      </c>
      <c r="AF2886">
        <f>'raw data Crude oil'!AF2887</f>
        <v>0</v>
      </c>
      <c r="AG2886">
        <f>'raw data Crude oil'!AG2887</f>
        <v>0</v>
      </c>
      <c r="AH2886">
        <f>'raw data Crude oil'!AH2887</f>
        <v>0</v>
      </c>
      <c r="AI2886">
        <f>'raw data Crude oil'!AI2887</f>
        <v>0</v>
      </c>
      <c r="AJ2886">
        <f>'raw data Crude oil'!AJ2887</f>
        <v>0</v>
      </c>
      <c r="AK2886">
        <f>'raw data Crude oil'!AK2887</f>
        <v>0</v>
      </c>
    </row>
    <row r="2887" spans="1:37" x14ac:dyDescent="0.3">
      <c r="A2887" s="18">
        <f>'raw data Crude oil'!A2888</f>
        <v>0</v>
      </c>
      <c r="B2887">
        <f>'raw data Crude oil'!B2888</f>
        <v>0</v>
      </c>
      <c r="C2887">
        <f>'raw data Crude oil'!C2888</f>
        <v>0</v>
      </c>
      <c r="D2887">
        <f>'raw data Crude oil'!D2888</f>
        <v>0</v>
      </c>
      <c r="E2887">
        <f>'raw data Crude oil'!E2888</f>
        <v>0</v>
      </c>
      <c r="F2887">
        <f>'raw data Crude oil'!F2888</f>
        <v>0</v>
      </c>
      <c r="G2887">
        <f>'raw data Crude oil'!G2888</f>
        <v>0</v>
      </c>
      <c r="H2887">
        <f>'raw data Crude oil'!H2888</f>
        <v>0</v>
      </c>
      <c r="I2887">
        <f>'raw data Crude oil'!I2888</f>
        <v>0</v>
      </c>
      <c r="J2887">
        <f>'raw data Crude oil'!J2888</f>
        <v>0</v>
      </c>
      <c r="K2887">
        <f>'raw data Crude oil'!K2888</f>
        <v>0</v>
      </c>
      <c r="L2887">
        <f>'raw data Crude oil'!L2888</f>
        <v>0</v>
      </c>
      <c r="M2887">
        <f>'raw data Crude oil'!M2888</f>
        <v>0</v>
      </c>
      <c r="N2887">
        <f>'raw data Crude oil'!N2888</f>
        <v>0</v>
      </c>
      <c r="O2887">
        <f>'raw data Crude oil'!O2888</f>
        <v>0</v>
      </c>
      <c r="P2887">
        <f>'raw data Crude oil'!P2888</f>
        <v>0</v>
      </c>
      <c r="Q2887">
        <f>'raw data Crude oil'!Q2888</f>
        <v>0</v>
      </c>
      <c r="R2887">
        <f>'raw data Crude oil'!R2888</f>
        <v>0</v>
      </c>
      <c r="S2887">
        <f>'raw data Crude oil'!S2888</f>
        <v>0</v>
      </c>
      <c r="T2887">
        <f>'raw data Crude oil'!T2888</f>
        <v>0</v>
      </c>
      <c r="U2887">
        <f>'raw data Crude oil'!U2888</f>
        <v>0</v>
      </c>
      <c r="V2887">
        <f>'raw data Crude oil'!V2888</f>
        <v>0</v>
      </c>
      <c r="W2887">
        <f>'raw data Crude oil'!W2888</f>
        <v>0</v>
      </c>
      <c r="X2887">
        <f>'raw data Crude oil'!X2888</f>
        <v>0</v>
      </c>
      <c r="Y2887">
        <f>'raw data Crude oil'!Y2888</f>
        <v>0</v>
      </c>
      <c r="Z2887">
        <f>'raw data Crude oil'!Z2888</f>
        <v>0</v>
      </c>
      <c r="AA2887">
        <f>'raw data Crude oil'!AA2888</f>
        <v>0</v>
      </c>
      <c r="AB2887">
        <f>'raw data Crude oil'!AB2888</f>
        <v>0</v>
      </c>
      <c r="AC2887">
        <f>'raw data Crude oil'!AC2888</f>
        <v>0</v>
      </c>
      <c r="AD2887">
        <f>'raw data Crude oil'!AD2888</f>
        <v>0</v>
      </c>
      <c r="AE2887">
        <f>'raw data Crude oil'!AE2888</f>
        <v>0</v>
      </c>
      <c r="AF2887">
        <f>'raw data Crude oil'!AF2888</f>
        <v>0</v>
      </c>
      <c r="AG2887">
        <f>'raw data Crude oil'!AG2888</f>
        <v>0</v>
      </c>
      <c r="AH2887">
        <f>'raw data Crude oil'!AH2888</f>
        <v>0</v>
      </c>
      <c r="AI2887">
        <f>'raw data Crude oil'!AI2888</f>
        <v>0</v>
      </c>
      <c r="AJ2887">
        <f>'raw data Crude oil'!AJ2888</f>
        <v>0</v>
      </c>
      <c r="AK2887">
        <f>'raw data Crude oil'!AK2888</f>
        <v>0</v>
      </c>
    </row>
    <row r="2888" spans="1:37" x14ac:dyDescent="0.3">
      <c r="A2888" s="18">
        <f>'raw data Crude oil'!A2889</f>
        <v>0</v>
      </c>
      <c r="B2888">
        <f>'raw data Crude oil'!B2889</f>
        <v>0</v>
      </c>
      <c r="C2888">
        <f>'raw data Crude oil'!C2889</f>
        <v>0</v>
      </c>
      <c r="D2888">
        <f>'raw data Crude oil'!D2889</f>
        <v>0</v>
      </c>
      <c r="E2888">
        <f>'raw data Crude oil'!E2889</f>
        <v>0</v>
      </c>
      <c r="F2888">
        <f>'raw data Crude oil'!F2889</f>
        <v>0</v>
      </c>
      <c r="G2888">
        <f>'raw data Crude oil'!G2889</f>
        <v>0</v>
      </c>
      <c r="H2888">
        <f>'raw data Crude oil'!H2889</f>
        <v>0</v>
      </c>
      <c r="I2888">
        <f>'raw data Crude oil'!I2889</f>
        <v>0</v>
      </c>
      <c r="J2888">
        <f>'raw data Crude oil'!J2889</f>
        <v>0</v>
      </c>
      <c r="K2888">
        <f>'raw data Crude oil'!K2889</f>
        <v>0</v>
      </c>
      <c r="L2888">
        <f>'raw data Crude oil'!L2889</f>
        <v>0</v>
      </c>
      <c r="M2888">
        <f>'raw data Crude oil'!M2889</f>
        <v>0</v>
      </c>
      <c r="N2888">
        <f>'raw data Crude oil'!N2889</f>
        <v>0</v>
      </c>
      <c r="O2888">
        <f>'raw data Crude oil'!O2889</f>
        <v>0</v>
      </c>
      <c r="P2888">
        <f>'raw data Crude oil'!P2889</f>
        <v>0</v>
      </c>
      <c r="Q2888">
        <f>'raw data Crude oil'!Q2889</f>
        <v>0</v>
      </c>
      <c r="R2888">
        <f>'raw data Crude oil'!R2889</f>
        <v>0</v>
      </c>
      <c r="S2888">
        <f>'raw data Crude oil'!S2889</f>
        <v>0</v>
      </c>
      <c r="T2888">
        <f>'raw data Crude oil'!T2889</f>
        <v>0</v>
      </c>
      <c r="U2888">
        <f>'raw data Crude oil'!U2889</f>
        <v>0</v>
      </c>
      <c r="V2888">
        <f>'raw data Crude oil'!V2889</f>
        <v>0</v>
      </c>
      <c r="W2888">
        <f>'raw data Crude oil'!W2889</f>
        <v>0</v>
      </c>
      <c r="X2888">
        <f>'raw data Crude oil'!X2889</f>
        <v>0</v>
      </c>
      <c r="Y2888">
        <f>'raw data Crude oil'!Y2889</f>
        <v>0</v>
      </c>
      <c r="Z2888">
        <f>'raw data Crude oil'!Z2889</f>
        <v>0</v>
      </c>
      <c r="AA2888">
        <f>'raw data Crude oil'!AA2889</f>
        <v>0</v>
      </c>
      <c r="AB2888">
        <f>'raw data Crude oil'!AB2889</f>
        <v>0</v>
      </c>
      <c r="AC2888">
        <f>'raw data Crude oil'!AC2889</f>
        <v>0</v>
      </c>
      <c r="AD2888">
        <f>'raw data Crude oil'!AD2889</f>
        <v>0</v>
      </c>
      <c r="AE2888">
        <f>'raw data Crude oil'!AE2889</f>
        <v>0</v>
      </c>
      <c r="AF2888">
        <f>'raw data Crude oil'!AF2889</f>
        <v>0</v>
      </c>
      <c r="AG2888">
        <f>'raw data Crude oil'!AG2889</f>
        <v>0</v>
      </c>
      <c r="AH2888">
        <f>'raw data Crude oil'!AH2889</f>
        <v>0</v>
      </c>
      <c r="AI2888">
        <f>'raw data Crude oil'!AI2889</f>
        <v>0</v>
      </c>
      <c r="AJ2888">
        <f>'raw data Crude oil'!AJ2889</f>
        <v>0</v>
      </c>
      <c r="AK2888">
        <f>'raw data Crude oil'!AK2889</f>
        <v>0</v>
      </c>
    </row>
    <row r="2889" spans="1:37" x14ac:dyDescent="0.3">
      <c r="A2889" s="18">
        <f>'raw data Crude oil'!A2890</f>
        <v>0</v>
      </c>
      <c r="B2889">
        <f>'raw data Crude oil'!B2890</f>
        <v>0</v>
      </c>
      <c r="C2889">
        <f>'raw data Crude oil'!C2890</f>
        <v>0</v>
      </c>
      <c r="D2889">
        <f>'raw data Crude oil'!D2890</f>
        <v>0</v>
      </c>
      <c r="E2889">
        <f>'raw data Crude oil'!E2890</f>
        <v>0</v>
      </c>
      <c r="F2889">
        <f>'raw data Crude oil'!F2890</f>
        <v>0</v>
      </c>
      <c r="G2889">
        <f>'raw data Crude oil'!G2890</f>
        <v>0</v>
      </c>
      <c r="H2889">
        <f>'raw data Crude oil'!H2890</f>
        <v>0</v>
      </c>
      <c r="I2889">
        <f>'raw data Crude oil'!I2890</f>
        <v>0</v>
      </c>
      <c r="J2889">
        <f>'raw data Crude oil'!J2890</f>
        <v>0</v>
      </c>
      <c r="K2889">
        <f>'raw data Crude oil'!K2890</f>
        <v>0</v>
      </c>
      <c r="L2889">
        <f>'raw data Crude oil'!L2890</f>
        <v>0</v>
      </c>
      <c r="M2889">
        <f>'raw data Crude oil'!M2890</f>
        <v>0</v>
      </c>
      <c r="N2889">
        <f>'raw data Crude oil'!N2890</f>
        <v>0</v>
      </c>
      <c r="O2889">
        <f>'raw data Crude oil'!O2890</f>
        <v>0</v>
      </c>
      <c r="P2889">
        <f>'raw data Crude oil'!P2890</f>
        <v>0</v>
      </c>
      <c r="Q2889">
        <f>'raw data Crude oil'!Q2890</f>
        <v>0</v>
      </c>
      <c r="R2889">
        <f>'raw data Crude oil'!R2890</f>
        <v>0</v>
      </c>
      <c r="S2889">
        <f>'raw data Crude oil'!S2890</f>
        <v>0</v>
      </c>
      <c r="T2889">
        <f>'raw data Crude oil'!T2890</f>
        <v>0</v>
      </c>
      <c r="U2889">
        <f>'raw data Crude oil'!U2890</f>
        <v>0</v>
      </c>
      <c r="V2889">
        <f>'raw data Crude oil'!V2890</f>
        <v>0</v>
      </c>
      <c r="W2889">
        <f>'raw data Crude oil'!W2890</f>
        <v>0</v>
      </c>
      <c r="X2889">
        <f>'raw data Crude oil'!X2890</f>
        <v>0</v>
      </c>
      <c r="Y2889">
        <f>'raw data Crude oil'!Y2890</f>
        <v>0</v>
      </c>
      <c r="Z2889">
        <f>'raw data Crude oil'!Z2890</f>
        <v>0</v>
      </c>
      <c r="AA2889">
        <f>'raw data Crude oil'!AA2890</f>
        <v>0</v>
      </c>
      <c r="AB2889">
        <f>'raw data Crude oil'!AB2890</f>
        <v>0</v>
      </c>
      <c r="AC2889">
        <f>'raw data Crude oil'!AC2890</f>
        <v>0</v>
      </c>
      <c r="AD2889">
        <f>'raw data Crude oil'!AD2890</f>
        <v>0</v>
      </c>
      <c r="AE2889">
        <f>'raw data Crude oil'!AE2890</f>
        <v>0</v>
      </c>
      <c r="AF2889">
        <f>'raw data Crude oil'!AF2890</f>
        <v>0</v>
      </c>
      <c r="AG2889">
        <f>'raw data Crude oil'!AG2890</f>
        <v>0</v>
      </c>
      <c r="AH2889">
        <f>'raw data Crude oil'!AH2890</f>
        <v>0</v>
      </c>
      <c r="AI2889">
        <f>'raw data Crude oil'!AI2890</f>
        <v>0</v>
      </c>
      <c r="AJ2889">
        <f>'raw data Crude oil'!AJ2890</f>
        <v>0</v>
      </c>
      <c r="AK2889">
        <f>'raw data Crude oil'!AK2890</f>
        <v>0</v>
      </c>
    </row>
    <row r="2890" spans="1:37" x14ac:dyDescent="0.3">
      <c r="A2890" s="18">
        <f>'raw data Crude oil'!A2891</f>
        <v>0</v>
      </c>
      <c r="B2890">
        <f>'raw data Crude oil'!B2891</f>
        <v>0</v>
      </c>
      <c r="C2890">
        <f>'raw data Crude oil'!C2891</f>
        <v>0</v>
      </c>
      <c r="D2890">
        <f>'raw data Crude oil'!D2891</f>
        <v>0</v>
      </c>
      <c r="E2890">
        <f>'raw data Crude oil'!E2891</f>
        <v>0</v>
      </c>
      <c r="F2890">
        <f>'raw data Crude oil'!F2891</f>
        <v>0</v>
      </c>
      <c r="G2890">
        <f>'raw data Crude oil'!G2891</f>
        <v>0</v>
      </c>
      <c r="H2890">
        <f>'raw data Crude oil'!H2891</f>
        <v>0</v>
      </c>
      <c r="I2890">
        <f>'raw data Crude oil'!I2891</f>
        <v>0</v>
      </c>
      <c r="J2890">
        <f>'raw data Crude oil'!J2891</f>
        <v>0</v>
      </c>
      <c r="K2890">
        <f>'raw data Crude oil'!K2891</f>
        <v>0</v>
      </c>
      <c r="L2890">
        <f>'raw data Crude oil'!L2891</f>
        <v>0</v>
      </c>
      <c r="M2890">
        <f>'raw data Crude oil'!M2891</f>
        <v>0</v>
      </c>
      <c r="N2890">
        <f>'raw data Crude oil'!N2891</f>
        <v>0</v>
      </c>
      <c r="O2890">
        <f>'raw data Crude oil'!O2891</f>
        <v>0</v>
      </c>
      <c r="P2890">
        <f>'raw data Crude oil'!P2891</f>
        <v>0</v>
      </c>
      <c r="Q2890">
        <f>'raw data Crude oil'!Q2891</f>
        <v>0</v>
      </c>
      <c r="R2890">
        <f>'raw data Crude oil'!R2891</f>
        <v>0</v>
      </c>
      <c r="S2890">
        <f>'raw data Crude oil'!S2891</f>
        <v>0</v>
      </c>
      <c r="T2890">
        <f>'raw data Crude oil'!T2891</f>
        <v>0</v>
      </c>
      <c r="U2890">
        <f>'raw data Crude oil'!U2891</f>
        <v>0</v>
      </c>
      <c r="V2890">
        <f>'raw data Crude oil'!V2891</f>
        <v>0</v>
      </c>
      <c r="W2890">
        <f>'raw data Crude oil'!W2891</f>
        <v>0</v>
      </c>
      <c r="X2890">
        <f>'raw data Crude oil'!X2891</f>
        <v>0</v>
      </c>
      <c r="Y2890">
        <f>'raw data Crude oil'!Y2891</f>
        <v>0</v>
      </c>
      <c r="Z2890">
        <f>'raw data Crude oil'!Z2891</f>
        <v>0</v>
      </c>
      <c r="AA2890">
        <f>'raw data Crude oil'!AA2891</f>
        <v>0</v>
      </c>
      <c r="AB2890">
        <f>'raw data Crude oil'!AB2891</f>
        <v>0</v>
      </c>
      <c r="AC2890">
        <f>'raw data Crude oil'!AC2891</f>
        <v>0</v>
      </c>
      <c r="AD2890">
        <f>'raw data Crude oil'!AD2891</f>
        <v>0</v>
      </c>
      <c r="AE2890">
        <f>'raw data Crude oil'!AE2891</f>
        <v>0</v>
      </c>
      <c r="AF2890">
        <f>'raw data Crude oil'!AF2891</f>
        <v>0</v>
      </c>
      <c r="AG2890">
        <f>'raw data Crude oil'!AG2891</f>
        <v>0</v>
      </c>
      <c r="AH2890">
        <f>'raw data Crude oil'!AH2891</f>
        <v>0</v>
      </c>
      <c r="AI2890">
        <f>'raw data Crude oil'!AI2891</f>
        <v>0</v>
      </c>
      <c r="AJ2890">
        <f>'raw data Crude oil'!AJ2891</f>
        <v>0</v>
      </c>
      <c r="AK2890">
        <f>'raw data Crude oil'!AK2891</f>
        <v>0</v>
      </c>
    </row>
    <row r="2891" spans="1:37" x14ac:dyDescent="0.3">
      <c r="A2891" s="18">
        <f>'raw data Crude oil'!A2892</f>
        <v>0</v>
      </c>
      <c r="B2891">
        <f>'raw data Crude oil'!B2892</f>
        <v>0</v>
      </c>
      <c r="C2891">
        <f>'raw data Crude oil'!C2892</f>
        <v>0</v>
      </c>
      <c r="D2891">
        <f>'raw data Crude oil'!D2892</f>
        <v>0</v>
      </c>
      <c r="E2891">
        <f>'raw data Crude oil'!E2892</f>
        <v>0</v>
      </c>
      <c r="F2891">
        <f>'raw data Crude oil'!F2892</f>
        <v>0</v>
      </c>
      <c r="G2891">
        <f>'raw data Crude oil'!G2892</f>
        <v>0</v>
      </c>
      <c r="H2891">
        <f>'raw data Crude oil'!H2892</f>
        <v>0</v>
      </c>
      <c r="I2891">
        <f>'raw data Crude oil'!I2892</f>
        <v>0</v>
      </c>
      <c r="J2891">
        <f>'raw data Crude oil'!J2892</f>
        <v>0</v>
      </c>
      <c r="K2891">
        <f>'raw data Crude oil'!K2892</f>
        <v>0</v>
      </c>
      <c r="L2891">
        <f>'raw data Crude oil'!L2892</f>
        <v>0</v>
      </c>
      <c r="M2891">
        <f>'raw data Crude oil'!M2892</f>
        <v>0</v>
      </c>
      <c r="N2891">
        <f>'raw data Crude oil'!N2892</f>
        <v>0</v>
      </c>
      <c r="O2891">
        <f>'raw data Crude oil'!O2892</f>
        <v>0</v>
      </c>
      <c r="P2891">
        <f>'raw data Crude oil'!P2892</f>
        <v>0</v>
      </c>
      <c r="Q2891">
        <f>'raw data Crude oil'!Q2892</f>
        <v>0</v>
      </c>
      <c r="R2891">
        <f>'raw data Crude oil'!R2892</f>
        <v>0</v>
      </c>
      <c r="S2891">
        <f>'raw data Crude oil'!S2892</f>
        <v>0</v>
      </c>
      <c r="T2891">
        <f>'raw data Crude oil'!T2892</f>
        <v>0</v>
      </c>
      <c r="U2891">
        <f>'raw data Crude oil'!U2892</f>
        <v>0</v>
      </c>
      <c r="V2891">
        <f>'raw data Crude oil'!V2892</f>
        <v>0</v>
      </c>
      <c r="W2891">
        <f>'raw data Crude oil'!W2892</f>
        <v>0</v>
      </c>
      <c r="X2891">
        <f>'raw data Crude oil'!X2892</f>
        <v>0</v>
      </c>
      <c r="Y2891">
        <f>'raw data Crude oil'!Y2892</f>
        <v>0</v>
      </c>
      <c r="Z2891">
        <f>'raw data Crude oil'!Z2892</f>
        <v>0</v>
      </c>
      <c r="AA2891">
        <f>'raw data Crude oil'!AA2892</f>
        <v>0</v>
      </c>
      <c r="AB2891">
        <f>'raw data Crude oil'!AB2892</f>
        <v>0</v>
      </c>
      <c r="AC2891">
        <f>'raw data Crude oil'!AC2892</f>
        <v>0</v>
      </c>
      <c r="AD2891">
        <f>'raw data Crude oil'!AD2892</f>
        <v>0</v>
      </c>
      <c r="AE2891">
        <f>'raw data Crude oil'!AE2892</f>
        <v>0</v>
      </c>
      <c r="AF2891">
        <f>'raw data Crude oil'!AF2892</f>
        <v>0</v>
      </c>
      <c r="AG2891">
        <f>'raw data Crude oil'!AG2892</f>
        <v>0</v>
      </c>
      <c r="AH2891">
        <f>'raw data Crude oil'!AH2892</f>
        <v>0</v>
      </c>
      <c r="AI2891">
        <f>'raw data Crude oil'!AI2892</f>
        <v>0</v>
      </c>
      <c r="AJ2891">
        <f>'raw data Crude oil'!AJ2892</f>
        <v>0</v>
      </c>
      <c r="AK2891">
        <f>'raw data Crude oil'!AK2892</f>
        <v>0</v>
      </c>
    </row>
    <row r="2892" spans="1:37" x14ac:dyDescent="0.3">
      <c r="A2892" s="18">
        <f>'raw data Crude oil'!A2893</f>
        <v>0</v>
      </c>
      <c r="B2892">
        <f>'raw data Crude oil'!B2893</f>
        <v>0</v>
      </c>
      <c r="C2892">
        <f>'raw data Crude oil'!C2893</f>
        <v>0</v>
      </c>
      <c r="D2892">
        <f>'raw data Crude oil'!D2893</f>
        <v>0</v>
      </c>
      <c r="E2892">
        <f>'raw data Crude oil'!E2893</f>
        <v>0</v>
      </c>
      <c r="F2892">
        <f>'raw data Crude oil'!F2893</f>
        <v>0</v>
      </c>
      <c r="G2892">
        <f>'raw data Crude oil'!G2893</f>
        <v>0</v>
      </c>
      <c r="H2892">
        <f>'raw data Crude oil'!H2893</f>
        <v>0</v>
      </c>
      <c r="I2892">
        <f>'raw data Crude oil'!I2893</f>
        <v>0</v>
      </c>
      <c r="J2892">
        <f>'raw data Crude oil'!J2893</f>
        <v>0</v>
      </c>
      <c r="K2892">
        <f>'raw data Crude oil'!K2893</f>
        <v>0</v>
      </c>
      <c r="L2892">
        <f>'raw data Crude oil'!L2893</f>
        <v>0</v>
      </c>
      <c r="M2892">
        <f>'raw data Crude oil'!M2893</f>
        <v>0</v>
      </c>
      <c r="N2892">
        <f>'raw data Crude oil'!N2893</f>
        <v>0</v>
      </c>
      <c r="O2892">
        <f>'raw data Crude oil'!O2893</f>
        <v>0</v>
      </c>
      <c r="P2892">
        <f>'raw data Crude oil'!P2893</f>
        <v>0</v>
      </c>
      <c r="Q2892">
        <f>'raw data Crude oil'!Q2893</f>
        <v>0</v>
      </c>
      <c r="R2892">
        <f>'raw data Crude oil'!R2893</f>
        <v>0</v>
      </c>
      <c r="S2892">
        <f>'raw data Crude oil'!S2893</f>
        <v>0</v>
      </c>
      <c r="T2892">
        <f>'raw data Crude oil'!T2893</f>
        <v>0</v>
      </c>
      <c r="U2892">
        <f>'raw data Crude oil'!U2893</f>
        <v>0</v>
      </c>
      <c r="V2892">
        <f>'raw data Crude oil'!V2893</f>
        <v>0</v>
      </c>
      <c r="W2892">
        <f>'raw data Crude oil'!W2893</f>
        <v>0</v>
      </c>
      <c r="X2892">
        <f>'raw data Crude oil'!X2893</f>
        <v>0</v>
      </c>
      <c r="Y2892">
        <f>'raw data Crude oil'!Y2893</f>
        <v>0</v>
      </c>
      <c r="Z2892">
        <f>'raw data Crude oil'!Z2893</f>
        <v>0</v>
      </c>
      <c r="AA2892">
        <f>'raw data Crude oil'!AA2893</f>
        <v>0</v>
      </c>
      <c r="AB2892">
        <f>'raw data Crude oil'!AB2893</f>
        <v>0</v>
      </c>
      <c r="AC2892">
        <f>'raw data Crude oil'!AC2893</f>
        <v>0</v>
      </c>
      <c r="AD2892">
        <f>'raw data Crude oil'!AD2893</f>
        <v>0</v>
      </c>
      <c r="AE2892">
        <f>'raw data Crude oil'!AE2893</f>
        <v>0</v>
      </c>
      <c r="AF2892">
        <f>'raw data Crude oil'!AF2893</f>
        <v>0</v>
      </c>
      <c r="AG2892">
        <f>'raw data Crude oil'!AG2893</f>
        <v>0</v>
      </c>
      <c r="AH2892">
        <f>'raw data Crude oil'!AH2893</f>
        <v>0</v>
      </c>
      <c r="AI2892">
        <f>'raw data Crude oil'!AI2893</f>
        <v>0</v>
      </c>
      <c r="AJ2892">
        <f>'raw data Crude oil'!AJ2893</f>
        <v>0</v>
      </c>
      <c r="AK2892">
        <f>'raw data Crude oil'!AK2893</f>
        <v>0</v>
      </c>
    </row>
    <row r="2893" spans="1:37" x14ac:dyDescent="0.3">
      <c r="A2893" s="18">
        <f>'raw data Crude oil'!A2894</f>
        <v>0</v>
      </c>
      <c r="B2893">
        <f>'raw data Crude oil'!B2894</f>
        <v>0</v>
      </c>
      <c r="C2893">
        <f>'raw data Crude oil'!C2894</f>
        <v>0</v>
      </c>
      <c r="D2893">
        <f>'raw data Crude oil'!D2894</f>
        <v>0</v>
      </c>
      <c r="E2893">
        <f>'raw data Crude oil'!E2894</f>
        <v>0</v>
      </c>
      <c r="F2893">
        <f>'raw data Crude oil'!F2894</f>
        <v>0</v>
      </c>
      <c r="G2893">
        <f>'raw data Crude oil'!G2894</f>
        <v>0</v>
      </c>
      <c r="H2893">
        <f>'raw data Crude oil'!H2894</f>
        <v>0</v>
      </c>
      <c r="I2893">
        <f>'raw data Crude oil'!I2894</f>
        <v>0</v>
      </c>
      <c r="J2893">
        <f>'raw data Crude oil'!J2894</f>
        <v>0</v>
      </c>
      <c r="K2893">
        <f>'raw data Crude oil'!K2894</f>
        <v>0</v>
      </c>
      <c r="L2893">
        <f>'raw data Crude oil'!L2894</f>
        <v>0</v>
      </c>
      <c r="M2893">
        <f>'raw data Crude oil'!M2894</f>
        <v>0</v>
      </c>
      <c r="N2893">
        <f>'raw data Crude oil'!N2894</f>
        <v>0</v>
      </c>
      <c r="O2893">
        <f>'raw data Crude oil'!O2894</f>
        <v>0</v>
      </c>
      <c r="P2893">
        <f>'raw data Crude oil'!P2894</f>
        <v>0</v>
      </c>
      <c r="Q2893">
        <f>'raw data Crude oil'!Q2894</f>
        <v>0</v>
      </c>
      <c r="R2893">
        <f>'raw data Crude oil'!R2894</f>
        <v>0</v>
      </c>
      <c r="S2893">
        <f>'raw data Crude oil'!S2894</f>
        <v>0</v>
      </c>
      <c r="T2893">
        <f>'raw data Crude oil'!T2894</f>
        <v>0</v>
      </c>
      <c r="U2893">
        <f>'raw data Crude oil'!U2894</f>
        <v>0</v>
      </c>
      <c r="V2893">
        <f>'raw data Crude oil'!V2894</f>
        <v>0</v>
      </c>
      <c r="W2893">
        <f>'raw data Crude oil'!W2894</f>
        <v>0</v>
      </c>
      <c r="X2893">
        <f>'raw data Crude oil'!X2894</f>
        <v>0</v>
      </c>
      <c r="Y2893">
        <f>'raw data Crude oil'!Y2894</f>
        <v>0</v>
      </c>
      <c r="Z2893">
        <f>'raw data Crude oil'!Z2894</f>
        <v>0</v>
      </c>
      <c r="AA2893">
        <f>'raw data Crude oil'!AA2894</f>
        <v>0</v>
      </c>
      <c r="AB2893">
        <f>'raw data Crude oil'!AB2894</f>
        <v>0</v>
      </c>
      <c r="AC2893">
        <f>'raw data Crude oil'!AC2894</f>
        <v>0</v>
      </c>
      <c r="AD2893">
        <f>'raw data Crude oil'!AD2894</f>
        <v>0</v>
      </c>
      <c r="AE2893">
        <f>'raw data Crude oil'!AE2894</f>
        <v>0</v>
      </c>
      <c r="AF2893">
        <f>'raw data Crude oil'!AF2894</f>
        <v>0</v>
      </c>
      <c r="AG2893">
        <f>'raw data Crude oil'!AG2894</f>
        <v>0</v>
      </c>
      <c r="AH2893">
        <f>'raw data Crude oil'!AH2894</f>
        <v>0</v>
      </c>
      <c r="AI2893">
        <f>'raw data Crude oil'!AI2894</f>
        <v>0</v>
      </c>
      <c r="AJ2893">
        <f>'raw data Crude oil'!AJ2894</f>
        <v>0</v>
      </c>
      <c r="AK2893">
        <f>'raw data Crude oil'!AK2894</f>
        <v>0</v>
      </c>
    </row>
    <row r="2894" spans="1:37" x14ac:dyDescent="0.3">
      <c r="A2894" s="18">
        <f>'raw data Crude oil'!A2895</f>
        <v>0</v>
      </c>
      <c r="B2894">
        <f>'raw data Crude oil'!B2895</f>
        <v>0</v>
      </c>
      <c r="C2894">
        <f>'raw data Crude oil'!C2895</f>
        <v>0</v>
      </c>
      <c r="D2894">
        <f>'raw data Crude oil'!D2895</f>
        <v>0</v>
      </c>
      <c r="E2894">
        <f>'raw data Crude oil'!E2895</f>
        <v>0</v>
      </c>
      <c r="F2894">
        <f>'raw data Crude oil'!F2895</f>
        <v>0</v>
      </c>
      <c r="G2894">
        <f>'raw data Crude oil'!G2895</f>
        <v>0</v>
      </c>
      <c r="H2894">
        <f>'raw data Crude oil'!H2895</f>
        <v>0</v>
      </c>
      <c r="I2894">
        <f>'raw data Crude oil'!I2895</f>
        <v>0</v>
      </c>
      <c r="J2894">
        <f>'raw data Crude oil'!J2895</f>
        <v>0</v>
      </c>
      <c r="K2894">
        <f>'raw data Crude oil'!K2895</f>
        <v>0</v>
      </c>
      <c r="L2894">
        <f>'raw data Crude oil'!L2895</f>
        <v>0</v>
      </c>
      <c r="M2894">
        <f>'raw data Crude oil'!M2895</f>
        <v>0</v>
      </c>
      <c r="N2894">
        <f>'raw data Crude oil'!N2895</f>
        <v>0</v>
      </c>
      <c r="O2894">
        <f>'raw data Crude oil'!O2895</f>
        <v>0</v>
      </c>
      <c r="P2894">
        <f>'raw data Crude oil'!P2895</f>
        <v>0</v>
      </c>
      <c r="Q2894">
        <f>'raw data Crude oil'!Q2895</f>
        <v>0</v>
      </c>
      <c r="R2894">
        <f>'raw data Crude oil'!R2895</f>
        <v>0</v>
      </c>
      <c r="S2894">
        <f>'raw data Crude oil'!S2895</f>
        <v>0</v>
      </c>
      <c r="T2894">
        <f>'raw data Crude oil'!T2895</f>
        <v>0</v>
      </c>
      <c r="U2894">
        <f>'raw data Crude oil'!U2895</f>
        <v>0</v>
      </c>
      <c r="V2894">
        <f>'raw data Crude oil'!V2895</f>
        <v>0</v>
      </c>
      <c r="W2894">
        <f>'raw data Crude oil'!W2895</f>
        <v>0</v>
      </c>
      <c r="X2894">
        <f>'raw data Crude oil'!X2895</f>
        <v>0</v>
      </c>
      <c r="Y2894">
        <f>'raw data Crude oil'!Y2895</f>
        <v>0</v>
      </c>
      <c r="Z2894">
        <f>'raw data Crude oil'!Z2895</f>
        <v>0</v>
      </c>
      <c r="AA2894">
        <f>'raw data Crude oil'!AA2895</f>
        <v>0</v>
      </c>
      <c r="AB2894">
        <f>'raw data Crude oil'!AB2895</f>
        <v>0</v>
      </c>
      <c r="AC2894">
        <f>'raw data Crude oil'!AC2895</f>
        <v>0</v>
      </c>
      <c r="AD2894">
        <f>'raw data Crude oil'!AD2895</f>
        <v>0</v>
      </c>
      <c r="AE2894">
        <f>'raw data Crude oil'!AE2895</f>
        <v>0</v>
      </c>
      <c r="AF2894">
        <f>'raw data Crude oil'!AF2895</f>
        <v>0</v>
      </c>
      <c r="AG2894">
        <f>'raw data Crude oil'!AG2895</f>
        <v>0</v>
      </c>
      <c r="AH2894">
        <f>'raw data Crude oil'!AH2895</f>
        <v>0</v>
      </c>
      <c r="AI2894">
        <f>'raw data Crude oil'!AI2895</f>
        <v>0</v>
      </c>
      <c r="AJ2894">
        <f>'raw data Crude oil'!AJ2895</f>
        <v>0</v>
      </c>
      <c r="AK2894">
        <f>'raw data Crude oil'!AK2895</f>
        <v>0</v>
      </c>
    </row>
    <row r="2895" spans="1:37" x14ac:dyDescent="0.3">
      <c r="A2895" s="18">
        <f>'raw data Crude oil'!A2896</f>
        <v>0</v>
      </c>
      <c r="B2895">
        <f>'raw data Crude oil'!B2896</f>
        <v>0</v>
      </c>
      <c r="C2895">
        <f>'raw data Crude oil'!C2896</f>
        <v>0</v>
      </c>
      <c r="D2895">
        <f>'raw data Crude oil'!D2896</f>
        <v>0</v>
      </c>
      <c r="E2895">
        <f>'raw data Crude oil'!E2896</f>
        <v>0</v>
      </c>
      <c r="F2895">
        <f>'raw data Crude oil'!F2896</f>
        <v>0</v>
      </c>
      <c r="G2895">
        <f>'raw data Crude oil'!G2896</f>
        <v>0</v>
      </c>
      <c r="H2895">
        <f>'raw data Crude oil'!H2896</f>
        <v>0</v>
      </c>
      <c r="I2895">
        <f>'raw data Crude oil'!I2896</f>
        <v>0</v>
      </c>
      <c r="J2895">
        <f>'raw data Crude oil'!J2896</f>
        <v>0</v>
      </c>
      <c r="K2895">
        <f>'raw data Crude oil'!K2896</f>
        <v>0</v>
      </c>
      <c r="L2895">
        <f>'raw data Crude oil'!L2896</f>
        <v>0</v>
      </c>
      <c r="M2895">
        <f>'raw data Crude oil'!M2896</f>
        <v>0</v>
      </c>
      <c r="N2895">
        <f>'raw data Crude oil'!N2896</f>
        <v>0</v>
      </c>
      <c r="O2895">
        <f>'raw data Crude oil'!O2896</f>
        <v>0</v>
      </c>
      <c r="P2895">
        <f>'raw data Crude oil'!P2896</f>
        <v>0</v>
      </c>
      <c r="Q2895">
        <f>'raw data Crude oil'!Q2896</f>
        <v>0</v>
      </c>
      <c r="R2895">
        <f>'raw data Crude oil'!R2896</f>
        <v>0</v>
      </c>
      <c r="S2895">
        <f>'raw data Crude oil'!S2896</f>
        <v>0</v>
      </c>
      <c r="T2895">
        <f>'raw data Crude oil'!T2896</f>
        <v>0</v>
      </c>
      <c r="U2895">
        <f>'raw data Crude oil'!U2896</f>
        <v>0</v>
      </c>
      <c r="V2895">
        <f>'raw data Crude oil'!V2896</f>
        <v>0</v>
      </c>
      <c r="W2895">
        <f>'raw data Crude oil'!W2896</f>
        <v>0</v>
      </c>
      <c r="X2895">
        <f>'raw data Crude oil'!X2896</f>
        <v>0</v>
      </c>
      <c r="Y2895">
        <f>'raw data Crude oil'!Y2896</f>
        <v>0</v>
      </c>
      <c r="Z2895">
        <f>'raw data Crude oil'!Z2896</f>
        <v>0</v>
      </c>
      <c r="AA2895">
        <f>'raw data Crude oil'!AA2896</f>
        <v>0</v>
      </c>
      <c r="AB2895">
        <f>'raw data Crude oil'!AB2896</f>
        <v>0</v>
      </c>
      <c r="AC2895">
        <f>'raw data Crude oil'!AC2896</f>
        <v>0</v>
      </c>
      <c r="AD2895">
        <f>'raw data Crude oil'!AD2896</f>
        <v>0</v>
      </c>
      <c r="AE2895">
        <f>'raw data Crude oil'!AE2896</f>
        <v>0</v>
      </c>
      <c r="AF2895">
        <f>'raw data Crude oil'!AF2896</f>
        <v>0</v>
      </c>
      <c r="AG2895">
        <f>'raw data Crude oil'!AG2896</f>
        <v>0</v>
      </c>
      <c r="AH2895">
        <f>'raw data Crude oil'!AH2896</f>
        <v>0</v>
      </c>
      <c r="AI2895">
        <f>'raw data Crude oil'!AI2896</f>
        <v>0</v>
      </c>
      <c r="AJ2895">
        <f>'raw data Crude oil'!AJ2896</f>
        <v>0</v>
      </c>
      <c r="AK2895">
        <f>'raw data Crude oil'!AK2896</f>
        <v>0</v>
      </c>
    </row>
    <row r="2896" spans="1:37" x14ac:dyDescent="0.3">
      <c r="A2896" s="18">
        <f>'raw data Crude oil'!A2897</f>
        <v>0</v>
      </c>
      <c r="B2896">
        <f>'raw data Crude oil'!B2897</f>
        <v>0</v>
      </c>
      <c r="C2896">
        <f>'raw data Crude oil'!C2897</f>
        <v>0</v>
      </c>
      <c r="D2896">
        <f>'raw data Crude oil'!D2897</f>
        <v>0</v>
      </c>
      <c r="E2896">
        <f>'raw data Crude oil'!E2897</f>
        <v>0</v>
      </c>
      <c r="F2896">
        <f>'raw data Crude oil'!F2897</f>
        <v>0</v>
      </c>
      <c r="G2896">
        <f>'raw data Crude oil'!G2897</f>
        <v>0</v>
      </c>
      <c r="H2896">
        <f>'raw data Crude oil'!H2897</f>
        <v>0</v>
      </c>
      <c r="I2896">
        <f>'raw data Crude oil'!I2897</f>
        <v>0</v>
      </c>
      <c r="J2896">
        <f>'raw data Crude oil'!J2897</f>
        <v>0</v>
      </c>
      <c r="K2896">
        <f>'raw data Crude oil'!K2897</f>
        <v>0</v>
      </c>
      <c r="L2896">
        <f>'raw data Crude oil'!L2897</f>
        <v>0</v>
      </c>
      <c r="M2896">
        <f>'raw data Crude oil'!M2897</f>
        <v>0</v>
      </c>
      <c r="N2896">
        <f>'raw data Crude oil'!N2897</f>
        <v>0</v>
      </c>
      <c r="O2896">
        <f>'raw data Crude oil'!O2897</f>
        <v>0</v>
      </c>
      <c r="P2896">
        <f>'raw data Crude oil'!P2897</f>
        <v>0</v>
      </c>
      <c r="Q2896">
        <f>'raw data Crude oil'!Q2897</f>
        <v>0</v>
      </c>
      <c r="R2896">
        <f>'raw data Crude oil'!R2897</f>
        <v>0</v>
      </c>
      <c r="S2896">
        <f>'raw data Crude oil'!S2897</f>
        <v>0</v>
      </c>
      <c r="T2896">
        <f>'raw data Crude oil'!T2897</f>
        <v>0</v>
      </c>
      <c r="U2896">
        <f>'raw data Crude oil'!U2897</f>
        <v>0</v>
      </c>
      <c r="V2896">
        <f>'raw data Crude oil'!V2897</f>
        <v>0</v>
      </c>
      <c r="W2896">
        <f>'raw data Crude oil'!W2897</f>
        <v>0</v>
      </c>
      <c r="X2896">
        <f>'raw data Crude oil'!X2897</f>
        <v>0</v>
      </c>
      <c r="Y2896">
        <f>'raw data Crude oil'!Y2897</f>
        <v>0</v>
      </c>
      <c r="Z2896">
        <f>'raw data Crude oil'!Z2897</f>
        <v>0</v>
      </c>
      <c r="AA2896">
        <f>'raw data Crude oil'!AA2897</f>
        <v>0</v>
      </c>
      <c r="AB2896">
        <f>'raw data Crude oil'!AB2897</f>
        <v>0</v>
      </c>
      <c r="AC2896">
        <f>'raw data Crude oil'!AC2897</f>
        <v>0</v>
      </c>
      <c r="AD2896">
        <f>'raw data Crude oil'!AD2897</f>
        <v>0</v>
      </c>
      <c r="AE2896">
        <f>'raw data Crude oil'!AE2897</f>
        <v>0</v>
      </c>
      <c r="AF2896">
        <f>'raw data Crude oil'!AF2897</f>
        <v>0</v>
      </c>
      <c r="AG2896">
        <f>'raw data Crude oil'!AG2897</f>
        <v>0</v>
      </c>
      <c r="AH2896">
        <f>'raw data Crude oil'!AH2897</f>
        <v>0</v>
      </c>
      <c r="AI2896">
        <f>'raw data Crude oil'!AI2897</f>
        <v>0</v>
      </c>
      <c r="AJ2896">
        <f>'raw data Crude oil'!AJ2897</f>
        <v>0</v>
      </c>
      <c r="AK2896">
        <f>'raw data Crude oil'!AK2897</f>
        <v>0</v>
      </c>
    </row>
    <row r="2897" spans="1:37" x14ac:dyDescent="0.3">
      <c r="A2897" s="18">
        <f>'raw data Crude oil'!A2898</f>
        <v>0</v>
      </c>
      <c r="B2897">
        <f>'raw data Crude oil'!B2898</f>
        <v>0</v>
      </c>
      <c r="C2897">
        <f>'raw data Crude oil'!C2898</f>
        <v>0</v>
      </c>
      <c r="D2897">
        <f>'raw data Crude oil'!D2898</f>
        <v>0</v>
      </c>
      <c r="E2897">
        <f>'raw data Crude oil'!E2898</f>
        <v>0</v>
      </c>
      <c r="F2897">
        <f>'raw data Crude oil'!F2898</f>
        <v>0</v>
      </c>
      <c r="G2897">
        <f>'raw data Crude oil'!G2898</f>
        <v>0</v>
      </c>
      <c r="H2897">
        <f>'raw data Crude oil'!H2898</f>
        <v>0</v>
      </c>
      <c r="I2897">
        <f>'raw data Crude oil'!I2898</f>
        <v>0</v>
      </c>
      <c r="J2897">
        <f>'raw data Crude oil'!J2898</f>
        <v>0</v>
      </c>
      <c r="K2897">
        <f>'raw data Crude oil'!K2898</f>
        <v>0</v>
      </c>
      <c r="L2897">
        <f>'raw data Crude oil'!L2898</f>
        <v>0</v>
      </c>
      <c r="M2897">
        <f>'raw data Crude oil'!M2898</f>
        <v>0</v>
      </c>
      <c r="N2897">
        <f>'raw data Crude oil'!N2898</f>
        <v>0</v>
      </c>
      <c r="O2897">
        <f>'raw data Crude oil'!O2898</f>
        <v>0</v>
      </c>
      <c r="P2897">
        <f>'raw data Crude oil'!P2898</f>
        <v>0</v>
      </c>
      <c r="Q2897">
        <f>'raw data Crude oil'!Q2898</f>
        <v>0</v>
      </c>
      <c r="R2897">
        <f>'raw data Crude oil'!R2898</f>
        <v>0</v>
      </c>
      <c r="S2897">
        <f>'raw data Crude oil'!S2898</f>
        <v>0</v>
      </c>
      <c r="T2897">
        <f>'raw data Crude oil'!T2898</f>
        <v>0</v>
      </c>
      <c r="U2897">
        <f>'raw data Crude oil'!U2898</f>
        <v>0</v>
      </c>
      <c r="V2897">
        <f>'raw data Crude oil'!V2898</f>
        <v>0</v>
      </c>
      <c r="W2897">
        <f>'raw data Crude oil'!W2898</f>
        <v>0</v>
      </c>
      <c r="X2897">
        <f>'raw data Crude oil'!X2898</f>
        <v>0</v>
      </c>
      <c r="Y2897">
        <f>'raw data Crude oil'!Y2898</f>
        <v>0</v>
      </c>
      <c r="Z2897">
        <f>'raw data Crude oil'!Z2898</f>
        <v>0</v>
      </c>
      <c r="AA2897">
        <f>'raw data Crude oil'!AA2898</f>
        <v>0</v>
      </c>
      <c r="AB2897">
        <f>'raw data Crude oil'!AB2898</f>
        <v>0</v>
      </c>
      <c r="AC2897">
        <f>'raw data Crude oil'!AC2898</f>
        <v>0</v>
      </c>
      <c r="AD2897">
        <f>'raw data Crude oil'!AD2898</f>
        <v>0</v>
      </c>
      <c r="AE2897">
        <f>'raw data Crude oil'!AE2898</f>
        <v>0</v>
      </c>
      <c r="AF2897">
        <f>'raw data Crude oil'!AF2898</f>
        <v>0</v>
      </c>
      <c r="AG2897">
        <f>'raw data Crude oil'!AG2898</f>
        <v>0</v>
      </c>
      <c r="AH2897">
        <f>'raw data Crude oil'!AH2898</f>
        <v>0</v>
      </c>
      <c r="AI2897">
        <f>'raw data Crude oil'!AI2898</f>
        <v>0</v>
      </c>
      <c r="AJ2897">
        <f>'raw data Crude oil'!AJ2898</f>
        <v>0</v>
      </c>
      <c r="AK2897">
        <f>'raw data Crude oil'!AK2898</f>
        <v>0</v>
      </c>
    </row>
    <row r="2898" spans="1:37" x14ac:dyDescent="0.3">
      <c r="A2898" s="18">
        <f>'raw data Crude oil'!A2899</f>
        <v>0</v>
      </c>
      <c r="B2898">
        <f>'raw data Crude oil'!B2899</f>
        <v>0</v>
      </c>
      <c r="C2898">
        <f>'raw data Crude oil'!C2899</f>
        <v>0</v>
      </c>
      <c r="D2898">
        <f>'raw data Crude oil'!D2899</f>
        <v>0</v>
      </c>
      <c r="E2898">
        <f>'raw data Crude oil'!E2899</f>
        <v>0</v>
      </c>
      <c r="F2898">
        <f>'raw data Crude oil'!F2899</f>
        <v>0</v>
      </c>
      <c r="G2898">
        <f>'raw data Crude oil'!G2899</f>
        <v>0</v>
      </c>
      <c r="H2898">
        <f>'raw data Crude oil'!H2899</f>
        <v>0</v>
      </c>
      <c r="I2898">
        <f>'raw data Crude oil'!I2899</f>
        <v>0</v>
      </c>
      <c r="J2898">
        <f>'raw data Crude oil'!J2899</f>
        <v>0</v>
      </c>
      <c r="K2898">
        <f>'raw data Crude oil'!K2899</f>
        <v>0</v>
      </c>
      <c r="L2898">
        <f>'raw data Crude oil'!L2899</f>
        <v>0</v>
      </c>
      <c r="M2898">
        <f>'raw data Crude oil'!M2899</f>
        <v>0</v>
      </c>
      <c r="N2898">
        <f>'raw data Crude oil'!N2899</f>
        <v>0</v>
      </c>
      <c r="O2898">
        <f>'raw data Crude oil'!O2899</f>
        <v>0</v>
      </c>
      <c r="P2898">
        <f>'raw data Crude oil'!P2899</f>
        <v>0</v>
      </c>
      <c r="Q2898">
        <f>'raw data Crude oil'!Q2899</f>
        <v>0</v>
      </c>
      <c r="R2898">
        <f>'raw data Crude oil'!R2899</f>
        <v>0</v>
      </c>
      <c r="S2898">
        <f>'raw data Crude oil'!S2899</f>
        <v>0</v>
      </c>
      <c r="T2898">
        <f>'raw data Crude oil'!T2899</f>
        <v>0</v>
      </c>
      <c r="U2898">
        <f>'raw data Crude oil'!U2899</f>
        <v>0</v>
      </c>
      <c r="V2898">
        <f>'raw data Crude oil'!V2899</f>
        <v>0</v>
      </c>
      <c r="W2898">
        <f>'raw data Crude oil'!W2899</f>
        <v>0</v>
      </c>
      <c r="X2898">
        <f>'raw data Crude oil'!X2899</f>
        <v>0</v>
      </c>
      <c r="Y2898">
        <f>'raw data Crude oil'!Y2899</f>
        <v>0</v>
      </c>
      <c r="Z2898">
        <f>'raw data Crude oil'!Z2899</f>
        <v>0</v>
      </c>
      <c r="AA2898">
        <f>'raw data Crude oil'!AA2899</f>
        <v>0</v>
      </c>
      <c r="AB2898">
        <f>'raw data Crude oil'!AB2899</f>
        <v>0</v>
      </c>
      <c r="AC2898">
        <f>'raw data Crude oil'!AC2899</f>
        <v>0</v>
      </c>
      <c r="AD2898">
        <f>'raw data Crude oil'!AD2899</f>
        <v>0</v>
      </c>
      <c r="AE2898">
        <f>'raw data Crude oil'!AE2899</f>
        <v>0</v>
      </c>
      <c r="AF2898">
        <f>'raw data Crude oil'!AF2899</f>
        <v>0</v>
      </c>
      <c r="AG2898">
        <f>'raw data Crude oil'!AG2899</f>
        <v>0</v>
      </c>
      <c r="AH2898">
        <f>'raw data Crude oil'!AH2899</f>
        <v>0</v>
      </c>
      <c r="AI2898">
        <f>'raw data Crude oil'!AI2899</f>
        <v>0</v>
      </c>
      <c r="AJ2898">
        <f>'raw data Crude oil'!AJ2899</f>
        <v>0</v>
      </c>
      <c r="AK2898">
        <f>'raw data Crude oil'!AK2899</f>
        <v>0</v>
      </c>
    </row>
    <row r="2899" spans="1:37" x14ac:dyDescent="0.3">
      <c r="A2899" s="18">
        <f>'raw data Crude oil'!A2900</f>
        <v>0</v>
      </c>
      <c r="B2899">
        <f>'raw data Crude oil'!B2900</f>
        <v>0</v>
      </c>
      <c r="C2899">
        <f>'raw data Crude oil'!C2900</f>
        <v>0</v>
      </c>
      <c r="D2899">
        <f>'raw data Crude oil'!D2900</f>
        <v>0</v>
      </c>
      <c r="E2899">
        <f>'raw data Crude oil'!E2900</f>
        <v>0</v>
      </c>
      <c r="F2899">
        <f>'raw data Crude oil'!F2900</f>
        <v>0</v>
      </c>
      <c r="G2899">
        <f>'raw data Crude oil'!G2900</f>
        <v>0</v>
      </c>
      <c r="H2899">
        <f>'raw data Crude oil'!H2900</f>
        <v>0</v>
      </c>
      <c r="I2899">
        <f>'raw data Crude oil'!I2900</f>
        <v>0</v>
      </c>
      <c r="J2899">
        <f>'raw data Crude oil'!J2900</f>
        <v>0</v>
      </c>
      <c r="K2899">
        <f>'raw data Crude oil'!K2900</f>
        <v>0</v>
      </c>
      <c r="L2899">
        <f>'raw data Crude oil'!L2900</f>
        <v>0</v>
      </c>
      <c r="M2899">
        <f>'raw data Crude oil'!M2900</f>
        <v>0</v>
      </c>
      <c r="N2899">
        <f>'raw data Crude oil'!N2900</f>
        <v>0</v>
      </c>
      <c r="O2899">
        <f>'raw data Crude oil'!O2900</f>
        <v>0</v>
      </c>
      <c r="P2899">
        <f>'raw data Crude oil'!P2900</f>
        <v>0</v>
      </c>
      <c r="Q2899">
        <f>'raw data Crude oil'!Q2900</f>
        <v>0</v>
      </c>
      <c r="R2899">
        <f>'raw data Crude oil'!R2900</f>
        <v>0</v>
      </c>
      <c r="S2899">
        <f>'raw data Crude oil'!S2900</f>
        <v>0</v>
      </c>
      <c r="T2899">
        <f>'raw data Crude oil'!T2900</f>
        <v>0</v>
      </c>
      <c r="U2899">
        <f>'raw data Crude oil'!U2900</f>
        <v>0</v>
      </c>
      <c r="V2899">
        <f>'raw data Crude oil'!V2900</f>
        <v>0</v>
      </c>
      <c r="W2899">
        <f>'raw data Crude oil'!W2900</f>
        <v>0</v>
      </c>
      <c r="X2899">
        <f>'raw data Crude oil'!X2900</f>
        <v>0</v>
      </c>
      <c r="Y2899">
        <f>'raw data Crude oil'!Y2900</f>
        <v>0</v>
      </c>
      <c r="Z2899">
        <f>'raw data Crude oil'!Z2900</f>
        <v>0</v>
      </c>
      <c r="AA2899">
        <f>'raw data Crude oil'!AA2900</f>
        <v>0</v>
      </c>
      <c r="AB2899">
        <f>'raw data Crude oil'!AB2900</f>
        <v>0</v>
      </c>
      <c r="AC2899">
        <f>'raw data Crude oil'!AC2900</f>
        <v>0</v>
      </c>
      <c r="AD2899">
        <f>'raw data Crude oil'!AD2900</f>
        <v>0</v>
      </c>
      <c r="AE2899">
        <f>'raw data Crude oil'!AE2900</f>
        <v>0</v>
      </c>
      <c r="AF2899">
        <f>'raw data Crude oil'!AF2900</f>
        <v>0</v>
      </c>
      <c r="AG2899">
        <f>'raw data Crude oil'!AG2900</f>
        <v>0</v>
      </c>
      <c r="AH2899">
        <f>'raw data Crude oil'!AH2900</f>
        <v>0</v>
      </c>
      <c r="AI2899">
        <f>'raw data Crude oil'!AI2900</f>
        <v>0</v>
      </c>
      <c r="AJ2899">
        <f>'raw data Crude oil'!AJ2900</f>
        <v>0</v>
      </c>
      <c r="AK2899">
        <f>'raw data Crude oil'!AK2900</f>
        <v>0</v>
      </c>
    </row>
    <row r="2900" spans="1:37" x14ac:dyDescent="0.3">
      <c r="A2900" s="18">
        <f>'raw data Crude oil'!A2901</f>
        <v>0</v>
      </c>
      <c r="B2900">
        <f>'raw data Crude oil'!B2901</f>
        <v>0</v>
      </c>
      <c r="C2900">
        <f>'raw data Crude oil'!C2901</f>
        <v>0</v>
      </c>
      <c r="D2900">
        <f>'raw data Crude oil'!D2901</f>
        <v>0</v>
      </c>
      <c r="E2900">
        <f>'raw data Crude oil'!E2901</f>
        <v>0</v>
      </c>
      <c r="F2900">
        <f>'raw data Crude oil'!F2901</f>
        <v>0</v>
      </c>
      <c r="G2900">
        <f>'raw data Crude oil'!G2901</f>
        <v>0</v>
      </c>
      <c r="H2900">
        <f>'raw data Crude oil'!H2901</f>
        <v>0</v>
      </c>
      <c r="I2900">
        <f>'raw data Crude oil'!I2901</f>
        <v>0</v>
      </c>
      <c r="J2900">
        <f>'raw data Crude oil'!J2901</f>
        <v>0</v>
      </c>
      <c r="K2900">
        <f>'raw data Crude oil'!K2901</f>
        <v>0</v>
      </c>
      <c r="L2900">
        <f>'raw data Crude oil'!L2901</f>
        <v>0</v>
      </c>
      <c r="M2900">
        <f>'raw data Crude oil'!M2901</f>
        <v>0</v>
      </c>
      <c r="N2900">
        <f>'raw data Crude oil'!N2901</f>
        <v>0</v>
      </c>
      <c r="O2900">
        <f>'raw data Crude oil'!O2901</f>
        <v>0</v>
      </c>
      <c r="P2900">
        <f>'raw data Crude oil'!P2901</f>
        <v>0</v>
      </c>
      <c r="Q2900">
        <f>'raw data Crude oil'!Q2901</f>
        <v>0</v>
      </c>
      <c r="R2900">
        <f>'raw data Crude oil'!R2901</f>
        <v>0</v>
      </c>
      <c r="S2900">
        <f>'raw data Crude oil'!S2901</f>
        <v>0</v>
      </c>
      <c r="T2900">
        <f>'raw data Crude oil'!T2901</f>
        <v>0</v>
      </c>
      <c r="U2900">
        <f>'raw data Crude oil'!U2901</f>
        <v>0</v>
      </c>
      <c r="V2900">
        <f>'raw data Crude oil'!V2901</f>
        <v>0</v>
      </c>
      <c r="W2900">
        <f>'raw data Crude oil'!W2901</f>
        <v>0</v>
      </c>
      <c r="X2900">
        <f>'raw data Crude oil'!X2901</f>
        <v>0</v>
      </c>
      <c r="Y2900">
        <f>'raw data Crude oil'!Y2901</f>
        <v>0</v>
      </c>
      <c r="Z2900">
        <f>'raw data Crude oil'!Z2901</f>
        <v>0</v>
      </c>
      <c r="AA2900">
        <f>'raw data Crude oil'!AA2901</f>
        <v>0</v>
      </c>
      <c r="AB2900">
        <f>'raw data Crude oil'!AB2901</f>
        <v>0</v>
      </c>
      <c r="AC2900">
        <f>'raw data Crude oil'!AC2901</f>
        <v>0</v>
      </c>
      <c r="AD2900">
        <f>'raw data Crude oil'!AD2901</f>
        <v>0</v>
      </c>
      <c r="AE2900">
        <f>'raw data Crude oil'!AE2901</f>
        <v>0</v>
      </c>
      <c r="AF2900">
        <f>'raw data Crude oil'!AF2901</f>
        <v>0</v>
      </c>
      <c r="AG2900">
        <f>'raw data Crude oil'!AG2901</f>
        <v>0</v>
      </c>
      <c r="AH2900">
        <f>'raw data Crude oil'!AH2901</f>
        <v>0</v>
      </c>
      <c r="AI2900">
        <f>'raw data Crude oil'!AI2901</f>
        <v>0</v>
      </c>
      <c r="AJ2900">
        <f>'raw data Crude oil'!AJ2901</f>
        <v>0</v>
      </c>
      <c r="AK2900">
        <f>'raw data Crude oil'!AK2901</f>
        <v>0</v>
      </c>
    </row>
    <row r="2901" spans="1:37" x14ac:dyDescent="0.3">
      <c r="A2901" s="18">
        <f>'raw data Crude oil'!A2902</f>
        <v>0</v>
      </c>
      <c r="B2901">
        <f>'raw data Crude oil'!B2902</f>
        <v>0</v>
      </c>
      <c r="C2901">
        <f>'raw data Crude oil'!C2902</f>
        <v>0</v>
      </c>
      <c r="D2901">
        <f>'raw data Crude oil'!D2902</f>
        <v>0</v>
      </c>
      <c r="E2901">
        <f>'raw data Crude oil'!E2902</f>
        <v>0</v>
      </c>
      <c r="F2901">
        <f>'raw data Crude oil'!F2902</f>
        <v>0</v>
      </c>
      <c r="G2901">
        <f>'raw data Crude oil'!G2902</f>
        <v>0</v>
      </c>
      <c r="H2901">
        <f>'raw data Crude oil'!H2902</f>
        <v>0</v>
      </c>
      <c r="I2901">
        <f>'raw data Crude oil'!I2902</f>
        <v>0</v>
      </c>
      <c r="J2901">
        <f>'raw data Crude oil'!J2902</f>
        <v>0</v>
      </c>
      <c r="K2901">
        <f>'raw data Crude oil'!K2902</f>
        <v>0</v>
      </c>
      <c r="L2901">
        <f>'raw data Crude oil'!L2902</f>
        <v>0</v>
      </c>
      <c r="M2901">
        <f>'raw data Crude oil'!M2902</f>
        <v>0</v>
      </c>
      <c r="N2901">
        <f>'raw data Crude oil'!N2902</f>
        <v>0</v>
      </c>
      <c r="O2901">
        <f>'raw data Crude oil'!O2902</f>
        <v>0</v>
      </c>
      <c r="P2901">
        <f>'raw data Crude oil'!P2902</f>
        <v>0</v>
      </c>
      <c r="Q2901">
        <f>'raw data Crude oil'!Q2902</f>
        <v>0</v>
      </c>
      <c r="R2901">
        <f>'raw data Crude oil'!R2902</f>
        <v>0</v>
      </c>
      <c r="S2901">
        <f>'raw data Crude oil'!S2902</f>
        <v>0</v>
      </c>
      <c r="T2901">
        <f>'raw data Crude oil'!T2902</f>
        <v>0</v>
      </c>
      <c r="U2901">
        <f>'raw data Crude oil'!U2902</f>
        <v>0</v>
      </c>
      <c r="V2901">
        <f>'raw data Crude oil'!V2902</f>
        <v>0</v>
      </c>
      <c r="W2901">
        <f>'raw data Crude oil'!W2902</f>
        <v>0</v>
      </c>
      <c r="X2901">
        <f>'raw data Crude oil'!X2902</f>
        <v>0</v>
      </c>
      <c r="Y2901">
        <f>'raw data Crude oil'!Y2902</f>
        <v>0</v>
      </c>
      <c r="Z2901">
        <f>'raw data Crude oil'!Z2902</f>
        <v>0</v>
      </c>
      <c r="AA2901">
        <f>'raw data Crude oil'!AA2902</f>
        <v>0</v>
      </c>
      <c r="AB2901">
        <f>'raw data Crude oil'!AB2902</f>
        <v>0</v>
      </c>
      <c r="AC2901">
        <f>'raw data Crude oil'!AC2902</f>
        <v>0</v>
      </c>
      <c r="AD2901">
        <f>'raw data Crude oil'!AD2902</f>
        <v>0</v>
      </c>
      <c r="AE2901">
        <f>'raw data Crude oil'!AE2902</f>
        <v>0</v>
      </c>
      <c r="AF2901">
        <f>'raw data Crude oil'!AF2902</f>
        <v>0</v>
      </c>
      <c r="AG2901">
        <f>'raw data Crude oil'!AG2902</f>
        <v>0</v>
      </c>
      <c r="AH2901">
        <f>'raw data Crude oil'!AH2902</f>
        <v>0</v>
      </c>
      <c r="AI2901">
        <f>'raw data Crude oil'!AI2902</f>
        <v>0</v>
      </c>
      <c r="AJ2901">
        <f>'raw data Crude oil'!AJ2902</f>
        <v>0</v>
      </c>
      <c r="AK2901">
        <f>'raw data Crude oil'!AK2902</f>
        <v>0</v>
      </c>
    </row>
    <row r="2902" spans="1:37" x14ac:dyDescent="0.3">
      <c r="A2902" s="18">
        <f>'raw data Crude oil'!A2903</f>
        <v>0</v>
      </c>
      <c r="B2902">
        <f>'raw data Crude oil'!B2903</f>
        <v>0</v>
      </c>
      <c r="C2902">
        <f>'raw data Crude oil'!C2903</f>
        <v>0</v>
      </c>
      <c r="D2902">
        <f>'raw data Crude oil'!D2903</f>
        <v>0</v>
      </c>
      <c r="E2902">
        <f>'raw data Crude oil'!E2903</f>
        <v>0</v>
      </c>
      <c r="F2902">
        <f>'raw data Crude oil'!F2903</f>
        <v>0</v>
      </c>
      <c r="G2902">
        <f>'raw data Crude oil'!G2903</f>
        <v>0</v>
      </c>
      <c r="H2902">
        <f>'raw data Crude oil'!H2903</f>
        <v>0</v>
      </c>
      <c r="I2902">
        <f>'raw data Crude oil'!I2903</f>
        <v>0</v>
      </c>
      <c r="J2902">
        <f>'raw data Crude oil'!J2903</f>
        <v>0</v>
      </c>
      <c r="K2902">
        <f>'raw data Crude oil'!K2903</f>
        <v>0</v>
      </c>
      <c r="L2902">
        <f>'raw data Crude oil'!L2903</f>
        <v>0</v>
      </c>
      <c r="M2902">
        <f>'raw data Crude oil'!M2903</f>
        <v>0</v>
      </c>
      <c r="N2902">
        <f>'raw data Crude oil'!N2903</f>
        <v>0</v>
      </c>
      <c r="O2902">
        <f>'raw data Crude oil'!O2903</f>
        <v>0</v>
      </c>
      <c r="P2902">
        <f>'raw data Crude oil'!P2903</f>
        <v>0</v>
      </c>
      <c r="Q2902">
        <f>'raw data Crude oil'!Q2903</f>
        <v>0</v>
      </c>
      <c r="R2902">
        <f>'raw data Crude oil'!R2903</f>
        <v>0</v>
      </c>
      <c r="S2902">
        <f>'raw data Crude oil'!S2903</f>
        <v>0</v>
      </c>
      <c r="T2902">
        <f>'raw data Crude oil'!T2903</f>
        <v>0</v>
      </c>
      <c r="U2902">
        <f>'raw data Crude oil'!U2903</f>
        <v>0</v>
      </c>
      <c r="V2902">
        <f>'raw data Crude oil'!V2903</f>
        <v>0</v>
      </c>
      <c r="W2902">
        <f>'raw data Crude oil'!W2903</f>
        <v>0</v>
      </c>
      <c r="X2902">
        <f>'raw data Crude oil'!X2903</f>
        <v>0</v>
      </c>
      <c r="Y2902">
        <f>'raw data Crude oil'!Y2903</f>
        <v>0</v>
      </c>
      <c r="Z2902">
        <f>'raw data Crude oil'!Z2903</f>
        <v>0</v>
      </c>
      <c r="AA2902">
        <f>'raw data Crude oil'!AA2903</f>
        <v>0</v>
      </c>
      <c r="AB2902">
        <f>'raw data Crude oil'!AB2903</f>
        <v>0</v>
      </c>
      <c r="AC2902">
        <f>'raw data Crude oil'!AC2903</f>
        <v>0</v>
      </c>
      <c r="AD2902">
        <f>'raw data Crude oil'!AD2903</f>
        <v>0</v>
      </c>
      <c r="AE2902">
        <f>'raw data Crude oil'!AE2903</f>
        <v>0</v>
      </c>
      <c r="AF2902">
        <f>'raw data Crude oil'!AF2903</f>
        <v>0</v>
      </c>
      <c r="AG2902">
        <f>'raw data Crude oil'!AG2903</f>
        <v>0</v>
      </c>
      <c r="AH2902">
        <f>'raw data Crude oil'!AH2903</f>
        <v>0</v>
      </c>
      <c r="AI2902">
        <f>'raw data Crude oil'!AI2903</f>
        <v>0</v>
      </c>
      <c r="AJ2902">
        <f>'raw data Crude oil'!AJ2903</f>
        <v>0</v>
      </c>
      <c r="AK2902">
        <f>'raw data Crude oil'!AK2903</f>
        <v>0</v>
      </c>
    </row>
    <row r="2903" spans="1:37" x14ac:dyDescent="0.3">
      <c r="A2903" s="18">
        <f>'raw data Crude oil'!A2904</f>
        <v>0</v>
      </c>
      <c r="B2903">
        <f>'raw data Crude oil'!B2904</f>
        <v>0</v>
      </c>
      <c r="C2903">
        <f>'raw data Crude oil'!C2904</f>
        <v>0</v>
      </c>
      <c r="D2903">
        <f>'raw data Crude oil'!D2904</f>
        <v>0</v>
      </c>
      <c r="E2903">
        <f>'raw data Crude oil'!E2904</f>
        <v>0</v>
      </c>
      <c r="F2903">
        <f>'raw data Crude oil'!F2904</f>
        <v>0</v>
      </c>
      <c r="G2903">
        <f>'raw data Crude oil'!G2904</f>
        <v>0</v>
      </c>
      <c r="H2903">
        <f>'raw data Crude oil'!H2904</f>
        <v>0</v>
      </c>
      <c r="I2903">
        <f>'raw data Crude oil'!I2904</f>
        <v>0</v>
      </c>
      <c r="J2903">
        <f>'raw data Crude oil'!J2904</f>
        <v>0</v>
      </c>
      <c r="K2903">
        <f>'raw data Crude oil'!K2904</f>
        <v>0</v>
      </c>
      <c r="L2903">
        <f>'raw data Crude oil'!L2904</f>
        <v>0</v>
      </c>
      <c r="M2903">
        <f>'raw data Crude oil'!M2904</f>
        <v>0</v>
      </c>
      <c r="N2903">
        <f>'raw data Crude oil'!N2904</f>
        <v>0</v>
      </c>
      <c r="O2903">
        <f>'raw data Crude oil'!O2904</f>
        <v>0</v>
      </c>
      <c r="P2903">
        <f>'raw data Crude oil'!P2904</f>
        <v>0</v>
      </c>
      <c r="Q2903">
        <f>'raw data Crude oil'!Q2904</f>
        <v>0</v>
      </c>
      <c r="R2903">
        <f>'raw data Crude oil'!R2904</f>
        <v>0</v>
      </c>
      <c r="S2903">
        <f>'raw data Crude oil'!S2904</f>
        <v>0</v>
      </c>
      <c r="T2903">
        <f>'raw data Crude oil'!T2904</f>
        <v>0</v>
      </c>
      <c r="U2903">
        <f>'raw data Crude oil'!U2904</f>
        <v>0</v>
      </c>
      <c r="V2903">
        <f>'raw data Crude oil'!V2904</f>
        <v>0</v>
      </c>
      <c r="W2903">
        <f>'raw data Crude oil'!W2904</f>
        <v>0</v>
      </c>
      <c r="X2903">
        <f>'raw data Crude oil'!X2904</f>
        <v>0</v>
      </c>
      <c r="Y2903">
        <f>'raw data Crude oil'!Y2904</f>
        <v>0</v>
      </c>
      <c r="Z2903">
        <f>'raw data Crude oil'!Z2904</f>
        <v>0</v>
      </c>
      <c r="AA2903">
        <f>'raw data Crude oil'!AA2904</f>
        <v>0</v>
      </c>
      <c r="AB2903">
        <f>'raw data Crude oil'!AB2904</f>
        <v>0</v>
      </c>
      <c r="AC2903">
        <f>'raw data Crude oil'!AC2904</f>
        <v>0</v>
      </c>
      <c r="AD2903">
        <f>'raw data Crude oil'!AD2904</f>
        <v>0</v>
      </c>
      <c r="AE2903">
        <f>'raw data Crude oil'!AE2904</f>
        <v>0</v>
      </c>
      <c r="AF2903">
        <f>'raw data Crude oil'!AF2904</f>
        <v>0</v>
      </c>
      <c r="AG2903">
        <f>'raw data Crude oil'!AG2904</f>
        <v>0</v>
      </c>
      <c r="AH2903">
        <f>'raw data Crude oil'!AH2904</f>
        <v>0</v>
      </c>
      <c r="AI2903">
        <f>'raw data Crude oil'!AI2904</f>
        <v>0</v>
      </c>
      <c r="AJ2903">
        <f>'raw data Crude oil'!AJ2904</f>
        <v>0</v>
      </c>
      <c r="AK2903">
        <f>'raw data Crude oil'!AK2904</f>
        <v>0</v>
      </c>
    </row>
    <row r="2904" spans="1:37" x14ac:dyDescent="0.3">
      <c r="A2904" s="18">
        <f>'raw data Crude oil'!A2905</f>
        <v>0</v>
      </c>
      <c r="B2904">
        <f>'raw data Crude oil'!B2905</f>
        <v>0</v>
      </c>
      <c r="C2904">
        <f>'raw data Crude oil'!C2905</f>
        <v>0</v>
      </c>
      <c r="D2904">
        <f>'raw data Crude oil'!D2905</f>
        <v>0</v>
      </c>
      <c r="E2904">
        <f>'raw data Crude oil'!E2905</f>
        <v>0</v>
      </c>
      <c r="F2904">
        <f>'raw data Crude oil'!F2905</f>
        <v>0</v>
      </c>
      <c r="G2904">
        <f>'raw data Crude oil'!G2905</f>
        <v>0</v>
      </c>
      <c r="H2904">
        <f>'raw data Crude oil'!H2905</f>
        <v>0</v>
      </c>
      <c r="I2904">
        <f>'raw data Crude oil'!I2905</f>
        <v>0</v>
      </c>
      <c r="J2904">
        <f>'raw data Crude oil'!J2905</f>
        <v>0</v>
      </c>
      <c r="K2904">
        <f>'raw data Crude oil'!K2905</f>
        <v>0</v>
      </c>
      <c r="L2904">
        <f>'raw data Crude oil'!L2905</f>
        <v>0</v>
      </c>
      <c r="M2904">
        <f>'raw data Crude oil'!M2905</f>
        <v>0</v>
      </c>
      <c r="N2904">
        <f>'raw data Crude oil'!N2905</f>
        <v>0</v>
      </c>
      <c r="O2904">
        <f>'raw data Crude oil'!O2905</f>
        <v>0</v>
      </c>
      <c r="P2904">
        <f>'raw data Crude oil'!P2905</f>
        <v>0</v>
      </c>
      <c r="Q2904">
        <f>'raw data Crude oil'!Q2905</f>
        <v>0</v>
      </c>
      <c r="R2904">
        <f>'raw data Crude oil'!R2905</f>
        <v>0</v>
      </c>
      <c r="S2904">
        <f>'raw data Crude oil'!S2905</f>
        <v>0</v>
      </c>
      <c r="T2904">
        <f>'raw data Crude oil'!T2905</f>
        <v>0</v>
      </c>
      <c r="U2904">
        <f>'raw data Crude oil'!U2905</f>
        <v>0</v>
      </c>
      <c r="V2904">
        <f>'raw data Crude oil'!V2905</f>
        <v>0</v>
      </c>
      <c r="W2904">
        <f>'raw data Crude oil'!W2905</f>
        <v>0</v>
      </c>
      <c r="X2904">
        <f>'raw data Crude oil'!X2905</f>
        <v>0</v>
      </c>
      <c r="Y2904">
        <f>'raw data Crude oil'!Y2905</f>
        <v>0</v>
      </c>
      <c r="Z2904">
        <f>'raw data Crude oil'!Z2905</f>
        <v>0</v>
      </c>
      <c r="AA2904">
        <f>'raw data Crude oil'!AA2905</f>
        <v>0</v>
      </c>
      <c r="AB2904">
        <f>'raw data Crude oil'!AB2905</f>
        <v>0</v>
      </c>
      <c r="AC2904">
        <f>'raw data Crude oil'!AC2905</f>
        <v>0</v>
      </c>
      <c r="AD2904">
        <f>'raw data Crude oil'!AD2905</f>
        <v>0</v>
      </c>
      <c r="AE2904">
        <f>'raw data Crude oil'!AE2905</f>
        <v>0</v>
      </c>
      <c r="AF2904">
        <f>'raw data Crude oil'!AF2905</f>
        <v>0</v>
      </c>
      <c r="AG2904">
        <f>'raw data Crude oil'!AG2905</f>
        <v>0</v>
      </c>
      <c r="AH2904">
        <f>'raw data Crude oil'!AH2905</f>
        <v>0</v>
      </c>
      <c r="AI2904">
        <f>'raw data Crude oil'!AI2905</f>
        <v>0</v>
      </c>
      <c r="AJ2904">
        <f>'raw data Crude oil'!AJ2905</f>
        <v>0</v>
      </c>
      <c r="AK2904">
        <f>'raw data Crude oil'!AK2905</f>
        <v>0</v>
      </c>
    </row>
    <row r="2905" spans="1:37" x14ac:dyDescent="0.3">
      <c r="A2905" s="18">
        <f>'raw data Crude oil'!A2906</f>
        <v>0</v>
      </c>
      <c r="B2905">
        <f>'raw data Crude oil'!B2906</f>
        <v>0</v>
      </c>
      <c r="C2905">
        <f>'raw data Crude oil'!C2906</f>
        <v>0</v>
      </c>
      <c r="D2905">
        <f>'raw data Crude oil'!D2906</f>
        <v>0</v>
      </c>
      <c r="E2905">
        <f>'raw data Crude oil'!E2906</f>
        <v>0</v>
      </c>
      <c r="F2905">
        <f>'raw data Crude oil'!F2906</f>
        <v>0</v>
      </c>
      <c r="G2905">
        <f>'raw data Crude oil'!G2906</f>
        <v>0</v>
      </c>
      <c r="H2905">
        <f>'raw data Crude oil'!H2906</f>
        <v>0</v>
      </c>
      <c r="I2905">
        <f>'raw data Crude oil'!I2906</f>
        <v>0</v>
      </c>
      <c r="J2905">
        <f>'raw data Crude oil'!J2906</f>
        <v>0</v>
      </c>
      <c r="K2905">
        <f>'raw data Crude oil'!K2906</f>
        <v>0</v>
      </c>
      <c r="L2905">
        <f>'raw data Crude oil'!L2906</f>
        <v>0</v>
      </c>
      <c r="M2905">
        <f>'raw data Crude oil'!M2906</f>
        <v>0</v>
      </c>
      <c r="N2905">
        <f>'raw data Crude oil'!N2906</f>
        <v>0</v>
      </c>
      <c r="O2905">
        <f>'raw data Crude oil'!O2906</f>
        <v>0</v>
      </c>
      <c r="P2905">
        <f>'raw data Crude oil'!P2906</f>
        <v>0</v>
      </c>
      <c r="Q2905">
        <f>'raw data Crude oil'!Q2906</f>
        <v>0</v>
      </c>
      <c r="R2905">
        <f>'raw data Crude oil'!R2906</f>
        <v>0</v>
      </c>
      <c r="S2905">
        <f>'raw data Crude oil'!S2906</f>
        <v>0</v>
      </c>
      <c r="T2905">
        <f>'raw data Crude oil'!T2906</f>
        <v>0</v>
      </c>
      <c r="U2905">
        <f>'raw data Crude oil'!U2906</f>
        <v>0</v>
      </c>
      <c r="V2905">
        <f>'raw data Crude oil'!V2906</f>
        <v>0</v>
      </c>
      <c r="W2905">
        <f>'raw data Crude oil'!W2906</f>
        <v>0</v>
      </c>
      <c r="X2905">
        <f>'raw data Crude oil'!X2906</f>
        <v>0</v>
      </c>
      <c r="Y2905">
        <f>'raw data Crude oil'!Y2906</f>
        <v>0</v>
      </c>
      <c r="Z2905">
        <f>'raw data Crude oil'!Z2906</f>
        <v>0</v>
      </c>
      <c r="AA2905">
        <f>'raw data Crude oil'!AA2906</f>
        <v>0</v>
      </c>
      <c r="AB2905">
        <f>'raw data Crude oil'!AB2906</f>
        <v>0</v>
      </c>
      <c r="AC2905">
        <f>'raw data Crude oil'!AC2906</f>
        <v>0</v>
      </c>
      <c r="AD2905">
        <f>'raw data Crude oil'!AD2906</f>
        <v>0</v>
      </c>
      <c r="AE2905">
        <f>'raw data Crude oil'!AE2906</f>
        <v>0</v>
      </c>
      <c r="AF2905">
        <f>'raw data Crude oil'!AF2906</f>
        <v>0</v>
      </c>
      <c r="AG2905">
        <f>'raw data Crude oil'!AG2906</f>
        <v>0</v>
      </c>
      <c r="AH2905">
        <f>'raw data Crude oil'!AH2906</f>
        <v>0</v>
      </c>
      <c r="AI2905">
        <f>'raw data Crude oil'!AI2906</f>
        <v>0</v>
      </c>
      <c r="AJ2905">
        <f>'raw data Crude oil'!AJ2906</f>
        <v>0</v>
      </c>
      <c r="AK2905">
        <f>'raw data Crude oil'!AK2906</f>
        <v>0</v>
      </c>
    </row>
    <row r="2906" spans="1:37" x14ac:dyDescent="0.3">
      <c r="A2906" s="18">
        <f>'raw data Crude oil'!A2907</f>
        <v>0</v>
      </c>
      <c r="B2906">
        <f>'raw data Crude oil'!B2907</f>
        <v>0</v>
      </c>
      <c r="C2906">
        <f>'raw data Crude oil'!C2907</f>
        <v>0</v>
      </c>
      <c r="D2906">
        <f>'raw data Crude oil'!D2907</f>
        <v>0</v>
      </c>
      <c r="E2906">
        <f>'raw data Crude oil'!E2907</f>
        <v>0</v>
      </c>
      <c r="F2906">
        <f>'raw data Crude oil'!F2907</f>
        <v>0</v>
      </c>
      <c r="G2906">
        <f>'raw data Crude oil'!G2907</f>
        <v>0</v>
      </c>
      <c r="H2906">
        <f>'raw data Crude oil'!H2907</f>
        <v>0</v>
      </c>
      <c r="I2906">
        <f>'raw data Crude oil'!I2907</f>
        <v>0</v>
      </c>
      <c r="J2906">
        <f>'raw data Crude oil'!J2907</f>
        <v>0</v>
      </c>
      <c r="K2906">
        <f>'raw data Crude oil'!K2907</f>
        <v>0</v>
      </c>
      <c r="L2906">
        <f>'raw data Crude oil'!L2907</f>
        <v>0</v>
      </c>
      <c r="M2906">
        <f>'raw data Crude oil'!M2907</f>
        <v>0</v>
      </c>
      <c r="N2906">
        <f>'raw data Crude oil'!N2907</f>
        <v>0</v>
      </c>
      <c r="O2906">
        <f>'raw data Crude oil'!O2907</f>
        <v>0</v>
      </c>
      <c r="P2906">
        <f>'raw data Crude oil'!P2907</f>
        <v>0</v>
      </c>
      <c r="Q2906">
        <f>'raw data Crude oil'!Q2907</f>
        <v>0</v>
      </c>
      <c r="R2906">
        <f>'raw data Crude oil'!R2907</f>
        <v>0</v>
      </c>
      <c r="S2906">
        <f>'raw data Crude oil'!S2907</f>
        <v>0</v>
      </c>
      <c r="T2906">
        <f>'raw data Crude oil'!T2907</f>
        <v>0</v>
      </c>
      <c r="U2906">
        <f>'raw data Crude oil'!U2907</f>
        <v>0</v>
      </c>
      <c r="V2906">
        <f>'raw data Crude oil'!V2907</f>
        <v>0</v>
      </c>
      <c r="W2906">
        <f>'raw data Crude oil'!W2907</f>
        <v>0</v>
      </c>
      <c r="X2906">
        <f>'raw data Crude oil'!X2907</f>
        <v>0</v>
      </c>
      <c r="Y2906">
        <f>'raw data Crude oil'!Y2907</f>
        <v>0</v>
      </c>
      <c r="Z2906">
        <f>'raw data Crude oil'!Z2907</f>
        <v>0</v>
      </c>
      <c r="AA2906">
        <f>'raw data Crude oil'!AA2907</f>
        <v>0</v>
      </c>
      <c r="AB2906">
        <f>'raw data Crude oil'!AB2907</f>
        <v>0</v>
      </c>
      <c r="AC2906">
        <f>'raw data Crude oil'!AC2907</f>
        <v>0</v>
      </c>
      <c r="AD2906">
        <f>'raw data Crude oil'!AD2907</f>
        <v>0</v>
      </c>
      <c r="AE2906">
        <f>'raw data Crude oil'!AE2907</f>
        <v>0</v>
      </c>
      <c r="AF2906">
        <f>'raw data Crude oil'!AF2907</f>
        <v>0</v>
      </c>
      <c r="AG2906">
        <f>'raw data Crude oil'!AG2907</f>
        <v>0</v>
      </c>
      <c r="AH2906">
        <f>'raw data Crude oil'!AH2907</f>
        <v>0</v>
      </c>
      <c r="AI2906">
        <f>'raw data Crude oil'!AI2907</f>
        <v>0</v>
      </c>
      <c r="AJ2906">
        <f>'raw data Crude oil'!AJ2907</f>
        <v>0</v>
      </c>
      <c r="AK2906">
        <f>'raw data Crude oil'!AK2907</f>
        <v>0</v>
      </c>
    </row>
    <row r="2907" spans="1:37" x14ac:dyDescent="0.3">
      <c r="A2907" s="18">
        <f>'raw data Crude oil'!A2908</f>
        <v>0</v>
      </c>
      <c r="B2907">
        <f>'raw data Crude oil'!B2908</f>
        <v>0</v>
      </c>
      <c r="C2907">
        <f>'raw data Crude oil'!C2908</f>
        <v>0</v>
      </c>
      <c r="D2907">
        <f>'raw data Crude oil'!D2908</f>
        <v>0</v>
      </c>
      <c r="E2907">
        <f>'raw data Crude oil'!E2908</f>
        <v>0</v>
      </c>
      <c r="F2907">
        <f>'raw data Crude oil'!F2908</f>
        <v>0</v>
      </c>
      <c r="G2907">
        <f>'raw data Crude oil'!G2908</f>
        <v>0</v>
      </c>
      <c r="H2907">
        <f>'raw data Crude oil'!H2908</f>
        <v>0</v>
      </c>
      <c r="I2907">
        <f>'raw data Crude oil'!I2908</f>
        <v>0</v>
      </c>
      <c r="J2907">
        <f>'raw data Crude oil'!J2908</f>
        <v>0</v>
      </c>
      <c r="K2907">
        <f>'raw data Crude oil'!K2908</f>
        <v>0</v>
      </c>
      <c r="L2907">
        <f>'raw data Crude oil'!L2908</f>
        <v>0</v>
      </c>
      <c r="M2907">
        <f>'raw data Crude oil'!M2908</f>
        <v>0</v>
      </c>
      <c r="N2907">
        <f>'raw data Crude oil'!N2908</f>
        <v>0</v>
      </c>
      <c r="O2907">
        <f>'raw data Crude oil'!O2908</f>
        <v>0</v>
      </c>
      <c r="P2907">
        <f>'raw data Crude oil'!P2908</f>
        <v>0</v>
      </c>
      <c r="Q2907">
        <f>'raw data Crude oil'!Q2908</f>
        <v>0</v>
      </c>
      <c r="R2907">
        <f>'raw data Crude oil'!R2908</f>
        <v>0</v>
      </c>
      <c r="S2907">
        <f>'raw data Crude oil'!S2908</f>
        <v>0</v>
      </c>
      <c r="T2907">
        <f>'raw data Crude oil'!T2908</f>
        <v>0</v>
      </c>
      <c r="U2907">
        <f>'raw data Crude oil'!U2908</f>
        <v>0</v>
      </c>
      <c r="V2907">
        <f>'raw data Crude oil'!V2908</f>
        <v>0</v>
      </c>
      <c r="W2907">
        <f>'raw data Crude oil'!W2908</f>
        <v>0</v>
      </c>
      <c r="X2907">
        <f>'raw data Crude oil'!X2908</f>
        <v>0</v>
      </c>
      <c r="Y2907">
        <f>'raw data Crude oil'!Y2908</f>
        <v>0</v>
      </c>
      <c r="Z2907">
        <f>'raw data Crude oil'!Z2908</f>
        <v>0</v>
      </c>
      <c r="AA2907">
        <f>'raw data Crude oil'!AA2908</f>
        <v>0</v>
      </c>
      <c r="AB2907">
        <f>'raw data Crude oil'!AB2908</f>
        <v>0</v>
      </c>
      <c r="AC2907">
        <f>'raw data Crude oil'!AC2908</f>
        <v>0</v>
      </c>
      <c r="AD2907">
        <f>'raw data Crude oil'!AD2908</f>
        <v>0</v>
      </c>
      <c r="AE2907">
        <f>'raw data Crude oil'!AE2908</f>
        <v>0</v>
      </c>
      <c r="AF2907">
        <f>'raw data Crude oil'!AF2908</f>
        <v>0</v>
      </c>
      <c r="AG2907">
        <f>'raw data Crude oil'!AG2908</f>
        <v>0</v>
      </c>
      <c r="AH2907">
        <f>'raw data Crude oil'!AH2908</f>
        <v>0</v>
      </c>
      <c r="AI2907">
        <f>'raw data Crude oil'!AI2908</f>
        <v>0</v>
      </c>
      <c r="AJ2907">
        <f>'raw data Crude oil'!AJ2908</f>
        <v>0</v>
      </c>
      <c r="AK2907">
        <f>'raw data Crude oil'!AK2908</f>
        <v>0</v>
      </c>
    </row>
    <row r="2908" spans="1:37" x14ac:dyDescent="0.3">
      <c r="A2908" s="18">
        <f>'raw data Crude oil'!A2909</f>
        <v>0</v>
      </c>
      <c r="B2908">
        <f>'raw data Crude oil'!B2909</f>
        <v>0</v>
      </c>
      <c r="C2908">
        <f>'raw data Crude oil'!C2909</f>
        <v>0</v>
      </c>
      <c r="D2908">
        <f>'raw data Crude oil'!D2909</f>
        <v>0</v>
      </c>
      <c r="E2908">
        <f>'raw data Crude oil'!E2909</f>
        <v>0</v>
      </c>
      <c r="F2908">
        <f>'raw data Crude oil'!F2909</f>
        <v>0</v>
      </c>
      <c r="G2908">
        <f>'raw data Crude oil'!G2909</f>
        <v>0</v>
      </c>
      <c r="H2908">
        <f>'raw data Crude oil'!H2909</f>
        <v>0</v>
      </c>
      <c r="I2908">
        <f>'raw data Crude oil'!I2909</f>
        <v>0</v>
      </c>
      <c r="J2908">
        <f>'raw data Crude oil'!J2909</f>
        <v>0</v>
      </c>
      <c r="K2908">
        <f>'raw data Crude oil'!K2909</f>
        <v>0</v>
      </c>
      <c r="L2908">
        <f>'raw data Crude oil'!L2909</f>
        <v>0</v>
      </c>
      <c r="M2908">
        <f>'raw data Crude oil'!M2909</f>
        <v>0</v>
      </c>
      <c r="N2908">
        <f>'raw data Crude oil'!N2909</f>
        <v>0</v>
      </c>
      <c r="O2908">
        <f>'raw data Crude oil'!O2909</f>
        <v>0</v>
      </c>
      <c r="P2908">
        <f>'raw data Crude oil'!P2909</f>
        <v>0</v>
      </c>
      <c r="Q2908">
        <f>'raw data Crude oil'!Q2909</f>
        <v>0</v>
      </c>
      <c r="R2908">
        <f>'raw data Crude oil'!R2909</f>
        <v>0</v>
      </c>
      <c r="S2908">
        <f>'raw data Crude oil'!S2909</f>
        <v>0</v>
      </c>
      <c r="T2908">
        <f>'raw data Crude oil'!T2909</f>
        <v>0</v>
      </c>
      <c r="U2908">
        <f>'raw data Crude oil'!U2909</f>
        <v>0</v>
      </c>
      <c r="V2908">
        <f>'raw data Crude oil'!V2909</f>
        <v>0</v>
      </c>
      <c r="W2908">
        <f>'raw data Crude oil'!W2909</f>
        <v>0</v>
      </c>
      <c r="X2908">
        <f>'raw data Crude oil'!X2909</f>
        <v>0</v>
      </c>
      <c r="Y2908">
        <f>'raw data Crude oil'!Y2909</f>
        <v>0</v>
      </c>
      <c r="Z2908">
        <f>'raw data Crude oil'!Z2909</f>
        <v>0</v>
      </c>
      <c r="AA2908">
        <f>'raw data Crude oil'!AA2909</f>
        <v>0</v>
      </c>
      <c r="AB2908">
        <f>'raw data Crude oil'!AB2909</f>
        <v>0</v>
      </c>
      <c r="AC2908">
        <f>'raw data Crude oil'!AC2909</f>
        <v>0</v>
      </c>
      <c r="AD2908">
        <f>'raw data Crude oil'!AD2909</f>
        <v>0</v>
      </c>
      <c r="AE2908">
        <f>'raw data Crude oil'!AE2909</f>
        <v>0</v>
      </c>
      <c r="AF2908">
        <f>'raw data Crude oil'!AF2909</f>
        <v>0</v>
      </c>
      <c r="AG2908">
        <f>'raw data Crude oil'!AG2909</f>
        <v>0</v>
      </c>
      <c r="AH2908">
        <f>'raw data Crude oil'!AH2909</f>
        <v>0</v>
      </c>
      <c r="AI2908">
        <f>'raw data Crude oil'!AI2909</f>
        <v>0</v>
      </c>
      <c r="AJ2908">
        <f>'raw data Crude oil'!AJ2909</f>
        <v>0</v>
      </c>
      <c r="AK2908">
        <f>'raw data Crude oil'!AK2909</f>
        <v>0</v>
      </c>
    </row>
    <row r="2909" spans="1:37" x14ac:dyDescent="0.3">
      <c r="A2909" s="18">
        <f>'raw data Crude oil'!A2910</f>
        <v>0</v>
      </c>
      <c r="B2909">
        <f>'raw data Crude oil'!B2910</f>
        <v>0</v>
      </c>
      <c r="C2909">
        <f>'raw data Crude oil'!C2910</f>
        <v>0</v>
      </c>
      <c r="D2909">
        <f>'raw data Crude oil'!D2910</f>
        <v>0</v>
      </c>
      <c r="E2909">
        <f>'raw data Crude oil'!E2910</f>
        <v>0</v>
      </c>
      <c r="F2909">
        <f>'raw data Crude oil'!F2910</f>
        <v>0</v>
      </c>
      <c r="G2909">
        <f>'raw data Crude oil'!G2910</f>
        <v>0</v>
      </c>
      <c r="H2909">
        <f>'raw data Crude oil'!H2910</f>
        <v>0</v>
      </c>
      <c r="I2909">
        <f>'raw data Crude oil'!I2910</f>
        <v>0</v>
      </c>
      <c r="J2909">
        <f>'raw data Crude oil'!J2910</f>
        <v>0</v>
      </c>
      <c r="K2909">
        <f>'raw data Crude oil'!K2910</f>
        <v>0</v>
      </c>
      <c r="L2909">
        <f>'raw data Crude oil'!L2910</f>
        <v>0</v>
      </c>
      <c r="M2909">
        <f>'raw data Crude oil'!M2910</f>
        <v>0</v>
      </c>
      <c r="N2909">
        <f>'raw data Crude oil'!N2910</f>
        <v>0</v>
      </c>
      <c r="O2909">
        <f>'raw data Crude oil'!O2910</f>
        <v>0</v>
      </c>
      <c r="P2909">
        <f>'raw data Crude oil'!P2910</f>
        <v>0</v>
      </c>
      <c r="Q2909">
        <f>'raw data Crude oil'!Q2910</f>
        <v>0</v>
      </c>
      <c r="R2909">
        <f>'raw data Crude oil'!R2910</f>
        <v>0</v>
      </c>
      <c r="S2909">
        <f>'raw data Crude oil'!S2910</f>
        <v>0</v>
      </c>
      <c r="T2909">
        <f>'raw data Crude oil'!T2910</f>
        <v>0</v>
      </c>
      <c r="U2909">
        <f>'raw data Crude oil'!U2910</f>
        <v>0</v>
      </c>
      <c r="V2909">
        <f>'raw data Crude oil'!V2910</f>
        <v>0</v>
      </c>
      <c r="W2909">
        <f>'raw data Crude oil'!W2910</f>
        <v>0</v>
      </c>
      <c r="X2909">
        <f>'raw data Crude oil'!X2910</f>
        <v>0</v>
      </c>
      <c r="Y2909">
        <f>'raw data Crude oil'!Y2910</f>
        <v>0</v>
      </c>
      <c r="Z2909">
        <f>'raw data Crude oil'!Z2910</f>
        <v>0</v>
      </c>
      <c r="AA2909">
        <f>'raw data Crude oil'!AA2910</f>
        <v>0</v>
      </c>
      <c r="AB2909">
        <f>'raw data Crude oil'!AB2910</f>
        <v>0</v>
      </c>
      <c r="AC2909">
        <f>'raw data Crude oil'!AC2910</f>
        <v>0</v>
      </c>
      <c r="AD2909">
        <f>'raw data Crude oil'!AD2910</f>
        <v>0</v>
      </c>
      <c r="AE2909">
        <f>'raw data Crude oil'!AE2910</f>
        <v>0</v>
      </c>
      <c r="AF2909">
        <f>'raw data Crude oil'!AF2910</f>
        <v>0</v>
      </c>
      <c r="AG2909">
        <f>'raw data Crude oil'!AG2910</f>
        <v>0</v>
      </c>
      <c r="AH2909">
        <f>'raw data Crude oil'!AH2910</f>
        <v>0</v>
      </c>
      <c r="AI2909">
        <f>'raw data Crude oil'!AI2910</f>
        <v>0</v>
      </c>
      <c r="AJ2909">
        <f>'raw data Crude oil'!AJ2910</f>
        <v>0</v>
      </c>
      <c r="AK2909">
        <f>'raw data Crude oil'!AK2910</f>
        <v>0</v>
      </c>
    </row>
    <row r="2910" spans="1:37" x14ac:dyDescent="0.3">
      <c r="A2910" s="18">
        <f>'raw data Crude oil'!A2911</f>
        <v>0</v>
      </c>
      <c r="B2910">
        <f>'raw data Crude oil'!B2911</f>
        <v>0</v>
      </c>
      <c r="C2910">
        <f>'raw data Crude oil'!C2911</f>
        <v>0</v>
      </c>
      <c r="D2910">
        <f>'raw data Crude oil'!D2911</f>
        <v>0</v>
      </c>
      <c r="E2910">
        <f>'raw data Crude oil'!E2911</f>
        <v>0</v>
      </c>
      <c r="F2910">
        <f>'raw data Crude oil'!F2911</f>
        <v>0</v>
      </c>
      <c r="G2910">
        <f>'raw data Crude oil'!G2911</f>
        <v>0</v>
      </c>
      <c r="H2910">
        <f>'raw data Crude oil'!H2911</f>
        <v>0</v>
      </c>
      <c r="I2910">
        <f>'raw data Crude oil'!I2911</f>
        <v>0</v>
      </c>
      <c r="J2910">
        <f>'raw data Crude oil'!J2911</f>
        <v>0</v>
      </c>
      <c r="K2910">
        <f>'raw data Crude oil'!K2911</f>
        <v>0</v>
      </c>
      <c r="L2910">
        <f>'raw data Crude oil'!L2911</f>
        <v>0</v>
      </c>
      <c r="M2910">
        <f>'raw data Crude oil'!M2911</f>
        <v>0</v>
      </c>
      <c r="N2910">
        <f>'raw data Crude oil'!N2911</f>
        <v>0</v>
      </c>
      <c r="O2910">
        <f>'raw data Crude oil'!O2911</f>
        <v>0</v>
      </c>
      <c r="P2910">
        <f>'raw data Crude oil'!P2911</f>
        <v>0</v>
      </c>
      <c r="Q2910">
        <f>'raw data Crude oil'!Q2911</f>
        <v>0</v>
      </c>
      <c r="R2910">
        <f>'raw data Crude oil'!R2911</f>
        <v>0</v>
      </c>
      <c r="S2910">
        <f>'raw data Crude oil'!S2911</f>
        <v>0</v>
      </c>
      <c r="T2910">
        <f>'raw data Crude oil'!T2911</f>
        <v>0</v>
      </c>
      <c r="U2910">
        <f>'raw data Crude oil'!U2911</f>
        <v>0</v>
      </c>
      <c r="V2910">
        <f>'raw data Crude oil'!V2911</f>
        <v>0</v>
      </c>
      <c r="W2910">
        <f>'raw data Crude oil'!W2911</f>
        <v>0</v>
      </c>
      <c r="X2910">
        <f>'raw data Crude oil'!X2911</f>
        <v>0</v>
      </c>
      <c r="Y2910">
        <f>'raw data Crude oil'!Y2911</f>
        <v>0</v>
      </c>
      <c r="Z2910">
        <f>'raw data Crude oil'!Z2911</f>
        <v>0</v>
      </c>
      <c r="AA2910">
        <f>'raw data Crude oil'!AA2911</f>
        <v>0</v>
      </c>
      <c r="AB2910">
        <f>'raw data Crude oil'!AB2911</f>
        <v>0</v>
      </c>
      <c r="AC2910">
        <f>'raw data Crude oil'!AC2911</f>
        <v>0</v>
      </c>
      <c r="AD2910">
        <f>'raw data Crude oil'!AD2911</f>
        <v>0</v>
      </c>
      <c r="AE2910">
        <f>'raw data Crude oil'!AE2911</f>
        <v>0</v>
      </c>
      <c r="AF2910">
        <f>'raw data Crude oil'!AF2911</f>
        <v>0</v>
      </c>
      <c r="AG2910">
        <f>'raw data Crude oil'!AG2911</f>
        <v>0</v>
      </c>
      <c r="AH2910">
        <f>'raw data Crude oil'!AH2911</f>
        <v>0</v>
      </c>
      <c r="AI2910">
        <f>'raw data Crude oil'!AI2911</f>
        <v>0</v>
      </c>
      <c r="AJ2910">
        <f>'raw data Crude oil'!AJ2911</f>
        <v>0</v>
      </c>
      <c r="AK2910">
        <f>'raw data Crude oil'!AK2911</f>
        <v>0</v>
      </c>
    </row>
    <row r="2911" spans="1:37" x14ac:dyDescent="0.3">
      <c r="A2911" s="18">
        <f>'raw data Crude oil'!A2912</f>
        <v>0</v>
      </c>
      <c r="B2911">
        <f>'raw data Crude oil'!B2912</f>
        <v>0</v>
      </c>
      <c r="C2911">
        <f>'raw data Crude oil'!C2912</f>
        <v>0</v>
      </c>
      <c r="D2911">
        <f>'raw data Crude oil'!D2912</f>
        <v>0</v>
      </c>
      <c r="E2911">
        <f>'raw data Crude oil'!E2912</f>
        <v>0</v>
      </c>
      <c r="F2911">
        <f>'raw data Crude oil'!F2912</f>
        <v>0</v>
      </c>
      <c r="G2911">
        <f>'raw data Crude oil'!G2912</f>
        <v>0</v>
      </c>
      <c r="H2911">
        <f>'raw data Crude oil'!H2912</f>
        <v>0</v>
      </c>
      <c r="I2911">
        <f>'raw data Crude oil'!I2912</f>
        <v>0</v>
      </c>
      <c r="J2911">
        <f>'raw data Crude oil'!J2912</f>
        <v>0</v>
      </c>
      <c r="K2911">
        <f>'raw data Crude oil'!K2912</f>
        <v>0</v>
      </c>
      <c r="L2911">
        <f>'raw data Crude oil'!L2912</f>
        <v>0</v>
      </c>
      <c r="M2911">
        <f>'raw data Crude oil'!M2912</f>
        <v>0</v>
      </c>
      <c r="N2911">
        <f>'raw data Crude oil'!N2912</f>
        <v>0</v>
      </c>
      <c r="O2911">
        <f>'raw data Crude oil'!O2912</f>
        <v>0</v>
      </c>
      <c r="P2911">
        <f>'raw data Crude oil'!P2912</f>
        <v>0</v>
      </c>
      <c r="Q2911">
        <f>'raw data Crude oil'!Q2912</f>
        <v>0</v>
      </c>
      <c r="R2911">
        <f>'raw data Crude oil'!R2912</f>
        <v>0</v>
      </c>
      <c r="S2911">
        <f>'raw data Crude oil'!S2912</f>
        <v>0</v>
      </c>
      <c r="T2911">
        <f>'raw data Crude oil'!T2912</f>
        <v>0</v>
      </c>
      <c r="U2911">
        <f>'raw data Crude oil'!U2912</f>
        <v>0</v>
      </c>
      <c r="V2911">
        <f>'raw data Crude oil'!V2912</f>
        <v>0</v>
      </c>
      <c r="W2911">
        <f>'raw data Crude oil'!W2912</f>
        <v>0</v>
      </c>
      <c r="X2911">
        <f>'raw data Crude oil'!X2912</f>
        <v>0</v>
      </c>
      <c r="Y2911">
        <f>'raw data Crude oil'!Y2912</f>
        <v>0</v>
      </c>
      <c r="Z2911">
        <f>'raw data Crude oil'!Z2912</f>
        <v>0</v>
      </c>
      <c r="AA2911">
        <f>'raw data Crude oil'!AA2912</f>
        <v>0</v>
      </c>
      <c r="AB2911">
        <f>'raw data Crude oil'!AB2912</f>
        <v>0</v>
      </c>
      <c r="AC2911">
        <f>'raw data Crude oil'!AC2912</f>
        <v>0</v>
      </c>
      <c r="AD2911">
        <f>'raw data Crude oil'!AD2912</f>
        <v>0</v>
      </c>
      <c r="AE2911">
        <f>'raw data Crude oil'!AE2912</f>
        <v>0</v>
      </c>
      <c r="AF2911">
        <f>'raw data Crude oil'!AF2912</f>
        <v>0</v>
      </c>
      <c r="AG2911">
        <f>'raw data Crude oil'!AG2912</f>
        <v>0</v>
      </c>
      <c r="AH2911">
        <f>'raw data Crude oil'!AH2912</f>
        <v>0</v>
      </c>
      <c r="AI2911">
        <f>'raw data Crude oil'!AI2912</f>
        <v>0</v>
      </c>
      <c r="AJ2911">
        <f>'raw data Crude oil'!AJ2912</f>
        <v>0</v>
      </c>
      <c r="AK2911">
        <f>'raw data Crude oil'!AK2912</f>
        <v>0</v>
      </c>
    </row>
    <row r="2912" spans="1:37" x14ac:dyDescent="0.3">
      <c r="A2912" s="18">
        <f>'raw data Crude oil'!A2913</f>
        <v>0</v>
      </c>
      <c r="B2912">
        <f>'raw data Crude oil'!B2913</f>
        <v>0</v>
      </c>
      <c r="C2912">
        <f>'raw data Crude oil'!C2913</f>
        <v>0</v>
      </c>
      <c r="D2912">
        <f>'raw data Crude oil'!D2913</f>
        <v>0</v>
      </c>
      <c r="E2912">
        <f>'raw data Crude oil'!E2913</f>
        <v>0</v>
      </c>
      <c r="F2912">
        <f>'raw data Crude oil'!F2913</f>
        <v>0</v>
      </c>
      <c r="G2912">
        <f>'raw data Crude oil'!G2913</f>
        <v>0</v>
      </c>
      <c r="H2912">
        <f>'raw data Crude oil'!H2913</f>
        <v>0</v>
      </c>
      <c r="I2912">
        <f>'raw data Crude oil'!I2913</f>
        <v>0</v>
      </c>
      <c r="J2912">
        <f>'raw data Crude oil'!J2913</f>
        <v>0</v>
      </c>
      <c r="K2912">
        <f>'raw data Crude oil'!K2913</f>
        <v>0</v>
      </c>
      <c r="L2912">
        <f>'raw data Crude oil'!L2913</f>
        <v>0</v>
      </c>
      <c r="M2912">
        <f>'raw data Crude oil'!M2913</f>
        <v>0</v>
      </c>
      <c r="N2912">
        <f>'raw data Crude oil'!N2913</f>
        <v>0</v>
      </c>
      <c r="O2912">
        <f>'raw data Crude oil'!O2913</f>
        <v>0</v>
      </c>
      <c r="P2912">
        <f>'raw data Crude oil'!P2913</f>
        <v>0</v>
      </c>
      <c r="Q2912">
        <f>'raw data Crude oil'!Q2913</f>
        <v>0</v>
      </c>
      <c r="R2912">
        <f>'raw data Crude oil'!R2913</f>
        <v>0</v>
      </c>
      <c r="S2912">
        <f>'raw data Crude oil'!S2913</f>
        <v>0</v>
      </c>
      <c r="T2912">
        <f>'raw data Crude oil'!T2913</f>
        <v>0</v>
      </c>
      <c r="U2912">
        <f>'raw data Crude oil'!U2913</f>
        <v>0</v>
      </c>
      <c r="V2912">
        <f>'raw data Crude oil'!V2913</f>
        <v>0</v>
      </c>
      <c r="W2912">
        <f>'raw data Crude oil'!W2913</f>
        <v>0</v>
      </c>
      <c r="X2912">
        <f>'raw data Crude oil'!X2913</f>
        <v>0</v>
      </c>
      <c r="Y2912">
        <f>'raw data Crude oil'!Y2913</f>
        <v>0</v>
      </c>
      <c r="Z2912">
        <f>'raw data Crude oil'!Z2913</f>
        <v>0</v>
      </c>
      <c r="AA2912">
        <f>'raw data Crude oil'!AA2913</f>
        <v>0</v>
      </c>
      <c r="AB2912">
        <f>'raw data Crude oil'!AB2913</f>
        <v>0</v>
      </c>
      <c r="AC2912">
        <f>'raw data Crude oil'!AC2913</f>
        <v>0</v>
      </c>
      <c r="AD2912">
        <f>'raw data Crude oil'!AD2913</f>
        <v>0</v>
      </c>
      <c r="AE2912">
        <f>'raw data Crude oil'!AE2913</f>
        <v>0</v>
      </c>
      <c r="AF2912">
        <f>'raw data Crude oil'!AF2913</f>
        <v>0</v>
      </c>
      <c r="AG2912">
        <f>'raw data Crude oil'!AG2913</f>
        <v>0</v>
      </c>
      <c r="AH2912">
        <f>'raw data Crude oil'!AH2913</f>
        <v>0</v>
      </c>
      <c r="AI2912">
        <f>'raw data Crude oil'!AI2913</f>
        <v>0</v>
      </c>
      <c r="AJ2912">
        <f>'raw data Crude oil'!AJ2913</f>
        <v>0</v>
      </c>
      <c r="AK2912">
        <f>'raw data Crude oil'!AK2913</f>
        <v>0</v>
      </c>
    </row>
    <row r="2913" spans="1:37" x14ac:dyDescent="0.3">
      <c r="A2913" s="18">
        <f>'raw data Crude oil'!A2914</f>
        <v>0</v>
      </c>
      <c r="B2913">
        <f>'raw data Crude oil'!B2914</f>
        <v>0</v>
      </c>
      <c r="C2913">
        <f>'raw data Crude oil'!C2914</f>
        <v>0</v>
      </c>
      <c r="D2913">
        <f>'raw data Crude oil'!D2914</f>
        <v>0</v>
      </c>
      <c r="E2913">
        <f>'raw data Crude oil'!E2914</f>
        <v>0</v>
      </c>
      <c r="F2913">
        <f>'raw data Crude oil'!F2914</f>
        <v>0</v>
      </c>
      <c r="G2913">
        <f>'raw data Crude oil'!G2914</f>
        <v>0</v>
      </c>
      <c r="H2913">
        <f>'raw data Crude oil'!H2914</f>
        <v>0</v>
      </c>
      <c r="I2913">
        <f>'raw data Crude oil'!I2914</f>
        <v>0</v>
      </c>
      <c r="J2913">
        <f>'raw data Crude oil'!J2914</f>
        <v>0</v>
      </c>
      <c r="K2913">
        <f>'raw data Crude oil'!K2914</f>
        <v>0</v>
      </c>
      <c r="L2913">
        <f>'raw data Crude oil'!L2914</f>
        <v>0</v>
      </c>
      <c r="M2913">
        <f>'raw data Crude oil'!M2914</f>
        <v>0</v>
      </c>
      <c r="N2913">
        <f>'raw data Crude oil'!N2914</f>
        <v>0</v>
      </c>
      <c r="O2913">
        <f>'raw data Crude oil'!O2914</f>
        <v>0</v>
      </c>
      <c r="P2913">
        <f>'raw data Crude oil'!P2914</f>
        <v>0</v>
      </c>
      <c r="Q2913">
        <f>'raw data Crude oil'!Q2914</f>
        <v>0</v>
      </c>
      <c r="R2913">
        <f>'raw data Crude oil'!R2914</f>
        <v>0</v>
      </c>
      <c r="S2913">
        <f>'raw data Crude oil'!S2914</f>
        <v>0</v>
      </c>
      <c r="T2913">
        <f>'raw data Crude oil'!T2914</f>
        <v>0</v>
      </c>
      <c r="U2913">
        <f>'raw data Crude oil'!U2914</f>
        <v>0</v>
      </c>
      <c r="V2913">
        <f>'raw data Crude oil'!V2914</f>
        <v>0</v>
      </c>
      <c r="W2913">
        <f>'raw data Crude oil'!W2914</f>
        <v>0</v>
      </c>
      <c r="X2913">
        <f>'raw data Crude oil'!X2914</f>
        <v>0</v>
      </c>
      <c r="Y2913">
        <f>'raw data Crude oil'!Y2914</f>
        <v>0</v>
      </c>
      <c r="Z2913">
        <f>'raw data Crude oil'!Z2914</f>
        <v>0</v>
      </c>
      <c r="AA2913">
        <f>'raw data Crude oil'!AA2914</f>
        <v>0</v>
      </c>
      <c r="AB2913">
        <f>'raw data Crude oil'!AB2914</f>
        <v>0</v>
      </c>
      <c r="AC2913">
        <f>'raw data Crude oil'!AC2914</f>
        <v>0</v>
      </c>
      <c r="AD2913">
        <f>'raw data Crude oil'!AD2914</f>
        <v>0</v>
      </c>
      <c r="AE2913">
        <f>'raw data Crude oil'!AE2914</f>
        <v>0</v>
      </c>
      <c r="AF2913">
        <f>'raw data Crude oil'!AF2914</f>
        <v>0</v>
      </c>
      <c r="AG2913">
        <f>'raw data Crude oil'!AG2914</f>
        <v>0</v>
      </c>
      <c r="AH2913">
        <f>'raw data Crude oil'!AH2914</f>
        <v>0</v>
      </c>
      <c r="AI2913">
        <f>'raw data Crude oil'!AI2914</f>
        <v>0</v>
      </c>
      <c r="AJ2913">
        <f>'raw data Crude oil'!AJ2914</f>
        <v>0</v>
      </c>
      <c r="AK2913">
        <f>'raw data Crude oil'!AK2914</f>
        <v>0</v>
      </c>
    </row>
    <row r="2914" spans="1:37" x14ac:dyDescent="0.3">
      <c r="A2914" s="18">
        <f>'raw data Crude oil'!A2915</f>
        <v>0</v>
      </c>
      <c r="B2914">
        <f>'raw data Crude oil'!B2915</f>
        <v>0</v>
      </c>
      <c r="C2914">
        <f>'raw data Crude oil'!C2915</f>
        <v>0</v>
      </c>
      <c r="D2914">
        <f>'raw data Crude oil'!D2915</f>
        <v>0</v>
      </c>
      <c r="E2914">
        <f>'raw data Crude oil'!E2915</f>
        <v>0</v>
      </c>
      <c r="F2914">
        <f>'raw data Crude oil'!F2915</f>
        <v>0</v>
      </c>
      <c r="G2914">
        <f>'raw data Crude oil'!G2915</f>
        <v>0</v>
      </c>
      <c r="H2914">
        <f>'raw data Crude oil'!H2915</f>
        <v>0</v>
      </c>
      <c r="I2914">
        <f>'raw data Crude oil'!I2915</f>
        <v>0</v>
      </c>
      <c r="J2914">
        <f>'raw data Crude oil'!J2915</f>
        <v>0</v>
      </c>
      <c r="K2914">
        <f>'raw data Crude oil'!K2915</f>
        <v>0</v>
      </c>
      <c r="L2914">
        <f>'raw data Crude oil'!L2915</f>
        <v>0</v>
      </c>
      <c r="M2914">
        <f>'raw data Crude oil'!M2915</f>
        <v>0</v>
      </c>
      <c r="N2914">
        <f>'raw data Crude oil'!N2915</f>
        <v>0</v>
      </c>
      <c r="O2914">
        <f>'raw data Crude oil'!O2915</f>
        <v>0</v>
      </c>
      <c r="P2914">
        <f>'raw data Crude oil'!P2915</f>
        <v>0</v>
      </c>
      <c r="Q2914">
        <f>'raw data Crude oil'!Q2915</f>
        <v>0</v>
      </c>
      <c r="R2914">
        <f>'raw data Crude oil'!R2915</f>
        <v>0</v>
      </c>
      <c r="S2914">
        <f>'raw data Crude oil'!S2915</f>
        <v>0</v>
      </c>
      <c r="T2914">
        <f>'raw data Crude oil'!T2915</f>
        <v>0</v>
      </c>
      <c r="U2914">
        <f>'raw data Crude oil'!U2915</f>
        <v>0</v>
      </c>
      <c r="V2914">
        <f>'raw data Crude oil'!V2915</f>
        <v>0</v>
      </c>
      <c r="W2914">
        <f>'raw data Crude oil'!W2915</f>
        <v>0</v>
      </c>
      <c r="X2914">
        <f>'raw data Crude oil'!X2915</f>
        <v>0</v>
      </c>
      <c r="Y2914">
        <f>'raw data Crude oil'!Y2915</f>
        <v>0</v>
      </c>
      <c r="Z2914">
        <f>'raw data Crude oil'!Z2915</f>
        <v>0</v>
      </c>
      <c r="AA2914">
        <f>'raw data Crude oil'!AA2915</f>
        <v>0</v>
      </c>
      <c r="AB2914">
        <f>'raw data Crude oil'!AB2915</f>
        <v>0</v>
      </c>
      <c r="AC2914">
        <f>'raw data Crude oil'!AC2915</f>
        <v>0</v>
      </c>
      <c r="AD2914">
        <f>'raw data Crude oil'!AD2915</f>
        <v>0</v>
      </c>
      <c r="AE2914">
        <f>'raw data Crude oil'!AE2915</f>
        <v>0</v>
      </c>
      <c r="AF2914">
        <f>'raw data Crude oil'!AF2915</f>
        <v>0</v>
      </c>
      <c r="AG2914">
        <f>'raw data Crude oil'!AG2915</f>
        <v>0</v>
      </c>
      <c r="AH2914">
        <f>'raw data Crude oil'!AH2915</f>
        <v>0</v>
      </c>
      <c r="AI2914">
        <f>'raw data Crude oil'!AI2915</f>
        <v>0</v>
      </c>
      <c r="AJ2914">
        <f>'raw data Crude oil'!AJ2915</f>
        <v>0</v>
      </c>
      <c r="AK2914">
        <f>'raw data Crude oil'!AK2915</f>
        <v>0</v>
      </c>
    </row>
    <row r="2915" spans="1:37" x14ac:dyDescent="0.3">
      <c r="A2915" s="18">
        <f>'raw data Crude oil'!A2916</f>
        <v>0</v>
      </c>
      <c r="B2915">
        <f>'raw data Crude oil'!B2916</f>
        <v>0</v>
      </c>
      <c r="C2915">
        <f>'raw data Crude oil'!C2916</f>
        <v>0</v>
      </c>
      <c r="D2915">
        <f>'raw data Crude oil'!D2916</f>
        <v>0</v>
      </c>
      <c r="E2915">
        <f>'raw data Crude oil'!E2916</f>
        <v>0</v>
      </c>
      <c r="F2915">
        <f>'raw data Crude oil'!F2916</f>
        <v>0</v>
      </c>
      <c r="G2915">
        <f>'raw data Crude oil'!G2916</f>
        <v>0</v>
      </c>
      <c r="H2915">
        <f>'raw data Crude oil'!H2916</f>
        <v>0</v>
      </c>
      <c r="I2915">
        <f>'raw data Crude oil'!I2916</f>
        <v>0</v>
      </c>
      <c r="J2915">
        <f>'raw data Crude oil'!J2916</f>
        <v>0</v>
      </c>
      <c r="K2915">
        <f>'raw data Crude oil'!K2916</f>
        <v>0</v>
      </c>
      <c r="L2915">
        <f>'raw data Crude oil'!L2916</f>
        <v>0</v>
      </c>
      <c r="M2915">
        <f>'raw data Crude oil'!M2916</f>
        <v>0</v>
      </c>
      <c r="N2915">
        <f>'raw data Crude oil'!N2916</f>
        <v>0</v>
      </c>
      <c r="O2915">
        <f>'raw data Crude oil'!O2916</f>
        <v>0</v>
      </c>
      <c r="P2915">
        <f>'raw data Crude oil'!P2916</f>
        <v>0</v>
      </c>
      <c r="Q2915">
        <f>'raw data Crude oil'!Q2916</f>
        <v>0</v>
      </c>
      <c r="R2915">
        <f>'raw data Crude oil'!R2916</f>
        <v>0</v>
      </c>
      <c r="S2915">
        <f>'raw data Crude oil'!S2916</f>
        <v>0</v>
      </c>
      <c r="T2915">
        <f>'raw data Crude oil'!T2916</f>
        <v>0</v>
      </c>
      <c r="U2915">
        <f>'raw data Crude oil'!U2916</f>
        <v>0</v>
      </c>
      <c r="V2915">
        <f>'raw data Crude oil'!V2916</f>
        <v>0</v>
      </c>
      <c r="W2915">
        <f>'raw data Crude oil'!W2916</f>
        <v>0</v>
      </c>
      <c r="X2915">
        <f>'raw data Crude oil'!X2916</f>
        <v>0</v>
      </c>
      <c r="Y2915">
        <f>'raw data Crude oil'!Y2916</f>
        <v>0</v>
      </c>
      <c r="Z2915">
        <f>'raw data Crude oil'!Z2916</f>
        <v>0</v>
      </c>
      <c r="AA2915">
        <f>'raw data Crude oil'!AA2916</f>
        <v>0</v>
      </c>
      <c r="AB2915">
        <f>'raw data Crude oil'!AB2916</f>
        <v>0</v>
      </c>
      <c r="AC2915">
        <f>'raw data Crude oil'!AC2916</f>
        <v>0</v>
      </c>
      <c r="AD2915">
        <f>'raw data Crude oil'!AD2916</f>
        <v>0</v>
      </c>
      <c r="AE2915">
        <f>'raw data Crude oil'!AE2916</f>
        <v>0</v>
      </c>
      <c r="AF2915">
        <f>'raw data Crude oil'!AF2916</f>
        <v>0</v>
      </c>
      <c r="AG2915">
        <f>'raw data Crude oil'!AG2916</f>
        <v>0</v>
      </c>
      <c r="AH2915">
        <f>'raw data Crude oil'!AH2916</f>
        <v>0</v>
      </c>
      <c r="AI2915">
        <f>'raw data Crude oil'!AI2916</f>
        <v>0</v>
      </c>
      <c r="AJ2915">
        <f>'raw data Crude oil'!AJ2916</f>
        <v>0</v>
      </c>
      <c r="AK2915">
        <f>'raw data Crude oil'!AK2916</f>
        <v>0</v>
      </c>
    </row>
    <row r="2916" spans="1:37" x14ac:dyDescent="0.3">
      <c r="A2916" s="18">
        <f>'raw data Crude oil'!A2917</f>
        <v>0</v>
      </c>
      <c r="B2916">
        <f>'raw data Crude oil'!B2917</f>
        <v>0</v>
      </c>
      <c r="C2916">
        <f>'raw data Crude oil'!C2917</f>
        <v>0</v>
      </c>
      <c r="D2916">
        <f>'raw data Crude oil'!D2917</f>
        <v>0</v>
      </c>
      <c r="E2916">
        <f>'raw data Crude oil'!E2917</f>
        <v>0</v>
      </c>
      <c r="F2916">
        <f>'raw data Crude oil'!F2917</f>
        <v>0</v>
      </c>
      <c r="G2916">
        <f>'raw data Crude oil'!G2917</f>
        <v>0</v>
      </c>
      <c r="H2916">
        <f>'raw data Crude oil'!H2917</f>
        <v>0</v>
      </c>
      <c r="I2916">
        <f>'raw data Crude oil'!I2917</f>
        <v>0</v>
      </c>
      <c r="J2916">
        <f>'raw data Crude oil'!J2917</f>
        <v>0</v>
      </c>
      <c r="K2916">
        <f>'raw data Crude oil'!K2917</f>
        <v>0</v>
      </c>
      <c r="L2916">
        <f>'raw data Crude oil'!L2917</f>
        <v>0</v>
      </c>
      <c r="M2916">
        <f>'raw data Crude oil'!M2917</f>
        <v>0</v>
      </c>
      <c r="N2916">
        <f>'raw data Crude oil'!N2917</f>
        <v>0</v>
      </c>
      <c r="O2916">
        <f>'raw data Crude oil'!O2917</f>
        <v>0</v>
      </c>
      <c r="P2916">
        <f>'raw data Crude oil'!P2917</f>
        <v>0</v>
      </c>
      <c r="Q2916">
        <f>'raw data Crude oil'!Q2917</f>
        <v>0</v>
      </c>
      <c r="R2916">
        <f>'raw data Crude oil'!R2917</f>
        <v>0</v>
      </c>
      <c r="S2916">
        <f>'raw data Crude oil'!S2917</f>
        <v>0</v>
      </c>
      <c r="T2916">
        <f>'raw data Crude oil'!T2917</f>
        <v>0</v>
      </c>
      <c r="U2916">
        <f>'raw data Crude oil'!U2917</f>
        <v>0</v>
      </c>
      <c r="V2916">
        <f>'raw data Crude oil'!V2917</f>
        <v>0</v>
      </c>
      <c r="W2916">
        <f>'raw data Crude oil'!W2917</f>
        <v>0</v>
      </c>
      <c r="X2916">
        <f>'raw data Crude oil'!X2917</f>
        <v>0</v>
      </c>
      <c r="Y2916">
        <f>'raw data Crude oil'!Y2917</f>
        <v>0</v>
      </c>
      <c r="Z2916">
        <f>'raw data Crude oil'!Z2917</f>
        <v>0</v>
      </c>
      <c r="AA2916">
        <f>'raw data Crude oil'!AA2917</f>
        <v>0</v>
      </c>
      <c r="AB2916">
        <f>'raw data Crude oil'!AB2917</f>
        <v>0</v>
      </c>
      <c r="AC2916">
        <f>'raw data Crude oil'!AC2917</f>
        <v>0</v>
      </c>
      <c r="AD2916">
        <f>'raw data Crude oil'!AD2917</f>
        <v>0</v>
      </c>
      <c r="AE2916">
        <f>'raw data Crude oil'!AE2917</f>
        <v>0</v>
      </c>
      <c r="AF2916">
        <f>'raw data Crude oil'!AF2917</f>
        <v>0</v>
      </c>
      <c r="AG2916">
        <f>'raw data Crude oil'!AG2917</f>
        <v>0</v>
      </c>
      <c r="AH2916">
        <f>'raw data Crude oil'!AH2917</f>
        <v>0</v>
      </c>
      <c r="AI2916">
        <f>'raw data Crude oil'!AI2917</f>
        <v>0</v>
      </c>
      <c r="AJ2916">
        <f>'raw data Crude oil'!AJ2917</f>
        <v>0</v>
      </c>
      <c r="AK2916">
        <f>'raw data Crude oil'!AK2917</f>
        <v>0</v>
      </c>
    </row>
    <row r="2917" spans="1:37" x14ac:dyDescent="0.3">
      <c r="A2917" s="18">
        <f>'raw data Crude oil'!A2918</f>
        <v>0</v>
      </c>
      <c r="B2917">
        <f>'raw data Crude oil'!B2918</f>
        <v>0</v>
      </c>
      <c r="C2917">
        <f>'raw data Crude oil'!C2918</f>
        <v>0</v>
      </c>
      <c r="D2917">
        <f>'raw data Crude oil'!D2918</f>
        <v>0</v>
      </c>
      <c r="E2917">
        <f>'raw data Crude oil'!E2918</f>
        <v>0</v>
      </c>
      <c r="F2917">
        <f>'raw data Crude oil'!F2918</f>
        <v>0</v>
      </c>
      <c r="G2917">
        <f>'raw data Crude oil'!G2918</f>
        <v>0</v>
      </c>
      <c r="H2917">
        <f>'raw data Crude oil'!H2918</f>
        <v>0</v>
      </c>
      <c r="I2917">
        <f>'raw data Crude oil'!I2918</f>
        <v>0</v>
      </c>
      <c r="J2917">
        <f>'raw data Crude oil'!J2918</f>
        <v>0</v>
      </c>
      <c r="K2917">
        <f>'raw data Crude oil'!K2918</f>
        <v>0</v>
      </c>
      <c r="L2917">
        <f>'raw data Crude oil'!L2918</f>
        <v>0</v>
      </c>
      <c r="M2917">
        <f>'raw data Crude oil'!M2918</f>
        <v>0</v>
      </c>
      <c r="N2917">
        <f>'raw data Crude oil'!N2918</f>
        <v>0</v>
      </c>
      <c r="O2917">
        <f>'raw data Crude oil'!O2918</f>
        <v>0</v>
      </c>
      <c r="P2917">
        <f>'raw data Crude oil'!P2918</f>
        <v>0</v>
      </c>
      <c r="Q2917">
        <f>'raw data Crude oil'!Q2918</f>
        <v>0</v>
      </c>
      <c r="R2917">
        <f>'raw data Crude oil'!R2918</f>
        <v>0</v>
      </c>
      <c r="S2917">
        <f>'raw data Crude oil'!S2918</f>
        <v>0</v>
      </c>
      <c r="T2917">
        <f>'raw data Crude oil'!T2918</f>
        <v>0</v>
      </c>
      <c r="U2917">
        <f>'raw data Crude oil'!U2918</f>
        <v>0</v>
      </c>
      <c r="V2917">
        <f>'raw data Crude oil'!V2918</f>
        <v>0</v>
      </c>
      <c r="W2917">
        <f>'raw data Crude oil'!W2918</f>
        <v>0</v>
      </c>
      <c r="X2917">
        <f>'raw data Crude oil'!X2918</f>
        <v>0</v>
      </c>
      <c r="Y2917">
        <f>'raw data Crude oil'!Y2918</f>
        <v>0</v>
      </c>
      <c r="Z2917">
        <f>'raw data Crude oil'!Z2918</f>
        <v>0</v>
      </c>
      <c r="AA2917">
        <f>'raw data Crude oil'!AA2918</f>
        <v>0</v>
      </c>
      <c r="AB2917">
        <f>'raw data Crude oil'!AB2918</f>
        <v>0</v>
      </c>
      <c r="AC2917">
        <f>'raw data Crude oil'!AC2918</f>
        <v>0</v>
      </c>
      <c r="AD2917">
        <f>'raw data Crude oil'!AD2918</f>
        <v>0</v>
      </c>
      <c r="AE2917">
        <f>'raw data Crude oil'!AE2918</f>
        <v>0</v>
      </c>
      <c r="AF2917">
        <f>'raw data Crude oil'!AF2918</f>
        <v>0</v>
      </c>
      <c r="AG2917">
        <f>'raw data Crude oil'!AG2918</f>
        <v>0</v>
      </c>
      <c r="AH2917">
        <f>'raw data Crude oil'!AH2918</f>
        <v>0</v>
      </c>
      <c r="AI2917">
        <f>'raw data Crude oil'!AI2918</f>
        <v>0</v>
      </c>
      <c r="AJ2917">
        <f>'raw data Crude oil'!AJ2918</f>
        <v>0</v>
      </c>
      <c r="AK2917">
        <f>'raw data Crude oil'!AK2918</f>
        <v>0</v>
      </c>
    </row>
    <row r="2918" spans="1:37" x14ac:dyDescent="0.3">
      <c r="A2918" s="18">
        <f>'raw data Crude oil'!A2919</f>
        <v>0</v>
      </c>
      <c r="B2918">
        <f>'raw data Crude oil'!B2919</f>
        <v>0</v>
      </c>
      <c r="C2918">
        <f>'raw data Crude oil'!C2919</f>
        <v>0</v>
      </c>
      <c r="D2918">
        <f>'raw data Crude oil'!D2919</f>
        <v>0</v>
      </c>
      <c r="E2918">
        <f>'raw data Crude oil'!E2919</f>
        <v>0</v>
      </c>
      <c r="F2918">
        <f>'raw data Crude oil'!F2919</f>
        <v>0</v>
      </c>
      <c r="G2918">
        <f>'raw data Crude oil'!G2919</f>
        <v>0</v>
      </c>
      <c r="H2918">
        <f>'raw data Crude oil'!H2919</f>
        <v>0</v>
      </c>
      <c r="I2918">
        <f>'raw data Crude oil'!I2919</f>
        <v>0</v>
      </c>
      <c r="J2918">
        <f>'raw data Crude oil'!J2919</f>
        <v>0</v>
      </c>
      <c r="K2918">
        <f>'raw data Crude oil'!K2919</f>
        <v>0</v>
      </c>
      <c r="L2918">
        <f>'raw data Crude oil'!L2919</f>
        <v>0</v>
      </c>
      <c r="M2918">
        <f>'raw data Crude oil'!M2919</f>
        <v>0</v>
      </c>
      <c r="N2918">
        <f>'raw data Crude oil'!N2919</f>
        <v>0</v>
      </c>
      <c r="O2918">
        <f>'raw data Crude oil'!O2919</f>
        <v>0</v>
      </c>
      <c r="P2918">
        <f>'raw data Crude oil'!P2919</f>
        <v>0</v>
      </c>
      <c r="Q2918">
        <f>'raw data Crude oil'!Q2919</f>
        <v>0</v>
      </c>
      <c r="R2918">
        <f>'raw data Crude oil'!R2919</f>
        <v>0</v>
      </c>
      <c r="S2918">
        <f>'raw data Crude oil'!S2919</f>
        <v>0</v>
      </c>
      <c r="T2918">
        <f>'raw data Crude oil'!T2919</f>
        <v>0</v>
      </c>
      <c r="U2918">
        <f>'raw data Crude oil'!U2919</f>
        <v>0</v>
      </c>
      <c r="V2918">
        <f>'raw data Crude oil'!V2919</f>
        <v>0</v>
      </c>
      <c r="W2918">
        <f>'raw data Crude oil'!W2919</f>
        <v>0</v>
      </c>
      <c r="X2918">
        <f>'raw data Crude oil'!X2919</f>
        <v>0</v>
      </c>
      <c r="Y2918">
        <f>'raw data Crude oil'!Y2919</f>
        <v>0</v>
      </c>
      <c r="Z2918">
        <f>'raw data Crude oil'!Z2919</f>
        <v>0</v>
      </c>
      <c r="AA2918">
        <f>'raw data Crude oil'!AA2919</f>
        <v>0</v>
      </c>
      <c r="AB2918">
        <f>'raw data Crude oil'!AB2919</f>
        <v>0</v>
      </c>
      <c r="AC2918">
        <f>'raw data Crude oil'!AC2919</f>
        <v>0</v>
      </c>
      <c r="AD2918">
        <f>'raw data Crude oil'!AD2919</f>
        <v>0</v>
      </c>
      <c r="AE2918">
        <f>'raw data Crude oil'!AE2919</f>
        <v>0</v>
      </c>
      <c r="AF2918">
        <f>'raw data Crude oil'!AF2919</f>
        <v>0</v>
      </c>
      <c r="AG2918">
        <f>'raw data Crude oil'!AG2919</f>
        <v>0</v>
      </c>
      <c r="AH2918">
        <f>'raw data Crude oil'!AH2919</f>
        <v>0</v>
      </c>
      <c r="AI2918">
        <f>'raw data Crude oil'!AI2919</f>
        <v>0</v>
      </c>
      <c r="AJ2918">
        <f>'raw data Crude oil'!AJ2919</f>
        <v>0</v>
      </c>
      <c r="AK2918">
        <f>'raw data Crude oil'!AK2919</f>
        <v>0</v>
      </c>
    </row>
    <row r="2919" spans="1:37" x14ac:dyDescent="0.3">
      <c r="A2919" s="18">
        <f>'raw data Crude oil'!A2920</f>
        <v>0</v>
      </c>
      <c r="B2919">
        <f>'raw data Crude oil'!B2920</f>
        <v>0</v>
      </c>
      <c r="C2919">
        <f>'raw data Crude oil'!C2920</f>
        <v>0</v>
      </c>
      <c r="D2919">
        <f>'raw data Crude oil'!D2920</f>
        <v>0</v>
      </c>
      <c r="E2919">
        <f>'raw data Crude oil'!E2920</f>
        <v>0</v>
      </c>
      <c r="F2919">
        <f>'raw data Crude oil'!F2920</f>
        <v>0</v>
      </c>
      <c r="G2919">
        <f>'raw data Crude oil'!G2920</f>
        <v>0</v>
      </c>
      <c r="H2919">
        <f>'raw data Crude oil'!H2920</f>
        <v>0</v>
      </c>
      <c r="I2919">
        <f>'raw data Crude oil'!I2920</f>
        <v>0</v>
      </c>
      <c r="J2919">
        <f>'raw data Crude oil'!J2920</f>
        <v>0</v>
      </c>
      <c r="K2919">
        <f>'raw data Crude oil'!K2920</f>
        <v>0</v>
      </c>
      <c r="L2919">
        <f>'raw data Crude oil'!L2920</f>
        <v>0</v>
      </c>
      <c r="M2919">
        <f>'raw data Crude oil'!M2920</f>
        <v>0</v>
      </c>
      <c r="N2919">
        <f>'raw data Crude oil'!N2920</f>
        <v>0</v>
      </c>
      <c r="O2919">
        <f>'raw data Crude oil'!O2920</f>
        <v>0</v>
      </c>
      <c r="P2919">
        <f>'raw data Crude oil'!P2920</f>
        <v>0</v>
      </c>
      <c r="Q2919">
        <f>'raw data Crude oil'!Q2920</f>
        <v>0</v>
      </c>
      <c r="R2919">
        <f>'raw data Crude oil'!R2920</f>
        <v>0</v>
      </c>
      <c r="S2919">
        <f>'raw data Crude oil'!S2920</f>
        <v>0</v>
      </c>
      <c r="T2919">
        <f>'raw data Crude oil'!T2920</f>
        <v>0</v>
      </c>
      <c r="U2919">
        <f>'raw data Crude oil'!U2920</f>
        <v>0</v>
      </c>
      <c r="V2919">
        <f>'raw data Crude oil'!V2920</f>
        <v>0</v>
      </c>
      <c r="W2919">
        <f>'raw data Crude oil'!W2920</f>
        <v>0</v>
      </c>
      <c r="X2919">
        <f>'raw data Crude oil'!X2920</f>
        <v>0</v>
      </c>
      <c r="Y2919">
        <f>'raw data Crude oil'!Y2920</f>
        <v>0</v>
      </c>
      <c r="Z2919">
        <f>'raw data Crude oil'!Z2920</f>
        <v>0</v>
      </c>
      <c r="AA2919">
        <f>'raw data Crude oil'!AA2920</f>
        <v>0</v>
      </c>
      <c r="AB2919">
        <f>'raw data Crude oil'!AB2920</f>
        <v>0</v>
      </c>
      <c r="AC2919">
        <f>'raw data Crude oil'!AC2920</f>
        <v>0</v>
      </c>
      <c r="AD2919">
        <f>'raw data Crude oil'!AD2920</f>
        <v>0</v>
      </c>
      <c r="AE2919">
        <f>'raw data Crude oil'!AE2920</f>
        <v>0</v>
      </c>
      <c r="AF2919">
        <f>'raw data Crude oil'!AF2920</f>
        <v>0</v>
      </c>
      <c r="AG2919">
        <f>'raw data Crude oil'!AG2920</f>
        <v>0</v>
      </c>
      <c r="AH2919">
        <f>'raw data Crude oil'!AH2920</f>
        <v>0</v>
      </c>
      <c r="AI2919">
        <f>'raw data Crude oil'!AI2920</f>
        <v>0</v>
      </c>
      <c r="AJ2919">
        <f>'raw data Crude oil'!AJ2920</f>
        <v>0</v>
      </c>
      <c r="AK2919">
        <f>'raw data Crude oil'!AK2920</f>
        <v>0</v>
      </c>
    </row>
    <row r="2920" spans="1:37" x14ac:dyDescent="0.3">
      <c r="A2920" s="18">
        <f>'raw data Crude oil'!A2921</f>
        <v>0</v>
      </c>
      <c r="B2920">
        <f>'raw data Crude oil'!B2921</f>
        <v>0</v>
      </c>
      <c r="C2920">
        <f>'raw data Crude oil'!C2921</f>
        <v>0</v>
      </c>
      <c r="D2920">
        <f>'raw data Crude oil'!D2921</f>
        <v>0</v>
      </c>
      <c r="E2920">
        <f>'raw data Crude oil'!E2921</f>
        <v>0</v>
      </c>
      <c r="F2920">
        <f>'raw data Crude oil'!F2921</f>
        <v>0</v>
      </c>
      <c r="G2920">
        <f>'raw data Crude oil'!G2921</f>
        <v>0</v>
      </c>
      <c r="H2920">
        <f>'raw data Crude oil'!H2921</f>
        <v>0</v>
      </c>
      <c r="I2920">
        <f>'raw data Crude oil'!I2921</f>
        <v>0</v>
      </c>
      <c r="J2920">
        <f>'raw data Crude oil'!J2921</f>
        <v>0</v>
      </c>
      <c r="K2920">
        <f>'raw data Crude oil'!K2921</f>
        <v>0</v>
      </c>
      <c r="L2920">
        <f>'raw data Crude oil'!L2921</f>
        <v>0</v>
      </c>
      <c r="M2920">
        <f>'raw data Crude oil'!M2921</f>
        <v>0</v>
      </c>
      <c r="N2920">
        <f>'raw data Crude oil'!N2921</f>
        <v>0</v>
      </c>
      <c r="O2920">
        <f>'raw data Crude oil'!O2921</f>
        <v>0</v>
      </c>
      <c r="P2920">
        <f>'raw data Crude oil'!P2921</f>
        <v>0</v>
      </c>
      <c r="Q2920">
        <f>'raw data Crude oil'!Q2921</f>
        <v>0</v>
      </c>
      <c r="R2920">
        <f>'raw data Crude oil'!R2921</f>
        <v>0</v>
      </c>
      <c r="S2920">
        <f>'raw data Crude oil'!S2921</f>
        <v>0</v>
      </c>
      <c r="T2920">
        <f>'raw data Crude oil'!T2921</f>
        <v>0</v>
      </c>
      <c r="U2920">
        <f>'raw data Crude oil'!U2921</f>
        <v>0</v>
      </c>
      <c r="V2920">
        <f>'raw data Crude oil'!V2921</f>
        <v>0</v>
      </c>
      <c r="W2920">
        <f>'raw data Crude oil'!W2921</f>
        <v>0</v>
      </c>
      <c r="X2920">
        <f>'raw data Crude oil'!X2921</f>
        <v>0</v>
      </c>
      <c r="Y2920">
        <f>'raw data Crude oil'!Y2921</f>
        <v>0</v>
      </c>
      <c r="Z2920">
        <f>'raw data Crude oil'!Z2921</f>
        <v>0</v>
      </c>
      <c r="AA2920">
        <f>'raw data Crude oil'!AA2921</f>
        <v>0</v>
      </c>
      <c r="AB2920">
        <f>'raw data Crude oil'!AB2921</f>
        <v>0</v>
      </c>
      <c r="AC2920">
        <f>'raw data Crude oil'!AC2921</f>
        <v>0</v>
      </c>
      <c r="AD2920">
        <f>'raw data Crude oil'!AD2921</f>
        <v>0</v>
      </c>
      <c r="AE2920">
        <f>'raw data Crude oil'!AE2921</f>
        <v>0</v>
      </c>
      <c r="AF2920">
        <f>'raw data Crude oil'!AF2921</f>
        <v>0</v>
      </c>
      <c r="AG2920">
        <f>'raw data Crude oil'!AG2921</f>
        <v>0</v>
      </c>
      <c r="AH2920">
        <f>'raw data Crude oil'!AH2921</f>
        <v>0</v>
      </c>
      <c r="AI2920">
        <f>'raw data Crude oil'!AI2921</f>
        <v>0</v>
      </c>
      <c r="AJ2920">
        <f>'raw data Crude oil'!AJ2921</f>
        <v>0</v>
      </c>
      <c r="AK2920">
        <f>'raw data Crude oil'!AK2921</f>
        <v>0</v>
      </c>
    </row>
    <row r="2921" spans="1:37" x14ac:dyDescent="0.3">
      <c r="A2921" s="18">
        <f>'raw data Crude oil'!A2922</f>
        <v>0</v>
      </c>
      <c r="B2921">
        <f>'raw data Crude oil'!B2922</f>
        <v>0</v>
      </c>
      <c r="C2921">
        <f>'raw data Crude oil'!C2922</f>
        <v>0</v>
      </c>
      <c r="D2921">
        <f>'raw data Crude oil'!D2922</f>
        <v>0</v>
      </c>
      <c r="E2921">
        <f>'raw data Crude oil'!E2922</f>
        <v>0</v>
      </c>
      <c r="F2921">
        <f>'raw data Crude oil'!F2922</f>
        <v>0</v>
      </c>
      <c r="G2921">
        <f>'raw data Crude oil'!G2922</f>
        <v>0</v>
      </c>
      <c r="H2921">
        <f>'raw data Crude oil'!H2922</f>
        <v>0</v>
      </c>
      <c r="I2921">
        <f>'raw data Crude oil'!I2922</f>
        <v>0</v>
      </c>
      <c r="J2921">
        <f>'raw data Crude oil'!J2922</f>
        <v>0</v>
      </c>
      <c r="K2921">
        <f>'raw data Crude oil'!K2922</f>
        <v>0</v>
      </c>
      <c r="L2921">
        <f>'raw data Crude oil'!L2922</f>
        <v>0</v>
      </c>
      <c r="M2921">
        <f>'raw data Crude oil'!M2922</f>
        <v>0</v>
      </c>
      <c r="N2921">
        <f>'raw data Crude oil'!N2922</f>
        <v>0</v>
      </c>
      <c r="O2921">
        <f>'raw data Crude oil'!O2922</f>
        <v>0</v>
      </c>
      <c r="P2921">
        <f>'raw data Crude oil'!P2922</f>
        <v>0</v>
      </c>
      <c r="Q2921">
        <f>'raw data Crude oil'!Q2922</f>
        <v>0</v>
      </c>
      <c r="R2921">
        <f>'raw data Crude oil'!R2922</f>
        <v>0</v>
      </c>
      <c r="S2921">
        <f>'raw data Crude oil'!S2922</f>
        <v>0</v>
      </c>
      <c r="T2921">
        <f>'raw data Crude oil'!T2922</f>
        <v>0</v>
      </c>
      <c r="U2921">
        <f>'raw data Crude oil'!U2922</f>
        <v>0</v>
      </c>
      <c r="V2921">
        <f>'raw data Crude oil'!V2922</f>
        <v>0</v>
      </c>
      <c r="W2921">
        <f>'raw data Crude oil'!W2922</f>
        <v>0</v>
      </c>
      <c r="X2921">
        <f>'raw data Crude oil'!X2922</f>
        <v>0</v>
      </c>
      <c r="Y2921">
        <f>'raw data Crude oil'!Y2922</f>
        <v>0</v>
      </c>
      <c r="Z2921">
        <f>'raw data Crude oil'!Z2922</f>
        <v>0</v>
      </c>
      <c r="AA2921">
        <f>'raw data Crude oil'!AA2922</f>
        <v>0</v>
      </c>
      <c r="AB2921">
        <f>'raw data Crude oil'!AB2922</f>
        <v>0</v>
      </c>
      <c r="AC2921">
        <f>'raw data Crude oil'!AC2922</f>
        <v>0</v>
      </c>
      <c r="AD2921">
        <f>'raw data Crude oil'!AD2922</f>
        <v>0</v>
      </c>
      <c r="AE2921">
        <f>'raw data Crude oil'!AE2922</f>
        <v>0</v>
      </c>
      <c r="AF2921">
        <f>'raw data Crude oil'!AF2922</f>
        <v>0</v>
      </c>
      <c r="AG2921">
        <f>'raw data Crude oil'!AG2922</f>
        <v>0</v>
      </c>
      <c r="AH2921">
        <f>'raw data Crude oil'!AH2922</f>
        <v>0</v>
      </c>
      <c r="AI2921">
        <f>'raw data Crude oil'!AI2922</f>
        <v>0</v>
      </c>
      <c r="AJ2921">
        <f>'raw data Crude oil'!AJ2922</f>
        <v>0</v>
      </c>
      <c r="AK2921">
        <f>'raw data Crude oil'!AK2922</f>
        <v>0</v>
      </c>
    </row>
    <row r="2922" spans="1:37" x14ac:dyDescent="0.3">
      <c r="A2922" s="18">
        <f>'raw data Crude oil'!A2923</f>
        <v>0</v>
      </c>
      <c r="B2922">
        <f>'raw data Crude oil'!B2923</f>
        <v>0</v>
      </c>
      <c r="C2922">
        <f>'raw data Crude oil'!C2923</f>
        <v>0</v>
      </c>
      <c r="D2922">
        <f>'raw data Crude oil'!D2923</f>
        <v>0</v>
      </c>
      <c r="E2922">
        <f>'raw data Crude oil'!E2923</f>
        <v>0</v>
      </c>
      <c r="F2922">
        <f>'raw data Crude oil'!F2923</f>
        <v>0</v>
      </c>
      <c r="G2922">
        <f>'raw data Crude oil'!G2923</f>
        <v>0</v>
      </c>
      <c r="H2922">
        <f>'raw data Crude oil'!H2923</f>
        <v>0</v>
      </c>
      <c r="I2922">
        <f>'raw data Crude oil'!I2923</f>
        <v>0</v>
      </c>
      <c r="J2922">
        <f>'raw data Crude oil'!J2923</f>
        <v>0</v>
      </c>
      <c r="K2922">
        <f>'raw data Crude oil'!K2923</f>
        <v>0</v>
      </c>
      <c r="L2922">
        <f>'raw data Crude oil'!L2923</f>
        <v>0</v>
      </c>
      <c r="M2922">
        <f>'raw data Crude oil'!M2923</f>
        <v>0</v>
      </c>
      <c r="N2922">
        <f>'raw data Crude oil'!N2923</f>
        <v>0</v>
      </c>
      <c r="O2922">
        <f>'raw data Crude oil'!O2923</f>
        <v>0</v>
      </c>
      <c r="P2922">
        <f>'raw data Crude oil'!P2923</f>
        <v>0</v>
      </c>
      <c r="Q2922">
        <f>'raw data Crude oil'!Q2923</f>
        <v>0</v>
      </c>
      <c r="R2922">
        <f>'raw data Crude oil'!R2923</f>
        <v>0</v>
      </c>
      <c r="S2922">
        <f>'raw data Crude oil'!S2923</f>
        <v>0</v>
      </c>
      <c r="T2922">
        <f>'raw data Crude oil'!T2923</f>
        <v>0</v>
      </c>
      <c r="U2922">
        <f>'raw data Crude oil'!U2923</f>
        <v>0</v>
      </c>
      <c r="V2922">
        <f>'raw data Crude oil'!V2923</f>
        <v>0</v>
      </c>
      <c r="W2922">
        <f>'raw data Crude oil'!W2923</f>
        <v>0</v>
      </c>
      <c r="X2922">
        <f>'raw data Crude oil'!X2923</f>
        <v>0</v>
      </c>
      <c r="Y2922">
        <f>'raw data Crude oil'!Y2923</f>
        <v>0</v>
      </c>
      <c r="Z2922">
        <f>'raw data Crude oil'!Z2923</f>
        <v>0</v>
      </c>
      <c r="AA2922">
        <f>'raw data Crude oil'!AA2923</f>
        <v>0</v>
      </c>
      <c r="AB2922">
        <f>'raw data Crude oil'!AB2923</f>
        <v>0</v>
      </c>
      <c r="AC2922">
        <f>'raw data Crude oil'!AC2923</f>
        <v>0</v>
      </c>
      <c r="AD2922">
        <f>'raw data Crude oil'!AD2923</f>
        <v>0</v>
      </c>
      <c r="AE2922">
        <f>'raw data Crude oil'!AE2923</f>
        <v>0</v>
      </c>
      <c r="AF2922">
        <f>'raw data Crude oil'!AF2923</f>
        <v>0</v>
      </c>
      <c r="AG2922">
        <f>'raw data Crude oil'!AG2923</f>
        <v>0</v>
      </c>
      <c r="AH2922">
        <f>'raw data Crude oil'!AH2923</f>
        <v>0</v>
      </c>
      <c r="AI2922">
        <f>'raw data Crude oil'!AI2923</f>
        <v>0</v>
      </c>
      <c r="AJ2922">
        <f>'raw data Crude oil'!AJ2923</f>
        <v>0</v>
      </c>
      <c r="AK2922">
        <f>'raw data Crude oil'!AK2923</f>
        <v>0</v>
      </c>
    </row>
    <row r="2923" spans="1:37" x14ac:dyDescent="0.3">
      <c r="A2923" s="18">
        <f>'raw data Crude oil'!A2924</f>
        <v>0</v>
      </c>
      <c r="B2923">
        <f>'raw data Crude oil'!B2924</f>
        <v>0</v>
      </c>
      <c r="C2923">
        <f>'raw data Crude oil'!C2924</f>
        <v>0</v>
      </c>
      <c r="D2923">
        <f>'raw data Crude oil'!D2924</f>
        <v>0</v>
      </c>
      <c r="E2923">
        <f>'raw data Crude oil'!E2924</f>
        <v>0</v>
      </c>
      <c r="F2923">
        <f>'raw data Crude oil'!F2924</f>
        <v>0</v>
      </c>
      <c r="G2923">
        <f>'raw data Crude oil'!G2924</f>
        <v>0</v>
      </c>
      <c r="H2923">
        <f>'raw data Crude oil'!H2924</f>
        <v>0</v>
      </c>
      <c r="I2923">
        <f>'raw data Crude oil'!I2924</f>
        <v>0</v>
      </c>
      <c r="J2923">
        <f>'raw data Crude oil'!J2924</f>
        <v>0</v>
      </c>
      <c r="K2923">
        <f>'raw data Crude oil'!K2924</f>
        <v>0</v>
      </c>
      <c r="L2923">
        <f>'raw data Crude oil'!L2924</f>
        <v>0</v>
      </c>
      <c r="M2923">
        <f>'raw data Crude oil'!M2924</f>
        <v>0</v>
      </c>
      <c r="N2923">
        <f>'raw data Crude oil'!N2924</f>
        <v>0</v>
      </c>
      <c r="O2923">
        <f>'raw data Crude oil'!O2924</f>
        <v>0</v>
      </c>
      <c r="P2923">
        <f>'raw data Crude oil'!P2924</f>
        <v>0</v>
      </c>
      <c r="Q2923">
        <f>'raw data Crude oil'!Q2924</f>
        <v>0</v>
      </c>
      <c r="R2923">
        <f>'raw data Crude oil'!R2924</f>
        <v>0</v>
      </c>
      <c r="S2923">
        <f>'raw data Crude oil'!S2924</f>
        <v>0</v>
      </c>
      <c r="T2923">
        <f>'raw data Crude oil'!T2924</f>
        <v>0</v>
      </c>
      <c r="U2923">
        <f>'raw data Crude oil'!U2924</f>
        <v>0</v>
      </c>
      <c r="V2923">
        <f>'raw data Crude oil'!V2924</f>
        <v>0</v>
      </c>
      <c r="W2923">
        <f>'raw data Crude oil'!W2924</f>
        <v>0</v>
      </c>
      <c r="X2923">
        <f>'raw data Crude oil'!X2924</f>
        <v>0</v>
      </c>
      <c r="Y2923">
        <f>'raw data Crude oil'!Y2924</f>
        <v>0</v>
      </c>
      <c r="Z2923">
        <f>'raw data Crude oil'!Z2924</f>
        <v>0</v>
      </c>
      <c r="AA2923">
        <f>'raw data Crude oil'!AA2924</f>
        <v>0</v>
      </c>
      <c r="AB2923">
        <f>'raw data Crude oil'!AB2924</f>
        <v>0</v>
      </c>
      <c r="AC2923">
        <f>'raw data Crude oil'!AC2924</f>
        <v>0</v>
      </c>
      <c r="AD2923">
        <f>'raw data Crude oil'!AD2924</f>
        <v>0</v>
      </c>
      <c r="AE2923">
        <f>'raw data Crude oil'!AE2924</f>
        <v>0</v>
      </c>
      <c r="AF2923">
        <f>'raw data Crude oil'!AF2924</f>
        <v>0</v>
      </c>
      <c r="AG2923">
        <f>'raw data Crude oil'!AG2924</f>
        <v>0</v>
      </c>
      <c r="AH2923">
        <f>'raw data Crude oil'!AH2924</f>
        <v>0</v>
      </c>
      <c r="AI2923">
        <f>'raw data Crude oil'!AI2924</f>
        <v>0</v>
      </c>
      <c r="AJ2923">
        <f>'raw data Crude oil'!AJ2924</f>
        <v>0</v>
      </c>
      <c r="AK2923">
        <f>'raw data Crude oil'!AK2924</f>
        <v>0</v>
      </c>
    </row>
    <row r="2924" spans="1:37" x14ac:dyDescent="0.3">
      <c r="A2924" s="18">
        <f>'raw data Crude oil'!A2925</f>
        <v>0</v>
      </c>
      <c r="B2924">
        <f>'raw data Crude oil'!B2925</f>
        <v>0</v>
      </c>
      <c r="C2924">
        <f>'raw data Crude oil'!C2925</f>
        <v>0</v>
      </c>
      <c r="D2924">
        <f>'raw data Crude oil'!D2925</f>
        <v>0</v>
      </c>
      <c r="E2924">
        <f>'raw data Crude oil'!E2925</f>
        <v>0</v>
      </c>
      <c r="F2924">
        <f>'raw data Crude oil'!F2925</f>
        <v>0</v>
      </c>
      <c r="G2924">
        <f>'raw data Crude oil'!G2925</f>
        <v>0</v>
      </c>
      <c r="H2924">
        <f>'raw data Crude oil'!H2925</f>
        <v>0</v>
      </c>
      <c r="I2924">
        <f>'raw data Crude oil'!I2925</f>
        <v>0</v>
      </c>
      <c r="J2924">
        <f>'raw data Crude oil'!J2925</f>
        <v>0</v>
      </c>
      <c r="K2924">
        <f>'raw data Crude oil'!K2925</f>
        <v>0</v>
      </c>
      <c r="L2924">
        <f>'raw data Crude oil'!L2925</f>
        <v>0</v>
      </c>
      <c r="M2924">
        <f>'raw data Crude oil'!M2925</f>
        <v>0</v>
      </c>
      <c r="N2924">
        <f>'raw data Crude oil'!N2925</f>
        <v>0</v>
      </c>
      <c r="O2924">
        <f>'raw data Crude oil'!O2925</f>
        <v>0</v>
      </c>
      <c r="P2924">
        <f>'raw data Crude oil'!P2925</f>
        <v>0</v>
      </c>
      <c r="Q2924">
        <f>'raw data Crude oil'!Q2925</f>
        <v>0</v>
      </c>
      <c r="R2924">
        <f>'raw data Crude oil'!R2925</f>
        <v>0</v>
      </c>
      <c r="S2924">
        <f>'raw data Crude oil'!S2925</f>
        <v>0</v>
      </c>
      <c r="T2924">
        <f>'raw data Crude oil'!T2925</f>
        <v>0</v>
      </c>
      <c r="U2924">
        <f>'raw data Crude oil'!U2925</f>
        <v>0</v>
      </c>
      <c r="V2924">
        <f>'raw data Crude oil'!V2925</f>
        <v>0</v>
      </c>
      <c r="W2924">
        <f>'raw data Crude oil'!W2925</f>
        <v>0</v>
      </c>
      <c r="X2924">
        <f>'raw data Crude oil'!X2925</f>
        <v>0</v>
      </c>
      <c r="Y2924">
        <f>'raw data Crude oil'!Y2925</f>
        <v>0</v>
      </c>
      <c r="Z2924">
        <f>'raw data Crude oil'!Z2925</f>
        <v>0</v>
      </c>
      <c r="AA2924">
        <f>'raw data Crude oil'!AA2925</f>
        <v>0</v>
      </c>
      <c r="AB2924">
        <f>'raw data Crude oil'!AB2925</f>
        <v>0</v>
      </c>
      <c r="AC2924">
        <f>'raw data Crude oil'!AC2925</f>
        <v>0</v>
      </c>
      <c r="AD2924">
        <f>'raw data Crude oil'!AD2925</f>
        <v>0</v>
      </c>
      <c r="AE2924">
        <f>'raw data Crude oil'!AE2925</f>
        <v>0</v>
      </c>
      <c r="AF2924">
        <f>'raw data Crude oil'!AF2925</f>
        <v>0</v>
      </c>
      <c r="AG2924">
        <f>'raw data Crude oil'!AG2925</f>
        <v>0</v>
      </c>
      <c r="AH2924">
        <f>'raw data Crude oil'!AH2925</f>
        <v>0</v>
      </c>
      <c r="AI2924">
        <f>'raw data Crude oil'!AI2925</f>
        <v>0</v>
      </c>
      <c r="AJ2924">
        <f>'raw data Crude oil'!AJ2925</f>
        <v>0</v>
      </c>
      <c r="AK2924">
        <f>'raw data Crude oil'!AK2925</f>
        <v>0</v>
      </c>
    </row>
    <row r="2925" spans="1:37" x14ac:dyDescent="0.3">
      <c r="A2925" s="18">
        <f>'raw data Crude oil'!A2926</f>
        <v>0</v>
      </c>
      <c r="B2925">
        <f>'raw data Crude oil'!B2926</f>
        <v>0</v>
      </c>
      <c r="C2925">
        <f>'raw data Crude oil'!C2926</f>
        <v>0</v>
      </c>
      <c r="D2925">
        <f>'raw data Crude oil'!D2926</f>
        <v>0</v>
      </c>
      <c r="E2925">
        <f>'raw data Crude oil'!E2926</f>
        <v>0</v>
      </c>
      <c r="F2925">
        <f>'raw data Crude oil'!F2926</f>
        <v>0</v>
      </c>
      <c r="G2925">
        <f>'raw data Crude oil'!G2926</f>
        <v>0</v>
      </c>
      <c r="H2925">
        <f>'raw data Crude oil'!H2926</f>
        <v>0</v>
      </c>
      <c r="I2925">
        <f>'raw data Crude oil'!I2926</f>
        <v>0</v>
      </c>
      <c r="J2925">
        <f>'raw data Crude oil'!J2926</f>
        <v>0</v>
      </c>
      <c r="K2925">
        <f>'raw data Crude oil'!K2926</f>
        <v>0</v>
      </c>
      <c r="L2925">
        <f>'raw data Crude oil'!L2926</f>
        <v>0</v>
      </c>
      <c r="M2925">
        <f>'raw data Crude oil'!M2926</f>
        <v>0</v>
      </c>
      <c r="N2925">
        <f>'raw data Crude oil'!N2926</f>
        <v>0</v>
      </c>
      <c r="O2925">
        <f>'raw data Crude oil'!O2926</f>
        <v>0</v>
      </c>
      <c r="P2925">
        <f>'raw data Crude oil'!P2926</f>
        <v>0</v>
      </c>
      <c r="Q2925">
        <f>'raw data Crude oil'!Q2926</f>
        <v>0</v>
      </c>
      <c r="R2925">
        <f>'raw data Crude oil'!R2926</f>
        <v>0</v>
      </c>
      <c r="S2925">
        <f>'raw data Crude oil'!S2926</f>
        <v>0</v>
      </c>
      <c r="T2925">
        <f>'raw data Crude oil'!T2926</f>
        <v>0</v>
      </c>
      <c r="U2925">
        <f>'raw data Crude oil'!U2926</f>
        <v>0</v>
      </c>
      <c r="V2925">
        <f>'raw data Crude oil'!V2926</f>
        <v>0</v>
      </c>
      <c r="W2925">
        <f>'raw data Crude oil'!W2926</f>
        <v>0</v>
      </c>
      <c r="X2925">
        <f>'raw data Crude oil'!X2926</f>
        <v>0</v>
      </c>
      <c r="Y2925">
        <f>'raw data Crude oil'!Y2926</f>
        <v>0</v>
      </c>
      <c r="Z2925">
        <f>'raw data Crude oil'!Z2926</f>
        <v>0</v>
      </c>
      <c r="AA2925">
        <f>'raw data Crude oil'!AA2926</f>
        <v>0</v>
      </c>
      <c r="AB2925">
        <f>'raw data Crude oil'!AB2926</f>
        <v>0</v>
      </c>
      <c r="AC2925">
        <f>'raw data Crude oil'!AC2926</f>
        <v>0</v>
      </c>
      <c r="AD2925">
        <f>'raw data Crude oil'!AD2926</f>
        <v>0</v>
      </c>
      <c r="AE2925">
        <f>'raw data Crude oil'!AE2926</f>
        <v>0</v>
      </c>
      <c r="AF2925">
        <f>'raw data Crude oil'!AF2926</f>
        <v>0</v>
      </c>
      <c r="AG2925">
        <f>'raw data Crude oil'!AG2926</f>
        <v>0</v>
      </c>
      <c r="AH2925">
        <f>'raw data Crude oil'!AH2926</f>
        <v>0</v>
      </c>
      <c r="AI2925">
        <f>'raw data Crude oil'!AI2926</f>
        <v>0</v>
      </c>
      <c r="AJ2925">
        <f>'raw data Crude oil'!AJ2926</f>
        <v>0</v>
      </c>
      <c r="AK2925">
        <f>'raw data Crude oil'!AK2926</f>
        <v>0</v>
      </c>
    </row>
    <row r="2926" spans="1:37" x14ac:dyDescent="0.3">
      <c r="A2926" s="18">
        <f>'raw data Crude oil'!A2927</f>
        <v>0</v>
      </c>
      <c r="B2926">
        <f>'raw data Crude oil'!B2927</f>
        <v>0</v>
      </c>
      <c r="C2926">
        <f>'raw data Crude oil'!C2927</f>
        <v>0</v>
      </c>
      <c r="D2926">
        <f>'raw data Crude oil'!D2927</f>
        <v>0</v>
      </c>
      <c r="E2926">
        <f>'raw data Crude oil'!E2927</f>
        <v>0</v>
      </c>
      <c r="F2926">
        <f>'raw data Crude oil'!F2927</f>
        <v>0</v>
      </c>
      <c r="G2926">
        <f>'raw data Crude oil'!G2927</f>
        <v>0</v>
      </c>
      <c r="H2926">
        <f>'raw data Crude oil'!H2927</f>
        <v>0</v>
      </c>
      <c r="I2926">
        <f>'raw data Crude oil'!I2927</f>
        <v>0</v>
      </c>
      <c r="J2926">
        <f>'raw data Crude oil'!J2927</f>
        <v>0</v>
      </c>
      <c r="K2926">
        <f>'raw data Crude oil'!K2927</f>
        <v>0</v>
      </c>
      <c r="L2926">
        <f>'raw data Crude oil'!L2927</f>
        <v>0</v>
      </c>
      <c r="M2926">
        <f>'raw data Crude oil'!M2927</f>
        <v>0</v>
      </c>
      <c r="N2926">
        <f>'raw data Crude oil'!N2927</f>
        <v>0</v>
      </c>
      <c r="O2926">
        <f>'raw data Crude oil'!O2927</f>
        <v>0</v>
      </c>
      <c r="P2926">
        <f>'raw data Crude oil'!P2927</f>
        <v>0</v>
      </c>
      <c r="Q2926">
        <f>'raw data Crude oil'!Q2927</f>
        <v>0</v>
      </c>
      <c r="R2926">
        <f>'raw data Crude oil'!R2927</f>
        <v>0</v>
      </c>
      <c r="S2926">
        <f>'raw data Crude oil'!S2927</f>
        <v>0</v>
      </c>
      <c r="T2926">
        <f>'raw data Crude oil'!T2927</f>
        <v>0</v>
      </c>
      <c r="U2926">
        <f>'raw data Crude oil'!U2927</f>
        <v>0</v>
      </c>
      <c r="V2926">
        <f>'raw data Crude oil'!V2927</f>
        <v>0</v>
      </c>
      <c r="W2926">
        <f>'raw data Crude oil'!W2927</f>
        <v>0</v>
      </c>
      <c r="X2926">
        <f>'raw data Crude oil'!X2927</f>
        <v>0</v>
      </c>
      <c r="Y2926">
        <f>'raw data Crude oil'!Y2927</f>
        <v>0</v>
      </c>
      <c r="Z2926">
        <f>'raw data Crude oil'!Z2927</f>
        <v>0</v>
      </c>
      <c r="AA2926">
        <f>'raw data Crude oil'!AA2927</f>
        <v>0</v>
      </c>
      <c r="AB2926">
        <f>'raw data Crude oil'!AB2927</f>
        <v>0</v>
      </c>
      <c r="AC2926">
        <f>'raw data Crude oil'!AC2927</f>
        <v>0</v>
      </c>
      <c r="AD2926">
        <f>'raw data Crude oil'!AD2927</f>
        <v>0</v>
      </c>
      <c r="AE2926">
        <f>'raw data Crude oil'!AE2927</f>
        <v>0</v>
      </c>
      <c r="AF2926">
        <f>'raw data Crude oil'!AF2927</f>
        <v>0</v>
      </c>
      <c r="AG2926">
        <f>'raw data Crude oil'!AG2927</f>
        <v>0</v>
      </c>
      <c r="AH2926">
        <f>'raw data Crude oil'!AH2927</f>
        <v>0</v>
      </c>
      <c r="AI2926">
        <f>'raw data Crude oil'!AI2927</f>
        <v>0</v>
      </c>
      <c r="AJ2926">
        <f>'raw data Crude oil'!AJ2927</f>
        <v>0</v>
      </c>
      <c r="AK2926">
        <f>'raw data Crude oil'!AK2927</f>
        <v>0</v>
      </c>
    </row>
    <row r="2927" spans="1:37" x14ac:dyDescent="0.3">
      <c r="A2927" s="18">
        <f>'raw data Crude oil'!A2928</f>
        <v>0</v>
      </c>
      <c r="B2927">
        <f>'raw data Crude oil'!B2928</f>
        <v>0</v>
      </c>
      <c r="C2927">
        <f>'raw data Crude oil'!C2928</f>
        <v>0</v>
      </c>
      <c r="D2927">
        <f>'raw data Crude oil'!D2928</f>
        <v>0</v>
      </c>
      <c r="E2927">
        <f>'raw data Crude oil'!E2928</f>
        <v>0</v>
      </c>
      <c r="F2927">
        <f>'raw data Crude oil'!F2928</f>
        <v>0</v>
      </c>
      <c r="G2927">
        <f>'raw data Crude oil'!G2928</f>
        <v>0</v>
      </c>
      <c r="H2927">
        <f>'raw data Crude oil'!H2928</f>
        <v>0</v>
      </c>
      <c r="I2927">
        <f>'raw data Crude oil'!I2928</f>
        <v>0</v>
      </c>
      <c r="J2927">
        <f>'raw data Crude oil'!J2928</f>
        <v>0</v>
      </c>
      <c r="K2927">
        <f>'raw data Crude oil'!K2928</f>
        <v>0</v>
      </c>
      <c r="L2927">
        <f>'raw data Crude oil'!L2928</f>
        <v>0</v>
      </c>
      <c r="M2927">
        <f>'raw data Crude oil'!M2928</f>
        <v>0</v>
      </c>
      <c r="N2927">
        <f>'raw data Crude oil'!N2928</f>
        <v>0</v>
      </c>
      <c r="O2927">
        <f>'raw data Crude oil'!O2928</f>
        <v>0</v>
      </c>
      <c r="P2927">
        <f>'raw data Crude oil'!P2928</f>
        <v>0</v>
      </c>
      <c r="Q2927">
        <f>'raw data Crude oil'!Q2928</f>
        <v>0</v>
      </c>
      <c r="R2927">
        <f>'raw data Crude oil'!R2928</f>
        <v>0</v>
      </c>
      <c r="S2927">
        <f>'raw data Crude oil'!S2928</f>
        <v>0</v>
      </c>
      <c r="T2927">
        <f>'raw data Crude oil'!T2928</f>
        <v>0</v>
      </c>
      <c r="U2927">
        <f>'raw data Crude oil'!U2928</f>
        <v>0</v>
      </c>
      <c r="V2927">
        <f>'raw data Crude oil'!V2928</f>
        <v>0</v>
      </c>
      <c r="W2927">
        <f>'raw data Crude oil'!W2928</f>
        <v>0</v>
      </c>
      <c r="X2927">
        <f>'raw data Crude oil'!X2928</f>
        <v>0</v>
      </c>
      <c r="Y2927">
        <f>'raw data Crude oil'!Y2928</f>
        <v>0</v>
      </c>
      <c r="Z2927">
        <f>'raw data Crude oil'!Z2928</f>
        <v>0</v>
      </c>
      <c r="AA2927">
        <f>'raw data Crude oil'!AA2928</f>
        <v>0</v>
      </c>
      <c r="AB2927">
        <f>'raw data Crude oil'!AB2928</f>
        <v>0</v>
      </c>
      <c r="AC2927">
        <f>'raw data Crude oil'!AC2928</f>
        <v>0</v>
      </c>
      <c r="AD2927">
        <f>'raw data Crude oil'!AD2928</f>
        <v>0</v>
      </c>
      <c r="AE2927">
        <f>'raw data Crude oil'!AE2928</f>
        <v>0</v>
      </c>
      <c r="AF2927">
        <f>'raw data Crude oil'!AF2928</f>
        <v>0</v>
      </c>
      <c r="AG2927">
        <f>'raw data Crude oil'!AG2928</f>
        <v>0</v>
      </c>
      <c r="AH2927">
        <f>'raw data Crude oil'!AH2928</f>
        <v>0</v>
      </c>
      <c r="AI2927">
        <f>'raw data Crude oil'!AI2928</f>
        <v>0</v>
      </c>
      <c r="AJ2927">
        <f>'raw data Crude oil'!AJ2928</f>
        <v>0</v>
      </c>
      <c r="AK2927">
        <f>'raw data Crude oil'!AK2928</f>
        <v>0</v>
      </c>
    </row>
    <row r="2928" spans="1:37" x14ac:dyDescent="0.3">
      <c r="A2928" s="18">
        <f>'raw data Crude oil'!A2929</f>
        <v>0</v>
      </c>
      <c r="B2928">
        <f>'raw data Crude oil'!B2929</f>
        <v>0</v>
      </c>
      <c r="C2928">
        <f>'raw data Crude oil'!C2929</f>
        <v>0</v>
      </c>
      <c r="D2928">
        <f>'raw data Crude oil'!D2929</f>
        <v>0</v>
      </c>
      <c r="E2928">
        <f>'raw data Crude oil'!E2929</f>
        <v>0</v>
      </c>
      <c r="F2928">
        <f>'raw data Crude oil'!F2929</f>
        <v>0</v>
      </c>
      <c r="G2928">
        <f>'raw data Crude oil'!G2929</f>
        <v>0</v>
      </c>
      <c r="H2928">
        <f>'raw data Crude oil'!H2929</f>
        <v>0</v>
      </c>
      <c r="I2928">
        <f>'raw data Crude oil'!I2929</f>
        <v>0</v>
      </c>
      <c r="J2928">
        <f>'raw data Crude oil'!J2929</f>
        <v>0</v>
      </c>
      <c r="K2928">
        <f>'raw data Crude oil'!K2929</f>
        <v>0</v>
      </c>
      <c r="L2928">
        <f>'raw data Crude oil'!L2929</f>
        <v>0</v>
      </c>
      <c r="M2928">
        <f>'raw data Crude oil'!M2929</f>
        <v>0</v>
      </c>
      <c r="N2928">
        <f>'raw data Crude oil'!N2929</f>
        <v>0</v>
      </c>
      <c r="O2928">
        <f>'raw data Crude oil'!O2929</f>
        <v>0</v>
      </c>
      <c r="P2928">
        <f>'raw data Crude oil'!P2929</f>
        <v>0</v>
      </c>
      <c r="Q2928">
        <f>'raw data Crude oil'!Q2929</f>
        <v>0</v>
      </c>
      <c r="R2928">
        <f>'raw data Crude oil'!R2929</f>
        <v>0</v>
      </c>
      <c r="S2928">
        <f>'raw data Crude oil'!S2929</f>
        <v>0</v>
      </c>
      <c r="T2928">
        <f>'raw data Crude oil'!T2929</f>
        <v>0</v>
      </c>
      <c r="U2928">
        <f>'raw data Crude oil'!U2929</f>
        <v>0</v>
      </c>
      <c r="V2928">
        <f>'raw data Crude oil'!V2929</f>
        <v>0</v>
      </c>
      <c r="W2928">
        <f>'raw data Crude oil'!W2929</f>
        <v>0</v>
      </c>
      <c r="X2928">
        <f>'raw data Crude oil'!X2929</f>
        <v>0</v>
      </c>
      <c r="Y2928">
        <f>'raw data Crude oil'!Y2929</f>
        <v>0</v>
      </c>
      <c r="Z2928">
        <f>'raw data Crude oil'!Z2929</f>
        <v>0</v>
      </c>
      <c r="AA2928">
        <f>'raw data Crude oil'!AA2929</f>
        <v>0</v>
      </c>
      <c r="AB2928">
        <f>'raw data Crude oil'!AB2929</f>
        <v>0</v>
      </c>
      <c r="AC2928">
        <f>'raw data Crude oil'!AC2929</f>
        <v>0</v>
      </c>
      <c r="AD2928">
        <f>'raw data Crude oil'!AD2929</f>
        <v>0</v>
      </c>
      <c r="AE2928">
        <f>'raw data Crude oil'!AE2929</f>
        <v>0</v>
      </c>
      <c r="AF2928">
        <f>'raw data Crude oil'!AF2929</f>
        <v>0</v>
      </c>
      <c r="AG2928">
        <f>'raw data Crude oil'!AG2929</f>
        <v>0</v>
      </c>
      <c r="AH2928">
        <f>'raw data Crude oil'!AH2929</f>
        <v>0</v>
      </c>
      <c r="AI2928">
        <f>'raw data Crude oil'!AI2929</f>
        <v>0</v>
      </c>
      <c r="AJ2928">
        <f>'raw data Crude oil'!AJ2929</f>
        <v>0</v>
      </c>
      <c r="AK2928">
        <f>'raw data Crude oil'!AK2929</f>
        <v>0</v>
      </c>
    </row>
    <row r="2929" spans="1:37" x14ac:dyDescent="0.3">
      <c r="A2929" s="18">
        <f>'raw data Crude oil'!A2930</f>
        <v>0</v>
      </c>
      <c r="B2929">
        <f>'raw data Crude oil'!B2930</f>
        <v>0</v>
      </c>
      <c r="C2929">
        <f>'raw data Crude oil'!C2930</f>
        <v>0</v>
      </c>
      <c r="D2929">
        <f>'raw data Crude oil'!D2930</f>
        <v>0</v>
      </c>
      <c r="E2929">
        <f>'raw data Crude oil'!E2930</f>
        <v>0</v>
      </c>
      <c r="F2929">
        <f>'raw data Crude oil'!F2930</f>
        <v>0</v>
      </c>
      <c r="G2929">
        <f>'raw data Crude oil'!G2930</f>
        <v>0</v>
      </c>
      <c r="H2929">
        <f>'raw data Crude oil'!H2930</f>
        <v>0</v>
      </c>
      <c r="I2929">
        <f>'raw data Crude oil'!I2930</f>
        <v>0</v>
      </c>
      <c r="J2929">
        <f>'raw data Crude oil'!J2930</f>
        <v>0</v>
      </c>
      <c r="K2929">
        <f>'raw data Crude oil'!K2930</f>
        <v>0</v>
      </c>
      <c r="L2929">
        <f>'raw data Crude oil'!L2930</f>
        <v>0</v>
      </c>
      <c r="M2929">
        <f>'raw data Crude oil'!M2930</f>
        <v>0</v>
      </c>
      <c r="N2929">
        <f>'raw data Crude oil'!N2930</f>
        <v>0</v>
      </c>
      <c r="O2929">
        <f>'raw data Crude oil'!O2930</f>
        <v>0</v>
      </c>
      <c r="P2929">
        <f>'raw data Crude oil'!P2930</f>
        <v>0</v>
      </c>
      <c r="Q2929">
        <f>'raw data Crude oil'!Q2930</f>
        <v>0</v>
      </c>
      <c r="R2929">
        <f>'raw data Crude oil'!R2930</f>
        <v>0</v>
      </c>
      <c r="S2929">
        <f>'raw data Crude oil'!S2930</f>
        <v>0</v>
      </c>
      <c r="T2929">
        <f>'raw data Crude oil'!T2930</f>
        <v>0</v>
      </c>
      <c r="U2929">
        <f>'raw data Crude oil'!U2930</f>
        <v>0</v>
      </c>
      <c r="V2929">
        <f>'raw data Crude oil'!V2930</f>
        <v>0</v>
      </c>
      <c r="W2929">
        <f>'raw data Crude oil'!W2930</f>
        <v>0</v>
      </c>
      <c r="X2929">
        <f>'raw data Crude oil'!X2930</f>
        <v>0</v>
      </c>
      <c r="Y2929">
        <f>'raw data Crude oil'!Y2930</f>
        <v>0</v>
      </c>
      <c r="Z2929">
        <f>'raw data Crude oil'!Z2930</f>
        <v>0</v>
      </c>
      <c r="AA2929">
        <f>'raw data Crude oil'!AA2930</f>
        <v>0</v>
      </c>
      <c r="AB2929">
        <f>'raw data Crude oil'!AB2930</f>
        <v>0</v>
      </c>
      <c r="AC2929">
        <f>'raw data Crude oil'!AC2930</f>
        <v>0</v>
      </c>
      <c r="AD2929">
        <f>'raw data Crude oil'!AD2930</f>
        <v>0</v>
      </c>
      <c r="AE2929">
        <f>'raw data Crude oil'!AE2930</f>
        <v>0</v>
      </c>
      <c r="AF2929">
        <f>'raw data Crude oil'!AF2930</f>
        <v>0</v>
      </c>
      <c r="AG2929">
        <f>'raw data Crude oil'!AG2930</f>
        <v>0</v>
      </c>
      <c r="AH2929">
        <f>'raw data Crude oil'!AH2930</f>
        <v>0</v>
      </c>
      <c r="AI2929">
        <f>'raw data Crude oil'!AI2930</f>
        <v>0</v>
      </c>
      <c r="AJ2929">
        <f>'raw data Crude oil'!AJ2930</f>
        <v>0</v>
      </c>
      <c r="AK2929">
        <f>'raw data Crude oil'!AK2930</f>
        <v>0</v>
      </c>
    </row>
    <row r="2930" spans="1:37" x14ac:dyDescent="0.3">
      <c r="A2930" s="18">
        <f>'raw data Crude oil'!A2931</f>
        <v>0</v>
      </c>
      <c r="B2930">
        <f>'raw data Crude oil'!B2931</f>
        <v>0</v>
      </c>
      <c r="C2930">
        <f>'raw data Crude oil'!C2931</f>
        <v>0</v>
      </c>
      <c r="D2930">
        <f>'raw data Crude oil'!D2931</f>
        <v>0</v>
      </c>
      <c r="E2930">
        <f>'raw data Crude oil'!E2931</f>
        <v>0</v>
      </c>
      <c r="F2930">
        <f>'raw data Crude oil'!F2931</f>
        <v>0</v>
      </c>
      <c r="G2930">
        <f>'raw data Crude oil'!G2931</f>
        <v>0</v>
      </c>
      <c r="H2930">
        <f>'raw data Crude oil'!H2931</f>
        <v>0</v>
      </c>
      <c r="I2930">
        <f>'raw data Crude oil'!I2931</f>
        <v>0</v>
      </c>
      <c r="J2930">
        <f>'raw data Crude oil'!J2931</f>
        <v>0</v>
      </c>
      <c r="K2930">
        <f>'raw data Crude oil'!K2931</f>
        <v>0</v>
      </c>
      <c r="L2930">
        <f>'raw data Crude oil'!L2931</f>
        <v>0</v>
      </c>
      <c r="M2930">
        <f>'raw data Crude oil'!M2931</f>
        <v>0</v>
      </c>
      <c r="N2930">
        <f>'raw data Crude oil'!N2931</f>
        <v>0</v>
      </c>
      <c r="O2930">
        <f>'raw data Crude oil'!O2931</f>
        <v>0</v>
      </c>
      <c r="P2930">
        <f>'raw data Crude oil'!P2931</f>
        <v>0</v>
      </c>
      <c r="Q2930">
        <f>'raw data Crude oil'!Q2931</f>
        <v>0</v>
      </c>
      <c r="R2930">
        <f>'raw data Crude oil'!R2931</f>
        <v>0</v>
      </c>
      <c r="S2930">
        <f>'raw data Crude oil'!S2931</f>
        <v>0</v>
      </c>
      <c r="T2930">
        <f>'raw data Crude oil'!T2931</f>
        <v>0</v>
      </c>
      <c r="U2930">
        <f>'raw data Crude oil'!U2931</f>
        <v>0</v>
      </c>
      <c r="V2930">
        <f>'raw data Crude oil'!V2931</f>
        <v>0</v>
      </c>
      <c r="W2930">
        <f>'raw data Crude oil'!W2931</f>
        <v>0</v>
      </c>
      <c r="X2930">
        <f>'raw data Crude oil'!X2931</f>
        <v>0</v>
      </c>
      <c r="Y2930">
        <f>'raw data Crude oil'!Y2931</f>
        <v>0</v>
      </c>
      <c r="Z2930">
        <f>'raw data Crude oil'!Z2931</f>
        <v>0</v>
      </c>
      <c r="AA2930">
        <f>'raw data Crude oil'!AA2931</f>
        <v>0</v>
      </c>
      <c r="AB2930">
        <f>'raw data Crude oil'!AB2931</f>
        <v>0</v>
      </c>
      <c r="AC2930">
        <f>'raw data Crude oil'!AC2931</f>
        <v>0</v>
      </c>
      <c r="AD2930">
        <f>'raw data Crude oil'!AD2931</f>
        <v>0</v>
      </c>
      <c r="AE2930">
        <f>'raw data Crude oil'!AE2931</f>
        <v>0</v>
      </c>
      <c r="AF2930">
        <f>'raw data Crude oil'!AF2931</f>
        <v>0</v>
      </c>
      <c r="AG2930">
        <f>'raw data Crude oil'!AG2931</f>
        <v>0</v>
      </c>
      <c r="AH2930">
        <f>'raw data Crude oil'!AH2931</f>
        <v>0</v>
      </c>
      <c r="AI2930">
        <f>'raw data Crude oil'!AI2931</f>
        <v>0</v>
      </c>
      <c r="AJ2930">
        <f>'raw data Crude oil'!AJ2931</f>
        <v>0</v>
      </c>
      <c r="AK2930">
        <f>'raw data Crude oil'!AK2931</f>
        <v>0</v>
      </c>
    </row>
    <row r="2931" spans="1:37" x14ac:dyDescent="0.3">
      <c r="A2931" s="18">
        <f>'raw data Crude oil'!A2932</f>
        <v>0</v>
      </c>
      <c r="B2931">
        <f>'raw data Crude oil'!B2932</f>
        <v>0</v>
      </c>
      <c r="C2931">
        <f>'raw data Crude oil'!C2932</f>
        <v>0</v>
      </c>
      <c r="D2931">
        <f>'raw data Crude oil'!D2932</f>
        <v>0</v>
      </c>
      <c r="E2931">
        <f>'raw data Crude oil'!E2932</f>
        <v>0</v>
      </c>
      <c r="F2931">
        <f>'raw data Crude oil'!F2932</f>
        <v>0</v>
      </c>
      <c r="G2931">
        <f>'raw data Crude oil'!G2932</f>
        <v>0</v>
      </c>
      <c r="H2931">
        <f>'raw data Crude oil'!H2932</f>
        <v>0</v>
      </c>
      <c r="I2931">
        <f>'raw data Crude oil'!I2932</f>
        <v>0</v>
      </c>
      <c r="J2931">
        <f>'raw data Crude oil'!J2932</f>
        <v>0</v>
      </c>
      <c r="K2931">
        <f>'raw data Crude oil'!K2932</f>
        <v>0</v>
      </c>
      <c r="L2931">
        <f>'raw data Crude oil'!L2932</f>
        <v>0</v>
      </c>
      <c r="M2931">
        <f>'raw data Crude oil'!M2932</f>
        <v>0</v>
      </c>
      <c r="N2931">
        <f>'raw data Crude oil'!N2932</f>
        <v>0</v>
      </c>
      <c r="O2931">
        <f>'raw data Crude oil'!O2932</f>
        <v>0</v>
      </c>
      <c r="P2931">
        <f>'raw data Crude oil'!P2932</f>
        <v>0</v>
      </c>
      <c r="Q2931">
        <f>'raw data Crude oil'!Q2932</f>
        <v>0</v>
      </c>
      <c r="R2931">
        <f>'raw data Crude oil'!R2932</f>
        <v>0</v>
      </c>
      <c r="S2931">
        <f>'raw data Crude oil'!S2932</f>
        <v>0</v>
      </c>
      <c r="T2931">
        <f>'raw data Crude oil'!T2932</f>
        <v>0</v>
      </c>
      <c r="U2931">
        <f>'raw data Crude oil'!U2932</f>
        <v>0</v>
      </c>
      <c r="V2931">
        <f>'raw data Crude oil'!V2932</f>
        <v>0</v>
      </c>
      <c r="W2931">
        <f>'raw data Crude oil'!W2932</f>
        <v>0</v>
      </c>
      <c r="X2931">
        <f>'raw data Crude oil'!X2932</f>
        <v>0</v>
      </c>
      <c r="Y2931">
        <f>'raw data Crude oil'!Y2932</f>
        <v>0</v>
      </c>
      <c r="Z2931">
        <f>'raw data Crude oil'!Z2932</f>
        <v>0</v>
      </c>
      <c r="AA2931">
        <f>'raw data Crude oil'!AA2932</f>
        <v>0</v>
      </c>
      <c r="AB2931">
        <f>'raw data Crude oil'!AB2932</f>
        <v>0</v>
      </c>
      <c r="AC2931">
        <f>'raw data Crude oil'!AC2932</f>
        <v>0</v>
      </c>
      <c r="AD2931">
        <f>'raw data Crude oil'!AD2932</f>
        <v>0</v>
      </c>
      <c r="AE2931">
        <f>'raw data Crude oil'!AE2932</f>
        <v>0</v>
      </c>
      <c r="AF2931">
        <f>'raw data Crude oil'!AF2932</f>
        <v>0</v>
      </c>
      <c r="AG2931">
        <f>'raw data Crude oil'!AG2932</f>
        <v>0</v>
      </c>
      <c r="AH2931">
        <f>'raw data Crude oil'!AH2932</f>
        <v>0</v>
      </c>
      <c r="AI2931">
        <f>'raw data Crude oil'!AI2932</f>
        <v>0</v>
      </c>
      <c r="AJ2931">
        <f>'raw data Crude oil'!AJ2932</f>
        <v>0</v>
      </c>
      <c r="AK2931">
        <f>'raw data Crude oil'!AK2932</f>
        <v>0</v>
      </c>
    </row>
    <row r="2932" spans="1:37" x14ac:dyDescent="0.3">
      <c r="A2932" s="18">
        <f>'raw data Crude oil'!A2933</f>
        <v>0</v>
      </c>
      <c r="B2932">
        <f>'raw data Crude oil'!B2933</f>
        <v>0</v>
      </c>
      <c r="C2932">
        <f>'raw data Crude oil'!C2933</f>
        <v>0</v>
      </c>
      <c r="D2932">
        <f>'raw data Crude oil'!D2933</f>
        <v>0</v>
      </c>
      <c r="E2932">
        <f>'raw data Crude oil'!E2933</f>
        <v>0</v>
      </c>
      <c r="F2932">
        <f>'raw data Crude oil'!F2933</f>
        <v>0</v>
      </c>
      <c r="G2932">
        <f>'raw data Crude oil'!G2933</f>
        <v>0</v>
      </c>
      <c r="H2932">
        <f>'raw data Crude oil'!H2933</f>
        <v>0</v>
      </c>
      <c r="I2932">
        <f>'raw data Crude oil'!I2933</f>
        <v>0</v>
      </c>
      <c r="J2932">
        <f>'raw data Crude oil'!J2933</f>
        <v>0</v>
      </c>
      <c r="K2932">
        <f>'raw data Crude oil'!K2933</f>
        <v>0</v>
      </c>
      <c r="L2932">
        <f>'raw data Crude oil'!L2933</f>
        <v>0</v>
      </c>
      <c r="M2932">
        <f>'raw data Crude oil'!M2933</f>
        <v>0</v>
      </c>
      <c r="N2932">
        <f>'raw data Crude oil'!N2933</f>
        <v>0</v>
      </c>
      <c r="O2932">
        <f>'raw data Crude oil'!O2933</f>
        <v>0</v>
      </c>
      <c r="P2932">
        <f>'raw data Crude oil'!P2933</f>
        <v>0</v>
      </c>
      <c r="Q2932">
        <f>'raw data Crude oil'!Q2933</f>
        <v>0</v>
      </c>
      <c r="R2932">
        <f>'raw data Crude oil'!R2933</f>
        <v>0</v>
      </c>
      <c r="S2932">
        <f>'raw data Crude oil'!S2933</f>
        <v>0</v>
      </c>
      <c r="T2932">
        <f>'raw data Crude oil'!T2933</f>
        <v>0</v>
      </c>
      <c r="U2932">
        <f>'raw data Crude oil'!U2933</f>
        <v>0</v>
      </c>
      <c r="V2932">
        <f>'raw data Crude oil'!V2933</f>
        <v>0</v>
      </c>
      <c r="W2932">
        <f>'raw data Crude oil'!W2933</f>
        <v>0</v>
      </c>
      <c r="X2932">
        <f>'raw data Crude oil'!X2933</f>
        <v>0</v>
      </c>
      <c r="Y2932">
        <f>'raw data Crude oil'!Y2933</f>
        <v>0</v>
      </c>
      <c r="Z2932">
        <f>'raw data Crude oil'!Z2933</f>
        <v>0</v>
      </c>
      <c r="AA2932">
        <f>'raw data Crude oil'!AA2933</f>
        <v>0</v>
      </c>
      <c r="AB2932">
        <f>'raw data Crude oil'!AB2933</f>
        <v>0</v>
      </c>
      <c r="AC2932">
        <f>'raw data Crude oil'!AC2933</f>
        <v>0</v>
      </c>
      <c r="AD2932">
        <f>'raw data Crude oil'!AD2933</f>
        <v>0</v>
      </c>
      <c r="AE2932">
        <f>'raw data Crude oil'!AE2933</f>
        <v>0</v>
      </c>
      <c r="AF2932">
        <f>'raw data Crude oil'!AF2933</f>
        <v>0</v>
      </c>
      <c r="AG2932">
        <f>'raw data Crude oil'!AG2933</f>
        <v>0</v>
      </c>
      <c r="AH2932">
        <f>'raw data Crude oil'!AH2933</f>
        <v>0</v>
      </c>
      <c r="AI2932">
        <f>'raw data Crude oil'!AI2933</f>
        <v>0</v>
      </c>
      <c r="AJ2932">
        <f>'raw data Crude oil'!AJ2933</f>
        <v>0</v>
      </c>
      <c r="AK2932">
        <f>'raw data Crude oil'!AK2933</f>
        <v>0</v>
      </c>
    </row>
    <row r="2933" spans="1:37" x14ac:dyDescent="0.3">
      <c r="A2933" s="18">
        <f>'raw data Crude oil'!A2934</f>
        <v>0</v>
      </c>
      <c r="B2933">
        <f>'raw data Crude oil'!B2934</f>
        <v>0</v>
      </c>
      <c r="C2933">
        <f>'raw data Crude oil'!C2934</f>
        <v>0</v>
      </c>
      <c r="D2933">
        <f>'raw data Crude oil'!D2934</f>
        <v>0</v>
      </c>
      <c r="E2933">
        <f>'raw data Crude oil'!E2934</f>
        <v>0</v>
      </c>
      <c r="F2933">
        <f>'raw data Crude oil'!F2934</f>
        <v>0</v>
      </c>
      <c r="G2933">
        <f>'raw data Crude oil'!G2934</f>
        <v>0</v>
      </c>
      <c r="H2933">
        <f>'raw data Crude oil'!H2934</f>
        <v>0</v>
      </c>
      <c r="I2933">
        <f>'raw data Crude oil'!I2934</f>
        <v>0</v>
      </c>
      <c r="J2933">
        <f>'raw data Crude oil'!J2934</f>
        <v>0</v>
      </c>
      <c r="K2933">
        <f>'raw data Crude oil'!K2934</f>
        <v>0</v>
      </c>
      <c r="L2933">
        <f>'raw data Crude oil'!L2934</f>
        <v>0</v>
      </c>
      <c r="M2933">
        <f>'raw data Crude oil'!M2934</f>
        <v>0</v>
      </c>
      <c r="N2933">
        <f>'raw data Crude oil'!N2934</f>
        <v>0</v>
      </c>
      <c r="O2933">
        <f>'raw data Crude oil'!O2934</f>
        <v>0</v>
      </c>
      <c r="P2933">
        <f>'raw data Crude oil'!P2934</f>
        <v>0</v>
      </c>
      <c r="Q2933">
        <f>'raw data Crude oil'!Q2934</f>
        <v>0</v>
      </c>
      <c r="R2933">
        <f>'raw data Crude oil'!R2934</f>
        <v>0</v>
      </c>
      <c r="S2933">
        <f>'raw data Crude oil'!S2934</f>
        <v>0</v>
      </c>
      <c r="T2933">
        <f>'raw data Crude oil'!T2934</f>
        <v>0</v>
      </c>
      <c r="U2933">
        <f>'raw data Crude oil'!U2934</f>
        <v>0</v>
      </c>
      <c r="V2933">
        <f>'raw data Crude oil'!V2934</f>
        <v>0</v>
      </c>
      <c r="W2933">
        <f>'raw data Crude oil'!W2934</f>
        <v>0</v>
      </c>
      <c r="X2933">
        <f>'raw data Crude oil'!X2934</f>
        <v>0</v>
      </c>
      <c r="Y2933">
        <f>'raw data Crude oil'!Y2934</f>
        <v>0</v>
      </c>
      <c r="Z2933">
        <f>'raw data Crude oil'!Z2934</f>
        <v>0</v>
      </c>
      <c r="AA2933">
        <f>'raw data Crude oil'!AA2934</f>
        <v>0</v>
      </c>
      <c r="AB2933">
        <f>'raw data Crude oil'!AB2934</f>
        <v>0</v>
      </c>
      <c r="AC2933">
        <f>'raw data Crude oil'!AC2934</f>
        <v>0</v>
      </c>
      <c r="AD2933">
        <f>'raw data Crude oil'!AD2934</f>
        <v>0</v>
      </c>
      <c r="AE2933">
        <f>'raw data Crude oil'!AE2934</f>
        <v>0</v>
      </c>
      <c r="AF2933">
        <f>'raw data Crude oil'!AF2934</f>
        <v>0</v>
      </c>
      <c r="AG2933">
        <f>'raw data Crude oil'!AG2934</f>
        <v>0</v>
      </c>
      <c r="AH2933">
        <f>'raw data Crude oil'!AH2934</f>
        <v>0</v>
      </c>
      <c r="AI2933">
        <f>'raw data Crude oil'!AI2934</f>
        <v>0</v>
      </c>
      <c r="AJ2933">
        <f>'raw data Crude oil'!AJ2934</f>
        <v>0</v>
      </c>
      <c r="AK2933">
        <f>'raw data Crude oil'!AK2934</f>
        <v>0</v>
      </c>
    </row>
    <row r="2934" spans="1:37" x14ac:dyDescent="0.3">
      <c r="A2934" s="18">
        <f>'raw data Crude oil'!A2935</f>
        <v>0</v>
      </c>
      <c r="B2934">
        <f>'raw data Crude oil'!B2935</f>
        <v>0</v>
      </c>
      <c r="C2934">
        <f>'raw data Crude oil'!C2935</f>
        <v>0</v>
      </c>
      <c r="D2934">
        <f>'raw data Crude oil'!D2935</f>
        <v>0</v>
      </c>
      <c r="E2934">
        <f>'raw data Crude oil'!E2935</f>
        <v>0</v>
      </c>
      <c r="F2934">
        <f>'raw data Crude oil'!F2935</f>
        <v>0</v>
      </c>
      <c r="G2934">
        <f>'raw data Crude oil'!G2935</f>
        <v>0</v>
      </c>
      <c r="H2934">
        <f>'raw data Crude oil'!H2935</f>
        <v>0</v>
      </c>
      <c r="I2934">
        <f>'raw data Crude oil'!I2935</f>
        <v>0</v>
      </c>
      <c r="J2934">
        <f>'raw data Crude oil'!J2935</f>
        <v>0</v>
      </c>
      <c r="K2934">
        <f>'raw data Crude oil'!K2935</f>
        <v>0</v>
      </c>
      <c r="L2934">
        <f>'raw data Crude oil'!L2935</f>
        <v>0</v>
      </c>
      <c r="M2934">
        <f>'raw data Crude oil'!M2935</f>
        <v>0</v>
      </c>
      <c r="N2934">
        <f>'raw data Crude oil'!N2935</f>
        <v>0</v>
      </c>
      <c r="O2934">
        <f>'raw data Crude oil'!O2935</f>
        <v>0</v>
      </c>
      <c r="P2934">
        <f>'raw data Crude oil'!P2935</f>
        <v>0</v>
      </c>
      <c r="Q2934">
        <f>'raw data Crude oil'!Q2935</f>
        <v>0</v>
      </c>
      <c r="R2934">
        <f>'raw data Crude oil'!R2935</f>
        <v>0</v>
      </c>
      <c r="S2934">
        <f>'raw data Crude oil'!S2935</f>
        <v>0</v>
      </c>
      <c r="T2934">
        <f>'raw data Crude oil'!T2935</f>
        <v>0</v>
      </c>
      <c r="U2934">
        <f>'raw data Crude oil'!U2935</f>
        <v>0</v>
      </c>
      <c r="V2934">
        <f>'raw data Crude oil'!V2935</f>
        <v>0</v>
      </c>
      <c r="W2934">
        <f>'raw data Crude oil'!W2935</f>
        <v>0</v>
      </c>
      <c r="X2934">
        <f>'raw data Crude oil'!X2935</f>
        <v>0</v>
      </c>
      <c r="Y2934">
        <f>'raw data Crude oil'!Y2935</f>
        <v>0</v>
      </c>
      <c r="Z2934">
        <f>'raw data Crude oil'!Z2935</f>
        <v>0</v>
      </c>
      <c r="AA2934">
        <f>'raw data Crude oil'!AA2935</f>
        <v>0</v>
      </c>
      <c r="AB2934">
        <f>'raw data Crude oil'!AB2935</f>
        <v>0</v>
      </c>
      <c r="AC2934">
        <f>'raw data Crude oil'!AC2935</f>
        <v>0</v>
      </c>
      <c r="AD2934">
        <f>'raw data Crude oil'!AD2935</f>
        <v>0</v>
      </c>
      <c r="AE2934">
        <f>'raw data Crude oil'!AE2935</f>
        <v>0</v>
      </c>
      <c r="AF2934">
        <f>'raw data Crude oil'!AF2935</f>
        <v>0</v>
      </c>
      <c r="AG2934">
        <f>'raw data Crude oil'!AG2935</f>
        <v>0</v>
      </c>
      <c r="AH2934">
        <f>'raw data Crude oil'!AH2935</f>
        <v>0</v>
      </c>
      <c r="AI2934">
        <f>'raw data Crude oil'!AI2935</f>
        <v>0</v>
      </c>
      <c r="AJ2934">
        <f>'raw data Crude oil'!AJ2935</f>
        <v>0</v>
      </c>
      <c r="AK2934">
        <f>'raw data Crude oil'!AK2935</f>
        <v>0</v>
      </c>
    </row>
    <row r="2935" spans="1:37" x14ac:dyDescent="0.3">
      <c r="A2935" s="18">
        <f>'raw data Crude oil'!A2936</f>
        <v>0</v>
      </c>
      <c r="B2935">
        <f>'raw data Crude oil'!B2936</f>
        <v>0</v>
      </c>
      <c r="C2935">
        <f>'raw data Crude oil'!C2936</f>
        <v>0</v>
      </c>
      <c r="D2935">
        <f>'raw data Crude oil'!D2936</f>
        <v>0</v>
      </c>
      <c r="E2935">
        <f>'raw data Crude oil'!E2936</f>
        <v>0</v>
      </c>
      <c r="F2935">
        <f>'raw data Crude oil'!F2936</f>
        <v>0</v>
      </c>
      <c r="G2935">
        <f>'raw data Crude oil'!G2936</f>
        <v>0</v>
      </c>
      <c r="H2935">
        <f>'raw data Crude oil'!H2936</f>
        <v>0</v>
      </c>
      <c r="I2935">
        <f>'raw data Crude oil'!I2936</f>
        <v>0</v>
      </c>
      <c r="J2935">
        <f>'raw data Crude oil'!J2936</f>
        <v>0</v>
      </c>
      <c r="K2935">
        <f>'raw data Crude oil'!K2936</f>
        <v>0</v>
      </c>
      <c r="L2935">
        <f>'raw data Crude oil'!L2936</f>
        <v>0</v>
      </c>
      <c r="M2935">
        <f>'raw data Crude oil'!M2936</f>
        <v>0</v>
      </c>
      <c r="N2935">
        <f>'raw data Crude oil'!N2936</f>
        <v>0</v>
      </c>
      <c r="O2935">
        <f>'raw data Crude oil'!O2936</f>
        <v>0</v>
      </c>
      <c r="P2935">
        <f>'raw data Crude oil'!P2936</f>
        <v>0</v>
      </c>
      <c r="Q2935">
        <f>'raw data Crude oil'!Q2936</f>
        <v>0</v>
      </c>
      <c r="R2935">
        <f>'raw data Crude oil'!R2936</f>
        <v>0</v>
      </c>
      <c r="S2935">
        <f>'raw data Crude oil'!S2936</f>
        <v>0</v>
      </c>
      <c r="T2935">
        <f>'raw data Crude oil'!T2936</f>
        <v>0</v>
      </c>
      <c r="U2935">
        <f>'raw data Crude oil'!U2936</f>
        <v>0</v>
      </c>
      <c r="V2935">
        <f>'raw data Crude oil'!V2936</f>
        <v>0</v>
      </c>
      <c r="W2935">
        <f>'raw data Crude oil'!W2936</f>
        <v>0</v>
      </c>
      <c r="X2935">
        <f>'raw data Crude oil'!X2936</f>
        <v>0</v>
      </c>
      <c r="Y2935">
        <f>'raw data Crude oil'!Y2936</f>
        <v>0</v>
      </c>
      <c r="Z2935">
        <f>'raw data Crude oil'!Z2936</f>
        <v>0</v>
      </c>
      <c r="AA2935">
        <f>'raw data Crude oil'!AA2936</f>
        <v>0</v>
      </c>
      <c r="AB2935">
        <f>'raw data Crude oil'!AB2936</f>
        <v>0</v>
      </c>
      <c r="AC2935">
        <f>'raw data Crude oil'!AC2936</f>
        <v>0</v>
      </c>
      <c r="AD2935">
        <f>'raw data Crude oil'!AD2936</f>
        <v>0</v>
      </c>
      <c r="AE2935">
        <f>'raw data Crude oil'!AE2936</f>
        <v>0</v>
      </c>
      <c r="AF2935">
        <f>'raw data Crude oil'!AF2936</f>
        <v>0</v>
      </c>
      <c r="AG2935">
        <f>'raw data Crude oil'!AG2936</f>
        <v>0</v>
      </c>
      <c r="AH2935">
        <f>'raw data Crude oil'!AH2936</f>
        <v>0</v>
      </c>
      <c r="AI2935">
        <f>'raw data Crude oil'!AI2936</f>
        <v>0</v>
      </c>
      <c r="AJ2935">
        <f>'raw data Crude oil'!AJ2936</f>
        <v>0</v>
      </c>
      <c r="AK2935">
        <f>'raw data Crude oil'!AK2936</f>
        <v>0</v>
      </c>
    </row>
    <row r="2936" spans="1:37" x14ac:dyDescent="0.3">
      <c r="A2936" s="18">
        <f>'raw data Crude oil'!A2937</f>
        <v>0</v>
      </c>
      <c r="B2936">
        <f>'raw data Crude oil'!B2937</f>
        <v>0</v>
      </c>
      <c r="C2936">
        <f>'raw data Crude oil'!C2937</f>
        <v>0</v>
      </c>
      <c r="D2936">
        <f>'raw data Crude oil'!D2937</f>
        <v>0</v>
      </c>
      <c r="E2936">
        <f>'raw data Crude oil'!E2937</f>
        <v>0</v>
      </c>
      <c r="F2936">
        <f>'raw data Crude oil'!F2937</f>
        <v>0</v>
      </c>
      <c r="G2936">
        <f>'raw data Crude oil'!G2937</f>
        <v>0</v>
      </c>
      <c r="H2936">
        <f>'raw data Crude oil'!H2937</f>
        <v>0</v>
      </c>
      <c r="I2936">
        <f>'raw data Crude oil'!I2937</f>
        <v>0</v>
      </c>
      <c r="J2936">
        <f>'raw data Crude oil'!J2937</f>
        <v>0</v>
      </c>
      <c r="K2936">
        <f>'raw data Crude oil'!K2937</f>
        <v>0</v>
      </c>
      <c r="L2936">
        <f>'raw data Crude oil'!L2937</f>
        <v>0</v>
      </c>
      <c r="M2936">
        <f>'raw data Crude oil'!M2937</f>
        <v>0</v>
      </c>
      <c r="N2936">
        <f>'raw data Crude oil'!N2937</f>
        <v>0</v>
      </c>
      <c r="O2936">
        <f>'raw data Crude oil'!O2937</f>
        <v>0</v>
      </c>
      <c r="P2936">
        <f>'raw data Crude oil'!P2937</f>
        <v>0</v>
      </c>
      <c r="Q2936">
        <f>'raw data Crude oil'!Q2937</f>
        <v>0</v>
      </c>
      <c r="R2936">
        <f>'raw data Crude oil'!R2937</f>
        <v>0</v>
      </c>
      <c r="S2936">
        <f>'raw data Crude oil'!S2937</f>
        <v>0</v>
      </c>
      <c r="T2936">
        <f>'raw data Crude oil'!T2937</f>
        <v>0</v>
      </c>
      <c r="U2936">
        <f>'raw data Crude oil'!U2937</f>
        <v>0</v>
      </c>
      <c r="V2936">
        <f>'raw data Crude oil'!V2937</f>
        <v>0</v>
      </c>
      <c r="W2936">
        <f>'raw data Crude oil'!W2937</f>
        <v>0</v>
      </c>
      <c r="X2936">
        <f>'raw data Crude oil'!X2937</f>
        <v>0</v>
      </c>
      <c r="Y2936">
        <f>'raw data Crude oil'!Y2937</f>
        <v>0</v>
      </c>
      <c r="Z2936">
        <f>'raw data Crude oil'!Z2937</f>
        <v>0</v>
      </c>
      <c r="AA2936">
        <f>'raw data Crude oil'!AA2937</f>
        <v>0</v>
      </c>
      <c r="AB2936">
        <f>'raw data Crude oil'!AB2937</f>
        <v>0</v>
      </c>
      <c r="AC2936">
        <f>'raw data Crude oil'!AC2937</f>
        <v>0</v>
      </c>
      <c r="AD2936">
        <f>'raw data Crude oil'!AD2937</f>
        <v>0</v>
      </c>
      <c r="AE2936">
        <f>'raw data Crude oil'!AE2937</f>
        <v>0</v>
      </c>
      <c r="AF2936">
        <f>'raw data Crude oil'!AF2937</f>
        <v>0</v>
      </c>
      <c r="AG2936">
        <f>'raw data Crude oil'!AG2937</f>
        <v>0</v>
      </c>
      <c r="AH2936">
        <f>'raw data Crude oil'!AH2937</f>
        <v>0</v>
      </c>
      <c r="AI2936">
        <f>'raw data Crude oil'!AI2937</f>
        <v>0</v>
      </c>
      <c r="AJ2936">
        <f>'raw data Crude oil'!AJ2937</f>
        <v>0</v>
      </c>
      <c r="AK2936">
        <f>'raw data Crude oil'!AK2937</f>
        <v>0</v>
      </c>
    </row>
    <row r="2937" spans="1:37" x14ac:dyDescent="0.3">
      <c r="A2937" s="18">
        <f>'raw data Crude oil'!A2938</f>
        <v>0</v>
      </c>
      <c r="B2937">
        <f>'raw data Crude oil'!B2938</f>
        <v>0</v>
      </c>
      <c r="C2937">
        <f>'raw data Crude oil'!C2938</f>
        <v>0</v>
      </c>
      <c r="D2937">
        <f>'raw data Crude oil'!D2938</f>
        <v>0</v>
      </c>
      <c r="E2937">
        <f>'raw data Crude oil'!E2938</f>
        <v>0</v>
      </c>
      <c r="F2937">
        <f>'raw data Crude oil'!F2938</f>
        <v>0</v>
      </c>
      <c r="G2937">
        <f>'raw data Crude oil'!G2938</f>
        <v>0</v>
      </c>
      <c r="H2937">
        <f>'raw data Crude oil'!H2938</f>
        <v>0</v>
      </c>
      <c r="I2937">
        <f>'raw data Crude oil'!I2938</f>
        <v>0</v>
      </c>
      <c r="J2937">
        <f>'raw data Crude oil'!J2938</f>
        <v>0</v>
      </c>
      <c r="K2937">
        <f>'raw data Crude oil'!K2938</f>
        <v>0</v>
      </c>
      <c r="L2937">
        <f>'raw data Crude oil'!L2938</f>
        <v>0</v>
      </c>
      <c r="M2937">
        <f>'raw data Crude oil'!M2938</f>
        <v>0</v>
      </c>
      <c r="N2937">
        <f>'raw data Crude oil'!N2938</f>
        <v>0</v>
      </c>
      <c r="O2937">
        <f>'raw data Crude oil'!O2938</f>
        <v>0</v>
      </c>
      <c r="P2937">
        <f>'raw data Crude oil'!P2938</f>
        <v>0</v>
      </c>
      <c r="Q2937">
        <f>'raw data Crude oil'!Q2938</f>
        <v>0</v>
      </c>
      <c r="R2937">
        <f>'raw data Crude oil'!R2938</f>
        <v>0</v>
      </c>
      <c r="S2937">
        <f>'raw data Crude oil'!S2938</f>
        <v>0</v>
      </c>
      <c r="T2937">
        <f>'raw data Crude oil'!T2938</f>
        <v>0</v>
      </c>
      <c r="U2937">
        <f>'raw data Crude oil'!U2938</f>
        <v>0</v>
      </c>
      <c r="V2937">
        <f>'raw data Crude oil'!V2938</f>
        <v>0</v>
      </c>
      <c r="W2937">
        <f>'raw data Crude oil'!W2938</f>
        <v>0</v>
      </c>
      <c r="X2937">
        <f>'raw data Crude oil'!X2938</f>
        <v>0</v>
      </c>
      <c r="Y2937">
        <f>'raw data Crude oil'!Y2938</f>
        <v>0</v>
      </c>
      <c r="Z2937">
        <f>'raw data Crude oil'!Z2938</f>
        <v>0</v>
      </c>
      <c r="AA2937">
        <f>'raw data Crude oil'!AA2938</f>
        <v>0</v>
      </c>
      <c r="AB2937">
        <f>'raw data Crude oil'!AB2938</f>
        <v>0</v>
      </c>
      <c r="AC2937">
        <f>'raw data Crude oil'!AC2938</f>
        <v>0</v>
      </c>
      <c r="AD2937">
        <f>'raw data Crude oil'!AD2938</f>
        <v>0</v>
      </c>
      <c r="AE2937">
        <f>'raw data Crude oil'!AE2938</f>
        <v>0</v>
      </c>
      <c r="AF2937">
        <f>'raw data Crude oil'!AF2938</f>
        <v>0</v>
      </c>
      <c r="AG2937">
        <f>'raw data Crude oil'!AG2938</f>
        <v>0</v>
      </c>
      <c r="AH2937">
        <f>'raw data Crude oil'!AH2938</f>
        <v>0</v>
      </c>
      <c r="AI2937">
        <f>'raw data Crude oil'!AI2938</f>
        <v>0</v>
      </c>
      <c r="AJ2937">
        <f>'raw data Crude oil'!AJ2938</f>
        <v>0</v>
      </c>
      <c r="AK2937">
        <f>'raw data Crude oil'!AK2938</f>
        <v>0</v>
      </c>
    </row>
    <row r="2938" spans="1:37" x14ac:dyDescent="0.3">
      <c r="A2938" s="18">
        <f>'raw data Crude oil'!A2939</f>
        <v>0</v>
      </c>
      <c r="B2938">
        <f>'raw data Crude oil'!B2939</f>
        <v>0</v>
      </c>
      <c r="C2938">
        <f>'raw data Crude oil'!C2939</f>
        <v>0</v>
      </c>
      <c r="D2938">
        <f>'raw data Crude oil'!D2939</f>
        <v>0</v>
      </c>
      <c r="E2938">
        <f>'raw data Crude oil'!E2939</f>
        <v>0</v>
      </c>
      <c r="F2938">
        <f>'raw data Crude oil'!F2939</f>
        <v>0</v>
      </c>
      <c r="G2938">
        <f>'raw data Crude oil'!G2939</f>
        <v>0</v>
      </c>
      <c r="H2938">
        <f>'raw data Crude oil'!H2939</f>
        <v>0</v>
      </c>
      <c r="I2938">
        <f>'raw data Crude oil'!I2939</f>
        <v>0</v>
      </c>
      <c r="J2938">
        <f>'raw data Crude oil'!J2939</f>
        <v>0</v>
      </c>
      <c r="K2938">
        <f>'raw data Crude oil'!K2939</f>
        <v>0</v>
      </c>
      <c r="L2938">
        <f>'raw data Crude oil'!L2939</f>
        <v>0</v>
      </c>
      <c r="M2938">
        <f>'raw data Crude oil'!M2939</f>
        <v>0</v>
      </c>
      <c r="N2938">
        <f>'raw data Crude oil'!N2939</f>
        <v>0</v>
      </c>
      <c r="O2938">
        <f>'raw data Crude oil'!O2939</f>
        <v>0</v>
      </c>
      <c r="P2938">
        <f>'raw data Crude oil'!P2939</f>
        <v>0</v>
      </c>
      <c r="Q2938">
        <f>'raw data Crude oil'!Q2939</f>
        <v>0</v>
      </c>
      <c r="R2938">
        <f>'raw data Crude oil'!R2939</f>
        <v>0</v>
      </c>
      <c r="S2938">
        <f>'raw data Crude oil'!S2939</f>
        <v>0</v>
      </c>
      <c r="T2938">
        <f>'raw data Crude oil'!T2939</f>
        <v>0</v>
      </c>
      <c r="U2938">
        <f>'raw data Crude oil'!U2939</f>
        <v>0</v>
      </c>
      <c r="V2938">
        <f>'raw data Crude oil'!V2939</f>
        <v>0</v>
      </c>
      <c r="W2938">
        <f>'raw data Crude oil'!W2939</f>
        <v>0</v>
      </c>
      <c r="X2938">
        <f>'raw data Crude oil'!X2939</f>
        <v>0</v>
      </c>
      <c r="Y2938">
        <f>'raw data Crude oil'!Y2939</f>
        <v>0</v>
      </c>
      <c r="Z2938">
        <f>'raw data Crude oil'!Z2939</f>
        <v>0</v>
      </c>
      <c r="AA2938">
        <f>'raw data Crude oil'!AA2939</f>
        <v>0</v>
      </c>
      <c r="AB2938">
        <f>'raw data Crude oil'!AB2939</f>
        <v>0</v>
      </c>
      <c r="AC2938">
        <f>'raw data Crude oil'!AC2939</f>
        <v>0</v>
      </c>
      <c r="AD2938">
        <f>'raw data Crude oil'!AD2939</f>
        <v>0</v>
      </c>
      <c r="AE2938">
        <f>'raw data Crude oil'!AE2939</f>
        <v>0</v>
      </c>
      <c r="AF2938">
        <f>'raw data Crude oil'!AF2939</f>
        <v>0</v>
      </c>
      <c r="AG2938">
        <f>'raw data Crude oil'!AG2939</f>
        <v>0</v>
      </c>
      <c r="AH2938">
        <f>'raw data Crude oil'!AH2939</f>
        <v>0</v>
      </c>
      <c r="AI2938">
        <f>'raw data Crude oil'!AI2939</f>
        <v>0</v>
      </c>
      <c r="AJ2938">
        <f>'raw data Crude oil'!AJ2939</f>
        <v>0</v>
      </c>
      <c r="AK2938">
        <f>'raw data Crude oil'!AK2939</f>
        <v>0</v>
      </c>
    </row>
    <row r="2939" spans="1:37" x14ac:dyDescent="0.3">
      <c r="A2939" s="18">
        <f>'raw data Crude oil'!A2940</f>
        <v>0</v>
      </c>
      <c r="B2939">
        <f>'raw data Crude oil'!B2940</f>
        <v>0</v>
      </c>
      <c r="C2939">
        <f>'raw data Crude oil'!C2940</f>
        <v>0</v>
      </c>
      <c r="D2939">
        <f>'raw data Crude oil'!D2940</f>
        <v>0</v>
      </c>
      <c r="E2939">
        <f>'raw data Crude oil'!E2940</f>
        <v>0</v>
      </c>
      <c r="F2939">
        <f>'raw data Crude oil'!F2940</f>
        <v>0</v>
      </c>
      <c r="G2939">
        <f>'raw data Crude oil'!G2940</f>
        <v>0</v>
      </c>
      <c r="H2939">
        <f>'raw data Crude oil'!H2940</f>
        <v>0</v>
      </c>
      <c r="I2939">
        <f>'raw data Crude oil'!I2940</f>
        <v>0</v>
      </c>
      <c r="J2939">
        <f>'raw data Crude oil'!J2940</f>
        <v>0</v>
      </c>
      <c r="K2939">
        <f>'raw data Crude oil'!K2940</f>
        <v>0</v>
      </c>
      <c r="L2939">
        <f>'raw data Crude oil'!L2940</f>
        <v>0</v>
      </c>
      <c r="M2939">
        <f>'raw data Crude oil'!M2940</f>
        <v>0</v>
      </c>
      <c r="N2939">
        <f>'raw data Crude oil'!N2940</f>
        <v>0</v>
      </c>
      <c r="O2939">
        <f>'raw data Crude oil'!O2940</f>
        <v>0</v>
      </c>
      <c r="P2939">
        <f>'raw data Crude oil'!P2940</f>
        <v>0</v>
      </c>
      <c r="Q2939">
        <f>'raw data Crude oil'!Q2940</f>
        <v>0</v>
      </c>
      <c r="R2939">
        <f>'raw data Crude oil'!R2940</f>
        <v>0</v>
      </c>
      <c r="S2939">
        <f>'raw data Crude oil'!S2940</f>
        <v>0</v>
      </c>
      <c r="T2939">
        <f>'raw data Crude oil'!T2940</f>
        <v>0</v>
      </c>
      <c r="U2939">
        <f>'raw data Crude oil'!U2940</f>
        <v>0</v>
      </c>
      <c r="V2939">
        <f>'raw data Crude oil'!V2940</f>
        <v>0</v>
      </c>
      <c r="W2939">
        <f>'raw data Crude oil'!W2940</f>
        <v>0</v>
      </c>
      <c r="X2939">
        <f>'raw data Crude oil'!X2940</f>
        <v>0</v>
      </c>
      <c r="Y2939">
        <f>'raw data Crude oil'!Y2940</f>
        <v>0</v>
      </c>
      <c r="Z2939">
        <f>'raw data Crude oil'!Z2940</f>
        <v>0</v>
      </c>
      <c r="AA2939">
        <f>'raw data Crude oil'!AA2940</f>
        <v>0</v>
      </c>
      <c r="AB2939">
        <f>'raw data Crude oil'!AB2940</f>
        <v>0</v>
      </c>
      <c r="AC2939">
        <f>'raw data Crude oil'!AC2940</f>
        <v>0</v>
      </c>
      <c r="AD2939">
        <f>'raw data Crude oil'!AD2940</f>
        <v>0</v>
      </c>
      <c r="AE2939">
        <f>'raw data Crude oil'!AE2940</f>
        <v>0</v>
      </c>
      <c r="AF2939">
        <f>'raw data Crude oil'!AF2940</f>
        <v>0</v>
      </c>
      <c r="AG2939">
        <f>'raw data Crude oil'!AG2940</f>
        <v>0</v>
      </c>
      <c r="AH2939">
        <f>'raw data Crude oil'!AH2940</f>
        <v>0</v>
      </c>
      <c r="AI2939">
        <f>'raw data Crude oil'!AI2940</f>
        <v>0</v>
      </c>
      <c r="AJ2939">
        <f>'raw data Crude oil'!AJ2940</f>
        <v>0</v>
      </c>
      <c r="AK2939">
        <f>'raw data Crude oil'!AK2940</f>
        <v>0</v>
      </c>
    </row>
    <row r="2940" spans="1:37" x14ac:dyDescent="0.3">
      <c r="A2940" s="18">
        <f>'raw data Crude oil'!A2941</f>
        <v>0</v>
      </c>
      <c r="B2940">
        <f>'raw data Crude oil'!B2941</f>
        <v>0</v>
      </c>
      <c r="C2940">
        <f>'raw data Crude oil'!C2941</f>
        <v>0</v>
      </c>
      <c r="D2940">
        <f>'raw data Crude oil'!D2941</f>
        <v>0</v>
      </c>
      <c r="E2940">
        <f>'raw data Crude oil'!E2941</f>
        <v>0</v>
      </c>
      <c r="F2940">
        <f>'raw data Crude oil'!F2941</f>
        <v>0</v>
      </c>
      <c r="G2940">
        <f>'raw data Crude oil'!G2941</f>
        <v>0</v>
      </c>
      <c r="H2940">
        <f>'raw data Crude oil'!H2941</f>
        <v>0</v>
      </c>
      <c r="I2940">
        <f>'raw data Crude oil'!I2941</f>
        <v>0</v>
      </c>
      <c r="J2940">
        <f>'raw data Crude oil'!J2941</f>
        <v>0</v>
      </c>
      <c r="K2940">
        <f>'raw data Crude oil'!K2941</f>
        <v>0</v>
      </c>
      <c r="L2940">
        <f>'raw data Crude oil'!L2941</f>
        <v>0</v>
      </c>
      <c r="M2940">
        <f>'raw data Crude oil'!M2941</f>
        <v>0</v>
      </c>
      <c r="N2940">
        <f>'raw data Crude oil'!N2941</f>
        <v>0</v>
      </c>
      <c r="O2940">
        <f>'raw data Crude oil'!O2941</f>
        <v>0</v>
      </c>
      <c r="P2940">
        <f>'raw data Crude oil'!P2941</f>
        <v>0</v>
      </c>
      <c r="Q2940">
        <f>'raw data Crude oil'!Q2941</f>
        <v>0</v>
      </c>
      <c r="R2940">
        <f>'raw data Crude oil'!R2941</f>
        <v>0</v>
      </c>
      <c r="S2940">
        <f>'raw data Crude oil'!S2941</f>
        <v>0</v>
      </c>
      <c r="T2940">
        <f>'raw data Crude oil'!T2941</f>
        <v>0</v>
      </c>
      <c r="U2940">
        <f>'raw data Crude oil'!U2941</f>
        <v>0</v>
      </c>
      <c r="V2940">
        <f>'raw data Crude oil'!V2941</f>
        <v>0</v>
      </c>
      <c r="W2940">
        <f>'raw data Crude oil'!W2941</f>
        <v>0</v>
      </c>
      <c r="X2940">
        <f>'raw data Crude oil'!X2941</f>
        <v>0</v>
      </c>
      <c r="Y2940">
        <f>'raw data Crude oil'!Y2941</f>
        <v>0</v>
      </c>
      <c r="Z2940">
        <f>'raw data Crude oil'!Z2941</f>
        <v>0</v>
      </c>
      <c r="AA2940">
        <f>'raw data Crude oil'!AA2941</f>
        <v>0</v>
      </c>
      <c r="AB2940">
        <f>'raw data Crude oil'!AB2941</f>
        <v>0</v>
      </c>
      <c r="AC2940">
        <f>'raw data Crude oil'!AC2941</f>
        <v>0</v>
      </c>
      <c r="AD2940">
        <f>'raw data Crude oil'!AD2941</f>
        <v>0</v>
      </c>
      <c r="AE2940">
        <f>'raw data Crude oil'!AE2941</f>
        <v>0</v>
      </c>
      <c r="AF2940">
        <f>'raw data Crude oil'!AF2941</f>
        <v>0</v>
      </c>
      <c r="AG2940">
        <f>'raw data Crude oil'!AG2941</f>
        <v>0</v>
      </c>
      <c r="AH2940">
        <f>'raw data Crude oil'!AH2941</f>
        <v>0</v>
      </c>
      <c r="AI2940">
        <f>'raw data Crude oil'!AI2941</f>
        <v>0</v>
      </c>
      <c r="AJ2940">
        <f>'raw data Crude oil'!AJ2941</f>
        <v>0</v>
      </c>
      <c r="AK2940">
        <f>'raw data Crude oil'!AK2941</f>
        <v>0</v>
      </c>
    </row>
    <row r="2941" spans="1:37" x14ac:dyDescent="0.3">
      <c r="A2941" s="18">
        <f>'raw data Crude oil'!A2942</f>
        <v>0</v>
      </c>
      <c r="B2941">
        <f>'raw data Crude oil'!B2942</f>
        <v>0</v>
      </c>
      <c r="C2941">
        <f>'raw data Crude oil'!C2942</f>
        <v>0</v>
      </c>
      <c r="D2941">
        <f>'raw data Crude oil'!D2942</f>
        <v>0</v>
      </c>
      <c r="E2941">
        <f>'raw data Crude oil'!E2942</f>
        <v>0</v>
      </c>
      <c r="F2941">
        <f>'raw data Crude oil'!F2942</f>
        <v>0</v>
      </c>
      <c r="G2941">
        <f>'raw data Crude oil'!G2942</f>
        <v>0</v>
      </c>
      <c r="H2941">
        <f>'raw data Crude oil'!H2942</f>
        <v>0</v>
      </c>
      <c r="I2941">
        <f>'raw data Crude oil'!I2942</f>
        <v>0</v>
      </c>
      <c r="J2941">
        <f>'raw data Crude oil'!J2942</f>
        <v>0</v>
      </c>
      <c r="K2941">
        <f>'raw data Crude oil'!K2942</f>
        <v>0</v>
      </c>
      <c r="L2941">
        <f>'raw data Crude oil'!L2942</f>
        <v>0</v>
      </c>
      <c r="M2941">
        <f>'raw data Crude oil'!M2942</f>
        <v>0</v>
      </c>
      <c r="N2941">
        <f>'raw data Crude oil'!N2942</f>
        <v>0</v>
      </c>
      <c r="O2941">
        <f>'raw data Crude oil'!O2942</f>
        <v>0</v>
      </c>
      <c r="P2941">
        <f>'raw data Crude oil'!P2942</f>
        <v>0</v>
      </c>
      <c r="Q2941">
        <f>'raw data Crude oil'!Q2942</f>
        <v>0</v>
      </c>
      <c r="R2941">
        <f>'raw data Crude oil'!R2942</f>
        <v>0</v>
      </c>
      <c r="S2941">
        <f>'raw data Crude oil'!S2942</f>
        <v>0</v>
      </c>
      <c r="T2941">
        <f>'raw data Crude oil'!T2942</f>
        <v>0</v>
      </c>
      <c r="U2941">
        <f>'raw data Crude oil'!U2942</f>
        <v>0</v>
      </c>
      <c r="V2941">
        <f>'raw data Crude oil'!V2942</f>
        <v>0</v>
      </c>
      <c r="W2941">
        <f>'raw data Crude oil'!W2942</f>
        <v>0</v>
      </c>
      <c r="X2941">
        <f>'raw data Crude oil'!X2942</f>
        <v>0</v>
      </c>
      <c r="Y2941">
        <f>'raw data Crude oil'!Y2942</f>
        <v>0</v>
      </c>
      <c r="Z2941">
        <f>'raw data Crude oil'!Z2942</f>
        <v>0</v>
      </c>
      <c r="AA2941">
        <f>'raw data Crude oil'!AA2942</f>
        <v>0</v>
      </c>
      <c r="AB2941">
        <f>'raw data Crude oil'!AB2942</f>
        <v>0</v>
      </c>
      <c r="AC2941">
        <f>'raw data Crude oil'!AC2942</f>
        <v>0</v>
      </c>
      <c r="AD2941">
        <f>'raw data Crude oil'!AD2942</f>
        <v>0</v>
      </c>
      <c r="AE2941">
        <f>'raw data Crude oil'!AE2942</f>
        <v>0</v>
      </c>
      <c r="AF2941">
        <f>'raw data Crude oil'!AF2942</f>
        <v>0</v>
      </c>
      <c r="AG2941">
        <f>'raw data Crude oil'!AG2942</f>
        <v>0</v>
      </c>
      <c r="AH2941">
        <f>'raw data Crude oil'!AH2942</f>
        <v>0</v>
      </c>
      <c r="AI2941">
        <f>'raw data Crude oil'!AI2942</f>
        <v>0</v>
      </c>
      <c r="AJ2941">
        <f>'raw data Crude oil'!AJ2942</f>
        <v>0</v>
      </c>
      <c r="AK2941">
        <f>'raw data Crude oil'!AK2942</f>
        <v>0</v>
      </c>
    </row>
    <row r="2942" spans="1:37" x14ac:dyDescent="0.3">
      <c r="A2942" s="18">
        <f>'raw data Crude oil'!A2943</f>
        <v>0</v>
      </c>
      <c r="B2942">
        <f>'raw data Crude oil'!B2943</f>
        <v>0</v>
      </c>
      <c r="C2942">
        <f>'raw data Crude oil'!C2943</f>
        <v>0</v>
      </c>
      <c r="D2942">
        <f>'raw data Crude oil'!D2943</f>
        <v>0</v>
      </c>
      <c r="E2942">
        <f>'raw data Crude oil'!E2943</f>
        <v>0</v>
      </c>
      <c r="F2942">
        <f>'raw data Crude oil'!F2943</f>
        <v>0</v>
      </c>
      <c r="G2942">
        <f>'raw data Crude oil'!G2943</f>
        <v>0</v>
      </c>
      <c r="H2942">
        <f>'raw data Crude oil'!H2943</f>
        <v>0</v>
      </c>
      <c r="I2942">
        <f>'raw data Crude oil'!I2943</f>
        <v>0</v>
      </c>
      <c r="J2942">
        <f>'raw data Crude oil'!J2943</f>
        <v>0</v>
      </c>
      <c r="K2942">
        <f>'raw data Crude oil'!K2943</f>
        <v>0</v>
      </c>
      <c r="L2942">
        <f>'raw data Crude oil'!L2943</f>
        <v>0</v>
      </c>
      <c r="M2942">
        <f>'raw data Crude oil'!M2943</f>
        <v>0</v>
      </c>
      <c r="N2942">
        <f>'raw data Crude oil'!N2943</f>
        <v>0</v>
      </c>
      <c r="O2942">
        <f>'raw data Crude oil'!O2943</f>
        <v>0</v>
      </c>
      <c r="P2942">
        <f>'raw data Crude oil'!P2943</f>
        <v>0</v>
      </c>
      <c r="Q2942">
        <f>'raw data Crude oil'!Q2943</f>
        <v>0</v>
      </c>
      <c r="R2942">
        <f>'raw data Crude oil'!R2943</f>
        <v>0</v>
      </c>
      <c r="S2942">
        <f>'raw data Crude oil'!S2943</f>
        <v>0</v>
      </c>
      <c r="T2942">
        <f>'raw data Crude oil'!T2943</f>
        <v>0</v>
      </c>
      <c r="U2942">
        <f>'raw data Crude oil'!U2943</f>
        <v>0</v>
      </c>
      <c r="V2942">
        <f>'raw data Crude oil'!V2943</f>
        <v>0</v>
      </c>
      <c r="W2942">
        <f>'raw data Crude oil'!W2943</f>
        <v>0</v>
      </c>
      <c r="X2942">
        <f>'raw data Crude oil'!X2943</f>
        <v>0</v>
      </c>
      <c r="Y2942">
        <f>'raw data Crude oil'!Y2943</f>
        <v>0</v>
      </c>
      <c r="Z2942">
        <f>'raw data Crude oil'!Z2943</f>
        <v>0</v>
      </c>
      <c r="AA2942">
        <f>'raw data Crude oil'!AA2943</f>
        <v>0</v>
      </c>
      <c r="AB2942">
        <f>'raw data Crude oil'!AB2943</f>
        <v>0</v>
      </c>
      <c r="AC2942">
        <f>'raw data Crude oil'!AC2943</f>
        <v>0</v>
      </c>
      <c r="AD2942">
        <f>'raw data Crude oil'!AD2943</f>
        <v>0</v>
      </c>
      <c r="AE2942">
        <f>'raw data Crude oil'!AE2943</f>
        <v>0</v>
      </c>
      <c r="AF2942">
        <f>'raw data Crude oil'!AF2943</f>
        <v>0</v>
      </c>
      <c r="AG2942">
        <f>'raw data Crude oil'!AG2943</f>
        <v>0</v>
      </c>
      <c r="AH2942">
        <f>'raw data Crude oil'!AH2943</f>
        <v>0</v>
      </c>
      <c r="AI2942">
        <f>'raw data Crude oil'!AI2943</f>
        <v>0</v>
      </c>
      <c r="AJ2942">
        <f>'raw data Crude oil'!AJ2943</f>
        <v>0</v>
      </c>
      <c r="AK2942">
        <f>'raw data Crude oil'!AK2943</f>
        <v>0</v>
      </c>
    </row>
    <row r="2943" spans="1:37" x14ac:dyDescent="0.3">
      <c r="A2943" s="18">
        <f>'raw data Crude oil'!A2944</f>
        <v>0</v>
      </c>
      <c r="B2943">
        <f>'raw data Crude oil'!B2944</f>
        <v>0</v>
      </c>
      <c r="C2943">
        <f>'raw data Crude oil'!C2944</f>
        <v>0</v>
      </c>
      <c r="D2943">
        <f>'raw data Crude oil'!D2944</f>
        <v>0</v>
      </c>
      <c r="E2943">
        <f>'raw data Crude oil'!E2944</f>
        <v>0</v>
      </c>
      <c r="F2943">
        <f>'raw data Crude oil'!F2944</f>
        <v>0</v>
      </c>
      <c r="G2943">
        <f>'raw data Crude oil'!G2944</f>
        <v>0</v>
      </c>
      <c r="H2943">
        <f>'raw data Crude oil'!H2944</f>
        <v>0</v>
      </c>
      <c r="I2943">
        <f>'raw data Crude oil'!I2944</f>
        <v>0</v>
      </c>
      <c r="J2943">
        <f>'raw data Crude oil'!J2944</f>
        <v>0</v>
      </c>
      <c r="K2943">
        <f>'raw data Crude oil'!K2944</f>
        <v>0</v>
      </c>
      <c r="L2943">
        <f>'raw data Crude oil'!L2944</f>
        <v>0</v>
      </c>
      <c r="M2943">
        <f>'raw data Crude oil'!M2944</f>
        <v>0</v>
      </c>
      <c r="N2943">
        <f>'raw data Crude oil'!N2944</f>
        <v>0</v>
      </c>
      <c r="O2943">
        <f>'raw data Crude oil'!O2944</f>
        <v>0</v>
      </c>
      <c r="P2943">
        <f>'raw data Crude oil'!P2944</f>
        <v>0</v>
      </c>
      <c r="Q2943">
        <f>'raw data Crude oil'!Q2944</f>
        <v>0</v>
      </c>
      <c r="R2943">
        <f>'raw data Crude oil'!R2944</f>
        <v>0</v>
      </c>
      <c r="S2943">
        <f>'raw data Crude oil'!S2944</f>
        <v>0</v>
      </c>
      <c r="T2943">
        <f>'raw data Crude oil'!T2944</f>
        <v>0</v>
      </c>
      <c r="U2943">
        <f>'raw data Crude oil'!U2944</f>
        <v>0</v>
      </c>
      <c r="V2943">
        <f>'raw data Crude oil'!V2944</f>
        <v>0</v>
      </c>
      <c r="W2943">
        <f>'raw data Crude oil'!W2944</f>
        <v>0</v>
      </c>
      <c r="X2943">
        <f>'raw data Crude oil'!X2944</f>
        <v>0</v>
      </c>
      <c r="Y2943">
        <f>'raw data Crude oil'!Y2944</f>
        <v>0</v>
      </c>
      <c r="Z2943">
        <f>'raw data Crude oil'!Z2944</f>
        <v>0</v>
      </c>
      <c r="AA2943">
        <f>'raw data Crude oil'!AA2944</f>
        <v>0</v>
      </c>
      <c r="AB2943">
        <f>'raw data Crude oil'!AB2944</f>
        <v>0</v>
      </c>
      <c r="AC2943">
        <f>'raw data Crude oil'!AC2944</f>
        <v>0</v>
      </c>
      <c r="AD2943">
        <f>'raw data Crude oil'!AD2944</f>
        <v>0</v>
      </c>
      <c r="AE2943">
        <f>'raw data Crude oil'!AE2944</f>
        <v>0</v>
      </c>
      <c r="AF2943">
        <f>'raw data Crude oil'!AF2944</f>
        <v>0</v>
      </c>
      <c r="AG2943">
        <f>'raw data Crude oil'!AG2944</f>
        <v>0</v>
      </c>
      <c r="AH2943">
        <f>'raw data Crude oil'!AH2944</f>
        <v>0</v>
      </c>
      <c r="AI2943">
        <f>'raw data Crude oil'!AI2944</f>
        <v>0</v>
      </c>
      <c r="AJ2943">
        <f>'raw data Crude oil'!AJ2944</f>
        <v>0</v>
      </c>
      <c r="AK2943">
        <f>'raw data Crude oil'!AK2944</f>
        <v>0</v>
      </c>
    </row>
    <row r="2944" spans="1:37" x14ac:dyDescent="0.3">
      <c r="A2944" s="18">
        <f>'raw data Crude oil'!A2945</f>
        <v>0</v>
      </c>
      <c r="B2944">
        <f>'raw data Crude oil'!B2945</f>
        <v>0</v>
      </c>
      <c r="C2944">
        <f>'raw data Crude oil'!C2945</f>
        <v>0</v>
      </c>
      <c r="D2944">
        <f>'raw data Crude oil'!D2945</f>
        <v>0</v>
      </c>
      <c r="E2944">
        <f>'raw data Crude oil'!E2945</f>
        <v>0</v>
      </c>
      <c r="F2944">
        <f>'raw data Crude oil'!F2945</f>
        <v>0</v>
      </c>
      <c r="G2944">
        <f>'raw data Crude oil'!G2945</f>
        <v>0</v>
      </c>
      <c r="H2944">
        <f>'raw data Crude oil'!H2945</f>
        <v>0</v>
      </c>
      <c r="I2944">
        <f>'raw data Crude oil'!I2945</f>
        <v>0</v>
      </c>
      <c r="J2944">
        <f>'raw data Crude oil'!J2945</f>
        <v>0</v>
      </c>
      <c r="K2944">
        <f>'raw data Crude oil'!K2945</f>
        <v>0</v>
      </c>
      <c r="L2944">
        <f>'raw data Crude oil'!L2945</f>
        <v>0</v>
      </c>
      <c r="M2944">
        <f>'raw data Crude oil'!M2945</f>
        <v>0</v>
      </c>
      <c r="N2944">
        <f>'raw data Crude oil'!N2945</f>
        <v>0</v>
      </c>
      <c r="O2944">
        <f>'raw data Crude oil'!O2945</f>
        <v>0</v>
      </c>
      <c r="P2944">
        <f>'raw data Crude oil'!P2945</f>
        <v>0</v>
      </c>
      <c r="Q2944">
        <f>'raw data Crude oil'!Q2945</f>
        <v>0</v>
      </c>
      <c r="R2944">
        <f>'raw data Crude oil'!R2945</f>
        <v>0</v>
      </c>
      <c r="S2944">
        <f>'raw data Crude oil'!S2945</f>
        <v>0</v>
      </c>
      <c r="T2944">
        <f>'raw data Crude oil'!T2945</f>
        <v>0</v>
      </c>
      <c r="U2944">
        <f>'raw data Crude oil'!U2945</f>
        <v>0</v>
      </c>
      <c r="V2944">
        <f>'raw data Crude oil'!V2945</f>
        <v>0</v>
      </c>
      <c r="W2944">
        <f>'raw data Crude oil'!W2945</f>
        <v>0</v>
      </c>
      <c r="X2944">
        <f>'raw data Crude oil'!X2945</f>
        <v>0</v>
      </c>
      <c r="Y2944">
        <f>'raw data Crude oil'!Y2945</f>
        <v>0</v>
      </c>
      <c r="Z2944">
        <f>'raw data Crude oil'!Z2945</f>
        <v>0</v>
      </c>
      <c r="AA2944">
        <f>'raw data Crude oil'!AA2945</f>
        <v>0</v>
      </c>
      <c r="AB2944">
        <f>'raw data Crude oil'!AB2945</f>
        <v>0</v>
      </c>
      <c r="AC2944">
        <f>'raw data Crude oil'!AC2945</f>
        <v>0</v>
      </c>
      <c r="AD2944">
        <f>'raw data Crude oil'!AD2945</f>
        <v>0</v>
      </c>
      <c r="AE2944">
        <f>'raw data Crude oil'!AE2945</f>
        <v>0</v>
      </c>
      <c r="AF2944">
        <f>'raw data Crude oil'!AF2945</f>
        <v>0</v>
      </c>
      <c r="AG2944">
        <f>'raw data Crude oil'!AG2945</f>
        <v>0</v>
      </c>
      <c r="AH2944">
        <f>'raw data Crude oil'!AH2945</f>
        <v>0</v>
      </c>
      <c r="AI2944">
        <f>'raw data Crude oil'!AI2945</f>
        <v>0</v>
      </c>
      <c r="AJ2944">
        <f>'raw data Crude oil'!AJ2945</f>
        <v>0</v>
      </c>
      <c r="AK2944">
        <f>'raw data Crude oil'!AK2945</f>
        <v>0</v>
      </c>
    </row>
    <row r="2945" spans="1:37" x14ac:dyDescent="0.3">
      <c r="A2945" s="18">
        <f>'raw data Crude oil'!A2946</f>
        <v>0</v>
      </c>
      <c r="B2945">
        <f>'raw data Crude oil'!B2946</f>
        <v>0</v>
      </c>
      <c r="C2945">
        <f>'raw data Crude oil'!C2946</f>
        <v>0</v>
      </c>
      <c r="D2945">
        <f>'raw data Crude oil'!D2946</f>
        <v>0</v>
      </c>
      <c r="E2945">
        <f>'raw data Crude oil'!E2946</f>
        <v>0</v>
      </c>
      <c r="F2945">
        <f>'raw data Crude oil'!F2946</f>
        <v>0</v>
      </c>
      <c r="G2945">
        <f>'raw data Crude oil'!G2946</f>
        <v>0</v>
      </c>
      <c r="H2945">
        <f>'raw data Crude oil'!H2946</f>
        <v>0</v>
      </c>
      <c r="I2945">
        <f>'raw data Crude oil'!I2946</f>
        <v>0</v>
      </c>
      <c r="J2945">
        <f>'raw data Crude oil'!J2946</f>
        <v>0</v>
      </c>
      <c r="K2945">
        <f>'raw data Crude oil'!K2946</f>
        <v>0</v>
      </c>
      <c r="L2945">
        <f>'raw data Crude oil'!L2946</f>
        <v>0</v>
      </c>
      <c r="M2945">
        <f>'raw data Crude oil'!M2946</f>
        <v>0</v>
      </c>
      <c r="N2945">
        <f>'raw data Crude oil'!N2946</f>
        <v>0</v>
      </c>
      <c r="O2945">
        <f>'raw data Crude oil'!O2946</f>
        <v>0</v>
      </c>
      <c r="P2945">
        <f>'raw data Crude oil'!P2946</f>
        <v>0</v>
      </c>
      <c r="Q2945">
        <f>'raw data Crude oil'!Q2946</f>
        <v>0</v>
      </c>
      <c r="R2945">
        <f>'raw data Crude oil'!R2946</f>
        <v>0</v>
      </c>
      <c r="S2945">
        <f>'raw data Crude oil'!S2946</f>
        <v>0</v>
      </c>
      <c r="T2945">
        <f>'raw data Crude oil'!T2946</f>
        <v>0</v>
      </c>
      <c r="U2945">
        <f>'raw data Crude oil'!U2946</f>
        <v>0</v>
      </c>
      <c r="V2945">
        <f>'raw data Crude oil'!V2946</f>
        <v>0</v>
      </c>
      <c r="W2945">
        <f>'raw data Crude oil'!W2946</f>
        <v>0</v>
      </c>
      <c r="X2945">
        <f>'raw data Crude oil'!X2946</f>
        <v>0</v>
      </c>
      <c r="Y2945">
        <f>'raw data Crude oil'!Y2946</f>
        <v>0</v>
      </c>
      <c r="Z2945">
        <f>'raw data Crude oil'!Z2946</f>
        <v>0</v>
      </c>
      <c r="AA2945">
        <f>'raw data Crude oil'!AA2946</f>
        <v>0</v>
      </c>
      <c r="AB2945">
        <f>'raw data Crude oil'!AB2946</f>
        <v>0</v>
      </c>
      <c r="AC2945">
        <f>'raw data Crude oil'!AC2946</f>
        <v>0</v>
      </c>
      <c r="AD2945">
        <f>'raw data Crude oil'!AD2946</f>
        <v>0</v>
      </c>
      <c r="AE2945">
        <f>'raw data Crude oil'!AE2946</f>
        <v>0</v>
      </c>
      <c r="AF2945">
        <f>'raw data Crude oil'!AF2946</f>
        <v>0</v>
      </c>
      <c r="AG2945">
        <f>'raw data Crude oil'!AG2946</f>
        <v>0</v>
      </c>
      <c r="AH2945">
        <f>'raw data Crude oil'!AH2946</f>
        <v>0</v>
      </c>
      <c r="AI2945">
        <f>'raw data Crude oil'!AI2946</f>
        <v>0</v>
      </c>
      <c r="AJ2945">
        <f>'raw data Crude oil'!AJ2946</f>
        <v>0</v>
      </c>
      <c r="AK2945">
        <f>'raw data Crude oil'!AK2946</f>
        <v>0</v>
      </c>
    </row>
    <row r="2946" spans="1:37" x14ac:dyDescent="0.3">
      <c r="A2946" s="18">
        <f>'raw data Crude oil'!A2947</f>
        <v>0</v>
      </c>
      <c r="B2946">
        <f>'raw data Crude oil'!B2947</f>
        <v>0</v>
      </c>
      <c r="C2946">
        <f>'raw data Crude oil'!C2947</f>
        <v>0</v>
      </c>
      <c r="D2946">
        <f>'raw data Crude oil'!D2947</f>
        <v>0</v>
      </c>
      <c r="E2946">
        <f>'raw data Crude oil'!E2947</f>
        <v>0</v>
      </c>
      <c r="F2946">
        <f>'raw data Crude oil'!F2947</f>
        <v>0</v>
      </c>
      <c r="G2946">
        <f>'raw data Crude oil'!G2947</f>
        <v>0</v>
      </c>
      <c r="H2946">
        <f>'raw data Crude oil'!H2947</f>
        <v>0</v>
      </c>
      <c r="I2946">
        <f>'raw data Crude oil'!I2947</f>
        <v>0</v>
      </c>
      <c r="J2946">
        <f>'raw data Crude oil'!J2947</f>
        <v>0</v>
      </c>
      <c r="K2946">
        <f>'raw data Crude oil'!K2947</f>
        <v>0</v>
      </c>
      <c r="L2946">
        <f>'raw data Crude oil'!L2947</f>
        <v>0</v>
      </c>
      <c r="M2946">
        <f>'raw data Crude oil'!M2947</f>
        <v>0</v>
      </c>
      <c r="N2946">
        <f>'raw data Crude oil'!N2947</f>
        <v>0</v>
      </c>
      <c r="O2946">
        <f>'raw data Crude oil'!O2947</f>
        <v>0</v>
      </c>
      <c r="P2946">
        <f>'raw data Crude oil'!P2947</f>
        <v>0</v>
      </c>
      <c r="Q2946">
        <f>'raw data Crude oil'!Q2947</f>
        <v>0</v>
      </c>
      <c r="R2946">
        <f>'raw data Crude oil'!R2947</f>
        <v>0</v>
      </c>
      <c r="S2946">
        <f>'raw data Crude oil'!S2947</f>
        <v>0</v>
      </c>
      <c r="T2946">
        <f>'raw data Crude oil'!T2947</f>
        <v>0</v>
      </c>
      <c r="U2946">
        <f>'raw data Crude oil'!U2947</f>
        <v>0</v>
      </c>
      <c r="V2946">
        <f>'raw data Crude oil'!V2947</f>
        <v>0</v>
      </c>
      <c r="W2946">
        <f>'raw data Crude oil'!W2947</f>
        <v>0</v>
      </c>
      <c r="X2946">
        <f>'raw data Crude oil'!X2947</f>
        <v>0</v>
      </c>
      <c r="Y2946">
        <f>'raw data Crude oil'!Y2947</f>
        <v>0</v>
      </c>
      <c r="Z2946">
        <f>'raw data Crude oil'!Z2947</f>
        <v>0</v>
      </c>
      <c r="AA2946">
        <f>'raw data Crude oil'!AA2947</f>
        <v>0</v>
      </c>
      <c r="AB2946">
        <f>'raw data Crude oil'!AB2947</f>
        <v>0</v>
      </c>
      <c r="AC2946">
        <f>'raw data Crude oil'!AC2947</f>
        <v>0</v>
      </c>
      <c r="AD2946">
        <f>'raw data Crude oil'!AD2947</f>
        <v>0</v>
      </c>
      <c r="AE2946">
        <f>'raw data Crude oil'!AE2947</f>
        <v>0</v>
      </c>
      <c r="AF2946">
        <f>'raw data Crude oil'!AF2947</f>
        <v>0</v>
      </c>
      <c r="AG2946">
        <f>'raw data Crude oil'!AG2947</f>
        <v>0</v>
      </c>
      <c r="AH2946">
        <f>'raw data Crude oil'!AH2947</f>
        <v>0</v>
      </c>
      <c r="AI2946">
        <f>'raw data Crude oil'!AI2947</f>
        <v>0</v>
      </c>
      <c r="AJ2946">
        <f>'raw data Crude oil'!AJ2947</f>
        <v>0</v>
      </c>
      <c r="AK2946">
        <f>'raw data Crude oil'!AK2947</f>
        <v>0</v>
      </c>
    </row>
    <row r="2947" spans="1:37" x14ac:dyDescent="0.3">
      <c r="A2947" s="18">
        <f>'raw data Crude oil'!A2948</f>
        <v>0</v>
      </c>
      <c r="B2947">
        <f>'raw data Crude oil'!B2948</f>
        <v>0</v>
      </c>
      <c r="C2947">
        <f>'raw data Crude oil'!C2948</f>
        <v>0</v>
      </c>
      <c r="D2947">
        <f>'raw data Crude oil'!D2948</f>
        <v>0</v>
      </c>
      <c r="E2947">
        <f>'raw data Crude oil'!E2948</f>
        <v>0</v>
      </c>
      <c r="F2947">
        <f>'raw data Crude oil'!F2948</f>
        <v>0</v>
      </c>
      <c r="G2947">
        <f>'raw data Crude oil'!G2948</f>
        <v>0</v>
      </c>
      <c r="H2947">
        <f>'raw data Crude oil'!H2948</f>
        <v>0</v>
      </c>
      <c r="I2947">
        <f>'raw data Crude oil'!I2948</f>
        <v>0</v>
      </c>
      <c r="J2947">
        <f>'raw data Crude oil'!J2948</f>
        <v>0</v>
      </c>
      <c r="K2947">
        <f>'raw data Crude oil'!K2948</f>
        <v>0</v>
      </c>
      <c r="L2947">
        <f>'raw data Crude oil'!L2948</f>
        <v>0</v>
      </c>
      <c r="M2947">
        <f>'raw data Crude oil'!M2948</f>
        <v>0</v>
      </c>
      <c r="N2947">
        <f>'raw data Crude oil'!N2948</f>
        <v>0</v>
      </c>
      <c r="O2947">
        <f>'raw data Crude oil'!O2948</f>
        <v>0</v>
      </c>
      <c r="P2947">
        <f>'raw data Crude oil'!P2948</f>
        <v>0</v>
      </c>
      <c r="Q2947">
        <f>'raw data Crude oil'!Q2948</f>
        <v>0</v>
      </c>
      <c r="R2947">
        <f>'raw data Crude oil'!R2948</f>
        <v>0</v>
      </c>
      <c r="S2947">
        <f>'raw data Crude oil'!S2948</f>
        <v>0</v>
      </c>
      <c r="T2947">
        <f>'raw data Crude oil'!T2948</f>
        <v>0</v>
      </c>
      <c r="U2947">
        <f>'raw data Crude oil'!U2948</f>
        <v>0</v>
      </c>
      <c r="V2947">
        <f>'raw data Crude oil'!V2948</f>
        <v>0</v>
      </c>
      <c r="W2947">
        <f>'raw data Crude oil'!W2948</f>
        <v>0</v>
      </c>
      <c r="X2947">
        <f>'raw data Crude oil'!X2948</f>
        <v>0</v>
      </c>
      <c r="Y2947">
        <f>'raw data Crude oil'!Y2948</f>
        <v>0</v>
      </c>
      <c r="Z2947">
        <f>'raw data Crude oil'!Z2948</f>
        <v>0</v>
      </c>
      <c r="AA2947">
        <f>'raw data Crude oil'!AA2948</f>
        <v>0</v>
      </c>
      <c r="AB2947">
        <f>'raw data Crude oil'!AB2948</f>
        <v>0</v>
      </c>
      <c r="AC2947">
        <f>'raw data Crude oil'!AC2948</f>
        <v>0</v>
      </c>
      <c r="AD2947">
        <f>'raw data Crude oil'!AD2948</f>
        <v>0</v>
      </c>
      <c r="AE2947">
        <f>'raw data Crude oil'!AE2948</f>
        <v>0</v>
      </c>
      <c r="AF2947">
        <f>'raw data Crude oil'!AF2948</f>
        <v>0</v>
      </c>
      <c r="AG2947">
        <f>'raw data Crude oil'!AG2948</f>
        <v>0</v>
      </c>
      <c r="AH2947">
        <f>'raw data Crude oil'!AH2948</f>
        <v>0</v>
      </c>
      <c r="AI2947">
        <f>'raw data Crude oil'!AI2948</f>
        <v>0</v>
      </c>
      <c r="AJ2947">
        <f>'raw data Crude oil'!AJ2948</f>
        <v>0</v>
      </c>
      <c r="AK2947">
        <f>'raw data Crude oil'!AK2948</f>
        <v>0</v>
      </c>
    </row>
    <row r="2948" spans="1:37" x14ac:dyDescent="0.3">
      <c r="A2948" s="18">
        <f>'raw data Crude oil'!A2949</f>
        <v>0</v>
      </c>
      <c r="B2948">
        <f>'raw data Crude oil'!B2949</f>
        <v>0</v>
      </c>
      <c r="C2948">
        <f>'raw data Crude oil'!C2949</f>
        <v>0</v>
      </c>
      <c r="D2948">
        <f>'raw data Crude oil'!D2949</f>
        <v>0</v>
      </c>
      <c r="E2948">
        <f>'raw data Crude oil'!E2949</f>
        <v>0</v>
      </c>
      <c r="F2948">
        <f>'raw data Crude oil'!F2949</f>
        <v>0</v>
      </c>
      <c r="G2948">
        <f>'raw data Crude oil'!G2949</f>
        <v>0</v>
      </c>
      <c r="H2948">
        <f>'raw data Crude oil'!H2949</f>
        <v>0</v>
      </c>
      <c r="I2948">
        <f>'raw data Crude oil'!I2949</f>
        <v>0</v>
      </c>
      <c r="J2948">
        <f>'raw data Crude oil'!J2949</f>
        <v>0</v>
      </c>
      <c r="K2948">
        <f>'raw data Crude oil'!K2949</f>
        <v>0</v>
      </c>
      <c r="L2948">
        <f>'raw data Crude oil'!L2949</f>
        <v>0</v>
      </c>
      <c r="M2948">
        <f>'raw data Crude oil'!M2949</f>
        <v>0</v>
      </c>
      <c r="N2948">
        <f>'raw data Crude oil'!N2949</f>
        <v>0</v>
      </c>
      <c r="O2948">
        <f>'raw data Crude oil'!O2949</f>
        <v>0</v>
      </c>
      <c r="P2948">
        <f>'raw data Crude oil'!P2949</f>
        <v>0</v>
      </c>
      <c r="Q2948">
        <f>'raw data Crude oil'!Q2949</f>
        <v>0</v>
      </c>
      <c r="R2948">
        <f>'raw data Crude oil'!R2949</f>
        <v>0</v>
      </c>
      <c r="S2948">
        <f>'raw data Crude oil'!S2949</f>
        <v>0</v>
      </c>
      <c r="T2948">
        <f>'raw data Crude oil'!T2949</f>
        <v>0</v>
      </c>
      <c r="U2948">
        <f>'raw data Crude oil'!U2949</f>
        <v>0</v>
      </c>
      <c r="V2948">
        <f>'raw data Crude oil'!V2949</f>
        <v>0</v>
      </c>
      <c r="W2948">
        <f>'raw data Crude oil'!W2949</f>
        <v>0</v>
      </c>
      <c r="X2948">
        <f>'raw data Crude oil'!X2949</f>
        <v>0</v>
      </c>
      <c r="Y2948">
        <f>'raw data Crude oil'!Y2949</f>
        <v>0</v>
      </c>
      <c r="Z2948">
        <f>'raw data Crude oil'!Z2949</f>
        <v>0</v>
      </c>
      <c r="AA2948">
        <f>'raw data Crude oil'!AA2949</f>
        <v>0</v>
      </c>
      <c r="AB2948">
        <f>'raw data Crude oil'!AB2949</f>
        <v>0</v>
      </c>
      <c r="AC2948">
        <f>'raw data Crude oil'!AC2949</f>
        <v>0</v>
      </c>
      <c r="AD2948">
        <f>'raw data Crude oil'!AD2949</f>
        <v>0</v>
      </c>
      <c r="AE2948">
        <f>'raw data Crude oil'!AE2949</f>
        <v>0</v>
      </c>
      <c r="AF2948">
        <f>'raw data Crude oil'!AF2949</f>
        <v>0</v>
      </c>
      <c r="AG2948">
        <f>'raw data Crude oil'!AG2949</f>
        <v>0</v>
      </c>
      <c r="AH2948">
        <f>'raw data Crude oil'!AH2949</f>
        <v>0</v>
      </c>
      <c r="AI2948">
        <f>'raw data Crude oil'!AI2949</f>
        <v>0</v>
      </c>
      <c r="AJ2948">
        <f>'raw data Crude oil'!AJ2949</f>
        <v>0</v>
      </c>
      <c r="AK2948">
        <f>'raw data Crude oil'!AK2949</f>
        <v>0</v>
      </c>
    </row>
    <row r="2949" spans="1:37" x14ac:dyDescent="0.3">
      <c r="A2949" s="18">
        <f>'raw data Crude oil'!A2950</f>
        <v>0</v>
      </c>
      <c r="B2949">
        <f>'raw data Crude oil'!B2950</f>
        <v>0</v>
      </c>
      <c r="C2949">
        <f>'raw data Crude oil'!C2950</f>
        <v>0</v>
      </c>
      <c r="D2949">
        <f>'raw data Crude oil'!D2950</f>
        <v>0</v>
      </c>
      <c r="E2949">
        <f>'raw data Crude oil'!E2950</f>
        <v>0</v>
      </c>
      <c r="F2949">
        <f>'raw data Crude oil'!F2950</f>
        <v>0</v>
      </c>
      <c r="G2949">
        <f>'raw data Crude oil'!G2950</f>
        <v>0</v>
      </c>
      <c r="H2949">
        <f>'raw data Crude oil'!H2950</f>
        <v>0</v>
      </c>
      <c r="I2949">
        <f>'raw data Crude oil'!I2950</f>
        <v>0</v>
      </c>
      <c r="J2949">
        <f>'raw data Crude oil'!J2950</f>
        <v>0</v>
      </c>
      <c r="K2949">
        <f>'raw data Crude oil'!K2950</f>
        <v>0</v>
      </c>
      <c r="L2949">
        <f>'raw data Crude oil'!L2950</f>
        <v>0</v>
      </c>
      <c r="M2949">
        <f>'raw data Crude oil'!M2950</f>
        <v>0</v>
      </c>
      <c r="N2949">
        <f>'raw data Crude oil'!N2950</f>
        <v>0</v>
      </c>
      <c r="O2949">
        <f>'raw data Crude oil'!O2950</f>
        <v>0</v>
      </c>
      <c r="P2949">
        <f>'raw data Crude oil'!P2950</f>
        <v>0</v>
      </c>
      <c r="Q2949">
        <f>'raw data Crude oil'!Q2950</f>
        <v>0</v>
      </c>
      <c r="R2949">
        <f>'raw data Crude oil'!R2950</f>
        <v>0</v>
      </c>
      <c r="S2949">
        <f>'raw data Crude oil'!S2950</f>
        <v>0</v>
      </c>
      <c r="T2949">
        <f>'raw data Crude oil'!T2950</f>
        <v>0</v>
      </c>
      <c r="U2949">
        <f>'raw data Crude oil'!U2950</f>
        <v>0</v>
      </c>
      <c r="V2949">
        <f>'raw data Crude oil'!V2950</f>
        <v>0</v>
      </c>
      <c r="W2949">
        <f>'raw data Crude oil'!W2950</f>
        <v>0</v>
      </c>
      <c r="X2949">
        <f>'raw data Crude oil'!X2950</f>
        <v>0</v>
      </c>
      <c r="Y2949">
        <f>'raw data Crude oil'!Y2950</f>
        <v>0</v>
      </c>
      <c r="Z2949">
        <f>'raw data Crude oil'!Z2950</f>
        <v>0</v>
      </c>
      <c r="AA2949">
        <f>'raw data Crude oil'!AA2950</f>
        <v>0</v>
      </c>
      <c r="AB2949">
        <f>'raw data Crude oil'!AB2950</f>
        <v>0</v>
      </c>
      <c r="AC2949">
        <f>'raw data Crude oil'!AC2950</f>
        <v>0</v>
      </c>
      <c r="AD2949">
        <f>'raw data Crude oil'!AD2950</f>
        <v>0</v>
      </c>
      <c r="AE2949">
        <f>'raw data Crude oil'!AE2950</f>
        <v>0</v>
      </c>
      <c r="AF2949">
        <f>'raw data Crude oil'!AF2950</f>
        <v>0</v>
      </c>
      <c r="AG2949">
        <f>'raw data Crude oil'!AG2950</f>
        <v>0</v>
      </c>
      <c r="AH2949">
        <f>'raw data Crude oil'!AH2950</f>
        <v>0</v>
      </c>
      <c r="AI2949">
        <f>'raw data Crude oil'!AI2950</f>
        <v>0</v>
      </c>
      <c r="AJ2949">
        <f>'raw data Crude oil'!AJ2950</f>
        <v>0</v>
      </c>
      <c r="AK2949">
        <f>'raw data Crude oil'!AK2950</f>
        <v>0</v>
      </c>
    </row>
    <row r="2950" spans="1:37" x14ac:dyDescent="0.3">
      <c r="A2950" s="18">
        <f>'raw data Crude oil'!A2951</f>
        <v>0</v>
      </c>
      <c r="B2950">
        <f>'raw data Crude oil'!B2951</f>
        <v>0</v>
      </c>
      <c r="C2950">
        <f>'raw data Crude oil'!C2951</f>
        <v>0</v>
      </c>
      <c r="D2950">
        <f>'raw data Crude oil'!D2951</f>
        <v>0</v>
      </c>
      <c r="E2950">
        <f>'raw data Crude oil'!E2951</f>
        <v>0</v>
      </c>
      <c r="F2950">
        <f>'raw data Crude oil'!F2951</f>
        <v>0</v>
      </c>
      <c r="G2950">
        <f>'raw data Crude oil'!G2951</f>
        <v>0</v>
      </c>
      <c r="H2950">
        <f>'raw data Crude oil'!H2951</f>
        <v>0</v>
      </c>
      <c r="I2950">
        <f>'raw data Crude oil'!I2951</f>
        <v>0</v>
      </c>
      <c r="J2950">
        <f>'raw data Crude oil'!J2951</f>
        <v>0</v>
      </c>
      <c r="K2950">
        <f>'raw data Crude oil'!K2951</f>
        <v>0</v>
      </c>
      <c r="L2950">
        <f>'raw data Crude oil'!L2951</f>
        <v>0</v>
      </c>
      <c r="M2950">
        <f>'raw data Crude oil'!M2951</f>
        <v>0</v>
      </c>
      <c r="N2950">
        <f>'raw data Crude oil'!N2951</f>
        <v>0</v>
      </c>
      <c r="O2950">
        <f>'raw data Crude oil'!O2951</f>
        <v>0</v>
      </c>
      <c r="P2950">
        <f>'raw data Crude oil'!P2951</f>
        <v>0</v>
      </c>
      <c r="Q2950">
        <f>'raw data Crude oil'!Q2951</f>
        <v>0</v>
      </c>
      <c r="R2950">
        <f>'raw data Crude oil'!R2951</f>
        <v>0</v>
      </c>
      <c r="S2950">
        <f>'raw data Crude oil'!S2951</f>
        <v>0</v>
      </c>
      <c r="T2950">
        <f>'raw data Crude oil'!T2951</f>
        <v>0</v>
      </c>
      <c r="U2950">
        <f>'raw data Crude oil'!U2951</f>
        <v>0</v>
      </c>
      <c r="V2950">
        <f>'raw data Crude oil'!V2951</f>
        <v>0</v>
      </c>
      <c r="W2950">
        <f>'raw data Crude oil'!W2951</f>
        <v>0</v>
      </c>
      <c r="X2950">
        <f>'raw data Crude oil'!X2951</f>
        <v>0</v>
      </c>
      <c r="Y2950">
        <f>'raw data Crude oil'!Y2951</f>
        <v>0</v>
      </c>
      <c r="Z2950">
        <f>'raw data Crude oil'!Z2951</f>
        <v>0</v>
      </c>
      <c r="AA2950">
        <f>'raw data Crude oil'!AA2951</f>
        <v>0</v>
      </c>
      <c r="AB2950">
        <f>'raw data Crude oil'!AB2951</f>
        <v>0</v>
      </c>
      <c r="AC2950">
        <f>'raw data Crude oil'!AC2951</f>
        <v>0</v>
      </c>
      <c r="AD2950">
        <f>'raw data Crude oil'!AD2951</f>
        <v>0</v>
      </c>
      <c r="AE2950">
        <f>'raw data Crude oil'!AE2951</f>
        <v>0</v>
      </c>
      <c r="AF2950">
        <f>'raw data Crude oil'!AF2951</f>
        <v>0</v>
      </c>
      <c r="AG2950">
        <f>'raw data Crude oil'!AG2951</f>
        <v>0</v>
      </c>
      <c r="AH2950">
        <f>'raw data Crude oil'!AH2951</f>
        <v>0</v>
      </c>
      <c r="AI2950">
        <f>'raw data Crude oil'!AI2951</f>
        <v>0</v>
      </c>
      <c r="AJ2950">
        <f>'raw data Crude oil'!AJ2951</f>
        <v>0</v>
      </c>
      <c r="AK2950">
        <f>'raw data Crude oil'!AK2951</f>
        <v>0</v>
      </c>
    </row>
    <row r="2951" spans="1:37" x14ac:dyDescent="0.3">
      <c r="A2951" s="18">
        <f>'raw data Crude oil'!A2952</f>
        <v>0</v>
      </c>
      <c r="B2951">
        <f>'raw data Crude oil'!B2952</f>
        <v>0</v>
      </c>
      <c r="C2951">
        <f>'raw data Crude oil'!C2952</f>
        <v>0</v>
      </c>
      <c r="D2951">
        <f>'raw data Crude oil'!D2952</f>
        <v>0</v>
      </c>
      <c r="E2951">
        <f>'raw data Crude oil'!E2952</f>
        <v>0</v>
      </c>
      <c r="F2951">
        <f>'raw data Crude oil'!F2952</f>
        <v>0</v>
      </c>
      <c r="G2951">
        <f>'raw data Crude oil'!G2952</f>
        <v>0</v>
      </c>
      <c r="H2951">
        <f>'raw data Crude oil'!H2952</f>
        <v>0</v>
      </c>
      <c r="I2951">
        <f>'raw data Crude oil'!I2952</f>
        <v>0</v>
      </c>
      <c r="J2951">
        <f>'raw data Crude oil'!J2952</f>
        <v>0</v>
      </c>
      <c r="K2951">
        <f>'raw data Crude oil'!K2952</f>
        <v>0</v>
      </c>
      <c r="L2951">
        <f>'raw data Crude oil'!L2952</f>
        <v>0</v>
      </c>
      <c r="M2951">
        <f>'raw data Crude oil'!M2952</f>
        <v>0</v>
      </c>
      <c r="N2951">
        <f>'raw data Crude oil'!N2952</f>
        <v>0</v>
      </c>
      <c r="O2951">
        <f>'raw data Crude oil'!O2952</f>
        <v>0</v>
      </c>
      <c r="P2951">
        <f>'raw data Crude oil'!P2952</f>
        <v>0</v>
      </c>
      <c r="Q2951">
        <f>'raw data Crude oil'!Q2952</f>
        <v>0</v>
      </c>
      <c r="R2951">
        <f>'raw data Crude oil'!R2952</f>
        <v>0</v>
      </c>
      <c r="S2951">
        <f>'raw data Crude oil'!S2952</f>
        <v>0</v>
      </c>
      <c r="T2951">
        <f>'raw data Crude oil'!T2952</f>
        <v>0</v>
      </c>
      <c r="U2951">
        <f>'raw data Crude oil'!U2952</f>
        <v>0</v>
      </c>
      <c r="V2951">
        <f>'raw data Crude oil'!V2952</f>
        <v>0</v>
      </c>
      <c r="W2951">
        <f>'raw data Crude oil'!W2952</f>
        <v>0</v>
      </c>
      <c r="X2951">
        <f>'raw data Crude oil'!X2952</f>
        <v>0</v>
      </c>
      <c r="Y2951">
        <f>'raw data Crude oil'!Y2952</f>
        <v>0</v>
      </c>
      <c r="Z2951">
        <f>'raw data Crude oil'!Z2952</f>
        <v>0</v>
      </c>
      <c r="AA2951">
        <f>'raw data Crude oil'!AA2952</f>
        <v>0</v>
      </c>
      <c r="AB2951">
        <f>'raw data Crude oil'!AB2952</f>
        <v>0</v>
      </c>
      <c r="AC2951">
        <f>'raw data Crude oil'!AC2952</f>
        <v>0</v>
      </c>
      <c r="AD2951">
        <f>'raw data Crude oil'!AD2952</f>
        <v>0</v>
      </c>
      <c r="AE2951">
        <f>'raw data Crude oil'!AE2952</f>
        <v>0</v>
      </c>
      <c r="AF2951">
        <f>'raw data Crude oil'!AF2952</f>
        <v>0</v>
      </c>
      <c r="AG2951">
        <f>'raw data Crude oil'!AG2952</f>
        <v>0</v>
      </c>
      <c r="AH2951">
        <f>'raw data Crude oil'!AH2952</f>
        <v>0</v>
      </c>
      <c r="AI2951">
        <f>'raw data Crude oil'!AI2952</f>
        <v>0</v>
      </c>
      <c r="AJ2951">
        <f>'raw data Crude oil'!AJ2952</f>
        <v>0</v>
      </c>
      <c r="AK2951">
        <f>'raw data Crude oil'!AK2952</f>
        <v>0</v>
      </c>
    </row>
    <row r="2952" spans="1:37" x14ac:dyDescent="0.3">
      <c r="A2952" s="18">
        <f>'raw data Crude oil'!A2953</f>
        <v>0</v>
      </c>
      <c r="B2952">
        <f>'raw data Crude oil'!B2953</f>
        <v>0</v>
      </c>
      <c r="C2952">
        <f>'raw data Crude oil'!C2953</f>
        <v>0</v>
      </c>
      <c r="D2952">
        <f>'raw data Crude oil'!D2953</f>
        <v>0</v>
      </c>
      <c r="E2952">
        <f>'raw data Crude oil'!E2953</f>
        <v>0</v>
      </c>
      <c r="F2952">
        <f>'raw data Crude oil'!F2953</f>
        <v>0</v>
      </c>
      <c r="G2952">
        <f>'raw data Crude oil'!G2953</f>
        <v>0</v>
      </c>
      <c r="H2952">
        <f>'raw data Crude oil'!H2953</f>
        <v>0</v>
      </c>
      <c r="I2952">
        <f>'raw data Crude oil'!I2953</f>
        <v>0</v>
      </c>
      <c r="J2952">
        <f>'raw data Crude oil'!J2953</f>
        <v>0</v>
      </c>
      <c r="K2952">
        <f>'raw data Crude oil'!K2953</f>
        <v>0</v>
      </c>
      <c r="L2952">
        <f>'raw data Crude oil'!L2953</f>
        <v>0</v>
      </c>
      <c r="M2952">
        <f>'raw data Crude oil'!M2953</f>
        <v>0</v>
      </c>
      <c r="N2952">
        <f>'raw data Crude oil'!N2953</f>
        <v>0</v>
      </c>
      <c r="O2952">
        <f>'raw data Crude oil'!O2953</f>
        <v>0</v>
      </c>
      <c r="P2952">
        <f>'raw data Crude oil'!P2953</f>
        <v>0</v>
      </c>
      <c r="Q2952">
        <f>'raw data Crude oil'!Q2953</f>
        <v>0</v>
      </c>
      <c r="R2952">
        <f>'raw data Crude oil'!R2953</f>
        <v>0</v>
      </c>
      <c r="S2952">
        <f>'raw data Crude oil'!S2953</f>
        <v>0</v>
      </c>
      <c r="T2952">
        <f>'raw data Crude oil'!T2953</f>
        <v>0</v>
      </c>
      <c r="U2952">
        <f>'raw data Crude oil'!U2953</f>
        <v>0</v>
      </c>
      <c r="V2952">
        <f>'raw data Crude oil'!V2953</f>
        <v>0</v>
      </c>
      <c r="W2952">
        <f>'raw data Crude oil'!W2953</f>
        <v>0</v>
      </c>
      <c r="X2952">
        <f>'raw data Crude oil'!X2953</f>
        <v>0</v>
      </c>
      <c r="Y2952">
        <f>'raw data Crude oil'!Y2953</f>
        <v>0</v>
      </c>
      <c r="Z2952">
        <f>'raw data Crude oil'!Z2953</f>
        <v>0</v>
      </c>
      <c r="AA2952">
        <f>'raw data Crude oil'!AA2953</f>
        <v>0</v>
      </c>
      <c r="AB2952">
        <f>'raw data Crude oil'!AB2953</f>
        <v>0</v>
      </c>
      <c r="AC2952">
        <f>'raw data Crude oil'!AC2953</f>
        <v>0</v>
      </c>
      <c r="AD2952">
        <f>'raw data Crude oil'!AD2953</f>
        <v>0</v>
      </c>
      <c r="AE2952">
        <f>'raw data Crude oil'!AE2953</f>
        <v>0</v>
      </c>
      <c r="AF2952">
        <f>'raw data Crude oil'!AF2953</f>
        <v>0</v>
      </c>
      <c r="AG2952">
        <f>'raw data Crude oil'!AG2953</f>
        <v>0</v>
      </c>
      <c r="AH2952">
        <f>'raw data Crude oil'!AH2953</f>
        <v>0</v>
      </c>
      <c r="AI2952">
        <f>'raw data Crude oil'!AI2953</f>
        <v>0</v>
      </c>
      <c r="AJ2952">
        <f>'raw data Crude oil'!AJ2953</f>
        <v>0</v>
      </c>
      <c r="AK2952">
        <f>'raw data Crude oil'!AK2953</f>
        <v>0</v>
      </c>
    </row>
    <row r="2953" spans="1:37" x14ac:dyDescent="0.3">
      <c r="A2953" s="18">
        <f>'raw data Crude oil'!A2954</f>
        <v>0</v>
      </c>
      <c r="B2953">
        <f>'raw data Crude oil'!B2954</f>
        <v>0</v>
      </c>
      <c r="C2953">
        <f>'raw data Crude oil'!C2954</f>
        <v>0</v>
      </c>
      <c r="D2953">
        <f>'raw data Crude oil'!D2954</f>
        <v>0</v>
      </c>
      <c r="E2953">
        <f>'raw data Crude oil'!E2954</f>
        <v>0</v>
      </c>
      <c r="F2953">
        <f>'raw data Crude oil'!F2954</f>
        <v>0</v>
      </c>
      <c r="G2953">
        <f>'raw data Crude oil'!G2954</f>
        <v>0</v>
      </c>
      <c r="H2953">
        <f>'raw data Crude oil'!H2954</f>
        <v>0</v>
      </c>
      <c r="I2953">
        <f>'raw data Crude oil'!I2954</f>
        <v>0</v>
      </c>
      <c r="J2953">
        <f>'raw data Crude oil'!J2954</f>
        <v>0</v>
      </c>
      <c r="K2953">
        <f>'raw data Crude oil'!K2954</f>
        <v>0</v>
      </c>
      <c r="L2953">
        <f>'raw data Crude oil'!L2954</f>
        <v>0</v>
      </c>
      <c r="M2953">
        <f>'raw data Crude oil'!M2954</f>
        <v>0</v>
      </c>
      <c r="N2953">
        <f>'raw data Crude oil'!N2954</f>
        <v>0</v>
      </c>
      <c r="O2953">
        <f>'raw data Crude oil'!O2954</f>
        <v>0</v>
      </c>
      <c r="P2953">
        <f>'raw data Crude oil'!P2954</f>
        <v>0</v>
      </c>
      <c r="Q2953">
        <f>'raw data Crude oil'!Q2954</f>
        <v>0</v>
      </c>
      <c r="R2953">
        <f>'raw data Crude oil'!R2954</f>
        <v>0</v>
      </c>
      <c r="S2953">
        <f>'raw data Crude oil'!S2954</f>
        <v>0</v>
      </c>
      <c r="T2953">
        <f>'raw data Crude oil'!T2954</f>
        <v>0</v>
      </c>
      <c r="U2953">
        <f>'raw data Crude oil'!U2954</f>
        <v>0</v>
      </c>
      <c r="V2953">
        <f>'raw data Crude oil'!V2954</f>
        <v>0</v>
      </c>
      <c r="W2953">
        <f>'raw data Crude oil'!W2954</f>
        <v>0</v>
      </c>
      <c r="X2953">
        <f>'raw data Crude oil'!X2954</f>
        <v>0</v>
      </c>
      <c r="Y2953">
        <f>'raw data Crude oil'!Y2954</f>
        <v>0</v>
      </c>
      <c r="Z2953">
        <f>'raw data Crude oil'!Z2954</f>
        <v>0</v>
      </c>
      <c r="AA2953">
        <f>'raw data Crude oil'!AA2954</f>
        <v>0</v>
      </c>
      <c r="AB2953">
        <f>'raw data Crude oil'!AB2954</f>
        <v>0</v>
      </c>
      <c r="AC2953">
        <f>'raw data Crude oil'!AC2954</f>
        <v>0</v>
      </c>
      <c r="AD2953">
        <f>'raw data Crude oil'!AD2954</f>
        <v>0</v>
      </c>
      <c r="AE2953">
        <f>'raw data Crude oil'!AE2954</f>
        <v>0</v>
      </c>
      <c r="AF2953">
        <f>'raw data Crude oil'!AF2954</f>
        <v>0</v>
      </c>
      <c r="AG2953">
        <f>'raw data Crude oil'!AG2954</f>
        <v>0</v>
      </c>
      <c r="AH2953">
        <f>'raw data Crude oil'!AH2954</f>
        <v>0</v>
      </c>
      <c r="AI2953">
        <f>'raw data Crude oil'!AI2954</f>
        <v>0</v>
      </c>
      <c r="AJ2953">
        <f>'raw data Crude oil'!AJ2954</f>
        <v>0</v>
      </c>
      <c r="AK2953">
        <f>'raw data Crude oil'!AK2954</f>
        <v>0</v>
      </c>
    </row>
    <row r="2954" spans="1:37" x14ac:dyDescent="0.3">
      <c r="A2954" s="18">
        <f>'raw data Crude oil'!A2955</f>
        <v>0</v>
      </c>
      <c r="B2954">
        <f>'raw data Crude oil'!B2955</f>
        <v>0</v>
      </c>
      <c r="C2954">
        <f>'raw data Crude oil'!C2955</f>
        <v>0</v>
      </c>
      <c r="D2954">
        <f>'raw data Crude oil'!D2955</f>
        <v>0</v>
      </c>
      <c r="E2954">
        <f>'raw data Crude oil'!E2955</f>
        <v>0</v>
      </c>
      <c r="F2954">
        <f>'raw data Crude oil'!F2955</f>
        <v>0</v>
      </c>
      <c r="G2954">
        <f>'raw data Crude oil'!G2955</f>
        <v>0</v>
      </c>
      <c r="H2954">
        <f>'raw data Crude oil'!H2955</f>
        <v>0</v>
      </c>
      <c r="I2954">
        <f>'raw data Crude oil'!I2955</f>
        <v>0</v>
      </c>
      <c r="J2954">
        <f>'raw data Crude oil'!J2955</f>
        <v>0</v>
      </c>
      <c r="K2954">
        <f>'raw data Crude oil'!K2955</f>
        <v>0</v>
      </c>
      <c r="L2954">
        <f>'raw data Crude oil'!L2955</f>
        <v>0</v>
      </c>
      <c r="M2954">
        <f>'raw data Crude oil'!M2955</f>
        <v>0</v>
      </c>
      <c r="N2954">
        <f>'raw data Crude oil'!N2955</f>
        <v>0</v>
      </c>
      <c r="O2954">
        <f>'raw data Crude oil'!O2955</f>
        <v>0</v>
      </c>
      <c r="P2954">
        <f>'raw data Crude oil'!P2955</f>
        <v>0</v>
      </c>
      <c r="Q2954">
        <f>'raw data Crude oil'!Q2955</f>
        <v>0</v>
      </c>
      <c r="R2954">
        <f>'raw data Crude oil'!R2955</f>
        <v>0</v>
      </c>
      <c r="S2954">
        <f>'raw data Crude oil'!S2955</f>
        <v>0</v>
      </c>
      <c r="T2954">
        <f>'raw data Crude oil'!T2955</f>
        <v>0</v>
      </c>
      <c r="U2954">
        <f>'raw data Crude oil'!U2955</f>
        <v>0</v>
      </c>
      <c r="V2954">
        <f>'raw data Crude oil'!V2955</f>
        <v>0</v>
      </c>
      <c r="W2954">
        <f>'raw data Crude oil'!W2955</f>
        <v>0</v>
      </c>
      <c r="X2954">
        <f>'raw data Crude oil'!X2955</f>
        <v>0</v>
      </c>
      <c r="Y2954">
        <f>'raw data Crude oil'!Y2955</f>
        <v>0</v>
      </c>
      <c r="Z2954">
        <f>'raw data Crude oil'!Z2955</f>
        <v>0</v>
      </c>
      <c r="AA2954">
        <f>'raw data Crude oil'!AA2955</f>
        <v>0</v>
      </c>
      <c r="AB2954">
        <f>'raw data Crude oil'!AB2955</f>
        <v>0</v>
      </c>
      <c r="AC2954">
        <f>'raw data Crude oil'!AC2955</f>
        <v>0</v>
      </c>
      <c r="AD2954">
        <f>'raw data Crude oil'!AD2955</f>
        <v>0</v>
      </c>
      <c r="AE2954">
        <f>'raw data Crude oil'!AE2955</f>
        <v>0</v>
      </c>
      <c r="AF2954">
        <f>'raw data Crude oil'!AF2955</f>
        <v>0</v>
      </c>
      <c r="AG2954">
        <f>'raw data Crude oil'!AG2955</f>
        <v>0</v>
      </c>
      <c r="AH2954">
        <f>'raw data Crude oil'!AH2955</f>
        <v>0</v>
      </c>
      <c r="AI2954">
        <f>'raw data Crude oil'!AI2955</f>
        <v>0</v>
      </c>
      <c r="AJ2954">
        <f>'raw data Crude oil'!AJ2955</f>
        <v>0</v>
      </c>
      <c r="AK2954">
        <f>'raw data Crude oil'!AK2955</f>
        <v>0</v>
      </c>
    </row>
    <row r="2955" spans="1:37" x14ac:dyDescent="0.3">
      <c r="A2955" s="18">
        <f>'raw data Crude oil'!A2956</f>
        <v>0</v>
      </c>
      <c r="B2955">
        <f>'raw data Crude oil'!B2956</f>
        <v>0</v>
      </c>
      <c r="C2955">
        <f>'raw data Crude oil'!C2956</f>
        <v>0</v>
      </c>
      <c r="D2955">
        <f>'raw data Crude oil'!D2956</f>
        <v>0</v>
      </c>
      <c r="E2955">
        <f>'raw data Crude oil'!E2956</f>
        <v>0</v>
      </c>
      <c r="F2955">
        <f>'raw data Crude oil'!F2956</f>
        <v>0</v>
      </c>
      <c r="G2955">
        <f>'raw data Crude oil'!G2956</f>
        <v>0</v>
      </c>
      <c r="H2955">
        <f>'raw data Crude oil'!H2956</f>
        <v>0</v>
      </c>
      <c r="I2955">
        <f>'raw data Crude oil'!I2956</f>
        <v>0</v>
      </c>
      <c r="J2955">
        <f>'raw data Crude oil'!J2956</f>
        <v>0</v>
      </c>
      <c r="K2955">
        <f>'raw data Crude oil'!K2956</f>
        <v>0</v>
      </c>
      <c r="L2955">
        <f>'raw data Crude oil'!L2956</f>
        <v>0</v>
      </c>
      <c r="M2955">
        <f>'raw data Crude oil'!M2956</f>
        <v>0</v>
      </c>
      <c r="N2955">
        <f>'raw data Crude oil'!N2956</f>
        <v>0</v>
      </c>
      <c r="O2955">
        <f>'raw data Crude oil'!O2956</f>
        <v>0</v>
      </c>
      <c r="P2955">
        <f>'raw data Crude oil'!P2956</f>
        <v>0</v>
      </c>
      <c r="Q2955">
        <f>'raw data Crude oil'!Q2956</f>
        <v>0</v>
      </c>
      <c r="R2955">
        <f>'raw data Crude oil'!R2956</f>
        <v>0</v>
      </c>
      <c r="S2955">
        <f>'raw data Crude oil'!S2956</f>
        <v>0</v>
      </c>
      <c r="T2955">
        <f>'raw data Crude oil'!T2956</f>
        <v>0</v>
      </c>
      <c r="U2955">
        <f>'raw data Crude oil'!U2956</f>
        <v>0</v>
      </c>
      <c r="V2955">
        <f>'raw data Crude oil'!V2956</f>
        <v>0</v>
      </c>
      <c r="W2955">
        <f>'raw data Crude oil'!W2956</f>
        <v>0</v>
      </c>
      <c r="X2955">
        <f>'raw data Crude oil'!X2956</f>
        <v>0</v>
      </c>
      <c r="Y2955">
        <f>'raw data Crude oil'!Y2956</f>
        <v>0</v>
      </c>
      <c r="Z2955">
        <f>'raw data Crude oil'!Z2956</f>
        <v>0</v>
      </c>
      <c r="AA2955">
        <f>'raw data Crude oil'!AA2956</f>
        <v>0</v>
      </c>
      <c r="AB2955">
        <f>'raw data Crude oil'!AB2956</f>
        <v>0</v>
      </c>
      <c r="AC2955">
        <f>'raw data Crude oil'!AC2956</f>
        <v>0</v>
      </c>
      <c r="AD2955">
        <f>'raw data Crude oil'!AD2956</f>
        <v>0</v>
      </c>
      <c r="AE2955">
        <f>'raw data Crude oil'!AE2956</f>
        <v>0</v>
      </c>
      <c r="AF2955">
        <f>'raw data Crude oil'!AF2956</f>
        <v>0</v>
      </c>
      <c r="AG2955">
        <f>'raw data Crude oil'!AG2956</f>
        <v>0</v>
      </c>
      <c r="AH2955">
        <f>'raw data Crude oil'!AH2956</f>
        <v>0</v>
      </c>
      <c r="AI2955">
        <f>'raw data Crude oil'!AI2956</f>
        <v>0</v>
      </c>
      <c r="AJ2955">
        <f>'raw data Crude oil'!AJ2956</f>
        <v>0</v>
      </c>
      <c r="AK2955">
        <f>'raw data Crude oil'!AK2956</f>
        <v>0</v>
      </c>
    </row>
    <row r="2956" spans="1:37" x14ac:dyDescent="0.3">
      <c r="A2956" s="18">
        <f>'raw data Crude oil'!A2957</f>
        <v>0</v>
      </c>
      <c r="B2956">
        <f>'raw data Crude oil'!B2957</f>
        <v>0</v>
      </c>
      <c r="C2956">
        <f>'raw data Crude oil'!C2957</f>
        <v>0</v>
      </c>
      <c r="D2956">
        <f>'raw data Crude oil'!D2957</f>
        <v>0</v>
      </c>
      <c r="E2956">
        <f>'raw data Crude oil'!E2957</f>
        <v>0</v>
      </c>
      <c r="F2956">
        <f>'raw data Crude oil'!F2957</f>
        <v>0</v>
      </c>
      <c r="G2956">
        <f>'raw data Crude oil'!G2957</f>
        <v>0</v>
      </c>
      <c r="H2956">
        <f>'raw data Crude oil'!H2957</f>
        <v>0</v>
      </c>
      <c r="I2956">
        <f>'raw data Crude oil'!I2957</f>
        <v>0</v>
      </c>
      <c r="J2956">
        <f>'raw data Crude oil'!J2957</f>
        <v>0</v>
      </c>
      <c r="K2956">
        <f>'raw data Crude oil'!K2957</f>
        <v>0</v>
      </c>
      <c r="L2956">
        <f>'raw data Crude oil'!L2957</f>
        <v>0</v>
      </c>
      <c r="M2956">
        <f>'raw data Crude oil'!M2957</f>
        <v>0</v>
      </c>
      <c r="N2956">
        <f>'raw data Crude oil'!N2957</f>
        <v>0</v>
      </c>
      <c r="O2956">
        <f>'raw data Crude oil'!O2957</f>
        <v>0</v>
      </c>
      <c r="P2956">
        <f>'raw data Crude oil'!P2957</f>
        <v>0</v>
      </c>
      <c r="Q2956">
        <f>'raw data Crude oil'!Q2957</f>
        <v>0</v>
      </c>
      <c r="R2956">
        <f>'raw data Crude oil'!R2957</f>
        <v>0</v>
      </c>
      <c r="S2956">
        <f>'raw data Crude oil'!S2957</f>
        <v>0</v>
      </c>
      <c r="T2956">
        <f>'raw data Crude oil'!T2957</f>
        <v>0</v>
      </c>
      <c r="U2956">
        <f>'raw data Crude oil'!U2957</f>
        <v>0</v>
      </c>
      <c r="V2956">
        <f>'raw data Crude oil'!V2957</f>
        <v>0</v>
      </c>
      <c r="W2956">
        <f>'raw data Crude oil'!W2957</f>
        <v>0</v>
      </c>
      <c r="X2956">
        <f>'raw data Crude oil'!X2957</f>
        <v>0</v>
      </c>
      <c r="Y2956">
        <f>'raw data Crude oil'!Y2957</f>
        <v>0</v>
      </c>
      <c r="Z2956">
        <f>'raw data Crude oil'!Z2957</f>
        <v>0</v>
      </c>
      <c r="AA2956">
        <f>'raw data Crude oil'!AA2957</f>
        <v>0</v>
      </c>
      <c r="AB2956">
        <f>'raw data Crude oil'!AB2957</f>
        <v>0</v>
      </c>
      <c r="AC2956">
        <f>'raw data Crude oil'!AC2957</f>
        <v>0</v>
      </c>
      <c r="AD2956">
        <f>'raw data Crude oil'!AD2957</f>
        <v>0</v>
      </c>
      <c r="AE2956">
        <f>'raw data Crude oil'!AE2957</f>
        <v>0</v>
      </c>
      <c r="AF2956">
        <f>'raw data Crude oil'!AF2957</f>
        <v>0</v>
      </c>
      <c r="AG2956">
        <f>'raw data Crude oil'!AG2957</f>
        <v>0</v>
      </c>
      <c r="AH2956">
        <f>'raw data Crude oil'!AH2957</f>
        <v>0</v>
      </c>
      <c r="AI2956">
        <f>'raw data Crude oil'!AI2957</f>
        <v>0</v>
      </c>
      <c r="AJ2956">
        <f>'raw data Crude oil'!AJ2957</f>
        <v>0</v>
      </c>
      <c r="AK2956">
        <f>'raw data Crude oil'!AK2957</f>
        <v>0</v>
      </c>
    </row>
    <row r="2957" spans="1:37" x14ac:dyDescent="0.3">
      <c r="A2957" s="18">
        <f>'raw data Crude oil'!A2958</f>
        <v>0</v>
      </c>
      <c r="B2957">
        <f>'raw data Crude oil'!B2958</f>
        <v>0</v>
      </c>
      <c r="C2957">
        <f>'raw data Crude oil'!C2958</f>
        <v>0</v>
      </c>
      <c r="D2957">
        <f>'raw data Crude oil'!D2958</f>
        <v>0</v>
      </c>
      <c r="E2957">
        <f>'raw data Crude oil'!E2958</f>
        <v>0</v>
      </c>
      <c r="F2957">
        <f>'raw data Crude oil'!F2958</f>
        <v>0</v>
      </c>
      <c r="G2957">
        <f>'raw data Crude oil'!G2958</f>
        <v>0</v>
      </c>
      <c r="H2957">
        <f>'raw data Crude oil'!H2958</f>
        <v>0</v>
      </c>
      <c r="I2957">
        <f>'raw data Crude oil'!I2958</f>
        <v>0</v>
      </c>
      <c r="J2957">
        <f>'raw data Crude oil'!J2958</f>
        <v>0</v>
      </c>
      <c r="K2957">
        <f>'raw data Crude oil'!K2958</f>
        <v>0</v>
      </c>
      <c r="L2957">
        <f>'raw data Crude oil'!L2958</f>
        <v>0</v>
      </c>
      <c r="M2957">
        <f>'raw data Crude oil'!M2958</f>
        <v>0</v>
      </c>
      <c r="N2957">
        <f>'raw data Crude oil'!N2958</f>
        <v>0</v>
      </c>
      <c r="O2957">
        <f>'raw data Crude oil'!O2958</f>
        <v>0</v>
      </c>
      <c r="P2957">
        <f>'raw data Crude oil'!P2958</f>
        <v>0</v>
      </c>
      <c r="Q2957">
        <f>'raw data Crude oil'!Q2958</f>
        <v>0</v>
      </c>
      <c r="R2957">
        <f>'raw data Crude oil'!R2958</f>
        <v>0</v>
      </c>
      <c r="S2957">
        <f>'raw data Crude oil'!S2958</f>
        <v>0</v>
      </c>
      <c r="T2957">
        <f>'raw data Crude oil'!T2958</f>
        <v>0</v>
      </c>
      <c r="U2957">
        <f>'raw data Crude oil'!U2958</f>
        <v>0</v>
      </c>
      <c r="V2957">
        <f>'raw data Crude oil'!V2958</f>
        <v>0</v>
      </c>
      <c r="W2957">
        <f>'raw data Crude oil'!W2958</f>
        <v>0</v>
      </c>
      <c r="X2957">
        <f>'raw data Crude oil'!X2958</f>
        <v>0</v>
      </c>
      <c r="Y2957">
        <f>'raw data Crude oil'!Y2958</f>
        <v>0</v>
      </c>
      <c r="Z2957">
        <f>'raw data Crude oil'!Z2958</f>
        <v>0</v>
      </c>
      <c r="AA2957">
        <f>'raw data Crude oil'!AA2958</f>
        <v>0</v>
      </c>
      <c r="AB2957">
        <f>'raw data Crude oil'!AB2958</f>
        <v>0</v>
      </c>
      <c r="AC2957">
        <f>'raw data Crude oil'!AC2958</f>
        <v>0</v>
      </c>
      <c r="AD2957">
        <f>'raw data Crude oil'!AD2958</f>
        <v>0</v>
      </c>
      <c r="AE2957">
        <f>'raw data Crude oil'!AE2958</f>
        <v>0</v>
      </c>
      <c r="AF2957">
        <f>'raw data Crude oil'!AF2958</f>
        <v>0</v>
      </c>
      <c r="AG2957">
        <f>'raw data Crude oil'!AG2958</f>
        <v>0</v>
      </c>
      <c r="AH2957">
        <f>'raw data Crude oil'!AH2958</f>
        <v>0</v>
      </c>
      <c r="AI2957">
        <f>'raw data Crude oil'!AI2958</f>
        <v>0</v>
      </c>
      <c r="AJ2957">
        <f>'raw data Crude oil'!AJ2958</f>
        <v>0</v>
      </c>
      <c r="AK2957">
        <f>'raw data Crude oil'!AK2958</f>
        <v>0</v>
      </c>
    </row>
    <row r="2958" spans="1:37" x14ac:dyDescent="0.3">
      <c r="A2958" s="18">
        <f>'raw data Crude oil'!A2959</f>
        <v>0</v>
      </c>
      <c r="B2958">
        <f>'raw data Crude oil'!B2959</f>
        <v>0</v>
      </c>
      <c r="C2958">
        <f>'raw data Crude oil'!C2959</f>
        <v>0</v>
      </c>
      <c r="D2958">
        <f>'raw data Crude oil'!D2959</f>
        <v>0</v>
      </c>
      <c r="E2958">
        <f>'raw data Crude oil'!E2959</f>
        <v>0</v>
      </c>
      <c r="F2958">
        <f>'raw data Crude oil'!F2959</f>
        <v>0</v>
      </c>
      <c r="G2958">
        <f>'raw data Crude oil'!G2959</f>
        <v>0</v>
      </c>
      <c r="H2958">
        <f>'raw data Crude oil'!H2959</f>
        <v>0</v>
      </c>
      <c r="I2958">
        <f>'raw data Crude oil'!I2959</f>
        <v>0</v>
      </c>
      <c r="J2958">
        <f>'raw data Crude oil'!J2959</f>
        <v>0</v>
      </c>
      <c r="K2958">
        <f>'raw data Crude oil'!K2959</f>
        <v>0</v>
      </c>
      <c r="L2958">
        <f>'raw data Crude oil'!L2959</f>
        <v>0</v>
      </c>
      <c r="M2958">
        <f>'raw data Crude oil'!M2959</f>
        <v>0</v>
      </c>
      <c r="N2958">
        <f>'raw data Crude oil'!N2959</f>
        <v>0</v>
      </c>
      <c r="O2958">
        <f>'raw data Crude oil'!O2959</f>
        <v>0</v>
      </c>
      <c r="P2958">
        <f>'raw data Crude oil'!P2959</f>
        <v>0</v>
      </c>
      <c r="Q2958">
        <f>'raw data Crude oil'!Q2959</f>
        <v>0</v>
      </c>
      <c r="R2958">
        <f>'raw data Crude oil'!R2959</f>
        <v>0</v>
      </c>
      <c r="S2958">
        <f>'raw data Crude oil'!S2959</f>
        <v>0</v>
      </c>
      <c r="T2958">
        <f>'raw data Crude oil'!T2959</f>
        <v>0</v>
      </c>
      <c r="U2958">
        <f>'raw data Crude oil'!U2959</f>
        <v>0</v>
      </c>
      <c r="V2958">
        <f>'raw data Crude oil'!V2959</f>
        <v>0</v>
      </c>
      <c r="W2958">
        <f>'raw data Crude oil'!W2959</f>
        <v>0</v>
      </c>
      <c r="X2958">
        <f>'raw data Crude oil'!X2959</f>
        <v>0</v>
      </c>
      <c r="Y2958">
        <f>'raw data Crude oil'!Y2959</f>
        <v>0</v>
      </c>
      <c r="Z2958">
        <f>'raw data Crude oil'!Z2959</f>
        <v>0</v>
      </c>
      <c r="AA2958">
        <f>'raw data Crude oil'!AA2959</f>
        <v>0</v>
      </c>
      <c r="AB2958">
        <f>'raw data Crude oil'!AB2959</f>
        <v>0</v>
      </c>
      <c r="AC2958">
        <f>'raw data Crude oil'!AC2959</f>
        <v>0</v>
      </c>
      <c r="AD2958">
        <f>'raw data Crude oil'!AD2959</f>
        <v>0</v>
      </c>
      <c r="AE2958">
        <f>'raw data Crude oil'!AE2959</f>
        <v>0</v>
      </c>
      <c r="AF2958">
        <f>'raw data Crude oil'!AF2959</f>
        <v>0</v>
      </c>
      <c r="AG2958">
        <f>'raw data Crude oil'!AG2959</f>
        <v>0</v>
      </c>
      <c r="AH2958">
        <f>'raw data Crude oil'!AH2959</f>
        <v>0</v>
      </c>
      <c r="AI2958">
        <f>'raw data Crude oil'!AI2959</f>
        <v>0</v>
      </c>
      <c r="AJ2958">
        <f>'raw data Crude oil'!AJ2959</f>
        <v>0</v>
      </c>
      <c r="AK2958">
        <f>'raw data Crude oil'!AK2959</f>
        <v>0</v>
      </c>
    </row>
    <row r="2959" spans="1:37" x14ac:dyDescent="0.3">
      <c r="A2959" s="18">
        <f>'raw data Crude oil'!A2960</f>
        <v>0</v>
      </c>
      <c r="B2959">
        <f>'raw data Crude oil'!B2960</f>
        <v>0</v>
      </c>
      <c r="C2959">
        <f>'raw data Crude oil'!C2960</f>
        <v>0</v>
      </c>
      <c r="D2959">
        <f>'raw data Crude oil'!D2960</f>
        <v>0</v>
      </c>
      <c r="E2959">
        <f>'raw data Crude oil'!E2960</f>
        <v>0</v>
      </c>
      <c r="F2959">
        <f>'raw data Crude oil'!F2960</f>
        <v>0</v>
      </c>
      <c r="G2959">
        <f>'raw data Crude oil'!G2960</f>
        <v>0</v>
      </c>
      <c r="H2959">
        <f>'raw data Crude oil'!H2960</f>
        <v>0</v>
      </c>
      <c r="I2959">
        <f>'raw data Crude oil'!I2960</f>
        <v>0</v>
      </c>
      <c r="J2959">
        <f>'raw data Crude oil'!J2960</f>
        <v>0</v>
      </c>
      <c r="K2959">
        <f>'raw data Crude oil'!K2960</f>
        <v>0</v>
      </c>
      <c r="L2959">
        <f>'raw data Crude oil'!L2960</f>
        <v>0</v>
      </c>
      <c r="M2959">
        <f>'raw data Crude oil'!M2960</f>
        <v>0</v>
      </c>
      <c r="N2959">
        <f>'raw data Crude oil'!N2960</f>
        <v>0</v>
      </c>
      <c r="O2959">
        <f>'raw data Crude oil'!O2960</f>
        <v>0</v>
      </c>
      <c r="P2959">
        <f>'raw data Crude oil'!P2960</f>
        <v>0</v>
      </c>
      <c r="Q2959">
        <f>'raw data Crude oil'!Q2960</f>
        <v>0</v>
      </c>
      <c r="R2959">
        <f>'raw data Crude oil'!R2960</f>
        <v>0</v>
      </c>
      <c r="S2959">
        <f>'raw data Crude oil'!S2960</f>
        <v>0</v>
      </c>
      <c r="T2959">
        <f>'raw data Crude oil'!T2960</f>
        <v>0</v>
      </c>
      <c r="U2959">
        <f>'raw data Crude oil'!U2960</f>
        <v>0</v>
      </c>
      <c r="V2959">
        <f>'raw data Crude oil'!V2960</f>
        <v>0</v>
      </c>
      <c r="W2959">
        <f>'raw data Crude oil'!W2960</f>
        <v>0</v>
      </c>
      <c r="X2959">
        <f>'raw data Crude oil'!X2960</f>
        <v>0</v>
      </c>
      <c r="Y2959">
        <f>'raw data Crude oil'!Y2960</f>
        <v>0</v>
      </c>
      <c r="Z2959">
        <f>'raw data Crude oil'!Z2960</f>
        <v>0</v>
      </c>
      <c r="AA2959">
        <f>'raw data Crude oil'!AA2960</f>
        <v>0</v>
      </c>
      <c r="AB2959">
        <f>'raw data Crude oil'!AB2960</f>
        <v>0</v>
      </c>
      <c r="AC2959">
        <f>'raw data Crude oil'!AC2960</f>
        <v>0</v>
      </c>
      <c r="AD2959">
        <f>'raw data Crude oil'!AD2960</f>
        <v>0</v>
      </c>
      <c r="AE2959">
        <f>'raw data Crude oil'!AE2960</f>
        <v>0</v>
      </c>
      <c r="AF2959">
        <f>'raw data Crude oil'!AF2960</f>
        <v>0</v>
      </c>
      <c r="AG2959">
        <f>'raw data Crude oil'!AG2960</f>
        <v>0</v>
      </c>
      <c r="AH2959">
        <f>'raw data Crude oil'!AH2960</f>
        <v>0</v>
      </c>
      <c r="AI2959">
        <f>'raw data Crude oil'!AI2960</f>
        <v>0</v>
      </c>
      <c r="AJ2959">
        <f>'raw data Crude oil'!AJ2960</f>
        <v>0</v>
      </c>
      <c r="AK2959">
        <f>'raw data Crude oil'!AK2960</f>
        <v>0</v>
      </c>
    </row>
    <row r="2960" spans="1:37" x14ac:dyDescent="0.3">
      <c r="A2960" s="18">
        <f>'raw data Crude oil'!A2961</f>
        <v>0</v>
      </c>
      <c r="B2960">
        <f>'raw data Crude oil'!B2961</f>
        <v>0</v>
      </c>
      <c r="C2960">
        <f>'raw data Crude oil'!C2961</f>
        <v>0</v>
      </c>
      <c r="D2960">
        <f>'raw data Crude oil'!D2961</f>
        <v>0</v>
      </c>
      <c r="E2960">
        <f>'raw data Crude oil'!E2961</f>
        <v>0</v>
      </c>
      <c r="F2960">
        <f>'raw data Crude oil'!F2961</f>
        <v>0</v>
      </c>
      <c r="G2960">
        <f>'raw data Crude oil'!G2961</f>
        <v>0</v>
      </c>
      <c r="H2960">
        <f>'raw data Crude oil'!H2961</f>
        <v>0</v>
      </c>
      <c r="I2960">
        <f>'raw data Crude oil'!I2961</f>
        <v>0</v>
      </c>
      <c r="J2960">
        <f>'raw data Crude oil'!J2961</f>
        <v>0</v>
      </c>
      <c r="K2960">
        <f>'raw data Crude oil'!K2961</f>
        <v>0</v>
      </c>
      <c r="L2960">
        <f>'raw data Crude oil'!L2961</f>
        <v>0</v>
      </c>
      <c r="M2960">
        <f>'raw data Crude oil'!M2961</f>
        <v>0</v>
      </c>
      <c r="N2960">
        <f>'raw data Crude oil'!N2961</f>
        <v>0</v>
      </c>
      <c r="O2960">
        <f>'raw data Crude oil'!O2961</f>
        <v>0</v>
      </c>
      <c r="P2960">
        <f>'raw data Crude oil'!P2961</f>
        <v>0</v>
      </c>
      <c r="Q2960">
        <f>'raw data Crude oil'!Q2961</f>
        <v>0</v>
      </c>
      <c r="R2960">
        <f>'raw data Crude oil'!R2961</f>
        <v>0</v>
      </c>
      <c r="S2960">
        <f>'raw data Crude oil'!S2961</f>
        <v>0</v>
      </c>
      <c r="T2960">
        <f>'raw data Crude oil'!T2961</f>
        <v>0</v>
      </c>
      <c r="U2960">
        <f>'raw data Crude oil'!U2961</f>
        <v>0</v>
      </c>
      <c r="V2960">
        <f>'raw data Crude oil'!V2961</f>
        <v>0</v>
      </c>
      <c r="W2960">
        <f>'raw data Crude oil'!W2961</f>
        <v>0</v>
      </c>
      <c r="X2960">
        <f>'raw data Crude oil'!X2961</f>
        <v>0</v>
      </c>
      <c r="Y2960">
        <f>'raw data Crude oil'!Y2961</f>
        <v>0</v>
      </c>
      <c r="Z2960">
        <f>'raw data Crude oil'!Z2961</f>
        <v>0</v>
      </c>
      <c r="AA2960">
        <f>'raw data Crude oil'!AA2961</f>
        <v>0</v>
      </c>
      <c r="AB2960">
        <f>'raw data Crude oil'!AB2961</f>
        <v>0</v>
      </c>
      <c r="AC2960">
        <f>'raw data Crude oil'!AC2961</f>
        <v>0</v>
      </c>
      <c r="AD2960">
        <f>'raw data Crude oil'!AD2961</f>
        <v>0</v>
      </c>
      <c r="AE2960">
        <f>'raw data Crude oil'!AE2961</f>
        <v>0</v>
      </c>
      <c r="AF2960">
        <f>'raw data Crude oil'!AF2961</f>
        <v>0</v>
      </c>
      <c r="AG2960">
        <f>'raw data Crude oil'!AG2961</f>
        <v>0</v>
      </c>
      <c r="AH2960">
        <f>'raw data Crude oil'!AH2961</f>
        <v>0</v>
      </c>
      <c r="AI2960">
        <f>'raw data Crude oil'!AI2961</f>
        <v>0</v>
      </c>
      <c r="AJ2960">
        <f>'raw data Crude oil'!AJ2961</f>
        <v>0</v>
      </c>
      <c r="AK2960">
        <f>'raw data Crude oil'!AK2961</f>
        <v>0</v>
      </c>
    </row>
    <row r="2961" spans="1:37" x14ac:dyDescent="0.3">
      <c r="A2961" s="18">
        <f>'raw data Crude oil'!A2962</f>
        <v>0</v>
      </c>
      <c r="B2961">
        <f>'raw data Crude oil'!B2962</f>
        <v>0</v>
      </c>
      <c r="C2961">
        <f>'raw data Crude oil'!C2962</f>
        <v>0</v>
      </c>
      <c r="D2961">
        <f>'raw data Crude oil'!D2962</f>
        <v>0</v>
      </c>
      <c r="E2961">
        <f>'raw data Crude oil'!E2962</f>
        <v>0</v>
      </c>
      <c r="F2961">
        <f>'raw data Crude oil'!F2962</f>
        <v>0</v>
      </c>
      <c r="G2961">
        <f>'raw data Crude oil'!G2962</f>
        <v>0</v>
      </c>
      <c r="H2961">
        <f>'raw data Crude oil'!H2962</f>
        <v>0</v>
      </c>
      <c r="I2961">
        <f>'raw data Crude oil'!I2962</f>
        <v>0</v>
      </c>
      <c r="J2961">
        <f>'raw data Crude oil'!J2962</f>
        <v>0</v>
      </c>
      <c r="K2961">
        <f>'raw data Crude oil'!K2962</f>
        <v>0</v>
      </c>
      <c r="L2961">
        <f>'raw data Crude oil'!L2962</f>
        <v>0</v>
      </c>
      <c r="M2961">
        <f>'raw data Crude oil'!M2962</f>
        <v>0</v>
      </c>
      <c r="N2961">
        <f>'raw data Crude oil'!N2962</f>
        <v>0</v>
      </c>
      <c r="O2961">
        <f>'raw data Crude oil'!O2962</f>
        <v>0</v>
      </c>
      <c r="P2961">
        <f>'raw data Crude oil'!P2962</f>
        <v>0</v>
      </c>
      <c r="Q2961">
        <f>'raw data Crude oil'!Q2962</f>
        <v>0</v>
      </c>
      <c r="R2961">
        <f>'raw data Crude oil'!R2962</f>
        <v>0</v>
      </c>
      <c r="S2961">
        <f>'raw data Crude oil'!S2962</f>
        <v>0</v>
      </c>
      <c r="T2961">
        <f>'raw data Crude oil'!T2962</f>
        <v>0</v>
      </c>
      <c r="U2961">
        <f>'raw data Crude oil'!U2962</f>
        <v>0</v>
      </c>
      <c r="V2961">
        <f>'raw data Crude oil'!V2962</f>
        <v>0</v>
      </c>
      <c r="W2961">
        <f>'raw data Crude oil'!W2962</f>
        <v>0</v>
      </c>
      <c r="X2961">
        <f>'raw data Crude oil'!X2962</f>
        <v>0</v>
      </c>
      <c r="Y2961">
        <f>'raw data Crude oil'!Y2962</f>
        <v>0</v>
      </c>
      <c r="Z2961">
        <f>'raw data Crude oil'!Z2962</f>
        <v>0</v>
      </c>
      <c r="AA2961">
        <f>'raw data Crude oil'!AA2962</f>
        <v>0</v>
      </c>
      <c r="AB2961">
        <f>'raw data Crude oil'!AB2962</f>
        <v>0</v>
      </c>
      <c r="AC2961">
        <f>'raw data Crude oil'!AC2962</f>
        <v>0</v>
      </c>
      <c r="AD2961">
        <f>'raw data Crude oil'!AD2962</f>
        <v>0</v>
      </c>
      <c r="AE2961">
        <f>'raw data Crude oil'!AE2962</f>
        <v>0</v>
      </c>
      <c r="AF2961">
        <f>'raw data Crude oil'!AF2962</f>
        <v>0</v>
      </c>
      <c r="AG2961">
        <f>'raw data Crude oil'!AG2962</f>
        <v>0</v>
      </c>
      <c r="AH2961">
        <f>'raw data Crude oil'!AH2962</f>
        <v>0</v>
      </c>
      <c r="AI2961">
        <f>'raw data Crude oil'!AI2962</f>
        <v>0</v>
      </c>
      <c r="AJ2961">
        <f>'raw data Crude oil'!AJ2962</f>
        <v>0</v>
      </c>
      <c r="AK2961">
        <f>'raw data Crude oil'!AK2962</f>
        <v>0</v>
      </c>
    </row>
    <row r="2962" spans="1:37" x14ac:dyDescent="0.3">
      <c r="A2962" s="18">
        <f>'raw data Crude oil'!A2963</f>
        <v>0</v>
      </c>
      <c r="B2962">
        <f>'raw data Crude oil'!B2963</f>
        <v>0</v>
      </c>
      <c r="C2962">
        <f>'raw data Crude oil'!C2963</f>
        <v>0</v>
      </c>
      <c r="D2962">
        <f>'raw data Crude oil'!D2963</f>
        <v>0</v>
      </c>
      <c r="E2962">
        <f>'raw data Crude oil'!E2963</f>
        <v>0</v>
      </c>
      <c r="F2962">
        <f>'raw data Crude oil'!F2963</f>
        <v>0</v>
      </c>
      <c r="G2962">
        <f>'raw data Crude oil'!G2963</f>
        <v>0</v>
      </c>
      <c r="H2962">
        <f>'raw data Crude oil'!H2963</f>
        <v>0</v>
      </c>
      <c r="I2962">
        <f>'raw data Crude oil'!I2963</f>
        <v>0</v>
      </c>
      <c r="J2962">
        <f>'raw data Crude oil'!J2963</f>
        <v>0</v>
      </c>
      <c r="K2962">
        <f>'raw data Crude oil'!K2963</f>
        <v>0</v>
      </c>
      <c r="L2962">
        <f>'raw data Crude oil'!L2963</f>
        <v>0</v>
      </c>
      <c r="M2962">
        <f>'raw data Crude oil'!M2963</f>
        <v>0</v>
      </c>
      <c r="N2962">
        <f>'raw data Crude oil'!N2963</f>
        <v>0</v>
      </c>
      <c r="O2962">
        <f>'raw data Crude oil'!O2963</f>
        <v>0</v>
      </c>
      <c r="P2962">
        <f>'raw data Crude oil'!P2963</f>
        <v>0</v>
      </c>
      <c r="Q2962">
        <f>'raw data Crude oil'!Q2963</f>
        <v>0</v>
      </c>
      <c r="R2962">
        <f>'raw data Crude oil'!R2963</f>
        <v>0</v>
      </c>
      <c r="S2962">
        <f>'raw data Crude oil'!S2963</f>
        <v>0</v>
      </c>
      <c r="T2962">
        <f>'raw data Crude oil'!T2963</f>
        <v>0</v>
      </c>
      <c r="U2962">
        <f>'raw data Crude oil'!U2963</f>
        <v>0</v>
      </c>
      <c r="V2962">
        <f>'raw data Crude oil'!V2963</f>
        <v>0</v>
      </c>
      <c r="W2962">
        <f>'raw data Crude oil'!W2963</f>
        <v>0</v>
      </c>
      <c r="X2962">
        <f>'raw data Crude oil'!X2963</f>
        <v>0</v>
      </c>
      <c r="Y2962">
        <f>'raw data Crude oil'!Y2963</f>
        <v>0</v>
      </c>
      <c r="Z2962">
        <f>'raw data Crude oil'!Z2963</f>
        <v>0</v>
      </c>
      <c r="AA2962">
        <f>'raw data Crude oil'!AA2963</f>
        <v>0</v>
      </c>
      <c r="AB2962">
        <f>'raw data Crude oil'!AB2963</f>
        <v>0</v>
      </c>
      <c r="AC2962">
        <f>'raw data Crude oil'!AC2963</f>
        <v>0</v>
      </c>
      <c r="AD2962">
        <f>'raw data Crude oil'!AD2963</f>
        <v>0</v>
      </c>
      <c r="AE2962">
        <f>'raw data Crude oil'!AE2963</f>
        <v>0</v>
      </c>
      <c r="AF2962">
        <f>'raw data Crude oil'!AF2963</f>
        <v>0</v>
      </c>
      <c r="AG2962">
        <f>'raw data Crude oil'!AG2963</f>
        <v>0</v>
      </c>
      <c r="AH2962">
        <f>'raw data Crude oil'!AH2963</f>
        <v>0</v>
      </c>
      <c r="AI2962">
        <f>'raw data Crude oil'!AI2963</f>
        <v>0</v>
      </c>
      <c r="AJ2962">
        <f>'raw data Crude oil'!AJ2963</f>
        <v>0</v>
      </c>
      <c r="AK2962">
        <f>'raw data Crude oil'!AK2963</f>
        <v>0</v>
      </c>
    </row>
    <row r="2963" spans="1:37" x14ac:dyDescent="0.3">
      <c r="A2963" s="18">
        <f>'raw data Crude oil'!A2964</f>
        <v>0</v>
      </c>
      <c r="B2963">
        <f>'raw data Crude oil'!B2964</f>
        <v>0</v>
      </c>
      <c r="C2963">
        <f>'raw data Crude oil'!C2964</f>
        <v>0</v>
      </c>
      <c r="D2963">
        <f>'raw data Crude oil'!D2964</f>
        <v>0</v>
      </c>
      <c r="E2963">
        <f>'raw data Crude oil'!E2964</f>
        <v>0</v>
      </c>
      <c r="F2963">
        <f>'raw data Crude oil'!F2964</f>
        <v>0</v>
      </c>
      <c r="G2963">
        <f>'raw data Crude oil'!G2964</f>
        <v>0</v>
      </c>
      <c r="H2963">
        <f>'raw data Crude oil'!H2964</f>
        <v>0</v>
      </c>
      <c r="I2963">
        <f>'raw data Crude oil'!I2964</f>
        <v>0</v>
      </c>
      <c r="J2963">
        <f>'raw data Crude oil'!J2964</f>
        <v>0</v>
      </c>
      <c r="K2963">
        <f>'raw data Crude oil'!K2964</f>
        <v>0</v>
      </c>
      <c r="L2963">
        <f>'raw data Crude oil'!L2964</f>
        <v>0</v>
      </c>
      <c r="M2963">
        <f>'raw data Crude oil'!M2964</f>
        <v>0</v>
      </c>
      <c r="N2963">
        <f>'raw data Crude oil'!N2964</f>
        <v>0</v>
      </c>
      <c r="O2963">
        <f>'raw data Crude oil'!O2964</f>
        <v>0</v>
      </c>
      <c r="P2963">
        <f>'raw data Crude oil'!P2964</f>
        <v>0</v>
      </c>
      <c r="Q2963">
        <f>'raw data Crude oil'!Q2964</f>
        <v>0</v>
      </c>
      <c r="R2963">
        <f>'raw data Crude oil'!R2964</f>
        <v>0</v>
      </c>
      <c r="S2963">
        <f>'raw data Crude oil'!S2964</f>
        <v>0</v>
      </c>
      <c r="T2963">
        <f>'raw data Crude oil'!T2964</f>
        <v>0</v>
      </c>
      <c r="U2963">
        <f>'raw data Crude oil'!U2964</f>
        <v>0</v>
      </c>
      <c r="V2963">
        <f>'raw data Crude oil'!V2964</f>
        <v>0</v>
      </c>
      <c r="W2963">
        <f>'raw data Crude oil'!W2964</f>
        <v>0</v>
      </c>
      <c r="X2963">
        <f>'raw data Crude oil'!X2964</f>
        <v>0</v>
      </c>
      <c r="Y2963">
        <f>'raw data Crude oil'!Y2964</f>
        <v>0</v>
      </c>
      <c r="Z2963">
        <f>'raw data Crude oil'!Z2964</f>
        <v>0</v>
      </c>
      <c r="AA2963">
        <f>'raw data Crude oil'!AA2964</f>
        <v>0</v>
      </c>
      <c r="AB2963">
        <f>'raw data Crude oil'!AB2964</f>
        <v>0</v>
      </c>
      <c r="AC2963">
        <f>'raw data Crude oil'!AC2964</f>
        <v>0</v>
      </c>
      <c r="AD2963">
        <f>'raw data Crude oil'!AD2964</f>
        <v>0</v>
      </c>
      <c r="AE2963">
        <f>'raw data Crude oil'!AE2964</f>
        <v>0</v>
      </c>
      <c r="AF2963">
        <f>'raw data Crude oil'!AF2964</f>
        <v>0</v>
      </c>
      <c r="AG2963">
        <f>'raw data Crude oil'!AG2964</f>
        <v>0</v>
      </c>
      <c r="AH2963">
        <f>'raw data Crude oil'!AH2964</f>
        <v>0</v>
      </c>
      <c r="AI2963">
        <f>'raw data Crude oil'!AI2964</f>
        <v>0</v>
      </c>
      <c r="AJ2963">
        <f>'raw data Crude oil'!AJ2964</f>
        <v>0</v>
      </c>
      <c r="AK2963">
        <f>'raw data Crude oil'!AK2964</f>
        <v>0</v>
      </c>
    </row>
    <row r="2964" spans="1:37" x14ac:dyDescent="0.3">
      <c r="A2964" s="18">
        <f>'raw data Crude oil'!A2965</f>
        <v>0</v>
      </c>
      <c r="B2964">
        <f>'raw data Crude oil'!B2965</f>
        <v>0</v>
      </c>
      <c r="C2964">
        <f>'raw data Crude oil'!C2965</f>
        <v>0</v>
      </c>
      <c r="D2964">
        <f>'raw data Crude oil'!D2965</f>
        <v>0</v>
      </c>
      <c r="E2964">
        <f>'raw data Crude oil'!E2965</f>
        <v>0</v>
      </c>
      <c r="F2964">
        <f>'raw data Crude oil'!F2965</f>
        <v>0</v>
      </c>
      <c r="G2964">
        <f>'raw data Crude oil'!G2965</f>
        <v>0</v>
      </c>
      <c r="H2964">
        <f>'raw data Crude oil'!H2965</f>
        <v>0</v>
      </c>
      <c r="I2964">
        <f>'raw data Crude oil'!I2965</f>
        <v>0</v>
      </c>
      <c r="J2964">
        <f>'raw data Crude oil'!J2965</f>
        <v>0</v>
      </c>
      <c r="K2964">
        <f>'raw data Crude oil'!K2965</f>
        <v>0</v>
      </c>
      <c r="L2964">
        <f>'raw data Crude oil'!L2965</f>
        <v>0</v>
      </c>
      <c r="M2964">
        <f>'raw data Crude oil'!M2965</f>
        <v>0</v>
      </c>
      <c r="N2964">
        <f>'raw data Crude oil'!N2965</f>
        <v>0</v>
      </c>
      <c r="O2964">
        <f>'raw data Crude oil'!O2965</f>
        <v>0</v>
      </c>
      <c r="P2964">
        <f>'raw data Crude oil'!P2965</f>
        <v>0</v>
      </c>
      <c r="Q2964">
        <f>'raw data Crude oil'!Q2965</f>
        <v>0</v>
      </c>
      <c r="R2964">
        <f>'raw data Crude oil'!R2965</f>
        <v>0</v>
      </c>
      <c r="S2964">
        <f>'raw data Crude oil'!S2965</f>
        <v>0</v>
      </c>
      <c r="T2964">
        <f>'raw data Crude oil'!T2965</f>
        <v>0</v>
      </c>
      <c r="U2964">
        <f>'raw data Crude oil'!U2965</f>
        <v>0</v>
      </c>
      <c r="V2964">
        <f>'raw data Crude oil'!V2965</f>
        <v>0</v>
      </c>
      <c r="W2964">
        <f>'raw data Crude oil'!W2965</f>
        <v>0</v>
      </c>
      <c r="X2964">
        <f>'raw data Crude oil'!X2965</f>
        <v>0</v>
      </c>
      <c r="Y2964">
        <f>'raw data Crude oil'!Y2965</f>
        <v>0</v>
      </c>
      <c r="Z2964">
        <f>'raw data Crude oil'!Z2965</f>
        <v>0</v>
      </c>
      <c r="AA2964">
        <f>'raw data Crude oil'!AA2965</f>
        <v>0</v>
      </c>
      <c r="AB2964">
        <f>'raw data Crude oil'!AB2965</f>
        <v>0</v>
      </c>
      <c r="AC2964">
        <f>'raw data Crude oil'!AC2965</f>
        <v>0</v>
      </c>
      <c r="AD2964">
        <f>'raw data Crude oil'!AD2965</f>
        <v>0</v>
      </c>
      <c r="AE2964">
        <f>'raw data Crude oil'!AE2965</f>
        <v>0</v>
      </c>
      <c r="AF2964">
        <f>'raw data Crude oil'!AF2965</f>
        <v>0</v>
      </c>
      <c r="AG2964">
        <f>'raw data Crude oil'!AG2965</f>
        <v>0</v>
      </c>
      <c r="AH2964">
        <f>'raw data Crude oil'!AH2965</f>
        <v>0</v>
      </c>
      <c r="AI2964">
        <f>'raw data Crude oil'!AI2965</f>
        <v>0</v>
      </c>
      <c r="AJ2964">
        <f>'raw data Crude oil'!AJ2965</f>
        <v>0</v>
      </c>
      <c r="AK2964">
        <f>'raw data Crude oil'!AK2965</f>
        <v>0</v>
      </c>
    </row>
    <row r="2965" spans="1:37" x14ac:dyDescent="0.3">
      <c r="A2965" s="18">
        <f>'raw data Crude oil'!A2966</f>
        <v>0</v>
      </c>
      <c r="B2965">
        <f>'raw data Crude oil'!B2966</f>
        <v>0</v>
      </c>
      <c r="C2965">
        <f>'raw data Crude oil'!C2966</f>
        <v>0</v>
      </c>
      <c r="D2965">
        <f>'raw data Crude oil'!D2966</f>
        <v>0</v>
      </c>
      <c r="E2965">
        <f>'raw data Crude oil'!E2966</f>
        <v>0</v>
      </c>
      <c r="F2965">
        <f>'raw data Crude oil'!F2966</f>
        <v>0</v>
      </c>
      <c r="G2965">
        <f>'raw data Crude oil'!G2966</f>
        <v>0</v>
      </c>
      <c r="H2965">
        <f>'raw data Crude oil'!H2966</f>
        <v>0</v>
      </c>
      <c r="I2965">
        <f>'raw data Crude oil'!I2966</f>
        <v>0</v>
      </c>
      <c r="J2965">
        <f>'raw data Crude oil'!J2966</f>
        <v>0</v>
      </c>
      <c r="K2965">
        <f>'raw data Crude oil'!K2966</f>
        <v>0</v>
      </c>
      <c r="L2965">
        <f>'raw data Crude oil'!L2966</f>
        <v>0</v>
      </c>
      <c r="M2965">
        <f>'raw data Crude oil'!M2966</f>
        <v>0</v>
      </c>
      <c r="N2965">
        <f>'raw data Crude oil'!N2966</f>
        <v>0</v>
      </c>
      <c r="O2965">
        <f>'raw data Crude oil'!O2966</f>
        <v>0</v>
      </c>
      <c r="P2965">
        <f>'raw data Crude oil'!P2966</f>
        <v>0</v>
      </c>
      <c r="Q2965">
        <f>'raw data Crude oil'!Q2966</f>
        <v>0</v>
      </c>
      <c r="R2965">
        <f>'raw data Crude oil'!R2966</f>
        <v>0</v>
      </c>
      <c r="S2965">
        <f>'raw data Crude oil'!S2966</f>
        <v>0</v>
      </c>
      <c r="T2965">
        <f>'raw data Crude oil'!T2966</f>
        <v>0</v>
      </c>
      <c r="U2965">
        <f>'raw data Crude oil'!U2966</f>
        <v>0</v>
      </c>
      <c r="V2965">
        <f>'raw data Crude oil'!V2966</f>
        <v>0</v>
      </c>
      <c r="W2965">
        <f>'raw data Crude oil'!W2966</f>
        <v>0</v>
      </c>
      <c r="X2965">
        <f>'raw data Crude oil'!X2966</f>
        <v>0</v>
      </c>
      <c r="Y2965">
        <f>'raw data Crude oil'!Y2966</f>
        <v>0</v>
      </c>
      <c r="Z2965">
        <f>'raw data Crude oil'!Z2966</f>
        <v>0</v>
      </c>
      <c r="AA2965">
        <f>'raw data Crude oil'!AA2966</f>
        <v>0</v>
      </c>
      <c r="AB2965">
        <f>'raw data Crude oil'!AB2966</f>
        <v>0</v>
      </c>
      <c r="AC2965">
        <f>'raw data Crude oil'!AC2966</f>
        <v>0</v>
      </c>
      <c r="AD2965">
        <f>'raw data Crude oil'!AD2966</f>
        <v>0</v>
      </c>
      <c r="AE2965">
        <f>'raw data Crude oil'!AE2966</f>
        <v>0</v>
      </c>
      <c r="AF2965">
        <f>'raw data Crude oil'!AF2966</f>
        <v>0</v>
      </c>
      <c r="AG2965">
        <f>'raw data Crude oil'!AG2966</f>
        <v>0</v>
      </c>
      <c r="AH2965">
        <f>'raw data Crude oil'!AH2966</f>
        <v>0</v>
      </c>
      <c r="AI2965">
        <f>'raw data Crude oil'!AI2966</f>
        <v>0</v>
      </c>
      <c r="AJ2965">
        <f>'raw data Crude oil'!AJ2966</f>
        <v>0</v>
      </c>
      <c r="AK2965">
        <f>'raw data Crude oil'!AK2966</f>
        <v>0</v>
      </c>
    </row>
    <row r="2966" spans="1:37" x14ac:dyDescent="0.3">
      <c r="A2966" s="18">
        <f>'raw data Crude oil'!A2967</f>
        <v>0</v>
      </c>
      <c r="B2966">
        <f>'raw data Crude oil'!B2967</f>
        <v>0</v>
      </c>
      <c r="C2966">
        <f>'raw data Crude oil'!C2967</f>
        <v>0</v>
      </c>
      <c r="D2966">
        <f>'raw data Crude oil'!D2967</f>
        <v>0</v>
      </c>
      <c r="E2966">
        <f>'raw data Crude oil'!E2967</f>
        <v>0</v>
      </c>
      <c r="F2966">
        <f>'raw data Crude oil'!F2967</f>
        <v>0</v>
      </c>
      <c r="G2966">
        <f>'raw data Crude oil'!G2967</f>
        <v>0</v>
      </c>
      <c r="H2966">
        <f>'raw data Crude oil'!H2967</f>
        <v>0</v>
      </c>
      <c r="I2966">
        <f>'raw data Crude oil'!I2967</f>
        <v>0</v>
      </c>
      <c r="J2966">
        <f>'raw data Crude oil'!J2967</f>
        <v>0</v>
      </c>
      <c r="K2966">
        <f>'raw data Crude oil'!K2967</f>
        <v>0</v>
      </c>
      <c r="L2966">
        <f>'raw data Crude oil'!L2967</f>
        <v>0</v>
      </c>
      <c r="M2966">
        <f>'raw data Crude oil'!M2967</f>
        <v>0</v>
      </c>
      <c r="N2966">
        <f>'raw data Crude oil'!N2967</f>
        <v>0</v>
      </c>
      <c r="O2966">
        <f>'raw data Crude oil'!O2967</f>
        <v>0</v>
      </c>
      <c r="P2966">
        <f>'raw data Crude oil'!P2967</f>
        <v>0</v>
      </c>
      <c r="Q2966">
        <f>'raw data Crude oil'!Q2967</f>
        <v>0</v>
      </c>
      <c r="R2966">
        <f>'raw data Crude oil'!R2967</f>
        <v>0</v>
      </c>
      <c r="S2966">
        <f>'raw data Crude oil'!S2967</f>
        <v>0</v>
      </c>
      <c r="T2966">
        <f>'raw data Crude oil'!T2967</f>
        <v>0</v>
      </c>
      <c r="U2966">
        <f>'raw data Crude oil'!U2967</f>
        <v>0</v>
      </c>
      <c r="V2966">
        <f>'raw data Crude oil'!V2967</f>
        <v>0</v>
      </c>
      <c r="W2966">
        <f>'raw data Crude oil'!W2967</f>
        <v>0</v>
      </c>
      <c r="X2966">
        <f>'raw data Crude oil'!X2967</f>
        <v>0</v>
      </c>
      <c r="Y2966">
        <f>'raw data Crude oil'!Y2967</f>
        <v>0</v>
      </c>
      <c r="Z2966">
        <f>'raw data Crude oil'!Z2967</f>
        <v>0</v>
      </c>
      <c r="AA2966">
        <f>'raw data Crude oil'!AA2967</f>
        <v>0</v>
      </c>
      <c r="AB2966">
        <f>'raw data Crude oil'!AB2967</f>
        <v>0</v>
      </c>
      <c r="AC2966">
        <f>'raw data Crude oil'!AC2967</f>
        <v>0</v>
      </c>
      <c r="AD2966">
        <f>'raw data Crude oil'!AD2967</f>
        <v>0</v>
      </c>
      <c r="AE2966">
        <f>'raw data Crude oil'!AE2967</f>
        <v>0</v>
      </c>
      <c r="AF2966">
        <f>'raw data Crude oil'!AF2967</f>
        <v>0</v>
      </c>
      <c r="AG2966">
        <f>'raw data Crude oil'!AG2967</f>
        <v>0</v>
      </c>
      <c r="AH2966">
        <f>'raw data Crude oil'!AH2967</f>
        <v>0</v>
      </c>
      <c r="AI2966">
        <f>'raw data Crude oil'!AI2967</f>
        <v>0</v>
      </c>
      <c r="AJ2966">
        <f>'raw data Crude oil'!AJ2967</f>
        <v>0</v>
      </c>
      <c r="AK2966">
        <f>'raw data Crude oil'!AK2967</f>
        <v>0</v>
      </c>
    </row>
    <row r="2967" spans="1:37" x14ac:dyDescent="0.3">
      <c r="A2967" s="18">
        <f>'raw data Crude oil'!A2968</f>
        <v>0</v>
      </c>
      <c r="B2967">
        <f>'raw data Crude oil'!B2968</f>
        <v>0</v>
      </c>
      <c r="C2967">
        <f>'raw data Crude oil'!C2968</f>
        <v>0</v>
      </c>
      <c r="D2967">
        <f>'raw data Crude oil'!D2968</f>
        <v>0</v>
      </c>
      <c r="E2967">
        <f>'raw data Crude oil'!E2968</f>
        <v>0</v>
      </c>
      <c r="F2967">
        <f>'raw data Crude oil'!F2968</f>
        <v>0</v>
      </c>
      <c r="G2967">
        <f>'raw data Crude oil'!G2968</f>
        <v>0</v>
      </c>
      <c r="H2967">
        <f>'raw data Crude oil'!H2968</f>
        <v>0</v>
      </c>
      <c r="I2967">
        <f>'raw data Crude oil'!I2968</f>
        <v>0</v>
      </c>
      <c r="J2967">
        <f>'raw data Crude oil'!J2968</f>
        <v>0</v>
      </c>
      <c r="K2967">
        <f>'raw data Crude oil'!K2968</f>
        <v>0</v>
      </c>
      <c r="L2967">
        <f>'raw data Crude oil'!L2968</f>
        <v>0</v>
      </c>
      <c r="M2967">
        <f>'raw data Crude oil'!M2968</f>
        <v>0</v>
      </c>
      <c r="N2967">
        <f>'raw data Crude oil'!N2968</f>
        <v>0</v>
      </c>
      <c r="O2967">
        <f>'raw data Crude oil'!O2968</f>
        <v>0</v>
      </c>
      <c r="P2967">
        <f>'raw data Crude oil'!P2968</f>
        <v>0</v>
      </c>
      <c r="Q2967">
        <f>'raw data Crude oil'!Q2968</f>
        <v>0</v>
      </c>
      <c r="R2967">
        <f>'raw data Crude oil'!R2968</f>
        <v>0</v>
      </c>
      <c r="S2967">
        <f>'raw data Crude oil'!S2968</f>
        <v>0</v>
      </c>
      <c r="T2967">
        <f>'raw data Crude oil'!T2968</f>
        <v>0</v>
      </c>
      <c r="U2967">
        <f>'raw data Crude oil'!U2968</f>
        <v>0</v>
      </c>
      <c r="V2967">
        <f>'raw data Crude oil'!V2968</f>
        <v>0</v>
      </c>
      <c r="W2967">
        <f>'raw data Crude oil'!W2968</f>
        <v>0</v>
      </c>
      <c r="X2967">
        <f>'raw data Crude oil'!X2968</f>
        <v>0</v>
      </c>
      <c r="Y2967">
        <f>'raw data Crude oil'!Y2968</f>
        <v>0</v>
      </c>
      <c r="Z2967">
        <f>'raw data Crude oil'!Z2968</f>
        <v>0</v>
      </c>
      <c r="AA2967">
        <f>'raw data Crude oil'!AA2968</f>
        <v>0</v>
      </c>
      <c r="AB2967">
        <f>'raw data Crude oil'!AB2968</f>
        <v>0</v>
      </c>
      <c r="AC2967">
        <f>'raw data Crude oil'!AC2968</f>
        <v>0</v>
      </c>
      <c r="AD2967">
        <f>'raw data Crude oil'!AD2968</f>
        <v>0</v>
      </c>
      <c r="AE2967">
        <f>'raw data Crude oil'!AE2968</f>
        <v>0</v>
      </c>
      <c r="AF2967">
        <f>'raw data Crude oil'!AF2968</f>
        <v>0</v>
      </c>
      <c r="AG2967">
        <f>'raw data Crude oil'!AG2968</f>
        <v>0</v>
      </c>
      <c r="AH2967">
        <f>'raw data Crude oil'!AH2968</f>
        <v>0</v>
      </c>
      <c r="AI2967">
        <f>'raw data Crude oil'!AI2968</f>
        <v>0</v>
      </c>
      <c r="AJ2967">
        <f>'raw data Crude oil'!AJ2968</f>
        <v>0</v>
      </c>
      <c r="AK2967">
        <f>'raw data Crude oil'!AK2968</f>
        <v>0</v>
      </c>
    </row>
    <row r="2968" spans="1:37" x14ac:dyDescent="0.3">
      <c r="A2968" s="18">
        <f>'raw data Crude oil'!A2969</f>
        <v>0</v>
      </c>
      <c r="B2968">
        <f>'raw data Crude oil'!B2969</f>
        <v>0</v>
      </c>
      <c r="C2968">
        <f>'raw data Crude oil'!C2969</f>
        <v>0</v>
      </c>
      <c r="D2968">
        <f>'raw data Crude oil'!D2969</f>
        <v>0</v>
      </c>
      <c r="E2968">
        <f>'raw data Crude oil'!E2969</f>
        <v>0</v>
      </c>
      <c r="F2968">
        <f>'raw data Crude oil'!F2969</f>
        <v>0</v>
      </c>
      <c r="G2968">
        <f>'raw data Crude oil'!G2969</f>
        <v>0</v>
      </c>
      <c r="H2968">
        <f>'raw data Crude oil'!H2969</f>
        <v>0</v>
      </c>
      <c r="I2968">
        <f>'raw data Crude oil'!I2969</f>
        <v>0</v>
      </c>
      <c r="J2968">
        <f>'raw data Crude oil'!J2969</f>
        <v>0</v>
      </c>
      <c r="K2968">
        <f>'raw data Crude oil'!K2969</f>
        <v>0</v>
      </c>
      <c r="L2968">
        <f>'raw data Crude oil'!L2969</f>
        <v>0</v>
      </c>
      <c r="M2968">
        <f>'raw data Crude oil'!M2969</f>
        <v>0</v>
      </c>
      <c r="N2968">
        <f>'raw data Crude oil'!N2969</f>
        <v>0</v>
      </c>
      <c r="O2968">
        <f>'raw data Crude oil'!O2969</f>
        <v>0</v>
      </c>
      <c r="P2968">
        <f>'raw data Crude oil'!P2969</f>
        <v>0</v>
      </c>
      <c r="Q2968">
        <f>'raw data Crude oil'!Q2969</f>
        <v>0</v>
      </c>
      <c r="R2968">
        <f>'raw data Crude oil'!R2969</f>
        <v>0</v>
      </c>
      <c r="S2968">
        <f>'raw data Crude oil'!S2969</f>
        <v>0</v>
      </c>
      <c r="T2968">
        <f>'raw data Crude oil'!T2969</f>
        <v>0</v>
      </c>
      <c r="U2968">
        <f>'raw data Crude oil'!U2969</f>
        <v>0</v>
      </c>
      <c r="V2968">
        <f>'raw data Crude oil'!V2969</f>
        <v>0</v>
      </c>
      <c r="W2968">
        <f>'raw data Crude oil'!W2969</f>
        <v>0</v>
      </c>
      <c r="X2968">
        <f>'raw data Crude oil'!X2969</f>
        <v>0</v>
      </c>
      <c r="Y2968">
        <f>'raw data Crude oil'!Y2969</f>
        <v>0</v>
      </c>
      <c r="Z2968">
        <f>'raw data Crude oil'!Z2969</f>
        <v>0</v>
      </c>
      <c r="AA2968">
        <f>'raw data Crude oil'!AA2969</f>
        <v>0</v>
      </c>
      <c r="AB2968">
        <f>'raw data Crude oil'!AB2969</f>
        <v>0</v>
      </c>
      <c r="AC2968">
        <f>'raw data Crude oil'!AC2969</f>
        <v>0</v>
      </c>
      <c r="AD2968">
        <f>'raw data Crude oil'!AD2969</f>
        <v>0</v>
      </c>
      <c r="AE2968">
        <f>'raw data Crude oil'!AE2969</f>
        <v>0</v>
      </c>
      <c r="AF2968">
        <f>'raw data Crude oil'!AF2969</f>
        <v>0</v>
      </c>
      <c r="AG2968">
        <f>'raw data Crude oil'!AG2969</f>
        <v>0</v>
      </c>
      <c r="AH2968">
        <f>'raw data Crude oil'!AH2969</f>
        <v>0</v>
      </c>
      <c r="AI2968">
        <f>'raw data Crude oil'!AI2969</f>
        <v>0</v>
      </c>
      <c r="AJ2968">
        <f>'raw data Crude oil'!AJ2969</f>
        <v>0</v>
      </c>
      <c r="AK2968">
        <f>'raw data Crude oil'!AK2969</f>
        <v>0</v>
      </c>
    </row>
    <row r="2969" spans="1:37" x14ac:dyDescent="0.3">
      <c r="A2969" s="18">
        <f>'raw data Crude oil'!A2970</f>
        <v>0</v>
      </c>
      <c r="B2969">
        <f>'raw data Crude oil'!B2970</f>
        <v>0</v>
      </c>
      <c r="C2969">
        <f>'raw data Crude oil'!C2970</f>
        <v>0</v>
      </c>
      <c r="D2969">
        <f>'raw data Crude oil'!D2970</f>
        <v>0</v>
      </c>
      <c r="E2969">
        <f>'raw data Crude oil'!E2970</f>
        <v>0</v>
      </c>
      <c r="F2969">
        <f>'raw data Crude oil'!F2970</f>
        <v>0</v>
      </c>
      <c r="G2969">
        <f>'raw data Crude oil'!G2970</f>
        <v>0</v>
      </c>
      <c r="H2969">
        <f>'raw data Crude oil'!H2970</f>
        <v>0</v>
      </c>
      <c r="I2969">
        <f>'raw data Crude oil'!I2970</f>
        <v>0</v>
      </c>
      <c r="J2969">
        <f>'raw data Crude oil'!J2970</f>
        <v>0</v>
      </c>
      <c r="K2969">
        <f>'raw data Crude oil'!K2970</f>
        <v>0</v>
      </c>
      <c r="L2969">
        <f>'raw data Crude oil'!L2970</f>
        <v>0</v>
      </c>
      <c r="M2969">
        <f>'raw data Crude oil'!M2970</f>
        <v>0</v>
      </c>
      <c r="N2969">
        <f>'raw data Crude oil'!N2970</f>
        <v>0</v>
      </c>
      <c r="O2969">
        <f>'raw data Crude oil'!O2970</f>
        <v>0</v>
      </c>
      <c r="P2969">
        <f>'raw data Crude oil'!P2970</f>
        <v>0</v>
      </c>
      <c r="Q2969">
        <f>'raw data Crude oil'!Q2970</f>
        <v>0</v>
      </c>
      <c r="R2969">
        <f>'raw data Crude oil'!R2970</f>
        <v>0</v>
      </c>
      <c r="S2969">
        <f>'raw data Crude oil'!S2970</f>
        <v>0</v>
      </c>
      <c r="T2969">
        <f>'raw data Crude oil'!T2970</f>
        <v>0</v>
      </c>
      <c r="U2969">
        <f>'raw data Crude oil'!U2970</f>
        <v>0</v>
      </c>
      <c r="V2969">
        <f>'raw data Crude oil'!V2970</f>
        <v>0</v>
      </c>
      <c r="W2969">
        <f>'raw data Crude oil'!W2970</f>
        <v>0</v>
      </c>
      <c r="X2969">
        <f>'raw data Crude oil'!X2970</f>
        <v>0</v>
      </c>
      <c r="Y2969">
        <f>'raw data Crude oil'!Y2970</f>
        <v>0</v>
      </c>
      <c r="Z2969">
        <f>'raw data Crude oil'!Z2970</f>
        <v>0</v>
      </c>
      <c r="AA2969">
        <f>'raw data Crude oil'!AA2970</f>
        <v>0</v>
      </c>
      <c r="AB2969">
        <f>'raw data Crude oil'!AB2970</f>
        <v>0</v>
      </c>
      <c r="AC2969">
        <f>'raw data Crude oil'!AC2970</f>
        <v>0</v>
      </c>
      <c r="AD2969">
        <f>'raw data Crude oil'!AD2970</f>
        <v>0</v>
      </c>
      <c r="AE2969">
        <f>'raw data Crude oil'!AE2970</f>
        <v>0</v>
      </c>
      <c r="AF2969">
        <f>'raw data Crude oil'!AF2970</f>
        <v>0</v>
      </c>
      <c r="AG2969">
        <f>'raw data Crude oil'!AG2970</f>
        <v>0</v>
      </c>
      <c r="AH2969">
        <f>'raw data Crude oil'!AH2970</f>
        <v>0</v>
      </c>
      <c r="AI2969">
        <f>'raw data Crude oil'!AI2970</f>
        <v>0</v>
      </c>
      <c r="AJ2969">
        <f>'raw data Crude oil'!AJ2970</f>
        <v>0</v>
      </c>
      <c r="AK2969">
        <f>'raw data Crude oil'!AK2970</f>
        <v>0</v>
      </c>
    </row>
    <row r="2970" spans="1:37" x14ac:dyDescent="0.3">
      <c r="A2970" s="18">
        <f>'raw data Crude oil'!A2971</f>
        <v>0</v>
      </c>
      <c r="B2970">
        <f>'raw data Crude oil'!B2971</f>
        <v>0</v>
      </c>
      <c r="C2970">
        <f>'raw data Crude oil'!C2971</f>
        <v>0</v>
      </c>
      <c r="D2970">
        <f>'raw data Crude oil'!D2971</f>
        <v>0</v>
      </c>
      <c r="E2970">
        <f>'raw data Crude oil'!E2971</f>
        <v>0</v>
      </c>
      <c r="F2970">
        <f>'raw data Crude oil'!F2971</f>
        <v>0</v>
      </c>
      <c r="G2970">
        <f>'raw data Crude oil'!G2971</f>
        <v>0</v>
      </c>
      <c r="H2970">
        <f>'raw data Crude oil'!H2971</f>
        <v>0</v>
      </c>
      <c r="I2970">
        <f>'raw data Crude oil'!I2971</f>
        <v>0</v>
      </c>
      <c r="J2970">
        <f>'raw data Crude oil'!J2971</f>
        <v>0</v>
      </c>
      <c r="K2970">
        <f>'raw data Crude oil'!K2971</f>
        <v>0</v>
      </c>
      <c r="L2970">
        <f>'raw data Crude oil'!L2971</f>
        <v>0</v>
      </c>
      <c r="M2970">
        <f>'raw data Crude oil'!M2971</f>
        <v>0</v>
      </c>
      <c r="N2970">
        <f>'raw data Crude oil'!N2971</f>
        <v>0</v>
      </c>
      <c r="O2970">
        <f>'raw data Crude oil'!O2971</f>
        <v>0</v>
      </c>
      <c r="P2970">
        <f>'raw data Crude oil'!P2971</f>
        <v>0</v>
      </c>
      <c r="Q2970">
        <f>'raw data Crude oil'!Q2971</f>
        <v>0</v>
      </c>
      <c r="R2970">
        <f>'raw data Crude oil'!R2971</f>
        <v>0</v>
      </c>
      <c r="S2970">
        <f>'raw data Crude oil'!S2971</f>
        <v>0</v>
      </c>
      <c r="T2970">
        <f>'raw data Crude oil'!T2971</f>
        <v>0</v>
      </c>
      <c r="U2970">
        <f>'raw data Crude oil'!U2971</f>
        <v>0</v>
      </c>
      <c r="V2970">
        <f>'raw data Crude oil'!V2971</f>
        <v>0</v>
      </c>
      <c r="W2970">
        <f>'raw data Crude oil'!W2971</f>
        <v>0</v>
      </c>
      <c r="X2970">
        <f>'raw data Crude oil'!X2971</f>
        <v>0</v>
      </c>
      <c r="Y2970">
        <f>'raw data Crude oil'!Y2971</f>
        <v>0</v>
      </c>
      <c r="Z2970">
        <f>'raw data Crude oil'!Z2971</f>
        <v>0</v>
      </c>
      <c r="AA2970">
        <f>'raw data Crude oil'!AA2971</f>
        <v>0</v>
      </c>
      <c r="AB2970">
        <f>'raw data Crude oil'!AB2971</f>
        <v>0</v>
      </c>
      <c r="AC2970">
        <f>'raw data Crude oil'!AC2971</f>
        <v>0</v>
      </c>
      <c r="AD2970">
        <f>'raw data Crude oil'!AD2971</f>
        <v>0</v>
      </c>
      <c r="AE2970">
        <f>'raw data Crude oil'!AE2971</f>
        <v>0</v>
      </c>
      <c r="AF2970">
        <f>'raw data Crude oil'!AF2971</f>
        <v>0</v>
      </c>
      <c r="AG2970">
        <f>'raw data Crude oil'!AG2971</f>
        <v>0</v>
      </c>
      <c r="AH2970">
        <f>'raw data Crude oil'!AH2971</f>
        <v>0</v>
      </c>
      <c r="AI2970">
        <f>'raw data Crude oil'!AI2971</f>
        <v>0</v>
      </c>
      <c r="AJ2970">
        <f>'raw data Crude oil'!AJ2971</f>
        <v>0</v>
      </c>
      <c r="AK2970">
        <f>'raw data Crude oil'!AK2971</f>
        <v>0</v>
      </c>
    </row>
    <row r="2971" spans="1:37" x14ac:dyDescent="0.3">
      <c r="A2971" s="18">
        <f>'raw data Crude oil'!A2972</f>
        <v>0</v>
      </c>
      <c r="B2971">
        <f>'raw data Crude oil'!B2972</f>
        <v>0</v>
      </c>
      <c r="C2971">
        <f>'raw data Crude oil'!C2972</f>
        <v>0</v>
      </c>
      <c r="D2971">
        <f>'raw data Crude oil'!D2972</f>
        <v>0</v>
      </c>
      <c r="E2971">
        <f>'raw data Crude oil'!E2972</f>
        <v>0</v>
      </c>
      <c r="F2971">
        <f>'raw data Crude oil'!F2972</f>
        <v>0</v>
      </c>
      <c r="G2971">
        <f>'raw data Crude oil'!G2972</f>
        <v>0</v>
      </c>
      <c r="H2971">
        <f>'raw data Crude oil'!H2972</f>
        <v>0</v>
      </c>
      <c r="I2971">
        <f>'raw data Crude oil'!I2972</f>
        <v>0</v>
      </c>
      <c r="J2971">
        <f>'raw data Crude oil'!J2972</f>
        <v>0</v>
      </c>
      <c r="K2971">
        <f>'raw data Crude oil'!K2972</f>
        <v>0</v>
      </c>
      <c r="L2971">
        <f>'raw data Crude oil'!L2972</f>
        <v>0</v>
      </c>
      <c r="M2971">
        <f>'raw data Crude oil'!M2972</f>
        <v>0</v>
      </c>
      <c r="N2971">
        <f>'raw data Crude oil'!N2972</f>
        <v>0</v>
      </c>
      <c r="O2971">
        <f>'raw data Crude oil'!O2972</f>
        <v>0</v>
      </c>
      <c r="P2971">
        <f>'raw data Crude oil'!P2972</f>
        <v>0</v>
      </c>
      <c r="Q2971">
        <f>'raw data Crude oil'!Q2972</f>
        <v>0</v>
      </c>
      <c r="R2971">
        <f>'raw data Crude oil'!R2972</f>
        <v>0</v>
      </c>
      <c r="S2971">
        <f>'raw data Crude oil'!S2972</f>
        <v>0</v>
      </c>
      <c r="T2971">
        <f>'raw data Crude oil'!T2972</f>
        <v>0</v>
      </c>
      <c r="U2971">
        <f>'raw data Crude oil'!U2972</f>
        <v>0</v>
      </c>
      <c r="V2971">
        <f>'raw data Crude oil'!V2972</f>
        <v>0</v>
      </c>
      <c r="W2971">
        <f>'raw data Crude oil'!W2972</f>
        <v>0</v>
      </c>
      <c r="X2971">
        <f>'raw data Crude oil'!X2972</f>
        <v>0</v>
      </c>
      <c r="Y2971">
        <f>'raw data Crude oil'!Y2972</f>
        <v>0</v>
      </c>
      <c r="Z2971">
        <f>'raw data Crude oil'!Z2972</f>
        <v>0</v>
      </c>
      <c r="AA2971">
        <f>'raw data Crude oil'!AA2972</f>
        <v>0</v>
      </c>
      <c r="AB2971">
        <f>'raw data Crude oil'!AB2972</f>
        <v>0</v>
      </c>
      <c r="AC2971">
        <f>'raw data Crude oil'!AC2972</f>
        <v>0</v>
      </c>
      <c r="AD2971">
        <f>'raw data Crude oil'!AD2972</f>
        <v>0</v>
      </c>
      <c r="AE2971">
        <f>'raw data Crude oil'!AE2972</f>
        <v>0</v>
      </c>
      <c r="AF2971">
        <f>'raw data Crude oil'!AF2972</f>
        <v>0</v>
      </c>
      <c r="AG2971">
        <f>'raw data Crude oil'!AG2972</f>
        <v>0</v>
      </c>
      <c r="AH2971">
        <f>'raw data Crude oil'!AH2972</f>
        <v>0</v>
      </c>
      <c r="AI2971">
        <f>'raw data Crude oil'!AI2972</f>
        <v>0</v>
      </c>
      <c r="AJ2971">
        <f>'raw data Crude oil'!AJ2972</f>
        <v>0</v>
      </c>
      <c r="AK2971">
        <f>'raw data Crude oil'!AK2972</f>
        <v>0</v>
      </c>
    </row>
    <row r="2972" spans="1:37" x14ac:dyDescent="0.3">
      <c r="A2972" s="18">
        <f>'raw data Crude oil'!A2973</f>
        <v>0</v>
      </c>
      <c r="B2972">
        <f>'raw data Crude oil'!B2973</f>
        <v>0</v>
      </c>
      <c r="C2972">
        <f>'raw data Crude oil'!C2973</f>
        <v>0</v>
      </c>
      <c r="D2972">
        <f>'raw data Crude oil'!D2973</f>
        <v>0</v>
      </c>
      <c r="E2972">
        <f>'raw data Crude oil'!E2973</f>
        <v>0</v>
      </c>
      <c r="F2972">
        <f>'raw data Crude oil'!F2973</f>
        <v>0</v>
      </c>
      <c r="G2972">
        <f>'raw data Crude oil'!G2973</f>
        <v>0</v>
      </c>
      <c r="H2972">
        <f>'raw data Crude oil'!H2973</f>
        <v>0</v>
      </c>
      <c r="I2972">
        <f>'raw data Crude oil'!I2973</f>
        <v>0</v>
      </c>
      <c r="J2972">
        <f>'raw data Crude oil'!J2973</f>
        <v>0</v>
      </c>
      <c r="K2972">
        <f>'raw data Crude oil'!K2973</f>
        <v>0</v>
      </c>
      <c r="L2972">
        <f>'raw data Crude oil'!L2973</f>
        <v>0</v>
      </c>
      <c r="M2972">
        <f>'raw data Crude oil'!M2973</f>
        <v>0</v>
      </c>
      <c r="N2972">
        <f>'raw data Crude oil'!N2973</f>
        <v>0</v>
      </c>
      <c r="O2972">
        <f>'raw data Crude oil'!O2973</f>
        <v>0</v>
      </c>
      <c r="P2972">
        <f>'raw data Crude oil'!P2973</f>
        <v>0</v>
      </c>
      <c r="Q2972">
        <f>'raw data Crude oil'!Q2973</f>
        <v>0</v>
      </c>
      <c r="R2972">
        <f>'raw data Crude oil'!R2973</f>
        <v>0</v>
      </c>
      <c r="S2972">
        <f>'raw data Crude oil'!S2973</f>
        <v>0</v>
      </c>
      <c r="T2972">
        <f>'raw data Crude oil'!T2973</f>
        <v>0</v>
      </c>
      <c r="U2972">
        <f>'raw data Crude oil'!U2973</f>
        <v>0</v>
      </c>
      <c r="V2972">
        <f>'raw data Crude oil'!V2973</f>
        <v>0</v>
      </c>
      <c r="W2972">
        <f>'raw data Crude oil'!W2973</f>
        <v>0</v>
      </c>
      <c r="X2972">
        <f>'raw data Crude oil'!X2973</f>
        <v>0</v>
      </c>
      <c r="Y2972">
        <f>'raw data Crude oil'!Y2973</f>
        <v>0</v>
      </c>
      <c r="Z2972">
        <f>'raw data Crude oil'!Z2973</f>
        <v>0</v>
      </c>
      <c r="AA2972">
        <f>'raw data Crude oil'!AA2973</f>
        <v>0</v>
      </c>
      <c r="AB2972">
        <f>'raw data Crude oil'!AB2973</f>
        <v>0</v>
      </c>
      <c r="AC2972">
        <f>'raw data Crude oil'!AC2973</f>
        <v>0</v>
      </c>
      <c r="AD2972">
        <f>'raw data Crude oil'!AD2973</f>
        <v>0</v>
      </c>
      <c r="AE2972">
        <f>'raw data Crude oil'!AE2973</f>
        <v>0</v>
      </c>
      <c r="AF2972">
        <f>'raw data Crude oil'!AF2973</f>
        <v>0</v>
      </c>
      <c r="AG2972">
        <f>'raw data Crude oil'!AG2973</f>
        <v>0</v>
      </c>
      <c r="AH2972">
        <f>'raw data Crude oil'!AH2973</f>
        <v>0</v>
      </c>
      <c r="AI2972">
        <f>'raw data Crude oil'!AI2973</f>
        <v>0</v>
      </c>
      <c r="AJ2972">
        <f>'raw data Crude oil'!AJ2973</f>
        <v>0</v>
      </c>
      <c r="AK2972">
        <f>'raw data Crude oil'!AK2973</f>
        <v>0</v>
      </c>
    </row>
    <row r="2973" spans="1:37" x14ac:dyDescent="0.3">
      <c r="A2973" s="18">
        <f>'raw data Crude oil'!A2974</f>
        <v>0</v>
      </c>
      <c r="B2973">
        <f>'raw data Crude oil'!B2974</f>
        <v>0</v>
      </c>
      <c r="C2973">
        <f>'raw data Crude oil'!C2974</f>
        <v>0</v>
      </c>
      <c r="D2973">
        <f>'raw data Crude oil'!D2974</f>
        <v>0</v>
      </c>
      <c r="E2973">
        <f>'raw data Crude oil'!E2974</f>
        <v>0</v>
      </c>
      <c r="F2973">
        <f>'raw data Crude oil'!F2974</f>
        <v>0</v>
      </c>
      <c r="G2973">
        <f>'raw data Crude oil'!G2974</f>
        <v>0</v>
      </c>
      <c r="H2973">
        <f>'raw data Crude oil'!H2974</f>
        <v>0</v>
      </c>
      <c r="I2973">
        <f>'raw data Crude oil'!I2974</f>
        <v>0</v>
      </c>
      <c r="J2973">
        <f>'raw data Crude oil'!J2974</f>
        <v>0</v>
      </c>
      <c r="K2973">
        <f>'raw data Crude oil'!K2974</f>
        <v>0</v>
      </c>
      <c r="L2973">
        <f>'raw data Crude oil'!L2974</f>
        <v>0</v>
      </c>
      <c r="M2973">
        <f>'raw data Crude oil'!M2974</f>
        <v>0</v>
      </c>
      <c r="N2973">
        <f>'raw data Crude oil'!N2974</f>
        <v>0</v>
      </c>
      <c r="O2973">
        <f>'raw data Crude oil'!O2974</f>
        <v>0</v>
      </c>
      <c r="P2973">
        <f>'raw data Crude oil'!P2974</f>
        <v>0</v>
      </c>
      <c r="Q2973">
        <f>'raw data Crude oil'!Q2974</f>
        <v>0</v>
      </c>
      <c r="R2973">
        <f>'raw data Crude oil'!R2974</f>
        <v>0</v>
      </c>
      <c r="S2973">
        <f>'raw data Crude oil'!S2974</f>
        <v>0</v>
      </c>
      <c r="T2973">
        <f>'raw data Crude oil'!T2974</f>
        <v>0</v>
      </c>
      <c r="U2973">
        <f>'raw data Crude oil'!U2974</f>
        <v>0</v>
      </c>
      <c r="V2973">
        <f>'raw data Crude oil'!V2974</f>
        <v>0</v>
      </c>
      <c r="W2973">
        <f>'raw data Crude oil'!W2974</f>
        <v>0</v>
      </c>
      <c r="X2973">
        <f>'raw data Crude oil'!X2974</f>
        <v>0</v>
      </c>
      <c r="Y2973">
        <f>'raw data Crude oil'!Y2974</f>
        <v>0</v>
      </c>
      <c r="Z2973">
        <f>'raw data Crude oil'!Z2974</f>
        <v>0</v>
      </c>
      <c r="AA2973">
        <f>'raw data Crude oil'!AA2974</f>
        <v>0</v>
      </c>
      <c r="AB2973">
        <f>'raw data Crude oil'!AB2974</f>
        <v>0</v>
      </c>
      <c r="AC2973">
        <f>'raw data Crude oil'!AC2974</f>
        <v>0</v>
      </c>
      <c r="AD2973">
        <f>'raw data Crude oil'!AD2974</f>
        <v>0</v>
      </c>
      <c r="AE2973">
        <f>'raw data Crude oil'!AE2974</f>
        <v>0</v>
      </c>
      <c r="AF2973">
        <f>'raw data Crude oil'!AF2974</f>
        <v>0</v>
      </c>
      <c r="AG2973">
        <f>'raw data Crude oil'!AG2974</f>
        <v>0</v>
      </c>
      <c r="AH2973">
        <f>'raw data Crude oil'!AH2974</f>
        <v>0</v>
      </c>
      <c r="AI2973">
        <f>'raw data Crude oil'!AI2974</f>
        <v>0</v>
      </c>
      <c r="AJ2973">
        <f>'raw data Crude oil'!AJ2974</f>
        <v>0</v>
      </c>
      <c r="AK2973">
        <f>'raw data Crude oil'!AK2974</f>
        <v>0</v>
      </c>
    </row>
    <row r="2974" spans="1:37" x14ac:dyDescent="0.3">
      <c r="A2974" s="18">
        <f>'raw data Crude oil'!A2975</f>
        <v>0</v>
      </c>
      <c r="B2974">
        <f>'raw data Crude oil'!B2975</f>
        <v>0</v>
      </c>
      <c r="C2974">
        <f>'raw data Crude oil'!C2975</f>
        <v>0</v>
      </c>
      <c r="D2974">
        <f>'raw data Crude oil'!D2975</f>
        <v>0</v>
      </c>
      <c r="E2974">
        <f>'raw data Crude oil'!E2975</f>
        <v>0</v>
      </c>
      <c r="F2974">
        <f>'raw data Crude oil'!F2975</f>
        <v>0</v>
      </c>
      <c r="G2974">
        <f>'raw data Crude oil'!G2975</f>
        <v>0</v>
      </c>
      <c r="H2974">
        <f>'raw data Crude oil'!H2975</f>
        <v>0</v>
      </c>
      <c r="I2974">
        <f>'raw data Crude oil'!I2975</f>
        <v>0</v>
      </c>
      <c r="J2974">
        <f>'raw data Crude oil'!J2975</f>
        <v>0</v>
      </c>
      <c r="K2974">
        <f>'raw data Crude oil'!K2975</f>
        <v>0</v>
      </c>
      <c r="L2974">
        <f>'raw data Crude oil'!L2975</f>
        <v>0</v>
      </c>
      <c r="M2974">
        <f>'raw data Crude oil'!M2975</f>
        <v>0</v>
      </c>
      <c r="N2974">
        <f>'raw data Crude oil'!N2975</f>
        <v>0</v>
      </c>
      <c r="O2974">
        <f>'raw data Crude oil'!O2975</f>
        <v>0</v>
      </c>
      <c r="P2974">
        <f>'raw data Crude oil'!P2975</f>
        <v>0</v>
      </c>
      <c r="Q2974">
        <f>'raw data Crude oil'!Q2975</f>
        <v>0</v>
      </c>
      <c r="R2974">
        <f>'raw data Crude oil'!R2975</f>
        <v>0</v>
      </c>
      <c r="S2974">
        <f>'raw data Crude oil'!S2975</f>
        <v>0</v>
      </c>
      <c r="T2974">
        <f>'raw data Crude oil'!T2975</f>
        <v>0</v>
      </c>
      <c r="U2974">
        <f>'raw data Crude oil'!U2975</f>
        <v>0</v>
      </c>
      <c r="V2974">
        <f>'raw data Crude oil'!V2975</f>
        <v>0</v>
      </c>
      <c r="W2974">
        <f>'raw data Crude oil'!W2975</f>
        <v>0</v>
      </c>
      <c r="X2974">
        <f>'raw data Crude oil'!X2975</f>
        <v>0</v>
      </c>
      <c r="Y2974">
        <f>'raw data Crude oil'!Y2975</f>
        <v>0</v>
      </c>
      <c r="Z2974">
        <f>'raw data Crude oil'!Z2975</f>
        <v>0</v>
      </c>
      <c r="AA2974">
        <f>'raw data Crude oil'!AA2975</f>
        <v>0</v>
      </c>
      <c r="AB2974">
        <f>'raw data Crude oil'!AB2975</f>
        <v>0</v>
      </c>
      <c r="AC2974">
        <f>'raw data Crude oil'!AC2975</f>
        <v>0</v>
      </c>
      <c r="AD2974">
        <f>'raw data Crude oil'!AD2975</f>
        <v>0</v>
      </c>
      <c r="AE2974">
        <f>'raw data Crude oil'!AE2975</f>
        <v>0</v>
      </c>
      <c r="AF2974">
        <f>'raw data Crude oil'!AF2975</f>
        <v>0</v>
      </c>
      <c r="AG2974">
        <f>'raw data Crude oil'!AG2975</f>
        <v>0</v>
      </c>
      <c r="AH2974">
        <f>'raw data Crude oil'!AH2975</f>
        <v>0</v>
      </c>
      <c r="AI2974">
        <f>'raw data Crude oil'!AI2975</f>
        <v>0</v>
      </c>
      <c r="AJ2974">
        <f>'raw data Crude oil'!AJ2975</f>
        <v>0</v>
      </c>
      <c r="AK2974">
        <f>'raw data Crude oil'!AK2975</f>
        <v>0</v>
      </c>
    </row>
    <row r="2975" spans="1:37" x14ac:dyDescent="0.3">
      <c r="A2975" s="18">
        <f>'raw data Crude oil'!A2976</f>
        <v>0</v>
      </c>
      <c r="B2975">
        <f>'raw data Crude oil'!B2976</f>
        <v>0</v>
      </c>
      <c r="C2975">
        <f>'raw data Crude oil'!C2976</f>
        <v>0</v>
      </c>
      <c r="D2975">
        <f>'raw data Crude oil'!D2976</f>
        <v>0</v>
      </c>
      <c r="E2975">
        <f>'raw data Crude oil'!E2976</f>
        <v>0</v>
      </c>
      <c r="F2975">
        <f>'raw data Crude oil'!F2976</f>
        <v>0</v>
      </c>
      <c r="G2975">
        <f>'raw data Crude oil'!G2976</f>
        <v>0</v>
      </c>
      <c r="H2975">
        <f>'raw data Crude oil'!H2976</f>
        <v>0</v>
      </c>
      <c r="I2975">
        <f>'raw data Crude oil'!I2976</f>
        <v>0</v>
      </c>
      <c r="J2975">
        <f>'raw data Crude oil'!J2976</f>
        <v>0</v>
      </c>
      <c r="K2975">
        <f>'raw data Crude oil'!K2976</f>
        <v>0</v>
      </c>
      <c r="L2975">
        <f>'raw data Crude oil'!L2976</f>
        <v>0</v>
      </c>
      <c r="M2975">
        <f>'raw data Crude oil'!M2976</f>
        <v>0</v>
      </c>
      <c r="N2975">
        <f>'raw data Crude oil'!N2976</f>
        <v>0</v>
      </c>
      <c r="O2975">
        <f>'raw data Crude oil'!O2976</f>
        <v>0</v>
      </c>
      <c r="P2975">
        <f>'raw data Crude oil'!P2976</f>
        <v>0</v>
      </c>
      <c r="Q2975">
        <f>'raw data Crude oil'!Q2976</f>
        <v>0</v>
      </c>
      <c r="R2975">
        <f>'raw data Crude oil'!R2976</f>
        <v>0</v>
      </c>
      <c r="S2975">
        <f>'raw data Crude oil'!S2976</f>
        <v>0</v>
      </c>
      <c r="T2975">
        <f>'raw data Crude oil'!T2976</f>
        <v>0</v>
      </c>
      <c r="U2975">
        <f>'raw data Crude oil'!U2976</f>
        <v>0</v>
      </c>
      <c r="V2975">
        <f>'raw data Crude oil'!V2976</f>
        <v>0</v>
      </c>
      <c r="W2975">
        <f>'raw data Crude oil'!W2976</f>
        <v>0</v>
      </c>
      <c r="X2975">
        <f>'raw data Crude oil'!X2976</f>
        <v>0</v>
      </c>
      <c r="Y2975">
        <f>'raw data Crude oil'!Y2976</f>
        <v>0</v>
      </c>
      <c r="Z2975">
        <f>'raw data Crude oil'!Z2976</f>
        <v>0</v>
      </c>
      <c r="AA2975">
        <f>'raw data Crude oil'!AA2976</f>
        <v>0</v>
      </c>
      <c r="AB2975">
        <f>'raw data Crude oil'!AB2976</f>
        <v>0</v>
      </c>
      <c r="AC2975">
        <f>'raw data Crude oil'!AC2976</f>
        <v>0</v>
      </c>
      <c r="AD2975">
        <f>'raw data Crude oil'!AD2976</f>
        <v>0</v>
      </c>
      <c r="AE2975">
        <f>'raw data Crude oil'!AE2976</f>
        <v>0</v>
      </c>
      <c r="AF2975">
        <f>'raw data Crude oil'!AF2976</f>
        <v>0</v>
      </c>
      <c r="AG2975">
        <f>'raw data Crude oil'!AG2976</f>
        <v>0</v>
      </c>
      <c r="AH2975">
        <f>'raw data Crude oil'!AH2976</f>
        <v>0</v>
      </c>
      <c r="AI2975">
        <f>'raw data Crude oil'!AI2976</f>
        <v>0</v>
      </c>
      <c r="AJ2975">
        <f>'raw data Crude oil'!AJ2976</f>
        <v>0</v>
      </c>
      <c r="AK2975">
        <f>'raw data Crude oil'!AK2976</f>
        <v>0</v>
      </c>
    </row>
    <row r="2976" spans="1:37" x14ac:dyDescent="0.3">
      <c r="A2976" s="18">
        <f>'raw data Crude oil'!A2977</f>
        <v>0</v>
      </c>
      <c r="B2976">
        <f>'raw data Crude oil'!B2977</f>
        <v>0</v>
      </c>
      <c r="C2976">
        <f>'raw data Crude oil'!C2977</f>
        <v>0</v>
      </c>
      <c r="D2976">
        <f>'raw data Crude oil'!D2977</f>
        <v>0</v>
      </c>
      <c r="E2976">
        <f>'raw data Crude oil'!E2977</f>
        <v>0</v>
      </c>
      <c r="F2976">
        <f>'raw data Crude oil'!F2977</f>
        <v>0</v>
      </c>
      <c r="G2976">
        <f>'raw data Crude oil'!G2977</f>
        <v>0</v>
      </c>
      <c r="H2976">
        <f>'raw data Crude oil'!H2977</f>
        <v>0</v>
      </c>
      <c r="I2976">
        <f>'raw data Crude oil'!I2977</f>
        <v>0</v>
      </c>
      <c r="J2976">
        <f>'raw data Crude oil'!J2977</f>
        <v>0</v>
      </c>
      <c r="K2976">
        <f>'raw data Crude oil'!K2977</f>
        <v>0</v>
      </c>
      <c r="L2976">
        <f>'raw data Crude oil'!L2977</f>
        <v>0</v>
      </c>
      <c r="M2976">
        <f>'raw data Crude oil'!M2977</f>
        <v>0</v>
      </c>
      <c r="N2976">
        <f>'raw data Crude oil'!N2977</f>
        <v>0</v>
      </c>
      <c r="O2976">
        <f>'raw data Crude oil'!O2977</f>
        <v>0</v>
      </c>
      <c r="P2976">
        <f>'raw data Crude oil'!P2977</f>
        <v>0</v>
      </c>
      <c r="Q2976">
        <f>'raw data Crude oil'!Q2977</f>
        <v>0</v>
      </c>
      <c r="R2976">
        <f>'raw data Crude oil'!R2977</f>
        <v>0</v>
      </c>
      <c r="S2976">
        <f>'raw data Crude oil'!S2977</f>
        <v>0</v>
      </c>
      <c r="T2976">
        <f>'raw data Crude oil'!T2977</f>
        <v>0</v>
      </c>
      <c r="U2976">
        <f>'raw data Crude oil'!U2977</f>
        <v>0</v>
      </c>
      <c r="V2976">
        <f>'raw data Crude oil'!V2977</f>
        <v>0</v>
      </c>
      <c r="W2976">
        <f>'raw data Crude oil'!W2977</f>
        <v>0</v>
      </c>
      <c r="X2976">
        <f>'raw data Crude oil'!X2977</f>
        <v>0</v>
      </c>
      <c r="Y2976">
        <f>'raw data Crude oil'!Y2977</f>
        <v>0</v>
      </c>
      <c r="Z2976">
        <f>'raw data Crude oil'!Z2977</f>
        <v>0</v>
      </c>
      <c r="AA2976">
        <f>'raw data Crude oil'!AA2977</f>
        <v>0</v>
      </c>
      <c r="AB2976">
        <f>'raw data Crude oil'!AB2977</f>
        <v>0</v>
      </c>
      <c r="AC2976">
        <f>'raw data Crude oil'!AC2977</f>
        <v>0</v>
      </c>
      <c r="AD2976">
        <f>'raw data Crude oil'!AD2977</f>
        <v>0</v>
      </c>
      <c r="AE2976">
        <f>'raw data Crude oil'!AE2977</f>
        <v>0</v>
      </c>
      <c r="AF2976">
        <f>'raw data Crude oil'!AF2977</f>
        <v>0</v>
      </c>
      <c r="AG2976">
        <f>'raw data Crude oil'!AG2977</f>
        <v>0</v>
      </c>
      <c r="AH2976">
        <f>'raw data Crude oil'!AH2977</f>
        <v>0</v>
      </c>
      <c r="AI2976">
        <f>'raw data Crude oil'!AI2977</f>
        <v>0</v>
      </c>
      <c r="AJ2976">
        <f>'raw data Crude oil'!AJ2977</f>
        <v>0</v>
      </c>
      <c r="AK2976">
        <f>'raw data Crude oil'!AK2977</f>
        <v>0</v>
      </c>
    </row>
    <row r="2977" spans="1:37" x14ac:dyDescent="0.3">
      <c r="A2977" s="18">
        <f>'raw data Crude oil'!A2978</f>
        <v>0</v>
      </c>
      <c r="B2977">
        <f>'raw data Crude oil'!B2978</f>
        <v>0</v>
      </c>
      <c r="C2977">
        <f>'raw data Crude oil'!C2978</f>
        <v>0</v>
      </c>
      <c r="D2977">
        <f>'raw data Crude oil'!D2978</f>
        <v>0</v>
      </c>
      <c r="E2977">
        <f>'raw data Crude oil'!E2978</f>
        <v>0</v>
      </c>
      <c r="F2977">
        <f>'raw data Crude oil'!F2978</f>
        <v>0</v>
      </c>
      <c r="G2977">
        <f>'raw data Crude oil'!G2978</f>
        <v>0</v>
      </c>
      <c r="H2977">
        <f>'raw data Crude oil'!H2978</f>
        <v>0</v>
      </c>
      <c r="I2977">
        <f>'raw data Crude oil'!I2978</f>
        <v>0</v>
      </c>
      <c r="J2977">
        <f>'raw data Crude oil'!J2978</f>
        <v>0</v>
      </c>
      <c r="K2977">
        <f>'raw data Crude oil'!K2978</f>
        <v>0</v>
      </c>
      <c r="L2977">
        <f>'raw data Crude oil'!L2978</f>
        <v>0</v>
      </c>
      <c r="M2977">
        <f>'raw data Crude oil'!M2978</f>
        <v>0</v>
      </c>
      <c r="N2977">
        <f>'raw data Crude oil'!N2978</f>
        <v>0</v>
      </c>
      <c r="O2977">
        <f>'raw data Crude oil'!O2978</f>
        <v>0</v>
      </c>
      <c r="P2977">
        <f>'raw data Crude oil'!P2978</f>
        <v>0</v>
      </c>
      <c r="Q2977">
        <f>'raw data Crude oil'!Q2978</f>
        <v>0</v>
      </c>
      <c r="R2977">
        <f>'raw data Crude oil'!R2978</f>
        <v>0</v>
      </c>
      <c r="S2977">
        <f>'raw data Crude oil'!S2978</f>
        <v>0</v>
      </c>
      <c r="T2977">
        <f>'raw data Crude oil'!T2978</f>
        <v>0</v>
      </c>
      <c r="U2977">
        <f>'raw data Crude oil'!U2978</f>
        <v>0</v>
      </c>
      <c r="V2977">
        <f>'raw data Crude oil'!V2978</f>
        <v>0</v>
      </c>
      <c r="W2977">
        <f>'raw data Crude oil'!W2978</f>
        <v>0</v>
      </c>
      <c r="X2977">
        <f>'raw data Crude oil'!X2978</f>
        <v>0</v>
      </c>
      <c r="Y2977">
        <f>'raw data Crude oil'!Y2978</f>
        <v>0</v>
      </c>
      <c r="Z2977">
        <f>'raw data Crude oil'!Z2978</f>
        <v>0</v>
      </c>
      <c r="AA2977">
        <f>'raw data Crude oil'!AA2978</f>
        <v>0</v>
      </c>
      <c r="AB2977">
        <f>'raw data Crude oil'!AB2978</f>
        <v>0</v>
      </c>
      <c r="AC2977">
        <f>'raw data Crude oil'!AC2978</f>
        <v>0</v>
      </c>
      <c r="AD2977">
        <f>'raw data Crude oil'!AD2978</f>
        <v>0</v>
      </c>
      <c r="AE2977">
        <f>'raw data Crude oil'!AE2978</f>
        <v>0</v>
      </c>
      <c r="AF2977">
        <f>'raw data Crude oil'!AF2978</f>
        <v>0</v>
      </c>
      <c r="AG2977">
        <f>'raw data Crude oil'!AG2978</f>
        <v>0</v>
      </c>
      <c r="AH2977">
        <f>'raw data Crude oil'!AH2978</f>
        <v>0</v>
      </c>
      <c r="AI2977">
        <f>'raw data Crude oil'!AI2978</f>
        <v>0</v>
      </c>
      <c r="AJ2977">
        <f>'raw data Crude oil'!AJ2978</f>
        <v>0</v>
      </c>
      <c r="AK2977">
        <f>'raw data Crude oil'!AK2978</f>
        <v>0</v>
      </c>
    </row>
    <row r="2978" spans="1:37" x14ac:dyDescent="0.3">
      <c r="A2978" s="18">
        <f>'raw data Crude oil'!A2979</f>
        <v>0</v>
      </c>
      <c r="B2978">
        <f>'raw data Crude oil'!B2979</f>
        <v>0</v>
      </c>
      <c r="C2978">
        <f>'raw data Crude oil'!C2979</f>
        <v>0</v>
      </c>
      <c r="D2978">
        <f>'raw data Crude oil'!D2979</f>
        <v>0</v>
      </c>
      <c r="E2978">
        <f>'raw data Crude oil'!E2979</f>
        <v>0</v>
      </c>
      <c r="F2978">
        <f>'raw data Crude oil'!F2979</f>
        <v>0</v>
      </c>
      <c r="G2978">
        <f>'raw data Crude oil'!G2979</f>
        <v>0</v>
      </c>
      <c r="H2978">
        <f>'raw data Crude oil'!H2979</f>
        <v>0</v>
      </c>
      <c r="I2978">
        <f>'raw data Crude oil'!I2979</f>
        <v>0</v>
      </c>
      <c r="J2978">
        <f>'raw data Crude oil'!J2979</f>
        <v>0</v>
      </c>
      <c r="K2978">
        <f>'raw data Crude oil'!K2979</f>
        <v>0</v>
      </c>
      <c r="L2978">
        <f>'raw data Crude oil'!L2979</f>
        <v>0</v>
      </c>
      <c r="M2978">
        <f>'raw data Crude oil'!M2979</f>
        <v>0</v>
      </c>
      <c r="N2978">
        <f>'raw data Crude oil'!N2979</f>
        <v>0</v>
      </c>
      <c r="O2978">
        <f>'raw data Crude oil'!O2979</f>
        <v>0</v>
      </c>
      <c r="P2978">
        <f>'raw data Crude oil'!P2979</f>
        <v>0</v>
      </c>
      <c r="Q2978">
        <f>'raw data Crude oil'!Q2979</f>
        <v>0</v>
      </c>
      <c r="R2978">
        <f>'raw data Crude oil'!R2979</f>
        <v>0</v>
      </c>
      <c r="S2978">
        <f>'raw data Crude oil'!S2979</f>
        <v>0</v>
      </c>
      <c r="T2978">
        <f>'raw data Crude oil'!T2979</f>
        <v>0</v>
      </c>
      <c r="U2978">
        <f>'raw data Crude oil'!U2979</f>
        <v>0</v>
      </c>
      <c r="V2978">
        <f>'raw data Crude oil'!V2979</f>
        <v>0</v>
      </c>
      <c r="W2978">
        <f>'raw data Crude oil'!W2979</f>
        <v>0</v>
      </c>
      <c r="X2978">
        <f>'raw data Crude oil'!X2979</f>
        <v>0</v>
      </c>
      <c r="Y2978">
        <f>'raw data Crude oil'!Y2979</f>
        <v>0</v>
      </c>
      <c r="Z2978">
        <f>'raw data Crude oil'!Z2979</f>
        <v>0</v>
      </c>
      <c r="AA2978">
        <f>'raw data Crude oil'!AA2979</f>
        <v>0</v>
      </c>
      <c r="AB2978">
        <f>'raw data Crude oil'!AB2979</f>
        <v>0</v>
      </c>
      <c r="AC2978">
        <f>'raw data Crude oil'!AC2979</f>
        <v>0</v>
      </c>
      <c r="AD2978">
        <f>'raw data Crude oil'!AD2979</f>
        <v>0</v>
      </c>
      <c r="AE2978">
        <f>'raw data Crude oil'!AE2979</f>
        <v>0</v>
      </c>
      <c r="AF2978">
        <f>'raw data Crude oil'!AF2979</f>
        <v>0</v>
      </c>
      <c r="AG2978">
        <f>'raw data Crude oil'!AG2979</f>
        <v>0</v>
      </c>
      <c r="AH2978">
        <f>'raw data Crude oil'!AH2979</f>
        <v>0</v>
      </c>
      <c r="AI2978">
        <f>'raw data Crude oil'!AI2979</f>
        <v>0</v>
      </c>
      <c r="AJ2978">
        <f>'raw data Crude oil'!AJ2979</f>
        <v>0</v>
      </c>
      <c r="AK2978">
        <f>'raw data Crude oil'!AK2979</f>
        <v>0</v>
      </c>
    </row>
    <row r="2979" spans="1:37" x14ac:dyDescent="0.3">
      <c r="A2979" s="18">
        <f>'raw data Crude oil'!A2980</f>
        <v>0</v>
      </c>
      <c r="B2979">
        <f>'raw data Crude oil'!B2980</f>
        <v>0</v>
      </c>
      <c r="C2979">
        <f>'raw data Crude oil'!C2980</f>
        <v>0</v>
      </c>
      <c r="D2979">
        <f>'raw data Crude oil'!D2980</f>
        <v>0</v>
      </c>
      <c r="E2979">
        <f>'raw data Crude oil'!E2980</f>
        <v>0</v>
      </c>
      <c r="F2979">
        <f>'raw data Crude oil'!F2980</f>
        <v>0</v>
      </c>
      <c r="G2979">
        <f>'raw data Crude oil'!G2980</f>
        <v>0</v>
      </c>
      <c r="H2979">
        <f>'raw data Crude oil'!H2980</f>
        <v>0</v>
      </c>
      <c r="I2979">
        <f>'raw data Crude oil'!I2980</f>
        <v>0</v>
      </c>
      <c r="J2979">
        <f>'raw data Crude oil'!J2980</f>
        <v>0</v>
      </c>
      <c r="K2979">
        <f>'raw data Crude oil'!K2980</f>
        <v>0</v>
      </c>
      <c r="L2979">
        <f>'raw data Crude oil'!L2980</f>
        <v>0</v>
      </c>
      <c r="M2979">
        <f>'raw data Crude oil'!M2980</f>
        <v>0</v>
      </c>
      <c r="N2979">
        <f>'raw data Crude oil'!N2980</f>
        <v>0</v>
      </c>
      <c r="O2979">
        <f>'raw data Crude oil'!O2980</f>
        <v>0</v>
      </c>
      <c r="P2979">
        <f>'raw data Crude oil'!P2980</f>
        <v>0</v>
      </c>
      <c r="Q2979">
        <f>'raw data Crude oil'!Q2980</f>
        <v>0</v>
      </c>
      <c r="R2979">
        <f>'raw data Crude oil'!R2980</f>
        <v>0</v>
      </c>
      <c r="S2979">
        <f>'raw data Crude oil'!S2980</f>
        <v>0</v>
      </c>
      <c r="T2979">
        <f>'raw data Crude oil'!T2980</f>
        <v>0</v>
      </c>
      <c r="U2979">
        <f>'raw data Crude oil'!U2980</f>
        <v>0</v>
      </c>
      <c r="V2979">
        <f>'raw data Crude oil'!V2980</f>
        <v>0</v>
      </c>
      <c r="W2979">
        <f>'raw data Crude oil'!W2980</f>
        <v>0</v>
      </c>
      <c r="X2979">
        <f>'raw data Crude oil'!X2980</f>
        <v>0</v>
      </c>
      <c r="Y2979">
        <f>'raw data Crude oil'!Y2980</f>
        <v>0</v>
      </c>
      <c r="Z2979">
        <f>'raw data Crude oil'!Z2980</f>
        <v>0</v>
      </c>
      <c r="AA2979">
        <f>'raw data Crude oil'!AA2980</f>
        <v>0</v>
      </c>
      <c r="AB2979">
        <f>'raw data Crude oil'!AB2980</f>
        <v>0</v>
      </c>
      <c r="AC2979">
        <f>'raw data Crude oil'!AC2980</f>
        <v>0</v>
      </c>
      <c r="AD2979">
        <f>'raw data Crude oil'!AD2980</f>
        <v>0</v>
      </c>
      <c r="AE2979">
        <f>'raw data Crude oil'!AE2980</f>
        <v>0</v>
      </c>
      <c r="AF2979">
        <f>'raw data Crude oil'!AF2980</f>
        <v>0</v>
      </c>
      <c r="AG2979">
        <f>'raw data Crude oil'!AG2980</f>
        <v>0</v>
      </c>
      <c r="AH2979">
        <f>'raw data Crude oil'!AH2980</f>
        <v>0</v>
      </c>
      <c r="AI2979">
        <f>'raw data Crude oil'!AI2980</f>
        <v>0</v>
      </c>
      <c r="AJ2979">
        <f>'raw data Crude oil'!AJ2980</f>
        <v>0</v>
      </c>
      <c r="AK2979">
        <f>'raw data Crude oil'!AK2980</f>
        <v>0</v>
      </c>
    </row>
    <row r="2980" spans="1:37" x14ac:dyDescent="0.3">
      <c r="A2980" s="18">
        <f>'raw data Crude oil'!A2981</f>
        <v>0</v>
      </c>
      <c r="B2980">
        <f>'raw data Crude oil'!B2981</f>
        <v>0</v>
      </c>
      <c r="C2980">
        <f>'raw data Crude oil'!C2981</f>
        <v>0</v>
      </c>
      <c r="D2980">
        <f>'raw data Crude oil'!D2981</f>
        <v>0</v>
      </c>
      <c r="E2980">
        <f>'raw data Crude oil'!E2981</f>
        <v>0</v>
      </c>
      <c r="F2980">
        <f>'raw data Crude oil'!F2981</f>
        <v>0</v>
      </c>
      <c r="G2980">
        <f>'raw data Crude oil'!G2981</f>
        <v>0</v>
      </c>
      <c r="H2980">
        <f>'raw data Crude oil'!H2981</f>
        <v>0</v>
      </c>
      <c r="I2980">
        <f>'raw data Crude oil'!I2981</f>
        <v>0</v>
      </c>
      <c r="J2980">
        <f>'raw data Crude oil'!J2981</f>
        <v>0</v>
      </c>
      <c r="K2980">
        <f>'raw data Crude oil'!K2981</f>
        <v>0</v>
      </c>
      <c r="L2980">
        <f>'raw data Crude oil'!L2981</f>
        <v>0</v>
      </c>
      <c r="M2980">
        <f>'raw data Crude oil'!M2981</f>
        <v>0</v>
      </c>
      <c r="N2980">
        <f>'raw data Crude oil'!N2981</f>
        <v>0</v>
      </c>
      <c r="O2980">
        <f>'raw data Crude oil'!O2981</f>
        <v>0</v>
      </c>
      <c r="P2980">
        <f>'raw data Crude oil'!P2981</f>
        <v>0</v>
      </c>
      <c r="Q2980">
        <f>'raw data Crude oil'!Q2981</f>
        <v>0</v>
      </c>
      <c r="R2980">
        <f>'raw data Crude oil'!R2981</f>
        <v>0</v>
      </c>
      <c r="S2980">
        <f>'raw data Crude oil'!S2981</f>
        <v>0</v>
      </c>
      <c r="T2980">
        <f>'raw data Crude oil'!T2981</f>
        <v>0</v>
      </c>
      <c r="U2980">
        <f>'raw data Crude oil'!U2981</f>
        <v>0</v>
      </c>
      <c r="V2980">
        <f>'raw data Crude oil'!V2981</f>
        <v>0</v>
      </c>
      <c r="W2980">
        <f>'raw data Crude oil'!W2981</f>
        <v>0</v>
      </c>
      <c r="X2980">
        <f>'raw data Crude oil'!X2981</f>
        <v>0</v>
      </c>
      <c r="Y2980">
        <f>'raw data Crude oil'!Y2981</f>
        <v>0</v>
      </c>
      <c r="Z2980">
        <f>'raw data Crude oil'!Z2981</f>
        <v>0</v>
      </c>
      <c r="AA2980">
        <f>'raw data Crude oil'!AA2981</f>
        <v>0</v>
      </c>
      <c r="AB2980">
        <f>'raw data Crude oil'!AB2981</f>
        <v>0</v>
      </c>
      <c r="AC2980">
        <f>'raw data Crude oil'!AC2981</f>
        <v>0</v>
      </c>
      <c r="AD2980">
        <f>'raw data Crude oil'!AD2981</f>
        <v>0</v>
      </c>
      <c r="AE2980">
        <f>'raw data Crude oil'!AE2981</f>
        <v>0</v>
      </c>
      <c r="AF2980">
        <f>'raw data Crude oil'!AF2981</f>
        <v>0</v>
      </c>
      <c r="AG2980">
        <f>'raw data Crude oil'!AG2981</f>
        <v>0</v>
      </c>
      <c r="AH2980">
        <f>'raw data Crude oil'!AH2981</f>
        <v>0</v>
      </c>
      <c r="AI2980">
        <f>'raw data Crude oil'!AI2981</f>
        <v>0</v>
      </c>
      <c r="AJ2980">
        <f>'raw data Crude oil'!AJ2981</f>
        <v>0</v>
      </c>
      <c r="AK2980">
        <f>'raw data Crude oil'!AK2981</f>
        <v>0</v>
      </c>
    </row>
    <row r="2981" spans="1:37" x14ac:dyDescent="0.3">
      <c r="A2981" s="18">
        <f>'raw data Crude oil'!A2982</f>
        <v>0</v>
      </c>
      <c r="B2981">
        <f>'raw data Crude oil'!B2982</f>
        <v>0</v>
      </c>
      <c r="C2981">
        <f>'raw data Crude oil'!C2982</f>
        <v>0</v>
      </c>
      <c r="D2981">
        <f>'raw data Crude oil'!D2982</f>
        <v>0</v>
      </c>
      <c r="E2981">
        <f>'raw data Crude oil'!E2982</f>
        <v>0</v>
      </c>
      <c r="F2981">
        <f>'raw data Crude oil'!F2982</f>
        <v>0</v>
      </c>
      <c r="G2981">
        <f>'raw data Crude oil'!G2982</f>
        <v>0</v>
      </c>
      <c r="H2981">
        <f>'raw data Crude oil'!H2982</f>
        <v>0</v>
      </c>
      <c r="I2981">
        <f>'raw data Crude oil'!I2982</f>
        <v>0</v>
      </c>
      <c r="J2981">
        <f>'raw data Crude oil'!J2982</f>
        <v>0</v>
      </c>
      <c r="K2981">
        <f>'raw data Crude oil'!K2982</f>
        <v>0</v>
      </c>
      <c r="L2981">
        <f>'raw data Crude oil'!L2982</f>
        <v>0</v>
      </c>
      <c r="M2981">
        <f>'raw data Crude oil'!M2982</f>
        <v>0</v>
      </c>
      <c r="N2981">
        <f>'raw data Crude oil'!N2982</f>
        <v>0</v>
      </c>
      <c r="O2981">
        <f>'raw data Crude oil'!O2982</f>
        <v>0</v>
      </c>
      <c r="P2981">
        <f>'raw data Crude oil'!P2982</f>
        <v>0</v>
      </c>
      <c r="Q2981">
        <f>'raw data Crude oil'!Q2982</f>
        <v>0</v>
      </c>
      <c r="R2981">
        <f>'raw data Crude oil'!R2982</f>
        <v>0</v>
      </c>
      <c r="S2981">
        <f>'raw data Crude oil'!S2982</f>
        <v>0</v>
      </c>
      <c r="T2981">
        <f>'raw data Crude oil'!T2982</f>
        <v>0</v>
      </c>
      <c r="U2981">
        <f>'raw data Crude oil'!U2982</f>
        <v>0</v>
      </c>
      <c r="V2981">
        <f>'raw data Crude oil'!V2982</f>
        <v>0</v>
      </c>
      <c r="W2981">
        <f>'raw data Crude oil'!W2982</f>
        <v>0</v>
      </c>
      <c r="X2981">
        <f>'raw data Crude oil'!X2982</f>
        <v>0</v>
      </c>
      <c r="Y2981">
        <f>'raw data Crude oil'!Y2982</f>
        <v>0</v>
      </c>
      <c r="Z2981">
        <f>'raw data Crude oil'!Z2982</f>
        <v>0</v>
      </c>
      <c r="AA2981">
        <f>'raw data Crude oil'!AA2982</f>
        <v>0</v>
      </c>
      <c r="AB2981">
        <f>'raw data Crude oil'!AB2982</f>
        <v>0</v>
      </c>
      <c r="AC2981">
        <f>'raw data Crude oil'!AC2982</f>
        <v>0</v>
      </c>
      <c r="AD2981">
        <f>'raw data Crude oil'!AD2982</f>
        <v>0</v>
      </c>
      <c r="AE2981">
        <f>'raw data Crude oil'!AE2982</f>
        <v>0</v>
      </c>
      <c r="AF2981">
        <f>'raw data Crude oil'!AF2982</f>
        <v>0</v>
      </c>
      <c r="AG2981">
        <f>'raw data Crude oil'!AG2982</f>
        <v>0</v>
      </c>
      <c r="AH2981">
        <f>'raw data Crude oil'!AH2982</f>
        <v>0</v>
      </c>
      <c r="AI2981">
        <f>'raw data Crude oil'!AI2982</f>
        <v>0</v>
      </c>
      <c r="AJ2981">
        <f>'raw data Crude oil'!AJ2982</f>
        <v>0</v>
      </c>
      <c r="AK2981">
        <f>'raw data Crude oil'!AK2982</f>
        <v>0</v>
      </c>
    </row>
    <row r="2982" spans="1:37" x14ac:dyDescent="0.3">
      <c r="A2982" s="18">
        <f>'raw data Crude oil'!A2983</f>
        <v>0</v>
      </c>
      <c r="B2982">
        <f>'raw data Crude oil'!B2983</f>
        <v>0</v>
      </c>
      <c r="C2982">
        <f>'raw data Crude oil'!C2983</f>
        <v>0</v>
      </c>
      <c r="D2982">
        <f>'raw data Crude oil'!D2983</f>
        <v>0</v>
      </c>
      <c r="E2982">
        <f>'raw data Crude oil'!E2983</f>
        <v>0</v>
      </c>
      <c r="F2982">
        <f>'raw data Crude oil'!F2983</f>
        <v>0</v>
      </c>
      <c r="G2982">
        <f>'raw data Crude oil'!G2983</f>
        <v>0</v>
      </c>
      <c r="H2982">
        <f>'raw data Crude oil'!H2983</f>
        <v>0</v>
      </c>
      <c r="I2982">
        <f>'raw data Crude oil'!I2983</f>
        <v>0</v>
      </c>
      <c r="J2982">
        <f>'raw data Crude oil'!J2983</f>
        <v>0</v>
      </c>
      <c r="K2982">
        <f>'raw data Crude oil'!K2983</f>
        <v>0</v>
      </c>
      <c r="L2982">
        <f>'raw data Crude oil'!L2983</f>
        <v>0</v>
      </c>
      <c r="M2982">
        <f>'raw data Crude oil'!M2983</f>
        <v>0</v>
      </c>
      <c r="N2982">
        <f>'raw data Crude oil'!N2983</f>
        <v>0</v>
      </c>
      <c r="O2982">
        <f>'raw data Crude oil'!O2983</f>
        <v>0</v>
      </c>
      <c r="P2982">
        <f>'raw data Crude oil'!P2983</f>
        <v>0</v>
      </c>
      <c r="Q2982">
        <f>'raw data Crude oil'!Q2983</f>
        <v>0</v>
      </c>
      <c r="R2982">
        <f>'raw data Crude oil'!R2983</f>
        <v>0</v>
      </c>
      <c r="S2982">
        <f>'raw data Crude oil'!S2983</f>
        <v>0</v>
      </c>
      <c r="T2982">
        <f>'raw data Crude oil'!T2983</f>
        <v>0</v>
      </c>
      <c r="U2982">
        <f>'raw data Crude oil'!U2983</f>
        <v>0</v>
      </c>
      <c r="V2982">
        <f>'raw data Crude oil'!V2983</f>
        <v>0</v>
      </c>
      <c r="W2982">
        <f>'raw data Crude oil'!W2983</f>
        <v>0</v>
      </c>
      <c r="X2982">
        <f>'raw data Crude oil'!X2983</f>
        <v>0</v>
      </c>
      <c r="Y2982">
        <f>'raw data Crude oil'!Y2983</f>
        <v>0</v>
      </c>
      <c r="Z2982">
        <f>'raw data Crude oil'!Z2983</f>
        <v>0</v>
      </c>
      <c r="AA2982">
        <f>'raw data Crude oil'!AA2983</f>
        <v>0</v>
      </c>
      <c r="AB2982">
        <f>'raw data Crude oil'!AB2983</f>
        <v>0</v>
      </c>
      <c r="AC2982">
        <f>'raw data Crude oil'!AC2983</f>
        <v>0</v>
      </c>
      <c r="AD2982">
        <f>'raw data Crude oil'!AD2983</f>
        <v>0</v>
      </c>
      <c r="AE2982">
        <f>'raw data Crude oil'!AE2983</f>
        <v>0</v>
      </c>
      <c r="AF2982">
        <f>'raw data Crude oil'!AF2983</f>
        <v>0</v>
      </c>
      <c r="AG2982">
        <f>'raw data Crude oil'!AG2983</f>
        <v>0</v>
      </c>
      <c r="AH2982">
        <f>'raw data Crude oil'!AH2983</f>
        <v>0</v>
      </c>
      <c r="AI2982">
        <f>'raw data Crude oil'!AI2983</f>
        <v>0</v>
      </c>
      <c r="AJ2982">
        <f>'raw data Crude oil'!AJ2983</f>
        <v>0</v>
      </c>
      <c r="AK2982">
        <f>'raw data Crude oil'!AK2983</f>
        <v>0</v>
      </c>
    </row>
    <row r="2983" spans="1:37" x14ac:dyDescent="0.3">
      <c r="A2983" s="18">
        <f>'raw data Crude oil'!A2984</f>
        <v>0</v>
      </c>
      <c r="B2983">
        <f>'raw data Crude oil'!B2984</f>
        <v>0</v>
      </c>
      <c r="C2983">
        <f>'raw data Crude oil'!C2984</f>
        <v>0</v>
      </c>
      <c r="D2983">
        <f>'raw data Crude oil'!D2984</f>
        <v>0</v>
      </c>
      <c r="E2983">
        <f>'raw data Crude oil'!E2984</f>
        <v>0</v>
      </c>
      <c r="F2983">
        <f>'raw data Crude oil'!F2984</f>
        <v>0</v>
      </c>
      <c r="G2983">
        <f>'raw data Crude oil'!G2984</f>
        <v>0</v>
      </c>
      <c r="H2983">
        <f>'raw data Crude oil'!H2984</f>
        <v>0</v>
      </c>
      <c r="I2983">
        <f>'raw data Crude oil'!I2984</f>
        <v>0</v>
      </c>
      <c r="J2983">
        <f>'raw data Crude oil'!J2984</f>
        <v>0</v>
      </c>
      <c r="K2983">
        <f>'raw data Crude oil'!K2984</f>
        <v>0</v>
      </c>
      <c r="L2983">
        <f>'raw data Crude oil'!L2984</f>
        <v>0</v>
      </c>
      <c r="M2983">
        <f>'raw data Crude oil'!M2984</f>
        <v>0</v>
      </c>
      <c r="N2983">
        <f>'raw data Crude oil'!N2984</f>
        <v>0</v>
      </c>
      <c r="O2983">
        <f>'raw data Crude oil'!O2984</f>
        <v>0</v>
      </c>
      <c r="P2983">
        <f>'raw data Crude oil'!P2984</f>
        <v>0</v>
      </c>
      <c r="Q2983">
        <f>'raw data Crude oil'!Q2984</f>
        <v>0</v>
      </c>
      <c r="R2983">
        <f>'raw data Crude oil'!R2984</f>
        <v>0</v>
      </c>
      <c r="S2983">
        <f>'raw data Crude oil'!S2984</f>
        <v>0</v>
      </c>
      <c r="T2983">
        <f>'raw data Crude oil'!T2984</f>
        <v>0</v>
      </c>
      <c r="U2983">
        <f>'raw data Crude oil'!U2984</f>
        <v>0</v>
      </c>
      <c r="V2983">
        <f>'raw data Crude oil'!V2984</f>
        <v>0</v>
      </c>
      <c r="W2983">
        <f>'raw data Crude oil'!W2984</f>
        <v>0</v>
      </c>
      <c r="X2983">
        <f>'raw data Crude oil'!X2984</f>
        <v>0</v>
      </c>
      <c r="Y2983">
        <f>'raw data Crude oil'!Y2984</f>
        <v>0</v>
      </c>
      <c r="Z2983">
        <f>'raw data Crude oil'!Z2984</f>
        <v>0</v>
      </c>
      <c r="AA2983">
        <f>'raw data Crude oil'!AA2984</f>
        <v>0</v>
      </c>
      <c r="AB2983">
        <f>'raw data Crude oil'!AB2984</f>
        <v>0</v>
      </c>
      <c r="AC2983">
        <f>'raw data Crude oil'!AC2984</f>
        <v>0</v>
      </c>
      <c r="AD2983">
        <f>'raw data Crude oil'!AD2984</f>
        <v>0</v>
      </c>
      <c r="AE2983">
        <f>'raw data Crude oil'!AE2984</f>
        <v>0</v>
      </c>
      <c r="AF2983">
        <f>'raw data Crude oil'!AF2984</f>
        <v>0</v>
      </c>
      <c r="AG2983">
        <f>'raw data Crude oil'!AG2984</f>
        <v>0</v>
      </c>
      <c r="AH2983">
        <f>'raw data Crude oil'!AH2984</f>
        <v>0</v>
      </c>
      <c r="AI2983">
        <f>'raw data Crude oil'!AI2984</f>
        <v>0</v>
      </c>
      <c r="AJ2983">
        <f>'raw data Crude oil'!AJ2984</f>
        <v>0</v>
      </c>
      <c r="AK2983">
        <f>'raw data Crude oil'!AK2984</f>
        <v>0</v>
      </c>
    </row>
    <row r="2984" spans="1:37" x14ac:dyDescent="0.3">
      <c r="A2984" s="18">
        <f>'raw data Crude oil'!A2985</f>
        <v>0</v>
      </c>
      <c r="B2984">
        <f>'raw data Crude oil'!B2985</f>
        <v>0</v>
      </c>
      <c r="C2984">
        <f>'raw data Crude oil'!C2985</f>
        <v>0</v>
      </c>
      <c r="D2984">
        <f>'raw data Crude oil'!D2985</f>
        <v>0</v>
      </c>
      <c r="E2984">
        <f>'raw data Crude oil'!E2985</f>
        <v>0</v>
      </c>
      <c r="F2984">
        <f>'raw data Crude oil'!F2985</f>
        <v>0</v>
      </c>
      <c r="G2984">
        <f>'raw data Crude oil'!G2985</f>
        <v>0</v>
      </c>
      <c r="H2984">
        <f>'raw data Crude oil'!H2985</f>
        <v>0</v>
      </c>
      <c r="I2984">
        <f>'raw data Crude oil'!I2985</f>
        <v>0</v>
      </c>
      <c r="J2984">
        <f>'raw data Crude oil'!J2985</f>
        <v>0</v>
      </c>
      <c r="K2984">
        <f>'raw data Crude oil'!K2985</f>
        <v>0</v>
      </c>
      <c r="L2984">
        <f>'raw data Crude oil'!L2985</f>
        <v>0</v>
      </c>
      <c r="M2984">
        <f>'raw data Crude oil'!M2985</f>
        <v>0</v>
      </c>
      <c r="N2984">
        <f>'raw data Crude oil'!N2985</f>
        <v>0</v>
      </c>
      <c r="O2984">
        <f>'raw data Crude oil'!O2985</f>
        <v>0</v>
      </c>
      <c r="P2984">
        <f>'raw data Crude oil'!P2985</f>
        <v>0</v>
      </c>
      <c r="Q2984">
        <f>'raw data Crude oil'!Q2985</f>
        <v>0</v>
      </c>
      <c r="R2984">
        <f>'raw data Crude oil'!R2985</f>
        <v>0</v>
      </c>
      <c r="S2984">
        <f>'raw data Crude oil'!S2985</f>
        <v>0</v>
      </c>
      <c r="T2984">
        <f>'raw data Crude oil'!T2985</f>
        <v>0</v>
      </c>
      <c r="U2984">
        <f>'raw data Crude oil'!U2985</f>
        <v>0</v>
      </c>
      <c r="V2984">
        <f>'raw data Crude oil'!V2985</f>
        <v>0</v>
      </c>
      <c r="W2984">
        <f>'raw data Crude oil'!W2985</f>
        <v>0</v>
      </c>
      <c r="X2984">
        <f>'raw data Crude oil'!X2985</f>
        <v>0</v>
      </c>
      <c r="Y2984">
        <f>'raw data Crude oil'!Y2985</f>
        <v>0</v>
      </c>
      <c r="Z2984">
        <f>'raw data Crude oil'!Z2985</f>
        <v>0</v>
      </c>
      <c r="AA2984">
        <f>'raw data Crude oil'!AA2985</f>
        <v>0</v>
      </c>
      <c r="AB2984">
        <f>'raw data Crude oil'!AB2985</f>
        <v>0</v>
      </c>
      <c r="AC2984">
        <f>'raw data Crude oil'!AC2985</f>
        <v>0</v>
      </c>
      <c r="AD2984">
        <f>'raw data Crude oil'!AD2985</f>
        <v>0</v>
      </c>
      <c r="AE2984">
        <f>'raw data Crude oil'!AE2985</f>
        <v>0</v>
      </c>
      <c r="AF2984">
        <f>'raw data Crude oil'!AF2985</f>
        <v>0</v>
      </c>
      <c r="AG2984">
        <f>'raw data Crude oil'!AG2985</f>
        <v>0</v>
      </c>
      <c r="AH2984">
        <f>'raw data Crude oil'!AH2985</f>
        <v>0</v>
      </c>
      <c r="AI2984">
        <f>'raw data Crude oil'!AI2985</f>
        <v>0</v>
      </c>
      <c r="AJ2984">
        <f>'raw data Crude oil'!AJ2985</f>
        <v>0</v>
      </c>
      <c r="AK2984">
        <f>'raw data Crude oil'!AK2985</f>
        <v>0</v>
      </c>
    </row>
    <row r="2985" spans="1:37" x14ac:dyDescent="0.3">
      <c r="A2985" s="18">
        <f>'raw data Crude oil'!A2986</f>
        <v>0</v>
      </c>
      <c r="B2985">
        <f>'raw data Crude oil'!B2986</f>
        <v>0</v>
      </c>
      <c r="C2985">
        <f>'raw data Crude oil'!C2986</f>
        <v>0</v>
      </c>
      <c r="D2985">
        <f>'raw data Crude oil'!D2986</f>
        <v>0</v>
      </c>
      <c r="E2985">
        <f>'raw data Crude oil'!E2986</f>
        <v>0</v>
      </c>
      <c r="F2985">
        <f>'raw data Crude oil'!F2986</f>
        <v>0</v>
      </c>
      <c r="G2985">
        <f>'raw data Crude oil'!G2986</f>
        <v>0</v>
      </c>
      <c r="H2985">
        <f>'raw data Crude oil'!H2986</f>
        <v>0</v>
      </c>
      <c r="I2985">
        <f>'raw data Crude oil'!I2986</f>
        <v>0</v>
      </c>
      <c r="J2985">
        <f>'raw data Crude oil'!J2986</f>
        <v>0</v>
      </c>
      <c r="K2985">
        <f>'raw data Crude oil'!K2986</f>
        <v>0</v>
      </c>
      <c r="L2985">
        <f>'raw data Crude oil'!L2986</f>
        <v>0</v>
      </c>
      <c r="M2985">
        <f>'raw data Crude oil'!M2986</f>
        <v>0</v>
      </c>
      <c r="N2985">
        <f>'raw data Crude oil'!N2986</f>
        <v>0</v>
      </c>
      <c r="O2985">
        <f>'raw data Crude oil'!O2986</f>
        <v>0</v>
      </c>
      <c r="P2985">
        <f>'raw data Crude oil'!P2986</f>
        <v>0</v>
      </c>
      <c r="Q2985">
        <f>'raw data Crude oil'!Q2986</f>
        <v>0</v>
      </c>
      <c r="R2985">
        <f>'raw data Crude oil'!R2986</f>
        <v>0</v>
      </c>
      <c r="S2985">
        <f>'raw data Crude oil'!S2986</f>
        <v>0</v>
      </c>
      <c r="T2985">
        <f>'raw data Crude oil'!T2986</f>
        <v>0</v>
      </c>
      <c r="U2985">
        <f>'raw data Crude oil'!U2986</f>
        <v>0</v>
      </c>
      <c r="V2985">
        <f>'raw data Crude oil'!V2986</f>
        <v>0</v>
      </c>
      <c r="W2985">
        <f>'raw data Crude oil'!W2986</f>
        <v>0</v>
      </c>
      <c r="X2985">
        <f>'raw data Crude oil'!X2986</f>
        <v>0</v>
      </c>
      <c r="Y2985">
        <f>'raw data Crude oil'!Y2986</f>
        <v>0</v>
      </c>
      <c r="Z2985">
        <f>'raw data Crude oil'!Z2986</f>
        <v>0</v>
      </c>
      <c r="AA2985">
        <f>'raw data Crude oil'!AA2986</f>
        <v>0</v>
      </c>
      <c r="AB2985">
        <f>'raw data Crude oil'!AB2986</f>
        <v>0</v>
      </c>
      <c r="AC2985">
        <f>'raw data Crude oil'!AC2986</f>
        <v>0</v>
      </c>
      <c r="AD2985">
        <f>'raw data Crude oil'!AD2986</f>
        <v>0</v>
      </c>
      <c r="AE2985">
        <f>'raw data Crude oil'!AE2986</f>
        <v>0</v>
      </c>
      <c r="AF2985">
        <f>'raw data Crude oil'!AF2986</f>
        <v>0</v>
      </c>
      <c r="AG2985">
        <f>'raw data Crude oil'!AG2986</f>
        <v>0</v>
      </c>
      <c r="AH2985">
        <f>'raw data Crude oil'!AH2986</f>
        <v>0</v>
      </c>
      <c r="AI2985">
        <f>'raw data Crude oil'!AI2986</f>
        <v>0</v>
      </c>
      <c r="AJ2985">
        <f>'raw data Crude oil'!AJ2986</f>
        <v>0</v>
      </c>
      <c r="AK2985">
        <f>'raw data Crude oil'!AK2986</f>
        <v>0</v>
      </c>
    </row>
    <row r="2986" spans="1:37" x14ac:dyDescent="0.3">
      <c r="A2986" s="18">
        <f>'raw data Crude oil'!A2987</f>
        <v>0</v>
      </c>
      <c r="B2986">
        <f>'raw data Crude oil'!B2987</f>
        <v>0</v>
      </c>
      <c r="C2986">
        <f>'raw data Crude oil'!C2987</f>
        <v>0</v>
      </c>
      <c r="D2986">
        <f>'raw data Crude oil'!D2987</f>
        <v>0</v>
      </c>
      <c r="E2986">
        <f>'raw data Crude oil'!E2987</f>
        <v>0</v>
      </c>
      <c r="F2986">
        <f>'raw data Crude oil'!F2987</f>
        <v>0</v>
      </c>
      <c r="G2986">
        <f>'raw data Crude oil'!G2987</f>
        <v>0</v>
      </c>
      <c r="H2986">
        <f>'raw data Crude oil'!H2987</f>
        <v>0</v>
      </c>
      <c r="I2986">
        <f>'raw data Crude oil'!I2987</f>
        <v>0</v>
      </c>
      <c r="J2986">
        <f>'raw data Crude oil'!J2987</f>
        <v>0</v>
      </c>
      <c r="K2986">
        <f>'raw data Crude oil'!K2987</f>
        <v>0</v>
      </c>
      <c r="L2986">
        <f>'raw data Crude oil'!L2987</f>
        <v>0</v>
      </c>
      <c r="M2986">
        <f>'raw data Crude oil'!M2987</f>
        <v>0</v>
      </c>
      <c r="N2986">
        <f>'raw data Crude oil'!N2987</f>
        <v>0</v>
      </c>
      <c r="O2986">
        <f>'raw data Crude oil'!O2987</f>
        <v>0</v>
      </c>
      <c r="P2986">
        <f>'raw data Crude oil'!P2987</f>
        <v>0</v>
      </c>
      <c r="Q2986">
        <f>'raw data Crude oil'!Q2987</f>
        <v>0</v>
      </c>
      <c r="R2986">
        <f>'raw data Crude oil'!R2987</f>
        <v>0</v>
      </c>
      <c r="S2986">
        <f>'raw data Crude oil'!S2987</f>
        <v>0</v>
      </c>
      <c r="T2986">
        <f>'raw data Crude oil'!T2987</f>
        <v>0</v>
      </c>
      <c r="U2986">
        <f>'raw data Crude oil'!U2987</f>
        <v>0</v>
      </c>
      <c r="V2986">
        <f>'raw data Crude oil'!V2987</f>
        <v>0</v>
      </c>
      <c r="W2986">
        <f>'raw data Crude oil'!W2987</f>
        <v>0</v>
      </c>
      <c r="X2986">
        <f>'raw data Crude oil'!X2987</f>
        <v>0</v>
      </c>
      <c r="Y2986">
        <f>'raw data Crude oil'!Y2987</f>
        <v>0</v>
      </c>
      <c r="Z2986">
        <f>'raw data Crude oil'!Z2987</f>
        <v>0</v>
      </c>
      <c r="AA2986">
        <f>'raw data Crude oil'!AA2987</f>
        <v>0</v>
      </c>
      <c r="AB2986">
        <f>'raw data Crude oil'!AB2987</f>
        <v>0</v>
      </c>
      <c r="AC2986">
        <f>'raw data Crude oil'!AC2987</f>
        <v>0</v>
      </c>
      <c r="AD2986">
        <f>'raw data Crude oil'!AD2987</f>
        <v>0</v>
      </c>
      <c r="AE2986">
        <f>'raw data Crude oil'!AE2987</f>
        <v>0</v>
      </c>
      <c r="AF2986">
        <f>'raw data Crude oil'!AF2987</f>
        <v>0</v>
      </c>
      <c r="AG2986">
        <f>'raw data Crude oil'!AG2987</f>
        <v>0</v>
      </c>
      <c r="AH2986">
        <f>'raw data Crude oil'!AH2987</f>
        <v>0</v>
      </c>
      <c r="AI2986">
        <f>'raw data Crude oil'!AI2987</f>
        <v>0</v>
      </c>
      <c r="AJ2986">
        <f>'raw data Crude oil'!AJ2987</f>
        <v>0</v>
      </c>
      <c r="AK2986">
        <f>'raw data Crude oil'!AK2987</f>
        <v>0</v>
      </c>
    </row>
    <row r="2987" spans="1:37" x14ac:dyDescent="0.3">
      <c r="A2987" s="18">
        <f>'raw data Crude oil'!A2988</f>
        <v>0</v>
      </c>
      <c r="B2987">
        <f>'raw data Crude oil'!B2988</f>
        <v>0</v>
      </c>
      <c r="C2987">
        <f>'raw data Crude oil'!C2988</f>
        <v>0</v>
      </c>
      <c r="D2987">
        <f>'raw data Crude oil'!D2988</f>
        <v>0</v>
      </c>
      <c r="E2987">
        <f>'raw data Crude oil'!E2988</f>
        <v>0</v>
      </c>
      <c r="F2987">
        <f>'raw data Crude oil'!F2988</f>
        <v>0</v>
      </c>
      <c r="G2987">
        <f>'raw data Crude oil'!G2988</f>
        <v>0</v>
      </c>
      <c r="H2987">
        <f>'raw data Crude oil'!H2988</f>
        <v>0</v>
      </c>
      <c r="I2987">
        <f>'raw data Crude oil'!I2988</f>
        <v>0</v>
      </c>
      <c r="J2987">
        <f>'raw data Crude oil'!J2988</f>
        <v>0</v>
      </c>
      <c r="K2987">
        <f>'raw data Crude oil'!K2988</f>
        <v>0</v>
      </c>
      <c r="L2987">
        <f>'raw data Crude oil'!L2988</f>
        <v>0</v>
      </c>
      <c r="M2987">
        <f>'raw data Crude oil'!M2988</f>
        <v>0</v>
      </c>
      <c r="N2987">
        <f>'raw data Crude oil'!N2988</f>
        <v>0</v>
      </c>
      <c r="O2987">
        <f>'raw data Crude oil'!O2988</f>
        <v>0</v>
      </c>
      <c r="P2987">
        <f>'raw data Crude oil'!P2988</f>
        <v>0</v>
      </c>
      <c r="Q2987">
        <f>'raw data Crude oil'!Q2988</f>
        <v>0</v>
      </c>
      <c r="R2987">
        <f>'raw data Crude oil'!R2988</f>
        <v>0</v>
      </c>
      <c r="S2987">
        <f>'raw data Crude oil'!S2988</f>
        <v>0</v>
      </c>
      <c r="T2987">
        <f>'raw data Crude oil'!T2988</f>
        <v>0</v>
      </c>
      <c r="U2987">
        <f>'raw data Crude oil'!U2988</f>
        <v>0</v>
      </c>
      <c r="V2987">
        <f>'raw data Crude oil'!V2988</f>
        <v>0</v>
      </c>
      <c r="W2987">
        <f>'raw data Crude oil'!W2988</f>
        <v>0</v>
      </c>
      <c r="X2987">
        <f>'raw data Crude oil'!X2988</f>
        <v>0</v>
      </c>
      <c r="Y2987">
        <f>'raw data Crude oil'!Y2988</f>
        <v>0</v>
      </c>
      <c r="Z2987">
        <f>'raw data Crude oil'!Z2988</f>
        <v>0</v>
      </c>
      <c r="AA2987">
        <f>'raw data Crude oil'!AA2988</f>
        <v>0</v>
      </c>
      <c r="AB2987">
        <f>'raw data Crude oil'!AB2988</f>
        <v>0</v>
      </c>
      <c r="AC2987">
        <f>'raw data Crude oil'!AC2988</f>
        <v>0</v>
      </c>
      <c r="AD2987">
        <f>'raw data Crude oil'!AD2988</f>
        <v>0</v>
      </c>
      <c r="AE2987">
        <f>'raw data Crude oil'!AE2988</f>
        <v>0</v>
      </c>
      <c r="AF2987">
        <f>'raw data Crude oil'!AF2988</f>
        <v>0</v>
      </c>
      <c r="AG2987">
        <f>'raw data Crude oil'!AG2988</f>
        <v>0</v>
      </c>
      <c r="AH2987">
        <f>'raw data Crude oil'!AH2988</f>
        <v>0</v>
      </c>
      <c r="AI2987">
        <f>'raw data Crude oil'!AI2988</f>
        <v>0</v>
      </c>
      <c r="AJ2987">
        <f>'raw data Crude oil'!AJ2988</f>
        <v>0</v>
      </c>
      <c r="AK2987">
        <f>'raw data Crude oil'!AK2988</f>
        <v>0</v>
      </c>
    </row>
    <row r="2988" spans="1:37" x14ac:dyDescent="0.3">
      <c r="A2988" s="18">
        <f>'raw data Crude oil'!A2989</f>
        <v>0</v>
      </c>
      <c r="B2988">
        <f>'raw data Crude oil'!B2989</f>
        <v>0</v>
      </c>
      <c r="C2988">
        <f>'raw data Crude oil'!C2989</f>
        <v>0</v>
      </c>
      <c r="D2988">
        <f>'raw data Crude oil'!D2989</f>
        <v>0</v>
      </c>
      <c r="E2988">
        <f>'raw data Crude oil'!E2989</f>
        <v>0</v>
      </c>
      <c r="F2988">
        <f>'raw data Crude oil'!F2989</f>
        <v>0</v>
      </c>
      <c r="G2988">
        <f>'raw data Crude oil'!G2989</f>
        <v>0</v>
      </c>
      <c r="H2988">
        <f>'raw data Crude oil'!H2989</f>
        <v>0</v>
      </c>
      <c r="I2988">
        <f>'raw data Crude oil'!I2989</f>
        <v>0</v>
      </c>
      <c r="J2988">
        <f>'raw data Crude oil'!J2989</f>
        <v>0</v>
      </c>
      <c r="K2988">
        <f>'raw data Crude oil'!K2989</f>
        <v>0</v>
      </c>
      <c r="L2988">
        <f>'raw data Crude oil'!L2989</f>
        <v>0</v>
      </c>
      <c r="M2988">
        <f>'raw data Crude oil'!M2989</f>
        <v>0</v>
      </c>
      <c r="N2988">
        <f>'raw data Crude oil'!N2989</f>
        <v>0</v>
      </c>
      <c r="O2988">
        <f>'raw data Crude oil'!O2989</f>
        <v>0</v>
      </c>
      <c r="P2988">
        <f>'raw data Crude oil'!P2989</f>
        <v>0</v>
      </c>
      <c r="Q2988">
        <f>'raw data Crude oil'!Q2989</f>
        <v>0</v>
      </c>
      <c r="R2988">
        <f>'raw data Crude oil'!R2989</f>
        <v>0</v>
      </c>
      <c r="S2988">
        <f>'raw data Crude oil'!S2989</f>
        <v>0</v>
      </c>
      <c r="T2988">
        <f>'raw data Crude oil'!T2989</f>
        <v>0</v>
      </c>
      <c r="U2988">
        <f>'raw data Crude oil'!U2989</f>
        <v>0</v>
      </c>
      <c r="V2988">
        <f>'raw data Crude oil'!V2989</f>
        <v>0</v>
      </c>
      <c r="W2988">
        <f>'raw data Crude oil'!W2989</f>
        <v>0</v>
      </c>
      <c r="X2988">
        <f>'raw data Crude oil'!X2989</f>
        <v>0</v>
      </c>
      <c r="Y2988">
        <f>'raw data Crude oil'!Y2989</f>
        <v>0</v>
      </c>
      <c r="Z2988">
        <f>'raw data Crude oil'!Z2989</f>
        <v>0</v>
      </c>
      <c r="AA2988">
        <f>'raw data Crude oil'!AA2989</f>
        <v>0</v>
      </c>
      <c r="AB2988">
        <f>'raw data Crude oil'!AB2989</f>
        <v>0</v>
      </c>
      <c r="AC2988">
        <f>'raw data Crude oil'!AC2989</f>
        <v>0</v>
      </c>
      <c r="AD2988">
        <f>'raw data Crude oil'!AD2989</f>
        <v>0</v>
      </c>
      <c r="AE2988">
        <f>'raw data Crude oil'!AE2989</f>
        <v>0</v>
      </c>
      <c r="AF2988">
        <f>'raw data Crude oil'!AF2989</f>
        <v>0</v>
      </c>
      <c r="AG2988">
        <f>'raw data Crude oil'!AG2989</f>
        <v>0</v>
      </c>
      <c r="AH2988">
        <f>'raw data Crude oil'!AH2989</f>
        <v>0</v>
      </c>
      <c r="AI2988">
        <f>'raw data Crude oil'!AI2989</f>
        <v>0</v>
      </c>
      <c r="AJ2988">
        <f>'raw data Crude oil'!AJ2989</f>
        <v>0</v>
      </c>
      <c r="AK2988">
        <f>'raw data Crude oil'!AK2989</f>
        <v>0</v>
      </c>
    </row>
    <row r="2989" spans="1:37" x14ac:dyDescent="0.3">
      <c r="A2989" s="18">
        <f>'raw data Crude oil'!A2990</f>
        <v>0</v>
      </c>
      <c r="B2989">
        <f>'raw data Crude oil'!B2990</f>
        <v>0</v>
      </c>
      <c r="C2989">
        <f>'raw data Crude oil'!C2990</f>
        <v>0</v>
      </c>
      <c r="D2989">
        <f>'raw data Crude oil'!D2990</f>
        <v>0</v>
      </c>
      <c r="E2989">
        <f>'raw data Crude oil'!E2990</f>
        <v>0</v>
      </c>
      <c r="F2989">
        <f>'raw data Crude oil'!F2990</f>
        <v>0</v>
      </c>
      <c r="G2989">
        <f>'raw data Crude oil'!G2990</f>
        <v>0</v>
      </c>
      <c r="H2989">
        <f>'raw data Crude oil'!H2990</f>
        <v>0</v>
      </c>
      <c r="I2989">
        <f>'raw data Crude oil'!I2990</f>
        <v>0</v>
      </c>
      <c r="J2989">
        <f>'raw data Crude oil'!J2990</f>
        <v>0</v>
      </c>
      <c r="K2989">
        <f>'raw data Crude oil'!K2990</f>
        <v>0</v>
      </c>
      <c r="L2989">
        <f>'raw data Crude oil'!L2990</f>
        <v>0</v>
      </c>
      <c r="M2989">
        <f>'raw data Crude oil'!M2990</f>
        <v>0</v>
      </c>
      <c r="N2989">
        <f>'raw data Crude oil'!N2990</f>
        <v>0</v>
      </c>
      <c r="O2989">
        <f>'raw data Crude oil'!O2990</f>
        <v>0</v>
      </c>
      <c r="P2989">
        <f>'raw data Crude oil'!P2990</f>
        <v>0</v>
      </c>
      <c r="Q2989">
        <f>'raw data Crude oil'!Q2990</f>
        <v>0</v>
      </c>
      <c r="R2989">
        <f>'raw data Crude oil'!R2990</f>
        <v>0</v>
      </c>
      <c r="S2989">
        <f>'raw data Crude oil'!S2990</f>
        <v>0</v>
      </c>
      <c r="T2989">
        <f>'raw data Crude oil'!T2990</f>
        <v>0</v>
      </c>
      <c r="U2989">
        <f>'raw data Crude oil'!U2990</f>
        <v>0</v>
      </c>
      <c r="V2989">
        <f>'raw data Crude oil'!V2990</f>
        <v>0</v>
      </c>
      <c r="W2989">
        <f>'raw data Crude oil'!W2990</f>
        <v>0</v>
      </c>
      <c r="X2989">
        <f>'raw data Crude oil'!X2990</f>
        <v>0</v>
      </c>
      <c r="Y2989">
        <f>'raw data Crude oil'!Y2990</f>
        <v>0</v>
      </c>
      <c r="Z2989">
        <f>'raw data Crude oil'!Z2990</f>
        <v>0</v>
      </c>
      <c r="AA2989">
        <f>'raw data Crude oil'!AA2990</f>
        <v>0</v>
      </c>
      <c r="AB2989">
        <f>'raw data Crude oil'!AB2990</f>
        <v>0</v>
      </c>
      <c r="AC2989">
        <f>'raw data Crude oil'!AC2990</f>
        <v>0</v>
      </c>
      <c r="AD2989">
        <f>'raw data Crude oil'!AD2990</f>
        <v>0</v>
      </c>
      <c r="AE2989">
        <f>'raw data Crude oil'!AE2990</f>
        <v>0</v>
      </c>
      <c r="AF2989">
        <f>'raw data Crude oil'!AF2990</f>
        <v>0</v>
      </c>
      <c r="AG2989">
        <f>'raw data Crude oil'!AG2990</f>
        <v>0</v>
      </c>
      <c r="AH2989">
        <f>'raw data Crude oil'!AH2990</f>
        <v>0</v>
      </c>
      <c r="AI2989">
        <f>'raw data Crude oil'!AI2990</f>
        <v>0</v>
      </c>
      <c r="AJ2989">
        <f>'raw data Crude oil'!AJ2990</f>
        <v>0</v>
      </c>
      <c r="AK2989">
        <f>'raw data Crude oil'!AK2990</f>
        <v>0</v>
      </c>
    </row>
    <row r="2990" spans="1:37" x14ac:dyDescent="0.3">
      <c r="A2990" s="18">
        <f>'raw data Crude oil'!A2991</f>
        <v>0</v>
      </c>
      <c r="B2990">
        <f>'raw data Crude oil'!B2991</f>
        <v>0</v>
      </c>
      <c r="C2990">
        <f>'raw data Crude oil'!C2991</f>
        <v>0</v>
      </c>
      <c r="D2990">
        <f>'raw data Crude oil'!D2991</f>
        <v>0</v>
      </c>
      <c r="E2990">
        <f>'raw data Crude oil'!E2991</f>
        <v>0</v>
      </c>
      <c r="F2990">
        <f>'raw data Crude oil'!F2991</f>
        <v>0</v>
      </c>
      <c r="G2990">
        <f>'raw data Crude oil'!G2991</f>
        <v>0</v>
      </c>
      <c r="H2990">
        <f>'raw data Crude oil'!H2991</f>
        <v>0</v>
      </c>
      <c r="I2990">
        <f>'raw data Crude oil'!I2991</f>
        <v>0</v>
      </c>
      <c r="J2990">
        <f>'raw data Crude oil'!J2991</f>
        <v>0</v>
      </c>
      <c r="K2990">
        <f>'raw data Crude oil'!K2991</f>
        <v>0</v>
      </c>
      <c r="L2990">
        <f>'raw data Crude oil'!L2991</f>
        <v>0</v>
      </c>
      <c r="M2990">
        <f>'raw data Crude oil'!M2991</f>
        <v>0</v>
      </c>
      <c r="N2990">
        <f>'raw data Crude oil'!N2991</f>
        <v>0</v>
      </c>
      <c r="O2990">
        <f>'raw data Crude oil'!O2991</f>
        <v>0</v>
      </c>
      <c r="P2990">
        <f>'raw data Crude oil'!P2991</f>
        <v>0</v>
      </c>
      <c r="Q2990">
        <f>'raw data Crude oil'!Q2991</f>
        <v>0</v>
      </c>
      <c r="R2990">
        <f>'raw data Crude oil'!R2991</f>
        <v>0</v>
      </c>
      <c r="S2990">
        <f>'raw data Crude oil'!S2991</f>
        <v>0</v>
      </c>
      <c r="T2990">
        <f>'raw data Crude oil'!T2991</f>
        <v>0</v>
      </c>
      <c r="U2990">
        <f>'raw data Crude oil'!U2991</f>
        <v>0</v>
      </c>
      <c r="V2990">
        <f>'raw data Crude oil'!V2991</f>
        <v>0</v>
      </c>
      <c r="W2990">
        <f>'raw data Crude oil'!W2991</f>
        <v>0</v>
      </c>
      <c r="X2990">
        <f>'raw data Crude oil'!X2991</f>
        <v>0</v>
      </c>
      <c r="Y2990">
        <f>'raw data Crude oil'!Y2991</f>
        <v>0</v>
      </c>
      <c r="Z2990">
        <f>'raw data Crude oil'!Z2991</f>
        <v>0</v>
      </c>
      <c r="AA2990">
        <f>'raw data Crude oil'!AA2991</f>
        <v>0</v>
      </c>
      <c r="AB2990">
        <f>'raw data Crude oil'!AB2991</f>
        <v>0</v>
      </c>
      <c r="AC2990">
        <f>'raw data Crude oil'!AC2991</f>
        <v>0</v>
      </c>
      <c r="AD2990">
        <f>'raw data Crude oil'!AD2991</f>
        <v>0</v>
      </c>
      <c r="AE2990">
        <f>'raw data Crude oil'!AE2991</f>
        <v>0</v>
      </c>
      <c r="AF2990">
        <f>'raw data Crude oil'!AF2991</f>
        <v>0</v>
      </c>
      <c r="AG2990">
        <f>'raw data Crude oil'!AG2991</f>
        <v>0</v>
      </c>
      <c r="AH2990">
        <f>'raw data Crude oil'!AH2991</f>
        <v>0</v>
      </c>
      <c r="AI2990">
        <f>'raw data Crude oil'!AI2991</f>
        <v>0</v>
      </c>
      <c r="AJ2990">
        <f>'raw data Crude oil'!AJ2991</f>
        <v>0</v>
      </c>
      <c r="AK2990">
        <f>'raw data Crude oil'!AK2991</f>
        <v>0</v>
      </c>
    </row>
    <row r="2991" spans="1:37" x14ac:dyDescent="0.3">
      <c r="A2991" s="18">
        <f>'raw data Crude oil'!A2992</f>
        <v>0</v>
      </c>
      <c r="B2991">
        <f>'raw data Crude oil'!B2992</f>
        <v>0</v>
      </c>
      <c r="C2991">
        <f>'raw data Crude oil'!C2992</f>
        <v>0</v>
      </c>
      <c r="D2991">
        <f>'raw data Crude oil'!D2992</f>
        <v>0</v>
      </c>
      <c r="E2991">
        <f>'raw data Crude oil'!E2992</f>
        <v>0</v>
      </c>
      <c r="F2991">
        <f>'raw data Crude oil'!F2992</f>
        <v>0</v>
      </c>
      <c r="G2991">
        <f>'raw data Crude oil'!G2992</f>
        <v>0</v>
      </c>
      <c r="H2991">
        <f>'raw data Crude oil'!H2992</f>
        <v>0</v>
      </c>
      <c r="I2991">
        <f>'raw data Crude oil'!I2992</f>
        <v>0</v>
      </c>
      <c r="J2991">
        <f>'raw data Crude oil'!J2992</f>
        <v>0</v>
      </c>
      <c r="K2991">
        <f>'raw data Crude oil'!K2992</f>
        <v>0</v>
      </c>
      <c r="L2991">
        <f>'raw data Crude oil'!L2992</f>
        <v>0</v>
      </c>
      <c r="M2991">
        <f>'raw data Crude oil'!M2992</f>
        <v>0</v>
      </c>
      <c r="N2991">
        <f>'raw data Crude oil'!N2992</f>
        <v>0</v>
      </c>
      <c r="O2991">
        <f>'raw data Crude oil'!O2992</f>
        <v>0</v>
      </c>
      <c r="P2991">
        <f>'raw data Crude oil'!P2992</f>
        <v>0</v>
      </c>
      <c r="Q2991">
        <f>'raw data Crude oil'!Q2992</f>
        <v>0</v>
      </c>
      <c r="R2991">
        <f>'raw data Crude oil'!R2992</f>
        <v>0</v>
      </c>
      <c r="S2991">
        <f>'raw data Crude oil'!S2992</f>
        <v>0</v>
      </c>
      <c r="T2991">
        <f>'raw data Crude oil'!T2992</f>
        <v>0</v>
      </c>
      <c r="U2991">
        <f>'raw data Crude oil'!U2992</f>
        <v>0</v>
      </c>
      <c r="V2991">
        <f>'raw data Crude oil'!V2992</f>
        <v>0</v>
      </c>
      <c r="W2991">
        <f>'raw data Crude oil'!W2992</f>
        <v>0</v>
      </c>
      <c r="X2991">
        <f>'raw data Crude oil'!X2992</f>
        <v>0</v>
      </c>
      <c r="Y2991">
        <f>'raw data Crude oil'!Y2992</f>
        <v>0</v>
      </c>
      <c r="Z2991">
        <f>'raw data Crude oil'!Z2992</f>
        <v>0</v>
      </c>
      <c r="AA2991">
        <f>'raw data Crude oil'!AA2992</f>
        <v>0</v>
      </c>
      <c r="AB2991">
        <f>'raw data Crude oil'!AB2992</f>
        <v>0</v>
      </c>
      <c r="AC2991">
        <f>'raw data Crude oil'!AC2992</f>
        <v>0</v>
      </c>
      <c r="AD2991">
        <f>'raw data Crude oil'!AD2992</f>
        <v>0</v>
      </c>
      <c r="AE2991">
        <f>'raw data Crude oil'!AE2992</f>
        <v>0</v>
      </c>
      <c r="AF2991">
        <f>'raw data Crude oil'!AF2992</f>
        <v>0</v>
      </c>
      <c r="AG2991">
        <f>'raw data Crude oil'!AG2992</f>
        <v>0</v>
      </c>
      <c r="AH2991">
        <f>'raw data Crude oil'!AH2992</f>
        <v>0</v>
      </c>
      <c r="AI2991">
        <f>'raw data Crude oil'!AI2992</f>
        <v>0</v>
      </c>
      <c r="AJ2991">
        <f>'raw data Crude oil'!AJ2992</f>
        <v>0</v>
      </c>
      <c r="AK2991">
        <f>'raw data Crude oil'!AK2992</f>
        <v>0</v>
      </c>
    </row>
    <row r="2992" spans="1:37" x14ac:dyDescent="0.3">
      <c r="A2992" s="18">
        <f>'raw data Crude oil'!A2993</f>
        <v>0</v>
      </c>
      <c r="B2992">
        <f>'raw data Crude oil'!B2993</f>
        <v>0</v>
      </c>
      <c r="C2992">
        <f>'raw data Crude oil'!C2993</f>
        <v>0</v>
      </c>
      <c r="D2992">
        <f>'raw data Crude oil'!D2993</f>
        <v>0</v>
      </c>
      <c r="E2992">
        <f>'raw data Crude oil'!E2993</f>
        <v>0</v>
      </c>
      <c r="F2992">
        <f>'raw data Crude oil'!F2993</f>
        <v>0</v>
      </c>
      <c r="G2992">
        <f>'raw data Crude oil'!G2993</f>
        <v>0</v>
      </c>
      <c r="H2992">
        <f>'raw data Crude oil'!H2993</f>
        <v>0</v>
      </c>
      <c r="I2992">
        <f>'raw data Crude oil'!I2993</f>
        <v>0</v>
      </c>
      <c r="J2992">
        <f>'raw data Crude oil'!J2993</f>
        <v>0</v>
      </c>
      <c r="K2992">
        <f>'raw data Crude oil'!K2993</f>
        <v>0</v>
      </c>
      <c r="L2992">
        <f>'raw data Crude oil'!L2993</f>
        <v>0</v>
      </c>
      <c r="M2992">
        <f>'raw data Crude oil'!M2993</f>
        <v>0</v>
      </c>
      <c r="N2992">
        <f>'raw data Crude oil'!N2993</f>
        <v>0</v>
      </c>
      <c r="O2992">
        <f>'raw data Crude oil'!O2993</f>
        <v>0</v>
      </c>
      <c r="P2992">
        <f>'raw data Crude oil'!P2993</f>
        <v>0</v>
      </c>
      <c r="Q2992">
        <f>'raw data Crude oil'!Q2993</f>
        <v>0</v>
      </c>
      <c r="R2992">
        <f>'raw data Crude oil'!R2993</f>
        <v>0</v>
      </c>
      <c r="S2992">
        <f>'raw data Crude oil'!S2993</f>
        <v>0</v>
      </c>
      <c r="T2992">
        <f>'raw data Crude oil'!T2993</f>
        <v>0</v>
      </c>
      <c r="U2992">
        <f>'raw data Crude oil'!U2993</f>
        <v>0</v>
      </c>
      <c r="V2992">
        <f>'raw data Crude oil'!V2993</f>
        <v>0</v>
      </c>
      <c r="W2992">
        <f>'raw data Crude oil'!W2993</f>
        <v>0</v>
      </c>
      <c r="X2992">
        <f>'raw data Crude oil'!X2993</f>
        <v>0</v>
      </c>
      <c r="Y2992">
        <f>'raw data Crude oil'!Y2993</f>
        <v>0</v>
      </c>
      <c r="Z2992">
        <f>'raw data Crude oil'!Z2993</f>
        <v>0</v>
      </c>
      <c r="AA2992">
        <f>'raw data Crude oil'!AA2993</f>
        <v>0</v>
      </c>
      <c r="AB2992">
        <f>'raw data Crude oil'!AB2993</f>
        <v>0</v>
      </c>
      <c r="AC2992">
        <f>'raw data Crude oil'!AC2993</f>
        <v>0</v>
      </c>
      <c r="AD2992">
        <f>'raw data Crude oil'!AD2993</f>
        <v>0</v>
      </c>
      <c r="AE2992">
        <f>'raw data Crude oil'!AE2993</f>
        <v>0</v>
      </c>
      <c r="AF2992">
        <f>'raw data Crude oil'!AF2993</f>
        <v>0</v>
      </c>
      <c r="AG2992">
        <f>'raw data Crude oil'!AG2993</f>
        <v>0</v>
      </c>
      <c r="AH2992">
        <f>'raw data Crude oil'!AH2993</f>
        <v>0</v>
      </c>
      <c r="AI2992">
        <f>'raw data Crude oil'!AI2993</f>
        <v>0</v>
      </c>
      <c r="AJ2992">
        <f>'raw data Crude oil'!AJ2993</f>
        <v>0</v>
      </c>
      <c r="AK2992">
        <f>'raw data Crude oil'!AK2993</f>
        <v>0</v>
      </c>
    </row>
    <row r="2993" spans="1:37" x14ac:dyDescent="0.3">
      <c r="A2993" s="18">
        <f>'raw data Crude oil'!A2994</f>
        <v>0</v>
      </c>
      <c r="B2993">
        <f>'raw data Crude oil'!B2994</f>
        <v>0</v>
      </c>
      <c r="C2993">
        <f>'raw data Crude oil'!C2994</f>
        <v>0</v>
      </c>
      <c r="D2993">
        <f>'raw data Crude oil'!D2994</f>
        <v>0</v>
      </c>
      <c r="E2993">
        <f>'raw data Crude oil'!E2994</f>
        <v>0</v>
      </c>
      <c r="F2993">
        <f>'raw data Crude oil'!F2994</f>
        <v>0</v>
      </c>
      <c r="G2993">
        <f>'raw data Crude oil'!G2994</f>
        <v>0</v>
      </c>
      <c r="H2993">
        <f>'raw data Crude oil'!H2994</f>
        <v>0</v>
      </c>
      <c r="I2993">
        <f>'raw data Crude oil'!I2994</f>
        <v>0</v>
      </c>
      <c r="J2993">
        <f>'raw data Crude oil'!J2994</f>
        <v>0</v>
      </c>
      <c r="K2993">
        <f>'raw data Crude oil'!K2994</f>
        <v>0</v>
      </c>
      <c r="L2993">
        <f>'raw data Crude oil'!L2994</f>
        <v>0</v>
      </c>
      <c r="M2993">
        <f>'raw data Crude oil'!M2994</f>
        <v>0</v>
      </c>
      <c r="N2993">
        <f>'raw data Crude oil'!N2994</f>
        <v>0</v>
      </c>
      <c r="O2993">
        <f>'raw data Crude oil'!O2994</f>
        <v>0</v>
      </c>
      <c r="P2993">
        <f>'raw data Crude oil'!P2994</f>
        <v>0</v>
      </c>
      <c r="Q2993">
        <f>'raw data Crude oil'!Q2994</f>
        <v>0</v>
      </c>
      <c r="R2993">
        <f>'raw data Crude oil'!R2994</f>
        <v>0</v>
      </c>
      <c r="S2993">
        <f>'raw data Crude oil'!S2994</f>
        <v>0</v>
      </c>
      <c r="T2993">
        <f>'raw data Crude oil'!T2994</f>
        <v>0</v>
      </c>
      <c r="U2993">
        <f>'raw data Crude oil'!U2994</f>
        <v>0</v>
      </c>
      <c r="V2993">
        <f>'raw data Crude oil'!V2994</f>
        <v>0</v>
      </c>
      <c r="W2993">
        <f>'raw data Crude oil'!W2994</f>
        <v>0</v>
      </c>
      <c r="X2993">
        <f>'raw data Crude oil'!X2994</f>
        <v>0</v>
      </c>
      <c r="Y2993">
        <f>'raw data Crude oil'!Y2994</f>
        <v>0</v>
      </c>
      <c r="Z2993">
        <f>'raw data Crude oil'!Z2994</f>
        <v>0</v>
      </c>
      <c r="AA2993">
        <f>'raw data Crude oil'!AA2994</f>
        <v>0</v>
      </c>
      <c r="AB2993">
        <f>'raw data Crude oil'!AB2994</f>
        <v>0</v>
      </c>
      <c r="AC2993">
        <f>'raw data Crude oil'!AC2994</f>
        <v>0</v>
      </c>
      <c r="AD2993">
        <f>'raw data Crude oil'!AD2994</f>
        <v>0</v>
      </c>
      <c r="AE2993">
        <f>'raw data Crude oil'!AE2994</f>
        <v>0</v>
      </c>
      <c r="AF2993">
        <f>'raw data Crude oil'!AF2994</f>
        <v>0</v>
      </c>
      <c r="AG2993">
        <f>'raw data Crude oil'!AG2994</f>
        <v>0</v>
      </c>
      <c r="AH2993">
        <f>'raw data Crude oil'!AH2994</f>
        <v>0</v>
      </c>
      <c r="AI2993">
        <f>'raw data Crude oil'!AI2994</f>
        <v>0</v>
      </c>
      <c r="AJ2993">
        <f>'raw data Crude oil'!AJ2994</f>
        <v>0</v>
      </c>
      <c r="AK2993">
        <f>'raw data Crude oil'!AK2994</f>
        <v>0</v>
      </c>
    </row>
    <row r="2994" spans="1:37" x14ac:dyDescent="0.3">
      <c r="A2994" s="18">
        <f>'raw data Crude oil'!A2995</f>
        <v>0</v>
      </c>
      <c r="B2994">
        <f>'raw data Crude oil'!B2995</f>
        <v>0</v>
      </c>
      <c r="C2994">
        <f>'raw data Crude oil'!C2995</f>
        <v>0</v>
      </c>
      <c r="D2994">
        <f>'raw data Crude oil'!D2995</f>
        <v>0</v>
      </c>
      <c r="E2994">
        <f>'raw data Crude oil'!E2995</f>
        <v>0</v>
      </c>
      <c r="F2994">
        <f>'raw data Crude oil'!F2995</f>
        <v>0</v>
      </c>
      <c r="G2994">
        <f>'raw data Crude oil'!G2995</f>
        <v>0</v>
      </c>
      <c r="H2994">
        <f>'raw data Crude oil'!H2995</f>
        <v>0</v>
      </c>
      <c r="I2994">
        <f>'raw data Crude oil'!I2995</f>
        <v>0</v>
      </c>
      <c r="J2994">
        <f>'raw data Crude oil'!J2995</f>
        <v>0</v>
      </c>
      <c r="K2994">
        <f>'raw data Crude oil'!K2995</f>
        <v>0</v>
      </c>
      <c r="L2994">
        <f>'raw data Crude oil'!L2995</f>
        <v>0</v>
      </c>
      <c r="M2994">
        <f>'raw data Crude oil'!M2995</f>
        <v>0</v>
      </c>
      <c r="N2994">
        <f>'raw data Crude oil'!N2995</f>
        <v>0</v>
      </c>
      <c r="O2994">
        <f>'raw data Crude oil'!O2995</f>
        <v>0</v>
      </c>
      <c r="P2994">
        <f>'raw data Crude oil'!P2995</f>
        <v>0</v>
      </c>
      <c r="Q2994">
        <f>'raw data Crude oil'!Q2995</f>
        <v>0</v>
      </c>
      <c r="R2994">
        <f>'raw data Crude oil'!R2995</f>
        <v>0</v>
      </c>
      <c r="S2994">
        <f>'raw data Crude oil'!S2995</f>
        <v>0</v>
      </c>
      <c r="T2994">
        <f>'raw data Crude oil'!T2995</f>
        <v>0</v>
      </c>
      <c r="U2994">
        <f>'raw data Crude oil'!U2995</f>
        <v>0</v>
      </c>
      <c r="V2994">
        <f>'raw data Crude oil'!V2995</f>
        <v>0</v>
      </c>
      <c r="W2994">
        <f>'raw data Crude oil'!W2995</f>
        <v>0</v>
      </c>
      <c r="X2994">
        <f>'raw data Crude oil'!X2995</f>
        <v>0</v>
      </c>
      <c r="Y2994">
        <f>'raw data Crude oil'!Y2995</f>
        <v>0</v>
      </c>
      <c r="Z2994">
        <f>'raw data Crude oil'!Z2995</f>
        <v>0</v>
      </c>
      <c r="AA2994">
        <f>'raw data Crude oil'!AA2995</f>
        <v>0</v>
      </c>
      <c r="AB2994">
        <f>'raw data Crude oil'!AB2995</f>
        <v>0</v>
      </c>
      <c r="AC2994">
        <f>'raw data Crude oil'!AC2995</f>
        <v>0</v>
      </c>
      <c r="AD2994">
        <f>'raw data Crude oil'!AD2995</f>
        <v>0</v>
      </c>
      <c r="AE2994">
        <f>'raw data Crude oil'!AE2995</f>
        <v>0</v>
      </c>
      <c r="AF2994">
        <f>'raw data Crude oil'!AF2995</f>
        <v>0</v>
      </c>
      <c r="AG2994">
        <f>'raw data Crude oil'!AG2995</f>
        <v>0</v>
      </c>
      <c r="AH2994">
        <f>'raw data Crude oil'!AH2995</f>
        <v>0</v>
      </c>
      <c r="AI2994">
        <f>'raw data Crude oil'!AI2995</f>
        <v>0</v>
      </c>
      <c r="AJ2994">
        <f>'raw data Crude oil'!AJ2995</f>
        <v>0</v>
      </c>
      <c r="AK2994">
        <f>'raw data Crude oil'!AK2995</f>
        <v>0</v>
      </c>
    </row>
    <row r="2995" spans="1:37" x14ac:dyDescent="0.3">
      <c r="A2995" s="18">
        <f>'raw data Crude oil'!A2996</f>
        <v>0</v>
      </c>
      <c r="B2995">
        <f>'raw data Crude oil'!B2996</f>
        <v>0</v>
      </c>
      <c r="C2995">
        <f>'raw data Crude oil'!C2996</f>
        <v>0</v>
      </c>
      <c r="D2995">
        <f>'raw data Crude oil'!D2996</f>
        <v>0</v>
      </c>
      <c r="E2995">
        <f>'raw data Crude oil'!E2996</f>
        <v>0</v>
      </c>
      <c r="F2995">
        <f>'raw data Crude oil'!F2996</f>
        <v>0</v>
      </c>
      <c r="G2995">
        <f>'raw data Crude oil'!G2996</f>
        <v>0</v>
      </c>
      <c r="H2995">
        <f>'raw data Crude oil'!H2996</f>
        <v>0</v>
      </c>
      <c r="I2995">
        <f>'raw data Crude oil'!I2996</f>
        <v>0</v>
      </c>
      <c r="J2995">
        <f>'raw data Crude oil'!J2996</f>
        <v>0</v>
      </c>
      <c r="K2995">
        <f>'raw data Crude oil'!K2996</f>
        <v>0</v>
      </c>
      <c r="L2995">
        <f>'raw data Crude oil'!L2996</f>
        <v>0</v>
      </c>
      <c r="M2995">
        <f>'raw data Crude oil'!M2996</f>
        <v>0</v>
      </c>
      <c r="N2995">
        <f>'raw data Crude oil'!N2996</f>
        <v>0</v>
      </c>
      <c r="O2995">
        <f>'raw data Crude oil'!O2996</f>
        <v>0</v>
      </c>
      <c r="P2995">
        <f>'raw data Crude oil'!P2996</f>
        <v>0</v>
      </c>
      <c r="Q2995">
        <f>'raw data Crude oil'!Q2996</f>
        <v>0</v>
      </c>
      <c r="R2995">
        <f>'raw data Crude oil'!R2996</f>
        <v>0</v>
      </c>
      <c r="S2995">
        <f>'raw data Crude oil'!S2996</f>
        <v>0</v>
      </c>
      <c r="T2995">
        <f>'raw data Crude oil'!T2996</f>
        <v>0</v>
      </c>
      <c r="U2995">
        <f>'raw data Crude oil'!U2996</f>
        <v>0</v>
      </c>
      <c r="V2995">
        <f>'raw data Crude oil'!V2996</f>
        <v>0</v>
      </c>
      <c r="W2995">
        <f>'raw data Crude oil'!W2996</f>
        <v>0</v>
      </c>
      <c r="X2995">
        <f>'raw data Crude oil'!X2996</f>
        <v>0</v>
      </c>
      <c r="Y2995">
        <f>'raw data Crude oil'!Y2996</f>
        <v>0</v>
      </c>
      <c r="Z2995">
        <f>'raw data Crude oil'!Z2996</f>
        <v>0</v>
      </c>
      <c r="AA2995">
        <f>'raw data Crude oil'!AA2996</f>
        <v>0</v>
      </c>
      <c r="AB2995">
        <f>'raw data Crude oil'!AB2996</f>
        <v>0</v>
      </c>
      <c r="AC2995">
        <f>'raw data Crude oil'!AC2996</f>
        <v>0</v>
      </c>
      <c r="AD2995">
        <f>'raw data Crude oil'!AD2996</f>
        <v>0</v>
      </c>
      <c r="AE2995">
        <f>'raw data Crude oil'!AE2996</f>
        <v>0</v>
      </c>
      <c r="AF2995">
        <f>'raw data Crude oil'!AF2996</f>
        <v>0</v>
      </c>
      <c r="AG2995">
        <f>'raw data Crude oil'!AG2996</f>
        <v>0</v>
      </c>
      <c r="AH2995">
        <f>'raw data Crude oil'!AH2996</f>
        <v>0</v>
      </c>
      <c r="AI2995">
        <f>'raw data Crude oil'!AI2996</f>
        <v>0</v>
      </c>
      <c r="AJ2995">
        <f>'raw data Crude oil'!AJ2996</f>
        <v>0</v>
      </c>
      <c r="AK2995">
        <f>'raw data Crude oil'!AK2996</f>
        <v>0</v>
      </c>
    </row>
    <row r="2996" spans="1:37" x14ac:dyDescent="0.3">
      <c r="A2996" s="18">
        <f>'raw data Crude oil'!A2997</f>
        <v>0</v>
      </c>
      <c r="B2996">
        <f>'raw data Crude oil'!B2997</f>
        <v>0</v>
      </c>
      <c r="C2996">
        <f>'raw data Crude oil'!C2997</f>
        <v>0</v>
      </c>
      <c r="D2996">
        <f>'raw data Crude oil'!D2997</f>
        <v>0</v>
      </c>
      <c r="E2996">
        <f>'raw data Crude oil'!E2997</f>
        <v>0</v>
      </c>
      <c r="F2996">
        <f>'raw data Crude oil'!F2997</f>
        <v>0</v>
      </c>
      <c r="G2996">
        <f>'raw data Crude oil'!G2997</f>
        <v>0</v>
      </c>
      <c r="H2996">
        <f>'raw data Crude oil'!H2997</f>
        <v>0</v>
      </c>
      <c r="I2996">
        <f>'raw data Crude oil'!I2997</f>
        <v>0</v>
      </c>
      <c r="J2996">
        <f>'raw data Crude oil'!J2997</f>
        <v>0</v>
      </c>
      <c r="K2996">
        <f>'raw data Crude oil'!K2997</f>
        <v>0</v>
      </c>
      <c r="L2996">
        <f>'raw data Crude oil'!L2997</f>
        <v>0</v>
      </c>
      <c r="M2996">
        <f>'raw data Crude oil'!M2997</f>
        <v>0</v>
      </c>
      <c r="N2996">
        <f>'raw data Crude oil'!N2997</f>
        <v>0</v>
      </c>
      <c r="O2996">
        <f>'raw data Crude oil'!O2997</f>
        <v>0</v>
      </c>
      <c r="P2996">
        <f>'raw data Crude oil'!P2997</f>
        <v>0</v>
      </c>
      <c r="Q2996">
        <f>'raw data Crude oil'!Q2997</f>
        <v>0</v>
      </c>
      <c r="R2996">
        <f>'raw data Crude oil'!R2997</f>
        <v>0</v>
      </c>
      <c r="S2996">
        <f>'raw data Crude oil'!S2997</f>
        <v>0</v>
      </c>
      <c r="T2996">
        <f>'raw data Crude oil'!T2997</f>
        <v>0</v>
      </c>
      <c r="U2996">
        <f>'raw data Crude oil'!U2997</f>
        <v>0</v>
      </c>
      <c r="V2996">
        <f>'raw data Crude oil'!V2997</f>
        <v>0</v>
      </c>
      <c r="W2996">
        <f>'raw data Crude oil'!W2997</f>
        <v>0</v>
      </c>
      <c r="X2996">
        <f>'raw data Crude oil'!X2997</f>
        <v>0</v>
      </c>
      <c r="Y2996">
        <f>'raw data Crude oil'!Y2997</f>
        <v>0</v>
      </c>
      <c r="Z2996">
        <f>'raw data Crude oil'!Z2997</f>
        <v>0</v>
      </c>
      <c r="AA2996">
        <f>'raw data Crude oil'!AA2997</f>
        <v>0</v>
      </c>
      <c r="AB2996">
        <f>'raw data Crude oil'!AB2997</f>
        <v>0</v>
      </c>
      <c r="AC2996">
        <f>'raw data Crude oil'!AC2997</f>
        <v>0</v>
      </c>
      <c r="AD2996">
        <f>'raw data Crude oil'!AD2997</f>
        <v>0</v>
      </c>
      <c r="AE2996">
        <f>'raw data Crude oil'!AE2997</f>
        <v>0</v>
      </c>
      <c r="AF2996">
        <f>'raw data Crude oil'!AF2997</f>
        <v>0</v>
      </c>
      <c r="AG2996">
        <f>'raw data Crude oil'!AG2997</f>
        <v>0</v>
      </c>
      <c r="AH2996">
        <f>'raw data Crude oil'!AH2997</f>
        <v>0</v>
      </c>
      <c r="AI2996">
        <f>'raw data Crude oil'!AI2997</f>
        <v>0</v>
      </c>
      <c r="AJ2996">
        <f>'raw data Crude oil'!AJ2997</f>
        <v>0</v>
      </c>
      <c r="AK2996">
        <f>'raw data Crude oil'!AK2997</f>
        <v>0</v>
      </c>
    </row>
    <row r="2997" spans="1:37" x14ac:dyDescent="0.3">
      <c r="A2997" s="18">
        <f>'raw data Crude oil'!A2998</f>
        <v>0</v>
      </c>
      <c r="B2997">
        <f>'raw data Crude oil'!B2998</f>
        <v>0</v>
      </c>
      <c r="C2997">
        <f>'raw data Crude oil'!C2998</f>
        <v>0</v>
      </c>
      <c r="D2997">
        <f>'raw data Crude oil'!D2998</f>
        <v>0</v>
      </c>
      <c r="E2997">
        <f>'raw data Crude oil'!E2998</f>
        <v>0</v>
      </c>
      <c r="F2997">
        <f>'raw data Crude oil'!F2998</f>
        <v>0</v>
      </c>
      <c r="G2997">
        <f>'raw data Crude oil'!G2998</f>
        <v>0</v>
      </c>
      <c r="H2997">
        <f>'raw data Crude oil'!H2998</f>
        <v>0</v>
      </c>
      <c r="I2997">
        <f>'raw data Crude oil'!I2998</f>
        <v>0</v>
      </c>
      <c r="J2997">
        <f>'raw data Crude oil'!J2998</f>
        <v>0</v>
      </c>
      <c r="K2997">
        <f>'raw data Crude oil'!K2998</f>
        <v>0</v>
      </c>
      <c r="L2997">
        <f>'raw data Crude oil'!L2998</f>
        <v>0</v>
      </c>
      <c r="M2997">
        <f>'raw data Crude oil'!M2998</f>
        <v>0</v>
      </c>
      <c r="N2997">
        <f>'raw data Crude oil'!N2998</f>
        <v>0</v>
      </c>
      <c r="O2997">
        <f>'raw data Crude oil'!O2998</f>
        <v>0</v>
      </c>
      <c r="P2997">
        <f>'raw data Crude oil'!P2998</f>
        <v>0</v>
      </c>
      <c r="Q2997">
        <f>'raw data Crude oil'!Q2998</f>
        <v>0</v>
      </c>
      <c r="R2997">
        <f>'raw data Crude oil'!R2998</f>
        <v>0</v>
      </c>
      <c r="S2997">
        <f>'raw data Crude oil'!S2998</f>
        <v>0</v>
      </c>
      <c r="T2997">
        <f>'raw data Crude oil'!T2998</f>
        <v>0</v>
      </c>
      <c r="U2997">
        <f>'raw data Crude oil'!U2998</f>
        <v>0</v>
      </c>
      <c r="V2997">
        <f>'raw data Crude oil'!V2998</f>
        <v>0</v>
      </c>
      <c r="W2997">
        <f>'raw data Crude oil'!W2998</f>
        <v>0</v>
      </c>
      <c r="X2997">
        <f>'raw data Crude oil'!X2998</f>
        <v>0</v>
      </c>
      <c r="Y2997">
        <f>'raw data Crude oil'!Y2998</f>
        <v>0</v>
      </c>
      <c r="Z2997">
        <f>'raw data Crude oil'!Z2998</f>
        <v>0</v>
      </c>
      <c r="AA2997">
        <f>'raw data Crude oil'!AA2998</f>
        <v>0</v>
      </c>
      <c r="AB2997">
        <f>'raw data Crude oil'!AB2998</f>
        <v>0</v>
      </c>
      <c r="AC2997">
        <f>'raw data Crude oil'!AC2998</f>
        <v>0</v>
      </c>
      <c r="AD2997">
        <f>'raw data Crude oil'!AD2998</f>
        <v>0</v>
      </c>
      <c r="AE2997">
        <f>'raw data Crude oil'!AE2998</f>
        <v>0</v>
      </c>
      <c r="AF2997">
        <f>'raw data Crude oil'!AF2998</f>
        <v>0</v>
      </c>
      <c r="AG2997">
        <f>'raw data Crude oil'!AG2998</f>
        <v>0</v>
      </c>
      <c r="AH2997">
        <f>'raw data Crude oil'!AH2998</f>
        <v>0</v>
      </c>
      <c r="AI2997">
        <f>'raw data Crude oil'!AI2998</f>
        <v>0</v>
      </c>
      <c r="AJ2997">
        <f>'raw data Crude oil'!AJ2998</f>
        <v>0</v>
      </c>
      <c r="AK2997">
        <f>'raw data Crude oil'!AK2998</f>
        <v>0</v>
      </c>
    </row>
    <row r="2998" spans="1:37" x14ac:dyDescent="0.3">
      <c r="A2998" s="18">
        <f>'raw data Crude oil'!A2999</f>
        <v>0</v>
      </c>
      <c r="B2998">
        <f>'raw data Crude oil'!B2999</f>
        <v>0</v>
      </c>
      <c r="C2998">
        <f>'raw data Crude oil'!C2999</f>
        <v>0</v>
      </c>
      <c r="D2998">
        <f>'raw data Crude oil'!D2999</f>
        <v>0</v>
      </c>
      <c r="E2998">
        <f>'raw data Crude oil'!E2999</f>
        <v>0</v>
      </c>
      <c r="F2998">
        <f>'raw data Crude oil'!F2999</f>
        <v>0</v>
      </c>
      <c r="G2998">
        <f>'raw data Crude oil'!G2999</f>
        <v>0</v>
      </c>
      <c r="H2998">
        <f>'raw data Crude oil'!H2999</f>
        <v>0</v>
      </c>
      <c r="I2998">
        <f>'raw data Crude oil'!I2999</f>
        <v>0</v>
      </c>
      <c r="J2998">
        <f>'raw data Crude oil'!J2999</f>
        <v>0</v>
      </c>
      <c r="K2998">
        <f>'raw data Crude oil'!K2999</f>
        <v>0</v>
      </c>
      <c r="L2998">
        <f>'raw data Crude oil'!L2999</f>
        <v>0</v>
      </c>
      <c r="M2998">
        <f>'raw data Crude oil'!M2999</f>
        <v>0</v>
      </c>
      <c r="N2998">
        <f>'raw data Crude oil'!N2999</f>
        <v>0</v>
      </c>
      <c r="O2998">
        <f>'raw data Crude oil'!O2999</f>
        <v>0</v>
      </c>
      <c r="P2998">
        <f>'raw data Crude oil'!P2999</f>
        <v>0</v>
      </c>
      <c r="Q2998">
        <f>'raw data Crude oil'!Q2999</f>
        <v>0</v>
      </c>
      <c r="R2998">
        <f>'raw data Crude oil'!R2999</f>
        <v>0</v>
      </c>
      <c r="S2998">
        <f>'raw data Crude oil'!S2999</f>
        <v>0</v>
      </c>
      <c r="T2998">
        <f>'raw data Crude oil'!T2999</f>
        <v>0</v>
      </c>
      <c r="U2998">
        <f>'raw data Crude oil'!U2999</f>
        <v>0</v>
      </c>
      <c r="V2998">
        <f>'raw data Crude oil'!V2999</f>
        <v>0</v>
      </c>
      <c r="W2998">
        <f>'raw data Crude oil'!W2999</f>
        <v>0</v>
      </c>
      <c r="X2998">
        <f>'raw data Crude oil'!X2999</f>
        <v>0</v>
      </c>
      <c r="Y2998">
        <f>'raw data Crude oil'!Y2999</f>
        <v>0</v>
      </c>
      <c r="Z2998">
        <f>'raw data Crude oil'!Z2999</f>
        <v>0</v>
      </c>
      <c r="AA2998">
        <f>'raw data Crude oil'!AA2999</f>
        <v>0</v>
      </c>
      <c r="AB2998">
        <f>'raw data Crude oil'!AB2999</f>
        <v>0</v>
      </c>
      <c r="AC2998">
        <f>'raw data Crude oil'!AC2999</f>
        <v>0</v>
      </c>
      <c r="AD2998">
        <f>'raw data Crude oil'!AD2999</f>
        <v>0</v>
      </c>
      <c r="AE2998">
        <f>'raw data Crude oil'!AE2999</f>
        <v>0</v>
      </c>
      <c r="AF2998">
        <f>'raw data Crude oil'!AF2999</f>
        <v>0</v>
      </c>
      <c r="AG2998">
        <f>'raw data Crude oil'!AG2999</f>
        <v>0</v>
      </c>
      <c r="AH2998">
        <f>'raw data Crude oil'!AH2999</f>
        <v>0</v>
      </c>
      <c r="AI2998">
        <f>'raw data Crude oil'!AI2999</f>
        <v>0</v>
      </c>
      <c r="AJ2998">
        <f>'raw data Crude oil'!AJ2999</f>
        <v>0</v>
      </c>
      <c r="AK2998">
        <f>'raw data Crude oil'!AK2999</f>
        <v>0</v>
      </c>
    </row>
    <row r="2999" spans="1:37" x14ac:dyDescent="0.3">
      <c r="A2999" s="18">
        <f>'raw data Crude oil'!A3000</f>
        <v>0</v>
      </c>
      <c r="B2999">
        <f>'raw data Crude oil'!B3000</f>
        <v>0</v>
      </c>
      <c r="C2999">
        <f>'raw data Crude oil'!C3000</f>
        <v>0</v>
      </c>
      <c r="D2999">
        <f>'raw data Crude oil'!D3000</f>
        <v>0</v>
      </c>
      <c r="E2999">
        <f>'raw data Crude oil'!E3000</f>
        <v>0</v>
      </c>
      <c r="F2999">
        <f>'raw data Crude oil'!F3000</f>
        <v>0</v>
      </c>
      <c r="G2999">
        <f>'raw data Crude oil'!G3000</f>
        <v>0</v>
      </c>
      <c r="H2999">
        <f>'raw data Crude oil'!H3000</f>
        <v>0</v>
      </c>
      <c r="I2999">
        <f>'raw data Crude oil'!I3000</f>
        <v>0</v>
      </c>
      <c r="J2999">
        <f>'raw data Crude oil'!J3000</f>
        <v>0</v>
      </c>
      <c r="K2999">
        <f>'raw data Crude oil'!K3000</f>
        <v>0</v>
      </c>
      <c r="L2999">
        <f>'raw data Crude oil'!L3000</f>
        <v>0</v>
      </c>
      <c r="M2999">
        <f>'raw data Crude oil'!M3000</f>
        <v>0</v>
      </c>
      <c r="N2999">
        <f>'raw data Crude oil'!N3000</f>
        <v>0</v>
      </c>
      <c r="O2999">
        <f>'raw data Crude oil'!O3000</f>
        <v>0</v>
      </c>
      <c r="P2999">
        <f>'raw data Crude oil'!P3000</f>
        <v>0</v>
      </c>
      <c r="Q2999">
        <f>'raw data Crude oil'!Q3000</f>
        <v>0</v>
      </c>
      <c r="R2999">
        <f>'raw data Crude oil'!R3000</f>
        <v>0</v>
      </c>
      <c r="S2999">
        <f>'raw data Crude oil'!S3000</f>
        <v>0</v>
      </c>
      <c r="T2999">
        <f>'raw data Crude oil'!T3000</f>
        <v>0</v>
      </c>
      <c r="U2999">
        <f>'raw data Crude oil'!U3000</f>
        <v>0</v>
      </c>
      <c r="V2999">
        <f>'raw data Crude oil'!V3000</f>
        <v>0</v>
      </c>
      <c r="W2999">
        <f>'raw data Crude oil'!W3000</f>
        <v>0</v>
      </c>
      <c r="X2999">
        <f>'raw data Crude oil'!X3000</f>
        <v>0</v>
      </c>
      <c r="Y2999">
        <f>'raw data Crude oil'!Y3000</f>
        <v>0</v>
      </c>
      <c r="Z2999">
        <f>'raw data Crude oil'!Z3000</f>
        <v>0</v>
      </c>
      <c r="AA2999">
        <f>'raw data Crude oil'!AA3000</f>
        <v>0</v>
      </c>
      <c r="AB2999">
        <f>'raw data Crude oil'!AB3000</f>
        <v>0</v>
      </c>
      <c r="AC2999">
        <f>'raw data Crude oil'!AC3000</f>
        <v>0</v>
      </c>
      <c r="AD2999">
        <f>'raw data Crude oil'!AD3000</f>
        <v>0</v>
      </c>
      <c r="AE2999">
        <f>'raw data Crude oil'!AE3000</f>
        <v>0</v>
      </c>
      <c r="AF2999">
        <f>'raw data Crude oil'!AF3000</f>
        <v>0</v>
      </c>
      <c r="AG2999">
        <f>'raw data Crude oil'!AG3000</f>
        <v>0</v>
      </c>
      <c r="AH2999">
        <f>'raw data Crude oil'!AH3000</f>
        <v>0</v>
      </c>
      <c r="AI2999">
        <f>'raw data Crude oil'!AI3000</f>
        <v>0</v>
      </c>
      <c r="AJ2999">
        <f>'raw data Crude oil'!AJ3000</f>
        <v>0</v>
      </c>
      <c r="AK2999">
        <f>'raw data Crude oil'!AK3000</f>
        <v>0</v>
      </c>
    </row>
    <row r="3000" spans="1:37" x14ac:dyDescent="0.3">
      <c r="A3000" s="18">
        <f>'raw data Crude oil'!A3001</f>
        <v>0</v>
      </c>
      <c r="B3000">
        <f>'raw data Crude oil'!B3001</f>
        <v>0</v>
      </c>
      <c r="C3000">
        <f>'raw data Crude oil'!C3001</f>
        <v>0</v>
      </c>
      <c r="D3000">
        <f>'raw data Crude oil'!D3001</f>
        <v>0</v>
      </c>
      <c r="E3000">
        <f>'raw data Crude oil'!E3001</f>
        <v>0</v>
      </c>
      <c r="F3000">
        <f>'raw data Crude oil'!F3001</f>
        <v>0</v>
      </c>
      <c r="G3000">
        <f>'raw data Crude oil'!G3001</f>
        <v>0</v>
      </c>
      <c r="H3000">
        <f>'raw data Crude oil'!H3001</f>
        <v>0</v>
      </c>
      <c r="I3000">
        <f>'raw data Crude oil'!I3001</f>
        <v>0</v>
      </c>
      <c r="J3000">
        <f>'raw data Crude oil'!J3001</f>
        <v>0</v>
      </c>
      <c r="K3000">
        <f>'raw data Crude oil'!K3001</f>
        <v>0</v>
      </c>
      <c r="L3000">
        <f>'raw data Crude oil'!L3001</f>
        <v>0</v>
      </c>
      <c r="M3000">
        <f>'raw data Crude oil'!M3001</f>
        <v>0</v>
      </c>
      <c r="N3000">
        <f>'raw data Crude oil'!N3001</f>
        <v>0</v>
      </c>
      <c r="O3000">
        <f>'raw data Crude oil'!O3001</f>
        <v>0</v>
      </c>
      <c r="P3000">
        <f>'raw data Crude oil'!P3001</f>
        <v>0</v>
      </c>
      <c r="Q3000">
        <f>'raw data Crude oil'!Q3001</f>
        <v>0</v>
      </c>
      <c r="R3000">
        <f>'raw data Crude oil'!R3001</f>
        <v>0</v>
      </c>
      <c r="S3000">
        <f>'raw data Crude oil'!S3001</f>
        <v>0</v>
      </c>
      <c r="T3000">
        <f>'raw data Crude oil'!T3001</f>
        <v>0</v>
      </c>
      <c r="U3000">
        <f>'raw data Crude oil'!U3001</f>
        <v>0</v>
      </c>
      <c r="V3000">
        <f>'raw data Crude oil'!V3001</f>
        <v>0</v>
      </c>
      <c r="W3000">
        <f>'raw data Crude oil'!W3001</f>
        <v>0</v>
      </c>
      <c r="X3000">
        <f>'raw data Crude oil'!X3001</f>
        <v>0</v>
      </c>
      <c r="Y3000">
        <f>'raw data Crude oil'!Y3001</f>
        <v>0</v>
      </c>
      <c r="Z3000">
        <f>'raw data Crude oil'!Z3001</f>
        <v>0</v>
      </c>
      <c r="AA3000">
        <f>'raw data Crude oil'!AA3001</f>
        <v>0</v>
      </c>
      <c r="AB3000">
        <f>'raw data Crude oil'!AB3001</f>
        <v>0</v>
      </c>
      <c r="AC3000">
        <f>'raw data Crude oil'!AC3001</f>
        <v>0</v>
      </c>
      <c r="AD3000">
        <f>'raw data Crude oil'!AD3001</f>
        <v>0</v>
      </c>
      <c r="AE3000">
        <f>'raw data Crude oil'!AE3001</f>
        <v>0</v>
      </c>
      <c r="AF3000">
        <f>'raw data Crude oil'!AF3001</f>
        <v>0</v>
      </c>
      <c r="AG3000">
        <f>'raw data Crude oil'!AG3001</f>
        <v>0</v>
      </c>
      <c r="AH3000">
        <f>'raw data Crude oil'!AH3001</f>
        <v>0</v>
      </c>
      <c r="AI3000">
        <f>'raw data Crude oil'!AI3001</f>
        <v>0</v>
      </c>
      <c r="AJ3000">
        <f>'raw data Crude oil'!AJ3001</f>
        <v>0</v>
      </c>
      <c r="AK3000">
        <f>'raw data Crude oil'!AK3001</f>
        <v>0</v>
      </c>
    </row>
    <row r="3001" spans="1:37" x14ac:dyDescent="0.3">
      <c r="A3001" s="18">
        <f>'raw data Crude oil'!A3002</f>
        <v>0</v>
      </c>
      <c r="B3001">
        <f>'raw data Crude oil'!B3002</f>
        <v>0</v>
      </c>
      <c r="C3001">
        <f>'raw data Crude oil'!C3002</f>
        <v>0</v>
      </c>
      <c r="D3001">
        <f>'raw data Crude oil'!D3002</f>
        <v>0</v>
      </c>
      <c r="E3001">
        <f>'raw data Crude oil'!E3002</f>
        <v>0</v>
      </c>
      <c r="F3001">
        <f>'raw data Crude oil'!F3002</f>
        <v>0</v>
      </c>
      <c r="G3001">
        <f>'raw data Crude oil'!G3002</f>
        <v>0</v>
      </c>
      <c r="H3001">
        <f>'raw data Crude oil'!H3002</f>
        <v>0</v>
      </c>
      <c r="I3001">
        <f>'raw data Crude oil'!I3002</f>
        <v>0</v>
      </c>
      <c r="J3001">
        <f>'raw data Crude oil'!J3002</f>
        <v>0</v>
      </c>
      <c r="K3001">
        <f>'raw data Crude oil'!K3002</f>
        <v>0</v>
      </c>
      <c r="L3001">
        <f>'raw data Crude oil'!L3002</f>
        <v>0</v>
      </c>
      <c r="M3001">
        <f>'raw data Crude oil'!M3002</f>
        <v>0</v>
      </c>
      <c r="N3001">
        <f>'raw data Crude oil'!N3002</f>
        <v>0</v>
      </c>
      <c r="O3001">
        <f>'raw data Crude oil'!O3002</f>
        <v>0</v>
      </c>
      <c r="P3001">
        <f>'raw data Crude oil'!P3002</f>
        <v>0</v>
      </c>
      <c r="Q3001">
        <f>'raw data Crude oil'!Q3002</f>
        <v>0</v>
      </c>
      <c r="R3001">
        <f>'raw data Crude oil'!R3002</f>
        <v>0</v>
      </c>
      <c r="S3001">
        <f>'raw data Crude oil'!S3002</f>
        <v>0</v>
      </c>
      <c r="T3001">
        <f>'raw data Crude oil'!T3002</f>
        <v>0</v>
      </c>
      <c r="U3001">
        <f>'raw data Crude oil'!U3002</f>
        <v>0</v>
      </c>
      <c r="V3001">
        <f>'raw data Crude oil'!V3002</f>
        <v>0</v>
      </c>
      <c r="W3001">
        <f>'raw data Crude oil'!W3002</f>
        <v>0</v>
      </c>
      <c r="X3001">
        <f>'raw data Crude oil'!X3002</f>
        <v>0</v>
      </c>
      <c r="Y3001">
        <f>'raw data Crude oil'!Y3002</f>
        <v>0</v>
      </c>
      <c r="Z3001">
        <f>'raw data Crude oil'!Z3002</f>
        <v>0</v>
      </c>
      <c r="AA3001">
        <f>'raw data Crude oil'!AA3002</f>
        <v>0</v>
      </c>
      <c r="AB3001">
        <f>'raw data Crude oil'!AB3002</f>
        <v>0</v>
      </c>
      <c r="AC3001">
        <f>'raw data Crude oil'!AC3002</f>
        <v>0</v>
      </c>
      <c r="AD3001">
        <f>'raw data Crude oil'!AD3002</f>
        <v>0</v>
      </c>
      <c r="AE3001">
        <f>'raw data Crude oil'!AE3002</f>
        <v>0</v>
      </c>
      <c r="AF3001">
        <f>'raw data Crude oil'!AF3002</f>
        <v>0</v>
      </c>
      <c r="AG3001">
        <f>'raw data Crude oil'!AG3002</f>
        <v>0</v>
      </c>
      <c r="AH3001">
        <f>'raw data Crude oil'!AH3002</f>
        <v>0</v>
      </c>
      <c r="AI3001">
        <f>'raw data Crude oil'!AI3002</f>
        <v>0</v>
      </c>
      <c r="AJ3001">
        <f>'raw data Crude oil'!AJ3002</f>
        <v>0</v>
      </c>
      <c r="AK3001">
        <f>'raw data Crude oil'!AK3002</f>
        <v>0</v>
      </c>
    </row>
    <row r="3002" spans="1:37" x14ac:dyDescent="0.3">
      <c r="A3002" s="18">
        <f>'raw data Crude oil'!A3003</f>
        <v>0</v>
      </c>
      <c r="B3002">
        <f>'raw data Crude oil'!B3003</f>
        <v>0</v>
      </c>
      <c r="C3002">
        <f>'raw data Crude oil'!C3003</f>
        <v>0</v>
      </c>
      <c r="D3002">
        <f>'raw data Crude oil'!D3003</f>
        <v>0</v>
      </c>
      <c r="E3002">
        <f>'raw data Crude oil'!E3003</f>
        <v>0</v>
      </c>
      <c r="F3002">
        <f>'raw data Crude oil'!F3003</f>
        <v>0</v>
      </c>
      <c r="G3002">
        <f>'raw data Crude oil'!G3003</f>
        <v>0</v>
      </c>
      <c r="H3002">
        <f>'raw data Crude oil'!H3003</f>
        <v>0</v>
      </c>
      <c r="I3002">
        <f>'raw data Crude oil'!I3003</f>
        <v>0</v>
      </c>
      <c r="J3002">
        <f>'raw data Crude oil'!J3003</f>
        <v>0</v>
      </c>
      <c r="K3002">
        <f>'raw data Crude oil'!K3003</f>
        <v>0</v>
      </c>
      <c r="L3002">
        <f>'raw data Crude oil'!L3003</f>
        <v>0</v>
      </c>
      <c r="M3002">
        <f>'raw data Crude oil'!M3003</f>
        <v>0</v>
      </c>
      <c r="N3002">
        <f>'raw data Crude oil'!N3003</f>
        <v>0</v>
      </c>
      <c r="O3002">
        <f>'raw data Crude oil'!O3003</f>
        <v>0</v>
      </c>
      <c r="P3002">
        <f>'raw data Crude oil'!P3003</f>
        <v>0</v>
      </c>
      <c r="Q3002">
        <f>'raw data Crude oil'!Q3003</f>
        <v>0</v>
      </c>
      <c r="R3002">
        <f>'raw data Crude oil'!R3003</f>
        <v>0</v>
      </c>
      <c r="S3002">
        <f>'raw data Crude oil'!S3003</f>
        <v>0</v>
      </c>
      <c r="T3002">
        <f>'raw data Crude oil'!T3003</f>
        <v>0</v>
      </c>
      <c r="U3002">
        <f>'raw data Crude oil'!U3003</f>
        <v>0</v>
      </c>
      <c r="V3002">
        <f>'raw data Crude oil'!V3003</f>
        <v>0</v>
      </c>
      <c r="W3002">
        <f>'raw data Crude oil'!W3003</f>
        <v>0</v>
      </c>
      <c r="X3002">
        <f>'raw data Crude oil'!X3003</f>
        <v>0</v>
      </c>
      <c r="Y3002">
        <f>'raw data Crude oil'!Y3003</f>
        <v>0</v>
      </c>
      <c r="Z3002">
        <f>'raw data Crude oil'!Z3003</f>
        <v>0</v>
      </c>
      <c r="AA3002">
        <f>'raw data Crude oil'!AA3003</f>
        <v>0</v>
      </c>
      <c r="AB3002">
        <f>'raw data Crude oil'!AB3003</f>
        <v>0</v>
      </c>
      <c r="AC3002">
        <f>'raw data Crude oil'!AC3003</f>
        <v>0</v>
      </c>
      <c r="AD3002">
        <f>'raw data Crude oil'!AD3003</f>
        <v>0</v>
      </c>
      <c r="AE3002">
        <f>'raw data Crude oil'!AE3003</f>
        <v>0</v>
      </c>
      <c r="AF3002">
        <f>'raw data Crude oil'!AF3003</f>
        <v>0</v>
      </c>
      <c r="AG3002">
        <f>'raw data Crude oil'!AG3003</f>
        <v>0</v>
      </c>
      <c r="AH3002">
        <f>'raw data Crude oil'!AH3003</f>
        <v>0</v>
      </c>
      <c r="AI3002">
        <f>'raw data Crude oil'!AI3003</f>
        <v>0</v>
      </c>
      <c r="AJ3002">
        <f>'raw data Crude oil'!AJ3003</f>
        <v>0</v>
      </c>
      <c r="AK3002">
        <f>'raw data Crude oil'!AK3003</f>
        <v>0</v>
      </c>
    </row>
    <row r="3003" spans="1:37" x14ac:dyDescent="0.3">
      <c r="A3003" s="18">
        <f>'raw data Crude oil'!A3004</f>
        <v>0</v>
      </c>
      <c r="B3003">
        <f>'raw data Crude oil'!B3004</f>
        <v>0</v>
      </c>
      <c r="C3003">
        <f>'raw data Crude oil'!C3004</f>
        <v>0</v>
      </c>
      <c r="D3003">
        <f>'raw data Crude oil'!D3004</f>
        <v>0</v>
      </c>
      <c r="E3003">
        <f>'raw data Crude oil'!E3004</f>
        <v>0</v>
      </c>
      <c r="F3003">
        <f>'raw data Crude oil'!F3004</f>
        <v>0</v>
      </c>
      <c r="G3003">
        <f>'raw data Crude oil'!G3004</f>
        <v>0</v>
      </c>
      <c r="H3003">
        <f>'raw data Crude oil'!H3004</f>
        <v>0</v>
      </c>
      <c r="I3003">
        <f>'raw data Crude oil'!I3004</f>
        <v>0</v>
      </c>
      <c r="J3003">
        <f>'raw data Crude oil'!J3004</f>
        <v>0</v>
      </c>
      <c r="K3003">
        <f>'raw data Crude oil'!K3004</f>
        <v>0</v>
      </c>
      <c r="L3003">
        <f>'raw data Crude oil'!L3004</f>
        <v>0</v>
      </c>
      <c r="M3003">
        <f>'raw data Crude oil'!M3004</f>
        <v>0</v>
      </c>
      <c r="N3003">
        <f>'raw data Crude oil'!N3004</f>
        <v>0</v>
      </c>
      <c r="O3003">
        <f>'raw data Crude oil'!O3004</f>
        <v>0</v>
      </c>
      <c r="P3003">
        <f>'raw data Crude oil'!P3004</f>
        <v>0</v>
      </c>
      <c r="Q3003">
        <f>'raw data Crude oil'!Q3004</f>
        <v>0</v>
      </c>
      <c r="R3003">
        <f>'raw data Crude oil'!R3004</f>
        <v>0</v>
      </c>
      <c r="S3003">
        <f>'raw data Crude oil'!S3004</f>
        <v>0</v>
      </c>
      <c r="T3003">
        <f>'raw data Crude oil'!T3004</f>
        <v>0</v>
      </c>
      <c r="U3003">
        <f>'raw data Crude oil'!U3004</f>
        <v>0</v>
      </c>
      <c r="V3003">
        <f>'raw data Crude oil'!V3004</f>
        <v>0</v>
      </c>
      <c r="W3003">
        <f>'raw data Crude oil'!W3004</f>
        <v>0</v>
      </c>
      <c r="X3003">
        <f>'raw data Crude oil'!X3004</f>
        <v>0</v>
      </c>
      <c r="Y3003">
        <f>'raw data Crude oil'!Y3004</f>
        <v>0</v>
      </c>
      <c r="Z3003">
        <f>'raw data Crude oil'!Z3004</f>
        <v>0</v>
      </c>
      <c r="AA3003">
        <f>'raw data Crude oil'!AA3004</f>
        <v>0</v>
      </c>
      <c r="AB3003">
        <f>'raw data Crude oil'!AB3004</f>
        <v>0</v>
      </c>
      <c r="AC3003">
        <f>'raw data Crude oil'!AC3004</f>
        <v>0</v>
      </c>
      <c r="AD3003">
        <f>'raw data Crude oil'!AD3004</f>
        <v>0</v>
      </c>
      <c r="AE3003">
        <f>'raw data Crude oil'!AE3004</f>
        <v>0</v>
      </c>
      <c r="AF3003">
        <f>'raw data Crude oil'!AF3004</f>
        <v>0</v>
      </c>
      <c r="AG3003">
        <f>'raw data Crude oil'!AG3004</f>
        <v>0</v>
      </c>
      <c r="AH3003">
        <f>'raw data Crude oil'!AH3004</f>
        <v>0</v>
      </c>
      <c r="AI3003">
        <f>'raw data Crude oil'!AI3004</f>
        <v>0</v>
      </c>
      <c r="AJ3003">
        <f>'raw data Crude oil'!AJ3004</f>
        <v>0</v>
      </c>
      <c r="AK3003">
        <f>'raw data Crude oil'!AK3004</f>
        <v>0</v>
      </c>
    </row>
    <row r="3004" spans="1:37" x14ac:dyDescent="0.3">
      <c r="A3004" s="18">
        <f>'raw data Crude oil'!A3005</f>
        <v>0</v>
      </c>
      <c r="B3004">
        <f>'raw data Crude oil'!B3005</f>
        <v>0</v>
      </c>
      <c r="C3004">
        <f>'raw data Crude oil'!C3005</f>
        <v>0</v>
      </c>
      <c r="D3004">
        <f>'raw data Crude oil'!D3005</f>
        <v>0</v>
      </c>
      <c r="E3004">
        <f>'raw data Crude oil'!E3005</f>
        <v>0</v>
      </c>
      <c r="F3004">
        <f>'raw data Crude oil'!F3005</f>
        <v>0</v>
      </c>
      <c r="G3004">
        <f>'raw data Crude oil'!G3005</f>
        <v>0</v>
      </c>
      <c r="H3004">
        <f>'raw data Crude oil'!H3005</f>
        <v>0</v>
      </c>
      <c r="I3004">
        <f>'raw data Crude oil'!I3005</f>
        <v>0</v>
      </c>
      <c r="J3004">
        <f>'raw data Crude oil'!J3005</f>
        <v>0</v>
      </c>
      <c r="K3004">
        <f>'raw data Crude oil'!K3005</f>
        <v>0</v>
      </c>
      <c r="L3004">
        <f>'raw data Crude oil'!L3005</f>
        <v>0</v>
      </c>
      <c r="M3004">
        <f>'raw data Crude oil'!M3005</f>
        <v>0</v>
      </c>
      <c r="N3004">
        <f>'raw data Crude oil'!N3005</f>
        <v>0</v>
      </c>
      <c r="O3004">
        <f>'raw data Crude oil'!O3005</f>
        <v>0</v>
      </c>
      <c r="P3004">
        <f>'raw data Crude oil'!P3005</f>
        <v>0</v>
      </c>
      <c r="Q3004">
        <f>'raw data Crude oil'!Q3005</f>
        <v>0</v>
      </c>
      <c r="R3004">
        <f>'raw data Crude oil'!R3005</f>
        <v>0</v>
      </c>
      <c r="S3004">
        <f>'raw data Crude oil'!S3005</f>
        <v>0</v>
      </c>
      <c r="T3004">
        <f>'raw data Crude oil'!T3005</f>
        <v>0</v>
      </c>
      <c r="U3004">
        <f>'raw data Crude oil'!U3005</f>
        <v>0</v>
      </c>
      <c r="V3004">
        <f>'raw data Crude oil'!V3005</f>
        <v>0</v>
      </c>
      <c r="W3004">
        <f>'raw data Crude oil'!W3005</f>
        <v>0</v>
      </c>
      <c r="X3004">
        <f>'raw data Crude oil'!X3005</f>
        <v>0</v>
      </c>
      <c r="Y3004">
        <f>'raw data Crude oil'!Y3005</f>
        <v>0</v>
      </c>
      <c r="Z3004">
        <f>'raw data Crude oil'!Z3005</f>
        <v>0</v>
      </c>
      <c r="AA3004">
        <f>'raw data Crude oil'!AA3005</f>
        <v>0</v>
      </c>
      <c r="AB3004">
        <f>'raw data Crude oil'!AB3005</f>
        <v>0</v>
      </c>
      <c r="AC3004">
        <f>'raw data Crude oil'!AC3005</f>
        <v>0</v>
      </c>
      <c r="AD3004">
        <f>'raw data Crude oil'!AD3005</f>
        <v>0</v>
      </c>
      <c r="AE3004">
        <f>'raw data Crude oil'!AE3005</f>
        <v>0</v>
      </c>
      <c r="AF3004">
        <f>'raw data Crude oil'!AF3005</f>
        <v>0</v>
      </c>
      <c r="AG3004">
        <f>'raw data Crude oil'!AG3005</f>
        <v>0</v>
      </c>
      <c r="AH3004">
        <f>'raw data Crude oil'!AH3005</f>
        <v>0</v>
      </c>
      <c r="AI3004">
        <f>'raw data Crude oil'!AI3005</f>
        <v>0</v>
      </c>
      <c r="AJ3004">
        <f>'raw data Crude oil'!AJ3005</f>
        <v>0</v>
      </c>
      <c r="AK3004">
        <f>'raw data Crude oil'!AK3005</f>
        <v>0</v>
      </c>
    </row>
    <row r="3005" spans="1:37" x14ac:dyDescent="0.3">
      <c r="A3005" s="18">
        <f>'raw data Crude oil'!A3006</f>
        <v>0</v>
      </c>
      <c r="B3005">
        <f>'raw data Crude oil'!B3006</f>
        <v>0</v>
      </c>
      <c r="C3005">
        <f>'raw data Crude oil'!C3006</f>
        <v>0</v>
      </c>
      <c r="D3005">
        <f>'raw data Crude oil'!D3006</f>
        <v>0</v>
      </c>
      <c r="E3005">
        <f>'raw data Crude oil'!E3006</f>
        <v>0</v>
      </c>
      <c r="F3005">
        <f>'raw data Crude oil'!F3006</f>
        <v>0</v>
      </c>
      <c r="G3005">
        <f>'raw data Crude oil'!G3006</f>
        <v>0</v>
      </c>
      <c r="H3005">
        <f>'raw data Crude oil'!H3006</f>
        <v>0</v>
      </c>
      <c r="I3005">
        <f>'raw data Crude oil'!I3006</f>
        <v>0</v>
      </c>
      <c r="J3005">
        <f>'raw data Crude oil'!J3006</f>
        <v>0</v>
      </c>
      <c r="K3005">
        <f>'raw data Crude oil'!K3006</f>
        <v>0</v>
      </c>
      <c r="L3005">
        <f>'raw data Crude oil'!L3006</f>
        <v>0</v>
      </c>
      <c r="M3005">
        <f>'raw data Crude oil'!M3006</f>
        <v>0</v>
      </c>
      <c r="N3005">
        <f>'raw data Crude oil'!N3006</f>
        <v>0</v>
      </c>
      <c r="O3005">
        <f>'raw data Crude oil'!O3006</f>
        <v>0</v>
      </c>
      <c r="P3005">
        <f>'raw data Crude oil'!P3006</f>
        <v>0</v>
      </c>
      <c r="Q3005">
        <f>'raw data Crude oil'!Q3006</f>
        <v>0</v>
      </c>
      <c r="R3005">
        <f>'raw data Crude oil'!R3006</f>
        <v>0</v>
      </c>
      <c r="S3005">
        <f>'raw data Crude oil'!S3006</f>
        <v>0</v>
      </c>
      <c r="T3005">
        <f>'raw data Crude oil'!T3006</f>
        <v>0</v>
      </c>
      <c r="U3005">
        <f>'raw data Crude oil'!U3006</f>
        <v>0</v>
      </c>
      <c r="V3005">
        <f>'raw data Crude oil'!V3006</f>
        <v>0</v>
      </c>
      <c r="W3005">
        <f>'raw data Crude oil'!W3006</f>
        <v>0</v>
      </c>
      <c r="X3005">
        <f>'raw data Crude oil'!X3006</f>
        <v>0</v>
      </c>
      <c r="Y3005">
        <f>'raw data Crude oil'!Y3006</f>
        <v>0</v>
      </c>
      <c r="Z3005">
        <f>'raw data Crude oil'!Z3006</f>
        <v>0</v>
      </c>
      <c r="AA3005">
        <f>'raw data Crude oil'!AA3006</f>
        <v>0</v>
      </c>
      <c r="AB3005">
        <f>'raw data Crude oil'!AB3006</f>
        <v>0</v>
      </c>
      <c r="AC3005">
        <f>'raw data Crude oil'!AC3006</f>
        <v>0</v>
      </c>
      <c r="AD3005">
        <f>'raw data Crude oil'!AD3006</f>
        <v>0</v>
      </c>
      <c r="AE3005">
        <f>'raw data Crude oil'!AE3006</f>
        <v>0</v>
      </c>
      <c r="AF3005">
        <f>'raw data Crude oil'!AF3006</f>
        <v>0</v>
      </c>
      <c r="AG3005">
        <f>'raw data Crude oil'!AG3006</f>
        <v>0</v>
      </c>
      <c r="AH3005">
        <f>'raw data Crude oil'!AH3006</f>
        <v>0</v>
      </c>
      <c r="AI3005">
        <f>'raw data Crude oil'!AI3006</f>
        <v>0</v>
      </c>
      <c r="AJ3005">
        <f>'raw data Crude oil'!AJ3006</f>
        <v>0</v>
      </c>
      <c r="AK3005">
        <f>'raw data Crude oil'!AK3006</f>
        <v>0</v>
      </c>
    </row>
    <row r="3006" spans="1:37" x14ac:dyDescent="0.3">
      <c r="A3006" s="18">
        <f>'raw data Crude oil'!A3007</f>
        <v>0</v>
      </c>
      <c r="B3006">
        <f>'raw data Crude oil'!B3007</f>
        <v>0</v>
      </c>
      <c r="C3006">
        <f>'raw data Crude oil'!C3007</f>
        <v>0</v>
      </c>
      <c r="D3006">
        <f>'raw data Crude oil'!D3007</f>
        <v>0</v>
      </c>
      <c r="E3006">
        <f>'raw data Crude oil'!E3007</f>
        <v>0</v>
      </c>
      <c r="F3006">
        <f>'raw data Crude oil'!F3007</f>
        <v>0</v>
      </c>
      <c r="G3006">
        <f>'raw data Crude oil'!G3007</f>
        <v>0</v>
      </c>
      <c r="H3006">
        <f>'raw data Crude oil'!H3007</f>
        <v>0</v>
      </c>
      <c r="I3006">
        <f>'raw data Crude oil'!I3007</f>
        <v>0</v>
      </c>
      <c r="J3006">
        <f>'raw data Crude oil'!J3007</f>
        <v>0</v>
      </c>
      <c r="K3006">
        <f>'raw data Crude oil'!K3007</f>
        <v>0</v>
      </c>
      <c r="L3006">
        <f>'raw data Crude oil'!L3007</f>
        <v>0</v>
      </c>
      <c r="M3006">
        <f>'raw data Crude oil'!M3007</f>
        <v>0</v>
      </c>
      <c r="N3006">
        <f>'raw data Crude oil'!N3007</f>
        <v>0</v>
      </c>
      <c r="O3006">
        <f>'raw data Crude oil'!O3007</f>
        <v>0</v>
      </c>
      <c r="P3006">
        <f>'raw data Crude oil'!P3007</f>
        <v>0</v>
      </c>
      <c r="Q3006">
        <f>'raw data Crude oil'!Q3007</f>
        <v>0</v>
      </c>
      <c r="R3006">
        <f>'raw data Crude oil'!R3007</f>
        <v>0</v>
      </c>
      <c r="S3006">
        <f>'raw data Crude oil'!S3007</f>
        <v>0</v>
      </c>
      <c r="T3006">
        <f>'raw data Crude oil'!T3007</f>
        <v>0</v>
      </c>
      <c r="U3006">
        <f>'raw data Crude oil'!U3007</f>
        <v>0</v>
      </c>
      <c r="V3006">
        <f>'raw data Crude oil'!V3007</f>
        <v>0</v>
      </c>
      <c r="W3006">
        <f>'raw data Crude oil'!W3007</f>
        <v>0</v>
      </c>
      <c r="X3006">
        <f>'raw data Crude oil'!X3007</f>
        <v>0</v>
      </c>
      <c r="Y3006">
        <f>'raw data Crude oil'!Y3007</f>
        <v>0</v>
      </c>
      <c r="Z3006">
        <f>'raw data Crude oil'!Z3007</f>
        <v>0</v>
      </c>
      <c r="AA3006">
        <f>'raw data Crude oil'!AA3007</f>
        <v>0</v>
      </c>
      <c r="AB3006">
        <f>'raw data Crude oil'!AB3007</f>
        <v>0</v>
      </c>
      <c r="AC3006">
        <f>'raw data Crude oil'!AC3007</f>
        <v>0</v>
      </c>
      <c r="AD3006">
        <f>'raw data Crude oil'!AD3007</f>
        <v>0</v>
      </c>
      <c r="AE3006">
        <f>'raw data Crude oil'!AE3007</f>
        <v>0</v>
      </c>
      <c r="AF3006">
        <f>'raw data Crude oil'!AF3007</f>
        <v>0</v>
      </c>
      <c r="AG3006">
        <f>'raw data Crude oil'!AG3007</f>
        <v>0</v>
      </c>
      <c r="AH3006">
        <f>'raw data Crude oil'!AH3007</f>
        <v>0</v>
      </c>
      <c r="AI3006">
        <f>'raw data Crude oil'!AI3007</f>
        <v>0</v>
      </c>
      <c r="AJ3006">
        <f>'raw data Crude oil'!AJ3007</f>
        <v>0</v>
      </c>
      <c r="AK3006">
        <f>'raw data Crude oil'!AK3007</f>
        <v>0</v>
      </c>
    </row>
    <row r="3007" spans="1:37" x14ac:dyDescent="0.3">
      <c r="A3007" s="18">
        <f>'raw data Crude oil'!A3008</f>
        <v>0</v>
      </c>
      <c r="B3007">
        <f>'raw data Crude oil'!B3008</f>
        <v>0</v>
      </c>
      <c r="C3007">
        <f>'raw data Crude oil'!C3008</f>
        <v>0</v>
      </c>
      <c r="D3007">
        <f>'raw data Crude oil'!D3008</f>
        <v>0</v>
      </c>
      <c r="E3007">
        <f>'raw data Crude oil'!E3008</f>
        <v>0</v>
      </c>
      <c r="F3007">
        <f>'raw data Crude oil'!F3008</f>
        <v>0</v>
      </c>
      <c r="G3007">
        <f>'raw data Crude oil'!G3008</f>
        <v>0</v>
      </c>
      <c r="H3007">
        <f>'raw data Crude oil'!H3008</f>
        <v>0</v>
      </c>
      <c r="I3007">
        <f>'raw data Crude oil'!I3008</f>
        <v>0</v>
      </c>
      <c r="J3007">
        <f>'raw data Crude oil'!J3008</f>
        <v>0</v>
      </c>
      <c r="K3007">
        <f>'raw data Crude oil'!K3008</f>
        <v>0</v>
      </c>
      <c r="L3007">
        <f>'raw data Crude oil'!L3008</f>
        <v>0</v>
      </c>
      <c r="M3007">
        <f>'raw data Crude oil'!M3008</f>
        <v>0</v>
      </c>
      <c r="N3007">
        <f>'raw data Crude oil'!N3008</f>
        <v>0</v>
      </c>
      <c r="O3007">
        <f>'raw data Crude oil'!O3008</f>
        <v>0</v>
      </c>
      <c r="P3007">
        <f>'raw data Crude oil'!P3008</f>
        <v>0</v>
      </c>
      <c r="Q3007">
        <f>'raw data Crude oil'!Q3008</f>
        <v>0</v>
      </c>
      <c r="R3007">
        <f>'raw data Crude oil'!R3008</f>
        <v>0</v>
      </c>
      <c r="S3007">
        <f>'raw data Crude oil'!S3008</f>
        <v>0</v>
      </c>
      <c r="T3007">
        <f>'raw data Crude oil'!T3008</f>
        <v>0</v>
      </c>
      <c r="U3007">
        <f>'raw data Crude oil'!U3008</f>
        <v>0</v>
      </c>
      <c r="V3007">
        <f>'raw data Crude oil'!V3008</f>
        <v>0</v>
      </c>
      <c r="W3007">
        <f>'raw data Crude oil'!W3008</f>
        <v>0</v>
      </c>
      <c r="X3007">
        <f>'raw data Crude oil'!X3008</f>
        <v>0</v>
      </c>
      <c r="Y3007">
        <f>'raw data Crude oil'!Y3008</f>
        <v>0</v>
      </c>
      <c r="Z3007">
        <f>'raw data Crude oil'!Z3008</f>
        <v>0</v>
      </c>
      <c r="AA3007">
        <f>'raw data Crude oil'!AA3008</f>
        <v>0</v>
      </c>
      <c r="AB3007">
        <f>'raw data Crude oil'!AB3008</f>
        <v>0</v>
      </c>
      <c r="AC3007">
        <f>'raw data Crude oil'!AC3008</f>
        <v>0</v>
      </c>
      <c r="AD3007">
        <f>'raw data Crude oil'!AD3008</f>
        <v>0</v>
      </c>
      <c r="AE3007">
        <f>'raw data Crude oil'!AE3008</f>
        <v>0</v>
      </c>
      <c r="AF3007">
        <f>'raw data Crude oil'!AF3008</f>
        <v>0</v>
      </c>
      <c r="AG3007">
        <f>'raw data Crude oil'!AG3008</f>
        <v>0</v>
      </c>
      <c r="AH3007">
        <f>'raw data Crude oil'!AH3008</f>
        <v>0</v>
      </c>
      <c r="AI3007">
        <f>'raw data Crude oil'!AI3008</f>
        <v>0</v>
      </c>
      <c r="AJ3007">
        <f>'raw data Crude oil'!AJ3008</f>
        <v>0</v>
      </c>
      <c r="AK3007">
        <f>'raw data Crude oil'!AK3008</f>
        <v>0</v>
      </c>
    </row>
    <row r="3008" spans="1:37" x14ac:dyDescent="0.3">
      <c r="A3008" s="18">
        <f>'raw data Crude oil'!A3009</f>
        <v>0</v>
      </c>
      <c r="B3008">
        <f>'raw data Crude oil'!B3009</f>
        <v>0</v>
      </c>
      <c r="C3008">
        <f>'raw data Crude oil'!C3009</f>
        <v>0</v>
      </c>
      <c r="D3008">
        <f>'raw data Crude oil'!D3009</f>
        <v>0</v>
      </c>
      <c r="E3008">
        <f>'raw data Crude oil'!E3009</f>
        <v>0</v>
      </c>
      <c r="F3008">
        <f>'raw data Crude oil'!F3009</f>
        <v>0</v>
      </c>
      <c r="G3008">
        <f>'raw data Crude oil'!G3009</f>
        <v>0</v>
      </c>
      <c r="H3008">
        <f>'raw data Crude oil'!H3009</f>
        <v>0</v>
      </c>
      <c r="I3008">
        <f>'raw data Crude oil'!I3009</f>
        <v>0</v>
      </c>
      <c r="J3008">
        <f>'raw data Crude oil'!J3009</f>
        <v>0</v>
      </c>
      <c r="K3008">
        <f>'raw data Crude oil'!K3009</f>
        <v>0</v>
      </c>
      <c r="L3008">
        <f>'raw data Crude oil'!L3009</f>
        <v>0</v>
      </c>
      <c r="M3008">
        <f>'raw data Crude oil'!M3009</f>
        <v>0</v>
      </c>
      <c r="N3008">
        <f>'raw data Crude oil'!N3009</f>
        <v>0</v>
      </c>
      <c r="O3008">
        <f>'raw data Crude oil'!O3009</f>
        <v>0</v>
      </c>
      <c r="P3008">
        <f>'raw data Crude oil'!P3009</f>
        <v>0</v>
      </c>
      <c r="Q3008">
        <f>'raw data Crude oil'!Q3009</f>
        <v>0</v>
      </c>
      <c r="R3008">
        <f>'raw data Crude oil'!R3009</f>
        <v>0</v>
      </c>
      <c r="S3008">
        <f>'raw data Crude oil'!S3009</f>
        <v>0</v>
      </c>
      <c r="T3008">
        <f>'raw data Crude oil'!T3009</f>
        <v>0</v>
      </c>
      <c r="U3008">
        <f>'raw data Crude oil'!U3009</f>
        <v>0</v>
      </c>
      <c r="V3008">
        <f>'raw data Crude oil'!V3009</f>
        <v>0</v>
      </c>
      <c r="W3008">
        <f>'raw data Crude oil'!W3009</f>
        <v>0</v>
      </c>
      <c r="X3008">
        <f>'raw data Crude oil'!X3009</f>
        <v>0</v>
      </c>
      <c r="Y3008">
        <f>'raw data Crude oil'!Y3009</f>
        <v>0</v>
      </c>
      <c r="Z3008">
        <f>'raw data Crude oil'!Z3009</f>
        <v>0</v>
      </c>
      <c r="AA3008">
        <f>'raw data Crude oil'!AA3009</f>
        <v>0</v>
      </c>
      <c r="AB3008">
        <f>'raw data Crude oil'!AB3009</f>
        <v>0</v>
      </c>
      <c r="AC3008">
        <f>'raw data Crude oil'!AC3009</f>
        <v>0</v>
      </c>
      <c r="AD3008">
        <f>'raw data Crude oil'!AD3009</f>
        <v>0</v>
      </c>
      <c r="AE3008">
        <f>'raw data Crude oil'!AE3009</f>
        <v>0</v>
      </c>
      <c r="AF3008">
        <f>'raw data Crude oil'!AF3009</f>
        <v>0</v>
      </c>
      <c r="AG3008">
        <f>'raw data Crude oil'!AG3009</f>
        <v>0</v>
      </c>
      <c r="AH3008">
        <f>'raw data Crude oil'!AH3009</f>
        <v>0</v>
      </c>
      <c r="AI3008">
        <f>'raw data Crude oil'!AI3009</f>
        <v>0</v>
      </c>
      <c r="AJ3008">
        <f>'raw data Crude oil'!AJ3009</f>
        <v>0</v>
      </c>
      <c r="AK3008">
        <f>'raw data Crude oil'!AK3009</f>
        <v>0</v>
      </c>
    </row>
    <row r="3009" spans="1:37" x14ac:dyDescent="0.3">
      <c r="A3009" s="18">
        <f>'raw data Crude oil'!A3010</f>
        <v>0</v>
      </c>
      <c r="B3009">
        <f>'raw data Crude oil'!B3010</f>
        <v>0</v>
      </c>
      <c r="C3009">
        <f>'raw data Crude oil'!C3010</f>
        <v>0</v>
      </c>
      <c r="D3009">
        <f>'raw data Crude oil'!D3010</f>
        <v>0</v>
      </c>
      <c r="E3009">
        <f>'raw data Crude oil'!E3010</f>
        <v>0</v>
      </c>
      <c r="F3009">
        <f>'raw data Crude oil'!F3010</f>
        <v>0</v>
      </c>
      <c r="G3009">
        <f>'raw data Crude oil'!G3010</f>
        <v>0</v>
      </c>
      <c r="H3009">
        <f>'raw data Crude oil'!H3010</f>
        <v>0</v>
      </c>
      <c r="I3009">
        <f>'raw data Crude oil'!I3010</f>
        <v>0</v>
      </c>
      <c r="J3009">
        <f>'raw data Crude oil'!J3010</f>
        <v>0</v>
      </c>
      <c r="K3009">
        <f>'raw data Crude oil'!K3010</f>
        <v>0</v>
      </c>
      <c r="L3009">
        <f>'raw data Crude oil'!L3010</f>
        <v>0</v>
      </c>
      <c r="M3009">
        <f>'raw data Crude oil'!M3010</f>
        <v>0</v>
      </c>
      <c r="N3009">
        <f>'raw data Crude oil'!N3010</f>
        <v>0</v>
      </c>
      <c r="O3009">
        <f>'raw data Crude oil'!O3010</f>
        <v>0</v>
      </c>
      <c r="P3009">
        <f>'raw data Crude oil'!P3010</f>
        <v>0</v>
      </c>
      <c r="Q3009">
        <f>'raw data Crude oil'!Q3010</f>
        <v>0</v>
      </c>
      <c r="R3009">
        <f>'raw data Crude oil'!R3010</f>
        <v>0</v>
      </c>
      <c r="S3009">
        <f>'raw data Crude oil'!S3010</f>
        <v>0</v>
      </c>
      <c r="T3009">
        <f>'raw data Crude oil'!T3010</f>
        <v>0</v>
      </c>
      <c r="U3009">
        <f>'raw data Crude oil'!U3010</f>
        <v>0</v>
      </c>
      <c r="V3009">
        <f>'raw data Crude oil'!V3010</f>
        <v>0</v>
      </c>
      <c r="W3009">
        <f>'raw data Crude oil'!W3010</f>
        <v>0</v>
      </c>
      <c r="X3009">
        <f>'raw data Crude oil'!X3010</f>
        <v>0</v>
      </c>
      <c r="Y3009">
        <f>'raw data Crude oil'!Y3010</f>
        <v>0</v>
      </c>
      <c r="Z3009">
        <f>'raw data Crude oil'!Z3010</f>
        <v>0</v>
      </c>
      <c r="AA3009">
        <f>'raw data Crude oil'!AA3010</f>
        <v>0</v>
      </c>
      <c r="AB3009">
        <f>'raw data Crude oil'!AB3010</f>
        <v>0</v>
      </c>
      <c r="AC3009">
        <f>'raw data Crude oil'!AC3010</f>
        <v>0</v>
      </c>
      <c r="AD3009">
        <f>'raw data Crude oil'!AD3010</f>
        <v>0</v>
      </c>
      <c r="AE3009">
        <f>'raw data Crude oil'!AE3010</f>
        <v>0</v>
      </c>
      <c r="AF3009">
        <f>'raw data Crude oil'!AF3010</f>
        <v>0</v>
      </c>
      <c r="AG3009">
        <f>'raw data Crude oil'!AG3010</f>
        <v>0</v>
      </c>
      <c r="AH3009">
        <f>'raw data Crude oil'!AH3010</f>
        <v>0</v>
      </c>
      <c r="AI3009">
        <f>'raw data Crude oil'!AI3010</f>
        <v>0</v>
      </c>
      <c r="AJ3009">
        <f>'raw data Crude oil'!AJ3010</f>
        <v>0</v>
      </c>
      <c r="AK3009">
        <f>'raw data Crude oil'!AK3010</f>
        <v>0</v>
      </c>
    </row>
    <row r="3010" spans="1:37" x14ac:dyDescent="0.3">
      <c r="A3010" s="18">
        <f>'raw data Crude oil'!A3011</f>
        <v>0</v>
      </c>
      <c r="B3010">
        <f>'raw data Crude oil'!B3011</f>
        <v>0</v>
      </c>
      <c r="C3010">
        <f>'raw data Crude oil'!C3011</f>
        <v>0</v>
      </c>
      <c r="D3010">
        <f>'raw data Crude oil'!D3011</f>
        <v>0</v>
      </c>
      <c r="E3010">
        <f>'raw data Crude oil'!E3011</f>
        <v>0</v>
      </c>
      <c r="F3010">
        <f>'raw data Crude oil'!F3011</f>
        <v>0</v>
      </c>
      <c r="G3010">
        <f>'raw data Crude oil'!G3011</f>
        <v>0</v>
      </c>
      <c r="H3010">
        <f>'raw data Crude oil'!H3011</f>
        <v>0</v>
      </c>
      <c r="I3010">
        <f>'raw data Crude oil'!I3011</f>
        <v>0</v>
      </c>
      <c r="J3010">
        <f>'raw data Crude oil'!J3011</f>
        <v>0</v>
      </c>
      <c r="K3010">
        <f>'raw data Crude oil'!K3011</f>
        <v>0</v>
      </c>
      <c r="L3010">
        <f>'raw data Crude oil'!L3011</f>
        <v>0</v>
      </c>
      <c r="M3010">
        <f>'raw data Crude oil'!M3011</f>
        <v>0</v>
      </c>
      <c r="N3010">
        <f>'raw data Crude oil'!N3011</f>
        <v>0</v>
      </c>
      <c r="O3010">
        <f>'raw data Crude oil'!O3011</f>
        <v>0</v>
      </c>
      <c r="P3010">
        <f>'raw data Crude oil'!P3011</f>
        <v>0</v>
      </c>
      <c r="Q3010">
        <f>'raw data Crude oil'!Q3011</f>
        <v>0</v>
      </c>
      <c r="R3010">
        <f>'raw data Crude oil'!R3011</f>
        <v>0</v>
      </c>
      <c r="S3010">
        <f>'raw data Crude oil'!S3011</f>
        <v>0</v>
      </c>
      <c r="T3010">
        <f>'raw data Crude oil'!T3011</f>
        <v>0</v>
      </c>
      <c r="U3010">
        <f>'raw data Crude oil'!U3011</f>
        <v>0</v>
      </c>
      <c r="V3010">
        <f>'raw data Crude oil'!V3011</f>
        <v>0</v>
      </c>
      <c r="W3010">
        <f>'raw data Crude oil'!W3011</f>
        <v>0</v>
      </c>
      <c r="X3010">
        <f>'raw data Crude oil'!X3011</f>
        <v>0</v>
      </c>
      <c r="Y3010">
        <f>'raw data Crude oil'!Y3011</f>
        <v>0</v>
      </c>
      <c r="Z3010">
        <f>'raw data Crude oil'!Z3011</f>
        <v>0</v>
      </c>
      <c r="AA3010">
        <f>'raw data Crude oil'!AA3011</f>
        <v>0</v>
      </c>
      <c r="AB3010">
        <f>'raw data Crude oil'!AB3011</f>
        <v>0</v>
      </c>
      <c r="AC3010">
        <f>'raw data Crude oil'!AC3011</f>
        <v>0</v>
      </c>
      <c r="AD3010">
        <f>'raw data Crude oil'!AD3011</f>
        <v>0</v>
      </c>
      <c r="AE3010">
        <f>'raw data Crude oil'!AE3011</f>
        <v>0</v>
      </c>
      <c r="AF3010">
        <f>'raw data Crude oil'!AF3011</f>
        <v>0</v>
      </c>
      <c r="AG3010">
        <f>'raw data Crude oil'!AG3011</f>
        <v>0</v>
      </c>
      <c r="AH3010">
        <f>'raw data Crude oil'!AH3011</f>
        <v>0</v>
      </c>
      <c r="AI3010">
        <f>'raw data Crude oil'!AI3011</f>
        <v>0</v>
      </c>
      <c r="AJ3010">
        <f>'raw data Crude oil'!AJ3011</f>
        <v>0</v>
      </c>
      <c r="AK3010">
        <f>'raw data Crude oil'!AK3011</f>
        <v>0</v>
      </c>
    </row>
    <row r="3011" spans="1:37" x14ac:dyDescent="0.3">
      <c r="A3011" s="18">
        <f>'raw data Crude oil'!A3012</f>
        <v>0</v>
      </c>
      <c r="B3011">
        <f>'raw data Crude oil'!B3012</f>
        <v>0</v>
      </c>
      <c r="C3011">
        <f>'raw data Crude oil'!C3012</f>
        <v>0</v>
      </c>
      <c r="D3011">
        <f>'raw data Crude oil'!D3012</f>
        <v>0</v>
      </c>
      <c r="E3011">
        <f>'raw data Crude oil'!E3012</f>
        <v>0</v>
      </c>
      <c r="F3011">
        <f>'raw data Crude oil'!F3012</f>
        <v>0</v>
      </c>
      <c r="G3011">
        <f>'raw data Crude oil'!G3012</f>
        <v>0</v>
      </c>
      <c r="H3011">
        <f>'raw data Crude oil'!H3012</f>
        <v>0</v>
      </c>
      <c r="I3011">
        <f>'raw data Crude oil'!I3012</f>
        <v>0</v>
      </c>
      <c r="J3011">
        <f>'raw data Crude oil'!J3012</f>
        <v>0</v>
      </c>
      <c r="K3011">
        <f>'raw data Crude oil'!K3012</f>
        <v>0</v>
      </c>
      <c r="L3011">
        <f>'raw data Crude oil'!L3012</f>
        <v>0</v>
      </c>
      <c r="M3011">
        <f>'raw data Crude oil'!M3012</f>
        <v>0</v>
      </c>
      <c r="N3011">
        <f>'raw data Crude oil'!N3012</f>
        <v>0</v>
      </c>
      <c r="O3011">
        <f>'raw data Crude oil'!O3012</f>
        <v>0</v>
      </c>
      <c r="P3011">
        <f>'raw data Crude oil'!P3012</f>
        <v>0</v>
      </c>
      <c r="Q3011">
        <f>'raw data Crude oil'!Q3012</f>
        <v>0</v>
      </c>
      <c r="R3011">
        <f>'raw data Crude oil'!R3012</f>
        <v>0</v>
      </c>
      <c r="S3011">
        <f>'raw data Crude oil'!S3012</f>
        <v>0</v>
      </c>
      <c r="T3011">
        <f>'raw data Crude oil'!T3012</f>
        <v>0</v>
      </c>
      <c r="U3011">
        <f>'raw data Crude oil'!U3012</f>
        <v>0</v>
      </c>
      <c r="V3011">
        <f>'raw data Crude oil'!V3012</f>
        <v>0</v>
      </c>
      <c r="W3011">
        <f>'raw data Crude oil'!W3012</f>
        <v>0</v>
      </c>
      <c r="X3011">
        <f>'raw data Crude oil'!X3012</f>
        <v>0</v>
      </c>
      <c r="Y3011">
        <f>'raw data Crude oil'!Y3012</f>
        <v>0</v>
      </c>
      <c r="Z3011">
        <f>'raw data Crude oil'!Z3012</f>
        <v>0</v>
      </c>
      <c r="AA3011">
        <f>'raw data Crude oil'!AA3012</f>
        <v>0</v>
      </c>
      <c r="AB3011">
        <f>'raw data Crude oil'!AB3012</f>
        <v>0</v>
      </c>
      <c r="AC3011">
        <f>'raw data Crude oil'!AC3012</f>
        <v>0</v>
      </c>
      <c r="AD3011">
        <f>'raw data Crude oil'!AD3012</f>
        <v>0</v>
      </c>
      <c r="AE3011">
        <f>'raw data Crude oil'!AE3012</f>
        <v>0</v>
      </c>
      <c r="AF3011">
        <f>'raw data Crude oil'!AF3012</f>
        <v>0</v>
      </c>
      <c r="AG3011">
        <f>'raw data Crude oil'!AG3012</f>
        <v>0</v>
      </c>
      <c r="AH3011">
        <f>'raw data Crude oil'!AH3012</f>
        <v>0</v>
      </c>
      <c r="AI3011">
        <f>'raw data Crude oil'!AI3012</f>
        <v>0</v>
      </c>
      <c r="AJ3011">
        <f>'raw data Crude oil'!AJ3012</f>
        <v>0</v>
      </c>
      <c r="AK3011">
        <f>'raw data Crude oil'!AK3012</f>
        <v>0</v>
      </c>
    </row>
    <row r="3012" spans="1:37" x14ac:dyDescent="0.3">
      <c r="A3012" s="18">
        <f>'raw data Crude oil'!A3013</f>
        <v>0</v>
      </c>
      <c r="B3012">
        <f>'raw data Crude oil'!B3013</f>
        <v>0</v>
      </c>
      <c r="C3012">
        <f>'raw data Crude oil'!C3013</f>
        <v>0</v>
      </c>
      <c r="D3012">
        <f>'raw data Crude oil'!D3013</f>
        <v>0</v>
      </c>
      <c r="E3012">
        <f>'raw data Crude oil'!E3013</f>
        <v>0</v>
      </c>
      <c r="F3012">
        <f>'raw data Crude oil'!F3013</f>
        <v>0</v>
      </c>
      <c r="G3012">
        <f>'raw data Crude oil'!G3013</f>
        <v>0</v>
      </c>
      <c r="H3012">
        <f>'raw data Crude oil'!H3013</f>
        <v>0</v>
      </c>
      <c r="I3012">
        <f>'raw data Crude oil'!I3013</f>
        <v>0</v>
      </c>
      <c r="J3012">
        <f>'raw data Crude oil'!J3013</f>
        <v>0</v>
      </c>
      <c r="K3012">
        <f>'raw data Crude oil'!K3013</f>
        <v>0</v>
      </c>
      <c r="L3012">
        <f>'raw data Crude oil'!L3013</f>
        <v>0</v>
      </c>
      <c r="M3012">
        <f>'raw data Crude oil'!M3013</f>
        <v>0</v>
      </c>
      <c r="N3012">
        <f>'raw data Crude oil'!N3013</f>
        <v>0</v>
      </c>
      <c r="O3012">
        <f>'raw data Crude oil'!O3013</f>
        <v>0</v>
      </c>
      <c r="P3012">
        <f>'raw data Crude oil'!P3013</f>
        <v>0</v>
      </c>
      <c r="Q3012">
        <f>'raw data Crude oil'!Q3013</f>
        <v>0</v>
      </c>
      <c r="R3012">
        <f>'raw data Crude oil'!R3013</f>
        <v>0</v>
      </c>
      <c r="S3012">
        <f>'raw data Crude oil'!S3013</f>
        <v>0</v>
      </c>
      <c r="T3012">
        <f>'raw data Crude oil'!T3013</f>
        <v>0</v>
      </c>
      <c r="U3012">
        <f>'raw data Crude oil'!U3013</f>
        <v>0</v>
      </c>
      <c r="V3012">
        <f>'raw data Crude oil'!V3013</f>
        <v>0</v>
      </c>
      <c r="W3012">
        <f>'raw data Crude oil'!W3013</f>
        <v>0</v>
      </c>
      <c r="X3012">
        <f>'raw data Crude oil'!X3013</f>
        <v>0</v>
      </c>
      <c r="Y3012">
        <f>'raw data Crude oil'!Y3013</f>
        <v>0</v>
      </c>
      <c r="Z3012">
        <f>'raw data Crude oil'!Z3013</f>
        <v>0</v>
      </c>
      <c r="AA3012">
        <f>'raw data Crude oil'!AA3013</f>
        <v>0</v>
      </c>
      <c r="AB3012">
        <f>'raw data Crude oil'!AB3013</f>
        <v>0</v>
      </c>
      <c r="AC3012">
        <f>'raw data Crude oil'!AC3013</f>
        <v>0</v>
      </c>
      <c r="AD3012">
        <f>'raw data Crude oil'!AD3013</f>
        <v>0</v>
      </c>
      <c r="AE3012">
        <f>'raw data Crude oil'!AE3013</f>
        <v>0</v>
      </c>
      <c r="AF3012">
        <f>'raw data Crude oil'!AF3013</f>
        <v>0</v>
      </c>
      <c r="AG3012">
        <f>'raw data Crude oil'!AG3013</f>
        <v>0</v>
      </c>
      <c r="AH3012">
        <f>'raw data Crude oil'!AH3013</f>
        <v>0</v>
      </c>
      <c r="AI3012">
        <f>'raw data Crude oil'!AI3013</f>
        <v>0</v>
      </c>
      <c r="AJ3012">
        <f>'raw data Crude oil'!AJ3013</f>
        <v>0</v>
      </c>
      <c r="AK3012">
        <f>'raw data Crude oil'!AK3013</f>
        <v>0</v>
      </c>
    </row>
    <row r="3013" spans="1:37" x14ac:dyDescent="0.3">
      <c r="A3013" s="18">
        <f>'raw data Crude oil'!A3014</f>
        <v>0</v>
      </c>
      <c r="B3013">
        <f>'raw data Crude oil'!B3014</f>
        <v>0</v>
      </c>
      <c r="C3013">
        <f>'raw data Crude oil'!C3014</f>
        <v>0</v>
      </c>
      <c r="D3013">
        <f>'raw data Crude oil'!D3014</f>
        <v>0</v>
      </c>
      <c r="E3013">
        <f>'raw data Crude oil'!E3014</f>
        <v>0</v>
      </c>
      <c r="F3013">
        <f>'raw data Crude oil'!F3014</f>
        <v>0</v>
      </c>
      <c r="G3013">
        <f>'raw data Crude oil'!G3014</f>
        <v>0</v>
      </c>
      <c r="H3013">
        <f>'raw data Crude oil'!H3014</f>
        <v>0</v>
      </c>
      <c r="I3013">
        <f>'raw data Crude oil'!I3014</f>
        <v>0</v>
      </c>
      <c r="J3013">
        <f>'raw data Crude oil'!J3014</f>
        <v>0</v>
      </c>
      <c r="K3013">
        <f>'raw data Crude oil'!K3014</f>
        <v>0</v>
      </c>
      <c r="L3013">
        <f>'raw data Crude oil'!L3014</f>
        <v>0</v>
      </c>
      <c r="M3013">
        <f>'raw data Crude oil'!M3014</f>
        <v>0</v>
      </c>
      <c r="N3013">
        <f>'raw data Crude oil'!N3014</f>
        <v>0</v>
      </c>
      <c r="O3013">
        <f>'raw data Crude oil'!O3014</f>
        <v>0</v>
      </c>
      <c r="P3013">
        <f>'raw data Crude oil'!P3014</f>
        <v>0</v>
      </c>
      <c r="Q3013">
        <f>'raw data Crude oil'!Q3014</f>
        <v>0</v>
      </c>
      <c r="R3013">
        <f>'raw data Crude oil'!R3014</f>
        <v>0</v>
      </c>
      <c r="S3013">
        <f>'raw data Crude oil'!S3014</f>
        <v>0</v>
      </c>
      <c r="T3013">
        <f>'raw data Crude oil'!T3014</f>
        <v>0</v>
      </c>
      <c r="U3013">
        <f>'raw data Crude oil'!U3014</f>
        <v>0</v>
      </c>
      <c r="V3013">
        <f>'raw data Crude oil'!V3014</f>
        <v>0</v>
      </c>
      <c r="W3013">
        <f>'raw data Crude oil'!W3014</f>
        <v>0</v>
      </c>
      <c r="X3013">
        <f>'raw data Crude oil'!X3014</f>
        <v>0</v>
      </c>
      <c r="Y3013">
        <f>'raw data Crude oil'!Y3014</f>
        <v>0</v>
      </c>
      <c r="Z3013">
        <f>'raw data Crude oil'!Z3014</f>
        <v>0</v>
      </c>
      <c r="AA3013">
        <f>'raw data Crude oil'!AA3014</f>
        <v>0</v>
      </c>
      <c r="AB3013">
        <f>'raw data Crude oil'!AB3014</f>
        <v>0</v>
      </c>
      <c r="AC3013">
        <f>'raw data Crude oil'!AC3014</f>
        <v>0</v>
      </c>
      <c r="AD3013">
        <f>'raw data Crude oil'!AD3014</f>
        <v>0</v>
      </c>
      <c r="AE3013">
        <f>'raw data Crude oil'!AE3014</f>
        <v>0</v>
      </c>
      <c r="AF3013">
        <f>'raw data Crude oil'!AF3014</f>
        <v>0</v>
      </c>
      <c r="AG3013">
        <f>'raw data Crude oil'!AG3014</f>
        <v>0</v>
      </c>
      <c r="AH3013">
        <f>'raw data Crude oil'!AH3014</f>
        <v>0</v>
      </c>
      <c r="AI3013">
        <f>'raw data Crude oil'!AI3014</f>
        <v>0</v>
      </c>
      <c r="AJ3013">
        <f>'raw data Crude oil'!AJ3014</f>
        <v>0</v>
      </c>
      <c r="AK3013">
        <f>'raw data Crude oil'!AK3014</f>
        <v>0</v>
      </c>
    </row>
    <row r="3014" spans="1:37" x14ac:dyDescent="0.3">
      <c r="A3014" s="18">
        <f>'raw data Crude oil'!A3015</f>
        <v>0</v>
      </c>
      <c r="B3014">
        <f>'raw data Crude oil'!B3015</f>
        <v>0</v>
      </c>
      <c r="C3014">
        <f>'raw data Crude oil'!C3015</f>
        <v>0</v>
      </c>
      <c r="D3014">
        <f>'raw data Crude oil'!D3015</f>
        <v>0</v>
      </c>
      <c r="E3014">
        <f>'raw data Crude oil'!E3015</f>
        <v>0</v>
      </c>
      <c r="F3014">
        <f>'raw data Crude oil'!F3015</f>
        <v>0</v>
      </c>
      <c r="G3014">
        <f>'raw data Crude oil'!G3015</f>
        <v>0</v>
      </c>
      <c r="H3014">
        <f>'raw data Crude oil'!H3015</f>
        <v>0</v>
      </c>
      <c r="I3014">
        <f>'raw data Crude oil'!I3015</f>
        <v>0</v>
      </c>
      <c r="J3014">
        <f>'raw data Crude oil'!J3015</f>
        <v>0</v>
      </c>
      <c r="K3014">
        <f>'raw data Crude oil'!K3015</f>
        <v>0</v>
      </c>
      <c r="L3014">
        <f>'raw data Crude oil'!L3015</f>
        <v>0</v>
      </c>
      <c r="M3014">
        <f>'raw data Crude oil'!M3015</f>
        <v>0</v>
      </c>
      <c r="N3014">
        <f>'raw data Crude oil'!N3015</f>
        <v>0</v>
      </c>
      <c r="O3014">
        <f>'raw data Crude oil'!O3015</f>
        <v>0</v>
      </c>
      <c r="P3014">
        <f>'raw data Crude oil'!P3015</f>
        <v>0</v>
      </c>
      <c r="Q3014">
        <f>'raw data Crude oil'!Q3015</f>
        <v>0</v>
      </c>
      <c r="R3014">
        <f>'raw data Crude oil'!R3015</f>
        <v>0</v>
      </c>
      <c r="S3014">
        <f>'raw data Crude oil'!S3015</f>
        <v>0</v>
      </c>
      <c r="T3014">
        <f>'raw data Crude oil'!T3015</f>
        <v>0</v>
      </c>
      <c r="U3014">
        <f>'raw data Crude oil'!U3015</f>
        <v>0</v>
      </c>
      <c r="V3014">
        <f>'raw data Crude oil'!V3015</f>
        <v>0</v>
      </c>
      <c r="W3014">
        <f>'raw data Crude oil'!W3015</f>
        <v>0</v>
      </c>
      <c r="X3014">
        <f>'raw data Crude oil'!X3015</f>
        <v>0</v>
      </c>
      <c r="Y3014">
        <f>'raw data Crude oil'!Y3015</f>
        <v>0</v>
      </c>
      <c r="Z3014">
        <f>'raw data Crude oil'!Z3015</f>
        <v>0</v>
      </c>
      <c r="AA3014">
        <f>'raw data Crude oil'!AA3015</f>
        <v>0</v>
      </c>
      <c r="AB3014">
        <f>'raw data Crude oil'!AB3015</f>
        <v>0</v>
      </c>
      <c r="AC3014">
        <f>'raw data Crude oil'!AC3015</f>
        <v>0</v>
      </c>
      <c r="AD3014">
        <f>'raw data Crude oil'!AD3015</f>
        <v>0</v>
      </c>
      <c r="AE3014">
        <f>'raw data Crude oil'!AE3015</f>
        <v>0</v>
      </c>
      <c r="AF3014">
        <f>'raw data Crude oil'!AF3015</f>
        <v>0</v>
      </c>
      <c r="AG3014">
        <f>'raw data Crude oil'!AG3015</f>
        <v>0</v>
      </c>
      <c r="AH3014">
        <f>'raw data Crude oil'!AH3015</f>
        <v>0</v>
      </c>
      <c r="AI3014">
        <f>'raw data Crude oil'!AI3015</f>
        <v>0</v>
      </c>
      <c r="AJ3014">
        <f>'raw data Crude oil'!AJ3015</f>
        <v>0</v>
      </c>
      <c r="AK3014">
        <f>'raw data Crude oil'!AK3015</f>
        <v>0</v>
      </c>
    </row>
    <row r="3015" spans="1:37" x14ac:dyDescent="0.3">
      <c r="A3015" s="18">
        <f>'raw data Crude oil'!A3016</f>
        <v>0</v>
      </c>
      <c r="B3015">
        <f>'raw data Crude oil'!B3016</f>
        <v>0</v>
      </c>
      <c r="C3015">
        <f>'raw data Crude oil'!C3016</f>
        <v>0</v>
      </c>
      <c r="D3015">
        <f>'raw data Crude oil'!D3016</f>
        <v>0</v>
      </c>
      <c r="E3015">
        <f>'raw data Crude oil'!E3016</f>
        <v>0</v>
      </c>
      <c r="F3015">
        <f>'raw data Crude oil'!F3016</f>
        <v>0</v>
      </c>
      <c r="G3015">
        <f>'raw data Crude oil'!G3016</f>
        <v>0</v>
      </c>
      <c r="H3015">
        <f>'raw data Crude oil'!H3016</f>
        <v>0</v>
      </c>
      <c r="I3015">
        <f>'raw data Crude oil'!I3016</f>
        <v>0</v>
      </c>
      <c r="J3015">
        <f>'raw data Crude oil'!J3016</f>
        <v>0</v>
      </c>
      <c r="K3015">
        <f>'raw data Crude oil'!K3016</f>
        <v>0</v>
      </c>
      <c r="L3015">
        <f>'raw data Crude oil'!L3016</f>
        <v>0</v>
      </c>
      <c r="M3015">
        <f>'raw data Crude oil'!M3016</f>
        <v>0</v>
      </c>
      <c r="N3015">
        <f>'raw data Crude oil'!N3016</f>
        <v>0</v>
      </c>
      <c r="O3015">
        <f>'raw data Crude oil'!O3016</f>
        <v>0</v>
      </c>
      <c r="P3015">
        <f>'raw data Crude oil'!P3016</f>
        <v>0</v>
      </c>
      <c r="Q3015">
        <f>'raw data Crude oil'!Q3016</f>
        <v>0</v>
      </c>
      <c r="R3015">
        <f>'raw data Crude oil'!R3016</f>
        <v>0</v>
      </c>
      <c r="S3015">
        <f>'raw data Crude oil'!S3016</f>
        <v>0</v>
      </c>
      <c r="T3015">
        <f>'raw data Crude oil'!T3016</f>
        <v>0</v>
      </c>
      <c r="U3015">
        <f>'raw data Crude oil'!U3016</f>
        <v>0</v>
      </c>
      <c r="V3015">
        <f>'raw data Crude oil'!V3016</f>
        <v>0</v>
      </c>
      <c r="W3015">
        <f>'raw data Crude oil'!W3016</f>
        <v>0</v>
      </c>
      <c r="X3015">
        <f>'raw data Crude oil'!X3016</f>
        <v>0</v>
      </c>
      <c r="Y3015">
        <f>'raw data Crude oil'!Y3016</f>
        <v>0</v>
      </c>
      <c r="Z3015">
        <f>'raw data Crude oil'!Z3016</f>
        <v>0</v>
      </c>
      <c r="AA3015">
        <f>'raw data Crude oil'!AA3016</f>
        <v>0</v>
      </c>
      <c r="AB3015">
        <f>'raw data Crude oil'!AB3016</f>
        <v>0</v>
      </c>
      <c r="AC3015">
        <f>'raw data Crude oil'!AC3016</f>
        <v>0</v>
      </c>
      <c r="AD3015">
        <f>'raw data Crude oil'!AD3016</f>
        <v>0</v>
      </c>
      <c r="AE3015">
        <f>'raw data Crude oil'!AE3016</f>
        <v>0</v>
      </c>
      <c r="AF3015">
        <f>'raw data Crude oil'!AF3016</f>
        <v>0</v>
      </c>
      <c r="AG3015">
        <f>'raw data Crude oil'!AG3016</f>
        <v>0</v>
      </c>
      <c r="AH3015">
        <f>'raw data Crude oil'!AH3016</f>
        <v>0</v>
      </c>
      <c r="AI3015">
        <f>'raw data Crude oil'!AI3016</f>
        <v>0</v>
      </c>
      <c r="AJ3015">
        <f>'raw data Crude oil'!AJ3016</f>
        <v>0</v>
      </c>
      <c r="AK3015">
        <f>'raw data Crude oil'!AK3016</f>
        <v>0</v>
      </c>
    </row>
    <row r="3016" spans="1:37" x14ac:dyDescent="0.3">
      <c r="A3016" s="18">
        <f>'raw data Crude oil'!A3017</f>
        <v>0</v>
      </c>
      <c r="B3016">
        <f>'raw data Crude oil'!B3017</f>
        <v>0</v>
      </c>
      <c r="C3016">
        <f>'raw data Crude oil'!C3017</f>
        <v>0</v>
      </c>
      <c r="D3016">
        <f>'raw data Crude oil'!D3017</f>
        <v>0</v>
      </c>
      <c r="E3016">
        <f>'raw data Crude oil'!E3017</f>
        <v>0</v>
      </c>
      <c r="F3016">
        <f>'raw data Crude oil'!F3017</f>
        <v>0</v>
      </c>
      <c r="G3016">
        <f>'raw data Crude oil'!G3017</f>
        <v>0</v>
      </c>
      <c r="H3016">
        <f>'raw data Crude oil'!H3017</f>
        <v>0</v>
      </c>
      <c r="I3016">
        <f>'raw data Crude oil'!I3017</f>
        <v>0</v>
      </c>
      <c r="J3016">
        <f>'raw data Crude oil'!J3017</f>
        <v>0</v>
      </c>
      <c r="K3016">
        <f>'raw data Crude oil'!K3017</f>
        <v>0</v>
      </c>
      <c r="L3016">
        <f>'raw data Crude oil'!L3017</f>
        <v>0</v>
      </c>
      <c r="M3016">
        <f>'raw data Crude oil'!M3017</f>
        <v>0</v>
      </c>
      <c r="N3016">
        <f>'raw data Crude oil'!N3017</f>
        <v>0</v>
      </c>
      <c r="O3016">
        <f>'raw data Crude oil'!O3017</f>
        <v>0</v>
      </c>
      <c r="P3016">
        <f>'raw data Crude oil'!P3017</f>
        <v>0</v>
      </c>
      <c r="Q3016">
        <f>'raw data Crude oil'!Q3017</f>
        <v>0</v>
      </c>
      <c r="R3016">
        <f>'raw data Crude oil'!R3017</f>
        <v>0</v>
      </c>
      <c r="S3016">
        <f>'raw data Crude oil'!S3017</f>
        <v>0</v>
      </c>
      <c r="T3016">
        <f>'raw data Crude oil'!T3017</f>
        <v>0</v>
      </c>
      <c r="U3016">
        <f>'raw data Crude oil'!U3017</f>
        <v>0</v>
      </c>
      <c r="V3016">
        <f>'raw data Crude oil'!V3017</f>
        <v>0</v>
      </c>
      <c r="W3016">
        <f>'raw data Crude oil'!W3017</f>
        <v>0</v>
      </c>
      <c r="X3016">
        <f>'raw data Crude oil'!X3017</f>
        <v>0</v>
      </c>
      <c r="Y3016">
        <f>'raw data Crude oil'!Y3017</f>
        <v>0</v>
      </c>
      <c r="Z3016">
        <f>'raw data Crude oil'!Z3017</f>
        <v>0</v>
      </c>
      <c r="AA3016">
        <f>'raw data Crude oil'!AA3017</f>
        <v>0</v>
      </c>
      <c r="AB3016">
        <f>'raw data Crude oil'!AB3017</f>
        <v>0</v>
      </c>
      <c r="AC3016">
        <f>'raw data Crude oil'!AC3017</f>
        <v>0</v>
      </c>
      <c r="AD3016">
        <f>'raw data Crude oil'!AD3017</f>
        <v>0</v>
      </c>
      <c r="AE3016">
        <f>'raw data Crude oil'!AE3017</f>
        <v>0</v>
      </c>
      <c r="AF3016">
        <f>'raw data Crude oil'!AF3017</f>
        <v>0</v>
      </c>
      <c r="AG3016">
        <f>'raw data Crude oil'!AG3017</f>
        <v>0</v>
      </c>
      <c r="AH3016">
        <f>'raw data Crude oil'!AH3017</f>
        <v>0</v>
      </c>
      <c r="AI3016">
        <f>'raw data Crude oil'!AI3017</f>
        <v>0</v>
      </c>
      <c r="AJ3016">
        <f>'raw data Crude oil'!AJ3017</f>
        <v>0</v>
      </c>
      <c r="AK3016">
        <f>'raw data Crude oil'!AK3017</f>
        <v>0</v>
      </c>
    </row>
    <row r="3017" spans="1:37" x14ac:dyDescent="0.3">
      <c r="A3017" s="18">
        <f>'raw data Crude oil'!A3018</f>
        <v>0</v>
      </c>
      <c r="B3017">
        <f>'raw data Crude oil'!B3018</f>
        <v>0</v>
      </c>
      <c r="C3017">
        <f>'raw data Crude oil'!C3018</f>
        <v>0</v>
      </c>
      <c r="D3017">
        <f>'raw data Crude oil'!D3018</f>
        <v>0</v>
      </c>
      <c r="E3017">
        <f>'raw data Crude oil'!E3018</f>
        <v>0</v>
      </c>
      <c r="F3017">
        <f>'raw data Crude oil'!F3018</f>
        <v>0</v>
      </c>
      <c r="G3017">
        <f>'raw data Crude oil'!G3018</f>
        <v>0</v>
      </c>
      <c r="H3017">
        <f>'raw data Crude oil'!H3018</f>
        <v>0</v>
      </c>
      <c r="I3017">
        <f>'raw data Crude oil'!I3018</f>
        <v>0</v>
      </c>
      <c r="J3017">
        <f>'raw data Crude oil'!J3018</f>
        <v>0</v>
      </c>
      <c r="K3017">
        <f>'raw data Crude oil'!K3018</f>
        <v>0</v>
      </c>
      <c r="L3017">
        <f>'raw data Crude oil'!L3018</f>
        <v>0</v>
      </c>
      <c r="M3017">
        <f>'raw data Crude oil'!M3018</f>
        <v>0</v>
      </c>
      <c r="N3017">
        <f>'raw data Crude oil'!N3018</f>
        <v>0</v>
      </c>
      <c r="O3017">
        <f>'raw data Crude oil'!O3018</f>
        <v>0</v>
      </c>
      <c r="P3017">
        <f>'raw data Crude oil'!P3018</f>
        <v>0</v>
      </c>
      <c r="Q3017">
        <f>'raw data Crude oil'!Q3018</f>
        <v>0</v>
      </c>
      <c r="R3017">
        <f>'raw data Crude oil'!R3018</f>
        <v>0</v>
      </c>
      <c r="S3017">
        <f>'raw data Crude oil'!S3018</f>
        <v>0</v>
      </c>
      <c r="T3017">
        <f>'raw data Crude oil'!T3018</f>
        <v>0</v>
      </c>
      <c r="U3017">
        <f>'raw data Crude oil'!U3018</f>
        <v>0</v>
      </c>
      <c r="V3017">
        <f>'raw data Crude oil'!V3018</f>
        <v>0</v>
      </c>
      <c r="W3017">
        <f>'raw data Crude oil'!W3018</f>
        <v>0</v>
      </c>
      <c r="X3017">
        <f>'raw data Crude oil'!X3018</f>
        <v>0</v>
      </c>
      <c r="Y3017">
        <f>'raw data Crude oil'!Y3018</f>
        <v>0</v>
      </c>
      <c r="Z3017">
        <f>'raw data Crude oil'!Z3018</f>
        <v>0</v>
      </c>
      <c r="AA3017">
        <f>'raw data Crude oil'!AA3018</f>
        <v>0</v>
      </c>
      <c r="AB3017">
        <f>'raw data Crude oil'!AB3018</f>
        <v>0</v>
      </c>
      <c r="AC3017">
        <f>'raw data Crude oil'!AC3018</f>
        <v>0</v>
      </c>
      <c r="AD3017">
        <f>'raw data Crude oil'!AD3018</f>
        <v>0</v>
      </c>
      <c r="AE3017">
        <f>'raw data Crude oil'!AE3018</f>
        <v>0</v>
      </c>
      <c r="AF3017">
        <f>'raw data Crude oil'!AF3018</f>
        <v>0</v>
      </c>
      <c r="AG3017">
        <f>'raw data Crude oil'!AG3018</f>
        <v>0</v>
      </c>
      <c r="AH3017">
        <f>'raw data Crude oil'!AH3018</f>
        <v>0</v>
      </c>
      <c r="AI3017">
        <f>'raw data Crude oil'!AI3018</f>
        <v>0</v>
      </c>
      <c r="AJ3017">
        <f>'raw data Crude oil'!AJ3018</f>
        <v>0</v>
      </c>
      <c r="AK3017">
        <f>'raw data Crude oil'!AK3018</f>
        <v>0</v>
      </c>
    </row>
    <row r="3018" spans="1:37" x14ac:dyDescent="0.3">
      <c r="A3018" s="18">
        <f>'raw data Crude oil'!A3019</f>
        <v>0</v>
      </c>
      <c r="B3018">
        <f>'raw data Crude oil'!B3019</f>
        <v>0</v>
      </c>
      <c r="C3018">
        <f>'raw data Crude oil'!C3019</f>
        <v>0</v>
      </c>
      <c r="D3018">
        <f>'raw data Crude oil'!D3019</f>
        <v>0</v>
      </c>
      <c r="E3018">
        <f>'raw data Crude oil'!E3019</f>
        <v>0</v>
      </c>
      <c r="F3018">
        <f>'raw data Crude oil'!F3019</f>
        <v>0</v>
      </c>
      <c r="G3018">
        <f>'raw data Crude oil'!G3019</f>
        <v>0</v>
      </c>
      <c r="H3018">
        <f>'raw data Crude oil'!H3019</f>
        <v>0</v>
      </c>
      <c r="I3018">
        <f>'raw data Crude oil'!I3019</f>
        <v>0</v>
      </c>
      <c r="J3018">
        <f>'raw data Crude oil'!J3019</f>
        <v>0</v>
      </c>
      <c r="K3018">
        <f>'raw data Crude oil'!K3019</f>
        <v>0</v>
      </c>
      <c r="L3018">
        <f>'raw data Crude oil'!L3019</f>
        <v>0</v>
      </c>
      <c r="M3018">
        <f>'raw data Crude oil'!M3019</f>
        <v>0</v>
      </c>
      <c r="N3018">
        <f>'raw data Crude oil'!N3019</f>
        <v>0</v>
      </c>
      <c r="O3018">
        <f>'raw data Crude oil'!O3019</f>
        <v>0</v>
      </c>
      <c r="P3018">
        <f>'raw data Crude oil'!P3019</f>
        <v>0</v>
      </c>
      <c r="Q3018">
        <f>'raw data Crude oil'!Q3019</f>
        <v>0</v>
      </c>
      <c r="R3018">
        <f>'raw data Crude oil'!R3019</f>
        <v>0</v>
      </c>
      <c r="S3018">
        <f>'raw data Crude oil'!S3019</f>
        <v>0</v>
      </c>
      <c r="T3018">
        <f>'raw data Crude oil'!T3019</f>
        <v>0</v>
      </c>
      <c r="U3018">
        <f>'raw data Crude oil'!U3019</f>
        <v>0</v>
      </c>
      <c r="V3018">
        <f>'raw data Crude oil'!V3019</f>
        <v>0</v>
      </c>
      <c r="W3018">
        <f>'raw data Crude oil'!W3019</f>
        <v>0</v>
      </c>
      <c r="X3018">
        <f>'raw data Crude oil'!X3019</f>
        <v>0</v>
      </c>
      <c r="Y3018">
        <f>'raw data Crude oil'!Y3019</f>
        <v>0</v>
      </c>
      <c r="Z3018">
        <f>'raw data Crude oil'!Z3019</f>
        <v>0</v>
      </c>
      <c r="AA3018">
        <f>'raw data Crude oil'!AA3019</f>
        <v>0</v>
      </c>
      <c r="AB3018">
        <f>'raw data Crude oil'!AB3019</f>
        <v>0</v>
      </c>
      <c r="AC3018">
        <f>'raw data Crude oil'!AC3019</f>
        <v>0</v>
      </c>
      <c r="AD3018">
        <f>'raw data Crude oil'!AD3019</f>
        <v>0</v>
      </c>
      <c r="AE3018">
        <f>'raw data Crude oil'!AE3019</f>
        <v>0</v>
      </c>
      <c r="AF3018">
        <f>'raw data Crude oil'!AF3019</f>
        <v>0</v>
      </c>
      <c r="AG3018">
        <f>'raw data Crude oil'!AG3019</f>
        <v>0</v>
      </c>
      <c r="AH3018">
        <f>'raw data Crude oil'!AH3019</f>
        <v>0</v>
      </c>
      <c r="AI3018">
        <f>'raw data Crude oil'!AI3019</f>
        <v>0</v>
      </c>
      <c r="AJ3018">
        <f>'raw data Crude oil'!AJ3019</f>
        <v>0</v>
      </c>
      <c r="AK3018">
        <f>'raw data Crude oil'!AK3019</f>
        <v>0</v>
      </c>
    </row>
    <row r="3019" spans="1:37" x14ac:dyDescent="0.3">
      <c r="A3019" s="18">
        <f>'raw data Crude oil'!A3020</f>
        <v>0</v>
      </c>
      <c r="B3019">
        <f>'raw data Crude oil'!B3020</f>
        <v>0</v>
      </c>
      <c r="C3019">
        <f>'raw data Crude oil'!C3020</f>
        <v>0</v>
      </c>
      <c r="D3019">
        <f>'raw data Crude oil'!D3020</f>
        <v>0</v>
      </c>
      <c r="E3019">
        <f>'raw data Crude oil'!E3020</f>
        <v>0</v>
      </c>
      <c r="F3019">
        <f>'raw data Crude oil'!F3020</f>
        <v>0</v>
      </c>
      <c r="G3019">
        <f>'raw data Crude oil'!G3020</f>
        <v>0</v>
      </c>
      <c r="H3019">
        <f>'raw data Crude oil'!H3020</f>
        <v>0</v>
      </c>
      <c r="I3019">
        <f>'raw data Crude oil'!I3020</f>
        <v>0</v>
      </c>
      <c r="J3019">
        <f>'raw data Crude oil'!J3020</f>
        <v>0</v>
      </c>
      <c r="K3019">
        <f>'raw data Crude oil'!K3020</f>
        <v>0</v>
      </c>
      <c r="L3019">
        <f>'raw data Crude oil'!L3020</f>
        <v>0</v>
      </c>
      <c r="M3019">
        <f>'raw data Crude oil'!M3020</f>
        <v>0</v>
      </c>
      <c r="N3019">
        <f>'raw data Crude oil'!N3020</f>
        <v>0</v>
      </c>
      <c r="O3019">
        <f>'raw data Crude oil'!O3020</f>
        <v>0</v>
      </c>
      <c r="P3019">
        <f>'raw data Crude oil'!P3020</f>
        <v>0</v>
      </c>
      <c r="Q3019">
        <f>'raw data Crude oil'!Q3020</f>
        <v>0</v>
      </c>
      <c r="R3019">
        <f>'raw data Crude oil'!R3020</f>
        <v>0</v>
      </c>
      <c r="S3019">
        <f>'raw data Crude oil'!S3020</f>
        <v>0</v>
      </c>
      <c r="T3019">
        <f>'raw data Crude oil'!T3020</f>
        <v>0</v>
      </c>
      <c r="U3019">
        <f>'raw data Crude oil'!U3020</f>
        <v>0</v>
      </c>
      <c r="V3019">
        <f>'raw data Crude oil'!V3020</f>
        <v>0</v>
      </c>
      <c r="W3019">
        <f>'raw data Crude oil'!W3020</f>
        <v>0</v>
      </c>
      <c r="X3019">
        <f>'raw data Crude oil'!X3020</f>
        <v>0</v>
      </c>
      <c r="Y3019">
        <f>'raw data Crude oil'!Y3020</f>
        <v>0</v>
      </c>
      <c r="Z3019">
        <f>'raw data Crude oil'!Z3020</f>
        <v>0</v>
      </c>
      <c r="AA3019">
        <f>'raw data Crude oil'!AA3020</f>
        <v>0</v>
      </c>
      <c r="AB3019">
        <f>'raw data Crude oil'!AB3020</f>
        <v>0</v>
      </c>
      <c r="AC3019">
        <f>'raw data Crude oil'!AC3020</f>
        <v>0</v>
      </c>
      <c r="AD3019">
        <f>'raw data Crude oil'!AD3020</f>
        <v>0</v>
      </c>
      <c r="AE3019">
        <f>'raw data Crude oil'!AE3020</f>
        <v>0</v>
      </c>
      <c r="AF3019">
        <f>'raw data Crude oil'!AF3020</f>
        <v>0</v>
      </c>
      <c r="AG3019">
        <f>'raw data Crude oil'!AG3020</f>
        <v>0</v>
      </c>
      <c r="AH3019">
        <f>'raw data Crude oil'!AH3020</f>
        <v>0</v>
      </c>
      <c r="AI3019">
        <f>'raw data Crude oil'!AI3020</f>
        <v>0</v>
      </c>
      <c r="AJ3019">
        <f>'raw data Crude oil'!AJ3020</f>
        <v>0</v>
      </c>
      <c r="AK3019">
        <f>'raw data Crude oil'!AK3020</f>
        <v>0</v>
      </c>
    </row>
    <row r="3020" spans="1:37" x14ac:dyDescent="0.3">
      <c r="A3020" s="18">
        <f>'raw data Crude oil'!A3021</f>
        <v>0</v>
      </c>
      <c r="B3020">
        <f>'raw data Crude oil'!B3021</f>
        <v>0</v>
      </c>
      <c r="C3020">
        <f>'raw data Crude oil'!C3021</f>
        <v>0</v>
      </c>
      <c r="D3020">
        <f>'raw data Crude oil'!D3021</f>
        <v>0</v>
      </c>
      <c r="E3020">
        <f>'raw data Crude oil'!E3021</f>
        <v>0</v>
      </c>
      <c r="F3020">
        <f>'raw data Crude oil'!F3021</f>
        <v>0</v>
      </c>
      <c r="G3020">
        <f>'raw data Crude oil'!G3021</f>
        <v>0</v>
      </c>
      <c r="H3020">
        <f>'raw data Crude oil'!H3021</f>
        <v>0</v>
      </c>
      <c r="I3020">
        <f>'raw data Crude oil'!I3021</f>
        <v>0</v>
      </c>
      <c r="J3020">
        <f>'raw data Crude oil'!J3021</f>
        <v>0</v>
      </c>
      <c r="K3020">
        <f>'raw data Crude oil'!K3021</f>
        <v>0</v>
      </c>
      <c r="L3020">
        <f>'raw data Crude oil'!L3021</f>
        <v>0</v>
      </c>
      <c r="M3020">
        <f>'raw data Crude oil'!M3021</f>
        <v>0</v>
      </c>
      <c r="N3020">
        <f>'raw data Crude oil'!N3021</f>
        <v>0</v>
      </c>
      <c r="O3020">
        <f>'raw data Crude oil'!O3021</f>
        <v>0</v>
      </c>
      <c r="P3020">
        <f>'raw data Crude oil'!P3021</f>
        <v>0</v>
      </c>
      <c r="Q3020">
        <f>'raw data Crude oil'!Q3021</f>
        <v>0</v>
      </c>
      <c r="R3020">
        <f>'raw data Crude oil'!R3021</f>
        <v>0</v>
      </c>
      <c r="S3020">
        <f>'raw data Crude oil'!S3021</f>
        <v>0</v>
      </c>
      <c r="T3020">
        <f>'raw data Crude oil'!T3021</f>
        <v>0</v>
      </c>
      <c r="U3020">
        <f>'raw data Crude oil'!U3021</f>
        <v>0</v>
      </c>
      <c r="V3020">
        <f>'raw data Crude oil'!V3021</f>
        <v>0</v>
      </c>
      <c r="W3020">
        <f>'raw data Crude oil'!W3021</f>
        <v>0</v>
      </c>
      <c r="X3020">
        <f>'raw data Crude oil'!X3021</f>
        <v>0</v>
      </c>
      <c r="Y3020">
        <f>'raw data Crude oil'!Y3021</f>
        <v>0</v>
      </c>
      <c r="Z3020">
        <f>'raw data Crude oil'!Z3021</f>
        <v>0</v>
      </c>
      <c r="AA3020">
        <f>'raw data Crude oil'!AA3021</f>
        <v>0</v>
      </c>
      <c r="AB3020">
        <f>'raw data Crude oil'!AB3021</f>
        <v>0</v>
      </c>
      <c r="AC3020">
        <f>'raw data Crude oil'!AC3021</f>
        <v>0</v>
      </c>
      <c r="AD3020">
        <f>'raw data Crude oil'!AD3021</f>
        <v>0</v>
      </c>
      <c r="AE3020">
        <f>'raw data Crude oil'!AE3021</f>
        <v>0</v>
      </c>
      <c r="AF3020">
        <f>'raw data Crude oil'!AF3021</f>
        <v>0</v>
      </c>
      <c r="AG3020">
        <f>'raw data Crude oil'!AG3021</f>
        <v>0</v>
      </c>
      <c r="AH3020">
        <f>'raw data Crude oil'!AH3021</f>
        <v>0</v>
      </c>
      <c r="AI3020">
        <f>'raw data Crude oil'!AI3021</f>
        <v>0</v>
      </c>
      <c r="AJ3020">
        <f>'raw data Crude oil'!AJ3021</f>
        <v>0</v>
      </c>
      <c r="AK3020">
        <f>'raw data Crude oil'!AK3021</f>
        <v>0</v>
      </c>
    </row>
    <row r="3021" spans="1:37" x14ac:dyDescent="0.3">
      <c r="A3021" s="18">
        <f>'raw data Crude oil'!A3022</f>
        <v>0</v>
      </c>
      <c r="B3021">
        <f>'raw data Crude oil'!B3022</f>
        <v>0</v>
      </c>
      <c r="C3021">
        <f>'raw data Crude oil'!C3022</f>
        <v>0</v>
      </c>
      <c r="D3021">
        <f>'raw data Crude oil'!D3022</f>
        <v>0</v>
      </c>
      <c r="E3021">
        <f>'raw data Crude oil'!E3022</f>
        <v>0</v>
      </c>
      <c r="F3021">
        <f>'raw data Crude oil'!F3022</f>
        <v>0</v>
      </c>
      <c r="G3021">
        <f>'raw data Crude oil'!G3022</f>
        <v>0</v>
      </c>
      <c r="H3021">
        <f>'raw data Crude oil'!H3022</f>
        <v>0</v>
      </c>
      <c r="I3021">
        <f>'raw data Crude oil'!I3022</f>
        <v>0</v>
      </c>
      <c r="J3021">
        <f>'raw data Crude oil'!J3022</f>
        <v>0</v>
      </c>
      <c r="K3021">
        <f>'raw data Crude oil'!K3022</f>
        <v>0</v>
      </c>
      <c r="L3021">
        <f>'raw data Crude oil'!L3022</f>
        <v>0</v>
      </c>
      <c r="M3021">
        <f>'raw data Crude oil'!M3022</f>
        <v>0</v>
      </c>
      <c r="N3021">
        <f>'raw data Crude oil'!N3022</f>
        <v>0</v>
      </c>
      <c r="O3021">
        <f>'raw data Crude oil'!O3022</f>
        <v>0</v>
      </c>
      <c r="P3021">
        <f>'raw data Crude oil'!P3022</f>
        <v>0</v>
      </c>
      <c r="Q3021">
        <f>'raw data Crude oil'!Q3022</f>
        <v>0</v>
      </c>
      <c r="R3021">
        <f>'raw data Crude oil'!R3022</f>
        <v>0</v>
      </c>
      <c r="S3021">
        <f>'raw data Crude oil'!S3022</f>
        <v>0</v>
      </c>
      <c r="T3021">
        <f>'raw data Crude oil'!T3022</f>
        <v>0</v>
      </c>
      <c r="U3021">
        <f>'raw data Crude oil'!U3022</f>
        <v>0</v>
      </c>
      <c r="V3021">
        <f>'raw data Crude oil'!V3022</f>
        <v>0</v>
      </c>
      <c r="W3021">
        <f>'raw data Crude oil'!W3022</f>
        <v>0</v>
      </c>
      <c r="X3021">
        <f>'raw data Crude oil'!X3022</f>
        <v>0</v>
      </c>
      <c r="Y3021">
        <f>'raw data Crude oil'!Y3022</f>
        <v>0</v>
      </c>
      <c r="Z3021">
        <f>'raw data Crude oil'!Z3022</f>
        <v>0</v>
      </c>
      <c r="AA3021">
        <f>'raw data Crude oil'!AA3022</f>
        <v>0</v>
      </c>
      <c r="AB3021">
        <f>'raw data Crude oil'!AB3022</f>
        <v>0</v>
      </c>
      <c r="AC3021">
        <f>'raw data Crude oil'!AC3022</f>
        <v>0</v>
      </c>
      <c r="AD3021">
        <f>'raw data Crude oil'!AD3022</f>
        <v>0</v>
      </c>
      <c r="AE3021">
        <f>'raw data Crude oil'!AE3022</f>
        <v>0</v>
      </c>
      <c r="AF3021">
        <f>'raw data Crude oil'!AF3022</f>
        <v>0</v>
      </c>
      <c r="AG3021">
        <f>'raw data Crude oil'!AG3022</f>
        <v>0</v>
      </c>
      <c r="AH3021">
        <f>'raw data Crude oil'!AH3022</f>
        <v>0</v>
      </c>
      <c r="AI3021">
        <f>'raw data Crude oil'!AI3022</f>
        <v>0</v>
      </c>
      <c r="AJ3021">
        <f>'raw data Crude oil'!AJ3022</f>
        <v>0</v>
      </c>
      <c r="AK3021">
        <f>'raw data Crude oil'!AK3022</f>
        <v>0</v>
      </c>
    </row>
    <row r="3022" spans="1:37" x14ac:dyDescent="0.3">
      <c r="A3022" s="18">
        <f>'raw data Crude oil'!A3023</f>
        <v>0</v>
      </c>
      <c r="B3022">
        <f>'raw data Crude oil'!B3023</f>
        <v>0</v>
      </c>
      <c r="C3022">
        <f>'raw data Crude oil'!C3023</f>
        <v>0</v>
      </c>
      <c r="D3022">
        <f>'raw data Crude oil'!D3023</f>
        <v>0</v>
      </c>
      <c r="E3022">
        <f>'raw data Crude oil'!E3023</f>
        <v>0</v>
      </c>
      <c r="F3022">
        <f>'raw data Crude oil'!F3023</f>
        <v>0</v>
      </c>
      <c r="G3022">
        <f>'raw data Crude oil'!G3023</f>
        <v>0</v>
      </c>
      <c r="H3022">
        <f>'raw data Crude oil'!H3023</f>
        <v>0</v>
      </c>
      <c r="I3022">
        <f>'raw data Crude oil'!I3023</f>
        <v>0</v>
      </c>
      <c r="J3022">
        <f>'raw data Crude oil'!J3023</f>
        <v>0</v>
      </c>
      <c r="K3022">
        <f>'raw data Crude oil'!K3023</f>
        <v>0</v>
      </c>
      <c r="L3022">
        <f>'raw data Crude oil'!L3023</f>
        <v>0</v>
      </c>
      <c r="M3022">
        <f>'raw data Crude oil'!M3023</f>
        <v>0</v>
      </c>
      <c r="N3022">
        <f>'raw data Crude oil'!N3023</f>
        <v>0</v>
      </c>
      <c r="O3022">
        <f>'raw data Crude oil'!O3023</f>
        <v>0</v>
      </c>
      <c r="P3022">
        <f>'raw data Crude oil'!P3023</f>
        <v>0</v>
      </c>
      <c r="Q3022">
        <f>'raw data Crude oil'!Q3023</f>
        <v>0</v>
      </c>
      <c r="R3022">
        <f>'raw data Crude oil'!R3023</f>
        <v>0</v>
      </c>
      <c r="S3022">
        <f>'raw data Crude oil'!S3023</f>
        <v>0</v>
      </c>
      <c r="T3022">
        <f>'raw data Crude oil'!T3023</f>
        <v>0</v>
      </c>
      <c r="U3022">
        <f>'raw data Crude oil'!U3023</f>
        <v>0</v>
      </c>
      <c r="V3022">
        <f>'raw data Crude oil'!V3023</f>
        <v>0</v>
      </c>
      <c r="W3022">
        <f>'raw data Crude oil'!W3023</f>
        <v>0</v>
      </c>
      <c r="X3022">
        <f>'raw data Crude oil'!X3023</f>
        <v>0</v>
      </c>
      <c r="Y3022">
        <f>'raw data Crude oil'!Y3023</f>
        <v>0</v>
      </c>
      <c r="Z3022">
        <f>'raw data Crude oil'!Z3023</f>
        <v>0</v>
      </c>
      <c r="AA3022">
        <f>'raw data Crude oil'!AA3023</f>
        <v>0</v>
      </c>
      <c r="AB3022">
        <f>'raw data Crude oil'!AB3023</f>
        <v>0</v>
      </c>
      <c r="AC3022">
        <f>'raw data Crude oil'!AC3023</f>
        <v>0</v>
      </c>
      <c r="AD3022">
        <f>'raw data Crude oil'!AD3023</f>
        <v>0</v>
      </c>
      <c r="AE3022">
        <f>'raw data Crude oil'!AE3023</f>
        <v>0</v>
      </c>
      <c r="AF3022">
        <f>'raw data Crude oil'!AF3023</f>
        <v>0</v>
      </c>
      <c r="AG3022">
        <f>'raw data Crude oil'!AG3023</f>
        <v>0</v>
      </c>
      <c r="AH3022">
        <f>'raw data Crude oil'!AH3023</f>
        <v>0</v>
      </c>
      <c r="AI3022">
        <f>'raw data Crude oil'!AI3023</f>
        <v>0</v>
      </c>
      <c r="AJ3022">
        <f>'raw data Crude oil'!AJ3023</f>
        <v>0</v>
      </c>
      <c r="AK3022">
        <f>'raw data Crude oil'!AK3023</f>
        <v>0</v>
      </c>
    </row>
    <row r="3023" spans="1:37" x14ac:dyDescent="0.3">
      <c r="A3023" s="18">
        <f>'raw data Crude oil'!A3024</f>
        <v>0</v>
      </c>
      <c r="B3023">
        <f>'raw data Crude oil'!B3024</f>
        <v>0</v>
      </c>
      <c r="C3023">
        <f>'raw data Crude oil'!C3024</f>
        <v>0</v>
      </c>
      <c r="D3023">
        <f>'raw data Crude oil'!D3024</f>
        <v>0</v>
      </c>
      <c r="E3023">
        <f>'raw data Crude oil'!E3024</f>
        <v>0</v>
      </c>
      <c r="F3023">
        <f>'raw data Crude oil'!F3024</f>
        <v>0</v>
      </c>
      <c r="G3023">
        <f>'raw data Crude oil'!G3024</f>
        <v>0</v>
      </c>
      <c r="H3023">
        <f>'raw data Crude oil'!H3024</f>
        <v>0</v>
      </c>
      <c r="I3023">
        <f>'raw data Crude oil'!I3024</f>
        <v>0</v>
      </c>
      <c r="J3023">
        <f>'raw data Crude oil'!J3024</f>
        <v>0</v>
      </c>
      <c r="K3023">
        <f>'raw data Crude oil'!K3024</f>
        <v>0</v>
      </c>
      <c r="L3023">
        <f>'raw data Crude oil'!L3024</f>
        <v>0</v>
      </c>
      <c r="M3023">
        <f>'raw data Crude oil'!M3024</f>
        <v>0</v>
      </c>
      <c r="N3023">
        <f>'raw data Crude oil'!N3024</f>
        <v>0</v>
      </c>
      <c r="O3023">
        <f>'raw data Crude oil'!O3024</f>
        <v>0</v>
      </c>
      <c r="P3023">
        <f>'raw data Crude oil'!P3024</f>
        <v>0</v>
      </c>
      <c r="Q3023">
        <f>'raw data Crude oil'!Q3024</f>
        <v>0</v>
      </c>
      <c r="R3023">
        <f>'raw data Crude oil'!R3024</f>
        <v>0</v>
      </c>
      <c r="S3023">
        <f>'raw data Crude oil'!S3024</f>
        <v>0</v>
      </c>
      <c r="T3023">
        <f>'raw data Crude oil'!T3024</f>
        <v>0</v>
      </c>
      <c r="U3023">
        <f>'raw data Crude oil'!U3024</f>
        <v>0</v>
      </c>
      <c r="V3023">
        <f>'raw data Crude oil'!V3024</f>
        <v>0</v>
      </c>
      <c r="W3023">
        <f>'raw data Crude oil'!W3024</f>
        <v>0</v>
      </c>
      <c r="X3023">
        <f>'raw data Crude oil'!X3024</f>
        <v>0</v>
      </c>
      <c r="Y3023">
        <f>'raw data Crude oil'!Y3024</f>
        <v>0</v>
      </c>
      <c r="Z3023">
        <f>'raw data Crude oil'!Z3024</f>
        <v>0</v>
      </c>
      <c r="AA3023">
        <f>'raw data Crude oil'!AA3024</f>
        <v>0</v>
      </c>
      <c r="AB3023">
        <f>'raw data Crude oil'!AB3024</f>
        <v>0</v>
      </c>
      <c r="AC3023">
        <f>'raw data Crude oil'!AC3024</f>
        <v>0</v>
      </c>
      <c r="AD3023">
        <f>'raw data Crude oil'!AD3024</f>
        <v>0</v>
      </c>
      <c r="AE3023">
        <f>'raw data Crude oil'!AE3024</f>
        <v>0</v>
      </c>
      <c r="AF3023">
        <f>'raw data Crude oil'!AF3024</f>
        <v>0</v>
      </c>
      <c r="AG3023">
        <f>'raw data Crude oil'!AG3024</f>
        <v>0</v>
      </c>
      <c r="AH3023">
        <f>'raw data Crude oil'!AH3024</f>
        <v>0</v>
      </c>
      <c r="AI3023">
        <f>'raw data Crude oil'!AI3024</f>
        <v>0</v>
      </c>
      <c r="AJ3023">
        <f>'raw data Crude oil'!AJ3024</f>
        <v>0</v>
      </c>
      <c r="AK3023">
        <f>'raw data Crude oil'!AK3024</f>
        <v>0</v>
      </c>
    </row>
    <row r="3024" spans="1:37" x14ac:dyDescent="0.3">
      <c r="A3024" s="18">
        <f>'raw data Crude oil'!A3025</f>
        <v>0</v>
      </c>
      <c r="B3024">
        <f>'raw data Crude oil'!B3025</f>
        <v>0</v>
      </c>
      <c r="C3024">
        <f>'raw data Crude oil'!C3025</f>
        <v>0</v>
      </c>
      <c r="D3024">
        <f>'raw data Crude oil'!D3025</f>
        <v>0</v>
      </c>
      <c r="E3024">
        <f>'raw data Crude oil'!E3025</f>
        <v>0</v>
      </c>
      <c r="F3024">
        <f>'raw data Crude oil'!F3025</f>
        <v>0</v>
      </c>
      <c r="G3024">
        <f>'raw data Crude oil'!G3025</f>
        <v>0</v>
      </c>
      <c r="H3024">
        <f>'raw data Crude oil'!H3025</f>
        <v>0</v>
      </c>
      <c r="I3024">
        <f>'raw data Crude oil'!I3025</f>
        <v>0</v>
      </c>
      <c r="J3024">
        <f>'raw data Crude oil'!J3025</f>
        <v>0</v>
      </c>
      <c r="K3024">
        <f>'raw data Crude oil'!K3025</f>
        <v>0</v>
      </c>
      <c r="L3024">
        <f>'raw data Crude oil'!L3025</f>
        <v>0</v>
      </c>
      <c r="M3024">
        <f>'raw data Crude oil'!M3025</f>
        <v>0</v>
      </c>
      <c r="N3024">
        <f>'raw data Crude oil'!N3025</f>
        <v>0</v>
      </c>
      <c r="O3024">
        <f>'raw data Crude oil'!O3025</f>
        <v>0</v>
      </c>
      <c r="P3024">
        <f>'raw data Crude oil'!P3025</f>
        <v>0</v>
      </c>
      <c r="Q3024">
        <f>'raw data Crude oil'!Q3025</f>
        <v>0</v>
      </c>
      <c r="R3024">
        <f>'raw data Crude oil'!R3025</f>
        <v>0</v>
      </c>
      <c r="S3024">
        <f>'raw data Crude oil'!S3025</f>
        <v>0</v>
      </c>
      <c r="T3024">
        <f>'raw data Crude oil'!T3025</f>
        <v>0</v>
      </c>
      <c r="U3024">
        <f>'raw data Crude oil'!U3025</f>
        <v>0</v>
      </c>
      <c r="V3024">
        <f>'raw data Crude oil'!V3025</f>
        <v>0</v>
      </c>
      <c r="W3024">
        <f>'raw data Crude oil'!W3025</f>
        <v>0</v>
      </c>
      <c r="X3024">
        <f>'raw data Crude oil'!X3025</f>
        <v>0</v>
      </c>
      <c r="Y3024">
        <f>'raw data Crude oil'!Y3025</f>
        <v>0</v>
      </c>
      <c r="Z3024">
        <f>'raw data Crude oil'!Z3025</f>
        <v>0</v>
      </c>
      <c r="AA3024">
        <f>'raw data Crude oil'!AA3025</f>
        <v>0</v>
      </c>
      <c r="AB3024">
        <f>'raw data Crude oil'!AB3025</f>
        <v>0</v>
      </c>
      <c r="AC3024">
        <f>'raw data Crude oil'!AC3025</f>
        <v>0</v>
      </c>
      <c r="AD3024">
        <f>'raw data Crude oil'!AD3025</f>
        <v>0</v>
      </c>
      <c r="AE3024">
        <f>'raw data Crude oil'!AE3025</f>
        <v>0</v>
      </c>
      <c r="AF3024">
        <f>'raw data Crude oil'!AF3025</f>
        <v>0</v>
      </c>
      <c r="AG3024">
        <f>'raw data Crude oil'!AG3025</f>
        <v>0</v>
      </c>
      <c r="AH3024">
        <f>'raw data Crude oil'!AH3025</f>
        <v>0</v>
      </c>
      <c r="AI3024">
        <f>'raw data Crude oil'!AI3025</f>
        <v>0</v>
      </c>
      <c r="AJ3024">
        <f>'raw data Crude oil'!AJ3025</f>
        <v>0</v>
      </c>
      <c r="AK3024">
        <f>'raw data Crude oil'!AK3025</f>
        <v>0</v>
      </c>
    </row>
    <row r="3025" spans="1:37" x14ac:dyDescent="0.3">
      <c r="A3025" s="18">
        <f>'raw data Crude oil'!A3026</f>
        <v>0</v>
      </c>
      <c r="B3025">
        <f>'raw data Crude oil'!B3026</f>
        <v>0</v>
      </c>
      <c r="C3025">
        <f>'raw data Crude oil'!C3026</f>
        <v>0</v>
      </c>
      <c r="D3025">
        <f>'raw data Crude oil'!D3026</f>
        <v>0</v>
      </c>
      <c r="E3025">
        <f>'raw data Crude oil'!E3026</f>
        <v>0</v>
      </c>
      <c r="F3025">
        <f>'raw data Crude oil'!F3026</f>
        <v>0</v>
      </c>
      <c r="G3025">
        <f>'raw data Crude oil'!G3026</f>
        <v>0</v>
      </c>
      <c r="H3025">
        <f>'raw data Crude oil'!H3026</f>
        <v>0</v>
      </c>
      <c r="I3025">
        <f>'raw data Crude oil'!I3026</f>
        <v>0</v>
      </c>
      <c r="J3025">
        <f>'raw data Crude oil'!J3026</f>
        <v>0</v>
      </c>
      <c r="K3025">
        <f>'raw data Crude oil'!K3026</f>
        <v>0</v>
      </c>
      <c r="L3025">
        <f>'raw data Crude oil'!L3026</f>
        <v>0</v>
      </c>
      <c r="M3025">
        <f>'raw data Crude oil'!M3026</f>
        <v>0</v>
      </c>
      <c r="N3025">
        <f>'raw data Crude oil'!N3026</f>
        <v>0</v>
      </c>
      <c r="O3025">
        <f>'raw data Crude oil'!O3026</f>
        <v>0</v>
      </c>
      <c r="P3025">
        <f>'raw data Crude oil'!P3026</f>
        <v>0</v>
      </c>
      <c r="Q3025">
        <f>'raw data Crude oil'!Q3026</f>
        <v>0</v>
      </c>
      <c r="R3025">
        <f>'raw data Crude oil'!R3026</f>
        <v>0</v>
      </c>
      <c r="S3025">
        <f>'raw data Crude oil'!S3026</f>
        <v>0</v>
      </c>
      <c r="T3025">
        <f>'raw data Crude oil'!T3026</f>
        <v>0</v>
      </c>
      <c r="U3025">
        <f>'raw data Crude oil'!U3026</f>
        <v>0</v>
      </c>
      <c r="V3025">
        <f>'raw data Crude oil'!V3026</f>
        <v>0</v>
      </c>
      <c r="W3025">
        <f>'raw data Crude oil'!W3026</f>
        <v>0</v>
      </c>
      <c r="X3025">
        <f>'raw data Crude oil'!X3026</f>
        <v>0</v>
      </c>
      <c r="Y3025">
        <f>'raw data Crude oil'!Y3026</f>
        <v>0</v>
      </c>
      <c r="Z3025">
        <f>'raw data Crude oil'!Z3026</f>
        <v>0</v>
      </c>
      <c r="AA3025">
        <f>'raw data Crude oil'!AA3026</f>
        <v>0</v>
      </c>
      <c r="AB3025">
        <f>'raw data Crude oil'!AB3026</f>
        <v>0</v>
      </c>
      <c r="AC3025">
        <f>'raw data Crude oil'!AC3026</f>
        <v>0</v>
      </c>
      <c r="AD3025">
        <f>'raw data Crude oil'!AD3026</f>
        <v>0</v>
      </c>
      <c r="AE3025">
        <f>'raw data Crude oil'!AE3026</f>
        <v>0</v>
      </c>
      <c r="AF3025">
        <f>'raw data Crude oil'!AF3026</f>
        <v>0</v>
      </c>
      <c r="AG3025">
        <f>'raw data Crude oil'!AG3026</f>
        <v>0</v>
      </c>
      <c r="AH3025">
        <f>'raw data Crude oil'!AH3026</f>
        <v>0</v>
      </c>
      <c r="AI3025">
        <f>'raw data Crude oil'!AI3026</f>
        <v>0</v>
      </c>
      <c r="AJ3025">
        <f>'raw data Crude oil'!AJ3026</f>
        <v>0</v>
      </c>
      <c r="AK3025">
        <f>'raw data Crude oil'!AK3026</f>
        <v>0</v>
      </c>
    </row>
    <row r="3026" spans="1:37" x14ac:dyDescent="0.3">
      <c r="A3026" s="18">
        <f>'raw data Crude oil'!A3027</f>
        <v>0</v>
      </c>
      <c r="B3026">
        <f>'raw data Crude oil'!B3027</f>
        <v>0</v>
      </c>
      <c r="C3026">
        <f>'raw data Crude oil'!C3027</f>
        <v>0</v>
      </c>
      <c r="D3026">
        <f>'raw data Crude oil'!D3027</f>
        <v>0</v>
      </c>
      <c r="E3026">
        <f>'raw data Crude oil'!E3027</f>
        <v>0</v>
      </c>
      <c r="F3026">
        <f>'raw data Crude oil'!F3027</f>
        <v>0</v>
      </c>
      <c r="G3026">
        <f>'raw data Crude oil'!G3027</f>
        <v>0</v>
      </c>
      <c r="H3026">
        <f>'raw data Crude oil'!H3027</f>
        <v>0</v>
      </c>
      <c r="I3026">
        <f>'raw data Crude oil'!I3027</f>
        <v>0</v>
      </c>
      <c r="J3026">
        <f>'raw data Crude oil'!J3027</f>
        <v>0</v>
      </c>
      <c r="K3026">
        <f>'raw data Crude oil'!K3027</f>
        <v>0</v>
      </c>
      <c r="L3026">
        <f>'raw data Crude oil'!L3027</f>
        <v>0</v>
      </c>
      <c r="M3026">
        <f>'raw data Crude oil'!M3027</f>
        <v>0</v>
      </c>
      <c r="N3026">
        <f>'raw data Crude oil'!N3027</f>
        <v>0</v>
      </c>
      <c r="O3026">
        <f>'raw data Crude oil'!O3027</f>
        <v>0</v>
      </c>
      <c r="P3026">
        <f>'raw data Crude oil'!P3027</f>
        <v>0</v>
      </c>
      <c r="Q3026">
        <f>'raw data Crude oil'!Q3027</f>
        <v>0</v>
      </c>
      <c r="R3026">
        <f>'raw data Crude oil'!R3027</f>
        <v>0</v>
      </c>
      <c r="S3026">
        <f>'raw data Crude oil'!S3027</f>
        <v>0</v>
      </c>
      <c r="T3026">
        <f>'raw data Crude oil'!T3027</f>
        <v>0</v>
      </c>
      <c r="U3026">
        <f>'raw data Crude oil'!U3027</f>
        <v>0</v>
      </c>
      <c r="V3026">
        <f>'raw data Crude oil'!V3027</f>
        <v>0</v>
      </c>
      <c r="W3026">
        <f>'raw data Crude oil'!W3027</f>
        <v>0</v>
      </c>
      <c r="X3026">
        <f>'raw data Crude oil'!X3027</f>
        <v>0</v>
      </c>
      <c r="Y3026">
        <f>'raw data Crude oil'!Y3027</f>
        <v>0</v>
      </c>
      <c r="Z3026">
        <f>'raw data Crude oil'!Z3027</f>
        <v>0</v>
      </c>
      <c r="AA3026">
        <f>'raw data Crude oil'!AA3027</f>
        <v>0</v>
      </c>
      <c r="AB3026">
        <f>'raw data Crude oil'!AB3027</f>
        <v>0</v>
      </c>
      <c r="AC3026">
        <f>'raw data Crude oil'!AC3027</f>
        <v>0</v>
      </c>
      <c r="AD3026">
        <f>'raw data Crude oil'!AD3027</f>
        <v>0</v>
      </c>
      <c r="AE3026">
        <f>'raw data Crude oil'!AE3027</f>
        <v>0</v>
      </c>
      <c r="AF3026">
        <f>'raw data Crude oil'!AF3027</f>
        <v>0</v>
      </c>
      <c r="AG3026">
        <f>'raw data Crude oil'!AG3027</f>
        <v>0</v>
      </c>
      <c r="AH3026">
        <f>'raw data Crude oil'!AH3027</f>
        <v>0</v>
      </c>
      <c r="AI3026">
        <f>'raw data Crude oil'!AI3027</f>
        <v>0</v>
      </c>
      <c r="AJ3026">
        <f>'raw data Crude oil'!AJ3027</f>
        <v>0</v>
      </c>
      <c r="AK3026">
        <f>'raw data Crude oil'!AK3027</f>
        <v>0</v>
      </c>
    </row>
    <row r="3027" spans="1:37" x14ac:dyDescent="0.3">
      <c r="A3027" s="18">
        <f>'raw data Crude oil'!A3028</f>
        <v>0</v>
      </c>
      <c r="B3027">
        <f>'raw data Crude oil'!B3028</f>
        <v>0</v>
      </c>
      <c r="C3027">
        <f>'raw data Crude oil'!C3028</f>
        <v>0</v>
      </c>
      <c r="D3027">
        <f>'raw data Crude oil'!D3028</f>
        <v>0</v>
      </c>
      <c r="E3027">
        <f>'raw data Crude oil'!E3028</f>
        <v>0</v>
      </c>
      <c r="F3027">
        <f>'raw data Crude oil'!F3028</f>
        <v>0</v>
      </c>
      <c r="G3027">
        <f>'raw data Crude oil'!G3028</f>
        <v>0</v>
      </c>
      <c r="H3027">
        <f>'raw data Crude oil'!H3028</f>
        <v>0</v>
      </c>
      <c r="I3027">
        <f>'raw data Crude oil'!I3028</f>
        <v>0</v>
      </c>
      <c r="J3027">
        <f>'raw data Crude oil'!J3028</f>
        <v>0</v>
      </c>
      <c r="K3027">
        <f>'raw data Crude oil'!K3028</f>
        <v>0</v>
      </c>
      <c r="L3027">
        <f>'raw data Crude oil'!L3028</f>
        <v>0</v>
      </c>
      <c r="M3027">
        <f>'raw data Crude oil'!M3028</f>
        <v>0</v>
      </c>
      <c r="N3027">
        <f>'raw data Crude oil'!N3028</f>
        <v>0</v>
      </c>
      <c r="O3027">
        <f>'raw data Crude oil'!O3028</f>
        <v>0</v>
      </c>
      <c r="P3027">
        <f>'raw data Crude oil'!P3028</f>
        <v>0</v>
      </c>
      <c r="Q3027">
        <f>'raw data Crude oil'!Q3028</f>
        <v>0</v>
      </c>
      <c r="R3027">
        <f>'raw data Crude oil'!R3028</f>
        <v>0</v>
      </c>
      <c r="S3027">
        <f>'raw data Crude oil'!S3028</f>
        <v>0</v>
      </c>
      <c r="T3027">
        <f>'raw data Crude oil'!T3028</f>
        <v>0</v>
      </c>
      <c r="U3027">
        <f>'raw data Crude oil'!U3028</f>
        <v>0</v>
      </c>
      <c r="V3027">
        <f>'raw data Crude oil'!V3028</f>
        <v>0</v>
      </c>
      <c r="W3027">
        <f>'raw data Crude oil'!W3028</f>
        <v>0</v>
      </c>
      <c r="X3027">
        <f>'raw data Crude oil'!X3028</f>
        <v>0</v>
      </c>
      <c r="Y3027">
        <f>'raw data Crude oil'!Y3028</f>
        <v>0</v>
      </c>
      <c r="Z3027">
        <f>'raw data Crude oil'!Z3028</f>
        <v>0</v>
      </c>
      <c r="AA3027">
        <f>'raw data Crude oil'!AA3028</f>
        <v>0</v>
      </c>
      <c r="AB3027">
        <f>'raw data Crude oil'!AB3028</f>
        <v>0</v>
      </c>
      <c r="AC3027">
        <f>'raw data Crude oil'!AC3028</f>
        <v>0</v>
      </c>
      <c r="AD3027">
        <f>'raw data Crude oil'!AD3028</f>
        <v>0</v>
      </c>
      <c r="AE3027">
        <f>'raw data Crude oil'!AE3028</f>
        <v>0</v>
      </c>
      <c r="AF3027">
        <f>'raw data Crude oil'!AF3028</f>
        <v>0</v>
      </c>
      <c r="AG3027">
        <f>'raw data Crude oil'!AG3028</f>
        <v>0</v>
      </c>
      <c r="AH3027">
        <f>'raw data Crude oil'!AH3028</f>
        <v>0</v>
      </c>
      <c r="AI3027">
        <f>'raw data Crude oil'!AI3028</f>
        <v>0</v>
      </c>
      <c r="AJ3027">
        <f>'raw data Crude oil'!AJ3028</f>
        <v>0</v>
      </c>
      <c r="AK3027">
        <f>'raw data Crude oil'!AK3028</f>
        <v>0</v>
      </c>
    </row>
    <row r="3028" spans="1:37" x14ac:dyDescent="0.3">
      <c r="A3028" s="18">
        <f>'raw data Crude oil'!A3029</f>
        <v>0</v>
      </c>
      <c r="B3028">
        <f>'raw data Crude oil'!B3029</f>
        <v>0</v>
      </c>
      <c r="C3028">
        <f>'raw data Crude oil'!C3029</f>
        <v>0</v>
      </c>
      <c r="D3028">
        <f>'raw data Crude oil'!D3029</f>
        <v>0</v>
      </c>
      <c r="E3028">
        <f>'raw data Crude oil'!E3029</f>
        <v>0</v>
      </c>
      <c r="F3028">
        <f>'raw data Crude oil'!F3029</f>
        <v>0</v>
      </c>
      <c r="G3028">
        <f>'raw data Crude oil'!G3029</f>
        <v>0</v>
      </c>
      <c r="H3028">
        <f>'raw data Crude oil'!H3029</f>
        <v>0</v>
      </c>
      <c r="I3028">
        <f>'raw data Crude oil'!I3029</f>
        <v>0</v>
      </c>
      <c r="J3028">
        <f>'raw data Crude oil'!J3029</f>
        <v>0</v>
      </c>
      <c r="K3028">
        <f>'raw data Crude oil'!K3029</f>
        <v>0</v>
      </c>
      <c r="L3028">
        <f>'raw data Crude oil'!L3029</f>
        <v>0</v>
      </c>
      <c r="M3028">
        <f>'raw data Crude oil'!M3029</f>
        <v>0</v>
      </c>
      <c r="N3028">
        <f>'raw data Crude oil'!N3029</f>
        <v>0</v>
      </c>
      <c r="O3028">
        <f>'raw data Crude oil'!O3029</f>
        <v>0</v>
      </c>
      <c r="P3028">
        <f>'raw data Crude oil'!P3029</f>
        <v>0</v>
      </c>
      <c r="Q3028">
        <f>'raw data Crude oil'!Q3029</f>
        <v>0</v>
      </c>
      <c r="R3028">
        <f>'raw data Crude oil'!R3029</f>
        <v>0</v>
      </c>
      <c r="S3028">
        <f>'raw data Crude oil'!S3029</f>
        <v>0</v>
      </c>
      <c r="T3028">
        <f>'raw data Crude oil'!T3029</f>
        <v>0</v>
      </c>
      <c r="U3028">
        <f>'raw data Crude oil'!U3029</f>
        <v>0</v>
      </c>
      <c r="V3028">
        <f>'raw data Crude oil'!V3029</f>
        <v>0</v>
      </c>
      <c r="W3028">
        <f>'raw data Crude oil'!W3029</f>
        <v>0</v>
      </c>
      <c r="X3028">
        <f>'raw data Crude oil'!X3029</f>
        <v>0</v>
      </c>
      <c r="Y3028">
        <f>'raw data Crude oil'!Y3029</f>
        <v>0</v>
      </c>
      <c r="Z3028">
        <f>'raw data Crude oil'!Z3029</f>
        <v>0</v>
      </c>
      <c r="AA3028">
        <f>'raw data Crude oil'!AA3029</f>
        <v>0</v>
      </c>
      <c r="AB3028">
        <f>'raw data Crude oil'!AB3029</f>
        <v>0</v>
      </c>
      <c r="AC3028">
        <f>'raw data Crude oil'!AC3029</f>
        <v>0</v>
      </c>
      <c r="AD3028">
        <f>'raw data Crude oil'!AD3029</f>
        <v>0</v>
      </c>
      <c r="AE3028">
        <f>'raw data Crude oil'!AE3029</f>
        <v>0</v>
      </c>
      <c r="AF3028">
        <f>'raw data Crude oil'!AF3029</f>
        <v>0</v>
      </c>
      <c r="AG3028">
        <f>'raw data Crude oil'!AG3029</f>
        <v>0</v>
      </c>
      <c r="AH3028">
        <f>'raw data Crude oil'!AH3029</f>
        <v>0</v>
      </c>
      <c r="AI3028">
        <f>'raw data Crude oil'!AI3029</f>
        <v>0</v>
      </c>
      <c r="AJ3028">
        <f>'raw data Crude oil'!AJ3029</f>
        <v>0</v>
      </c>
      <c r="AK3028">
        <f>'raw data Crude oil'!AK3029</f>
        <v>0</v>
      </c>
    </row>
    <row r="3029" spans="1:37" x14ac:dyDescent="0.3">
      <c r="A3029" s="18">
        <f>'raw data Crude oil'!A3030</f>
        <v>0</v>
      </c>
      <c r="B3029">
        <f>'raw data Crude oil'!B3030</f>
        <v>0</v>
      </c>
      <c r="C3029">
        <f>'raw data Crude oil'!C3030</f>
        <v>0</v>
      </c>
      <c r="D3029">
        <f>'raw data Crude oil'!D3030</f>
        <v>0</v>
      </c>
      <c r="E3029">
        <f>'raw data Crude oil'!E3030</f>
        <v>0</v>
      </c>
      <c r="F3029">
        <f>'raw data Crude oil'!F3030</f>
        <v>0</v>
      </c>
      <c r="G3029">
        <f>'raw data Crude oil'!G3030</f>
        <v>0</v>
      </c>
      <c r="H3029">
        <f>'raw data Crude oil'!H3030</f>
        <v>0</v>
      </c>
      <c r="I3029">
        <f>'raw data Crude oil'!I3030</f>
        <v>0</v>
      </c>
      <c r="J3029">
        <f>'raw data Crude oil'!J3030</f>
        <v>0</v>
      </c>
      <c r="K3029">
        <f>'raw data Crude oil'!K3030</f>
        <v>0</v>
      </c>
      <c r="L3029">
        <f>'raw data Crude oil'!L3030</f>
        <v>0</v>
      </c>
      <c r="M3029">
        <f>'raw data Crude oil'!M3030</f>
        <v>0</v>
      </c>
      <c r="N3029">
        <f>'raw data Crude oil'!N3030</f>
        <v>0</v>
      </c>
      <c r="O3029">
        <f>'raw data Crude oil'!O3030</f>
        <v>0</v>
      </c>
      <c r="P3029">
        <f>'raw data Crude oil'!P3030</f>
        <v>0</v>
      </c>
      <c r="Q3029">
        <f>'raw data Crude oil'!Q3030</f>
        <v>0</v>
      </c>
      <c r="R3029">
        <f>'raw data Crude oil'!R3030</f>
        <v>0</v>
      </c>
      <c r="S3029">
        <f>'raw data Crude oil'!S3030</f>
        <v>0</v>
      </c>
      <c r="T3029">
        <f>'raw data Crude oil'!T3030</f>
        <v>0</v>
      </c>
      <c r="U3029">
        <f>'raw data Crude oil'!U3030</f>
        <v>0</v>
      </c>
      <c r="V3029">
        <f>'raw data Crude oil'!V3030</f>
        <v>0</v>
      </c>
      <c r="W3029">
        <f>'raw data Crude oil'!W3030</f>
        <v>0</v>
      </c>
      <c r="X3029">
        <f>'raw data Crude oil'!X3030</f>
        <v>0</v>
      </c>
      <c r="Y3029">
        <f>'raw data Crude oil'!Y3030</f>
        <v>0</v>
      </c>
      <c r="Z3029">
        <f>'raw data Crude oil'!Z3030</f>
        <v>0</v>
      </c>
      <c r="AA3029">
        <f>'raw data Crude oil'!AA3030</f>
        <v>0</v>
      </c>
      <c r="AB3029">
        <f>'raw data Crude oil'!AB3030</f>
        <v>0</v>
      </c>
      <c r="AC3029">
        <f>'raw data Crude oil'!AC3030</f>
        <v>0</v>
      </c>
      <c r="AD3029">
        <f>'raw data Crude oil'!AD3030</f>
        <v>0</v>
      </c>
      <c r="AE3029">
        <f>'raw data Crude oil'!AE3030</f>
        <v>0</v>
      </c>
      <c r="AF3029">
        <f>'raw data Crude oil'!AF3030</f>
        <v>0</v>
      </c>
      <c r="AG3029">
        <f>'raw data Crude oil'!AG3030</f>
        <v>0</v>
      </c>
      <c r="AH3029">
        <f>'raw data Crude oil'!AH3030</f>
        <v>0</v>
      </c>
      <c r="AI3029">
        <f>'raw data Crude oil'!AI3030</f>
        <v>0</v>
      </c>
      <c r="AJ3029">
        <f>'raw data Crude oil'!AJ3030</f>
        <v>0</v>
      </c>
      <c r="AK3029">
        <f>'raw data Crude oil'!AK3030</f>
        <v>0</v>
      </c>
    </row>
    <row r="3030" spans="1:37" x14ac:dyDescent="0.3">
      <c r="A3030" s="18">
        <f>'raw data Crude oil'!A3031</f>
        <v>0</v>
      </c>
      <c r="B3030">
        <f>'raw data Crude oil'!B3031</f>
        <v>0</v>
      </c>
      <c r="C3030">
        <f>'raw data Crude oil'!C3031</f>
        <v>0</v>
      </c>
      <c r="D3030">
        <f>'raw data Crude oil'!D3031</f>
        <v>0</v>
      </c>
      <c r="E3030">
        <f>'raw data Crude oil'!E3031</f>
        <v>0</v>
      </c>
      <c r="F3030">
        <f>'raw data Crude oil'!F3031</f>
        <v>0</v>
      </c>
      <c r="G3030">
        <f>'raw data Crude oil'!G3031</f>
        <v>0</v>
      </c>
      <c r="H3030">
        <f>'raw data Crude oil'!H3031</f>
        <v>0</v>
      </c>
      <c r="I3030">
        <f>'raw data Crude oil'!I3031</f>
        <v>0</v>
      </c>
      <c r="J3030">
        <f>'raw data Crude oil'!J3031</f>
        <v>0</v>
      </c>
      <c r="K3030">
        <f>'raw data Crude oil'!K3031</f>
        <v>0</v>
      </c>
      <c r="L3030">
        <f>'raw data Crude oil'!L3031</f>
        <v>0</v>
      </c>
      <c r="M3030">
        <f>'raw data Crude oil'!M3031</f>
        <v>0</v>
      </c>
      <c r="N3030">
        <f>'raw data Crude oil'!N3031</f>
        <v>0</v>
      </c>
      <c r="O3030">
        <f>'raw data Crude oil'!O3031</f>
        <v>0</v>
      </c>
      <c r="P3030">
        <f>'raw data Crude oil'!P3031</f>
        <v>0</v>
      </c>
      <c r="Q3030">
        <f>'raw data Crude oil'!Q3031</f>
        <v>0</v>
      </c>
      <c r="R3030">
        <f>'raw data Crude oil'!R3031</f>
        <v>0</v>
      </c>
      <c r="S3030">
        <f>'raw data Crude oil'!S3031</f>
        <v>0</v>
      </c>
      <c r="T3030">
        <f>'raw data Crude oil'!T3031</f>
        <v>0</v>
      </c>
      <c r="U3030">
        <f>'raw data Crude oil'!U3031</f>
        <v>0</v>
      </c>
      <c r="V3030">
        <f>'raw data Crude oil'!V3031</f>
        <v>0</v>
      </c>
      <c r="W3030">
        <f>'raw data Crude oil'!W3031</f>
        <v>0</v>
      </c>
      <c r="X3030">
        <f>'raw data Crude oil'!X3031</f>
        <v>0</v>
      </c>
      <c r="Y3030">
        <f>'raw data Crude oil'!Y3031</f>
        <v>0</v>
      </c>
      <c r="Z3030">
        <f>'raw data Crude oil'!Z3031</f>
        <v>0</v>
      </c>
      <c r="AA3030">
        <f>'raw data Crude oil'!AA3031</f>
        <v>0</v>
      </c>
      <c r="AB3030">
        <f>'raw data Crude oil'!AB3031</f>
        <v>0</v>
      </c>
      <c r="AC3030">
        <f>'raw data Crude oil'!AC3031</f>
        <v>0</v>
      </c>
      <c r="AD3030">
        <f>'raw data Crude oil'!AD3031</f>
        <v>0</v>
      </c>
      <c r="AE3030">
        <f>'raw data Crude oil'!AE3031</f>
        <v>0</v>
      </c>
      <c r="AF3030">
        <f>'raw data Crude oil'!AF3031</f>
        <v>0</v>
      </c>
      <c r="AG3030">
        <f>'raw data Crude oil'!AG3031</f>
        <v>0</v>
      </c>
      <c r="AH3030">
        <f>'raw data Crude oil'!AH3031</f>
        <v>0</v>
      </c>
      <c r="AI3030">
        <f>'raw data Crude oil'!AI3031</f>
        <v>0</v>
      </c>
      <c r="AJ3030">
        <f>'raw data Crude oil'!AJ3031</f>
        <v>0</v>
      </c>
      <c r="AK3030">
        <f>'raw data Crude oil'!AK3031</f>
        <v>0</v>
      </c>
    </row>
    <row r="3031" spans="1:37" x14ac:dyDescent="0.3">
      <c r="A3031" s="18">
        <f>'raw data Crude oil'!A3032</f>
        <v>0</v>
      </c>
      <c r="B3031">
        <f>'raw data Crude oil'!B3032</f>
        <v>0</v>
      </c>
      <c r="C3031">
        <f>'raw data Crude oil'!C3032</f>
        <v>0</v>
      </c>
      <c r="D3031">
        <f>'raw data Crude oil'!D3032</f>
        <v>0</v>
      </c>
      <c r="E3031">
        <f>'raw data Crude oil'!E3032</f>
        <v>0</v>
      </c>
      <c r="F3031">
        <f>'raw data Crude oil'!F3032</f>
        <v>0</v>
      </c>
      <c r="G3031">
        <f>'raw data Crude oil'!G3032</f>
        <v>0</v>
      </c>
      <c r="H3031">
        <f>'raw data Crude oil'!H3032</f>
        <v>0</v>
      </c>
      <c r="I3031">
        <f>'raw data Crude oil'!I3032</f>
        <v>0</v>
      </c>
      <c r="J3031">
        <f>'raw data Crude oil'!J3032</f>
        <v>0</v>
      </c>
      <c r="K3031">
        <f>'raw data Crude oil'!K3032</f>
        <v>0</v>
      </c>
      <c r="L3031">
        <f>'raw data Crude oil'!L3032</f>
        <v>0</v>
      </c>
      <c r="M3031">
        <f>'raw data Crude oil'!M3032</f>
        <v>0</v>
      </c>
      <c r="N3031">
        <f>'raw data Crude oil'!N3032</f>
        <v>0</v>
      </c>
      <c r="O3031">
        <f>'raw data Crude oil'!O3032</f>
        <v>0</v>
      </c>
      <c r="P3031">
        <f>'raw data Crude oil'!P3032</f>
        <v>0</v>
      </c>
      <c r="Q3031">
        <f>'raw data Crude oil'!Q3032</f>
        <v>0</v>
      </c>
      <c r="R3031">
        <f>'raw data Crude oil'!R3032</f>
        <v>0</v>
      </c>
      <c r="S3031">
        <f>'raw data Crude oil'!S3032</f>
        <v>0</v>
      </c>
      <c r="T3031">
        <f>'raw data Crude oil'!T3032</f>
        <v>0</v>
      </c>
      <c r="U3031">
        <f>'raw data Crude oil'!U3032</f>
        <v>0</v>
      </c>
      <c r="V3031">
        <f>'raw data Crude oil'!V3032</f>
        <v>0</v>
      </c>
      <c r="W3031">
        <f>'raw data Crude oil'!W3032</f>
        <v>0</v>
      </c>
      <c r="X3031">
        <f>'raw data Crude oil'!X3032</f>
        <v>0</v>
      </c>
      <c r="Y3031">
        <f>'raw data Crude oil'!Y3032</f>
        <v>0</v>
      </c>
      <c r="Z3031">
        <f>'raw data Crude oil'!Z3032</f>
        <v>0</v>
      </c>
      <c r="AA3031">
        <f>'raw data Crude oil'!AA3032</f>
        <v>0</v>
      </c>
      <c r="AB3031">
        <f>'raw data Crude oil'!AB3032</f>
        <v>0</v>
      </c>
      <c r="AC3031">
        <f>'raw data Crude oil'!AC3032</f>
        <v>0</v>
      </c>
      <c r="AD3031">
        <f>'raw data Crude oil'!AD3032</f>
        <v>0</v>
      </c>
      <c r="AE3031">
        <f>'raw data Crude oil'!AE3032</f>
        <v>0</v>
      </c>
      <c r="AF3031">
        <f>'raw data Crude oil'!AF3032</f>
        <v>0</v>
      </c>
      <c r="AG3031">
        <f>'raw data Crude oil'!AG3032</f>
        <v>0</v>
      </c>
      <c r="AH3031">
        <f>'raw data Crude oil'!AH3032</f>
        <v>0</v>
      </c>
      <c r="AI3031">
        <f>'raw data Crude oil'!AI3032</f>
        <v>0</v>
      </c>
      <c r="AJ3031">
        <f>'raw data Crude oil'!AJ3032</f>
        <v>0</v>
      </c>
      <c r="AK3031">
        <f>'raw data Crude oil'!AK3032</f>
        <v>0</v>
      </c>
    </row>
    <row r="3032" spans="1:37" x14ac:dyDescent="0.3">
      <c r="A3032" s="18">
        <f>'raw data Crude oil'!A3033</f>
        <v>0</v>
      </c>
      <c r="B3032">
        <f>'raw data Crude oil'!B3033</f>
        <v>0</v>
      </c>
      <c r="C3032">
        <f>'raw data Crude oil'!C3033</f>
        <v>0</v>
      </c>
      <c r="D3032">
        <f>'raw data Crude oil'!D3033</f>
        <v>0</v>
      </c>
      <c r="E3032">
        <f>'raw data Crude oil'!E3033</f>
        <v>0</v>
      </c>
      <c r="F3032">
        <f>'raw data Crude oil'!F3033</f>
        <v>0</v>
      </c>
      <c r="G3032">
        <f>'raw data Crude oil'!G3033</f>
        <v>0</v>
      </c>
      <c r="H3032">
        <f>'raw data Crude oil'!H3033</f>
        <v>0</v>
      </c>
      <c r="I3032">
        <f>'raw data Crude oil'!I3033</f>
        <v>0</v>
      </c>
      <c r="J3032">
        <f>'raw data Crude oil'!J3033</f>
        <v>0</v>
      </c>
      <c r="K3032">
        <f>'raw data Crude oil'!K3033</f>
        <v>0</v>
      </c>
      <c r="L3032">
        <f>'raw data Crude oil'!L3033</f>
        <v>0</v>
      </c>
      <c r="M3032">
        <f>'raw data Crude oil'!M3033</f>
        <v>0</v>
      </c>
      <c r="N3032">
        <f>'raw data Crude oil'!N3033</f>
        <v>0</v>
      </c>
      <c r="O3032">
        <f>'raw data Crude oil'!O3033</f>
        <v>0</v>
      </c>
      <c r="P3032">
        <f>'raw data Crude oil'!P3033</f>
        <v>0</v>
      </c>
      <c r="Q3032">
        <f>'raw data Crude oil'!Q3033</f>
        <v>0</v>
      </c>
      <c r="R3032">
        <f>'raw data Crude oil'!R3033</f>
        <v>0</v>
      </c>
      <c r="S3032">
        <f>'raw data Crude oil'!S3033</f>
        <v>0</v>
      </c>
      <c r="T3032">
        <f>'raw data Crude oil'!T3033</f>
        <v>0</v>
      </c>
      <c r="U3032">
        <f>'raw data Crude oil'!U3033</f>
        <v>0</v>
      </c>
      <c r="V3032">
        <f>'raw data Crude oil'!V3033</f>
        <v>0</v>
      </c>
      <c r="W3032">
        <f>'raw data Crude oil'!W3033</f>
        <v>0</v>
      </c>
      <c r="X3032">
        <f>'raw data Crude oil'!X3033</f>
        <v>0</v>
      </c>
      <c r="Y3032">
        <f>'raw data Crude oil'!Y3033</f>
        <v>0</v>
      </c>
      <c r="Z3032">
        <f>'raw data Crude oil'!Z3033</f>
        <v>0</v>
      </c>
      <c r="AA3032">
        <f>'raw data Crude oil'!AA3033</f>
        <v>0</v>
      </c>
      <c r="AB3032">
        <f>'raw data Crude oil'!AB3033</f>
        <v>0</v>
      </c>
      <c r="AC3032">
        <f>'raw data Crude oil'!AC3033</f>
        <v>0</v>
      </c>
      <c r="AD3032">
        <f>'raw data Crude oil'!AD3033</f>
        <v>0</v>
      </c>
      <c r="AE3032">
        <f>'raw data Crude oil'!AE3033</f>
        <v>0</v>
      </c>
      <c r="AF3032">
        <f>'raw data Crude oil'!AF3033</f>
        <v>0</v>
      </c>
      <c r="AG3032">
        <f>'raw data Crude oil'!AG3033</f>
        <v>0</v>
      </c>
      <c r="AH3032">
        <f>'raw data Crude oil'!AH3033</f>
        <v>0</v>
      </c>
      <c r="AI3032">
        <f>'raw data Crude oil'!AI3033</f>
        <v>0</v>
      </c>
      <c r="AJ3032">
        <f>'raw data Crude oil'!AJ3033</f>
        <v>0</v>
      </c>
      <c r="AK3032">
        <f>'raw data Crude oil'!AK3033</f>
        <v>0</v>
      </c>
    </row>
    <row r="3033" spans="1:37" x14ac:dyDescent="0.3">
      <c r="A3033" s="18">
        <f>'raw data Crude oil'!A3034</f>
        <v>0</v>
      </c>
      <c r="B3033">
        <f>'raw data Crude oil'!B3034</f>
        <v>0</v>
      </c>
      <c r="C3033">
        <f>'raw data Crude oil'!C3034</f>
        <v>0</v>
      </c>
      <c r="D3033">
        <f>'raw data Crude oil'!D3034</f>
        <v>0</v>
      </c>
      <c r="E3033">
        <f>'raw data Crude oil'!E3034</f>
        <v>0</v>
      </c>
      <c r="F3033">
        <f>'raw data Crude oil'!F3034</f>
        <v>0</v>
      </c>
      <c r="G3033">
        <f>'raw data Crude oil'!G3034</f>
        <v>0</v>
      </c>
      <c r="H3033">
        <f>'raw data Crude oil'!H3034</f>
        <v>0</v>
      </c>
      <c r="I3033">
        <f>'raw data Crude oil'!I3034</f>
        <v>0</v>
      </c>
      <c r="J3033">
        <f>'raw data Crude oil'!J3034</f>
        <v>0</v>
      </c>
      <c r="K3033">
        <f>'raw data Crude oil'!K3034</f>
        <v>0</v>
      </c>
      <c r="L3033">
        <f>'raw data Crude oil'!L3034</f>
        <v>0</v>
      </c>
      <c r="M3033">
        <f>'raw data Crude oil'!M3034</f>
        <v>0</v>
      </c>
      <c r="N3033">
        <f>'raw data Crude oil'!N3034</f>
        <v>0</v>
      </c>
      <c r="O3033">
        <f>'raw data Crude oil'!O3034</f>
        <v>0</v>
      </c>
      <c r="P3033">
        <f>'raw data Crude oil'!P3034</f>
        <v>0</v>
      </c>
      <c r="Q3033">
        <f>'raw data Crude oil'!Q3034</f>
        <v>0</v>
      </c>
      <c r="R3033">
        <f>'raw data Crude oil'!R3034</f>
        <v>0</v>
      </c>
      <c r="S3033">
        <f>'raw data Crude oil'!S3034</f>
        <v>0</v>
      </c>
      <c r="T3033">
        <f>'raw data Crude oil'!T3034</f>
        <v>0</v>
      </c>
      <c r="U3033">
        <f>'raw data Crude oil'!U3034</f>
        <v>0</v>
      </c>
      <c r="V3033">
        <f>'raw data Crude oil'!V3034</f>
        <v>0</v>
      </c>
      <c r="W3033">
        <f>'raw data Crude oil'!W3034</f>
        <v>0</v>
      </c>
      <c r="X3033">
        <f>'raw data Crude oil'!X3034</f>
        <v>0</v>
      </c>
      <c r="Y3033">
        <f>'raw data Crude oil'!Y3034</f>
        <v>0</v>
      </c>
      <c r="Z3033">
        <f>'raw data Crude oil'!Z3034</f>
        <v>0</v>
      </c>
      <c r="AA3033">
        <f>'raw data Crude oil'!AA3034</f>
        <v>0</v>
      </c>
      <c r="AB3033">
        <f>'raw data Crude oil'!AB3034</f>
        <v>0</v>
      </c>
      <c r="AC3033">
        <f>'raw data Crude oil'!AC3034</f>
        <v>0</v>
      </c>
      <c r="AD3033">
        <f>'raw data Crude oil'!AD3034</f>
        <v>0</v>
      </c>
      <c r="AE3033">
        <f>'raw data Crude oil'!AE3034</f>
        <v>0</v>
      </c>
      <c r="AF3033">
        <f>'raw data Crude oil'!AF3034</f>
        <v>0</v>
      </c>
      <c r="AG3033">
        <f>'raw data Crude oil'!AG3034</f>
        <v>0</v>
      </c>
      <c r="AH3033">
        <f>'raw data Crude oil'!AH3034</f>
        <v>0</v>
      </c>
      <c r="AI3033">
        <f>'raw data Crude oil'!AI3034</f>
        <v>0</v>
      </c>
      <c r="AJ3033">
        <f>'raw data Crude oil'!AJ3034</f>
        <v>0</v>
      </c>
      <c r="AK3033">
        <f>'raw data Crude oil'!AK3034</f>
        <v>0</v>
      </c>
    </row>
    <row r="3034" spans="1:37" x14ac:dyDescent="0.3">
      <c r="A3034" s="18">
        <f>'raw data Crude oil'!A3035</f>
        <v>0</v>
      </c>
      <c r="B3034">
        <f>'raw data Crude oil'!B3035</f>
        <v>0</v>
      </c>
      <c r="C3034">
        <f>'raw data Crude oil'!C3035</f>
        <v>0</v>
      </c>
      <c r="D3034">
        <f>'raw data Crude oil'!D3035</f>
        <v>0</v>
      </c>
      <c r="E3034">
        <f>'raw data Crude oil'!E3035</f>
        <v>0</v>
      </c>
      <c r="F3034">
        <f>'raw data Crude oil'!F3035</f>
        <v>0</v>
      </c>
      <c r="G3034">
        <f>'raw data Crude oil'!G3035</f>
        <v>0</v>
      </c>
      <c r="H3034">
        <f>'raw data Crude oil'!H3035</f>
        <v>0</v>
      </c>
      <c r="I3034">
        <f>'raw data Crude oil'!I3035</f>
        <v>0</v>
      </c>
      <c r="J3034">
        <f>'raw data Crude oil'!J3035</f>
        <v>0</v>
      </c>
      <c r="K3034">
        <f>'raw data Crude oil'!K3035</f>
        <v>0</v>
      </c>
      <c r="L3034">
        <f>'raw data Crude oil'!L3035</f>
        <v>0</v>
      </c>
      <c r="M3034">
        <f>'raw data Crude oil'!M3035</f>
        <v>0</v>
      </c>
      <c r="N3034">
        <f>'raw data Crude oil'!N3035</f>
        <v>0</v>
      </c>
      <c r="O3034">
        <f>'raw data Crude oil'!O3035</f>
        <v>0</v>
      </c>
      <c r="P3034">
        <f>'raw data Crude oil'!P3035</f>
        <v>0</v>
      </c>
      <c r="Q3034">
        <f>'raw data Crude oil'!Q3035</f>
        <v>0</v>
      </c>
      <c r="R3034">
        <f>'raw data Crude oil'!R3035</f>
        <v>0</v>
      </c>
      <c r="S3034">
        <f>'raw data Crude oil'!S3035</f>
        <v>0</v>
      </c>
      <c r="T3034">
        <f>'raw data Crude oil'!T3035</f>
        <v>0</v>
      </c>
      <c r="U3034">
        <f>'raw data Crude oil'!U3035</f>
        <v>0</v>
      </c>
      <c r="V3034">
        <f>'raw data Crude oil'!V3035</f>
        <v>0</v>
      </c>
      <c r="W3034">
        <f>'raw data Crude oil'!W3035</f>
        <v>0</v>
      </c>
      <c r="X3034">
        <f>'raw data Crude oil'!X3035</f>
        <v>0</v>
      </c>
      <c r="Y3034">
        <f>'raw data Crude oil'!Y3035</f>
        <v>0</v>
      </c>
      <c r="Z3034">
        <f>'raw data Crude oil'!Z3035</f>
        <v>0</v>
      </c>
      <c r="AA3034">
        <f>'raw data Crude oil'!AA3035</f>
        <v>0</v>
      </c>
      <c r="AB3034">
        <f>'raw data Crude oil'!AB3035</f>
        <v>0</v>
      </c>
      <c r="AC3034">
        <f>'raw data Crude oil'!AC3035</f>
        <v>0</v>
      </c>
      <c r="AD3034">
        <f>'raw data Crude oil'!AD3035</f>
        <v>0</v>
      </c>
      <c r="AE3034">
        <f>'raw data Crude oil'!AE3035</f>
        <v>0</v>
      </c>
      <c r="AF3034">
        <f>'raw data Crude oil'!AF3035</f>
        <v>0</v>
      </c>
      <c r="AG3034">
        <f>'raw data Crude oil'!AG3035</f>
        <v>0</v>
      </c>
      <c r="AH3034">
        <f>'raw data Crude oil'!AH3035</f>
        <v>0</v>
      </c>
      <c r="AI3034">
        <f>'raw data Crude oil'!AI3035</f>
        <v>0</v>
      </c>
      <c r="AJ3034">
        <f>'raw data Crude oil'!AJ3035</f>
        <v>0</v>
      </c>
      <c r="AK3034">
        <f>'raw data Crude oil'!AK3035</f>
        <v>0</v>
      </c>
    </row>
    <row r="3035" spans="1:37" x14ac:dyDescent="0.3">
      <c r="A3035" s="18">
        <f>'raw data Crude oil'!A3036</f>
        <v>0</v>
      </c>
      <c r="B3035">
        <f>'raw data Crude oil'!B3036</f>
        <v>0</v>
      </c>
      <c r="C3035">
        <f>'raw data Crude oil'!C3036</f>
        <v>0</v>
      </c>
      <c r="D3035">
        <f>'raw data Crude oil'!D3036</f>
        <v>0</v>
      </c>
      <c r="E3035">
        <f>'raw data Crude oil'!E3036</f>
        <v>0</v>
      </c>
      <c r="F3035">
        <f>'raw data Crude oil'!F3036</f>
        <v>0</v>
      </c>
      <c r="G3035">
        <f>'raw data Crude oil'!G3036</f>
        <v>0</v>
      </c>
      <c r="H3035">
        <f>'raw data Crude oil'!H3036</f>
        <v>0</v>
      </c>
      <c r="I3035">
        <f>'raw data Crude oil'!I3036</f>
        <v>0</v>
      </c>
      <c r="J3035">
        <f>'raw data Crude oil'!J3036</f>
        <v>0</v>
      </c>
      <c r="K3035">
        <f>'raw data Crude oil'!K3036</f>
        <v>0</v>
      </c>
      <c r="L3035">
        <f>'raw data Crude oil'!L3036</f>
        <v>0</v>
      </c>
      <c r="M3035">
        <f>'raw data Crude oil'!M3036</f>
        <v>0</v>
      </c>
      <c r="N3035">
        <f>'raw data Crude oil'!N3036</f>
        <v>0</v>
      </c>
      <c r="O3035">
        <f>'raw data Crude oil'!O3036</f>
        <v>0</v>
      </c>
      <c r="P3035">
        <f>'raw data Crude oil'!P3036</f>
        <v>0</v>
      </c>
      <c r="Q3035">
        <f>'raw data Crude oil'!Q3036</f>
        <v>0</v>
      </c>
      <c r="R3035">
        <f>'raw data Crude oil'!R3036</f>
        <v>0</v>
      </c>
      <c r="S3035">
        <f>'raw data Crude oil'!S3036</f>
        <v>0</v>
      </c>
      <c r="T3035">
        <f>'raw data Crude oil'!T3036</f>
        <v>0</v>
      </c>
      <c r="U3035">
        <f>'raw data Crude oil'!U3036</f>
        <v>0</v>
      </c>
      <c r="V3035">
        <f>'raw data Crude oil'!V3036</f>
        <v>0</v>
      </c>
      <c r="W3035">
        <f>'raw data Crude oil'!W3036</f>
        <v>0</v>
      </c>
      <c r="X3035">
        <f>'raw data Crude oil'!X3036</f>
        <v>0</v>
      </c>
      <c r="Y3035">
        <f>'raw data Crude oil'!Y3036</f>
        <v>0</v>
      </c>
      <c r="Z3035">
        <f>'raw data Crude oil'!Z3036</f>
        <v>0</v>
      </c>
      <c r="AA3035">
        <f>'raw data Crude oil'!AA3036</f>
        <v>0</v>
      </c>
      <c r="AB3035">
        <f>'raw data Crude oil'!AB3036</f>
        <v>0</v>
      </c>
      <c r="AC3035">
        <f>'raw data Crude oil'!AC3036</f>
        <v>0</v>
      </c>
      <c r="AD3035">
        <f>'raw data Crude oil'!AD3036</f>
        <v>0</v>
      </c>
      <c r="AE3035">
        <f>'raw data Crude oil'!AE3036</f>
        <v>0</v>
      </c>
      <c r="AF3035">
        <f>'raw data Crude oil'!AF3036</f>
        <v>0</v>
      </c>
      <c r="AG3035">
        <f>'raw data Crude oil'!AG3036</f>
        <v>0</v>
      </c>
      <c r="AH3035">
        <f>'raw data Crude oil'!AH3036</f>
        <v>0</v>
      </c>
      <c r="AI3035">
        <f>'raw data Crude oil'!AI3036</f>
        <v>0</v>
      </c>
      <c r="AJ3035">
        <f>'raw data Crude oil'!AJ3036</f>
        <v>0</v>
      </c>
      <c r="AK3035">
        <f>'raw data Crude oil'!AK3036</f>
        <v>0</v>
      </c>
    </row>
    <row r="3036" spans="1:37" x14ac:dyDescent="0.3">
      <c r="A3036" s="18">
        <f>'raw data Crude oil'!A3037</f>
        <v>0</v>
      </c>
      <c r="B3036">
        <f>'raw data Crude oil'!B3037</f>
        <v>0</v>
      </c>
      <c r="C3036">
        <f>'raw data Crude oil'!C3037</f>
        <v>0</v>
      </c>
      <c r="D3036">
        <f>'raw data Crude oil'!D3037</f>
        <v>0</v>
      </c>
      <c r="E3036">
        <f>'raw data Crude oil'!E3037</f>
        <v>0</v>
      </c>
      <c r="F3036">
        <f>'raw data Crude oil'!F3037</f>
        <v>0</v>
      </c>
      <c r="G3036">
        <f>'raw data Crude oil'!G3037</f>
        <v>0</v>
      </c>
      <c r="H3036">
        <f>'raw data Crude oil'!H3037</f>
        <v>0</v>
      </c>
      <c r="I3036">
        <f>'raw data Crude oil'!I3037</f>
        <v>0</v>
      </c>
      <c r="J3036">
        <f>'raw data Crude oil'!J3037</f>
        <v>0</v>
      </c>
      <c r="K3036">
        <f>'raw data Crude oil'!K3037</f>
        <v>0</v>
      </c>
      <c r="L3036">
        <f>'raw data Crude oil'!L3037</f>
        <v>0</v>
      </c>
      <c r="M3036">
        <f>'raw data Crude oil'!M3037</f>
        <v>0</v>
      </c>
      <c r="N3036">
        <f>'raw data Crude oil'!N3037</f>
        <v>0</v>
      </c>
      <c r="O3036">
        <f>'raw data Crude oil'!O3037</f>
        <v>0</v>
      </c>
      <c r="P3036">
        <f>'raw data Crude oil'!P3037</f>
        <v>0</v>
      </c>
      <c r="Q3036">
        <f>'raw data Crude oil'!Q3037</f>
        <v>0</v>
      </c>
      <c r="R3036">
        <f>'raw data Crude oil'!R3037</f>
        <v>0</v>
      </c>
      <c r="S3036">
        <f>'raw data Crude oil'!S3037</f>
        <v>0</v>
      </c>
      <c r="T3036">
        <f>'raw data Crude oil'!T3037</f>
        <v>0</v>
      </c>
      <c r="U3036">
        <f>'raw data Crude oil'!U3037</f>
        <v>0</v>
      </c>
      <c r="V3036">
        <f>'raw data Crude oil'!V3037</f>
        <v>0</v>
      </c>
      <c r="W3036">
        <f>'raw data Crude oil'!W3037</f>
        <v>0</v>
      </c>
      <c r="X3036">
        <f>'raw data Crude oil'!X3037</f>
        <v>0</v>
      </c>
      <c r="Y3036">
        <f>'raw data Crude oil'!Y3037</f>
        <v>0</v>
      </c>
      <c r="Z3036">
        <f>'raw data Crude oil'!Z3037</f>
        <v>0</v>
      </c>
      <c r="AA3036">
        <f>'raw data Crude oil'!AA3037</f>
        <v>0</v>
      </c>
      <c r="AB3036">
        <f>'raw data Crude oil'!AB3037</f>
        <v>0</v>
      </c>
      <c r="AC3036">
        <f>'raw data Crude oil'!AC3037</f>
        <v>0</v>
      </c>
      <c r="AD3036">
        <f>'raw data Crude oil'!AD3037</f>
        <v>0</v>
      </c>
      <c r="AE3036">
        <f>'raw data Crude oil'!AE3037</f>
        <v>0</v>
      </c>
      <c r="AF3036">
        <f>'raw data Crude oil'!AF3037</f>
        <v>0</v>
      </c>
      <c r="AG3036">
        <f>'raw data Crude oil'!AG3037</f>
        <v>0</v>
      </c>
      <c r="AH3036">
        <f>'raw data Crude oil'!AH3037</f>
        <v>0</v>
      </c>
      <c r="AI3036">
        <f>'raw data Crude oil'!AI3037</f>
        <v>0</v>
      </c>
      <c r="AJ3036">
        <f>'raw data Crude oil'!AJ3037</f>
        <v>0</v>
      </c>
      <c r="AK3036">
        <f>'raw data Crude oil'!AK3037</f>
        <v>0</v>
      </c>
    </row>
    <row r="3037" spans="1:37" x14ac:dyDescent="0.3">
      <c r="A3037" s="18">
        <f>'raw data Crude oil'!A3038</f>
        <v>0</v>
      </c>
      <c r="B3037">
        <f>'raw data Crude oil'!B3038</f>
        <v>0</v>
      </c>
      <c r="C3037">
        <f>'raw data Crude oil'!C3038</f>
        <v>0</v>
      </c>
      <c r="D3037">
        <f>'raw data Crude oil'!D3038</f>
        <v>0</v>
      </c>
      <c r="E3037">
        <f>'raw data Crude oil'!E3038</f>
        <v>0</v>
      </c>
      <c r="F3037">
        <f>'raw data Crude oil'!F3038</f>
        <v>0</v>
      </c>
      <c r="G3037">
        <f>'raw data Crude oil'!G3038</f>
        <v>0</v>
      </c>
      <c r="H3037">
        <f>'raw data Crude oil'!H3038</f>
        <v>0</v>
      </c>
      <c r="I3037">
        <f>'raw data Crude oil'!I3038</f>
        <v>0</v>
      </c>
      <c r="J3037">
        <f>'raw data Crude oil'!J3038</f>
        <v>0</v>
      </c>
      <c r="K3037">
        <f>'raw data Crude oil'!K3038</f>
        <v>0</v>
      </c>
      <c r="L3037">
        <f>'raw data Crude oil'!L3038</f>
        <v>0</v>
      </c>
      <c r="M3037">
        <f>'raw data Crude oil'!M3038</f>
        <v>0</v>
      </c>
      <c r="N3037">
        <f>'raw data Crude oil'!N3038</f>
        <v>0</v>
      </c>
      <c r="O3037">
        <f>'raw data Crude oil'!O3038</f>
        <v>0</v>
      </c>
      <c r="P3037">
        <f>'raw data Crude oil'!P3038</f>
        <v>0</v>
      </c>
      <c r="Q3037">
        <f>'raw data Crude oil'!Q3038</f>
        <v>0</v>
      </c>
      <c r="R3037">
        <f>'raw data Crude oil'!R3038</f>
        <v>0</v>
      </c>
      <c r="S3037">
        <f>'raw data Crude oil'!S3038</f>
        <v>0</v>
      </c>
      <c r="T3037">
        <f>'raw data Crude oil'!T3038</f>
        <v>0</v>
      </c>
      <c r="U3037">
        <f>'raw data Crude oil'!U3038</f>
        <v>0</v>
      </c>
      <c r="V3037">
        <f>'raw data Crude oil'!V3038</f>
        <v>0</v>
      </c>
      <c r="W3037">
        <f>'raw data Crude oil'!W3038</f>
        <v>0</v>
      </c>
      <c r="X3037">
        <f>'raw data Crude oil'!X3038</f>
        <v>0</v>
      </c>
      <c r="Y3037">
        <f>'raw data Crude oil'!Y3038</f>
        <v>0</v>
      </c>
      <c r="Z3037">
        <f>'raw data Crude oil'!Z3038</f>
        <v>0</v>
      </c>
      <c r="AA3037">
        <f>'raw data Crude oil'!AA3038</f>
        <v>0</v>
      </c>
      <c r="AB3037">
        <f>'raw data Crude oil'!AB3038</f>
        <v>0</v>
      </c>
      <c r="AC3037">
        <f>'raw data Crude oil'!AC3038</f>
        <v>0</v>
      </c>
      <c r="AD3037">
        <f>'raw data Crude oil'!AD3038</f>
        <v>0</v>
      </c>
      <c r="AE3037">
        <f>'raw data Crude oil'!AE3038</f>
        <v>0</v>
      </c>
      <c r="AF3037">
        <f>'raw data Crude oil'!AF3038</f>
        <v>0</v>
      </c>
      <c r="AG3037">
        <f>'raw data Crude oil'!AG3038</f>
        <v>0</v>
      </c>
      <c r="AH3037">
        <f>'raw data Crude oil'!AH3038</f>
        <v>0</v>
      </c>
      <c r="AI3037">
        <f>'raw data Crude oil'!AI3038</f>
        <v>0</v>
      </c>
      <c r="AJ3037">
        <f>'raw data Crude oil'!AJ3038</f>
        <v>0</v>
      </c>
      <c r="AK3037">
        <f>'raw data Crude oil'!AK3038</f>
        <v>0</v>
      </c>
    </row>
    <row r="3038" spans="1:37" x14ac:dyDescent="0.3">
      <c r="A3038" s="18">
        <f>'raw data Crude oil'!A3039</f>
        <v>0</v>
      </c>
      <c r="B3038">
        <f>'raw data Crude oil'!B3039</f>
        <v>0</v>
      </c>
      <c r="C3038">
        <f>'raw data Crude oil'!C3039</f>
        <v>0</v>
      </c>
      <c r="D3038">
        <f>'raw data Crude oil'!D3039</f>
        <v>0</v>
      </c>
      <c r="E3038">
        <f>'raw data Crude oil'!E3039</f>
        <v>0</v>
      </c>
      <c r="F3038">
        <f>'raw data Crude oil'!F3039</f>
        <v>0</v>
      </c>
      <c r="G3038">
        <f>'raw data Crude oil'!G3039</f>
        <v>0</v>
      </c>
      <c r="H3038">
        <f>'raw data Crude oil'!H3039</f>
        <v>0</v>
      </c>
      <c r="I3038">
        <f>'raw data Crude oil'!I3039</f>
        <v>0</v>
      </c>
      <c r="J3038">
        <f>'raw data Crude oil'!J3039</f>
        <v>0</v>
      </c>
      <c r="K3038">
        <f>'raw data Crude oil'!K3039</f>
        <v>0</v>
      </c>
      <c r="L3038">
        <f>'raw data Crude oil'!L3039</f>
        <v>0</v>
      </c>
      <c r="M3038">
        <f>'raw data Crude oil'!M3039</f>
        <v>0</v>
      </c>
      <c r="N3038">
        <f>'raw data Crude oil'!N3039</f>
        <v>0</v>
      </c>
      <c r="O3038">
        <f>'raw data Crude oil'!O3039</f>
        <v>0</v>
      </c>
      <c r="P3038">
        <f>'raw data Crude oil'!P3039</f>
        <v>0</v>
      </c>
      <c r="Q3038">
        <f>'raw data Crude oil'!Q3039</f>
        <v>0</v>
      </c>
      <c r="R3038">
        <f>'raw data Crude oil'!R3039</f>
        <v>0</v>
      </c>
      <c r="S3038">
        <f>'raw data Crude oil'!S3039</f>
        <v>0</v>
      </c>
      <c r="T3038">
        <f>'raw data Crude oil'!T3039</f>
        <v>0</v>
      </c>
      <c r="U3038">
        <f>'raw data Crude oil'!U3039</f>
        <v>0</v>
      </c>
      <c r="V3038">
        <f>'raw data Crude oil'!V3039</f>
        <v>0</v>
      </c>
      <c r="W3038">
        <f>'raw data Crude oil'!W3039</f>
        <v>0</v>
      </c>
      <c r="X3038">
        <f>'raw data Crude oil'!X3039</f>
        <v>0</v>
      </c>
      <c r="Y3038">
        <f>'raw data Crude oil'!Y3039</f>
        <v>0</v>
      </c>
      <c r="Z3038">
        <f>'raw data Crude oil'!Z3039</f>
        <v>0</v>
      </c>
      <c r="AA3038">
        <f>'raw data Crude oil'!AA3039</f>
        <v>0</v>
      </c>
      <c r="AB3038">
        <f>'raw data Crude oil'!AB3039</f>
        <v>0</v>
      </c>
      <c r="AC3038">
        <f>'raw data Crude oil'!AC3039</f>
        <v>0</v>
      </c>
      <c r="AD3038">
        <f>'raw data Crude oil'!AD3039</f>
        <v>0</v>
      </c>
      <c r="AE3038">
        <f>'raw data Crude oil'!AE3039</f>
        <v>0</v>
      </c>
      <c r="AF3038">
        <f>'raw data Crude oil'!AF3039</f>
        <v>0</v>
      </c>
      <c r="AG3038">
        <f>'raw data Crude oil'!AG3039</f>
        <v>0</v>
      </c>
      <c r="AH3038">
        <f>'raw data Crude oil'!AH3039</f>
        <v>0</v>
      </c>
      <c r="AI3038">
        <f>'raw data Crude oil'!AI3039</f>
        <v>0</v>
      </c>
      <c r="AJ3038">
        <f>'raw data Crude oil'!AJ3039</f>
        <v>0</v>
      </c>
      <c r="AK3038">
        <f>'raw data Crude oil'!AK3039</f>
        <v>0</v>
      </c>
    </row>
    <row r="3039" spans="1:37" x14ac:dyDescent="0.3">
      <c r="A3039" s="18">
        <f>'raw data Crude oil'!A3040</f>
        <v>0</v>
      </c>
      <c r="B3039">
        <f>'raw data Crude oil'!B3040</f>
        <v>0</v>
      </c>
      <c r="C3039">
        <f>'raw data Crude oil'!C3040</f>
        <v>0</v>
      </c>
      <c r="D3039">
        <f>'raw data Crude oil'!D3040</f>
        <v>0</v>
      </c>
      <c r="E3039">
        <f>'raw data Crude oil'!E3040</f>
        <v>0</v>
      </c>
      <c r="F3039">
        <f>'raw data Crude oil'!F3040</f>
        <v>0</v>
      </c>
      <c r="G3039">
        <f>'raw data Crude oil'!G3040</f>
        <v>0</v>
      </c>
      <c r="H3039">
        <f>'raw data Crude oil'!H3040</f>
        <v>0</v>
      </c>
      <c r="I3039">
        <f>'raw data Crude oil'!I3040</f>
        <v>0</v>
      </c>
      <c r="J3039">
        <f>'raw data Crude oil'!J3040</f>
        <v>0</v>
      </c>
      <c r="K3039">
        <f>'raw data Crude oil'!K3040</f>
        <v>0</v>
      </c>
      <c r="L3039">
        <f>'raw data Crude oil'!L3040</f>
        <v>0</v>
      </c>
      <c r="M3039">
        <f>'raw data Crude oil'!M3040</f>
        <v>0</v>
      </c>
      <c r="N3039">
        <f>'raw data Crude oil'!N3040</f>
        <v>0</v>
      </c>
      <c r="O3039">
        <f>'raw data Crude oil'!O3040</f>
        <v>0</v>
      </c>
      <c r="P3039">
        <f>'raw data Crude oil'!P3040</f>
        <v>0</v>
      </c>
      <c r="Q3039">
        <f>'raw data Crude oil'!Q3040</f>
        <v>0</v>
      </c>
      <c r="R3039">
        <f>'raw data Crude oil'!R3040</f>
        <v>0</v>
      </c>
      <c r="S3039">
        <f>'raw data Crude oil'!S3040</f>
        <v>0</v>
      </c>
      <c r="T3039">
        <f>'raw data Crude oil'!T3040</f>
        <v>0</v>
      </c>
      <c r="U3039">
        <f>'raw data Crude oil'!U3040</f>
        <v>0</v>
      </c>
      <c r="V3039">
        <f>'raw data Crude oil'!V3040</f>
        <v>0</v>
      </c>
      <c r="W3039">
        <f>'raw data Crude oil'!W3040</f>
        <v>0</v>
      </c>
      <c r="X3039">
        <f>'raw data Crude oil'!X3040</f>
        <v>0</v>
      </c>
      <c r="Y3039">
        <f>'raw data Crude oil'!Y3040</f>
        <v>0</v>
      </c>
      <c r="Z3039">
        <f>'raw data Crude oil'!Z3040</f>
        <v>0</v>
      </c>
      <c r="AA3039">
        <f>'raw data Crude oil'!AA3040</f>
        <v>0</v>
      </c>
      <c r="AB3039">
        <f>'raw data Crude oil'!AB3040</f>
        <v>0</v>
      </c>
      <c r="AC3039">
        <f>'raw data Crude oil'!AC3040</f>
        <v>0</v>
      </c>
      <c r="AD3039">
        <f>'raw data Crude oil'!AD3040</f>
        <v>0</v>
      </c>
      <c r="AE3039">
        <f>'raw data Crude oil'!AE3040</f>
        <v>0</v>
      </c>
      <c r="AF3039">
        <f>'raw data Crude oil'!AF3040</f>
        <v>0</v>
      </c>
      <c r="AG3039">
        <f>'raw data Crude oil'!AG3040</f>
        <v>0</v>
      </c>
      <c r="AH3039">
        <f>'raw data Crude oil'!AH3040</f>
        <v>0</v>
      </c>
      <c r="AI3039">
        <f>'raw data Crude oil'!AI3040</f>
        <v>0</v>
      </c>
      <c r="AJ3039">
        <f>'raw data Crude oil'!AJ3040</f>
        <v>0</v>
      </c>
      <c r="AK3039">
        <f>'raw data Crude oil'!AK3040</f>
        <v>0</v>
      </c>
    </row>
    <row r="3040" spans="1:37" x14ac:dyDescent="0.3">
      <c r="A3040" s="18">
        <f>'raw data Crude oil'!A3041</f>
        <v>0</v>
      </c>
      <c r="B3040">
        <f>'raw data Crude oil'!B3041</f>
        <v>0</v>
      </c>
      <c r="C3040">
        <f>'raw data Crude oil'!C3041</f>
        <v>0</v>
      </c>
      <c r="D3040">
        <f>'raw data Crude oil'!D3041</f>
        <v>0</v>
      </c>
      <c r="E3040">
        <f>'raw data Crude oil'!E3041</f>
        <v>0</v>
      </c>
      <c r="F3040">
        <f>'raw data Crude oil'!F3041</f>
        <v>0</v>
      </c>
      <c r="G3040">
        <f>'raw data Crude oil'!G3041</f>
        <v>0</v>
      </c>
      <c r="H3040">
        <f>'raw data Crude oil'!H3041</f>
        <v>0</v>
      </c>
      <c r="I3040">
        <f>'raw data Crude oil'!I3041</f>
        <v>0</v>
      </c>
      <c r="J3040">
        <f>'raw data Crude oil'!J3041</f>
        <v>0</v>
      </c>
      <c r="K3040">
        <f>'raw data Crude oil'!K3041</f>
        <v>0</v>
      </c>
      <c r="L3040">
        <f>'raw data Crude oil'!L3041</f>
        <v>0</v>
      </c>
      <c r="M3040">
        <f>'raw data Crude oil'!M3041</f>
        <v>0</v>
      </c>
      <c r="N3040">
        <f>'raw data Crude oil'!N3041</f>
        <v>0</v>
      </c>
      <c r="O3040">
        <f>'raw data Crude oil'!O3041</f>
        <v>0</v>
      </c>
      <c r="P3040">
        <f>'raw data Crude oil'!P3041</f>
        <v>0</v>
      </c>
      <c r="Q3040">
        <f>'raw data Crude oil'!Q3041</f>
        <v>0</v>
      </c>
      <c r="R3040">
        <f>'raw data Crude oil'!R3041</f>
        <v>0</v>
      </c>
      <c r="S3040">
        <f>'raw data Crude oil'!S3041</f>
        <v>0</v>
      </c>
      <c r="T3040">
        <f>'raw data Crude oil'!T3041</f>
        <v>0</v>
      </c>
      <c r="U3040">
        <f>'raw data Crude oil'!U3041</f>
        <v>0</v>
      </c>
      <c r="V3040">
        <f>'raw data Crude oil'!V3041</f>
        <v>0</v>
      </c>
      <c r="W3040">
        <f>'raw data Crude oil'!W3041</f>
        <v>0</v>
      </c>
      <c r="X3040">
        <f>'raw data Crude oil'!X3041</f>
        <v>0</v>
      </c>
      <c r="Y3040">
        <f>'raw data Crude oil'!Y3041</f>
        <v>0</v>
      </c>
      <c r="Z3040">
        <f>'raw data Crude oil'!Z3041</f>
        <v>0</v>
      </c>
      <c r="AA3040">
        <f>'raw data Crude oil'!AA3041</f>
        <v>0</v>
      </c>
      <c r="AB3040">
        <f>'raw data Crude oil'!AB3041</f>
        <v>0</v>
      </c>
      <c r="AC3040">
        <f>'raw data Crude oil'!AC3041</f>
        <v>0</v>
      </c>
      <c r="AD3040">
        <f>'raw data Crude oil'!AD3041</f>
        <v>0</v>
      </c>
      <c r="AE3040">
        <f>'raw data Crude oil'!AE3041</f>
        <v>0</v>
      </c>
      <c r="AF3040">
        <f>'raw data Crude oil'!AF3041</f>
        <v>0</v>
      </c>
      <c r="AG3040">
        <f>'raw data Crude oil'!AG3041</f>
        <v>0</v>
      </c>
      <c r="AH3040">
        <f>'raw data Crude oil'!AH3041</f>
        <v>0</v>
      </c>
      <c r="AI3040">
        <f>'raw data Crude oil'!AI3041</f>
        <v>0</v>
      </c>
      <c r="AJ3040">
        <f>'raw data Crude oil'!AJ3041</f>
        <v>0</v>
      </c>
      <c r="AK3040">
        <f>'raw data Crude oil'!AK3041</f>
        <v>0</v>
      </c>
    </row>
    <row r="3041" spans="1:37" x14ac:dyDescent="0.3">
      <c r="A3041" s="18">
        <f>'raw data Crude oil'!A3042</f>
        <v>0</v>
      </c>
      <c r="B3041">
        <f>'raw data Crude oil'!B3042</f>
        <v>0</v>
      </c>
      <c r="C3041">
        <f>'raw data Crude oil'!C3042</f>
        <v>0</v>
      </c>
      <c r="D3041">
        <f>'raw data Crude oil'!D3042</f>
        <v>0</v>
      </c>
      <c r="E3041">
        <f>'raw data Crude oil'!E3042</f>
        <v>0</v>
      </c>
      <c r="F3041">
        <f>'raw data Crude oil'!F3042</f>
        <v>0</v>
      </c>
      <c r="G3041">
        <f>'raw data Crude oil'!G3042</f>
        <v>0</v>
      </c>
      <c r="H3041">
        <f>'raw data Crude oil'!H3042</f>
        <v>0</v>
      </c>
      <c r="I3041">
        <f>'raw data Crude oil'!I3042</f>
        <v>0</v>
      </c>
      <c r="J3041">
        <f>'raw data Crude oil'!J3042</f>
        <v>0</v>
      </c>
      <c r="K3041">
        <f>'raw data Crude oil'!K3042</f>
        <v>0</v>
      </c>
      <c r="L3041">
        <f>'raw data Crude oil'!L3042</f>
        <v>0</v>
      </c>
      <c r="M3041">
        <f>'raw data Crude oil'!M3042</f>
        <v>0</v>
      </c>
      <c r="N3041">
        <f>'raw data Crude oil'!N3042</f>
        <v>0</v>
      </c>
      <c r="O3041">
        <f>'raw data Crude oil'!O3042</f>
        <v>0</v>
      </c>
      <c r="P3041">
        <f>'raw data Crude oil'!P3042</f>
        <v>0</v>
      </c>
      <c r="Q3041">
        <f>'raw data Crude oil'!Q3042</f>
        <v>0</v>
      </c>
      <c r="R3041">
        <f>'raw data Crude oil'!R3042</f>
        <v>0</v>
      </c>
      <c r="S3041">
        <f>'raw data Crude oil'!S3042</f>
        <v>0</v>
      </c>
      <c r="T3041">
        <f>'raw data Crude oil'!T3042</f>
        <v>0</v>
      </c>
      <c r="U3041">
        <f>'raw data Crude oil'!U3042</f>
        <v>0</v>
      </c>
      <c r="V3041">
        <f>'raw data Crude oil'!V3042</f>
        <v>0</v>
      </c>
      <c r="W3041">
        <f>'raw data Crude oil'!W3042</f>
        <v>0</v>
      </c>
      <c r="X3041">
        <f>'raw data Crude oil'!X3042</f>
        <v>0</v>
      </c>
      <c r="Y3041">
        <f>'raw data Crude oil'!Y3042</f>
        <v>0</v>
      </c>
      <c r="Z3041">
        <f>'raw data Crude oil'!Z3042</f>
        <v>0</v>
      </c>
      <c r="AA3041">
        <f>'raw data Crude oil'!AA3042</f>
        <v>0</v>
      </c>
      <c r="AB3041">
        <f>'raw data Crude oil'!AB3042</f>
        <v>0</v>
      </c>
      <c r="AC3041">
        <f>'raw data Crude oil'!AC3042</f>
        <v>0</v>
      </c>
      <c r="AD3041">
        <f>'raw data Crude oil'!AD3042</f>
        <v>0</v>
      </c>
      <c r="AE3041">
        <f>'raw data Crude oil'!AE3042</f>
        <v>0</v>
      </c>
      <c r="AF3041">
        <f>'raw data Crude oil'!AF3042</f>
        <v>0</v>
      </c>
      <c r="AG3041">
        <f>'raw data Crude oil'!AG3042</f>
        <v>0</v>
      </c>
      <c r="AH3041">
        <f>'raw data Crude oil'!AH3042</f>
        <v>0</v>
      </c>
      <c r="AI3041">
        <f>'raw data Crude oil'!AI3042</f>
        <v>0</v>
      </c>
      <c r="AJ3041">
        <f>'raw data Crude oil'!AJ3042</f>
        <v>0</v>
      </c>
      <c r="AK3041">
        <f>'raw data Crude oil'!AK3042</f>
        <v>0</v>
      </c>
    </row>
    <row r="3042" spans="1:37" x14ac:dyDescent="0.3">
      <c r="A3042" s="18">
        <f>'raw data Crude oil'!A3043</f>
        <v>0</v>
      </c>
      <c r="B3042">
        <f>'raw data Crude oil'!B3043</f>
        <v>0</v>
      </c>
      <c r="C3042">
        <f>'raw data Crude oil'!C3043</f>
        <v>0</v>
      </c>
      <c r="D3042">
        <f>'raw data Crude oil'!D3043</f>
        <v>0</v>
      </c>
      <c r="E3042">
        <f>'raw data Crude oil'!E3043</f>
        <v>0</v>
      </c>
      <c r="F3042">
        <f>'raw data Crude oil'!F3043</f>
        <v>0</v>
      </c>
      <c r="G3042">
        <f>'raw data Crude oil'!G3043</f>
        <v>0</v>
      </c>
      <c r="H3042">
        <f>'raw data Crude oil'!H3043</f>
        <v>0</v>
      </c>
      <c r="I3042">
        <f>'raw data Crude oil'!I3043</f>
        <v>0</v>
      </c>
      <c r="J3042">
        <f>'raw data Crude oil'!J3043</f>
        <v>0</v>
      </c>
      <c r="K3042">
        <f>'raw data Crude oil'!K3043</f>
        <v>0</v>
      </c>
      <c r="L3042">
        <f>'raw data Crude oil'!L3043</f>
        <v>0</v>
      </c>
      <c r="M3042">
        <f>'raw data Crude oil'!M3043</f>
        <v>0</v>
      </c>
      <c r="N3042">
        <f>'raw data Crude oil'!N3043</f>
        <v>0</v>
      </c>
      <c r="O3042">
        <f>'raw data Crude oil'!O3043</f>
        <v>0</v>
      </c>
      <c r="P3042">
        <f>'raw data Crude oil'!P3043</f>
        <v>0</v>
      </c>
      <c r="Q3042">
        <f>'raw data Crude oil'!Q3043</f>
        <v>0</v>
      </c>
      <c r="R3042">
        <f>'raw data Crude oil'!R3043</f>
        <v>0</v>
      </c>
      <c r="S3042">
        <f>'raw data Crude oil'!S3043</f>
        <v>0</v>
      </c>
      <c r="T3042">
        <f>'raw data Crude oil'!T3043</f>
        <v>0</v>
      </c>
      <c r="U3042">
        <f>'raw data Crude oil'!U3043</f>
        <v>0</v>
      </c>
      <c r="V3042">
        <f>'raw data Crude oil'!V3043</f>
        <v>0</v>
      </c>
      <c r="W3042">
        <f>'raw data Crude oil'!W3043</f>
        <v>0</v>
      </c>
      <c r="X3042">
        <f>'raw data Crude oil'!X3043</f>
        <v>0</v>
      </c>
      <c r="Y3042">
        <f>'raw data Crude oil'!Y3043</f>
        <v>0</v>
      </c>
      <c r="Z3042">
        <f>'raw data Crude oil'!Z3043</f>
        <v>0</v>
      </c>
      <c r="AA3042">
        <f>'raw data Crude oil'!AA3043</f>
        <v>0</v>
      </c>
      <c r="AB3042">
        <f>'raw data Crude oil'!AB3043</f>
        <v>0</v>
      </c>
      <c r="AC3042">
        <f>'raw data Crude oil'!AC3043</f>
        <v>0</v>
      </c>
      <c r="AD3042">
        <f>'raw data Crude oil'!AD3043</f>
        <v>0</v>
      </c>
      <c r="AE3042">
        <f>'raw data Crude oil'!AE3043</f>
        <v>0</v>
      </c>
      <c r="AF3042">
        <f>'raw data Crude oil'!AF3043</f>
        <v>0</v>
      </c>
      <c r="AG3042">
        <f>'raw data Crude oil'!AG3043</f>
        <v>0</v>
      </c>
      <c r="AH3042">
        <f>'raw data Crude oil'!AH3043</f>
        <v>0</v>
      </c>
      <c r="AI3042">
        <f>'raw data Crude oil'!AI3043</f>
        <v>0</v>
      </c>
      <c r="AJ3042">
        <f>'raw data Crude oil'!AJ3043</f>
        <v>0</v>
      </c>
      <c r="AK3042">
        <f>'raw data Crude oil'!AK3043</f>
        <v>0</v>
      </c>
    </row>
    <row r="3043" spans="1:37" x14ac:dyDescent="0.3">
      <c r="A3043" s="18">
        <f>'raw data Crude oil'!A3044</f>
        <v>0</v>
      </c>
      <c r="B3043">
        <f>'raw data Crude oil'!B3044</f>
        <v>0</v>
      </c>
      <c r="C3043">
        <f>'raw data Crude oil'!C3044</f>
        <v>0</v>
      </c>
      <c r="D3043">
        <f>'raw data Crude oil'!D3044</f>
        <v>0</v>
      </c>
      <c r="E3043">
        <f>'raw data Crude oil'!E3044</f>
        <v>0</v>
      </c>
      <c r="F3043">
        <f>'raw data Crude oil'!F3044</f>
        <v>0</v>
      </c>
      <c r="G3043">
        <f>'raw data Crude oil'!G3044</f>
        <v>0</v>
      </c>
      <c r="H3043">
        <f>'raw data Crude oil'!H3044</f>
        <v>0</v>
      </c>
      <c r="I3043">
        <f>'raw data Crude oil'!I3044</f>
        <v>0</v>
      </c>
      <c r="J3043">
        <f>'raw data Crude oil'!J3044</f>
        <v>0</v>
      </c>
      <c r="K3043">
        <f>'raw data Crude oil'!K3044</f>
        <v>0</v>
      </c>
      <c r="L3043">
        <f>'raw data Crude oil'!L3044</f>
        <v>0</v>
      </c>
      <c r="M3043">
        <f>'raw data Crude oil'!M3044</f>
        <v>0</v>
      </c>
      <c r="N3043">
        <f>'raw data Crude oil'!N3044</f>
        <v>0</v>
      </c>
      <c r="O3043">
        <f>'raw data Crude oil'!O3044</f>
        <v>0</v>
      </c>
      <c r="P3043">
        <f>'raw data Crude oil'!P3044</f>
        <v>0</v>
      </c>
      <c r="Q3043">
        <f>'raw data Crude oil'!Q3044</f>
        <v>0</v>
      </c>
      <c r="R3043">
        <f>'raw data Crude oil'!R3044</f>
        <v>0</v>
      </c>
      <c r="S3043">
        <f>'raw data Crude oil'!S3044</f>
        <v>0</v>
      </c>
      <c r="T3043">
        <f>'raw data Crude oil'!T3044</f>
        <v>0</v>
      </c>
      <c r="U3043">
        <f>'raw data Crude oil'!U3044</f>
        <v>0</v>
      </c>
      <c r="V3043">
        <f>'raw data Crude oil'!V3044</f>
        <v>0</v>
      </c>
      <c r="W3043">
        <f>'raw data Crude oil'!W3044</f>
        <v>0</v>
      </c>
      <c r="X3043">
        <f>'raw data Crude oil'!X3044</f>
        <v>0</v>
      </c>
      <c r="Y3043">
        <f>'raw data Crude oil'!Y3044</f>
        <v>0</v>
      </c>
      <c r="Z3043">
        <f>'raw data Crude oil'!Z3044</f>
        <v>0</v>
      </c>
      <c r="AA3043">
        <f>'raw data Crude oil'!AA3044</f>
        <v>0</v>
      </c>
      <c r="AB3043">
        <f>'raw data Crude oil'!AB3044</f>
        <v>0</v>
      </c>
      <c r="AC3043">
        <f>'raw data Crude oil'!AC3044</f>
        <v>0</v>
      </c>
      <c r="AD3043">
        <f>'raw data Crude oil'!AD3044</f>
        <v>0</v>
      </c>
      <c r="AE3043">
        <f>'raw data Crude oil'!AE3044</f>
        <v>0</v>
      </c>
      <c r="AF3043">
        <f>'raw data Crude oil'!AF3044</f>
        <v>0</v>
      </c>
      <c r="AG3043">
        <f>'raw data Crude oil'!AG3044</f>
        <v>0</v>
      </c>
      <c r="AH3043">
        <f>'raw data Crude oil'!AH3044</f>
        <v>0</v>
      </c>
      <c r="AI3043">
        <f>'raw data Crude oil'!AI3044</f>
        <v>0</v>
      </c>
      <c r="AJ3043">
        <f>'raw data Crude oil'!AJ3044</f>
        <v>0</v>
      </c>
      <c r="AK3043">
        <f>'raw data Crude oil'!AK3044</f>
        <v>0</v>
      </c>
    </row>
    <row r="3044" spans="1:37" x14ac:dyDescent="0.3">
      <c r="A3044" s="18">
        <f>'raw data Crude oil'!A3045</f>
        <v>0</v>
      </c>
      <c r="B3044">
        <f>'raw data Crude oil'!B3045</f>
        <v>0</v>
      </c>
      <c r="C3044">
        <f>'raw data Crude oil'!C3045</f>
        <v>0</v>
      </c>
      <c r="D3044">
        <f>'raw data Crude oil'!D3045</f>
        <v>0</v>
      </c>
      <c r="E3044">
        <f>'raw data Crude oil'!E3045</f>
        <v>0</v>
      </c>
      <c r="F3044">
        <f>'raw data Crude oil'!F3045</f>
        <v>0</v>
      </c>
      <c r="G3044">
        <f>'raw data Crude oil'!G3045</f>
        <v>0</v>
      </c>
      <c r="H3044">
        <f>'raw data Crude oil'!H3045</f>
        <v>0</v>
      </c>
      <c r="I3044">
        <f>'raw data Crude oil'!I3045</f>
        <v>0</v>
      </c>
      <c r="J3044">
        <f>'raw data Crude oil'!J3045</f>
        <v>0</v>
      </c>
      <c r="K3044">
        <f>'raw data Crude oil'!K3045</f>
        <v>0</v>
      </c>
      <c r="L3044">
        <f>'raw data Crude oil'!L3045</f>
        <v>0</v>
      </c>
      <c r="M3044">
        <f>'raw data Crude oil'!M3045</f>
        <v>0</v>
      </c>
      <c r="N3044">
        <f>'raw data Crude oil'!N3045</f>
        <v>0</v>
      </c>
      <c r="O3044">
        <f>'raw data Crude oil'!O3045</f>
        <v>0</v>
      </c>
      <c r="P3044">
        <f>'raw data Crude oil'!P3045</f>
        <v>0</v>
      </c>
      <c r="Q3044">
        <f>'raw data Crude oil'!Q3045</f>
        <v>0</v>
      </c>
      <c r="R3044">
        <f>'raw data Crude oil'!R3045</f>
        <v>0</v>
      </c>
      <c r="S3044">
        <f>'raw data Crude oil'!S3045</f>
        <v>0</v>
      </c>
      <c r="T3044">
        <f>'raw data Crude oil'!T3045</f>
        <v>0</v>
      </c>
      <c r="U3044">
        <f>'raw data Crude oil'!U3045</f>
        <v>0</v>
      </c>
      <c r="V3044">
        <f>'raw data Crude oil'!V3045</f>
        <v>0</v>
      </c>
      <c r="W3044">
        <f>'raw data Crude oil'!W3045</f>
        <v>0</v>
      </c>
      <c r="X3044">
        <f>'raw data Crude oil'!X3045</f>
        <v>0</v>
      </c>
      <c r="Y3044">
        <f>'raw data Crude oil'!Y3045</f>
        <v>0</v>
      </c>
      <c r="Z3044">
        <f>'raw data Crude oil'!Z3045</f>
        <v>0</v>
      </c>
      <c r="AA3044">
        <f>'raw data Crude oil'!AA3045</f>
        <v>0</v>
      </c>
      <c r="AB3044">
        <f>'raw data Crude oil'!AB3045</f>
        <v>0</v>
      </c>
      <c r="AC3044">
        <f>'raw data Crude oil'!AC3045</f>
        <v>0</v>
      </c>
      <c r="AD3044">
        <f>'raw data Crude oil'!AD3045</f>
        <v>0</v>
      </c>
      <c r="AE3044">
        <f>'raw data Crude oil'!AE3045</f>
        <v>0</v>
      </c>
      <c r="AF3044">
        <f>'raw data Crude oil'!AF3045</f>
        <v>0</v>
      </c>
      <c r="AG3044">
        <f>'raw data Crude oil'!AG3045</f>
        <v>0</v>
      </c>
      <c r="AH3044">
        <f>'raw data Crude oil'!AH3045</f>
        <v>0</v>
      </c>
      <c r="AI3044">
        <f>'raw data Crude oil'!AI3045</f>
        <v>0</v>
      </c>
      <c r="AJ3044">
        <f>'raw data Crude oil'!AJ3045</f>
        <v>0</v>
      </c>
      <c r="AK3044">
        <f>'raw data Crude oil'!AK3045</f>
        <v>0</v>
      </c>
    </row>
    <row r="3045" spans="1:37" x14ac:dyDescent="0.3">
      <c r="A3045" s="18">
        <f>'raw data Crude oil'!A3046</f>
        <v>0</v>
      </c>
      <c r="B3045">
        <f>'raw data Crude oil'!B3046</f>
        <v>0</v>
      </c>
      <c r="C3045">
        <f>'raw data Crude oil'!C3046</f>
        <v>0</v>
      </c>
      <c r="D3045">
        <f>'raw data Crude oil'!D3046</f>
        <v>0</v>
      </c>
      <c r="E3045">
        <f>'raw data Crude oil'!E3046</f>
        <v>0</v>
      </c>
      <c r="F3045">
        <f>'raw data Crude oil'!F3046</f>
        <v>0</v>
      </c>
      <c r="G3045">
        <f>'raw data Crude oil'!G3046</f>
        <v>0</v>
      </c>
      <c r="H3045">
        <f>'raw data Crude oil'!H3046</f>
        <v>0</v>
      </c>
      <c r="I3045">
        <f>'raw data Crude oil'!I3046</f>
        <v>0</v>
      </c>
      <c r="J3045">
        <f>'raw data Crude oil'!J3046</f>
        <v>0</v>
      </c>
      <c r="K3045">
        <f>'raw data Crude oil'!K3046</f>
        <v>0</v>
      </c>
      <c r="L3045">
        <f>'raw data Crude oil'!L3046</f>
        <v>0</v>
      </c>
      <c r="M3045">
        <f>'raw data Crude oil'!M3046</f>
        <v>0</v>
      </c>
      <c r="N3045">
        <f>'raw data Crude oil'!N3046</f>
        <v>0</v>
      </c>
      <c r="O3045">
        <f>'raw data Crude oil'!O3046</f>
        <v>0</v>
      </c>
      <c r="P3045">
        <f>'raw data Crude oil'!P3046</f>
        <v>0</v>
      </c>
      <c r="Q3045">
        <f>'raw data Crude oil'!Q3046</f>
        <v>0</v>
      </c>
      <c r="R3045">
        <f>'raw data Crude oil'!R3046</f>
        <v>0</v>
      </c>
      <c r="S3045">
        <f>'raw data Crude oil'!S3046</f>
        <v>0</v>
      </c>
      <c r="T3045">
        <f>'raw data Crude oil'!T3046</f>
        <v>0</v>
      </c>
      <c r="U3045">
        <f>'raw data Crude oil'!U3046</f>
        <v>0</v>
      </c>
      <c r="V3045">
        <f>'raw data Crude oil'!V3046</f>
        <v>0</v>
      </c>
      <c r="W3045">
        <f>'raw data Crude oil'!W3046</f>
        <v>0</v>
      </c>
      <c r="X3045">
        <f>'raw data Crude oil'!X3046</f>
        <v>0</v>
      </c>
      <c r="Y3045">
        <f>'raw data Crude oil'!Y3046</f>
        <v>0</v>
      </c>
      <c r="Z3045">
        <f>'raw data Crude oil'!Z3046</f>
        <v>0</v>
      </c>
      <c r="AA3045">
        <f>'raw data Crude oil'!AA3046</f>
        <v>0</v>
      </c>
      <c r="AB3045">
        <f>'raw data Crude oil'!AB3046</f>
        <v>0</v>
      </c>
      <c r="AC3045">
        <f>'raw data Crude oil'!AC3046</f>
        <v>0</v>
      </c>
      <c r="AD3045">
        <f>'raw data Crude oil'!AD3046</f>
        <v>0</v>
      </c>
      <c r="AE3045">
        <f>'raw data Crude oil'!AE3046</f>
        <v>0</v>
      </c>
      <c r="AF3045">
        <f>'raw data Crude oil'!AF3046</f>
        <v>0</v>
      </c>
      <c r="AG3045">
        <f>'raw data Crude oil'!AG3046</f>
        <v>0</v>
      </c>
      <c r="AH3045">
        <f>'raw data Crude oil'!AH3046</f>
        <v>0</v>
      </c>
      <c r="AI3045">
        <f>'raw data Crude oil'!AI3046</f>
        <v>0</v>
      </c>
      <c r="AJ3045">
        <f>'raw data Crude oil'!AJ3046</f>
        <v>0</v>
      </c>
      <c r="AK3045">
        <f>'raw data Crude oil'!AK3046</f>
        <v>0</v>
      </c>
    </row>
    <row r="3046" spans="1:37" x14ac:dyDescent="0.3">
      <c r="A3046" s="18">
        <f>'raw data Crude oil'!A3047</f>
        <v>0</v>
      </c>
      <c r="B3046">
        <f>'raw data Crude oil'!B3047</f>
        <v>0</v>
      </c>
      <c r="C3046">
        <f>'raw data Crude oil'!C3047</f>
        <v>0</v>
      </c>
      <c r="D3046">
        <f>'raw data Crude oil'!D3047</f>
        <v>0</v>
      </c>
      <c r="E3046">
        <f>'raw data Crude oil'!E3047</f>
        <v>0</v>
      </c>
      <c r="F3046">
        <f>'raw data Crude oil'!F3047</f>
        <v>0</v>
      </c>
      <c r="G3046">
        <f>'raw data Crude oil'!G3047</f>
        <v>0</v>
      </c>
      <c r="H3046">
        <f>'raw data Crude oil'!H3047</f>
        <v>0</v>
      </c>
      <c r="I3046">
        <f>'raw data Crude oil'!I3047</f>
        <v>0</v>
      </c>
      <c r="J3046">
        <f>'raw data Crude oil'!J3047</f>
        <v>0</v>
      </c>
      <c r="K3046">
        <f>'raw data Crude oil'!K3047</f>
        <v>0</v>
      </c>
      <c r="L3046">
        <f>'raw data Crude oil'!L3047</f>
        <v>0</v>
      </c>
      <c r="M3046">
        <f>'raw data Crude oil'!M3047</f>
        <v>0</v>
      </c>
      <c r="N3046">
        <f>'raw data Crude oil'!N3047</f>
        <v>0</v>
      </c>
      <c r="O3046">
        <f>'raw data Crude oil'!O3047</f>
        <v>0</v>
      </c>
      <c r="P3046">
        <f>'raw data Crude oil'!P3047</f>
        <v>0</v>
      </c>
      <c r="Q3046">
        <f>'raw data Crude oil'!Q3047</f>
        <v>0</v>
      </c>
      <c r="R3046">
        <f>'raw data Crude oil'!R3047</f>
        <v>0</v>
      </c>
      <c r="S3046">
        <f>'raw data Crude oil'!S3047</f>
        <v>0</v>
      </c>
      <c r="T3046">
        <f>'raw data Crude oil'!T3047</f>
        <v>0</v>
      </c>
      <c r="U3046">
        <f>'raw data Crude oil'!U3047</f>
        <v>0</v>
      </c>
      <c r="V3046">
        <f>'raw data Crude oil'!V3047</f>
        <v>0</v>
      </c>
      <c r="W3046">
        <f>'raw data Crude oil'!W3047</f>
        <v>0</v>
      </c>
      <c r="X3046">
        <f>'raw data Crude oil'!X3047</f>
        <v>0</v>
      </c>
      <c r="Y3046">
        <f>'raw data Crude oil'!Y3047</f>
        <v>0</v>
      </c>
      <c r="Z3046">
        <f>'raw data Crude oil'!Z3047</f>
        <v>0</v>
      </c>
      <c r="AA3046">
        <f>'raw data Crude oil'!AA3047</f>
        <v>0</v>
      </c>
      <c r="AB3046">
        <f>'raw data Crude oil'!AB3047</f>
        <v>0</v>
      </c>
      <c r="AC3046">
        <f>'raw data Crude oil'!AC3047</f>
        <v>0</v>
      </c>
      <c r="AD3046">
        <f>'raw data Crude oil'!AD3047</f>
        <v>0</v>
      </c>
      <c r="AE3046">
        <f>'raw data Crude oil'!AE3047</f>
        <v>0</v>
      </c>
      <c r="AF3046">
        <f>'raw data Crude oil'!AF3047</f>
        <v>0</v>
      </c>
      <c r="AG3046">
        <f>'raw data Crude oil'!AG3047</f>
        <v>0</v>
      </c>
      <c r="AH3046">
        <f>'raw data Crude oil'!AH3047</f>
        <v>0</v>
      </c>
      <c r="AI3046">
        <f>'raw data Crude oil'!AI3047</f>
        <v>0</v>
      </c>
      <c r="AJ3046">
        <f>'raw data Crude oil'!AJ3047</f>
        <v>0</v>
      </c>
      <c r="AK3046">
        <f>'raw data Crude oil'!AK3047</f>
        <v>0</v>
      </c>
    </row>
    <row r="3047" spans="1:37" x14ac:dyDescent="0.3">
      <c r="A3047" s="18">
        <f>'raw data Crude oil'!A3048</f>
        <v>0</v>
      </c>
      <c r="B3047">
        <f>'raw data Crude oil'!B3048</f>
        <v>0</v>
      </c>
      <c r="C3047">
        <f>'raw data Crude oil'!C3048</f>
        <v>0</v>
      </c>
      <c r="D3047">
        <f>'raw data Crude oil'!D3048</f>
        <v>0</v>
      </c>
      <c r="E3047">
        <f>'raw data Crude oil'!E3048</f>
        <v>0</v>
      </c>
      <c r="F3047">
        <f>'raw data Crude oil'!F3048</f>
        <v>0</v>
      </c>
      <c r="G3047">
        <f>'raw data Crude oil'!G3048</f>
        <v>0</v>
      </c>
      <c r="H3047">
        <f>'raw data Crude oil'!H3048</f>
        <v>0</v>
      </c>
      <c r="I3047">
        <f>'raw data Crude oil'!I3048</f>
        <v>0</v>
      </c>
      <c r="J3047">
        <f>'raw data Crude oil'!J3048</f>
        <v>0</v>
      </c>
      <c r="K3047">
        <f>'raw data Crude oil'!K3048</f>
        <v>0</v>
      </c>
      <c r="L3047">
        <f>'raw data Crude oil'!L3048</f>
        <v>0</v>
      </c>
      <c r="M3047">
        <f>'raw data Crude oil'!M3048</f>
        <v>0</v>
      </c>
      <c r="N3047">
        <f>'raw data Crude oil'!N3048</f>
        <v>0</v>
      </c>
      <c r="O3047">
        <f>'raw data Crude oil'!O3048</f>
        <v>0</v>
      </c>
      <c r="P3047">
        <f>'raw data Crude oil'!P3048</f>
        <v>0</v>
      </c>
      <c r="Q3047">
        <f>'raw data Crude oil'!Q3048</f>
        <v>0</v>
      </c>
      <c r="R3047">
        <f>'raw data Crude oil'!R3048</f>
        <v>0</v>
      </c>
      <c r="S3047">
        <f>'raw data Crude oil'!S3048</f>
        <v>0</v>
      </c>
      <c r="T3047">
        <f>'raw data Crude oil'!T3048</f>
        <v>0</v>
      </c>
      <c r="U3047">
        <f>'raw data Crude oil'!U3048</f>
        <v>0</v>
      </c>
      <c r="V3047">
        <f>'raw data Crude oil'!V3048</f>
        <v>0</v>
      </c>
      <c r="W3047">
        <f>'raw data Crude oil'!W3048</f>
        <v>0</v>
      </c>
      <c r="X3047">
        <f>'raw data Crude oil'!X3048</f>
        <v>0</v>
      </c>
      <c r="Y3047">
        <f>'raw data Crude oil'!Y3048</f>
        <v>0</v>
      </c>
      <c r="Z3047">
        <f>'raw data Crude oil'!Z3048</f>
        <v>0</v>
      </c>
      <c r="AA3047">
        <f>'raw data Crude oil'!AA3048</f>
        <v>0</v>
      </c>
      <c r="AB3047">
        <f>'raw data Crude oil'!AB3048</f>
        <v>0</v>
      </c>
      <c r="AC3047">
        <f>'raw data Crude oil'!AC3048</f>
        <v>0</v>
      </c>
      <c r="AD3047">
        <f>'raw data Crude oil'!AD3048</f>
        <v>0</v>
      </c>
      <c r="AE3047">
        <f>'raw data Crude oil'!AE3048</f>
        <v>0</v>
      </c>
      <c r="AF3047">
        <f>'raw data Crude oil'!AF3048</f>
        <v>0</v>
      </c>
      <c r="AG3047">
        <f>'raw data Crude oil'!AG3048</f>
        <v>0</v>
      </c>
      <c r="AH3047">
        <f>'raw data Crude oil'!AH3048</f>
        <v>0</v>
      </c>
      <c r="AI3047">
        <f>'raw data Crude oil'!AI3048</f>
        <v>0</v>
      </c>
      <c r="AJ3047">
        <f>'raw data Crude oil'!AJ3048</f>
        <v>0</v>
      </c>
      <c r="AK3047">
        <f>'raw data Crude oil'!AK3048</f>
        <v>0</v>
      </c>
    </row>
    <row r="3048" spans="1:37" x14ac:dyDescent="0.3">
      <c r="A3048" s="18">
        <f>'raw data Crude oil'!A3049</f>
        <v>0</v>
      </c>
      <c r="B3048">
        <f>'raw data Crude oil'!B3049</f>
        <v>0</v>
      </c>
      <c r="C3048">
        <f>'raw data Crude oil'!C3049</f>
        <v>0</v>
      </c>
      <c r="D3048">
        <f>'raw data Crude oil'!D3049</f>
        <v>0</v>
      </c>
      <c r="E3048">
        <f>'raw data Crude oil'!E3049</f>
        <v>0</v>
      </c>
      <c r="F3048">
        <f>'raw data Crude oil'!F3049</f>
        <v>0</v>
      </c>
      <c r="G3048">
        <f>'raw data Crude oil'!G3049</f>
        <v>0</v>
      </c>
      <c r="H3048">
        <f>'raw data Crude oil'!H3049</f>
        <v>0</v>
      </c>
      <c r="I3048">
        <f>'raw data Crude oil'!I3049</f>
        <v>0</v>
      </c>
      <c r="J3048">
        <f>'raw data Crude oil'!J3049</f>
        <v>0</v>
      </c>
      <c r="K3048">
        <f>'raw data Crude oil'!K3049</f>
        <v>0</v>
      </c>
      <c r="L3048">
        <f>'raw data Crude oil'!L3049</f>
        <v>0</v>
      </c>
      <c r="M3048">
        <f>'raw data Crude oil'!M3049</f>
        <v>0</v>
      </c>
      <c r="N3048">
        <f>'raw data Crude oil'!N3049</f>
        <v>0</v>
      </c>
      <c r="O3048">
        <f>'raw data Crude oil'!O3049</f>
        <v>0</v>
      </c>
      <c r="P3048">
        <f>'raw data Crude oil'!P3049</f>
        <v>0</v>
      </c>
      <c r="Q3048">
        <f>'raw data Crude oil'!Q3049</f>
        <v>0</v>
      </c>
      <c r="R3048">
        <f>'raw data Crude oil'!R3049</f>
        <v>0</v>
      </c>
      <c r="S3048">
        <f>'raw data Crude oil'!S3049</f>
        <v>0</v>
      </c>
      <c r="T3048">
        <f>'raw data Crude oil'!T3049</f>
        <v>0</v>
      </c>
      <c r="U3048">
        <f>'raw data Crude oil'!U3049</f>
        <v>0</v>
      </c>
      <c r="V3048">
        <f>'raw data Crude oil'!V3049</f>
        <v>0</v>
      </c>
      <c r="W3048">
        <f>'raw data Crude oil'!W3049</f>
        <v>0</v>
      </c>
      <c r="X3048">
        <f>'raw data Crude oil'!X3049</f>
        <v>0</v>
      </c>
      <c r="Y3048">
        <f>'raw data Crude oil'!Y3049</f>
        <v>0</v>
      </c>
      <c r="Z3048">
        <f>'raw data Crude oil'!Z3049</f>
        <v>0</v>
      </c>
      <c r="AA3048">
        <f>'raw data Crude oil'!AA3049</f>
        <v>0</v>
      </c>
      <c r="AB3048">
        <f>'raw data Crude oil'!AB3049</f>
        <v>0</v>
      </c>
      <c r="AC3048">
        <f>'raw data Crude oil'!AC3049</f>
        <v>0</v>
      </c>
      <c r="AD3048">
        <f>'raw data Crude oil'!AD3049</f>
        <v>0</v>
      </c>
      <c r="AE3048">
        <f>'raw data Crude oil'!AE3049</f>
        <v>0</v>
      </c>
      <c r="AF3048">
        <f>'raw data Crude oil'!AF3049</f>
        <v>0</v>
      </c>
      <c r="AG3048">
        <f>'raw data Crude oil'!AG3049</f>
        <v>0</v>
      </c>
      <c r="AH3048">
        <f>'raw data Crude oil'!AH3049</f>
        <v>0</v>
      </c>
      <c r="AI3048">
        <f>'raw data Crude oil'!AI3049</f>
        <v>0</v>
      </c>
      <c r="AJ3048">
        <f>'raw data Crude oil'!AJ3049</f>
        <v>0</v>
      </c>
      <c r="AK3048">
        <f>'raw data Crude oil'!AK3049</f>
        <v>0</v>
      </c>
    </row>
    <row r="3049" spans="1:37" x14ac:dyDescent="0.3">
      <c r="A3049" s="18">
        <f>'raw data Crude oil'!A3050</f>
        <v>0</v>
      </c>
      <c r="B3049">
        <f>'raw data Crude oil'!B3050</f>
        <v>0</v>
      </c>
      <c r="C3049">
        <f>'raw data Crude oil'!C3050</f>
        <v>0</v>
      </c>
      <c r="D3049">
        <f>'raw data Crude oil'!D3050</f>
        <v>0</v>
      </c>
      <c r="E3049">
        <f>'raw data Crude oil'!E3050</f>
        <v>0</v>
      </c>
      <c r="F3049">
        <f>'raw data Crude oil'!F3050</f>
        <v>0</v>
      </c>
      <c r="G3049">
        <f>'raw data Crude oil'!G3050</f>
        <v>0</v>
      </c>
      <c r="H3049">
        <f>'raw data Crude oil'!H3050</f>
        <v>0</v>
      </c>
      <c r="I3049">
        <f>'raw data Crude oil'!I3050</f>
        <v>0</v>
      </c>
      <c r="J3049">
        <f>'raw data Crude oil'!J3050</f>
        <v>0</v>
      </c>
      <c r="K3049">
        <f>'raw data Crude oil'!K3050</f>
        <v>0</v>
      </c>
      <c r="L3049">
        <f>'raw data Crude oil'!L3050</f>
        <v>0</v>
      </c>
      <c r="M3049">
        <f>'raw data Crude oil'!M3050</f>
        <v>0</v>
      </c>
      <c r="N3049">
        <f>'raw data Crude oil'!N3050</f>
        <v>0</v>
      </c>
      <c r="O3049">
        <f>'raw data Crude oil'!O3050</f>
        <v>0</v>
      </c>
      <c r="P3049">
        <f>'raw data Crude oil'!P3050</f>
        <v>0</v>
      </c>
      <c r="Q3049">
        <f>'raw data Crude oil'!Q3050</f>
        <v>0</v>
      </c>
      <c r="R3049">
        <f>'raw data Crude oil'!R3050</f>
        <v>0</v>
      </c>
      <c r="S3049">
        <f>'raw data Crude oil'!S3050</f>
        <v>0</v>
      </c>
      <c r="T3049">
        <f>'raw data Crude oil'!T3050</f>
        <v>0</v>
      </c>
      <c r="U3049">
        <f>'raw data Crude oil'!U3050</f>
        <v>0</v>
      </c>
      <c r="V3049">
        <f>'raw data Crude oil'!V3050</f>
        <v>0</v>
      </c>
      <c r="W3049">
        <f>'raw data Crude oil'!W3050</f>
        <v>0</v>
      </c>
      <c r="X3049">
        <f>'raw data Crude oil'!X3050</f>
        <v>0</v>
      </c>
      <c r="Y3049">
        <f>'raw data Crude oil'!Y3050</f>
        <v>0</v>
      </c>
      <c r="Z3049">
        <f>'raw data Crude oil'!Z3050</f>
        <v>0</v>
      </c>
      <c r="AA3049">
        <f>'raw data Crude oil'!AA3050</f>
        <v>0</v>
      </c>
      <c r="AB3049">
        <f>'raw data Crude oil'!AB3050</f>
        <v>0</v>
      </c>
      <c r="AC3049">
        <f>'raw data Crude oil'!AC3050</f>
        <v>0</v>
      </c>
      <c r="AD3049">
        <f>'raw data Crude oil'!AD3050</f>
        <v>0</v>
      </c>
      <c r="AE3049">
        <f>'raw data Crude oil'!AE3050</f>
        <v>0</v>
      </c>
      <c r="AF3049">
        <f>'raw data Crude oil'!AF3050</f>
        <v>0</v>
      </c>
      <c r="AG3049">
        <f>'raw data Crude oil'!AG3050</f>
        <v>0</v>
      </c>
      <c r="AH3049">
        <f>'raw data Crude oil'!AH3050</f>
        <v>0</v>
      </c>
      <c r="AI3049">
        <f>'raw data Crude oil'!AI3050</f>
        <v>0</v>
      </c>
      <c r="AJ3049">
        <f>'raw data Crude oil'!AJ3050</f>
        <v>0</v>
      </c>
      <c r="AK3049">
        <f>'raw data Crude oil'!AK3050</f>
        <v>0</v>
      </c>
    </row>
    <row r="3050" spans="1:37" x14ac:dyDescent="0.3">
      <c r="A3050" s="18">
        <f>'raw data Crude oil'!A3051</f>
        <v>0</v>
      </c>
      <c r="B3050">
        <f>'raw data Crude oil'!B3051</f>
        <v>0</v>
      </c>
      <c r="C3050">
        <f>'raw data Crude oil'!C3051</f>
        <v>0</v>
      </c>
      <c r="D3050">
        <f>'raw data Crude oil'!D3051</f>
        <v>0</v>
      </c>
      <c r="E3050">
        <f>'raw data Crude oil'!E3051</f>
        <v>0</v>
      </c>
      <c r="F3050">
        <f>'raw data Crude oil'!F3051</f>
        <v>0</v>
      </c>
      <c r="G3050">
        <f>'raw data Crude oil'!G3051</f>
        <v>0</v>
      </c>
      <c r="H3050">
        <f>'raw data Crude oil'!H3051</f>
        <v>0</v>
      </c>
      <c r="I3050">
        <f>'raw data Crude oil'!I3051</f>
        <v>0</v>
      </c>
      <c r="J3050">
        <f>'raw data Crude oil'!J3051</f>
        <v>0</v>
      </c>
      <c r="K3050">
        <f>'raw data Crude oil'!K3051</f>
        <v>0</v>
      </c>
      <c r="L3050">
        <f>'raw data Crude oil'!L3051</f>
        <v>0</v>
      </c>
      <c r="M3050">
        <f>'raw data Crude oil'!M3051</f>
        <v>0</v>
      </c>
      <c r="N3050">
        <f>'raw data Crude oil'!N3051</f>
        <v>0</v>
      </c>
      <c r="O3050">
        <f>'raw data Crude oil'!O3051</f>
        <v>0</v>
      </c>
      <c r="P3050">
        <f>'raw data Crude oil'!P3051</f>
        <v>0</v>
      </c>
      <c r="Q3050">
        <f>'raw data Crude oil'!Q3051</f>
        <v>0</v>
      </c>
      <c r="R3050">
        <f>'raw data Crude oil'!R3051</f>
        <v>0</v>
      </c>
      <c r="S3050">
        <f>'raw data Crude oil'!S3051</f>
        <v>0</v>
      </c>
      <c r="T3050">
        <f>'raw data Crude oil'!T3051</f>
        <v>0</v>
      </c>
      <c r="U3050">
        <f>'raw data Crude oil'!U3051</f>
        <v>0</v>
      </c>
      <c r="V3050">
        <f>'raw data Crude oil'!V3051</f>
        <v>0</v>
      </c>
      <c r="W3050">
        <f>'raw data Crude oil'!W3051</f>
        <v>0</v>
      </c>
      <c r="X3050">
        <f>'raw data Crude oil'!X3051</f>
        <v>0</v>
      </c>
      <c r="Y3050">
        <f>'raw data Crude oil'!Y3051</f>
        <v>0</v>
      </c>
      <c r="Z3050">
        <f>'raw data Crude oil'!Z3051</f>
        <v>0</v>
      </c>
      <c r="AA3050">
        <f>'raw data Crude oil'!AA3051</f>
        <v>0</v>
      </c>
      <c r="AB3050">
        <f>'raw data Crude oil'!AB3051</f>
        <v>0</v>
      </c>
      <c r="AC3050">
        <f>'raw data Crude oil'!AC3051</f>
        <v>0</v>
      </c>
      <c r="AD3050">
        <f>'raw data Crude oil'!AD3051</f>
        <v>0</v>
      </c>
      <c r="AE3050">
        <f>'raw data Crude oil'!AE3051</f>
        <v>0</v>
      </c>
      <c r="AF3050">
        <f>'raw data Crude oil'!AF3051</f>
        <v>0</v>
      </c>
      <c r="AG3050">
        <f>'raw data Crude oil'!AG3051</f>
        <v>0</v>
      </c>
      <c r="AH3050">
        <f>'raw data Crude oil'!AH3051</f>
        <v>0</v>
      </c>
      <c r="AI3050">
        <f>'raw data Crude oil'!AI3051</f>
        <v>0</v>
      </c>
      <c r="AJ3050">
        <f>'raw data Crude oil'!AJ3051</f>
        <v>0</v>
      </c>
      <c r="AK3050">
        <f>'raw data Crude oil'!AK3051</f>
        <v>0</v>
      </c>
    </row>
    <row r="3051" spans="1:37" x14ac:dyDescent="0.3">
      <c r="A3051" s="18">
        <f>'raw data Crude oil'!A3052</f>
        <v>0</v>
      </c>
      <c r="B3051">
        <f>'raw data Crude oil'!B3052</f>
        <v>0</v>
      </c>
      <c r="C3051">
        <f>'raw data Crude oil'!C3052</f>
        <v>0</v>
      </c>
      <c r="D3051">
        <f>'raw data Crude oil'!D3052</f>
        <v>0</v>
      </c>
      <c r="E3051">
        <f>'raw data Crude oil'!E3052</f>
        <v>0</v>
      </c>
      <c r="F3051">
        <f>'raw data Crude oil'!F3052</f>
        <v>0</v>
      </c>
      <c r="G3051">
        <f>'raw data Crude oil'!G3052</f>
        <v>0</v>
      </c>
      <c r="H3051">
        <f>'raw data Crude oil'!H3052</f>
        <v>0</v>
      </c>
      <c r="I3051">
        <f>'raw data Crude oil'!I3052</f>
        <v>0</v>
      </c>
      <c r="J3051">
        <f>'raw data Crude oil'!J3052</f>
        <v>0</v>
      </c>
      <c r="K3051">
        <f>'raw data Crude oil'!K3052</f>
        <v>0</v>
      </c>
      <c r="L3051">
        <f>'raw data Crude oil'!L3052</f>
        <v>0</v>
      </c>
      <c r="M3051">
        <f>'raw data Crude oil'!M3052</f>
        <v>0</v>
      </c>
      <c r="N3051">
        <f>'raw data Crude oil'!N3052</f>
        <v>0</v>
      </c>
      <c r="O3051">
        <f>'raw data Crude oil'!O3052</f>
        <v>0</v>
      </c>
      <c r="P3051">
        <f>'raw data Crude oil'!P3052</f>
        <v>0</v>
      </c>
      <c r="Q3051">
        <f>'raw data Crude oil'!Q3052</f>
        <v>0</v>
      </c>
      <c r="R3051">
        <f>'raw data Crude oil'!R3052</f>
        <v>0</v>
      </c>
      <c r="S3051">
        <f>'raw data Crude oil'!S3052</f>
        <v>0</v>
      </c>
      <c r="T3051">
        <f>'raw data Crude oil'!T3052</f>
        <v>0</v>
      </c>
      <c r="U3051">
        <f>'raw data Crude oil'!U3052</f>
        <v>0</v>
      </c>
      <c r="V3051">
        <f>'raw data Crude oil'!V3052</f>
        <v>0</v>
      </c>
      <c r="W3051">
        <f>'raw data Crude oil'!W3052</f>
        <v>0</v>
      </c>
      <c r="X3051">
        <f>'raw data Crude oil'!X3052</f>
        <v>0</v>
      </c>
      <c r="Y3051">
        <f>'raw data Crude oil'!Y3052</f>
        <v>0</v>
      </c>
      <c r="Z3051">
        <f>'raw data Crude oil'!Z3052</f>
        <v>0</v>
      </c>
      <c r="AA3051">
        <f>'raw data Crude oil'!AA3052</f>
        <v>0</v>
      </c>
      <c r="AB3051">
        <f>'raw data Crude oil'!AB3052</f>
        <v>0</v>
      </c>
      <c r="AC3051">
        <f>'raw data Crude oil'!AC3052</f>
        <v>0</v>
      </c>
      <c r="AD3051">
        <f>'raw data Crude oil'!AD3052</f>
        <v>0</v>
      </c>
      <c r="AE3051">
        <f>'raw data Crude oil'!AE3052</f>
        <v>0</v>
      </c>
      <c r="AF3051">
        <f>'raw data Crude oil'!AF3052</f>
        <v>0</v>
      </c>
      <c r="AG3051">
        <f>'raw data Crude oil'!AG3052</f>
        <v>0</v>
      </c>
      <c r="AH3051">
        <f>'raw data Crude oil'!AH3052</f>
        <v>0</v>
      </c>
      <c r="AI3051">
        <f>'raw data Crude oil'!AI3052</f>
        <v>0</v>
      </c>
      <c r="AJ3051">
        <f>'raw data Crude oil'!AJ3052</f>
        <v>0</v>
      </c>
      <c r="AK3051">
        <f>'raw data Crude oil'!AK3052</f>
        <v>0</v>
      </c>
    </row>
    <row r="3052" spans="1:37" x14ac:dyDescent="0.3">
      <c r="A3052" s="18">
        <f>'raw data Crude oil'!A3053</f>
        <v>0</v>
      </c>
      <c r="B3052">
        <f>'raw data Crude oil'!B3053</f>
        <v>0</v>
      </c>
      <c r="C3052">
        <f>'raw data Crude oil'!C3053</f>
        <v>0</v>
      </c>
      <c r="D3052">
        <f>'raw data Crude oil'!D3053</f>
        <v>0</v>
      </c>
      <c r="E3052">
        <f>'raw data Crude oil'!E3053</f>
        <v>0</v>
      </c>
      <c r="F3052">
        <f>'raw data Crude oil'!F3053</f>
        <v>0</v>
      </c>
      <c r="G3052">
        <f>'raw data Crude oil'!G3053</f>
        <v>0</v>
      </c>
      <c r="H3052">
        <f>'raw data Crude oil'!H3053</f>
        <v>0</v>
      </c>
      <c r="I3052">
        <f>'raw data Crude oil'!I3053</f>
        <v>0</v>
      </c>
      <c r="J3052">
        <f>'raw data Crude oil'!J3053</f>
        <v>0</v>
      </c>
      <c r="K3052">
        <f>'raw data Crude oil'!K3053</f>
        <v>0</v>
      </c>
      <c r="L3052">
        <f>'raw data Crude oil'!L3053</f>
        <v>0</v>
      </c>
      <c r="M3052">
        <f>'raw data Crude oil'!M3053</f>
        <v>0</v>
      </c>
      <c r="N3052">
        <f>'raw data Crude oil'!N3053</f>
        <v>0</v>
      </c>
      <c r="O3052">
        <f>'raw data Crude oil'!O3053</f>
        <v>0</v>
      </c>
      <c r="P3052">
        <f>'raw data Crude oil'!P3053</f>
        <v>0</v>
      </c>
      <c r="Q3052">
        <f>'raw data Crude oil'!Q3053</f>
        <v>0</v>
      </c>
      <c r="R3052">
        <f>'raw data Crude oil'!R3053</f>
        <v>0</v>
      </c>
      <c r="S3052">
        <f>'raw data Crude oil'!S3053</f>
        <v>0</v>
      </c>
      <c r="T3052">
        <f>'raw data Crude oil'!T3053</f>
        <v>0</v>
      </c>
      <c r="U3052">
        <f>'raw data Crude oil'!U3053</f>
        <v>0</v>
      </c>
      <c r="V3052">
        <f>'raw data Crude oil'!V3053</f>
        <v>0</v>
      </c>
      <c r="W3052">
        <f>'raw data Crude oil'!W3053</f>
        <v>0</v>
      </c>
      <c r="X3052">
        <f>'raw data Crude oil'!X3053</f>
        <v>0</v>
      </c>
      <c r="Y3052">
        <f>'raw data Crude oil'!Y3053</f>
        <v>0</v>
      </c>
      <c r="Z3052">
        <f>'raw data Crude oil'!Z3053</f>
        <v>0</v>
      </c>
      <c r="AA3052">
        <f>'raw data Crude oil'!AA3053</f>
        <v>0</v>
      </c>
      <c r="AB3052">
        <f>'raw data Crude oil'!AB3053</f>
        <v>0</v>
      </c>
      <c r="AC3052">
        <f>'raw data Crude oil'!AC3053</f>
        <v>0</v>
      </c>
      <c r="AD3052">
        <f>'raw data Crude oil'!AD3053</f>
        <v>0</v>
      </c>
      <c r="AE3052">
        <f>'raw data Crude oil'!AE3053</f>
        <v>0</v>
      </c>
      <c r="AF3052">
        <f>'raw data Crude oil'!AF3053</f>
        <v>0</v>
      </c>
      <c r="AG3052">
        <f>'raw data Crude oil'!AG3053</f>
        <v>0</v>
      </c>
      <c r="AH3052">
        <f>'raw data Crude oil'!AH3053</f>
        <v>0</v>
      </c>
      <c r="AI3052">
        <f>'raw data Crude oil'!AI3053</f>
        <v>0</v>
      </c>
      <c r="AJ3052">
        <f>'raw data Crude oil'!AJ3053</f>
        <v>0</v>
      </c>
      <c r="AK3052">
        <f>'raw data Crude oil'!AK3053</f>
        <v>0</v>
      </c>
    </row>
    <row r="3053" spans="1:37" x14ac:dyDescent="0.3">
      <c r="A3053" s="18">
        <f>'raw data Crude oil'!A3054</f>
        <v>0</v>
      </c>
      <c r="B3053">
        <f>'raw data Crude oil'!B3054</f>
        <v>0</v>
      </c>
      <c r="C3053">
        <f>'raw data Crude oil'!C3054</f>
        <v>0</v>
      </c>
      <c r="D3053">
        <f>'raw data Crude oil'!D3054</f>
        <v>0</v>
      </c>
      <c r="E3053">
        <f>'raw data Crude oil'!E3054</f>
        <v>0</v>
      </c>
      <c r="F3053">
        <f>'raw data Crude oil'!F3054</f>
        <v>0</v>
      </c>
      <c r="G3053">
        <f>'raw data Crude oil'!G3054</f>
        <v>0</v>
      </c>
      <c r="H3053">
        <f>'raw data Crude oil'!H3054</f>
        <v>0</v>
      </c>
      <c r="I3053">
        <f>'raw data Crude oil'!I3054</f>
        <v>0</v>
      </c>
      <c r="J3053">
        <f>'raw data Crude oil'!J3054</f>
        <v>0</v>
      </c>
      <c r="K3053">
        <f>'raw data Crude oil'!K3054</f>
        <v>0</v>
      </c>
      <c r="L3053">
        <f>'raw data Crude oil'!L3054</f>
        <v>0</v>
      </c>
      <c r="M3053">
        <f>'raw data Crude oil'!M3054</f>
        <v>0</v>
      </c>
      <c r="N3053">
        <f>'raw data Crude oil'!N3054</f>
        <v>0</v>
      </c>
      <c r="O3053">
        <f>'raw data Crude oil'!O3054</f>
        <v>0</v>
      </c>
      <c r="P3053">
        <f>'raw data Crude oil'!P3054</f>
        <v>0</v>
      </c>
      <c r="Q3053">
        <f>'raw data Crude oil'!Q3054</f>
        <v>0</v>
      </c>
      <c r="R3053">
        <f>'raw data Crude oil'!R3054</f>
        <v>0</v>
      </c>
      <c r="S3053">
        <f>'raw data Crude oil'!S3054</f>
        <v>0</v>
      </c>
      <c r="T3053">
        <f>'raw data Crude oil'!T3054</f>
        <v>0</v>
      </c>
      <c r="U3053">
        <f>'raw data Crude oil'!U3054</f>
        <v>0</v>
      </c>
      <c r="V3053">
        <f>'raw data Crude oil'!V3054</f>
        <v>0</v>
      </c>
      <c r="W3053">
        <f>'raw data Crude oil'!W3054</f>
        <v>0</v>
      </c>
      <c r="X3053">
        <f>'raw data Crude oil'!X3054</f>
        <v>0</v>
      </c>
      <c r="Y3053">
        <f>'raw data Crude oil'!Y3054</f>
        <v>0</v>
      </c>
      <c r="Z3053">
        <f>'raw data Crude oil'!Z3054</f>
        <v>0</v>
      </c>
      <c r="AA3053">
        <f>'raw data Crude oil'!AA3054</f>
        <v>0</v>
      </c>
      <c r="AB3053">
        <f>'raw data Crude oil'!AB3054</f>
        <v>0</v>
      </c>
      <c r="AC3053">
        <f>'raw data Crude oil'!AC3054</f>
        <v>0</v>
      </c>
      <c r="AD3053">
        <f>'raw data Crude oil'!AD3054</f>
        <v>0</v>
      </c>
      <c r="AE3053">
        <f>'raw data Crude oil'!AE3054</f>
        <v>0</v>
      </c>
      <c r="AF3053">
        <f>'raw data Crude oil'!AF3054</f>
        <v>0</v>
      </c>
      <c r="AG3053">
        <f>'raw data Crude oil'!AG3054</f>
        <v>0</v>
      </c>
      <c r="AH3053">
        <f>'raw data Crude oil'!AH3054</f>
        <v>0</v>
      </c>
      <c r="AI3053">
        <f>'raw data Crude oil'!AI3054</f>
        <v>0</v>
      </c>
      <c r="AJ3053">
        <f>'raw data Crude oil'!AJ3054</f>
        <v>0</v>
      </c>
      <c r="AK3053">
        <f>'raw data Crude oil'!AK3054</f>
        <v>0</v>
      </c>
    </row>
    <row r="3054" spans="1:37" x14ac:dyDescent="0.3">
      <c r="A3054" s="18">
        <f>'raw data Crude oil'!A3055</f>
        <v>0</v>
      </c>
      <c r="B3054">
        <f>'raw data Crude oil'!B3055</f>
        <v>0</v>
      </c>
      <c r="C3054">
        <f>'raw data Crude oil'!C3055</f>
        <v>0</v>
      </c>
      <c r="D3054">
        <f>'raw data Crude oil'!D3055</f>
        <v>0</v>
      </c>
      <c r="E3054">
        <f>'raw data Crude oil'!E3055</f>
        <v>0</v>
      </c>
      <c r="F3054">
        <f>'raw data Crude oil'!F3055</f>
        <v>0</v>
      </c>
      <c r="G3054">
        <f>'raw data Crude oil'!G3055</f>
        <v>0</v>
      </c>
      <c r="H3054">
        <f>'raw data Crude oil'!H3055</f>
        <v>0</v>
      </c>
      <c r="I3054">
        <f>'raw data Crude oil'!I3055</f>
        <v>0</v>
      </c>
      <c r="J3054">
        <f>'raw data Crude oil'!J3055</f>
        <v>0</v>
      </c>
      <c r="K3054">
        <f>'raw data Crude oil'!K3055</f>
        <v>0</v>
      </c>
      <c r="L3054">
        <f>'raw data Crude oil'!L3055</f>
        <v>0</v>
      </c>
      <c r="M3054">
        <f>'raw data Crude oil'!M3055</f>
        <v>0</v>
      </c>
      <c r="N3054">
        <f>'raw data Crude oil'!N3055</f>
        <v>0</v>
      </c>
      <c r="O3054">
        <f>'raw data Crude oil'!O3055</f>
        <v>0</v>
      </c>
      <c r="P3054">
        <f>'raw data Crude oil'!P3055</f>
        <v>0</v>
      </c>
      <c r="Q3054">
        <f>'raw data Crude oil'!Q3055</f>
        <v>0</v>
      </c>
      <c r="R3054">
        <f>'raw data Crude oil'!R3055</f>
        <v>0</v>
      </c>
      <c r="S3054">
        <f>'raw data Crude oil'!S3055</f>
        <v>0</v>
      </c>
      <c r="T3054">
        <f>'raw data Crude oil'!T3055</f>
        <v>0</v>
      </c>
      <c r="U3054">
        <f>'raw data Crude oil'!U3055</f>
        <v>0</v>
      </c>
      <c r="V3054">
        <f>'raw data Crude oil'!V3055</f>
        <v>0</v>
      </c>
      <c r="W3054">
        <f>'raw data Crude oil'!W3055</f>
        <v>0</v>
      </c>
      <c r="X3054">
        <f>'raw data Crude oil'!X3055</f>
        <v>0</v>
      </c>
      <c r="Y3054">
        <f>'raw data Crude oil'!Y3055</f>
        <v>0</v>
      </c>
      <c r="Z3054">
        <f>'raw data Crude oil'!Z3055</f>
        <v>0</v>
      </c>
      <c r="AA3054">
        <f>'raw data Crude oil'!AA3055</f>
        <v>0</v>
      </c>
      <c r="AB3054">
        <f>'raw data Crude oil'!AB3055</f>
        <v>0</v>
      </c>
      <c r="AC3054">
        <f>'raw data Crude oil'!AC3055</f>
        <v>0</v>
      </c>
      <c r="AD3054">
        <f>'raw data Crude oil'!AD3055</f>
        <v>0</v>
      </c>
      <c r="AE3054">
        <f>'raw data Crude oil'!AE3055</f>
        <v>0</v>
      </c>
      <c r="AF3054">
        <f>'raw data Crude oil'!AF3055</f>
        <v>0</v>
      </c>
      <c r="AG3054">
        <f>'raw data Crude oil'!AG3055</f>
        <v>0</v>
      </c>
      <c r="AH3054">
        <f>'raw data Crude oil'!AH3055</f>
        <v>0</v>
      </c>
      <c r="AI3054">
        <f>'raw data Crude oil'!AI3055</f>
        <v>0</v>
      </c>
      <c r="AJ3054">
        <f>'raw data Crude oil'!AJ3055</f>
        <v>0</v>
      </c>
      <c r="AK3054">
        <f>'raw data Crude oil'!AK3055</f>
        <v>0</v>
      </c>
    </row>
    <row r="3055" spans="1:37" x14ac:dyDescent="0.3">
      <c r="A3055" s="18">
        <f>'raw data Crude oil'!A3056</f>
        <v>0</v>
      </c>
      <c r="B3055">
        <f>'raw data Crude oil'!B3056</f>
        <v>0</v>
      </c>
      <c r="C3055">
        <f>'raw data Crude oil'!C3056</f>
        <v>0</v>
      </c>
      <c r="D3055">
        <f>'raw data Crude oil'!D3056</f>
        <v>0</v>
      </c>
      <c r="E3055">
        <f>'raw data Crude oil'!E3056</f>
        <v>0</v>
      </c>
      <c r="F3055">
        <f>'raw data Crude oil'!F3056</f>
        <v>0</v>
      </c>
      <c r="G3055">
        <f>'raw data Crude oil'!G3056</f>
        <v>0</v>
      </c>
      <c r="H3055">
        <f>'raw data Crude oil'!H3056</f>
        <v>0</v>
      </c>
      <c r="I3055">
        <f>'raw data Crude oil'!I3056</f>
        <v>0</v>
      </c>
      <c r="J3055">
        <f>'raw data Crude oil'!J3056</f>
        <v>0</v>
      </c>
      <c r="K3055">
        <f>'raw data Crude oil'!K3056</f>
        <v>0</v>
      </c>
      <c r="L3055">
        <f>'raw data Crude oil'!L3056</f>
        <v>0</v>
      </c>
      <c r="M3055">
        <f>'raw data Crude oil'!M3056</f>
        <v>0</v>
      </c>
      <c r="N3055">
        <f>'raw data Crude oil'!N3056</f>
        <v>0</v>
      </c>
      <c r="O3055">
        <f>'raw data Crude oil'!O3056</f>
        <v>0</v>
      </c>
      <c r="P3055">
        <f>'raw data Crude oil'!P3056</f>
        <v>0</v>
      </c>
      <c r="Q3055">
        <f>'raw data Crude oil'!Q3056</f>
        <v>0</v>
      </c>
      <c r="R3055">
        <f>'raw data Crude oil'!R3056</f>
        <v>0</v>
      </c>
      <c r="S3055">
        <f>'raw data Crude oil'!S3056</f>
        <v>0</v>
      </c>
      <c r="T3055">
        <f>'raw data Crude oil'!T3056</f>
        <v>0</v>
      </c>
      <c r="U3055">
        <f>'raw data Crude oil'!U3056</f>
        <v>0</v>
      </c>
      <c r="V3055">
        <f>'raw data Crude oil'!V3056</f>
        <v>0</v>
      </c>
      <c r="W3055">
        <f>'raw data Crude oil'!W3056</f>
        <v>0</v>
      </c>
      <c r="X3055">
        <f>'raw data Crude oil'!X3056</f>
        <v>0</v>
      </c>
      <c r="Y3055">
        <f>'raw data Crude oil'!Y3056</f>
        <v>0</v>
      </c>
      <c r="Z3055">
        <f>'raw data Crude oil'!Z3056</f>
        <v>0</v>
      </c>
      <c r="AA3055">
        <f>'raw data Crude oil'!AA3056</f>
        <v>0</v>
      </c>
      <c r="AB3055">
        <f>'raw data Crude oil'!AB3056</f>
        <v>0</v>
      </c>
      <c r="AC3055">
        <f>'raw data Crude oil'!AC3056</f>
        <v>0</v>
      </c>
      <c r="AD3055">
        <f>'raw data Crude oil'!AD3056</f>
        <v>0</v>
      </c>
      <c r="AE3055">
        <f>'raw data Crude oil'!AE3056</f>
        <v>0</v>
      </c>
      <c r="AF3055">
        <f>'raw data Crude oil'!AF3056</f>
        <v>0</v>
      </c>
      <c r="AG3055">
        <f>'raw data Crude oil'!AG3056</f>
        <v>0</v>
      </c>
      <c r="AH3055">
        <f>'raw data Crude oil'!AH3056</f>
        <v>0</v>
      </c>
      <c r="AI3055">
        <f>'raw data Crude oil'!AI3056</f>
        <v>0</v>
      </c>
      <c r="AJ3055">
        <f>'raw data Crude oil'!AJ3056</f>
        <v>0</v>
      </c>
      <c r="AK3055">
        <f>'raw data Crude oil'!AK3056</f>
        <v>0</v>
      </c>
    </row>
    <row r="3056" spans="1:37" x14ac:dyDescent="0.3">
      <c r="A3056" s="18">
        <f>'raw data Crude oil'!A3057</f>
        <v>0</v>
      </c>
      <c r="B3056">
        <f>'raw data Crude oil'!B3057</f>
        <v>0</v>
      </c>
      <c r="C3056">
        <f>'raw data Crude oil'!C3057</f>
        <v>0</v>
      </c>
      <c r="D3056">
        <f>'raw data Crude oil'!D3057</f>
        <v>0</v>
      </c>
      <c r="E3056">
        <f>'raw data Crude oil'!E3057</f>
        <v>0</v>
      </c>
      <c r="F3056">
        <f>'raw data Crude oil'!F3057</f>
        <v>0</v>
      </c>
      <c r="G3056">
        <f>'raw data Crude oil'!G3057</f>
        <v>0</v>
      </c>
      <c r="H3056">
        <f>'raw data Crude oil'!H3057</f>
        <v>0</v>
      </c>
      <c r="I3056">
        <f>'raw data Crude oil'!I3057</f>
        <v>0</v>
      </c>
      <c r="J3056">
        <f>'raw data Crude oil'!J3057</f>
        <v>0</v>
      </c>
      <c r="K3056">
        <f>'raw data Crude oil'!K3057</f>
        <v>0</v>
      </c>
      <c r="L3056">
        <f>'raw data Crude oil'!L3057</f>
        <v>0</v>
      </c>
      <c r="M3056">
        <f>'raw data Crude oil'!M3057</f>
        <v>0</v>
      </c>
      <c r="N3056">
        <f>'raw data Crude oil'!N3057</f>
        <v>0</v>
      </c>
      <c r="O3056">
        <f>'raw data Crude oil'!O3057</f>
        <v>0</v>
      </c>
      <c r="P3056">
        <f>'raw data Crude oil'!P3057</f>
        <v>0</v>
      </c>
      <c r="Q3056">
        <f>'raw data Crude oil'!Q3057</f>
        <v>0</v>
      </c>
      <c r="R3056">
        <f>'raw data Crude oil'!R3057</f>
        <v>0</v>
      </c>
      <c r="S3056">
        <f>'raw data Crude oil'!S3057</f>
        <v>0</v>
      </c>
      <c r="T3056">
        <f>'raw data Crude oil'!T3057</f>
        <v>0</v>
      </c>
      <c r="U3056">
        <f>'raw data Crude oil'!U3057</f>
        <v>0</v>
      </c>
      <c r="V3056">
        <f>'raw data Crude oil'!V3057</f>
        <v>0</v>
      </c>
      <c r="W3056">
        <f>'raw data Crude oil'!W3057</f>
        <v>0</v>
      </c>
      <c r="X3056">
        <f>'raw data Crude oil'!X3057</f>
        <v>0</v>
      </c>
      <c r="Y3056">
        <f>'raw data Crude oil'!Y3057</f>
        <v>0</v>
      </c>
      <c r="Z3056">
        <f>'raw data Crude oil'!Z3057</f>
        <v>0</v>
      </c>
      <c r="AA3056">
        <f>'raw data Crude oil'!AA3057</f>
        <v>0</v>
      </c>
      <c r="AB3056">
        <f>'raw data Crude oil'!AB3057</f>
        <v>0</v>
      </c>
      <c r="AC3056">
        <f>'raw data Crude oil'!AC3057</f>
        <v>0</v>
      </c>
      <c r="AD3056">
        <f>'raw data Crude oil'!AD3057</f>
        <v>0</v>
      </c>
      <c r="AE3056">
        <f>'raw data Crude oil'!AE3057</f>
        <v>0</v>
      </c>
      <c r="AF3056">
        <f>'raw data Crude oil'!AF3057</f>
        <v>0</v>
      </c>
      <c r="AG3056">
        <f>'raw data Crude oil'!AG3057</f>
        <v>0</v>
      </c>
      <c r="AH3056">
        <f>'raw data Crude oil'!AH3057</f>
        <v>0</v>
      </c>
      <c r="AI3056">
        <f>'raw data Crude oil'!AI3057</f>
        <v>0</v>
      </c>
      <c r="AJ3056">
        <f>'raw data Crude oil'!AJ3057</f>
        <v>0</v>
      </c>
      <c r="AK3056">
        <f>'raw data Crude oil'!AK3057</f>
        <v>0</v>
      </c>
    </row>
    <row r="3057" spans="1:37" x14ac:dyDescent="0.3">
      <c r="A3057" s="18">
        <f>'raw data Crude oil'!A3058</f>
        <v>0</v>
      </c>
      <c r="B3057">
        <f>'raw data Crude oil'!B3058</f>
        <v>0</v>
      </c>
      <c r="C3057">
        <f>'raw data Crude oil'!C3058</f>
        <v>0</v>
      </c>
      <c r="D3057">
        <f>'raw data Crude oil'!D3058</f>
        <v>0</v>
      </c>
      <c r="E3057">
        <f>'raw data Crude oil'!E3058</f>
        <v>0</v>
      </c>
      <c r="F3057">
        <f>'raw data Crude oil'!F3058</f>
        <v>0</v>
      </c>
      <c r="G3057">
        <f>'raw data Crude oil'!G3058</f>
        <v>0</v>
      </c>
      <c r="H3057">
        <f>'raw data Crude oil'!H3058</f>
        <v>0</v>
      </c>
      <c r="I3057">
        <f>'raw data Crude oil'!I3058</f>
        <v>0</v>
      </c>
      <c r="J3057">
        <f>'raw data Crude oil'!J3058</f>
        <v>0</v>
      </c>
      <c r="K3057">
        <f>'raw data Crude oil'!K3058</f>
        <v>0</v>
      </c>
      <c r="L3057">
        <f>'raw data Crude oil'!L3058</f>
        <v>0</v>
      </c>
      <c r="M3057">
        <f>'raw data Crude oil'!M3058</f>
        <v>0</v>
      </c>
      <c r="N3057">
        <f>'raw data Crude oil'!N3058</f>
        <v>0</v>
      </c>
      <c r="O3057">
        <f>'raw data Crude oil'!O3058</f>
        <v>0</v>
      </c>
      <c r="P3057">
        <f>'raw data Crude oil'!P3058</f>
        <v>0</v>
      </c>
      <c r="Q3057">
        <f>'raw data Crude oil'!Q3058</f>
        <v>0</v>
      </c>
      <c r="R3057">
        <f>'raw data Crude oil'!R3058</f>
        <v>0</v>
      </c>
      <c r="S3057">
        <f>'raw data Crude oil'!S3058</f>
        <v>0</v>
      </c>
      <c r="T3057">
        <f>'raw data Crude oil'!T3058</f>
        <v>0</v>
      </c>
      <c r="U3057">
        <f>'raw data Crude oil'!U3058</f>
        <v>0</v>
      </c>
      <c r="V3057">
        <f>'raw data Crude oil'!V3058</f>
        <v>0</v>
      </c>
      <c r="W3057">
        <f>'raw data Crude oil'!W3058</f>
        <v>0</v>
      </c>
      <c r="X3057">
        <f>'raw data Crude oil'!X3058</f>
        <v>0</v>
      </c>
      <c r="Y3057">
        <f>'raw data Crude oil'!Y3058</f>
        <v>0</v>
      </c>
      <c r="Z3057">
        <f>'raw data Crude oil'!Z3058</f>
        <v>0</v>
      </c>
      <c r="AA3057">
        <f>'raw data Crude oil'!AA3058</f>
        <v>0</v>
      </c>
      <c r="AB3057">
        <f>'raw data Crude oil'!AB3058</f>
        <v>0</v>
      </c>
      <c r="AC3057">
        <f>'raw data Crude oil'!AC3058</f>
        <v>0</v>
      </c>
      <c r="AD3057">
        <f>'raw data Crude oil'!AD3058</f>
        <v>0</v>
      </c>
      <c r="AE3057">
        <f>'raw data Crude oil'!AE3058</f>
        <v>0</v>
      </c>
      <c r="AF3057">
        <f>'raw data Crude oil'!AF3058</f>
        <v>0</v>
      </c>
      <c r="AG3057">
        <f>'raw data Crude oil'!AG3058</f>
        <v>0</v>
      </c>
      <c r="AH3057">
        <f>'raw data Crude oil'!AH3058</f>
        <v>0</v>
      </c>
      <c r="AI3057">
        <f>'raw data Crude oil'!AI3058</f>
        <v>0</v>
      </c>
      <c r="AJ3057">
        <f>'raw data Crude oil'!AJ3058</f>
        <v>0</v>
      </c>
      <c r="AK3057">
        <f>'raw data Crude oil'!AK3058</f>
        <v>0</v>
      </c>
    </row>
    <row r="3058" spans="1:37" x14ac:dyDescent="0.3">
      <c r="A3058" s="18">
        <f>'raw data Crude oil'!A3059</f>
        <v>0</v>
      </c>
      <c r="B3058">
        <f>'raw data Crude oil'!B3059</f>
        <v>0</v>
      </c>
      <c r="C3058">
        <f>'raw data Crude oil'!C3059</f>
        <v>0</v>
      </c>
      <c r="D3058">
        <f>'raw data Crude oil'!D3059</f>
        <v>0</v>
      </c>
      <c r="E3058">
        <f>'raw data Crude oil'!E3059</f>
        <v>0</v>
      </c>
      <c r="F3058">
        <f>'raw data Crude oil'!F3059</f>
        <v>0</v>
      </c>
      <c r="G3058">
        <f>'raw data Crude oil'!G3059</f>
        <v>0</v>
      </c>
      <c r="H3058">
        <f>'raw data Crude oil'!H3059</f>
        <v>0</v>
      </c>
      <c r="I3058">
        <f>'raw data Crude oil'!I3059</f>
        <v>0</v>
      </c>
      <c r="J3058">
        <f>'raw data Crude oil'!J3059</f>
        <v>0</v>
      </c>
      <c r="K3058">
        <f>'raw data Crude oil'!K3059</f>
        <v>0</v>
      </c>
      <c r="L3058">
        <f>'raw data Crude oil'!L3059</f>
        <v>0</v>
      </c>
      <c r="M3058">
        <f>'raw data Crude oil'!M3059</f>
        <v>0</v>
      </c>
      <c r="N3058">
        <f>'raw data Crude oil'!N3059</f>
        <v>0</v>
      </c>
      <c r="O3058">
        <f>'raw data Crude oil'!O3059</f>
        <v>0</v>
      </c>
      <c r="P3058">
        <f>'raw data Crude oil'!P3059</f>
        <v>0</v>
      </c>
      <c r="Q3058">
        <f>'raw data Crude oil'!Q3059</f>
        <v>0</v>
      </c>
      <c r="R3058">
        <f>'raw data Crude oil'!R3059</f>
        <v>0</v>
      </c>
      <c r="S3058">
        <f>'raw data Crude oil'!S3059</f>
        <v>0</v>
      </c>
      <c r="T3058">
        <f>'raw data Crude oil'!T3059</f>
        <v>0</v>
      </c>
      <c r="U3058">
        <f>'raw data Crude oil'!U3059</f>
        <v>0</v>
      </c>
      <c r="V3058">
        <f>'raw data Crude oil'!V3059</f>
        <v>0</v>
      </c>
      <c r="W3058">
        <f>'raw data Crude oil'!W3059</f>
        <v>0</v>
      </c>
      <c r="X3058">
        <f>'raw data Crude oil'!X3059</f>
        <v>0</v>
      </c>
      <c r="Y3058">
        <f>'raw data Crude oil'!Y3059</f>
        <v>0</v>
      </c>
      <c r="Z3058">
        <f>'raw data Crude oil'!Z3059</f>
        <v>0</v>
      </c>
      <c r="AA3058">
        <f>'raw data Crude oil'!AA3059</f>
        <v>0</v>
      </c>
      <c r="AB3058">
        <f>'raw data Crude oil'!AB3059</f>
        <v>0</v>
      </c>
      <c r="AC3058">
        <f>'raw data Crude oil'!AC3059</f>
        <v>0</v>
      </c>
      <c r="AD3058">
        <f>'raw data Crude oil'!AD3059</f>
        <v>0</v>
      </c>
      <c r="AE3058">
        <f>'raw data Crude oil'!AE3059</f>
        <v>0</v>
      </c>
      <c r="AF3058">
        <f>'raw data Crude oil'!AF3059</f>
        <v>0</v>
      </c>
      <c r="AG3058">
        <f>'raw data Crude oil'!AG3059</f>
        <v>0</v>
      </c>
      <c r="AH3058">
        <f>'raw data Crude oil'!AH3059</f>
        <v>0</v>
      </c>
      <c r="AI3058">
        <f>'raw data Crude oil'!AI3059</f>
        <v>0</v>
      </c>
      <c r="AJ3058">
        <f>'raw data Crude oil'!AJ3059</f>
        <v>0</v>
      </c>
      <c r="AK3058">
        <f>'raw data Crude oil'!AK3059</f>
        <v>0</v>
      </c>
    </row>
    <row r="3059" spans="1:37" x14ac:dyDescent="0.3">
      <c r="A3059" s="18">
        <f>'raw data Crude oil'!A3060</f>
        <v>0</v>
      </c>
      <c r="B3059">
        <f>'raw data Crude oil'!B3060</f>
        <v>0</v>
      </c>
      <c r="C3059">
        <f>'raw data Crude oil'!C3060</f>
        <v>0</v>
      </c>
      <c r="D3059">
        <f>'raw data Crude oil'!D3060</f>
        <v>0</v>
      </c>
      <c r="E3059">
        <f>'raw data Crude oil'!E3060</f>
        <v>0</v>
      </c>
      <c r="F3059">
        <f>'raw data Crude oil'!F3060</f>
        <v>0</v>
      </c>
      <c r="G3059">
        <f>'raw data Crude oil'!G3060</f>
        <v>0</v>
      </c>
      <c r="H3059">
        <f>'raw data Crude oil'!H3060</f>
        <v>0</v>
      </c>
      <c r="I3059">
        <f>'raw data Crude oil'!I3060</f>
        <v>0</v>
      </c>
      <c r="J3059">
        <f>'raw data Crude oil'!J3060</f>
        <v>0</v>
      </c>
      <c r="K3059">
        <f>'raw data Crude oil'!K3060</f>
        <v>0</v>
      </c>
      <c r="L3059">
        <f>'raw data Crude oil'!L3060</f>
        <v>0</v>
      </c>
      <c r="M3059">
        <f>'raw data Crude oil'!M3060</f>
        <v>0</v>
      </c>
      <c r="N3059">
        <f>'raw data Crude oil'!N3060</f>
        <v>0</v>
      </c>
      <c r="O3059">
        <f>'raw data Crude oil'!O3060</f>
        <v>0</v>
      </c>
      <c r="P3059">
        <f>'raw data Crude oil'!P3060</f>
        <v>0</v>
      </c>
      <c r="Q3059">
        <f>'raw data Crude oil'!Q3060</f>
        <v>0</v>
      </c>
      <c r="R3059">
        <f>'raw data Crude oil'!R3060</f>
        <v>0</v>
      </c>
      <c r="S3059">
        <f>'raw data Crude oil'!S3060</f>
        <v>0</v>
      </c>
      <c r="T3059">
        <f>'raw data Crude oil'!T3060</f>
        <v>0</v>
      </c>
      <c r="U3059">
        <f>'raw data Crude oil'!U3060</f>
        <v>0</v>
      </c>
      <c r="V3059">
        <f>'raw data Crude oil'!V3060</f>
        <v>0</v>
      </c>
      <c r="W3059">
        <f>'raw data Crude oil'!W3060</f>
        <v>0</v>
      </c>
      <c r="X3059">
        <f>'raw data Crude oil'!X3060</f>
        <v>0</v>
      </c>
      <c r="Y3059">
        <f>'raw data Crude oil'!Y3060</f>
        <v>0</v>
      </c>
      <c r="Z3059">
        <f>'raw data Crude oil'!Z3060</f>
        <v>0</v>
      </c>
      <c r="AA3059">
        <f>'raw data Crude oil'!AA3060</f>
        <v>0</v>
      </c>
      <c r="AB3059">
        <f>'raw data Crude oil'!AB3060</f>
        <v>0</v>
      </c>
      <c r="AC3059">
        <f>'raw data Crude oil'!AC3060</f>
        <v>0</v>
      </c>
      <c r="AD3059">
        <f>'raw data Crude oil'!AD3060</f>
        <v>0</v>
      </c>
      <c r="AE3059">
        <f>'raw data Crude oil'!AE3060</f>
        <v>0</v>
      </c>
      <c r="AF3059">
        <f>'raw data Crude oil'!AF3060</f>
        <v>0</v>
      </c>
      <c r="AG3059">
        <f>'raw data Crude oil'!AG3060</f>
        <v>0</v>
      </c>
      <c r="AH3059">
        <f>'raw data Crude oil'!AH3060</f>
        <v>0</v>
      </c>
      <c r="AI3059">
        <f>'raw data Crude oil'!AI3060</f>
        <v>0</v>
      </c>
      <c r="AJ3059">
        <f>'raw data Crude oil'!AJ3060</f>
        <v>0</v>
      </c>
      <c r="AK3059">
        <f>'raw data Crude oil'!AK3060</f>
        <v>0</v>
      </c>
    </row>
    <row r="3060" spans="1:37" x14ac:dyDescent="0.3">
      <c r="A3060" s="18">
        <f>'raw data Crude oil'!A3061</f>
        <v>0</v>
      </c>
      <c r="B3060">
        <f>'raw data Crude oil'!B3061</f>
        <v>0</v>
      </c>
      <c r="C3060">
        <f>'raw data Crude oil'!C3061</f>
        <v>0</v>
      </c>
      <c r="D3060">
        <f>'raw data Crude oil'!D3061</f>
        <v>0</v>
      </c>
      <c r="E3060">
        <f>'raw data Crude oil'!E3061</f>
        <v>0</v>
      </c>
      <c r="F3060">
        <f>'raw data Crude oil'!F3061</f>
        <v>0</v>
      </c>
      <c r="G3060">
        <f>'raw data Crude oil'!G3061</f>
        <v>0</v>
      </c>
      <c r="H3060">
        <f>'raw data Crude oil'!H3061</f>
        <v>0</v>
      </c>
      <c r="I3060">
        <f>'raw data Crude oil'!I3061</f>
        <v>0</v>
      </c>
      <c r="J3060">
        <f>'raw data Crude oil'!J3061</f>
        <v>0</v>
      </c>
      <c r="K3060">
        <f>'raw data Crude oil'!K3061</f>
        <v>0</v>
      </c>
      <c r="L3060">
        <f>'raw data Crude oil'!L3061</f>
        <v>0</v>
      </c>
      <c r="M3060">
        <f>'raw data Crude oil'!M3061</f>
        <v>0</v>
      </c>
      <c r="N3060">
        <f>'raw data Crude oil'!N3061</f>
        <v>0</v>
      </c>
      <c r="O3060">
        <f>'raw data Crude oil'!O3061</f>
        <v>0</v>
      </c>
      <c r="P3060">
        <f>'raw data Crude oil'!P3061</f>
        <v>0</v>
      </c>
      <c r="Q3060">
        <f>'raw data Crude oil'!Q3061</f>
        <v>0</v>
      </c>
      <c r="R3060">
        <f>'raw data Crude oil'!R3061</f>
        <v>0</v>
      </c>
      <c r="S3060">
        <f>'raw data Crude oil'!S3061</f>
        <v>0</v>
      </c>
      <c r="T3060">
        <f>'raw data Crude oil'!T3061</f>
        <v>0</v>
      </c>
      <c r="U3060">
        <f>'raw data Crude oil'!U3061</f>
        <v>0</v>
      </c>
      <c r="V3060">
        <f>'raw data Crude oil'!V3061</f>
        <v>0</v>
      </c>
      <c r="W3060">
        <f>'raw data Crude oil'!W3061</f>
        <v>0</v>
      </c>
      <c r="X3060">
        <f>'raw data Crude oil'!X3061</f>
        <v>0</v>
      </c>
      <c r="Y3060">
        <f>'raw data Crude oil'!Y3061</f>
        <v>0</v>
      </c>
      <c r="Z3060">
        <f>'raw data Crude oil'!Z3061</f>
        <v>0</v>
      </c>
      <c r="AA3060">
        <f>'raw data Crude oil'!AA3061</f>
        <v>0</v>
      </c>
      <c r="AB3060">
        <f>'raw data Crude oil'!AB3061</f>
        <v>0</v>
      </c>
      <c r="AC3060">
        <f>'raw data Crude oil'!AC3061</f>
        <v>0</v>
      </c>
      <c r="AD3060">
        <f>'raw data Crude oil'!AD3061</f>
        <v>0</v>
      </c>
      <c r="AE3060">
        <f>'raw data Crude oil'!AE3061</f>
        <v>0</v>
      </c>
      <c r="AF3060">
        <f>'raw data Crude oil'!AF3061</f>
        <v>0</v>
      </c>
      <c r="AG3060">
        <f>'raw data Crude oil'!AG3061</f>
        <v>0</v>
      </c>
      <c r="AH3060">
        <f>'raw data Crude oil'!AH3061</f>
        <v>0</v>
      </c>
      <c r="AI3060">
        <f>'raw data Crude oil'!AI3061</f>
        <v>0</v>
      </c>
      <c r="AJ3060">
        <f>'raw data Crude oil'!AJ3061</f>
        <v>0</v>
      </c>
      <c r="AK3060">
        <f>'raw data Crude oil'!AK3061</f>
        <v>0</v>
      </c>
    </row>
    <row r="3061" spans="1:37" x14ac:dyDescent="0.3">
      <c r="A3061" s="18">
        <f>'raw data Crude oil'!A3062</f>
        <v>0</v>
      </c>
      <c r="B3061">
        <f>'raw data Crude oil'!B3062</f>
        <v>0</v>
      </c>
      <c r="C3061">
        <f>'raw data Crude oil'!C3062</f>
        <v>0</v>
      </c>
      <c r="D3061">
        <f>'raw data Crude oil'!D3062</f>
        <v>0</v>
      </c>
      <c r="E3061">
        <f>'raw data Crude oil'!E3062</f>
        <v>0</v>
      </c>
      <c r="F3061">
        <f>'raw data Crude oil'!F3062</f>
        <v>0</v>
      </c>
      <c r="G3061">
        <f>'raw data Crude oil'!G3062</f>
        <v>0</v>
      </c>
      <c r="H3061">
        <f>'raw data Crude oil'!H3062</f>
        <v>0</v>
      </c>
      <c r="I3061">
        <f>'raw data Crude oil'!I3062</f>
        <v>0</v>
      </c>
      <c r="J3061">
        <f>'raw data Crude oil'!J3062</f>
        <v>0</v>
      </c>
      <c r="K3061">
        <f>'raw data Crude oil'!K3062</f>
        <v>0</v>
      </c>
      <c r="L3061">
        <f>'raw data Crude oil'!L3062</f>
        <v>0</v>
      </c>
      <c r="M3061">
        <f>'raw data Crude oil'!M3062</f>
        <v>0</v>
      </c>
      <c r="N3061">
        <f>'raw data Crude oil'!N3062</f>
        <v>0</v>
      </c>
      <c r="O3061">
        <f>'raw data Crude oil'!O3062</f>
        <v>0</v>
      </c>
      <c r="P3061">
        <f>'raw data Crude oil'!P3062</f>
        <v>0</v>
      </c>
      <c r="Q3061">
        <f>'raw data Crude oil'!Q3062</f>
        <v>0</v>
      </c>
      <c r="R3061">
        <f>'raw data Crude oil'!R3062</f>
        <v>0</v>
      </c>
      <c r="S3061">
        <f>'raw data Crude oil'!S3062</f>
        <v>0</v>
      </c>
      <c r="T3061">
        <f>'raw data Crude oil'!T3062</f>
        <v>0</v>
      </c>
      <c r="U3061">
        <f>'raw data Crude oil'!U3062</f>
        <v>0</v>
      </c>
      <c r="V3061">
        <f>'raw data Crude oil'!V3062</f>
        <v>0</v>
      </c>
      <c r="W3061">
        <f>'raw data Crude oil'!W3062</f>
        <v>0</v>
      </c>
      <c r="X3061">
        <f>'raw data Crude oil'!X3062</f>
        <v>0</v>
      </c>
      <c r="Y3061">
        <f>'raw data Crude oil'!Y3062</f>
        <v>0</v>
      </c>
      <c r="Z3061">
        <f>'raw data Crude oil'!Z3062</f>
        <v>0</v>
      </c>
      <c r="AA3061">
        <f>'raw data Crude oil'!AA3062</f>
        <v>0</v>
      </c>
      <c r="AB3061">
        <f>'raw data Crude oil'!AB3062</f>
        <v>0</v>
      </c>
      <c r="AC3061">
        <f>'raw data Crude oil'!AC3062</f>
        <v>0</v>
      </c>
      <c r="AD3061">
        <f>'raw data Crude oil'!AD3062</f>
        <v>0</v>
      </c>
      <c r="AE3061">
        <f>'raw data Crude oil'!AE3062</f>
        <v>0</v>
      </c>
      <c r="AF3061">
        <f>'raw data Crude oil'!AF3062</f>
        <v>0</v>
      </c>
      <c r="AG3061">
        <f>'raw data Crude oil'!AG3062</f>
        <v>0</v>
      </c>
      <c r="AH3061">
        <f>'raw data Crude oil'!AH3062</f>
        <v>0</v>
      </c>
      <c r="AI3061">
        <f>'raw data Crude oil'!AI3062</f>
        <v>0</v>
      </c>
      <c r="AJ3061">
        <f>'raw data Crude oil'!AJ3062</f>
        <v>0</v>
      </c>
      <c r="AK3061">
        <f>'raw data Crude oil'!AK3062</f>
        <v>0</v>
      </c>
    </row>
    <row r="3062" spans="1:37" x14ac:dyDescent="0.3">
      <c r="A3062" s="18">
        <f>'raw data Crude oil'!A3063</f>
        <v>0</v>
      </c>
      <c r="B3062">
        <f>'raw data Crude oil'!B3063</f>
        <v>0</v>
      </c>
      <c r="C3062">
        <f>'raw data Crude oil'!C3063</f>
        <v>0</v>
      </c>
      <c r="D3062">
        <f>'raw data Crude oil'!D3063</f>
        <v>0</v>
      </c>
      <c r="E3062">
        <f>'raw data Crude oil'!E3063</f>
        <v>0</v>
      </c>
      <c r="F3062">
        <f>'raw data Crude oil'!F3063</f>
        <v>0</v>
      </c>
      <c r="G3062">
        <f>'raw data Crude oil'!G3063</f>
        <v>0</v>
      </c>
      <c r="H3062">
        <f>'raw data Crude oil'!H3063</f>
        <v>0</v>
      </c>
      <c r="I3062">
        <f>'raw data Crude oil'!I3063</f>
        <v>0</v>
      </c>
      <c r="J3062">
        <f>'raw data Crude oil'!J3063</f>
        <v>0</v>
      </c>
      <c r="K3062">
        <f>'raw data Crude oil'!K3063</f>
        <v>0</v>
      </c>
      <c r="L3062">
        <f>'raw data Crude oil'!L3063</f>
        <v>0</v>
      </c>
      <c r="M3062">
        <f>'raw data Crude oil'!M3063</f>
        <v>0</v>
      </c>
      <c r="N3062">
        <f>'raw data Crude oil'!N3063</f>
        <v>0</v>
      </c>
      <c r="O3062">
        <f>'raw data Crude oil'!O3063</f>
        <v>0</v>
      </c>
      <c r="P3062">
        <f>'raw data Crude oil'!P3063</f>
        <v>0</v>
      </c>
      <c r="Q3062">
        <f>'raw data Crude oil'!Q3063</f>
        <v>0</v>
      </c>
      <c r="R3062">
        <f>'raw data Crude oil'!R3063</f>
        <v>0</v>
      </c>
      <c r="S3062">
        <f>'raw data Crude oil'!S3063</f>
        <v>0</v>
      </c>
      <c r="T3062">
        <f>'raw data Crude oil'!T3063</f>
        <v>0</v>
      </c>
      <c r="U3062">
        <f>'raw data Crude oil'!U3063</f>
        <v>0</v>
      </c>
      <c r="V3062">
        <f>'raw data Crude oil'!V3063</f>
        <v>0</v>
      </c>
      <c r="W3062">
        <f>'raw data Crude oil'!W3063</f>
        <v>0</v>
      </c>
      <c r="X3062">
        <f>'raw data Crude oil'!X3063</f>
        <v>0</v>
      </c>
      <c r="Y3062">
        <f>'raw data Crude oil'!Y3063</f>
        <v>0</v>
      </c>
      <c r="Z3062">
        <f>'raw data Crude oil'!Z3063</f>
        <v>0</v>
      </c>
      <c r="AA3062">
        <f>'raw data Crude oil'!AA3063</f>
        <v>0</v>
      </c>
      <c r="AB3062">
        <f>'raw data Crude oil'!AB3063</f>
        <v>0</v>
      </c>
      <c r="AC3062">
        <f>'raw data Crude oil'!AC3063</f>
        <v>0</v>
      </c>
      <c r="AD3062">
        <f>'raw data Crude oil'!AD3063</f>
        <v>0</v>
      </c>
      <c r="AE3062">
        <f>'raw data Crude oil'!AE3063</f>
        <v>0</v>
      </c>
      <c r="AF3062">
        <f>'raw data Crude oil'!AF3063</f>
        <v>0</v>
      </c>
      <c r="AG3062">
        <f>'raw data Crude oil'!AG3063</f>
        <v>0</v>
      </c>
      <c r="AH3062">
        <f>'raw data Crude oil'!AH3063</f>
        <v>0</v>
      </c>
      <c r="AI3062">
        <f>'raw data Crude oil'!AI3063</f>
        <v>0</v>
      </c>
      <c r="AJ3062">
        <f>'raw data Crude oil'!AJ3063</f>
        <v>0</v>
      </c>
      <c r="AK3062">
        <f>'raw data Crude oil'!AK3063</f>
        <v>0</v>
      </c>
    </row>
    <row r="3063" spans="1:37" x14ac:dyDescent="0.3">
      <c r="A3063" s="18">
        <f>'raw data Crude oil'!A3064</f>
        <v>0</v>
      </c>
      <c r="B3063">
        <f>'raw data Crude oil'!B3064</f>
        <v>0</v>
      </c>
      <c r="C3063">
        <f>'raw data Crude oil'!C3064</f>
        <v>0</v>
      </c>
      <c r="D3063">
        <f>'raw data Crude oil'!D3064</f>
        <v>0</v>
      </c>
      <c r="E3063">
        <f>'raw data Crude oil'!E3064</f>
        <v>0</v>
      </c>
      <c r="F3063">
        <f>'raw data Crude oil'!F3064</f>
        <v>0</v>
      </c>
      <c r="G3063">
        <f>'raw data Crude oil'!G3064</f>
        <v>0</v>
      </c>
      <c r="H3063">
        <f>'raw data Crude oil'!H3064</f>
        <v>0</v>
      </c>
      <c r="I3063">
        <f>'raw data Crude oil'!I3064</f>
        <v>0</v>
      </c>
      <c r="J3063">
        <f>'raw data Crude oil'!J3064</f>
        <v>0</v>
      </c>
      <c r="K3063">
        <f>'raw data Crude oil'!K3064</f>
        <v>0</v>
      </c>
      <c r="L3063">
        <f>'raw data Crude oil'!L3064</f>
        <v>0</v>
      </c>
      <c r="M3063">
        <f>'raw data Crude oil'!M3064</f>
        <v>0</v>
      </c>
      <c r="N3063">
        <f>'raw data Crude oil'!N3064</f>
        <v>0</v>
      </c>
      <c r="O3063">
        <f>'raw data Crude oil'!O3064</f>
        <v>0</v>
      </c>
      <c r="P3063">
        <f>'raw data Crude oil'!P3064</f>
        <v>0</v>
      </c>
      <c r="Q3063">
        <f>'raw data Crude oil'!Q3064</f>
        <v>0</v>
      </c>
      <c r="R3063">
        <f>'raw data Crude oil'!R3064</f>
        <v>0</v>
      </c>
      <c r="S3063">
        <f>'raw data Crude oil'!S3064</f>
        <v>0</v>
      </c>
      <c r="T3063">
        <f>'raw data Crude oil'!T3064</f>
        <v>0</v>
      </c>
      <c r="U3063">
        <f>'raw data Crude oil'!U3064</f>
        <v>0</v>
      </c>
      <c r="V3063">
        <f>'raw data Crude oil'!V3064</f>
        <v>0</v>
      </c>
      <c r="W3063">
        <f>'raw data Crude oil'!W3064</f>
        <v>0</v>
      </c>
      <c r="X3063">
        <f>'raw data Crude oil'!X3064</f>
        <v>0</v>
      </c>
      <c r="Y3063">
        <f>'raw data Crude oil'!Y3064</f>
        <v>0</v>
      </c>
      <c r="Z3063">
        <f>'raw data Crude oil'!Z3064</f>
        <v>0</v>
      </c>
      <c r="AA3063">
        <f>'raw data Crude oil'!AA3064</f>
        <v>0</v>
      </c>
      <c r="AB3063">
        <f>'raw data Crude oil'!AB3064</f>
        <v>0</v>
      </c>
      <c r="AC3063">
        <f>'raw data Crude oil'!AC3064</f>
        <v>0</v>
      </c>
      <c r="AD3063">
        <f>'raw data Crude oil'!AD3064</f>
        <v>0</v>
      </c>
      <c r="AE3063">
        <f>'raw data Crude oil'!AE3064</f>
        <v>0</v>
      </c>
      <c r="AF3063">
        <f>'raw data Crude oil'!AF3064</f>
        <v>0</v>
      </c>
      <c r="AG3063">
        <f>'raw data Crude oil'!AG3064</f>
        <v>0</v>
      </c>
      <c r="AH3063">
        <f>'raw data Crude oil'!AH3064</f>
        <v>0</v>
      </c>
      <c r="AI3063">
        <f>'raw data Crude oil'!AI3064</f>
        <v>0</v>
      </c>
      <c r="AJ3063">
        <f>'raw data Crude oil'!AJ3064</f>
        <v>0</v>
      </c>
      <c r="AK3063">
        <f>'raw data Crude oil'!AK3064</f>
        <v>0</v>
      </c>
    </row>
    <row r="3064" spans="1:37" x14ac:dyDescent="0.3">
      <c r="A3064" s="18">
        <f>'raw data Crude oil'!A3065</f>
        <v>0</v>
      </c>
      <c r="B3064">
        <f>'raw data Crude oil'!B3065</f>
        <v>0</v>
      </c>
      <c r="C3064">
        <f>'raw data Crude oil'!C3065</f>
        <v>0</v>
      </c>
      <c r="D3064">
        <f>'raw data Crude oil'!D3065</f>
        <v>0</v>
      </c>
      <c r="E3064">
        <f>'raw data Crude oil'!E3065</f>
        <v>0</v>
      </c>
      <c r="F3064">
        <f>'raw data Crude oil'!F3065</f>
        <v>0</v>
      </c>
      <c r="G3064">
        <f>'raw data Crude oil'!G3065</f>
        <v>0</v>
      </c>
      <c r="H3064">
        <f>'raw data Crude oil'!H3065</f>
        <v>0</v>
      </c>
      <c r="I3064">
        <f>'raw data Crude oil'!I3065</f>
        <v>0</v>
      </c>
      <c r="J3064">
        <f>'raw data Crude oil'!J3065</f>
        <v>0</v>
      </c>
      <c r="K3064">
        <f>'raw data Crude oil'!K3065</f>
        <v>0</v>
      </c>
      <c r="L3064">
        <f>'raw data Crude oil'!L3065</f>
        <v>0</v>
      </c>
      <c r="M3064">
        <f>'raw data Crude oil'!M3065</f>
        <v>0</v>
      </c>
      <c r="N3064">
        <f>'raw data Crude oil'!N3065</f>
        <v>0</v>
      </c>
      <c r="O3064">
        <f>'raw data Crude oil'!O3065</f>
        <v>0</v>
      </c>
      <c r="P3064">
        <f>'raw data Crude oil'!P3065</f>
        <v>0</v>
      </c>
      <c r="Q3064">
        <f>'raw data Crude oil'!Q3065</f>
        <v>0</v>
      </c>
      <c r="R3064">
        <f>'raw data Crude oil'!R3065</f>
        <v>0</v>
      </c>
      <c r="S3064">
        <f>'raw data Crude oil'!S3065</f>
        <v>0</v>
      </c>
      <c r="T3064">
        <f>'raw data Crude oil'!T3065</f>
        <v>0</v>
      </c>
      <c r="U3064">
        <f>'raw data Crude oil'!U3065</f>
        <v>0</v>
      </c>
      <c r="V3064">
        <f>'raw data Crude oil'!V3065</f>
        <v>0</v>
      </c>
      <c r="W3064">
        <f>'raw data Crude oil'!W3065</f>
        <v>0</v>
      </c>
      <c r="X3064">
        <f>'raw data Crude oil'!X3065</f>
        <v>0</v>
      </c>
      <c r="Y3064">
        <f>'raw data Crude oil'!Y3065</f>
        <v>0</v>
      </c>
      <c r="Z3064">
        <f>'raw data Crude oil'!Z3065</f>
        <v>0</v>
      </c>
      <c r="AA3064">
        <f>'raw data Crude oil'!AA3065</f>
        <v>0</v>
      </c>
      <c r="AB3064">
        <f>'raw data Crude oil'!AB3065</f>
        <v>0</v>
      </c>
      <c r="AC3064">
        <f>'raw data Crude oil'!AC3065</f>
        <v>0</v>
      </c>
      <c r="AD3064">
        <f>'raw data Crude oil'!AD3065</f>
        <v>0</v>
      </c>
      <c r="AE3064">
        <f>'raw data Crude oil'!AE3065</f>
        <v>0</v>
      </c>
      <c r="AF3064">
        <f>'raw data Crude oil'!AF3065</f>
        <v>0</v>
      </c>
      <c r="AG3064">
        <f>'raw data Crude oil'!AG3065</f>
        <v>0</v>
      </c>
      <c r="AH3064">
        <f>'raw data Crude oil'!AH3065</f>
        <v>0</v>
      </c>
      <c r="AI3064">
        <f>'raw data Crude oil'!AI3065</f>
        <v>0</v>
      </c>
      <c r="AJ3064">
        <f>'raw data Crude oil'!AJ3065</f>
        <v>0</v>
      </c>
      <c r="AK3064">
        <f>'raw data Crude oil'!AK3065</f>
        <v>0</v>
      </c>
    </row>
    <row r="3065" spans="1:37" x14ac:dyDescent="0.3">
      <c r="A3065" s="18">
        <f>'raw data Crude oil'!A3066</f>
        <v>0</v>
      </c>
      <c r="B3065">
        <f>'raw data Crude oil'!B3066</f>
        <v>0</v>
      </c>
      <c r="C3065">
        <f>'raw data Crude oil'!C3066</f>
        <v>0</v>
      </c>
      <c r="D3065">
        <f>'raw data Crude oil'!D3066</f>
        <v>0</v>
      </c>
      <c r="E3065">
        <f>'raw data Crude oil'!E3066</f>
        <v>0</v>
      </c>
      <c r="F3065">
        <f>'raw data Crude oil'!F3066</f>
        <v>0</v>
      </c>
      <c r="G3065">
        <f>'raw data Crude oil'!G3066</f>
        <v>0</v>
      </c>
      <c r="H3065">
        <f>'raw data Crude oil'!H3066</f>
        <v>0</v>
      </c>
      <c r="I3065">
        <f>'raw data Crude oil'!I3066</f>
        <v>0</v>
      </c>
      <c r="J3065">
        <f>'raw data Crude oil'!J3066</f>
        <v>0</v>
      </c>
      <c r="K3065">
        <f>'raw data Crude oil'!K3066</f>
        <v>0</v>
      </c>
      <c r="L3065">
        <f>'raw data Crude oil'!L3066</f>
        <v>0</v>
      </c>
      <c r="M3065">
        <f>'raw data Crude oil'!M3066</f>
        <v>0</v>
      </c>
      <c r="N3065">
        <f>'raw data Crude oil'!N3066</f>
        <v>0</v>
      </c>
      <c r="O3065">
        <f>'raw data Crude oil'!O3066</f>
        <v>0</v>
      </c>
      <c r="P3065">
        <f>'raw data Crude oil'!P3066</f>
        <v>0</v>
      </c>
      <c r="Q3065">
        <f>'raw data Crude oil'!Q3066</f>
        <v>0</v>
      </c>
      <c r="R3065">
        <f>'raw data Crude oil'!R3066</f>
        <v>0</v>
      </c>
      <c r="S3065">
        <f>'raw data Crude oil'!S3066</f>
        <v>0</v>
      </c>
      <c r="T3065">
        <f>'raw data Crude oil'!T3066</f>
        <v>0</v>
      </c>
      <c r="U3065">
        <f>'raw data Crude oil'!U3066</f>
        <v>0</v>
      </c>
      <c r="V3065">
        <f>'raw data Crude oil'!V3066</f>
        <v>0</v>
      </c>
      <c r="W3065">
        <f>'raw data Crude oil'!W3066</f>
        <v>0</v>
      </c>
      <c r="X3065">
        <f>'raw data Crude oil'!X3066</f>
        <v>0</v>
      </c>
      <c r="Y3065">
        <f>'raw data Crude oil'!Y3066</f>
        <v>0</v>
      </c>
      <c r="Z3065">
        <f>'raw data Crude oil'!Z3066</f>
        <v>0</v>
      </c>
      <c r="AA3065">
        <f>'raw data Crude oil'!AA3066</f>
        <v>0</v>
      </c>
      <c r="AB3065">
        <f>'raw data Crude oil'!AB3066</f>
        <v>0</v>
      </c>
      <c r="AC3065">
        <f>'raw data Crude oil'!AC3066</f>
        <v>0</v>
      </c>
      <c r="AD3065">
        <f>'raw data Crude oil'!AD3066</f>
        <v>0</v>
      </c>
      <c r="AE3065">
        <f>'raw data Crude oil'!AE3066</f>
        <v>0</v>
      </c>
      <c r="AF3065">
        <f>'raw data Crude oil'!AF3066</f>
        <v>0</v>
      </c>
      <c r="AG3065">
        <f>'raw data Crude oil'!AG3066</f>
        <v>0</v>
      </c>
      <c r="AH3065">
        <f>'raw data Crude oil'!AH3066</f>
        <v>0</v>
      </c>
      <c r="AI3065">
        <f>'raw data Crude oil'!AI3066</f>
        <v>0</v>
      </c>
      <c r="AJ3065">
        <f>'raw data Crude oil'!AJ3066</f>
        <v>0</v>
      </c>
      <c r="AK3065">
        <f>'raw data Crude oil'!AK3066</f>
        <v>0</v>
      </c>
    </row>
    <row r="3066" spans="1:37" x14ac:dyDescent="0.3">
      <c r="A3066" s="18">
        <f>'raw data Crude oil'!A3067</f>
        <v>0</v>
      </c>
      <c r="B3066">
        <f>'raw data Crude oil'!B3067</f>
        <v>0</v>
      </c>
      <c r="C3066">
        <f>'raw data Crude oil'!C3067</f>
        <v>0</v>
      </c>
      <c r="D3066">
        <f>'raw data Crude oil'!D3067</f>
        <v>0</v>
      </c>
      <c r="E3066">
        <f>'raw data Crude oil'!E3067</f>
        <v>0</v>
      </c>
      <c r="F3066">
        <f>'raw data Crude oil'!F3067</f>
        <v>0</v>
      </c>
      <c r="G3066">
        <f>'raw data Crude oil'!G3067</f>
        <v>0</v>
      </c>
      <c r="H3066">
        <f>'raw data Crude oil'!H3067</f>
        <v>0</v>
      </c>
      <c r="I3066">
        <f>'raw data Crude oil'!I3067</f>
        <v>0</v>
      </c>
      <c r="J3066">
        <f>'raw data Crude oil'!J3067</f>
        <v>0</v>
      </c>
      <c r="K3066">
        <f>'raw data Crude oil'!K3067</f>
        <v>0</v>
      </c>
      <c r="L3066">
        <f>'raw data Crude oil'!L3067</f>
        <v>0</v>
      </c>
      <c r="M3066">
        <f>'raw data Crude oil'!M3067</f>
        <v>0</v>
      </c>
      <c r="N3066">
        <f>'raw data Crude oil'!N3067</f>
        <v>0</v>
      </c>
      <c r="O3066">
        <f>'raw data Crude oil'!O3067</f>
        <v>0</v>
      </c>
      <c r="P3066">
        <f>'raw data Crude oil'!P3067</f>
        <v>0</v>
      </c>
      <c r="Q3066">
        <f>'raw data Crude oil'!Q3067</f>
        <v>0</v>
      </c>
      <c r="R3066">
        <f>'raw data Crude oil'!R3067</f>
        <v>0</v>
      </c>
      <c r="S3066">
        <f>'raw data Crude oil'!S3067</f>
        <v>0</v>
      </c>
      <c r="T3066">
        <f>'raw data Crude oil'!T3067</f>
        <v>0</v>
      </c>
      <c r="U3066">
        <f>'raw data Crude oil'!U3067</f>
        <v>0</v>
      </c>
      <c r="V3066">
        <f>'raw data Crude oil'!V3067</f>
        <v>0</v>
      </c>
      <c r="W3066">
        <f>'raw data Crude oil'!W3067</f>
        <v>0</v>
      </c>
      <c r="X3066">
        <f>'raw data Crude oil'!X3067</f>
        <v>0</v>
      </c>
      <c r="Y3066">
        <f>'raw data Crude oil'!Y3067</f>
        <v>0</v>
      </c>
      <c r="Z3066">
        <f>'raw data Crude oil'!Z3067</f>
        <v>0</v>
      </c>
      <c r="AA3066">
        <f>'raw data Crude oil'!AA3067</f>
        <v>0</v>
      </c>
      <c r="AB3066">
        <f>'raw data Crude oil'!AB3067</f>
        <v>0</v>
      </c>
      <c r="AC3066">
        <f>'raw data Crude oil'!AC3067</f>
        <v>0</v>
      </c>
      <c r="AD3066">
        <f>'raw data Crude oil'!AD3067</f>
        <v>0</v>
      </c>
      <c r="AE3066">
        <f>'raw data Crude oil'!AE3067</f>
        <v>0</v>
      </c>
      <c r="AF3066">
        <f>'raw data Crude oil'!AF3067</f>
        <v>0</v>
      </c>
      <c r="AG3066">
        <f>'raw data Crude oil'!AG3067</f>
        <v>0</v>
      </c>
      <c r="AH3066">
        <f>'raw data Crude oil'!AH3067</f>
        <v>0</v>
      </c>
      <c r="AI3066">
        <f>'raw data Crude oil'!AI3067</f>
        <v>0</v>
      </c>
      <c r="AJ3066">
        <f>'raw data Crude oil'!AJ3067</f>
        <v>0</v>
      </c>
      <c r="AK3066">
        <f>'raw data Crude oil'!AK3067</f>
        <v>0</v>
      </c>
    </row>
    <row r="3067" spans="1:37" x14ac:dyDescent="0.3">
      <c r="A3067" s="18">
        <f>'raw data Crude oil'!A3068</f>
        <v>0</v>
      </c>
      <c r="B3067">
        <f>'raw data Crude oil'!B3068</f>
        <v>0</v>
      </c>
      <c r="C3067">
        <f>'raw data Crude oil'!C3068</f>
        <v>0</v>
      </c>
      <c r="D3067">
        <f>'raw data Crude oil'!D3068</f>
        <v>0</v>
      </c>
      <c r="E3067">
        <f>'raw data Crude oil'!E3068</f>
        <v>0</v>
      </c>
      <c r="F3067">
        <f>'raw data Crude oil'!F3068</f>
        <v>0</v>
      </c>
      <c r="G3067">
        <f>'raw data Crude oil'!G3068</f>
        <v>0</v>
      </c>
      <c r="H3067">
        <f>'raw data Crude oil'!H3068</f>
        <v>0</v>
      </c>
      <c r="I3067">
        <f>'raw data Crude oil'!I3068</f>
        <v>0</v>
      </c>
      <c r="J3067">
        <f>'raw data Crude oil'!J3068</f>
        <v>0</v>
      </c>
      <c r="K3067">
        <f>'raw data Crude oil'!K3068</f>
        <v>0</v>
      </c>
      <c r="L3067">
        <f>'raw data Crude oil'!L3068</f>
        <v>0</v>
      </c>
      <c r="M3067">
        <f>'raw data Crude oil'!M3068</f>
        <v>0</v>
      </c>
      <c r="N3067">
        <f>'raw data Crude oil'!N3068</f>
        <v>0</v>
      </c>
      <c r="O3067">
        <f>'raw data Crude oil'!O3068</f>
        <v>0</v>
      </c>
      <c r="P3067">
        <f>'raw data Crude oil'!P3068</f>
        <v>0</v>
      </c>
      <c r="Q3067">
        <f>'raw data Crude oil'!Q3068</f>
        <v>0</v>
      </c>
      <c r="R3067">
        <f>'raw data Crude oil'!R3068</f>
        <v>0</v>
      </c>
      <c r="S3067">
        <f>'raw data Crude oil'!S3068</f>
        <v>0</v>
      </c>
      <c r="T3067">
        <f>'raw data Crude oil'!T3068</f>
        <v>0</v>
      </c>
      <c r="U3067">
        <f>'raw data Crude oil'!U3068</f>
        <v>0</v>
      </c>
      <c r="V3067">
        <f>'raw data Crude oil'!V3068</f>
        <v>0</v>
      </c>
      <c r="W3067">
        <f>'raw data Crude oil'!W3068</f>
        <v>0</v>
      </c>
      <c r="X3067">
        <f>'raw data Crude oil'!X3068</f>
        <v>0</v>
      </c>
      <c r="Y3067">
        <f>'raw data Crude oil'!Y3068</f>
        <v>0</v>
      </c>
      <c r="Z3067">
        <f>'raw data Crude oil'!Z3068</f>
        <v>0</v>
      </c>
      <c r="AA3067">
        <f>'raw data Crude oil'!AA3068</f>
        <v>0</v>
      </c>
      <c r="AB3067">
        <f>'raw data Crude oil'!AB3068</f>
        <v>0</v>
      </c>
      <c r="AC3067">
        <f>'raw data Crude oil'!AC3068</f>
        <v>0</v>
      </c>
      <c r="AD3067">
        <f>'raw data Crude oil'!AD3068</f>
        <v>0</v>
      </c>
      <c r="AE3067">
        <f>'raw data Crude oil'!AE3068</f>
        <v>0</v>
      </c>
      <c r="AF3067">
        <f>'raw data Crude oil'!AF3068</f>
        <v>0</v>
      </c>
      <c r="AG3067">
        <f>'raw data Crude oil'!AG3068</f>
        <v>0</v>
      </c>
      <c r="AH3067">
        <f>'raw data Crude oil'!AH3068</f>
        <v>0</v>
      </c>
      <c r="AI3067">
        <f>'raw data Crude oil'!AI3068</f>
        <v>0</v>
      </c>
      <c r="AJ3067">
        <f>'raw data Crude oil'!AJ3068</f>
        <v>0</v>
      </c>
      <c r="AK3067">
        <f>'raw data Crude oil'!AK3068</f>
        <v>0</v>
      </c>
    </row>
    <row r="3068" spans="1:37" x14ac:dyDescent="0.3">
      <c r="A3068" s="18">
        <f>'raw data Crude oil'!A3069</f>
        <v>0</v>
      </c>
      <c r="B3068">
        <f>'raw data Crude oil'!B3069</f>
        <v>0</v>
      </c>
      <c r="C3068">
        <f>'raw data Crude oil'!C3069</f>
        <v>0</v>
      </c>
      <c r="D3068">
        <f>'raw data Crude oil'!D3069</f>
        <v>0</v>
      </c>
      <c r="E3068">
        <f>'raw data Crude oil'!E3069</f>
        <v>0</v>
      </c>
      <c r="F3068">
        <f>'raw data Crude oil'!F3069</f>
        <v>0</v>
      </c>
      <c r="G3068">
        <f>'raw data Crude oil'!G3069</f>
        <v>0</v>
      </c>
      <c r="H3068">
        <f>'raw data Crude oil'!H3069</f>
        <v>0</v>
      </c>
      <c r="I3068">
        <f>'raw data Crude oil'!I3069</f>
        <v>0</v>
      </c>
      <c r="J3068">
        <f>'raw data Crude oil'!J3069</f>
        <v>0</v>
      </c>
      <c r="K3068">
        <f>'raw data Crude oil'!K3069</f>
        <v>0</v>
      </c>
      <c r="L3068">
        <f>'raw data Crude oil'!L3069</f>
        <v>0</v>
      </c>
      <c r="M3068">
        <f>'raw data Crude oil'!M3069</f>
        <v>0</v>
      </c>
      <c r="N3068">
        <f>'raw data Crude oil'!N3069</f>
        <v>0</v>
      </c>
      <c r="O3068">
        <f>'raw data Crude oil'!O3069</f>
        <v>0</v>
      </c>
      <c r="P3068">
        <f>'raw data Crude oil'!P3069</f>
        <v>0</v>
      </c>
      <c r="Q3068">
        <f>'raw data Crude oil'!Q3069</f>
        <v>0</v>
      </c>
      <c r="R3068">
        <f>'raw data Crude oil'!R3069</f>
        <v>0</v>
      </c>
      <c r="S3068">
        <f>'raw data Crude oil'!S3069</f>
        <v>0</v>
      </c>
      <c r="T3068">
        <f>'raw data Crude oil'!T3069</f>
        <v>0</v>
      </c>
      <c r="U3068">
        <f>'raw data Crude oil'!U3069</f>
        <v>0</v>
      </c>
      <c r="V3068">
        <f>'raw data Crude oil'!V3069</f>
        <v>0</v>
      </c>
      <c r="W3068">
        <f>'raw data Crude oil'!W3069</f>
        <v>0</v>
      </c>
      <c r="X3068">
        <f>'raw data Crude oil'!X3069</f>
        <v>0</v>
      </c>
      <c r="Y3068">
        <f>'raw data Crude oil'!Y3069</f>
        <v>0</v>
      </c>
      <c r="Z3068">
        <f>'raw data Crude oil'!Z3069</f>
        <v>0</v>
      </c>
      <c r="AA3068">
        <f>'raw data Crude oil'!AA3069</f>
        <v>0</v>
      </c>
      <c r="AB3068">
        <f>'raw data Crude oil'!AB3069</f>
        <v>0</v>
      </c>
      <c r="AC3068">
        <f>'raw data Crude oil'!AC3069</f>
        <v>0</v>
      </c>
      <c r="AD3068">
        <f>'raw data Crude oil'!AD3069</f>
        <v>0</v>
      </c>
      <c r="AE3068">
        <f>'raw data Crude oil'!AE3069</f>
        <v>0</v>
      </c>
      <c r="AF3068">
        <f>'raw data Crude oil'!AF3069</f>
        <v>0</v>
      </c>
      <c r="AG3068">
        <f>'raw data Crude oil'!AG3069</f>
        <v>0</v>
      </c>
      <c r="AH3068">
        <f>'raw data Crude oil'!AH3069</f>
        <v>0</v>
      </c>
      <c r="AI3068">
        <f>'raw data Crude oil'!AI3069</f>
        <v>0</v>
      </c>
      <c r="AJ3068">
        <f>'raw data Crude oil'!AJ3069</f>
        <v>0</v>
      </c>
      <c r="AK3068">
        <f>'raw data Crude oil'!AK3069</f>
        <v>0</v>
      </c>
    </row>
    <row r="3069" spans="1:37" x14ac:dyDescent="0.3">
      <c r="A3069" s="18">
        <f>'raw data Crude oil'!A3070</f>
        <v>0</v>
      </c>
      <c r="B3069">
        <f>'raw data Crude oil'!B3070</f>
        <v>0</v>
      </c>
      <c r="C3069">
        <f>'raw data Crude oil'!C3070</f>
        <v>0</v>
      </c>
      <c r="D3069">
        <f>'raw data Crude oil'!D3070</f>
        <v>0</v>
      </c>
      <c r="E3069">
        <f>'raw data Crude oil'!E3070</f>
        <v>0</v>
      </c>
      <c r="F3069">
        <f>'raw data Crude oil'!F3070</f>
        <v>0</v>
      </c>
      <c r="G3069">
        <f>'raw data Crude oil'!G3070</f>
        <v>0</v>
      </c>
      <c r="H3069">
        <f>'raw data Crude oil'!H3070</f>
        <v>0</v>
      </c>
      <c r="I3069">
        <f>'raw data Crude oil'!I3070</f>
        <v>0</v>
      </c>
      <c r="J3069">
        <f>'raw data Crude oil'!J3070</f>
        <v>0</v>
      </c>
      <c r="K3069">
        <f>'raw data Crude oil'!K3070</f>
        <v>0</v>
      </c>
      <c r="L3069">
        <f>'raw data Crude oil'!L3070</f>
        <v>0</v>
      </c>
      <c r="M3069">
        <f>'raw data Crude oil'!M3070</f>
        <v>0</v>
      </c>
      <c r="N3069">
        <f>'raw data Crude oil'!N3070</f>
        <v>0</v>
      </c>
      <c r="O3069">
        <f>'raw data Crude oil'!O3070</f>
        <v>0</v>
      </c>
      <c r="P3069">
        <f>'raw data Crude oil'!P3070</f>
        <v>0</v>
      </c>
      <c r="Q3069">
        <f>'raw data Crude oil'!Q3070</f>
        <v>0</v>
      </c>
      <c r="R3069">
        <f>'raw data Crude oil'!R3070</f>
        <v>0</v>
      </c>
      <c r="S3069">
        <f>'raw data Crude oil'!S3070</f>
        <v>0</v>
      </c>
      <c r="T3069">
        <f>'raw data Crude oil'!T3070</f>
        <v>0</v>
      </c>
      <c r="U3069">
        <f>'raw data Crude oil'!U3070</f>
        <v>0</v>
      </c>
      <c r="V3069">
        <f>'raw data Crude oil'!V3070</f>
        <v>0</v>
      </c>
      <c r="W3069">
        <f>'raw data Crude oil'!W3070</f>
        <v>0</v>
      </c>
      <c r="X3069">
        <f>'raw data Crude oil'!X3070</f>
        <v>0</v>
      </c>
      <c r="Y3069">
        <f>'raw data Crude oil'!Y3070</f>
        <v>0</v>
      </c>
      <c r="Z3069">
        <f>'raw data Crude oil'!Z3070</f>
        <v>0</v>
      </c>
      <c r="AA3069">
        <f>'raw data Crude oil'!AA3070</f>
        <v>0</v>
      </c>
      <c r="AB3069">
        <f>'raw data Crude oil'!AB3070</f>
        <v>0</v>
      </c>
      <c r="AC3069">
        <f>'raw data Crude oil'!AC3070</f>
        <v>0</v>
      </c>
      <c r="AD3069">
        <f>'raw data Crude oil'!AD3070</f>
        <v>0</v>
      </c>
      <c r="AE3069">
        <f>'raw data Crude oil'!AE3070</f>
        <v>0</v>
      </c>
      <c r="AF3069">
        <f>'raw data Crude oil'!AF3070</f>
        <v>0</v>
      </c>
      <c r="AG3069">
        <f>'raw data Crude oil'!AG3070</f>
        <v>0</v>
      </c>
      <c r="AH3069">
        <f>'raw data Crude oil'!AH3070</f>
        <v>0</v>
      </c>
      <c r="AI3069">
        <f>'raw data Crude oil'!AI3070</f>
        <v>0</v>
      </c>
      <c r="AJ3069">
        <f>'raw data Crude oil'!AJ3070</f>
        <v>0</v>
      </c>
      <c r="AK3069">
        <f>'raw data Crude oil'!AK3070</f>
        <v>0</v>
      </c>
    </row>
    <row r="3070" spans="1:37" x14ac:dyDescent="0.3">
      <c r="A3070" s="18">
        <f>'raw data Crude oil'!A3071</f>
        <v>0</v>
      </c>
      <c r="B3070">
        <f>'raw data Crude oil'!B3071</f>
        <v>0</v>
      </c>
      <c r="C3070">
        <f>'raw data Crude oil'!C3071</f>
        <v>0</v>
      </c>
      <c r="D3070">
        <f>'raw data Crude oil'!D3071</f>
        <v>0</v>
      </c>
      <c r="E3070">
        <f>'raw data Crude oil'!E3071</f>
        <v>0</v>
      </c>
      <c r="F3070">
        <f>'raw data Crude oil'!F3071</f>
        <v>0</v>
      </c>
      <c r="G3070">
        <f>'raw data Crude oil'!G3071</f>
        <v>0</v>
      </c>
      <c r="H3070">
        <f>'raw data Crude oil'!H3071</f>
        <v>0</v>
      </c>
      <c r="I3070">
        <f>'raw data Crude oil'!I3071</f>
        <v>0</v>
      </c>
      <c r="J3070">
        <f>'raw data Crude oil'!J3071</f>
        <v>0</v>
      </c>
      <c r="K3070">
        <f>'raw data Crude oil'!K3071</f>
        <v>0</v>
      </c>
      <c r="L3070">
        <f>'raw data Crude oil'!L3071</f>
        <v>0</v>
      </c>
      <c r="M3070">
        <f>'raw data Crude oil'!M3071</f>
        <v>0</v>
      </c>
      <c r="N3070">
        <f>'raw data Crude oil'!N3071</f>
        <v>0</v>
      </c>
      <c r="O3070">
        <f>'raw data Crude oil'!O3071</f>
        <v>0</v>
      </c>
      <c r="P3070">
        <f>'raw data Crude oil'!P3071</f>
        <v>0</v>
      </c>
      <c r="Q3070">
        <f>'raw data Crude oil'!Q3071</f>
        <v>0</v>
      </c>
      <c r="R3070">
        <f>'raw data Crude oil'!R3071</f>
        <v>0</v>
      </c>
      <c r="S3070">
        <f>'raw data Crude oil'!S3071</f>
        <v>0</v>
      </c>
      <c r="T3070">
        <f>'raw data Crude oil'!T3071</f>
        <v>0</v>
      </c>
      <c r="U3070">
        <f>'raw data Crude oil'!U3071</f>
        <v>0</v>
      </c>
      <c r="V3070">
        <f>'raw data Crude oil'!V3071</f>
        <v>0</v>
      </c>
      <c r="W3070">
        <f>'raw data Crude oil'!W3071</f>
        <v>0</v>
      </c>
      <c r="X3070">
        <f>'raw data Crude oil'!X3071</f>
        <v>0</v>
      </c>
      <c r="Y3070">
        <f>'raw data Crude oil'!Y3071</f>
        <v>0</v>
      </c>
      <c r="Z3070">
        <f>'raw data Crude oil'!Z3071</f>
        <v>0</v>
      </c>
      <c r="AA3070">
        <f>'raw data Crude oil'!AA3071</f>
        <v>0</v>
      </c>
      <c r="AB3070">
        <f>'raw data Crude oil'!AB3071</f>
        <v>0</v>
      </c>
      <c r="AC3070">
        <f>'raw data Crude oil'!AC3071</f>
        <v>0</v>
      </c>
      <c r="AD3070">
        <f>'raw data Crude oil'!AD3071</f>
        <v>0</v>
      </c>
      <c r="AE3070">
        <f>'raw data Crude oil'!AE3071</f>
        <v>0</v>
      </c>
      <c r="AF3070">
        <f>'raw data Crude oil'!AF3071</f>
        <v>0</v>
      </c>
      <c r="AG3070">
        <f>'raw data Crude oil'!AG3071</f>
        <v>0</v>
      </c>
      <c r="AH3070">
        <f>'raw data Crude oil'!AH3071</f>
        <v>0</v>
      </c>
      <c r="AI3070">
        <f>'raw data Crude oil'!AI3071</f>
        <v>0</v>
      </c>
      <c r="AJ3070">
        <f>'raw data Crude oil'!AJ3071</f>
        <v>0</v>
      </c>
      <c r="AK3070">
        <f>'raw data Crude oil'!AK3071</f>
        <v>0</v>
      </c>
    </row>
    <row r="3071" spans="1:37" x14ac:dyDescent="0.3">
      <c r="A3071" s="18">
        <f>'raw data Crude oil'!A3072</f>
        <v>0</v>
      </c>
      <c r="B3071">
        <f>'raw data Crude oil'!B3072</f>
        <v>0</v>
      </c>
      <c r="C3071">
        <f>'raw data Crude oil'!C3072</f>
        <v>0</v>
      </c>
      <c r="D3071">
        <f>'raw data Crude oil'!D3072</f>
        <v>0</v>
      </c>
      <c r="E3071">
        <f>'raw data Crude oil'!E3072</f>
        <v>0</v>
      </c>
      <c r="F3071">
        <f>'raw data Crude oil'!F3072</f>
        <v>0</v>
      </c>
      <c r="G3071">
        <f>'raw data Crude oil'!G3072</f>
        <v>0</v>
      </c>
      <c r="H3071">
        <f>'raw data Crude oil'!H3072</f>
        <v>0</v>
      </c>
      <c r="I3071">
        <f>'raw data Crude oil'!I3072</f>
        <v>0</v>
      </c>
      <c r="J3071">
        <f>'raw data Crude oil'!J3072</f>
        <v>0</v>
      </c>
      <c r="K3071">
        <f>'raw data Crude oil'!K3072</f>
        <v>0</v>
      </c>
      <c r="L3071">
        <f>'raw data Crude oil'!L3072</f>
        <v>0</v>
      </c>
      <c r="M3071">
        <f>'raw data Crude oil'!M3072</f>
        <v>0</v>
      </c>
      <c r="N3071">
        <f>'raw data Crude oil'!N3072</f>
        <v>0</v>
      </c>
      <c r="O3071">
        <f>'raw data Crude oil'!O3072</f>
        <v>0</v>
      </c>
      <c r="P3071">
        <f>'raw data Crude oil'!P3072</f>
        <v>0</v>
      </c>
      <c r="Q3071">
        <f>'raw data Crude oil'!Q3072</f>
        <v>0</v>
      </c>
      <c r="R3071">
        <f>'raw data Crude oil'!R3072</f>
        <v>0</v>
      </c>
      <c r="S3071">
        <f>'raw data Crude oil'!S3072</f>
        <v>0</v>
      </c>
      <c r="T3071">
        <f>'raw data Crude oil'!T3072</f>
        <v>0</v>
      </c>
      <c r="U3071">
        <f>'raw data Crude oil'!U3072</f>
        <v>0</v>
      </c>
      <c r="V3071">
        <f>'raw data Crude oil'!V3072</f>
        <v>0</v>
      </c>
      <c r="W3071">
        <f>'raw data Crude oil'!W3072</f>
        <v>0</v>
      </c>
      <c r="X3071">
        <f>'raw data Crude oil'!X3072</f>
        <v>0</v>
      </c>
      <c r="Y3071">
        <f>'raw data Crude oil'!Y3072</f>
        <v>0</v>
      </c>
      <c r="Z3071">
        <f>'raw data Crude oil'!Z3072</f>
        <v>0</v>
      </c>
      <c r="AA3071">
        <f>'raw data Crude oil'!AA3072</f>
        <v>0</v>
      </c>
      <c r="AB3071">
        <f>'raw data Crude oil'!AB3072</f>
        <v>0</v>
      </c>
      <c r="AC3071">
        <f>'raw data Crude oil'!AC3072</f>
        <v>0</v>
      </c>
      <c r="AD3071">
        <f>'raw data Crude oil'!AD3072</f>
        <v>0</v>
      </c>
      <c r="AE3071">
        <f>'raw data Crude oil'!AE3072</f>
        <v>0</v>
      </c>
      <c r="AF3071">
        <f>'raw data Crude oil'!AF3072</f>
        <v>0</v>
      </c>
      <c r="AG3071">
        <f>'raw data Crude oil'!AG3072</f>
        <v>0</v>
      </c>
      <c r="AH3071">
        <f>'raw data Crude oil'!AH3072</f>
        <v>0</v>
      </c>
      <c r="AI3071">
        <f>'raw data Crude oil'!AI3072</f>
        <v>0</v>
      </c>
      <c r="AJ3071">
        <f>'raw data Crude oil'!AJ3072</f>
        <v>0</v>
      </c>
      <c r="AK3071">
        <f>'raw data Crude oil'!AK3072</f>
        <v>0</v>
      </c>
    </row>
    <row r="3072" spans="1:37" x14ac:dyDescent="0.3">
      <c r="A3072" s="18">
        <f>'raw data Crude oil'!A3073</f>
        <v>0</v>
      </c>
      <c r="B3072">
        <f>'raw data Crude oil'!B3073</f>
        <v>0</v>
      </c>
      <c r="C3072">
        <f>'raw data Crude oil'!C3073</f>
        <v>0</v>
      </c>
      <c r="D3072">
        <f>'raw data Crude oil'!D3073</f>
        <v>0</v>
      </c>
      <c r="E3072">
        <f>'raw data Crude oil'!E3073</f>
        <v>0</v>
      </c>
      <c r="F3072">
        <f>'raw data Crude oil'!F3073</f>
        <v>0</v>
      </c>
      <c r="G3072">
        <f>'raw data Crude oil'!G3073</f>
        <v>0</v>
      </c>
      <c r="H3072">
        <f>'raw data Crude oil'!H3073</f>
        <v>0</v>
      </c>
      <c r="I3072">
        <f>'raw data Crude oil'!I3073</f>
        <v>0</v>
      </c>
      <c r="J3072">
        <f>'raw data Crude oil'!J3073</f>
        <v>0</v>
      </c>
      <c r="K3072">
        <f>'raw data Crude oil'!K3073</f>
        <v>0</v>
      </c>
      <c r="L3072">
        <f>'raw data Crude oil'!L3073</f>
        <v>0</v>
      </c>
      <c r="M3072">
        <f>'raw data Crude oil'!M3073</f>
        <v>0</v>
      </c>
      <c r="N3072">
        <f>'raw data Crude oil'!N3073</f>
        <v>0</v>
      </c>
      <c r="O3072">
        <f>'raw data Crude oil'!O3073</f>
        <v>0</v>
      </c>
      <c r="P3072">
        <f>'raw data Crude oil'!P3073</f>
        <v>0</v>
      </c>
      <c r="Q3072">
        <f>'raw data Crude oil'!Q3073</f>
        <v>0</v>
      </c>
      <c r="R3072">
        <f>'raw data Crude oil'!R3073</f>
        <v>0</v>
      </c>
      <c r="S3072">
        <f>'raw data Crude oil'!S3073</f>
        <v>0</v>
      </c>
      <c r="T3072">
        <f>'raw data Crude oil'!T3073</f>
        <v>0</v>
      </c>
      <c r="U3072">
        <f>'raw data Crude oil'!U3073</f>
        <v>0</v>
      </c>
      <c r="V3072">
        <f>'raw data Crude oil'!V3073</f>
        <v>0</v>
      </c>
      <c r="W3072">
        <f>'raw data Crude oil'!W3073</f>
        <v>0</v>
      </c>
      <c r="X3072">
        <f>'raw data Crude oil'!X3073</f>
        <v>0</v>
      </c>
      <c r="Y3072">
        <f>'raw data Crude oil'!Y3073</f>
        <v>0</v>
      </c>
      <c r="Z3072">
        <f>'raw data Crude oil'!Z3073</f>
        <v>0</v>
      </c>
      <c r="AA3072">
        <f>'raw data Crude oil'!AA3073</f>
        <v>0</v>
      </c>
      <c r="AB3072">
        <f>'raw data Crude oil'!AB3073</f>
        <v>0</v>
      </c>
      <c r="AC3072">
        <f>'raw data Crude oil'!AC3073</f>
        <v>0</v>
      </c>
      <c r="AD3072">
        <f>'raw data Crude oil'!AD3073</f>
        <v>0</v>
      </c>
      <c r="AE3072">
        <f>'raw data Crude oil'!AE3073</f>
        <v>0</v>
      </c>
      <c r="AF3072">
        <f>'raw data Crude oil'!AF3073</f>
        <v>0</v>
      </c>
      <c r="AG3072">
        <f>'raw data Crude oil'!AG3073</f>
        <v>0</v>
      </c>
      <c r="AH3072">
        <f>'raw data Crude oil'!AH3073</f>
        <v>0</v>
      </c>
      <c r="AI3072">
        <f>'raw data Crude oil'!AI3073</f>
        <v>0</v>
      </c>
      <c r="AJ3072">
        <f>'raw data Crude oil'!AJ3073</f>
        <v>0</v>
      </c>
      <c r="AK3072">
        <f>'raw data Crude oil'!AK3073</f>
        <v>0</v>
      </c>
    </row>
    <row r="3073" spans="1:37" x14ac:dyDescent="0.3">
      <c r="A3073" s="18">
        <f>'raw data Crude oil'!A3074</f>
        <v>0</v>
      </c>
      <c r="B3073">
        <f>'raw data Crude oil'!B3074</f>
        <v>0</v>
      </c>
      <c r="C3073">
        <f>'raw data Crude oil'!C3074</f>
        <v>0</v>
      </c>
      <c r="D3073">
        <f>'raw data Crude oil'!D3074</f>
        <v>0</v>
      </c>
      <c r="E3073">
        <f>'raw data Crude oil'!E3074</f>
        <v>0</v>
      </c>
      <c r="F3073">
        <f>'raw data Crude oil'!F3074</f>
        <v>0</v>
      </c>
      <c r="G3073">
        <f>'raw data Crude oil'!G3074</f>
        <v>0</v>
      </c>
      <c r="H3073">
        <f>'raw data Crude oil'!H3074</f>
        <v>0</v>
      </c>
      <c r="I3073">
        <f>'raw data Crude oil'!I3074</f>
        <v>0</v>
      </c>
      <c r="J3073">
        <f>'raw data Crude oil'!J3074</f>
        <v>0</v>
      </c>
      <c r="K3073">
        <f>'raw data Crude oil'!K3074</f>
        <v>0</v>
      </c>
      <c r="L3073">
        <f>'raw data Crude oil'!L3074</f>
        <v>0</v>
      </c>
      <c r="M3073">
        <f>'raw data Crude oil'!M3074</f>
        <v>0</v>
      </c>
      <c r="N3073">
        <f>'raw data Crude oil'!N3074</f>
        <v>0</v>
      </c>
      <c r="O3073">
        <f>'raw data Crude oil'!O3074</f>
        <v>0</v>
      </c>
      <c r="P3073">
        <f>'raw data Crude oil'!P3074</f>
        <v>0</v>
      </c>
      <c r="Q3073">
        <f>'raw data Crude oil'!Q3074</f>
        <v>0</v>
      </c>
      <c r="R3073">
        <f>'raw data Crude oil'!R3074</f>
        <v>0</v>
      </c>
      <c r="S3073">
        <f>'raw data Crude oil'!S3074</f>
        <v>0</v>
      </c>
      <c r="T3073">
        <f>'raw data Crude oil'!T3074</f>
        <v>0</v>
      </c>
      <c r="U3073">
        <f>'raw data Crude oil'!U3074</f>
        <v>0</v>
      </c>
      <c r="V3073">
        <f>'raw data Crude oil'!V3074</f>
        <v>0</v>
      </c>
      <c r="W3073">
        <f>'raw data Crude oil'!W3074</f>
        <v>0</v>
      </c>
      <c r="X3073">
        <f>'raw data Crude oil'!X3074</f>
        <v>0</v>
      </c>
      <c r="Y3073">
        <f>'raw data Crude oil'!Y3074</f>
        <v>0</v>
      </c>
      <c r="Z3073">
        <f>'raw data Crude oil'!Z3074</f>
        <v>0</v>
      </c>
      <c r="AA3073">
        <f>'raw data Crude oil'!AA3074</f>
        <v>0</v>
      </c>
      <c r="AB3073">
        <f>'raw data Crude oil'!AB3074</f>
        <v>0</v>
      </c>
      <c r="AC3073">
        <f>'raw data Crude oil'!AC3074</f>
        <v>0</v>
      </c>
      <c r="AD3073">
        <f>'raw data Crude oil'!AD3074</f>
        <v>0</v>
      </c>
      <c r="AE3073">
        <f>'raw data Crude oil'!AE3074</f>
        <v>0</v>
      </c>
      <c r="AF3073">
        <f>'raw data Crude oil'!AF3074</f>
        <v>0</v>
      </c>
      <c r="AG3073">
        <f>'raw data Crude oil'!AG3074</f>
        <v>0</v>
      </c>
      <c r="AH3073">
        <f>'raw data Crude oil'!AH3074</f>
        <v>0</v>
      </c>
      <c r="AI3073">
        <f>'raw data Crude oil'!AI3074</f>
        <v>0</v>
      </c>
      <c r="AJ3073">
        <f>'raw data Crude oil'!AJ3074</f>
        <v>0</v>
      </c>
      <c r="AK3073">
        <f>'raw data Crude oil'!AK3074</f>
        <v>0</v>
      </c>
    </row>
    <row r="3074" spans="1:37" x14ac:dyDescent="0.3">
      <c r="A3074" s="18">
        <f>'raw data Crude oil'!A3075</f>
        <v>0</v>
      </c>
      <c r="B3074">
        <f>'raw data Crude oil'!B3075</f>
        <v>0</v>
      </c>
      <c r="C3074">
        <f>'raw data Crude oil'!C3075</f>
        <v>0</v>
      </c>
      <c r="D3074">
        <f>'raw data Crude oil'!D3075</f>
        <v>0</v>
      </c>
      <c r="E3074">
        <f>'raw data Crude oil'!E3075</f>
        <v>0</v>
      </c>
      <c r="F3074">
        <f>'raw data Crude oil'!F3075</f>
        <v>0</v>
      </c>
      <c r="G3074">
        <f>'raw data Crude oil'!G3075</f>
        <v>0</v>
      </c>
      <c r="H3074">
        <f>'raw data Crude oil'!H3075</f>
        <v>0</v>
      </c>
      <c r="I3074">
        <f>'raw data Crude oil'!I3075</f>
        <v>0</v>
      </c>
      <c r="J3074">
        <f>'raw data Crude oil'!J3075</f>
        <v>0</v>
      </c>
      <c r="K3074">
        <f>'raw data Crude oil'!K3075</f>
        <v>0</v>
      </c>
      <c r="L3074">
        <f>'raw data Crude oil'!L3075</f>
        <v>0</v>
      </c>
      <c r="M3074">
        <f>'raw data Crude oil'!M3075</f>
        <v>0</v>
      </c>
      <c r="N3074">
        <f>'raw data Crude oil'!N3075</f>
        <v>0</v>
      </c>
      <c r="O3074">
        <f>'raw data Crude oil'!O3075</f>
        <v>0</v>
      </c>
      <c r="P3074">
        <f>'raw data Crude oil'!P3075</f>
        <v>0</v>
      </c>
      <c r="Q3074">
        <f>'raw data Crude oil'!Q3075</f>
        <v>0</v>
      </c>
      <c r="R3074">
        <f>'raw data Crude oil'!R3075</f>
        <v>0</v>
      </c>
      <c r="S3074">
        <f>'raw data Crude oil'!S3075</f>
        <v>0</v>
      </c>
      <c r="T3074">
        <f>'raw data Crude oil'!T3075</f>
        <v>0</v>
      </c>
      <c r="U3074">
        <f>'raw data Crude oil'!U3075</f>
        <v>0</v>
      </c>
      <c r="V3074">
        <f>'raw data Crude oil'!V3075</f>
        <v>0</v>
      </c>
      <c r="W3074">
        <f>'raw data Crude oil'!W3075</f>
        <v>0</v>
      </c>
      <c r="X3074">
        <f>'raw data Crude oil'!X3075</f>
        <v>0</v>
      </c>
      <c r="Y3074">
        <f>'raw data Crude oil'!Y3075</f>
        <v>0</v>
      </c>
      <c r="Z3074">
        <f>'raw data Crude oil'!Z3075</f>
        <v>0</v>
      </c>
      <c r="AA3074">
        <f>'raw data Crude oil'!AA3075</f>
        <v>0</v>
      </c>
      <c r="AB3074">
        <f>'raw data Crude oil'!AB3075</f>
        <v>0</v>
      </c>
      <c r="AC3074">
        <f>'raw data Crude oil'!AC3075</f>
        <v>0</v>
      </c>
      <c r="AD3074">
        <f>'raw data Crude oil'!AD3075</f>
        <v>0</v>
      </c>
      <c r="AE3074">
        <f>'raw data Crude oil'!AE3075</f>
        <v>0</v>
      </c>
      <c r="AF3074">
        <f>'raw data Crude oil'!AF3075</f>
        <v>0</v>
      </c>
      <c r="AG3074">
        <f>'raw data Crude oil'!AG3075</f>
        <v>0</v>
      </c>
      <c r="AH3074">
        <f>'raw data Crude oil'!AH3075</f>
        <v>0</v>
      </c>
      <c r="AI3074">
        <f>'raw data Crude oil'!AI3075</f>
        <v>0</v>
      </c>
      <c r="AJ3074">
        <f>'raw data Crude oil'!AJ3075</f>
        <v>0</v>
      </c>
      <c r="AK3074">
        <f>'raw data Crude oil'!AK3075</f>
        <v>0</v>
      </c>
    </row>
    <row r="3075" spans="1:37" x14ac:dyDescent="0.3">
      <c r="A3075" s="18">
        <f>'raw data Crude oil'!A3076</f>
        <v>0</v>
      </c>
      <c r="B3075">
        <f>'raw data Crude oil'!B3076</f>
        <v>0</v>
      </c>
      <c r="C3075">
        <f>'raw data Crude oil'!C3076</f>
        <v>0</v>
      </c>
      <c r="D3075">
        <f>'raw data Crude oil'!D3076</f>
        <v>0</v>
      </c>
      <c r="E3075">
        <f>'raw data Crude oil'!E3076</f>
        <v>0</v>
      </c>
      <c r="F3075">
        <f>'raw data Crude oil'!F3076</f>
        <v>0</v>
      </c>
      <c r="G3075">
        <f>'raw data Crude oil'!G3076</f>
        <v>0</v>
      </c>
      <c r="H3075">
        <f>'raw data Crude oil'!H3076</f>
        <v>0</v>
      </c>
      <c r="I3075">
        <f>'raw data Crude oil'!I3076</f>
        <v>0</v>
      </c>
      <c r="J3075">
        <f>'raw data Crude oil'!J3076</f>
        <v>0</v>
      </c>
      <c r="K3075">
        <f>'raw data Crude oil'!K3076</f>
        <v>0</v>
      </c>
      <c r="L3075">
        <f>'raw data Crude oil'!L3076</f>
        <v>0</v>
      </c>
      <c r="M3075">
        <f>'raw data Crude oil'!M3076</f>
        <v>0</v>
      </c>
      <c r="N3075">
        <f>'raw data Crude oil'!N3076</f>
        <v>0</v>
      </c>
      <c r="O3075">
        <f>'raw data Crude oil'!O3076</f>
        <v>0</v>
      </c>
      <c r="P3075">
        <f>'raw data Crude oil'!P3076</f>
        <v>0</v>
      </c>
      <c r="Q3075">
        <f>'raw data Crude oil'!Q3076</f>
        <v>0</v>
      </c>
      <c r="R3075">
        <f>'raw data Crude oil'!R3076</f>
        <v>0</v>
      </c>
      <c r="S3075">
        <f>'raw data Crude oil'!S3076</f>
        <v>0</v>
      </c>
      <c r="T3075">
        <f>'raw data Crude oil'!T3076</f>
        <v>0</v>
      </c>
      <c r="U3075">
        <f>'raw data Crude oil'!U3076</f>
        <v>0</v>
      </c>
      <c r="V3075">
        <f>'raw data Crude oil'!V3076</f>
        <v>0</v>
      </c>
      <c r="W3075">
        <f>'raw data Crude oil'!W3076</f>
        <v>0</v>
      </c>
      <c r="X3075">
        <f>'raw data Crude oil'!X3076</f>
        <v>0</v>
      </c>
      <c r="Y3075">
        <f>'raw data Crude oil'!Y3076</f>
        <v>0</v>
      </c>
      <c r="Z3075">
        <f>'raw data Crude oil'!Z3076</f>
        <v>0</v>
      </c>
      <c r="AA3075">
        <f>'raw data Crude oil'!AA3076</f>
        <v>0</v>
      </c>
      <c r="AB3075">
        <f>'raw data Crude oil'!AB3076</f>
        <v>0</v>
      </c>
      <c r="AC3075">
        <f>'raw data Crude oil'!AC3076</f>
        <v>0</v>
      </c>
      <c r="AD3075">
        <f>'raw data Crude oil'!AD3076</f>
        <v>0</v>
      </c>
      <c r="AE3075">
        <f>'raw data Crude oil'!AE3076</f>
        <v>0</v>
      </c>
      <c r="AF3075">
        <f>'raw data Crude oil'!AF3076</f>
        <v>0</v>
      </c>
      <c r="AG3075">
        <f>'raw data Crude oil'!AG3076</f>
        <v>0</v>
      </c>
      <c r="AH3075">
        <f>'raw data Crude oil'!AH3076</f>
        <v>0</v>
      </c>
      <c r="AI3075">
        <f>'raw data Crude oil'!AI3076</f>
        <v>0</v>
      </c>
      <c r="AJ3075">
        <f>'raw data Crude oil'!AJ3076</f>
        <v>0</v>
      </c>
      <c r="AK3075">
        <f>'raw data Crude oil'!AK3076</f>
        <v>0</v>
      </c>
    </row>
    <row r="3076" spans="1:37" x14ac:dyDescent="0.3">
      <c r="A3076" s="18">
        <f>'raw data Crude oil'!A3077</f>
        <v>0</v>
      </c>
      <c r="B3076">
        <f>'raw data Crude oil'!B3077</f>
        <v>0</v>
      </c>
      <c r="C3076">
        <f>'raw data Crude oil'!C3077</f>
        <v>0</v>
      </c>
      <c r="D3076">
        <f>'raw data Crude oil'!D3077</f>
        <v>0</v>
      </c>
      <c r="E3076">
        <f>'raw data Crude oil'!E3077</f>
        <v>0</v>
      </c>
      <c r="F3076">
        <f>'raw data Crude oil'!F3077</f>
        <v>0</v>
      </c>
      <c r="G3076">
        <f>'raw data Crude oil'!G3077</f>
        <v>0</v>
      </c>
      <c r="H3076">
        <f>'raw data Crude oil'!H3077</f>
        <v>0</v>
      </c>
      <c r="I3076">
        <f>'raw data Crude oil'!I3077</f>
        <v>0</v>
      </c>
      <c r="J3076">
        <f>'raw data Crude oil'!J3077</f>
        <v>0</v>
      </c>
      <c r="K3076">
        <f>'raw data Crude oil'!K3077</f>
        <v>0</v>
      </c>
      <c r="L3076">
        <f>'raw data Crude oil'!L3077</f>
        <v>0</v>
      </c>
      <c r="M3076">
        <f>'raw data Crude oil'!M3077</f>
        <v>0</v>
      </c>
      <c r="N3076">
        <f>'raw data Crude oil'!N3077</f>
        <v>0</v>
      </c>
      <c r="O3076">
        <f>'raw data Crude oil'!O3077</f>
        <v>0</v>
      </c>
      <c r="P3076">
        <f>'raw data Crude oil'!P3077</f>
        <v>0</v>
      </c>
      <c r="Q3076">
        <f>'raw data Crude oil'!Q3077</f>
        <v>0</v>
      </c>
      <c r="R3076">
        <f>'raw data Crude oil'!R3077</f>
        <v>0</v>
      </c>
      <c r="S3076">
        <f>'raw data Crude oil'!S3077</f>
        <v>0</v>
      </c>
      <c r="T3076">
        <f>'raw data Crude oil'!T3077</f>
        <v>0</v>
      </c>
      <c r="U3076">
        <f>'raw data Crude oil'!U3077</f>
        <v>0</v>
      </c>
      <c r="V3076">
        <f>'raw data Crude oil'!V3077</f>
        <v>0</v>
      </c>
      <c r="W3076">
        <f>'raw data Crude oil'!W3077</f>
        <v>0</v>
      </c>
      <c r="X3076">
        <f>'raw data Crude oil'!X3077</f>
        <v>0</v>
      </c>
      <c r="Y3076">
        <f>'raw data Crude oil'!Y3077</f>
        <v>0</v>
      </c>
      <c r="Z3076">
        <f>'raw data Crude oil'!Z3077</f>
        <v>0</v>
      </c>
      <c r="AA3076">
        <f>'raw data Crude oil'!AA3077</f>
        <v>0</v>
      </c>
      <c r="AB3076">
        <f>'raw data Crude oil'!AB3077</f>
        <v>0</v>
      </c>
      <c r="AC3076">
        <f>'raw data Crude oil'!AC3077</f>
        <v>0</v>
      </c>
      <c r="AD3076">
        <f>'raw data Crude oil'!AD3077</f>
        <v>0</v>
      </c>
      <c r="AE3076">
        <f>'raw data Crude oil'!AE3077</f>
        <v>0</v>
      </c>
      <c r="AF3076">
        <f>'raw data Crude oil'!AF3077</f>
        <v>0</v>
      </c>
      <c r="AG3076">
        <f>'raw data Crude oil'!AG3077</f>
        <v>0</v>
      </c>
      <c r="AH3076">
        <f>'raw data Crude oil'!AH3077</f>
        <v>0</v>
      </c>
      <c r="AI3076">
        <f>'raw data Crude oil'!AI3077</f>
        <v>0</v>
      </c>
      <c r="AJ3076">
        <f>'raw data Crude oil'!AJ3077</f>
        <v>0</v>
      </c>
      <c r="AK3076">
        <f>'raw data Crude oil'!AK3077</f>
        <v>0</v>
      </c>
    </row>
    <row r="3077" spans="1:37" x14ac:dyDescent="0.3">
      <c r="A3077" s="18">
        <f>'raw data Crude oil'!A3078</f>
        <v>0</v>
      </c>
      <c r="B3077">
        <f>'raw data Crude oil'!B3078</f>
        <v>0</v>
      </c>
      <c r="C3077">
        <f>'raw data Crude oil'!C3078</f>
        <v>0</v>
      </c>
      <c r="D3077">
        <f>'raw data Crude oil'!D3078</f>
        <v>0</v>
      </c>
      <c r="E3077">
        <f>'raw data Crude oil'!E3078</f>
        <v>0</v>
      </c>
      <c r="F3077">
        <f>'raw data Crude oil'!F3078</f>
        <v>0</v>
      </c>
      <c r="G3077">
        <f>'raw data Crude oil'!G3078</f>
        <v>0</v>
      </c>
      <c r="H3077">
        <f>'raw data Crude oil'!H3078</f>
        <v>0</v>
      </c>
      <c r="I3077">
        <f>'raw data Crude oil'!I3078</f>
        <v>0</v>
      </c>
      <c r="J3077">
        <f>'raw data Crude oil'!J3078</f>
        <v>0</v>
      </c>
      <c r="K3077">
        <f>'raw data Crude oil'!K3078</f>
        <v>0</v>
      </c>
      <c r="L3077">
        <f>'raw data Crude oil'!L3078</f>
        <v>0</v>
      </c>
      <c r="M3077">
        <f>'raw data Crude oil'!M3078</f>
        <v>0</v>
      </c>
      <c r="N3077">
        <f>'raw data Crude oil'!N3078</f>
        <v>0</v>
      </c>
      <c r="O3077">
        <f>'raw data Crude oil'!O3078</f>
        <v>0</v>
      </c>
      <c r="P3077">
        <f>'raw data Crude oil'!P3078</f>
        <v>0</v>
      </c>
      <c r="Q3077">
        <f>'raw data Crude oil'!Q3078</f>
        <v>0</v>
      </c>
      <c r="R3077">
        <f>'raw data Crude oil'!R3078</f>
        <v>0</v>
      </c>
      <c r="S3077">
        <f>'raw data Crude oil'!S3078</f>
        <v>0</v>
      </c>
      <c r="T3077">
        <f>'raw data Crude oil'!T3078</f>
        <v>0</v>
      </c>
      <c r="U3077">
        <f>'raw data Crude oil'!U3078</f>
        <v>0</v>
      </c>
      <c r="V3077">
        <f>'raw data Crude oil'!V3078</f>
        <v>0</v>
      </c>
      <c r="W3077">
        <f>'raw data Crude oil'!W3078</f>
        <v>0</v>
      </c>
      <c r="X3077">
        <f>'raw data Crude oil'!X3078</f>
        <v>0</v>
      </c>
      <c r="Y3077">
        <f>'raw data Crude oil'!Y3078</f>
        <v>0</v>
      </c>
      <c r="Z3077">
        <f>'raw data Crude oil'!Z3078</f>
        <v>0</v>
      </c>
      <c r="AA3077">
        <f>'raw data Crude oil'!AA3078</f>
        <v>0</v>
      </c>
      <c r="AB3077">
        <f>'raw data Crude oil'!AB3078</f>
        <v>0</v>
      </c>
      <c r="AC3077">
        <f>'raw data Crude oil'!AC3078</f>
        <v>0</v>
      </c>
      <c r="AD3077">
        <f>'raw data Crude oil'!AD3078</f>
        <v>0</v>
      </c>
      <c r="AE3077">
        <f>'raw data Crude oil'!AE3078</f>
        <v>0</v>
      </c>
      <c r="AF3077">
        <f>'raw data Crude oil'!AF3078</f>
        <v>0</v>
      </c>
      <c r="AG3077">
        <f>'raw data Crude oil'!AG3078</f>
        <v>0</v>
      </c>
      <c r="AH3077">
        <f>'raw data Crude oil'!AH3078</f>
        <v>0</v>
      </c>
      <c r="AI3077">
        <f>'raw data Crude oil'!AI3078</f>
        <v>0</v>
      </c>
      <c r="AJ3077">
        <f>'raw data Crude oil'!AJ3078</f>
        <v>0</v>
      </c>
      <c r="AK3077">
        <f>'raw data Crude oil'!AK3078</f>
        <v>0</v>
      </c>
    </row>
    <row r="3078" spans="1:37" x14ac:dyDescent="0.3">
      <c r="A3078" s="18">
        <f>'raw data Crude oil'!A3079</f>
        <v>0</v>
      </c>
      <c r="B3078">
        <f>'raw data Crude oil'!B3079</f>
        <v>0</v>
      </c>
      <c r="C3078">
        <f>'raw data Crude oil'!C3079</f>
        <v>0</v>
      </c>
      <c r="D3078">
        <f>'raw data Crude oil'!D3079</f>
        <v>0</v>
      </c>
      <c r="E3078">
        <f>'raw data Crude oil'!E3079</f>
        <v>0</v>
      </c>
      <c r="F3078">
        <f>'raw data Crude oil'!F3079</f>
        <v>0</v>
      </c>
      <c r="G3078">
        <f>'raw data Crude oil'!G3079</f>
        <v>0</v>
      </c>
      <c r="H3078">
        <f>'raw data Crude oil'!H3079</f>
        <v>0</v>
      </c>
      <c r="I3078">
        <f>'raw data Crude oil'!I3079</f>
        <v>0</v>
      </c>
      <c r="J3078">
        <f>'raw data Crude oil'!J3079</f>
        <v>0</v>
      </c>
      <c r="K3078">
        <f>'raw data Crude oil'!K3079</f>
        <v>0</v>
      </c>
      <c r="L3078">
        <f>'raw data Crude oil'!L3079</f>
        <v>0</v>
      </c>
      <c r="M3078">
        <f>'raw data Crude oil'!M3079</f>
        <v>0</v>
      </c>
      <c r="N3078">
        <f>'raw data Crude oil'!N3079</f>
        <v>0</v>
      </c>
      <c r="O3078">
        <f>'raw data Crude oil'!O3079</f>
        <v>0</v>
      </c>
      <c r="P3078">
        <f>'raw data Crude oil'!P3079</f>
        <v>0</v>
      </c>
      <c r="Q3078">
        <f>'raw data Crude oil'!Q3079</f>
        <v>0</v>
      </c>
      <c r="R3078">
        <f>'raw data Crude oil'!R3079</f>
        <v>0</v>
      </c>
      <c r="S3078">
        <f>'raw data Crude oil'!S3079</f>
        <v>0</v>
      </c>
      <c r="T3078">
        <f>'raw data Crude oil'!T3079</f>
        <v>0</v>
      </c>
      <c r="U3078">
        <f>'raw data Crude oil'!U3079</f>
        <v>0</v>
      </c>
      <c r="V3078">
        <f>'raw data Crude oil'!V3079</f>
        <v>0</v>
      </c>
      <c r="W3078">
        <f>'raw data Crude oil'!W3079</f>
        <v>0</v>
      </c>
      <c r="X3078">
        <f>'raw data Crude oil'!X3079</f>
        <v>0</v>
      </c>
      <c r="Y3078">
        <f>'raw data Crude oil'!Y3079</f>
        <v>0</v>
      </c>
      <c r="Z3078">
        <f>'raw data Crude oil'!Z3079</f>
        <v>0</v>
      </c>
      <c r="AA3078">
        <f>'raw data Crude oil'!AA3079</f>
        <v>0</v>
      </c>
      <c r="AB3078">
        <f>'raw data Crude oil'!AB3079</f>
        <v>0</v>
      </c>
      <c r="AC3078">
        <f>'raw data Crude oil'!AC3079</f>
        <v>0</v>
      </c>
      <c r="AD3078">
        <f>'raw data Crude oil'!AD3079</f>
        <v>0</v>
      </c>
      <c r="AE3078">
        <f>'raw data Crude oil'!AE3079</f>
        <v>0</v>
      </c>
      <c r="AF3078">
        <f>'raw data Crude oil'!AF3079</f>
        <v>0</v>
      </c>
      <c r="AG3078">
        <f>'raw data Crude oil'!AG3079</f>
        <v>0</v>
      </c>
      <c r="AH3078">
        <f>'raw data Crude oil'!AH3079</f>
        <v>0</v>
      </c>
      <c r="AI3078">
        <f>'raw data Crude oil'!AI3079</f>
        <v>0</v>
      </c>
      <c r="AJ3078">
        <f>'raw data Crude oil'!AJ3079</f>
        <v>0</v>
      </c>
      <c r="AK3078">
        <f>'raw data Crude oil'!AK3079</f>
        <v>0</v>
      </c>
    </row>
    <row r="3079" spans="1:37" x14ac:dyDescent="0.3">
      <c r="A3079" s="18">
        <f>'raw data Crude oil'!A3080</f>
        <v>0</v>
      </c>
      <c r="B3079">
        <f>'raw data Crude oil'!B3080</f>
        <v>0</v>
      </c>
      <c r="C3079">
        <f>'raw data Crude oil'!C3080</f>
        <v>0</v>
      </c>
      <c r="D3079">
        <f>'raw data Crude oil'!D3080</f>
        <v>0</v>
      </c>
      <c r="E3079">
        <f>'raw data Crude oil'!E3080</f>
        <v>0</v>
      </c>
      <c r="F3079">
        <f>'raw data Crude oil'!F3080</f>
        <v>0</v>
      </c>
      <c r="G3079">
        <f>'raw data Crude oil'!G3080</f>
        <v>0</v>
      </c>
      <c r="H3079">
        <f>'raw data Crude oil'!H3080</f>
        <v>0</v>
      </c>
      <c r="I3079">
        <f>'raw data Crude oil'!I3080</f>
        <v>0</v>
      </c>
      <c r="J3079">
        <f>'raw data Crude oil'!J3080</f>
        <v>0</v>
      </c>
      <c r="K3079">
        <f>'raw data Crude oil'!K3080</f>
        <v>0</v>
      </c>
      <c r="L3079">
        <f>'raw data Crude oil'!L3080</f>
        <v>0</v>
      </c>
      <c r="M3079">
        <f>'raw data Crude oil'!M3080</f>
        <v>0</v>
      </c>
      <c r="N3079">
        <f>'raw data Crude oil'!N3080</f>
        <v>0</v>
      </c>
      <c r="O3079">
        <f>'raw data Crude oil'!O3080</f>
        <v>0</v>
      </c>
      <c r="P3079">
        <f>'raw data Crude oil'!P3080</f>
        <v>0</v>
      </c>
      <c r="Q3079">
        <f>'raw data Crude oil'!Q3080</f>
        <v>0</v>
      </c>
      <c r="R3079">
        <f>'raw data Crude oil'!R3080</f>
        <v>0</v>
      </c>
      <c r="S3079">
        <f>'raw data Crude oil'!S3080</f>
        <v>0</v>
      </c>
      <c r="T3079">
        <f>'raw data Crude oil'!T3080</f>
        <v>0</v>
      </c>
      <c r="U3079">
        <f>'raw data Crude oil'!U3080</f>
        <v>0</v>
      </c>
      <c r="V3079">
        <f>'raw data Crude oil'!V3080</f>
        <v>0</v>
      </c>
      <c r="W3079">
        <f>'raw data Crude oil'!W3080</f>
        <v>0</v>
      </c>
      <c r="X3079">
        <f>'raw data Crude oil'!X3080</f>
        <v>0</v>
      </c>
      <c r="Y3079">
        <f>'raw data Crude oil'!Y3080</f>
        <v>0</v>
      </c>
      <c r="Z3079">
        <f>'raw data Crude oil'!Z3080</f>
        <v>0</v>
      </c>
      <c r="AA3079">
        <f>'raw data Crude oil'!AA3080</f>
        <v>0</v>
      </c>
      <c r="AB3079">
        <f>'raw data Crude oil'!AB3080</f>
        <v>0</v>
      </c>
      <c r="AC3079">
        <f>'raw data Crude oil'!AC3080</f>
        <v>0</v>
      </c>
      <c r="AD3079">
        <f>'raw data Crude oil'!AD3080</f>
        <v>0</v>
      </c>
      <c r="AE3079">
        <f>'raw data Crude oil'!AE3080</f>
        <v>0</v>
      </c>
      <c r="AF3079">
        <f>'raw data Crude oil'!AF3080</f>
        <v>0</v>
      </c>
      <c r="AG3079">
        <f>'raw data Crude oil'!AG3080</f>
        <v>0</v>
      </c>
      <c r="AH3079">
        <f>'raw data Crude oil'!AH3080</f>
        <v>0</v>
      </c>
      <c r="AI3079">
        <f>'raw data Crude oil'!AI3080</f>
        <v>0</v>
      </c>
      <c r="AJ3079">
        <f>'raw data Crude oil'!AJ3080</f>
        <v>0</v>
      </c>
      <c r="AK3079">
        <f>'raw data Crude oil'!AK3080</f>
        <v>0</v>
      </c>
    </row>
    <row r="3080" spans="1:37" x14ac:dyDescent="0.3">
      <c r="A3080" s="18">
        <f>'raw data Crude oil'!A3081</f>
        <v>0</v>
      </c>
      <c r="B3080">
        <f>'raw data Crude oil'!B3081</f>
        <v>0</v>
      </c>
      <c r="C3080">
        <f>'raw data Crude oil'!C3081</f>
        <v>0</v>
      </c>
      <c r="D3080">
        <f>'raw data Crude oil'!D3081</f>
        <v>0</v>
      </c>
      <c r="E3080">
        <f>'raw data Crude oil'!E3081</f>
        <v>0</v>
      </c>
      <c r="F3080">
        <f>'raw data Crude oil'!F3081</f>
        <v>0</v>
      </c>
      <c r="G3080">
        <f>'raw data Crude oil'!G3081</f>
        <v>0</v>
      </c>
      <c r="H3080">
        <f>'raw data Crude oil'!H3081</f>
        <v>0</v>
      </c>
      <c r="I3080">
        <f>'raw data Crude oil'!I3081</f>
        <v>0</v>
      </c>
      <c r="J3080">
        <f>'raw data Crude oil'!J3081</f>
        <v>0</v>
      </c>
      <c r="K3080">
        <f>'raw data Crude oil'!K3081</f>
        <v>0</v>
      </c>
      <c r="L3080">
        <f>'raw data Crude oil'!L3081</f>
        <v>0</v>
      </c>
      <c r="M3080">
        <f>'raw data Crude oil'!M3081</f>
        <v>0</v>
      </c>
      <c r="N3080">
        <f>'raw data Crude oil'!N3081</f>
        <v>0</v>
      </c>
      <c r="O3080">
        <f>'raw data Crude oil'!O3081</f>
        <v>0</v>
      </c>
      <c r="P3080">
        <f>'raw data Crude oil'!P3081</f>
        <v>0</v>
      </c>
      <c r="Q3080">
        <f>'raw data Crude oil'!Q3081</f>
        <v>0</v>
      </c>
      <c r="R3080">
        <f>'raw data Crude oil'!R3081</f>
        <v>0</v>
      </c>
      <c r="S3080">
        <f>'raw data Crude oil'!S3081</f>
        <v>0</v>
      </c>
      <c r="T3080">
        <f>'raw data Crude oil'!T3081</f>
        <v>0</v>
      </c>
      <c r="U3080">
        <f>'raw data Crude oil'!U3081</f>
        <v>0</v>
      </c>
      <c r="V3080">
        <f>'raw data Crude oil'!V3081</f>
        <v>0</v>
      </c>
      <c r="W3080">
        <f>'raw data Crude oil'!W3081</f>
        <v>0</v>
      </c>
      <c r="X3080">
        <f>'raw data Crude oil'!X3081</f>
        <v>0</v>
      </c>
      <c r="Y3080">
        <f>'raw data Crude oil'!Y3081</f>
        <v>0</v>
      </c>
      <c r="Z3080">
        <f>'raw data Crude oil'!Z3081</f>
        <v>0</v>
      </c>
      <c r="AA3080">
        <f>'raw data Crude oil'!AA3081</f>
        <v>0</v>
      </c>
      <c r="AB3080">
        <f>'raw data Crude oil'!AB3081</f>
        <v>0</v>
      </c>
      <c r="AC3080">
        <f>'raw data Crude oil'!AC3081</f>
        <v>0</v>
      </c>
      <c r="AD3080">
        <f>'raw data Crude oil'!AD3081</f>
        <v>0</v>
      </c>
      <c r="AE3080">
        <f>'raw data Crude oil'!AE3081</f>
        <v>0</v>
      </c>
      <c r="AF3080">
        <f>'raw data Crude oil'!AF3081</f>
        <v>0</v>
      </c>
      <c r="AG3080">
        <f>'raw data Crude oil'!AG3081</f>
        <v>0</v>
      </c>
      <c r="AH3080">
        <f>'raw data Crude oil'!AH3081</f>
        <v>0</v>
      </c>
      <c r="AI3080">
        <f>'raw data Crude oil'!AI3081</f>
        <v>0</v>
      </c>
      <c r="AJ3080">
        <f>'raw data Crude oil'!AJ3081</f>
        <v>0</v>
      </c>
      <c r="AK3080">
        <f>'raw data Crude oil'!AK3081</f>
        <v>0</v>
      </c>
    </row>
    <row r="3081" spans="1:37" x14ac:dyDescent="0.3">
      <c r="A3081" s="18">
        <f>'raw data Crude oil'!A3082</f>
        <v>0</v>
      </c>
      <c r="B3081">
        <f>'raw data Crude oil'!B3082</f>
        <v>0</v>
      </c>
      <c r="C3081">
        <f>'raw data Crude oil'!C3082</f>
        <v>0</v>
      </c>
      <c r="D3081">
        <f>'raw data Crude oil'!D3082</f>
        <v>0</v>
      </c>
      <c r="E3081">
        <f>'raw data Crude oil'!E3082</f>
        <v>0</v>
      </c>
      <c r="F3081">
        <f>'raw data Crude oil'!F3082</f>
        <v>0</v>
      </c>
      <c r="G3081">
        <f>'raw data Crude oil'!G3082</f>
        <v>0</v>
      </c>
      <c r="H3081">
        <f>'raw data Crude oil'!H3082</f>
        <v>0</v>
      </c>
      <c r="I3081">
        <f>'raw data Crude oil'!I3082</f>
        <v>0</v>
      </c>
      <c r="J3081">
        <f>'raw data Crude oil'!J3082</f>
        <v>0</v>
      </c>
      <c r="K3081">
        <f>'raw data Crude oil'!K3082</f>
        <v>0</v>
      </c>
      <c r="L3081">
        <f>'raw data Crude oil'!L3082</f>
        <v>0</v>
      </c>
      <c r="M3081">
        <f>'raw data Crude oil'!M3082</f>
        <v>0</v>
      </c>
      <c r="N3081">
        <f>'raw data Crude oil'!N3082</f>
        <v>0</v>
      </c>
      <c r="O3081">
        <f>'raw data Crude oil'!O3082</f>
        <v>0</v>
      </c>
      <c r="P3081">
        <f>'raw data Crude oil'!P3082</f>
        <v>0</v>
      </c>
      <c r="Q3081">
        <f>'raw data Crude oil'!Q3082</f>
        <v>0</v>
      </c>
      <c r="R3081">
        <f>'raw data Crude oil'!R3082</f>
        <v>0</v>
      </c>
      <c r="S3081">
        <f>'raw data Crude oil'!S3082</f>
        <v>0</v>
      </c>
      <c r="T3081">
        <f>'raw data Crude oil'!T3082</f>
        <v>0</v>
      </c>
      <c r="U3081">
        <f>'raw data Crude oil'!U3082</f>
        <v>0</v>
      </c>
      <c r="V3081">
        <f>'raw data Crude oil'!V3082</f>
        <v>0</v>
      </c>
      <c r="W3081">
        <f>'raw data Crude oil'!W3082</f>
        <v>0</v>
      </c>
      <c r="X3081">
        <f>'raw data Crude oil'!X3082</f>
        <v>0</v>
      </c>
      <c r="Y3081">
        <f>'raw data Crude oil'!Y3082</f>
        <v>0</v>
      </c>
      <c r="Z3081">
        <f>'raw data Crude oil'!Z3082</f>
        <v>0</v>
      </c>
      <c r="AA3081">
        <f>'raw data Crude oil'!AA3082</f>
        <v>0</v>
      </c>
      <c r="AB3081">
        <f>'raw data Crude oil'!AB3082</f>
        <v>0</v>
      </c>
      <c r="AC3081">
        <f>'raw data Crude oil'!AC3082</f>
        <v>0</v>
      </c>
      <c r="AD3081">
        <f>'raw data Crude oil'!AD3082</f>
        <v>0</v>
      </c>
      <c r="AE3081">
        <f>'raw data Crude oil'!AE3082</f>
        <v>0</v>
      </c>
      <c r="AF3081">
        <f>'raw data Crude oil'!AF3082</f>
        <v>0</v>
      </c>
      <c r="AG3081">
        <f>'raw data Crude oil'!AG3082</f>
        <v>0</v>
      </c>
      <c r="AH3081">
        <f>'raw data Crude oil'!AH3082</f>
        <v>0</v>
      </c>
      <c r="AI3081">
        <f>'raw data Crude oil'!AI3082</f>
        <v>0</v>
      </c>
      <c r="AJ3081">
        <f>'raw data Crude oil'!AJ3082</f>
        <v>0</v>
      </c>
      <c r="AK3081">
        <f>'raw data Crude oil'!AK3082</f>
        <v>0</v>
      </c>
    </row>
    <row r="3082" spans="1:37" x14ac:dyDescent="0.3">
      <c r="A3082" s="18">
        <f>'raw data Crude oil'!A3083</f>
        <v>0</v>
      </c>
      <c r="B3082">
        <f>'raw data Crude oil'!B3083</f>
        <v>0</v>
      </c>
      <c r="C3082">
        <f>'raw data Crude oil'!C3083</f>
        <v>0</v>
      </c>
      <c r="D3082">
        <f>'raw data Crude oil'!D3083</f>
        <v>0</v>
      </c>
      <c r="E3082">
        <f>'raw data Crude oil'!E3083</f>
        <v>0</v>
      </c>
      <c r="F3082">
        <f>'raw data Crude oil'!F3083</f>
        <v>0</v>
      </c>
      <c r="G3082">
        <f>'raw data Crude oil'!G3083</f>
        <v>0</v>
      </c>
      <c r="H3082">
        <f>'raw data Crude oil'!H3083</f>
        <v>0</v>
      </c>
      <c r="I3082">
        <f>'raw data Crude oil'!I3083</f>
        <v>0</v>
      </c>
      <c r="J3082">
        <f>'raw data Crude oil'!J3083</f>
        <v>0</v>
      </c>
      <c r="K3082">
        <f>'raw data Crude oil'!K3083</f>
        <v>0</v>
      </c>
      <c r="L3082">
        <f>'raw data Crude oil'!L3083</f>
        <v>0</v>
      </c>
      <c r="M3082">
        <f>'raw data Crude oil'!M3083</f>
        <v>0</v>
      </c>
      <c r="N3082">
        <f>'raw data Crude oil'!N3083</f>
        <v>0</v>
      </c>
      <c r="O3082">
        <f>'raw data Crude oil'!O3083</f>
        <v>0</v>
      </c>
      <c r="P3082">
        <f>'raw data Crude oil'!P3083</f>
        <v>0</v>
      </c>
      <c r="Q3082">
        <f>'raw data Crude oil'!Q3083</f>
        <v>0</v>
      </c>
      <c r="R3082">
        <f>'raw data Crude oil'!R3083</f>
        <v>0</v>
      </c>
      <c r="S3082">
        <f>'raw data Crude oil'!S3083</f>
        <v>0</v>
      </c>
      <c r="T3082">
        <f>'raw data Crude oil'!T3083</f>
        <v>0</v>
      </c>
      <c r="U3082">
        <f>'raw data Crude oil'!U3083</f>
        <v>0</v>
      </c>
      <c r="V3082">
        <f>'raw data Crude oil'!V3083</f>
        <v>0</v>
      </c>
      <c r="W3082">
        <f>'raw data Crude oil'!W3083</f>
        <v>0</v>
      </c>
      <c r="X3082">
        <f>'raw data Crude oil'!X3083</f>
        <v>0</v>
      </c>
      <c r="Y3082">
        <f>'raw data Crude oil'!Y3083</f>
        <v>0</v>
      </c>
      <c r="Z3082">
        <f>'raw data Crude oil'!Z3083</f>
        <v>0</v>
      </c>
      <c r="AA3082">
        <f>'raw data Crude oil'!AA3083</f>
        <v>0</v>
      </c>
      <c r="AB3082">
        <f>'raw data Crude oil'!AB3083</f>
        <v>0</v>
      </c>
      <c r="AC3082">
        <f>'raw data Crude oil'!AC3083</f>
        <v>0</v>
      </c>
      <c r="AD3082">
        <f>'raw data Crude oil'!AD3083</f>
        <v>0</v>
      </c>
      <c r="AE3082">
        <f>'raw data Crude oil'!AE3083</f>
        <v>0</v>
      </c>
      <c r="AF3082">
        <f>'raw data Crude oil'!AF3083</f>
        <v>0</v>
      </c>
      <c r="AG3082">
        <f>'raw data Crude oil'!AG3083</f>
        <v>0</v>
      </c>
      <c r="AH3082">
        <f>'raw data Crude oil'!AH3083</f>
        <v>0</v>
      </c>
      <c r="AI3082">
        <f>'raw data Crude oil'!AI3083</f>
        <v>0</v>
      </c>
      <c r="AJ3082">
        <f>'raw data Crude oil'!AJ3083</f>
        <v>0</v>
      </c>
      <c r="AK3082">
        <f>'raw data Crude oil'!AK3083</f>
        <v>0</v>
      </c>
    </row>
    <row r="3083" spans="1:37" x14ac:dyDescent="0.3">
      <c r="A3083" s="18">
        <f>'raw data Crude oil'!A3084</f>
        <v>0</v>
      </c>
      <c r="B3083">
        <f>'raw data Crude oil'!B3084</f>
        <v>0</v>
      </c>
      <c r="C3083">
        <f>'raw data Crude oil'!C3084</f>
        <v>0</v>
      </c>
      <c r="D3083">
        <f>'raw data Crude oil'!D3084</f>
        <v>0</v>
      </c>
      <c r="E3083">
        <f>'raw data Crude oil'!E3084</f>
        <v>0</v>
      </c>
      <c r="F3083">
        <f>'raw data Crude oil'!F3084</f>
        <v>0</v>
      </c>
      <c r="G3083">
        <f>'raw data Crude oil'!G3084</f>
        <v>0</v>
      </c>
      <c r="H3083">
        <f>'raw data Crude oil'!H3084</f>
        <v>0</v>
      </c>
      <c r="I3083">
        <f>'raw data Crude oil'!I3084</f>
        <v>0</v>
      </c>
      <c r="J3083">
        <f>'raw data Crude oil'!J3084</f>
        <v>0</v>
      </c>
      <c r="K3083">
        <f>'raw data Crude oil'!K3084</f>
        <v>0</v>
      </c>
      <c r="L3083">
        <f>'raw data Crude oil'!L3084</f>
        <v>0</v>
      </c>
      <c r="M3083">
        <f>'raw data Crude oil'!M3084</f>
        <v>0</v>
      </c>
      <c r="N3083">
        <f>'raw data Crude oil'!N3084</f>
        <v>0</v>
      </c>
      <c r="O3083">
        <f>'raw data Crude oil'!O3084</f>
        <v>0</v>
      </c>
      <c r="P3083">
        <f>'raw data Crude oil'!P3084</f>
        <v>0</v>
      </c>
      <c r="Q3083">
        <f>'raw data Crude oil'!Q3084</f>
        <v>0</v>
      </c>
      <c r="R3083">
        <f>'raw data Crude oil'!R3084</f>
        <v>0</v>
      </c>
      <c r="S3083">
        <f>'raw data Crude oil'!S3084</f>
        <v>0</v>
      </c>
      <c r="T3083">
        <f>'raw data Crude oil'!T3084</f>
        <v>0</v>
      </c>
      <c r="U3083">
        <f>'raw data Crude oil'!U3084</f>
        <v>0</v>
      </c>
      <c r="V3083">
        <f>'raw data Crude oil'!V3084</f>
        <v>0</v>
      </c>
      <c r="W3083">
        <f>'raw data Crude oil'!W3084</f>
        <v>0</v>
      </c>
      <c r="X3083">
        <f>'raw data Crude oil'!X3084</f>
        <v>0</v>
      </c>
      <c r="Y3083">
        <f>'raw data Crude oil'!Y3084</f>
        <v>0</v>
      </c>
      <c r="Z3083">
        <f>'raw data Crude oil'!Z3084</f>
        <v>0</v>
      </c>
      <c r="AA3083">
        <f>'raw data Crude oil'!AA3084</f>
        <v>0</v>
      </c>
      <c r="AB3083">
        <f>'raw data Crude oil'!AB3084</f>
        <v>0</v>
      </c>
      <c r="AC3083">
        <f>'raw data Crude oil'!AC3084</f>
        <v>0</v>
      </c>
      <c r="AD3083">
        <f>'raw data Crude oil'!AD3084</f>
        <v>0</v>
      </c>
      <c r="AE3083">
        <f>'raw data Crude oil'!AE3084</f>
        <v>0</v>
      </c>
      <c r="AF3083">
        <f>'raw data Crude oil'!AF3084</f>
        <v>0</v>
      </c>
      <c r="AG3083">
        <f>'raw data Crude oil'!AG3084</f>
        <v>0</v>
      </c>
      <c r="AH3083">
        <f>'raw data Crude oil'!AH3084</f>
        <v>0</v>
      </c>
      <c r="AI3083">
        <f>'raw data Crude oil'!AI3084</f>
        <v>0</v>
      </c>
      <c r="AJ3083">
        <f>'raw data Crude oil'!AJ3084</f>
        <v>0</v>
      </c>
      <c r="AK3083">
        <f>'raw data Crude oil'!AK3084</f>
        <v>0</v>
      </c>
    </row>
    <row r="3084" spans="1:37" x14ac:dyDescent="0.3">
      <c r="A3084" s="18">
        <f>'raw data Crude oil'!A3085</f>
        <v>0</v>
      </c>
      <c r="B3084">
        <f>'raw data Crude oil'!B3085</f>
        <v>0</v>
      </c>
      <c r="C3084">
        <f>'raw data Crude oil'!C3085</f>
        <v>0</v>
      </c>
      <c r="D3084">
        <f>'raw data Crude oil'!D3085</f>
        <v>0</v>
      </c>
      <c r="E3084">
        <f>'raw data Crude oil'!E3085</f>
        <v>0</v>
      </c>
      <c r="F3084">
        <f>'raw data Crude oil'!F3085</f>
        <v>0</v>
      </c>
      <c r="G3084">
        <f>'raw data Crude oil'!G3085</f>
        <v>0</v>
      </c>
      <c r="H3084">
        <f>'raw data Crude oil'!H3085</f>
        <v>0</v>
      </c>
      <c r="I3084">
        <f>'raw data Crude oil'!I3085</f>
        <v>0</v>
      </c>
      <c r="J3084">
        <f>'raw data Crude oil'!J3085</f>
        <v>0</v>
      </c>
      <c r="K3084">
        <f>'raw data Crude oil'!K3085</f>
        <v>0</v>
      </c>
      <c r="L3084">
        <f>'raw data Crude oil'!L3085</f>
        <v>0</v>
      </c>
      <c r="M3084">
        <f>'raw data Crude oil'!M3085</f>
        <v>0</v>
      </c>
      <c r="N3084">
        <f>'raw data Crude oil'!N3085</f>
        <v>0</v>
      </c>
      <c r="O3084">
        <f>'raw data Crude oil'!O3085</f>
        <v>0</v>
      </c>
      <c r="P3084">
        <f>'raw data Crude oil'!P3085</f>
        <v>0</v>
      </c>
      <c r="Q3084">
        <f>'raw data Crude oil'!Q3085</f>
        <v>0</v>
      </c>
      <c r="R3084">
        <f>'raw data Crude oil'!R3085</f>
        <v>0</v>
      </c>
      <c r="S3084">
        <f>'raw data Crude oil'!S3085</f>
        <v>0</v>
      </c>
      <c r="T3084">
        <f>'raw data Crude oil'!T3085</f>
        <v>0</v>
      </c>
      <c r="U3084">
        <f>'raw data Crude oil'!U3085</f>
        <v>0</v>
      </c>
      <c r="V3084">
        <f>'raw data Crude oil'!V3085</f>
        <v>0</v>
      </c>
      <c r="W3084">
        <f>'raw data Crude oil'!W3085</f>
        <v>0</v>
      </c>
      <c r="X3084">
        <f>'raw data Crude oil'!X3085</f>
        <v>0</v>
      </c>
      <c r="Y3084">
        <f>'raw data Crude oil'!Y3085</f>
        <v>0</v>
      </c>
      <c r="Z3084">
        <f>'raw data Crude oil'!Z3085</f>
        <v>0</v>
      </c>
      <c r="AA3084">
        <f>'raw data Crude oil'!AA3085</f>
        <v>0</v>
      </c>
      <c r="AB3084">
        <f>'raw data Crude oil'!AB3085</f>
        <v>0</v>
      </c>
      <c r="AC3084">
        <f>'raw data Crude oil'!AC3085</f>
        <v>0</v>
      </c>
      <c r="AD3084">
        <f>'raw data Crude oil'!AD3085</f>
        <v>0</v>
      </c>
      <c r="AE3084">
        <f>'raw data Crude oil'!AE3085</f>
        <v>0</v>
      </c>
      <c r="AF3084">
        <f>'raw data Crude oil'!AF3085</f>
        <v>0</v>
      </c>
      <c r="AG3084">
        <f>'raw data Crude oil'!AG3085</f>
        <v>0</v>
      </c>
      <c r="AH3084">
        <f>'raw data Crude oil'!AH3085</f>
        <v>0</v>
      </c>
      <c r="AI3084">
        <f>'raw data Crude oil'!AI3085</f>
        <v>0</v>
      </c>
      <c r="AJ3084">
        <f>'raw data Crude oil'!AJ3085</f>
        <v>0</v>
      </c>
      <c r="AK3084">
        <f>'raw data Crude oil'!AK3085</f>
        <v>0</v>
      </c>
    </row>
    <row r="3085" spans="1:37" x14ac:dyDescent="0.3">
      <c r="A3085" s="18">
        <f>'raw data Crude oil'!A3086</f>
        <v>0</v>
      </c>
      <c r="B3085">
        <f>'raw data Crude oil'!B3086</f>
        <v>0</v>
      </c>
      <c r="C3085">
        <f>'raw data Crude oil'!C3086</f>
        <v>0</v>
      </c>
      <c r="D3085">
        <f>'raw data Crude oil'!D3086</f>
        <v>0</v>
      </c>
      <c r="E3085">
        <f>'raw data Crude oil'!E3086</f>
        <v>0</v>
      </c>
      <c r="F3085">
        <f>'raw data Crude oil'!F3086</f>
        <v>0</v>
      </c>
      <c r="G3085">
        <f>'raw data Crude oil'!G3086</f>
        <v>0</v>
      </c>
      <c r="H3085">
        <f>'raw data Crude oil'!H3086</f>
        <v>0</v>
      </c>
      <c r="I3085">
        <f>'raw data Crude oil'!I3086</f>
        <v>0</v>
      </c>
      <c r="J3085">
        <f>'raw data Crude oil'!J3086</f>
        <v>0</v>
      </c>
      <c r="K3085">
        <f>'raw data Crude oil'!K3086</f>
        <v>0</v>
      </c>
      <c r="L3085">
        <f>'raw data Crude oil'!L3086</f>
        <v>0</v>
      </c>
      <c r="M3085">
        <f>'raw data Crude oil'!M3086</f>
        <v>0</v>
      </c>
      <c r="N3085">
        <f>'raw data Crude oil'!N3086</f>
        <v>0</v>
      </c>
      <c r="O3085">
        <f>'raw data Crude oil'!O3086</f>
        <v>0</v>
      </c>
      <c r="P3085">
        <f>'raw data Crude oil'!P3086</f>
        <v>0</v>
      </c>
      <c r="Q3085">
        <f>'raw data Crude oil'!Q3086</f>
        <v>0</v>
      </c>
      <c r="R3085">
        <f>'raw data Crude oil'!R3086</f>
        <v>0</v>
      </c>
      <c r="S3085">
        <f>'raw data Crude oil'!S3086</f>
        <v>0</v>
      </c>
      <c r="T3085">
        <f>'raw data Crude oil'!T3086</f>
        <v>0</v>
      </c>
      <c r="U3085">
        <f>'raw data Crude oil'!U3086</f>
        <v>0</v>
      </c>
      <c r="V3085">
        <f>'raw data Crude oil'!V3086</f>
        <v>0</v>
      </c>
      <c r="W3085">
        <f>'raw data Crude oil'!W3086</f>
        <v>0</v>
      </c>
      <c r="X3085">
        <f>'raw data Crude oil'!X3086</f>
        <v>0</v>
      </c>
      <c r="Y3085">
        <f>'raw data Crude oil'!Y3086</f>
        <v>0</v>
      </c>
      <c r="Z3085">
        <f>'raw data Crude oil'!Z3086</f>
        <v>0</v>
      </c>
      <c r="AA3085">
        <f>'raw data Crude oil'!AA3086</f>
        <v>0</v>
      </c>
      <c r="AB3085">
        <f>'raw data Crude oil'!AB3086</f>
        <v>0</v>
      </c>
      <c r="AC3085">
        <f>'raw data Crude oil'!AC3086</f>
        <v>0</v>
      </c>
      <c r="AD3085">
        <f>'raw data Crude oil'!AD3086</f>
        <v>0</v>
      </c>
      <c r="AE3085">
        <f>'raw data Crude oil'!AE3086</f>
        <v>0</v>
      </c>
      <c r="AF3085">
        <f>'raw data Crude oil'!AF3086</f>
        <v>0</v>
      </c>
      <c r="AG3085">
        <f>'raw data Crude oil'!AG3086</f>
        <v>0</v>
      </c>
      <c r="AH3085">
        <f>'raw data Crude oil'!AH3086</f>
        <v>0</v>
      </c>
      <c r="AI3085">
        <f>'raw data Crude oil'!AI3086</f>
        <v>0</v>
      </c>
      <c r="AJ3085">
        <f>'raw data Crude oil'!AJ3086</f>
        <v>0</v>
      </c>
      <c r="AK3085">
        <f>'raw data Crude oil'!AK3086</f>
        <v>0</v>
      </c>
    </row>
    <row r="3086" spans="1:37" x14ac:dyDescent="0.3">
      <c r="A3086" s="18">
        <f>'raw data Crude oil'!A3087</f>
        <v>0</v>
      </c>
      <c r="B3086">
        <f>'raw data Crude oil'!B3087</f>
        <v>0</v>
      </c>
      <c r="C3086">
        <f>'raw data Crude oil'!C3087</f>
        <v>0</v>
      </c>
      <c r="D3086">
        <f>'raw data Crude oil'!D3087</f>
        <v>0</v>
      </c>
      <c r="E3086">
        <f>'raw data Crude oil'!E3087</f>
        <v>0</v>
      </c>
      <c r="F3086">
        <f>'raw data Crude oil'!F3087</f>
        <v>0</v>
      </c>
      <c r="G3086">
        <f>'raw data Crude oil'!G3087</f>
        <v>0</v>
      </c>
      <c r="H3086">
        <f>'raw data Crude oil'!H3087</f>
        <v>0</v>
      </c>
      <c r="I3086">
        <f>'raw data Crude oil'!I3087</f>
        <v>0</v>
      </c>
      <c r="J3086">
        <f>'raw data Crude oil'!J3087</f>
        <v>0</v>
      </c>
      <c r="K3086">
        <f>'raw data Crude oil'!K3087</f>
        <v>0</v>
      </c>
      <c r="L3086">
        <f>'raw data Crude oil'!L3087</f>
        <v>0</v>
      </c>
      <c r="M3086">
        <f>'raw data Crude oil'!M3087</f>
        <v>0</v>
      </c>
      <c r="N3086">
        <f>'raw data Crude oil'!N3087</f>
        <v>0</v>
      </c>
      <c r="O3086">
        <f>'raw data Crude oil'!O3087</f>
        <v>0</v>
      </c>
      <c r="P3086">
        <f>'raw data Crude oil'!P3087</f>
        <v>0</v>
      </c>
      <c r="Q3086">
        <f>'raw data Crude oil'!Q3087</f>
        <v>0</v>
      </c>
      <c r="R3086">
        <f>'raw data Crude oil'!R3087</f>
        <v>0</v>
      </c>
      <c r="S3086">
        <f>'raw data Crude oil'!S3087</f>
        <v>0</v>
      </c>
      <c r="T3086">
        <f>'raw data Crude oil'!T3087</f>
        <v>0</v>
      </c>
      <c r="U3086">
        <f>'raw data Crude oil'!U3087</f>
        <v>0</v>
      </c>
      <c r="V3086">
        <f>'raw data Crude oil'!V3087</f>
        <v>0</v>
      </c>
      <c r="W3086">
        <f>'raw data Crude oil'!W3087</f>
        <v>0</v>
      </c>
      <c r="X3086">
        <f>'raw data Crude oil'!X3087</f>
        <v>0</v>
      </c>
      <c r="Y3086">
        <f>'raw data Crude oil'!Y3087</f>
        <v>0</v>
      </c>
      <c r="Z3086">
        <f>'raw data Crude oil'!Z3087</f>
        <v>0</v>
      </c>
      <c r="AA3086">
        <f>'raw data Crude oil'!AA3087</f>
        <v>0</v>
      </c>
      <c r="AB3086">
        <f>'raw data Crude oil'!AB3087</f>
        <v>0</v>
      </c>
      <c r="AC3086">
        <f>'raw data Crude oil'!AC3087</f>
        <v>0</v>
      </c>
      <c r="AD3086">
        <f>'raw data Crude oil'!AD3087</f>
        <v>0</v>
      </c>
      <c r="AE3086">
        <f>'raw data Crude oil'!AE3087</f>
        <v>0</v>
      </c>
      <c r="AF3086">
        <f>'raw data Crude oil'!AF3087</f>
        <v>0</v>
      </c>
      <c r="AG3086">
        <f>'raw data Crude oil'!AG3087</f>
        <v>0</v>
      </c>
      <c r="AH3086">
        <f>'raw data Crude oil'!AH3087</f>
        <v>0</v>
      </c>
      <c r="AI3086">
        <f>'raw data Crude oil'!AI3087</f>
        <v>0</v>
      </c>
      <c r="AJ3086">
        <f>'raw data Crude oil'!AJ3087</f>
        <v>0</v>
      </c>
      <c r="AK3086">
        <f>'raw data Crude oil'!AK3087</f>
        <v>0</v>
      </c>
    </row>
    <row r="3087" spans="1:37" x14ac:dyDescent="0.3">
      <c r="A3087" s="18">
        <f>'raw data Crude oil'!A3088</f>
        <v>0</v>
      </c>
      <c r="B3087">
        <f>'raw data Crude oil'!B3088</f>
        <v>0</v>
      </c>
      <c r="C3087">
        <f>'raw data Crude oil'!C3088</f>
        <v>0</v>
      </c>
      <c r="D3087">
        <f>'raw data Crude oil'!D3088</f>
        <v>0</v>
      </c>
      <c r="E3087">
        <f>'raw data Crude oil'!E3088</f>
        <v>0</v>
      </c>
      <c r="F3087">
        <f>'raw data Crude oil'!F3088</f>
        <v>0</v>
      </c>
      <c r="G3087">
        <f>'raw data Crude oil'!G3088</f>
        <v>0</v>
      </c>
      <c r="H3087">
        <f>'raw data Crude oil'!H3088</f>
        <v>0</v>
      </c>
      <c r="I3087">
        <f>'raw data Crude oil'!I3088</f>
        <v>0</v>
      </c>
      <c r="J3087">
        <f>'raw data Crude oil'!J3088</f>
        <v>0</v>
      </c>
      <c r="K3087">
        <f>'raw data Crude oil'!K3088</f>
        <v>0</v>
      </c>
      <c r="L3087">
        <f>'raw data Crude oil'!L3088</f>
        <v>0</v>
      </c>
      <c r="M3087">
        <f>'raw data Crude oil'!M3088</f>
        <v>0</v>
      </c>
      <c r="N3087">
        <f>'raw data Crude oil'!N3088</f>
        <v>0</v>
      </c>
      <c r="O3087">
        <f>'raw data Crude oil'!O3088</f>
        <v>0</v>
      </c>
      <c r="P3087">
        <f>'raw data Crude oil'!P3088</f>
        <v>0</v>
      </c>
      <c r="Q3087">
        <f>'raw data Crude oil'!Q3088</f>
        <v>0</v>
      </c>
      <c r="R3087">
        <f>'raw data Crude oil'!R3088</f>
        <v>0</v>
      </c>
      <c r="S3087">
        <f>'raw data Crude oil'!S3088</f>
        <v>0</v>
      </c>
      <c r="T3087">
        <f>'raw data Crude oil'!T3088</f>
        <v>0</v>
      </c>
      <c r="U3087">
        <f>'raw data Crude oil'!U3088</f>
        <v>0</v>
      </c>
      <c r="V3087">
        <f>'raw data Crude oil'!V3088</f>
        <v>0</v>
      </c>
      <c r="W3087">
        <f>'raw data Crude oil'!W3088</f>
        <v>0</v>
      </c>
      <c r="X3087">
        <f>'raw data Crude oil'!X3088</f>
        <v>0</v>
      </c>
      <c r="Y3087">
        <f>'raw data Crude oil'!Y3088</f>
        <v>0</v>
      </c>
      <c r="Z3087">
        <f>'raw data Crude oil'!Z3088</f>
        <v>0</v>
      </c>
      <c r="AA3087">
        <f>'raw data Crude oil'!AA3088</f>
        <v>0</v>
      </c>
      <c r="AB3087">
        <f>'raw data Crude oil'!AB3088</f>
        <v>0</v>
      </c>
      <c r="AC3087">
        <f>'raw data Crude oil'!AC3088</f>
        <v>0</v>
      </c>
      <c r="AD3087">
        <f>'raw data Crude oil'!AD3088</f>
        <v>0</v>
      </c>
      <c r="AE3087">
        <f>'raw data Crude oil'!AE3088</f>
        <v>0</v>
      </c>
      <c r="AF3087">
        <f>'raw data Crude oil'!AF3088</f>
        <v>0</v>
      </c>
      <c r="AG3087">
        <f>'raw data Crude oil'!AG3088</f>
        <v>0</v>
      </c>
      <c r="AH3087">
        <f>'raw data Crude oil'!AH3088</f>
        <v>0</v>
      </c>
      <c r="AI3087">
        <f>'raw data Crude oil'!AI3088</f>
        <v>0</v>
      </c>
      <c r="AJ3087">
        <f>'raw data Crude oil'!AJ3088</f>
        <v>0</v>
      </c>
      <c r="AK3087">
        <f>'raw data Crude oil'!AK3088</f>
        <v>0</v>
      </c>
    </row>
    <row r="3088" spans="1:37" x14ac:dyDescent="0.3">
      <c r="A3088" s="18">
        <f>'raw data Crude oil'!A3089</f>
        <v>0</v>
      </c>
      <c r="B3088">
        <f>'raw data Crude oil'!B3089</f>
        <v>0</v>
      </c>
      <c r="C3088">
        <f>'raw data Crude oil'!C3089</f>
        <v>0</v>
      </c>
      <c r="D3088">
        <f>'raw data Crude oil'!D3089</f>
        <v>0</v>
      </c>
      <c r="E3088">
        <f>'raw data Crude oil'!E3089</f>
        <v>0</v>
      </c>
      <c r="F3088">
        <f>'raw data Crude oil'!F3089</f>
        <v>0</v>
      </c>
      <c r="G3088">
        <f>'raw data Crude oil'!G3089</f>
        <v>0</v>
      </c>
      <c r="H3088">
        <f>'raw data Crude oil'!H3089</f>
        <v>0</v>
      </c>
      <c r="I3088">
        <f>'raw data Crude oil'!I3089</f>
        <v>0</v>
      </c>
      <c r="J3088">
        <f>'raw data Crude oil'!J3089</f>
        <v>0</v>
      </c>
      <c r="K3088">
        <f>'raw data Crude oil'!K3089</f>
        <v>0</v>
      </c>
      <c r="L3088">
        <f>'raw data Crude oil'!L3089</f>
        <v>0</v>
      </c>
      <c r="M3088">
        <f>'raw data Crude oil'!M3089</f>
        <v>0</v>
      </c>
      <c r="N3088">
        <f>'raw data Crude oil'!N3089</f>
        <v>0</v>
      </c>
      <c r="O3088">
        <f>'raw data Crude oil'!O3089</f>
        <v>0</v>
      </c>
      <c r="P3088">
        <f>'raw data Crude oil'!P3089</f>
        <v>0</v>
      </c>
      <c r="Q3088">
        <f>'raw data Crude oil'!Q3089</f>
        <v>0</v>
      </c>
      <c r="R3088">
        <f>'raw data Crude oil'!R3089</f>
        <v>0</v>
      </c>
      <c r="S3088">
        <f>'raw data Crude oil'!S3089</f>
        <v>0</v>
      </c>
      <c r="T3088">
        <f>'raw data Crude oil'!T3089</f>
        <v>0</v>
      </c>
      <c r="U3088">
        <f>'raw data Crude oil'!U3089</f>
        <v>0</v>
      </c>
      <c r="V3088">
        <f>'raw data Crude oil'!V3089</f>
        <v>0</v>
      </c>
      <c r="W3088">
        <f>'raw data Crude oil'!W3089</f>
        <v>0</v>
      </c>
      <c r="X3088">
        <f>'raw data Crude oil'!X3089</f>
        <v>0</v>
      </c>
      <c r="Y3088">
        <f>'raw data Crude oil'!Y3089</f>
        <v>0</v>
      </c>
      <c r="Z3088">
        <f>'raw data Crude oil'!Z3089</f>
        <v>0</v>
      </c>
      <c r="AA3088">
        <f>'raw data Crude oil'!AA3089</f>
        <v>0</v>
      </c>
      <c r="AB3088">
        <f>'raw data Crude oil'!AB3089</f>
        <v>0</v>
      </c>
      <c r="AC3088">
        <f>'raw data Crude oil'!AC3089</f>
        <v>0</v>
      </c>
      <c r="AD3088">
        <f>'raw data Crude oil'!AD3089</f>
        <v>0</v>
      </c>
      <c r="AE3088">
        <f>'raw data Crude oil'!AE3089</f>
        <v>0</v>
      </c>
      <c r="AF3088">
        <f>'raw data Crude oil'!AF3089</f>
        <v>0</v>
      </c>
      <c r="AG3088">
        <f>'raw data Crude oil'!AG3089</f>
        <v>0</v>
      </c>
      <c r="AH3088">
        <f>'raw data Crude oil'!AH3089</f>
        <v>0</v>
      </c>
      <c r="AI3088">
        <f>'raw data Crude oil'!AI3089</f>
        <v>0</v>
      </c>
      <c r="AJ3088">
        <f>'raw data Crude oil'!AJ3089</f>
        <v>0</v>
      </c>
      <c r="AK3088">
        <f>'raw data Crude oil'!AK3089</f>
        <v>0</v>
      </c>
    </row>
    <row r="3089" spans="1:37" x14ac:dyDescent="0.3">
      <c r="A3089" s="18">
        <f>'raw data Crude oil'!A3090</f>
        <v>0</v>
      </c>
      <c r="B3089">
        <f>'raw data Crude oil'!B3090</f>
        <v>0</v>
      </c>
      <c r="C3089">
        <f>'raw data Crude oil'!C3090</f>
        <v>0</v>
      </c>
      <c r="D3089">
        <f>'raw data Crude oil'!D3090</f>
        <v>0</v>
      </c>
      <c r="E3089">
        <f>'raw data Crude oil'!E3090</f>
        <v>0</v>
      </c>
      <c r="F3089">
        <f>'raw data Crude oil'!F3090</f>
        <v>0</v>
      </c>
      <c r="G3089">
        <f>'raw data Crude oil'!G3090</f>
        <v>0</v>
      </c>
      <c r="H3089">
        <f>'raw data Crude oil'!H3090</f>
        <v>0</v>
      </c>
      <c r="I3089">
        <f>'raw data Crude oil'!I3090</f>
        <v>0</v>
      </c>
      <c r="J3089">
        <f>'raw data Crude oil'!J3090</f>
        <v>0</v>
      </c>
      <c r="K3089">
        <f>'raw data Crude oil'!K3090</f>
        <v>0</v>
      </c>
      <c r="L3089">
        <f>'raw data Crude oil'!L3090</f>
        <v>0</v>
      </c>
      <c r="M3089">
        <f>'raw data Crude oil'!M3090</f>
        <v>0</v>
      </c>
      <c r="N3089">
        <f>'raw data Crude oil'!N3090</f>
        <v>0</v>
      </c>
      <c r="O3089">
        <f>'raw data Crude oil'!O3090</f>
        <v>0</v>
      </c>
      <c r="P3089">
        <f>'raw data Crude oil'!P3090</f>
        <v>0</v>
      </c>
      <c r="Q3089">
        <f>'raw data Crude oil'!Q3090</f>
        <v>0</v>
      </c>
      <c r="R3089">
        <f>'raw data Crude oil'!R3090</f>
        <v>0</v>
      </c>
      <c r="S3089">
        <f>'raw data Crude oil'!S3090</f>
        <v>0</v>
      </c>
      <c r="T3089">
        <f>'raw data Crude oil'!T3090</f>
        <v>0</v>
      </c>
      <c r="U3089">
        <f>'raw data Crude oil'!U3090</f>
        <v>0</v>
      </c>
      <c r="V3089">
        <f>'raw data Crude oil'!V3090</f>
        <v>0</v>
      </c>
      <c r="W3089">
        <f>'raw data Crude oil'!W3090</f>
        <v>0</v>
      </c>
      <c r="X3089">
        <f>'raw data Crude oil'!X3090</f>
        <v>0</v>
      </c>
      <c r="Y3089">
        <f>'raw data Crude oil'!Y3090</f>
        <v>0</v>
      </c>
      <c r="Z3089">
        <f>'raw data Crude oil'!Z3090</f>
        <v>0</v>
      </c>
      <c r="AA3089">
        <f>'raw data Crude oil'!AA3090</f>
        <v>0</v>
      </c>
      <c r="AB3089">
        <f>'raw data Crude oil'!AB3090</f>
        <v>0</v>
      </c>
      <c r="AC3089">
        <f>'raw data Crude oil'!AC3090</f>
        <v>0</v>
      </c>
      <c r="AD3089">
        <f>'raw data Crude oil'!AD3090</f>
        <v>0</v>
      </c>
      <c r="AE3089">
        <f>'raw data Crude oil'!AE3090</f>
        <v>0</v>
      </c>
      <c r="AF3089">
        <f>'raw data Crude oil'!AF3090</f>
        <v>0</v>
      </c>
      <c r="AG3089">
        <f>'raw data Crude oil'!AG3090</f>
        <v>0</v>
      </c>
      <c r="AH3089">
        <f>'raw data Crude oil'!AH3090</f>
        <v>0</v>
      </c>
      <c r="AI3089">
        <f>'raw data Crude oil'!AI3090</f>
        <v>0</v>
      </c>
      <c r="AJ3089">
        <f>'raw data Crude oil'!AJ3090</f>
        <v>0</v>
      </c>
      <c r="AK3089">
        <f>'raw data Crude oil'!AK3090</f>
        <v>0</v>
      </c>
    </row>
    <row r="3090" spans="1:37" x14ac:dyDescent="0.3">
      <c r="A3090" s="18">
        <f>'raw data Crude oil'!A3091</f>
        <v>0</v>
      </c>
      <c r="B3090">
        <f>'raw data Crude oil'!B3091</f>
        <v>0</v>
      </c>
      <c r="C3090">
        <f>'raw data Crude oil'!C3091</f>
        <v>0</v>
      </c>
      <c r="D3090">
        <f>'raw data Crude oil'!D3091</f>
        <v>0</v>
      </c>
      <c r="E3090">
        <f>'raw data Crude oil'!E3091</f>
        <v>0</v>
      </c>
      <c r="F3090">
        <f>'raw data Crude oil'!F3091</f>
        <v>0</v>
      </c>
      <c r="G3090">
        <f>'raw data Crude oil'!G3091</f>
        <v>0</v>
      </c>
      <c r="H3090">
        <f>'raw data Crude oil'!H3091</f>
        <v>0</v>
      </c>
      <c r="I3090">
        <f>'raw data Crude oil'!I3091</f>
        <v>0</v>
      </c>
      <c r="J3090">
        <f>'raw data Crude oil'!J3091</f>
        <v>0</v>
      </c>
      <c r="K3090">
        <f>'raw data Crude oil'!K3091</f>
        <v>0</v>
      </c>
      <c r="L3090">
        <f>'raw data Crude oil'!L3091</f>
        <v>0</v>
      </c>
      <c r="M3090">
        <f>'raw data Crude oil'!M3091</f>
        <v>0</v>
      </c>
      <c r="N3090">
        <f>'raw data Crude oil'!N3091</f>
        <v>0</v>
      </c>
      <c r="O3090">
        <f>'raw data Crude oil'!O3091</f>
        <v>0</v>
      </c>
      <c r="P3090">
        <f>'raw data Crude oil'!P3091</f>
        <v>0</v>
      </c>
      <c r="Q3090">
        <f>'raw data Crude oil'!Q3091</f>
        <v>0</v>
      </c>
      <c r="R3090">
        <f>'raw data Crude oil'!R3091</f>
        <v>0</v>
      </c>
      <c r="S3090">
        <f>'raw data Crude oil'!S3091</f>
        <v>0</v>
      </c>
      <c r="T3090">
        <f>'raw data Crude oil'!T3091</f>
        <v>0</v>
      </c>
      <c r="U3090">
        <f>'raw data Crude oil'!U3091</f>
        <v>0</v>
      </c>
      <c r="V3090">
        <f>'raw data Crude oil'!V3091</f>
        <v>0</v>
      </c>
      <c r="W3090">
        <f>'raw data Crude oil'!W3091</f>
        <v>0</v>
      </c>
      <c r="X3090">
        <f>'raw data Crude oil'!X3091</f>
        <v>0</v>
      </c>
      <c r="Y3090">
        <f>'raw data Crude oil'!Y3091</f>
        <v>0</v>
      </c>
      <c r="Z3090">
        <f>'raw data Crude oil'!Z3091</f>
        <v>0</v>
      </c>
      <c r="AA3090">
        <f>'raw data Crude oil'!AA3091</f>
        <v>0</v>
      </c>
      <c r="AB3090">
        <f>'raw data Crude oil'!AB3091</f>
        <v>0</v>
      </c>
      <c r="AC3090">
        <f>'raw data Crude oil'!AC3091</f>
        <v>0</v>
      </c>
      <c r="AD3090">
        <f>'raw data Crude oil'!AD3091</f>
        <v>0</v>
      </c>
      <c r="AE3090">
        <f>'raw data Crude oil'!AE3091</f>
        <v>0</v>
      </c>
      <c r="AF3090">
        <f>'raw data Crude oil'!AF3091</f>
        <v>0</v>
      </c>
      <c r="AG3090">
        <f>'raw data Crude oil'!AG3091</f>
        <v>0</v>
      </c>
      <c r="AH3090">
        <f>'raw data Crude oil'!AH3091</f>
        <v>0</v>
      </c>
      <c r="AI3090">
        <f>'raw data Crude oil'!AI3091</f>
        <v>0</v>
      </c>
      <c r="AJ3090">
        <f>'raw data Crude oil'!AJ3091</f>
        <v>0</v>
      </c>
      <c r="AK3090">
        <f>'raw data Crude oil'!AK3091</f>
        <v>0</v>
      </c>
    </row>
    <row r="3091" spans="1:37" x14ac:dyDescent="0.3">
      <c r="A3091" s="18">
        <f>'raw data Crude oil'!A3092</f>
        <v>0</v>
      </c>
      <c r="B3091">
        <f>'raw data Crude oil'!B3092</f>
        <v>0</v>
      </c>
      <c r="C3091">
        <f>'raw data Crude oil'!C3092</f>
        <v>0</v>
      </c>
      <c r="D3091">
        <f>'raw data Crude oil'!D3092</f>
        <v>0</v>
      </c>
      <c r="E3091">
        <f>'raw data Crude oil'!E3092</f>
        <v>0</v>
      </c>
      <c r="F3091">
        <f>'raw data Crude oil'!F3092</f>
        <v>0</v>
      </c>
      <c r="G3091">
        <f>'raw data Crude oil'!G3092</f>
        <v>0</v>
      </c>
      <c r="H3091">
        <f>'raw data Crude oil'!H3092</f>
        <v>0</v>
      </c>
      <c r="I3091">
        <f>'raw data Crude oil'!I3092</f>
        <v>0</v>
      </c>
      <c r="J3091">
        <f>'raw data Crude oil'!J3092</f>
        <v>0</v>
      </c>
      <c r="K3091">
        <f>'raw data Crude oil'!K3092</f>
        <v>0</v>
      </c>
      <c r="L3091">
        <f>'raw data Crude oil'!L3092</f>
        <v>0</v>
      </c>
      <c r="M3091">
        <f>'raw data Crude oil'!M3092</f>
        <v>0</v>
      </c>
      <c r="N3091">
        <f>'raw data Crude oil'!N3092</f>
        <v>0</v>
      </c>
      <c r="O3091">
        <f>'raw data Crude oil'!O3092</f>
        <v>0</v>
      </c>
      <c r="P3091">
        <f>'raw data Crude oil'!P3092</f>
        <v>0</v>
      </c>
      <c r="Q3091">
        <f>'raw data Crude oil'!Q3092</f>
        <v>0</v>
      </c>
      <c r="R3091">
        <f>'raw data Crude oil'!R3092</f>
        <v>0</v>
      </c>
      <c r="S3091">
        <f>'raw data Crude oil'!S3092</f>
        <v>0</v>
      </c>
      <c r="T3091">
        <f>'raw data Crude oil'!T3092</f>
        <v>0</v>
      </c>
      <c r="U3091">
        <f>'raw data Crude oil'!U3092</f>
        <v>0</v>
      </c>
      <c r="V3091">
        <f>'raw data Crude oil'!V3092</f>
        <v>0</v>
      </c>
      <c r="W3091">
        <f>'raw data Crude oil'!W3092</f>
        <v>0</v>
      </c>
      <c r="X3091">
        <f>'raw data Crude oil'!X3092</f>
        <v>0</v>
      </c>
      <c r="Y3091">
        <f>'raw data Crude oil'!Y3092</f>
        <v>0</v>
      </c>
      <c r="Z3091">
        <f>'raw data Crude oil'!Z3092</f>
        <v>0</v>
      </c>
      <c r="AA3091">
        <f>'raw data Crude oil'!AA3092</f>
        <v>0</v>
      </c>
      <c r="AB3091">
        <f>'raw data Crude oil'!AB3092</f>
        <v>0</v>
      </c>
      <c r="AC3091">
        <f>'raw data Crude oil'!AC3092</f>
        <v>0</v>
      </c>
      <c r="AD3091">
        <f>'raw data Crude oil'!AD3092</f>
        <v>0</v>
      </c>
      <c r="AE3091">
        <f>'raw data Crude oil'!AE3092</f>
        <v>0</v>
      </c>
      <c r="AF3091">
        <f>'raw data Crude oil'!AF3092</f>
        <v>0</v>
      </c>
      <c r="AG3091">
        <f>'raw data Crude oil'!AG3092</f>
        <v>0</v>
      </c>
      <c r="AH3091">
        <f>'raw data Crude oil'!AH3092</f>
        <v>0</v>
      </c>
      <c r="AI3091">
        <f>'raw data Crude oil'!AI3092</f>
        <v>0</v>
      </c>
      <c r="AJ3091">
        <f>'raw data Crude oil'!AJ3092</f>
        <v>0</v>
      </c>
      <c r="AK3091">
        <f>'raw data Crude oil'!AK3092</f>
        <v>0</v>
      </c>
    </row>
    <row r="3092" spans="1:37" x14ac:dyDescent="0.3">
      <c r="A3092" s="18">
        <f>'raw data Crude oil'!A3093</f>
        <v>0</v>
      </c>
      <c r="B3092">
        <f>'raw data Crude oil'!B3093</f>
        <v>0</v>
      </c>
      <c r="C3092">
        <f>'raw data Crude oil'!C3093</f>
        <v>0</v>
      </c>
      <c r="D3092">
        <f>'raw data Crude oil'!D3093</f>
        <v>0</v>
      </c>
      <c r="E3092">
        <f>'raw data Crude oil'!E3093</f>
        <v>0</v>
      </c>
      <c r="F3092">
        <f>'raw data Crude oil'!F3093</f>
        <v>0</v>
      </c>
      <c r="G3092">
        <f>'raw data Crude oil'!G3093</f>
        <v>0</v>
      </c>
      <c r="H3092">
        <f>'raw data Crude oil'!H3093</f>
        <v>0</v>
      </c>
      <c r="I3092">
        <f>'raw data Crude oil'!I3093</f>
        <v>0</v>
      </c>
      <c r="J3092">
        <f>'raw data Crude oil'!J3093</f>
        <v>0</v>
      </c>
      <c r="K3092">
        <f>'raw data Crude oil'!K3093</f>
        <v>0</v>
      </c>
      <c r="L3092">
        <f>'raw data Crude oil'!L3093</f>
        <v>0</v>
      </c>
      <c r="M3092">
        <f>'raw data Crude oil'!M3093</f>
        <v>0</v>
      </c>
      <c r="N3092">
        <f>'raw data Crude oil'!N3093</f>
        <v>0</v>
      </c>
      <c r="O3092">
        <f>'raw data Crude oil'!O3093</f>
        <v>0</v>
      </c>
      <c r="P3092">
        <f>'raw data Crude oil'!P3093</f>
        <v>0</v>
      </c>
      <c r="Q3092">
        <f>'raw data Crude oil'!Q3093</f>
        <v>0</v>
      </c>
      <c r="R3092">
        <f>'raw data Crude oil'!R3093</f>
        <v>0</v>
      </c>
      <c r="S3092">
        <f>'raw data Crude oil'!S3093</f>
        <v>0</v>
      </c>
      <c r="T3092">
        <f>'raw data Crude oil'!T3093</f>
        <v>0</v>
      </c>
      <c r="U3092">
        <f>'raw data Crude oil'!U3093</f>
        <v>0</v>
      </c>
      <c r="V3092">
        <f>'raw data Crude oil'!V3093</f>
        <v>0</v>
      </c>
      <c r="W3092">
        <f>'raw data Crude oil'!W3093</f>
        <v>0</v>
      </c>
      <c r="X3092">
        <f>'raw data Crude oil'!X3093</f>
        <v>0</v>
      </c>
      <c r="Y3092">
        <f>'raw data Crude oil'!Y3093</f>
        <v>0</v>
      </c>
      <c r="Z3092">
        <f>'raw data Crude oil'!Z3093</f>
        <v>0</v>
      </c>
      <c r="AA3092">
        <f>'raw data Crude oil'!AA3093</f>
        <v>0</v>
      </c>
      <c r="AB3092">
        <f>'raw data Crude oil'!AB3093</f>
        <v>0</v>
      </c>
      <c r="AC3092">
        <f>'raw data Crude oil'!AC3093</f>
        <v>0</v>
      </c>
      <c r="AD3092">
        <f>'raw data Crude oil'!AD3093</f>
        <v>0</v>
      </c>
      <c r="AE3092">
        <f>'raw data Crude oil'!AE3093</f>
        <v>0</v>
      </c>
      <c r="AF3092">
        <f>'raw data Crude oil'!AF3093</f>
        <v>0</v>
      </c>
      <c r="AG3092">
        <f>'raw data Crude oil'!AG3093</f>
        <v>0</v>
      </c>
      <c r="AH3092">
        <f>'raw data Crude oil'!AH3093</f>
        <v>0</v>
      </c>
      <c r="AI3092">
        <f>'raw data Crude oil'!AI3093</f>
        <v>0</v>
      </c>
      <c r="AJ3092">
        <f>'raw data Crude oil'!AJ3093</f>
        <v>0</v>
      </c>
      <c r="AK3092">
        <f>'raw data Crude oil'!AK3093</f>
        <v>0</v>
      </c>
    </row>
    <row r="3093" spans="1:37" x14ac:dyDescent="0.3">
      <c r="A3093" s="18">
        <f>'raw data Crude oil'!A3094</f>
        <v>0</v>
      </c>
      <c r="B3093">
        <f>'raw data Crude oil'!B3094</f>
        <v>0</v>
      </c>
      <c r="C3093">
        <f>'raw data Crude oil'!C3094</f>
        <v>0</v>
      </c>
      <c r="D3093">
        <f>'raw data Crude oil'!D3094</f>
        <v>0</v>
      </c>
      <c r="E3093">
        <f>'raw data Crude oil'!E3094</f>
        <v>0</v>
      </c>
      <c r="F3093">
        <f>'raw data Crude oil'!F3094</f>
        <v>0</v>
      </c>
      <c r="G3093">
        <f>'raw data Crude oil'!G3094</f>
        <v>0</v>
      </c>
      <c r="H3093">
        <f>'raw data Crude oil'!H3094</f>
        <v>0</v>
      </c>
      <c r="I3093">
        <f>'raw data Crude oil'!I3094</f>
        <v>0</v>
      </c>
      <c r="J3093">
        <f>'raw data Crude oil'!J3094</f>
        <v>0</v>
      </c>
      <c r="K3093">
        <f>'raw data Crude oil'!K3094</f>
        <v>0</v>
      </c>
      <c r="L3093">
        <f>'raw data Crude oil'!L3094</f>
        <v>0</v>
      </c>
      <c r="M3093">
        <f>'raw data Crude oil'!M3094</f>
        <v>0</v>
      </c>
      <c r="N3093">
        <f>'raw data Crude oil'!N3094</f>
        <v>0</v>
      </c>
      <c r="O3093">
        <f>'raw data Crude oil'!O3094</f>
        <v>0</v>
      </c>
      <c r="P3093">
        <f>'raw data Crude oil'!P3094</f>
        <v>0</v>
      </c>
      <c r="Q3093">
        <f>'raw data Crude oil'!Q3094</f>
        <v>0</v>
      </c>
      <c r="R3093">
        <f>'raw data Crude oil'!R3094</f>
        <v>0</v>
      </c>
      <c r="S3093">
        <f>'raw data Crude oil'!S3094</f>
        <v>0</v>
      </c>
      <c r="T3093">
        <f>'raw data Crude oil'!T3094</f>
        <v>0</v>
      </c>
      <c r="U3093">
        <f>'raw data Crude oil'!U3094</f>
        <v>0</v>
      </c>
      <c r="V3093">
        <f>'raw data Crude oil'!V3094</f>
        <v>0</v>
      </c>
      <c r="W3093">
        <f>'raw data Crude oil'!W3094</f>
        <v>0</v>
      </c>
      <c r="X3093">
        <f>'raw data Crude oil'!X3094</f>
        <v>0</v>
      </c>
      <c r="Y3093">
        <f>'raw data Crude oil'!Y3094</f>
        <v>0</v>
      </c>
      <c r="Z3093">
        <f>'raw data Crude oil'!Z3094</f>
        <v>0</v>
      </c>
      <c r="AA3093">
        <f>'raw data Crude oil'!AA3094</f>
        <v>0</v>
      </c>
      <c r="AB3093">
        <f>'raw data Crude oil'!AB3094</f>
        <v>0</v>
      </c>
      <c r="AC3093">
        <f>'raw data Crude oil'!AC3094</f>
        <v>0</v>
      </c>
      <c r="AD3093">
        <f>'raw data Crude oil'!AD3094</f>
        <v>0</v>
      </c>
      <c r="AE3093">
        <f>'raw data Crude oil'!AE3094</f>
        <v>0</v>
      </c>
      <c r="AF3093">
        <f>'raw data Crude oil'!AF3094</f>
        <v>0</v>
      </c>
      <c r="AG3093">
        <f>'raw data Crude oil'!AG3094</f>
        <v>0</v>
      </c>
      <c r="AH3093">
        <f>'raw data Crude oil'!AH3094</f>
        <v>0</v>
      </c>
      <c r="AI3093">
        <f>'raw data Crude oil'!AI3094</f>
        <v>0</v>
      </c>
      <c r="AJ3093">
        <f>'raw data Crude oil'!AJ3094</f>
        <v>0</v>
      </c>
      <c r="AK3093">
        <f>'raw data Crude oil'!AK3094</f>
        <v>0</v>
      </c>
    </row>
    <row r="3094" spans="1:37" x14ac:dyDescent="0.3">
      <c r="A3094" s="18">
        <f>'raw data Crude oil'!A3095</f>
        <v>0</v>
      </c>
      <c r="B3094">
        <f>'raw data Crude oil'!B3095</f>
        <v>0</v>
      </c>
      <c r="C3094">
        <f>'raw data Crude oil'!C3095</f>
        <v>0</v>
      </c>
      <c r="D3094">
        <f>'raw data Crude oil'!D3095</f>
        <v>0</v>
      </c>
      <c r="E3094">
        <f>'raw data Crude oil'!E3095</f>
        <v>0</v>
      </c>
      <c r="F3094">
        <f>'raw data Crude oil'!F3095</f>
        <v>0</v>
      </c>
      <c r="G3094">
        <f>'raw data Crude oil'!G3095</f>
        <v>0</v>
      </c>
      <c r="H3094">
        <f>'raw data Crude oil'!H3095</f>
        <v>0</v>
      </c>
      <c r="I3094">
        <f>'raw data Crude oil'!I3095</f>
        <v>0</v>
      </c>
      <c r="J3094">
        <f>'raw data Crude oil'!J3095</f>
        <v>0</v>
      </c>
      <c r="K3094">
        <f>'raw data Crude oil'!K3095</f>
        <v>0</v>
      </c>
      <c r="L3094">
        <f>'raw data Crude oil'!L3095</f>
        <v>0</v>
      </c>
      <c r="M3094">
        <f>'raw data Crude oil'!M3095</f>
        <v>0</v>
      </c>
      <c r="N3094">
        <f>'raw data Crude oil'!N3095</f>
        <v>0</v>
      </c>
      <c r="O3094">
        <f>'raw data Crude oil'!O3095</f>
        <v>0</v>
      </c>
      <c r="P3094">
        <f>'raw data Crude oil'!P3095</f>
        <v>0</v>
      </c>
      <c r="Q3094">
        <f>'raw data Crude oil'!Q3095</f>
        <v>0</v>
      </c>
      <c r="R3094">
        <f>'raw data Crude oil'!R3095</f>
        <v>0</v>
      </c>
      <c r="S3094">
        <f>'raw data Crude oil'!S3095</f>
        <v>0</v>
      </c>
      <c r="T3094">
        <f>'raw data Crude oil'!T3095</f>
        <v>0</v>
      </c>
      <c r="U3094">
        <f>'raw data Crude oil'!U3095</f>
        <v>0</v>
      </c>
      <c r="V3094">
        <f>'raw data Crude oil'!V3095</f>
        <v>0</v>
      </c>
      <c r="W3094">
        <f>'raw data Crude oil'!W3095</f>
        <v>0</v>
      </c>
      <c r="X3094">
        <f>'raw data Crude oil'!X3095</f>
        <v>0</v>
      </c>
      <c r="Y3094">
        <f>'raw data Crude oil'!Y3095</f>
        <v>0</v>
      </c>
      <c r="Z3094">
        <f>'raw data Crude oil'!Z3095</f>
        <v>0</v>
      </c>
      <c r="AA3094">
        <f>'raw data Crude oil'!AA3095</f>
        <v>0</v>
      </c>
      <c r="AB3094">
        <f>'raw data Crude oil'!AB3095</f>
        <v>0</v>
      </c>
      <c r="AC3094">
        <f>'raw data Crude oil'!AC3095</f>
        <v>0</v>
      </c>
      <c r="AD3094">
        <f>'raw data Crude oil'!AD3095</f>
        <v>0</v>
      </c>
      <c r="AE3094">
        <f>'raw data Crude oil'!AE3095</f>
        <v>0</v>
      </c>
      <c r="AF3094">
        <f>'raw data Crude oil'!AF3095</f>
        <v>0</v>
      </c>
      <c r="AG3094">
        <f>'raw data Crude oil'!AG3095</f>
        <v>0</v>
      </c>
      <c r="AH3094">
        <f>'raw data Crude oil'!AH3095</f>
        <v>0</v>
      </c>
      <c r="AI3094">
        <f>'raw data Crude oil'!AI3095</f>
        <v>0</v>
      </c>
      <c r="AJ3094">
        <f>'raw data Crude oil'!AJ3095</f>
        <v>0</v>
      </c>
      <c r="AK3094">
        <f>'raw data Crude oil'!AK3095</f>
        <v>0</v>
      </c>
    </row>
    <row r="3095" spans="1:37" x14ac:dyDescent="0.3">
      <c r="A3095" s="18">
        <f>'raw data Crude oil'!A3096</f>
        <v>0</v>
      </c>
      <c r="B3095">
        <f>'raw data Crude oil'!B3096</f>
        <v>0</v>
      </c>
      <c r="C3095">
        <f>'raw data Crude oil'!C3096</f>
        <v>0</v>
      </c>
      <c r="D3095">
        <f>'raw data Crude oil'!D3096</f>
        <v>0</v>
      </c>
      <c r="E3095">
        <f>'raw data Crude oil'!E3096</f>
        <v>0</v>
      </c>
      <c r="F3095">
        <f>'raw data Crude oil'!F3096</f>
        <v>0</v>
      </c>
      <c r="G3095">
        <f>'raw data Crude oil'!G3096</f>
        <v>0</v>
      </c>
      <c r="H3095">
        <f>'raw data Crude oil'!H3096</f>
        <v>0</v>
      </c>
      <c r="I3095">
        <f>'raw data Crude oil'!I3096</f>
        <v>0</v>
      </c>
      <c r="J3095">
        <f>'raw data Crude oil'!J3096</f>
        <v>0</v>
      </c>
      <c r="K3095">
        <f>'raw data Crude oil'!K3096</f>
        <v>0</v>
      </c>
      <c r="L3095">
        <f>'raw data Crude oil'!L3096</f>
        <v>0</v>
      </c>
      <c r="M3095">
        <f>'raw data Crude oil'!M3096</f>
        <v>0</v>
      </c>
      <c r="N3095">
        <f>'raw data Crude oil'!N3096</f>
        <v>0</v>
      </c>
      <c r="O3095">
        <f>'raw data Crude oil'!O3096</f>
        <v>0</v>
      </c>
      <c r="P3095">
        <f>'raw data Crude oil'!P3096</f>
        <v>0</v>
      </c>
      <c r="Q3095">
        <f>'raw data Crude oil'!Q3096</f>
        <v>0</v>
      </c>
      <c r="R3095">
        <f>'raw data Crude oil'!R3096</f>
        <v>0</v>
      </c>
      <c r="S3095">
        <f>'raw data Crude oil'!S3096</f>
        <v>0</v>
      </c>
      <c r="T3095">
        <f>'raw data Crude oil'!T3096</f>
        <v>0</v>
      </c>
      <c r="U3095">
        <f>'raw data Crude oil'!U3096</f>
        <v>0</v>
      </c>
      <c r="V3095">
        <f>'raw data Crude oil'!V3096</f>
        <v>0</v>
      </c>
      <c r="W3095">
        <f>'raw data Crude oil'!W3096</f>
        <v>0</v>
      </c>
      <c r="X3095">
        <f>'raw data Crude oil'!X3096</f>
        <v>0</v>
      </c>
      <c r="Y3095">
        <f>'raw data Crude oil'!Y3096</f>
        <v>0</v>
      </c>
      <c r="Z3095">
        <f>'raw data Crude oil'!Z3096</f>
        <v>0</v>
      </c>
      <c r="AA3095">
        <f>'raw data Crude oil'!AA3096</f>
        <v>0</v>
      </c>
      <c r="AB3095">
        <f>'raw data Crude oil'!AB3096</f>
        <v>0</v>
      </c>
      <c r="AC3095">
        <f>'raw data Crude oil'!AC3096</f>
        <v>0</v>
      </c>
      <c r="AD3095">
        <f>'raw data Crude oil'!AD3096</f>
        <v>0</v>
      </c>
      <c r="AE3095">
        <f>'raw data Crude oil'!AE3096</f>
        <v>0</v>
      </c>
      <c r="AF3095">
        <f>'raw data Crude oil'!AF3096</f>
        <v>0</v>
      </c>
      <c r="AG3095">
        <f>'raw data Crude oil'!AG3096</f>
        <v>0</v>
      </c>
      <c r="AH3095">
        <f>'raw data Crude oil'!AH3096</f>
        <v>0</v>
      </c>
      <c r="AI3095">
        <f>'raw data Crude oil'!AI3096</f>
        <v>0</v>
      </c>
      <c r="AJ3095">
        <f>'raw data Crude oil'!AJ3096</f>
        <v>0</v>
      </c>
      <c r="AK3095">
        <f>'raw data Crude oil'!AK3096</f>
        <v>0</v>
      </c>
    </row>
    <row r="3096" spans="1:37" x14ac:dyDescent="0.3">
      <c r="A3096" s="18">
        <f>'raw data Crude oil'!A3097</f>
        <v>0</v>
      </c>
      <c r="B3096">
        <f>'raw data Crude oil'!B3097</f>
        <v>0</v>
      </c>
      <c r="C3096">
        <f>'raw data Crude oil'!C3097</f>
        <v>0</v>
      </c>
      <c r="D3096">
        <f>'raw data Crude oil'!D3097</f>
        <v>0</v>
      </c>
      <c r="E3096">
        <f>'raw data Crude oil'!E3097</f>
        <v>0</v>
      </c>
      <c r="F3096">
        <f>'raw data Crude oil'!F3097</f>
        <v>0</v>
      </c>
      <c r="G3096">
        <f>'raw data Crude oil'!G3097</f>
        <v>0</v>
      </c>
      <c r="H3096">
        <f>'raw data Crude oil'!H3097</f>
        <v>0</v>
      </c>
      <c r="I3096">
        <f>'raw data Crude oil'!I3097</f>
        <v>0</v>
      </c>
      <c r="J3096">
        <f>'raw data Crude oil'!J3097</f>
        <v>0</v>
      </c>
      <c r="K3096">
        <f>'raw data Crude oil'!K3097</f>
        <v>0</v>
      </c>
      <c r="L3096">
        <f>'raw data Crude oil'!L3097</f>
        <v>0</v>
      </c>
      <c r="M3096">
        <f>'raw data Crude oil'!M3097</f>
        <v>0</v>
      </c>
      <c r="N3096">
        <f>'raw data Crude oil'!N3097</f>
        <v>0</v>
      </c>
      <c r="O3096">
        <f>'raw data Crude oil'!O3097</f>
        <v>0</v>
      </c>
      <c r="P3096">
        <f>'raw data Crude oil'!P3097</f>
        <v>0</v>
      </c>
      <c r="Q3096">
        <f>'raw data Crude oil'!Q3097</f>
        <v>0</v>
      </c>
      <c r="R3096">
        <f>'raw data Crude oil'!R3097</f>
        <v>0</v>
      </c>
      <c r="S3096">
        <f>'raw data Crude oil'!S3097</f>
        <v>0</v>
      </c>
      <c r="T3096">
        <f>'raw data Crude oil'!T3097</f>
        <v>0</v>
      </c>
      <c r="U3096">
        <f>'raw data Crude oil'!U3097</f>
        <v>0</v>
      </c>
      <c r="V3096">
        <f>'raw data Crude oil'!V3097</f>
        <v>0</v>
      </c>
      <c r="W3096">
        <f>'raw data Crude oil'!W3097</f>
        <v>0</v>
      </c>
      <c r="X3096">
        <f>'raw data Crude oil'!X3097</f>
        <v>0</v>
      </c>
      <c r="Y3096">
        <f>'raw data Crude oil'!Y3097</f>
        <v>0</v>
      </c>
      <c r="Z3096">
        <f>'raw data Crude oil'!Z3097</f>
        <v>0</v>
      </c>
      <c r="AA3096">
        <f>'raw data Crude oil'!AA3097</f>
        <v>0</v>
      </c>
      <c r="AB3096">
        <f>'raw data Crude oil'!AB3097</f>
        <v>0</v>
      </c>
      <c r="AC3096">
        <f>'raw data Crude oil'!AC3097</f>
        <v>0</v>
      </c>
      <c r="AD3096">
        <f>'raw data Crude oil'!AD3097</f>
        <v>0</v>
      </c>
      <c r="AE3096">
        <f>'raw data Crude oil'!AE3097</f>
        <v>0</v>
      </c>
      <c r="AF3096">
        <f>'raw data Crude oil'!AF3097</f>
        <v>0</v>
      </c>
      <c r="AG3096">
        <f>'raw data Crude oil'!AG3097</f>
        <v>0</v>
      </c>
      <c r="AH3096">
        <f>'raw data Crude oil'!AH3097</f>
        <v>0</v>
      </c>
      <c r="AI3096">
        <f>'raw data Crude oil'!AI3097</f>
        <v>0</v>
      </c>
      <c r="AJ3096">
        <f>'raw data Crude oil'!AJ3097</f>
        <v>0</v>
      </c>
      <c r="AK3096">
        <f>'raw data Crude oil'!AK3097</f>
        <v>0</v>
      </c>
    </row>
    <row r="3097" spans="1:37" x14ac:dyDescent="0.3">
      <c r="A3097" s="18">
        <f>'raw data Crude oil'!A3098</f>
        <v>0</v>
      </c>
      <c r="B3097">
        <f>'raw data Crude oil'!B3098</f>
        <v>0</v>
      </c>
      <c r="C3097">
        <f>'raw data Crude oil'!C3098</f>
        <v>0</v>
      </c>
      <c r="D3097">
        <f>'raw data Crude oil'!D3098</f>
        <v>0</v>
      </c>
      <c r="E3097">
        <f>'raw data Crude oil'!E3098</f>
        <v>0</v>
      </c>
      <c r="F3097">
        <f>'raw data Crude oil'!F3098</f>
        <v>0</v>
      </c>
      <c r="G3097">
        <f>'raw data Crude oil'!G3098</f>
        <v>0</v>
      </c>
      <c r="H3097">
        <f>'raw data Crude oil'!H3098</f>
        <v>0</v>
      </c>
      <c r="I3097">
        <f>'raw data Crude oil'!I3098</f>
        <v>0</v>
      </c>
      <c r="J3097">
        <f>'raw data Crude oil'!J3098</f>
        <v>0</v>
      </c>
      <c r="K3097">
        <f>'raw data Crude oil'!K3098</f>
        <v>0</v>
      </c>
      <c r="L3097">
        <f>'raw data Crude oil'!L3098</f>
        <v>0</v>
      </c>
      <c r="M3097">
        <f>'raw data Crude oil'!M3098</f>
        <v>0</v>
      </c>
      <c r="N3097">
        <f>'raw data Crude oil'!N3098</f>
        <v>0</v>
      </c>
      <c r="O3097">
        <f>'raw data Crude oil'!O3098</f>
        <v>0</v>
      </c>
      <c r="P3097">
        <f>'raw data Crude oil'!P3098</f>
        <v>0</v>
      </c>
      <c r="Q3097">
        <f>'raw data Crude oil'!Q3098</f>
        <v>0</v>
      </c>
      <c r="R3097">
        <f>'raw data Crude oil'!R3098</f>
        <v>0</v>
      </c>
      <c r="S3097">
        <f>'raw data Crude oil'!S3098</f>
        <v>0</v>
      </c>
      <c r="T3097">
        <f>'raw data Crude oil'!T3098</f>
        <v>0</v>
      </c>
      <c r="U3097">
        <f>'raw data Crude oil'!U3098</f>
        <v>0</v>
      </c>
      <c r="V3097">
        <f>'raw data Crude oil'!V3098</f>
        <v>0</v>
      </c>
      <c r="W3097">
        <f>'raw data Crude oil'!W3098</f>
        <v>0</v>
      </c>
      <c r="X3097">
        <f>'raw data Crude oil'!X3098</f>
        <v>0</v>
      </c>
      <c r="Y3097">
        <f>'raw data Crude oil'!Y3098</f>
        <v>0</v>
      </c>
      <c r="Z3097">
        <f>'raw data Crude oil'!Z3098</f>
        <v>0</v>
      </c>
      <c r="AA3097">
        <f>'raw data Crude oil'!AA3098</f>
        <v>0</v>
      </c>
      <c r="AB3097">
        <f>'raw data Crude oil'!AB3098</f>
        <v>0</v>
      </c>
      <c r="AC3097">
        <f>'raw data Crude oil'!AC3098</f>
        <v>0</v>
      </c>
      <c r="AD3097">
        <f>'raw data Crude oil'!AD3098</f>
        <v>0</v>
      </c>
      <c r="AE3097">
        <f>'raw data Crude oil'!AE3098</f>
        <v>0</v>
      </c>
      <c r="AF3097">
        <f>'raw data Crude oil'!AF3098</f>
        <v>0</v>
      </c>
      <c r="AG3097">
        <f>'raw data Crude oil'!AG3098</f>
        <v>0</v>
      </c>
      <c r="AH3097">
        <f>'raw data Crude oil'!AH3098</f>
        <v>0</v>
      </c>
      <c r="AI3097">
        <f>'raw data Crude oil'!AI3098</f>
        <v>0</v>
      </c>
      <c r="AJ3097">
        <f>'raw data Crude oil'!AJ3098</f>
        <v>0</v>
      </c>
      <c r="AK3097">
        <f>'raw data Crude oil'!AK3098</f>
        <v>0</v>
      </c>
    </row>
    <row r="3098" spans="1:37" x14ac:dyDescent="0.3">
      <c r="A3098" s="18">
        <f>'raw data Crude oil'!A3099</f>
        <v>0</v>
      </c>
      <c r="B3098">
        <f>'raw data Crude oil'!B3099</f>
        <v>0</v>
      </c>
      <c r="C3098">
        <f>'raw data Crude oil'!C3099</f>
        <v>0</v>
      </c>
      <c r="D3098">
        <f>'raw data Crude oil'!D3099</f>
        <v>0</v>
      </c>
      <c r="E3098">
        <f>'raw data Crude oil'!E3099</f>
        <v>0</v>
      </c>
      <c r="F3098">
        <f>'raw data Crude oil'!F3099</f>
        <v>0</v>
      </c>
      <c r="G3098">
        <f>'raw data Crude oil'!G3099</f>
        <v>0</v>
      </c>
      <c r="H3098">
        <f>'raw data Crude oil'!H3099</f>
        <v>0</v>
      </c>
      <c r="I3098">
        <f>'raw data Crude oil'!I3099</f>
        <v>0</v>
      </c>
      <c r="J3098">
        <f>'raw data Crude oil'!J3099</f>
        <v>0</v>
      </c>
      <c r="K3098">
        <f>'raw data Crude oil'!K3099</f>
        <v>0</v>
      </c>
      <c r="L3098">
        <f>'raw data Crude oil'!L3099</f>
        <v>0</v>
      </c>
      <c r="M3098">
        <f>'raw data Crude oil'!M3099</f>
        <v>0</v>
      </c>
      <c r="N3098">
        <f>'raw data Crude oil'!N3099</f>
        <v>0</v>
      </c>
      <c r="O3098">
        <f>'raw data Crude oil'!O3099</f>
        <v>0</v>
      </c>
      <c r="P3098">
        <f>'raw data Crude oil'!P3099</f>
        <v>0</v>
      </c>
      <c r="Q3098">
        <f>'raw data Crude oil'!Q3099</f>
        <v>0</v>
      </c>
      <c r="R3098">
        <f>'raw data Crude oil'!R3099</f>
        <v>0</v>
      </c>
      <c r="S3098">
        <f>'raw data Crude oil'!S3099</f>
        <v>0</v>
      </c>
      <c r="T3098">
        <f>'raw data Crude oil'!T3099</f>
        <v>0</v>
      </c>
      <c r="U3098">
        <f>'raw data Crude oil'!U3099</f>
        <v>0</v>
      </c>
      <c r="V3098">
        <f>'raw data Crude oil'!V3099</f>
        <v>0</v>
      </c>
      <c r="W3098">
        <f>'raw data Crude oil'!W3099</f>
        <v>0</v>
      </c>
      <c r="X3098">
        <f>'raw data Crude oil'!X3099</f>
        <v>0</v>
      </c>
      <c r="Y3098">
        <f>'raw data Crude oil'!Y3099</f>
        <v>0</v>
      </c>
      <c r="Z3098">
        <f>'raw data Crude oil'!Z3099</f>
        <v>0</v>
      </c>
      <c r="AA3098">
        <f>'raw data Crude oil'!AA3099</f>
        <v>0</v>
      </c>
      <c r="AB3098">
        <f>'raw data Crude oil'!AB3099</f>
        <v>0</v>
      </c>
      <c r="AC3098">
        <f>'raw data Crude oil'!AC3099</f>
        <v>0</v>
      </c>
      <c r="AD3098">
        <f>'raw data Crude oil'!AD3099</f>
        <v>0</v>
      </c>
      <c r="AE3098">
        <f>'raw data Crude oil'!AE3099</f>
        <v>0</v>
      </c>
      <c r="AF3098">
        <f>'raw data Crude oil'!AF3099</f>
        <v>0</v>
      </c>
      <c r="AG3098">
        <f>'raw data Crude oil'!AG3099</f>
        <v>0</v>
      </c>
      <c r="AH3098">
        <f>'raw data Crude oil'!AH3099</f>
        <v>0</v>
      </c>
      <c r="AI3098">
        <f>'raw data Crude oil'!AI3099</f>
        <v>0</v>
      </c>
      <c r="AJ3098">
        <f>'raw data Crude oil'!AJ3099</f>
        <v>0</v>
      </c>
      <c r="AK3098">
        <f>'raw data Crude oil'!AK3099</f>
        <v>0</v>
      </c>
    </row>
    <row r="3099" spans="1:37" x14ac:dyDescent="0.3">
      <c r="A3099" s="18">
        <f>'raw data Crude oil'!A3100</f>
        <v>0</v>
      </c>
      <c r="B3099">
        <f>'raw data Crude oil'!B3100</f>
        <v>0</v>
      </c>
      <c r="C3099">
        <f>'raw data Crude oil'!C3100</f>
        <v>0</v>
      </c>
      <c r="D3099">
        <f>'raw data Crude oil'!D3100</f>
        <v>0</v>
      </c>
      <c r="E3099">
        <f>'raw data Crude oil'!E3100</f>
        <v>0</v>
      </c>
      <c r="F3099">
        <f>'raw data Crude oil'!F3100</f>
        <v>0</v>
      </c>
      <c r="G3099">
        <f>'raw data Crude oil'!G3100</f>
        <v>0</v>
      </c>
      <c r="H3099">
        <f>'raw data Crude oil'!H3100</f>
        <v>0</v>
      </c>
      <c r="I3099">
        <f>'raw data Crude oil'!I3100</f>
        <v>0</v>
      </c>
      <c r="J3099">
        <f>'raw data Crude oil'!J3100</f>
        <v>0</v>
      </c>
      <c r="K3099">
        <f>'raw data Crude oil'!K3100</f>
        <v>0</v>
      </c>
      <c r="L3099">
        <f>'raw data Crude oil'!L3100</f>
        <v>0</v>
      </c>
      <c r="M3099">
        <f>'raw data Crude oil'!M3100</f>
        <v>0</v>
      </c>
      <c r="N3099">
        <f>'raw data Crude oil'!N3100</f>
        <v>0</v>
      </c>
      <c r="O3099">
        <f>'raw data Crude oil'!O3100</f>
        <v>0</v>
      </c>
      <c r="P3099">
        <f>'raw data Crude oil'!P3100</f>
        <v>0</v>
      </c>
      <c r="Q3099">
        <f>'raw data Crude oil'!Q3100</f>
        <v>0</v>
      </c>
      <c r="R3099">
        <f>'raw data Crude oil'!R3100</f>
        <v>0</v>
      </c>
      <c r="S3099">
        <f>'raw data Crude oil'!S3100</f>
        <v>0</v>
      </c>
      <c r="T3099">
        <f>'raw data Crude oil'!T3100</f>
        <v>0</v>
      </c>
      <c r="U3099">
        <f>'raw data Crude oil'!U3100</f>
        <v>0</v>
      </c>
      <c r="V3099">
        <f>'raw data Crude oil'!V3100</f>
        <v>0</v>
      </c>
      <c r="W3099">
        <f>'raw data Crude oil'!W3100</f>
        <v>0</v>
      </c>
      <c r="X3099">
        <f>'raw data Crude oil'!X3100</f>
        <v>0</v>
      </c>
      <c r="Y3099">
        <f>'raw data Crude oil'!Y3100</f>
        <v>0</v>
      </c>
      <c r="Z3099">
        <f>'raw data Crude oil'!Z3100</f>
        <v>0</v>
      </c>
      <c r="AA3099">
        <f>'raw data Crude oil'!AA3100</f>
        <v>0</v>
      </c>
      <c r="AB3099">
        <f>'raw data Crude oil'!AB3100</f>
        <v>0</v>
      </c>
      <c r="AC3099">
        <f>'raw data Crude oil'!AC3100</f>
        <v>0</v>
      </c>
      <c r="AD3099">
        <f>'raw data Crude oil'!AD3100</f>
        <v>0</v>
      </c>
      <c r="AE3099">
        <f>'raw data Crude oil'!AE3100</f>
        <v>0</v>
      </c>
      <c r="AF3099">
        <f>'raw data Crude oil'!AF3100</f>
        <v>0</v>
      </c>
      <c r="AG3099">
        <f>'raw data Crude oil'!AG3100</f>
        <v>0</v>
      </c>
      <c r="AH3099">
        <f>'raw data Crude oil'!AH3100</f>
        <v>0</v>
      </c>
      <c r="AI3099">
        <f>'raw data Crude oil'!AI3100</f>
        <v>0</v>
      </c>
      <c r="AJ3099">
        <f>'raw data Crude oil'!AJ3100</f>
        <v>0</v>
      </c>
      <c r="AK3099">
        <f>'raw data Crude oil'!AK3100</f>
        <v>0</v>
      </c>
    </row>
    <row r="3100" spans="1:37" x14ac:dyDescent="0.3">
      <c r="A3100" s="18">
        <f>'raw data Crude oil'!A3101</f>
        <v>0</v>
      </c>
      <c r="B3100">
        <f>'raw data Crude oil'!B3101</f>
        <v>0</v>
      </c>
      <c r="C3100">
        <f>'raw data Crude oil'!C3101</f>
        <v>0</v>
      </c>
      <c r="D3100">
        <f>'raw data Crude oil'!D3101</f>
        <v>0</v>
      </c>
      <c r="E3100">
        <f>'raw data Crude oil'!E3101</f>
        <v>0</v>
      </c>
      <c r="F3100">
        <f>'raw data Crude oil'!F3101</f>
        <v>0</v>
      </c>
      <c r="G3100">
        <f>'raw data Crude oil'!G3101</f>
        <v>0</v>
      </c>
      <c r="H3100">
        <f>'raw data Crude oil'!H3101</f>
        <v>0</v>
      </c>
      <c r="I3100">
        <f>'raw data Crude oil'!I3101</f>
        <v>0</v>
      </c>
      <c r="J3100">
        <f>'raw data Crude oil'!J3101</f>
        <v>0</v>
      </c>
      <c r="K3100">
        <f>'raw data Crude oil'!K3101</f>
        <v>0</v>
      </c>
      <c r="L3100">
        <f>'raw data Crude oil'!L3101</f>
        <v>0</v>
      </c>
      <c r="M3100">
        <f>'raw data Crude oil'!M3101</f>
        <v>0</v>
      </c>
      <c r="N3100">
        <f>'raw data Crude oil'!N3101</f>
        <v>0</v>
      </c>
      <c r="O3100">
        <f>'raw data Crude oil'!O3101</f>
        <v>0</v>
      </c>
      <c r="P3100">
        <f>'raw data Crude oil'!P3101</f>
        <v>0</v>
      </c>
      <c r="Q3100">
        <f>'raw data Crude oil'!Q3101</f>
        <v>0</v>
      </c>
      <c r="R3100">
        <f>'raw data Crude oil'!R3101</f>
        <v>0</v>
      </c>
      <c r="S3100">
        <f>'raw data Crude oil'!S3101</f>
        <v>0</v>
      </c>
      <c r="T3100">
        <f>'raw data Crude oil'!T3101</f>
        <v>0</v>
      </c>
      <c r="U3100">
        <f>'raw data Crude oil'!U3101</f>
        <v>0</v>
      </c>
      <c r="V3100">
        <f>'raw data Crude oil'!V3101</f>
        <v>0</v>
      </c>
      <c r="W3100">
        <f>'raw data Crude oil'!W3101</f>
        <v>0</v>
      </c>
      <c r="X3100">
        <f>'raw data Crude oil'!X3101</f>
        <v>0</v>
      </c>
      <c r="Y3100">
        <f>'raw data Crude oil'!Y3101</f>
        <v>0</v>
      </c>
      <c r="Z3100">
        <f>'raw data Crude oil'!Z3101</f>
        <v>0</v>
      </c>
      <c r="AA3100">
        <f>'raw data Crude oil'!AA3101</f>
        <v>0</v>
      </c>
      <c r="AB3100">
        <f>'raw data Crude oil'!AB3101</f>
        <v>0</v>
      </c>
      <c r="AC3100">
        <f>'raw data Crude oil'!AC3101</f>
        <v>0</v>
      </c>
      <c r="AD3100">
        <f>'raw data Crude oil'!AD3101</f>
        <v>0</v>
      </c>
      <c r="AE3100">
        <f>'raw data Crude oil'!AE3101</f>
        <v>0</v>
      </c>
      <c r="AF3100">
        <f>'raw data Crude oil'!AF3101</f>
        <v>0</v>
      </c>
      <c r="AG3100">
        <f>'raw data Crude oil'!AG3101</f>
        <v>0</v>
      </c>
      <c r="AH3100">
        <f>'raw data Crude oil'!AH3101</f>
        <v>0</v>
      </c>
      <c r="AI3100">
        <f>'raw data Crude oil'!AI3101</f>
        <v>0</v>
      </c>
      <c r="AJ3100">
        <f>'raw data Crude oil'!AJ3101</f>
        <v>0</v>
      </c>
      <c r="AK3100">
        <f>'raw data Crude oil'!AK3101</f>
        <v>0</v>
      </c>
    </row>
    <row r="3101" spans="1:37" x14ac:dyDescent="0.3">
      <c r="A3101" s="18">
        <f>'raw data Crude oil'!A3102</f>
        <v>0</v>
      </c>
      <c r="B3101">
        <f>'raw data Crude oil'!B3102</f>
        <v>0</v>
      </c>
      <c r="C3101">
        <f>'raw data Crude oil'!C3102</f>
        <v>0</v>
      </c>
      <c r="D3101">
        <f>'raw data Crude oil'!D3102</f>
        <v>0</v>
      </c>
      <c r="E3101">
        <f>'raw data Crude oil'!E3102</f>
        <v>0</v>
      </c>
      <c r="F3101">
        <f>'raw data Crude oil'!F3102</f>
        <v>0</v>
      </c>
      <c r="G3101">
        <f>'raw data Crude oil'!G3102</f>
        <v>0</v>
      </c>
      <c r="H3101">
        <f>'raw data Crude oil'!H3102</f>
        <v>0</v>
      </c>
      <c r="I3101">
        <f>'raw data Crude oil'!I3102</f>
        <v>0</v>
      </c>
      <c r="J3101">
        <f>'raw data Crude oil'!J3102</f>
        <v>0</v>
      </c>
      <c r="K3101">
        <f>'raw data Crude oil'!K3102</f>
        <v>0</v>
      </c>
      <c r="L3101">
        <f>'raw data Crude oil'!L3102</f>
        <v>0</v>
      </c>
      <c r="M3101">
        <f>'raw data Crude oil'!M3102</f>
        <v>0</v>
      </c>
      <c r="N3101">
        <f>'raw data Crude oil'!N3102</f>
        <v>0</v>
      </c>
      <c r="O3101">
        <f>'raw data Crude oil'!O3102</f>
        <v>0</v>
      </c>
      <c r="P3101">
        <f>'raw data Crude oil'!P3102</f>
        <v>0</v>
      </c>
      <c r="Q3101">
        <f>'raw data Crude oil'!Q3102</f>
        <v>0</v>
      </c>
      <c r="R3101">
        <f>'raw data Crude oil'!R3102</f>
        <v>0</v>
      </c>
      <c r="S3101">
        <f>'raw data Crude oil'!S3102</f>
        <v>0</v>
      </c>
      <c r="T3101">
        <f>'raw data Crude oil'!T3102</f>
        <v>0</v>
      </c>
      <c r="U3101">
        <f>'raw data Crude oil'!U3102</f>
        <v>0</v>
      </c>
      <c r="V3101">
        <f>'raw data Crude oil'!V3102</f>
        <v>0</v>
      </c>
      <c r="W3101">
        <f>'raw data Crude oil'!W3102</f>
        <v>0</v>
      </c>
      <c r="X3101">
        <f>'raw data Crude oil'!X3102</f>
        <v>0</v>
      </c>
      <c r="Y3101">
        <f>'raw data Crude oil'!Y3102</f>
        <v>0</v>
      </c>
      <c r="Z3101">
        <f>'raw data Crude oil'!Z3102</f>
        <v>0</v>
      </c>
      <c r="AA3101">
        <f>'raw data Crude oil'!AA3102</f>
        <v>0</v>
      </c>
      <c r="AB3101">
        <f>'raw data Crude oil'!AB3102</f>
        <v>0</v>
      </c>
      <c r="AC3101">
        <f>'raw data Crude oil'!AC3102</f>
        <v>0</v>
      </c>
      <c r="AD3101">
        <f>'raw data Crude oil'!AD3102</f>
        <v>0</v>
      </c>
      <c r="AE3101">
        <f>'raw data Crude oil'!AE3102</f>
        <v>0</v>
      </c>
      <c r="AF3101">
        <f>'raw data Crude oil'!AF3102</f>
        <v>0</v>
      </c>
      <c r="AG3101">
        <f>'raw data Crude oil'!AG3102</f>
        <v>0</v>
      </c>
      <c r="AH3101">
        <f>'raw data Crude oil'!AH3102</f>
        <v>0</v>
      </c>
      <c r="AI3101">
        <f>'raw data Crude oil'!AI3102</f>
        <v>0</v>
      </c>
      <c r="AJ3101">
        <f>'raw data Crude oil'!AJ3102</f>
        <v>0</v>
      </c>
      <c r="AK3101">
        <f>'raw data Crude oil'!AK3102</f>
        <v>0</v>
      </c>
    </row>
    <row r="3102" spans="1:37" x14ac:dyDescent="0.3">
      <c r="AK3102"/>
    </row>
    <row r="3103" spans="1:37" x14ac:dyDescent="0.3">
      <c r="AK3103"/>
    </row>
    <row r="3104" spans="1:37" x14ac:dyDescent="0.3">
      <c r="AK3104"/>
    </row>
    <row r="3105" spans="37:37" x14ac:dyDescent="0.3">
      <c r="AK3105"/>
    </row>
    <row r="3106" spans="37:37" x14ac:dyDescent="0.3">
      <c r="AK3106"/>
    </row>
    <row r="3107" spans="37:37" x14ac:dyDescent="0.3">
      <c r="AK3107"/>
    </row>
    <row r="3108" spans="37:37" x14ac:dyDescent="0.3">
      <c r="AK3108"/>
    </row>
    <row r="3109" spans="37:37" x14ac:dyDescent="0.3">
      <c r="AK3109"/>
    </row>
    <row r="3110" spans="37:37" x14ac:dyDescent="0.3">
      <c r="AK3110"/>
    </row>
    <row r="3111" spans="37:37" x14ac:dyDescent="0.3">
      <c r="AK3111"/>
    </row>
    <row r="3112" spans="37:37" x14ac:dyDescent="0.3">
      <c r="AK3112"/>
    </row>
    <row r="3113" spans="37:37" x14ac:dyDescent="0.3">
      <c r="AK3113"/>
    </row>
    <row r="3114" spans="37:37" x14ac:dyDescent="0.3">
      <c r="AK3114"/>
    </row>
    <row r="3115" spans="37:37" x14ac:dyDescent="0.3">
      <c r="AK3115"/>
    </row>
    <row r="3116" spans="37:37" x14ac:dyDescent="0.3">
      <c r="AK3116"/>
    </row>
    <row r="3117" spans="37:37" x14ac:dyDescent="0.3">
      <c r="AK3117"/>
    </row>
    <row r="3118" spans="37:37" x14ac:dyDescent="0.3">
      <c r="AK3118"/>
    </row>
    <row r="3119" spans="37:37" x14ac:dyDescent="0.3">
      <c r="AK3119"/>
    </row>
    <row r="3120" spans="37:37" x14ac:dyDescent="0.3">
      <c r="AK3120"/>
    </row>
    <row r="3121" spans="37:37" x14ac:dyDescent="0.3">
      <c r="AK3121"/>
    </row>
    <row r="3122" spans="37:37" x14ac:dyDescent="0.3">
      <c r="AK3122"/>
    </row>
    <row r="3123" spans="37:37" x14ac:dyDescent="0.3">
      <c r="AK3123"/>
    </row>
    <row r="3124" spans="37:37" x14ac:dyDescent="0.3">
      <c r="AK3124"/>
    </row>
    <row r="3125" spans="37:37" x14ac:dyDescent="0.3">
      <c r="AK3125"/>
    </row>
    <row r="3126" spans="37:37" x14ac:dyDescent="0.3">
      <c r="AK3126"/>
    </row>
    <row r="3127" spans="37:37" x14ac:dyDescent="0.3">
      <c r="AK3127"/>
    </row>
    <row r="3128" spans="37:37" x14ac:dyDescent="0.3">
      <c r="AK3128"/>
    </row>
    <row r="3129" spans="37:37" x14ac:dyDescent="0.3">
      <c r="AK3129"/>
    </row>
    <row r="3130" spans="37:37" x14ac:dyDescent="0.3">
      <c r="AK3130"/>
    </row>
    <row r="3131" spans="37:37" x14ac:dyDescent="0.3">
      <c r="AK313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Q2382"/>
  <sheetViews>
    <sheetView zoomScale="70" zoomScaleNormal="70" workbookViewId="0">
      <selection activeCell="AA13" sqref="AA13"/>
    </sheetView>
  </sheetViews>
  <sheetFormatPr defaultRowHeight="14.4" x14ac:dyDescent="0.3"/>
  <cols>
    <col min="1" max="1" width="12.109375" bestFit="1" customWidth="1"/>
    <col min="2" max="2" width="9.109375" customWidth="1"/>
    <col min="12" max="12" width="15" customWidth="1"/>
    <col min="13" max="13" width="14.44140625" customWidth="1"/>
    <col min="14" max="14" width="19" customWidth="1"/>
    <col min="15" max="15" width="11.6640625" customWidth="1"/>
    <col min="16" max="25" width="10.77734375" bestFit="1" customWidth="1"/>
    <col min="68" max="68" width="11.5546875" customWidth="1"/>
    <col min="69" max="69" width="12" customWidth="1"/>
    <col min="80" max="80" width="9.88671875" customWidth="1"/>
  </cols>
  <sheetData>
    <row r="2" spans="1:147" ht="115.2" customHeight="1" x14ac:dyDescent="0.3">
      <c r="A2" s="7" t="str">
        <f>_xll.Storm.ExcelMacros.GvTableInfo("BlanksStrategy=UsePrevious;"&amp;"IncludeAverage=False;"&amp;"ShowSymbolNameInHeader=False;"&amp;"SettleForClose=False;"&amp;"FirstTime=False;"&amp;"SelectedPeriod=Daily;"&amp;"SelectedSpecType=DataRange;"&amp;"DailyLastMode=TradedDays;"&amp;"StartDate=01/01/2017 00:00:00;"&amp;"EndDate;"&amp;"StartDateRange;"&amp;"EndDateRange;"&amp;"NumOfPeriods=1300;"&amp;"LastDate=03/20/2026 00:00:00;"&amp;"UseLocalTime=False;"&amp;"MovingAverageIntervals=;"&amp;"NumberOfResultLeafs=36;"&amp;"NumberOfFields=36;"&amp;"NumberOfPeriods=2379;"&amp;"Version=4.21.1.0;"&amp;"WorkbookVersion=5;"&amp;"ExpirationDate=04/03/2026 00:00:00;"&amp;"SymbolSelectorWidth=1144;"&amp;"FieldSelectorWidth=350.4;", 639095931137609000)</f>
        <v>*</v>
      </c>
      <c r="B2" s="6" t="str">
        <f>_xll.Storm.ExcelMacros.GvDescription("/BRN&lt;0&gt;", B3, "daily", "2", "0", "", "", , "p", , , , , , "Hundredths", , FALSE, )</f>
        <v>ICE Brent Crude Oil Futures (Front Month)</v>
      </c>
      <c r="C2" s="6" t="str">
        <f>_xll.Storm.ExcelMacros.GvDescription("/BRN&lt;1&gt;", C3, "daily", "2", "1", "", "", , "p", , , , , , "Hundredths", , FALSE, )</f>
        <v>ICE Brent Crude Oil Futures (2nd Month)</v>
      </c>
      <c r="D2" s="6" t="str">
        <f>_xll.Storm.ExcelMacros.GvDescription("/BRN&lt;2&gt;", D3, "daily", "2", "2", "", "", , "p", , , , , , "Hundredths", , FALSE, )</f>
        <v>ICE Brent Crude Oil Futures (3rd Month)</v>
      </c>
      <c r="E2" s="6" t="str">
        <f>_xll.Storm.ExcelMacros.GvDescription("/BRN&lt;3&gt;", E3, "daily", "2", "3", "", "", , "p", , , , , , "Hundredths", , FALSE, )</f>
        <v>ICE Brent Crude Oil Futures (4th Month)</v>
      </c>
      <c r="F2" s="6" t="str">
        <f>_xll.Storm.ExcelMacros.GvDescription("/BRN&lt;4&gt;", F3, "daily", "2", "4", "", "", , "p", , , , , , "Hundredths", , FALSE, )</f>
        <v>ICE Brent Crude Oil Futures (5th Month)</v>
      </c>
      <c r="G2" s="6" t="str">
        <f>_xll.Storm.ExcelMacros.GvDescription("/BRN&lt;5&gt;", G3, "daily", "2", "5", "", "", , "p", , , , , , "Hundredths", , FALSE, )</f>
        <v>ICE Brent Crude Oil Futures (6th Month)</v>
      </c>
      <c r="H2" s="6" t="str">
        <f>_xll.Storm.ExcelMacros.GvDescription("/BRN&lt;6&gt;", H3, "daily", "2", "6", "", "", , "p", , , , , , "Hundredths", , FALSE, )</f>
        <v>ICE Brent Crude Oil Futures (7th Month)</v>
      </c>
      <c r="I2" s="6" t="str">
        <f>_xll.Storm.ExcelMacros.GvDescription("/BRN&lt;7&gt;", I3, "daily", "2", "7", "", "", , "p", , , , , , "Hundredths", , FALSE, )</f>
        <v>ICE Brent Crude Oil Futures (8th Month)</v>
      </c>
      <c r="J2" s="6" t="str">
        <f>_xll.Storm.ExcelMacros.GvDescription("/BRN&lt;8&gt;", J3, "daily", "2", "8", "", "", , "p", , , , , , "Hundredths", , FALSE, )</f>
        <v>ICE Brent Crude Oil Futures (9th Month)</v>
      </c>
      <c r="K2" s="6" t="str">
        <f>_xll.Storm.ExcelMacros.GvDescription("/BRN&lt;9&gt;", K3, "daily", "2", "9", "", "", , "p", , , , , , "Hundredths", , FALSE, )</f>
        <v>ICE Brent Crude Oil Futures (10th Month)</v>
      </c>
      <c r="L2" s="6" t="str">
        <f>_xll.Storm.ExcelMacros.GvDescription("/BRN&lt;10&gt;", L3, "daily", "2", "10", "", "", , "p", , , , , , "Hundredths", , FALSE, )</f>
        <v>ICE Brent Crude Oil Futures (11th Month)</v>
      </c>
      <c r="M2" s="6" t="str">
        <f>_xll.Storm.ExcelMacros.GvDescription("/BRN&lt;11&gt;", M3, "daily", "2", "11", "", "", , "p", , , , , , "Hundredths", , FALSE, )</f>
        <v>ICE Brent Crude Oil Futures (12th Month)</v>
      </c>
      <c r="N2" s="6" t="str">
        <f>_xll.Storm.ExcelMacros.GvDescription("/GCL&lt;0&gt;", N3, "daily", "2", "12", "", "", , "p", , , , , , "Hundredths", , FALSE, )</f>
        <v>NYMEX Light Sweet Crude Oil (WTI) Futures Electronic (Front Month)</v>
      </c>
      <c r="O2" s="6" t="str">
        <f>_xll.Storm.ExcelMacros.GvDescription("/GCL&lt;1&gt;", O3, "daily", "2", "13", "", "", , "p", , , , , , "Hundredths", , FALSE, )</f>
        <v>NYMEX Light Sweet Crude Oil (WTI) Futures Electronic (2nd Month)</v>
      </c>
      <c r="P2" s="6" t="str">
        <f>_xll.Storm.ExcelMacros.GvDescription("/GCL&lt;2&gt;", P3, "daily", "2", "14", "", "", , "p", , , , , , "Hundredths", , FALSE, )</f>
        <v>NYMEX Light Sweet Crude Oil (WTI) Futures Electronic (3rd Month)</v>
      </c>
      <c r="Q2" s="6" t="str">
        <f>_xll.Storm.ExcelMacros.GvDescription("/GCL&lt;3&gt;", Q3, "daily", "2", "15", "", "", , "p", , , , , , "Hundredths", , FALSE, )</f>
        <v>NYMEX Light Sweet Crude Oil (WTI) Futures Electronic (4th Month)</v>
      </c>
      <c r="R2" s="6" t="str">
        <f>_xll.Storm.ExcelMacros.GvDescription("/GCL&lt;4&gt;", R3, "daily", "2", "16", "", "", , "p", , , , , , "Hundredths", , FALSE, )</f>
        <v>NYMEX Light Sweet Crude Oil (WTI) Futures Electronic (5th Month)</v>
      </c>
      <c r="S2" s="6" t="str">
        <f>_xll.Storm.ExcelMacros.GvDescription("/GCL&lt;5&gt;", S3, "daily", "2", "17", "", "", , "p", , , , , , "Hundredths", , FALSE, )</f>
        <v>NYMEX Light Sweet Crude Oil (WTI) Futures Electronic (6th Month)</v>
      </c>
      <c r="T2" s="6" t="str">
        <f>_xll.Storm.ExcelMacros.GvDescription("/GCL&lt;6&gt;", T3, "daily", "2", "18", "", "", , "p", , , , , , "Hundredths", , FALSE, )</f>
        <v>NYMEX Light Sweet Crude Oil (WTI) Futures Electronic (7th Month)</v>
      </c>
      <c r="U2" s="6" t="str">
        <f>_xll.Storm.ExcelMacros.GvDescription("/GCL&lt;7&gt;", U3, "daily", "2", "19", "", "", , "p", , , , , , "Hundredths", , FALSE, )</f>
        <v>NYMEX Light Sweet Crude Oil (WTI) Futures Electronic (8th Month)</v>
      </c>
      <c r="V2" s="6" t="str">
        <f>_xll.Storm.ExcelMacros.GvDescription("/GCL&lt;8&gt;", V3, "daily", "2", "20", "", "", , "p", , , , , , "Hundredths", , FALSE, )</f>
        <v>NYMEX Light Sweet Crude Oil (WTI) Futures Electronic (9th Month)</v>
      </c>
      <c r="W2" s="6" t="str">
        <f>_xll.Storm.ExcelMacros.GvDescription("/GCL&lt;9&gt;", W3, "daily", "2", "21", "", "", , "p", , , , , , "Hundredths", , FALSE, )</f>
        <v>NYMEX Light Sweet Crude Oil (WTI) Futures Electronic (10th Month)</v>
      </c>
      <c r="X2" s="6" t="str">
        <f>_xll.Storm.ExcelMacros.GvDescription("/GCL&lt;10&gt;", X3, "daily", "2", "22", "", "", , "p", , , , , , "Hundredths", , FALSE, )</f>
        <v>NYMEX Light Sweet Crude Oil (WTI) Futures Electronic (11th Month)</v>
      </c>
      <c r="Y2" s="6" t="str">
        <f>_xll.Storm.ExcelMacros.GvDescription("/GCL&lt;11&gt;", Y3, "daily", "2", "23", "", "", , "p", , , , , , "Hundredths", , FALSE, )</f>
        <v>NYMEX Light Sweet Crude Oil (WTI) Futures Electronic (12th Month)</v>
      </c>
      <c r="Z2" s="6" t="str">
        <f>_xll.Storm.ExcelMacros.GvDescription("/DBI&lt;0&gt;", Z3, "daily", "2", "24", "", "", , "p", , , , , , "Thousandths", , FALSE, )</f>
        <v>ICE Dubai 1st Line Futures (Front Month)</v>
      </c>
      <c r="AA2" s="6" t="str">
        <f>_xll.Storm.ExcelMacros.GvDescription("/DBI&lt;1&gt;", AA3, "daily", "2", "25", "", "", , "p", , , , , , "Thousandths", , FALSE, )</f>
        <v>ICE Dubai 1st Line Futures (2nd Month)</v>
      </c>
      <c r="AB2" s="6" t="str">
        <f>_xll.Storm.ExcelMacros.GvDescription("/DBI&lt;2&gt;", AB3, "daily", "2", "26", "", "", , "p", , , , , , "Thousandths", , FALSE, )</f>
        <v>ICE Dubai 1st Line Futures (3rd Month)</v>
      </c>
      <c r="AC2" s="6" t="str">
        <f>_xll.Storm.ExcelMacros.GvDescription("/DBI&lt;3&gt;", AC3, "daily", "2", "27", "", "", , "p", , , , , , "Thousandths", , FALSE, )</f>
        <v>ICE Dubai 1st Line Futures (4th Month)</v>
      </c>
      <c r="AD2" s="6" t="str">
        <f>_xll.Storm.ExcelMacros.GvDescription("/DBI&lt;4&gt;", AD3, "daily", "2", "28", "", "", , "p", , , , , , "Thousandths", , FALSE, )</f>
        <v>ICE Dubai 1st Line Futures (5th Month)</v>
      </c>
      <c r="AE2" s="6" t="str">
        <f>_xll.Storm.ExcelMacros.GvDescription("/DBI&lt;5&gt;", AE3, "daily", "2", "29", "", "", , "p", , , , , , "Thousandths", , FALSE, )</f>
        <v>ICE Dubai 1st Line Futures (6th Month)</v>
      </c>
      <c r="AF2" s="6" t="str">
        <f>_xll.Storm.ExcelMacros.GvDescription("/DBI&lt;6&gt;", AF3, "daily", "2", "30", "", "", , "p", , , , , , "Thousandths", , FALSE, )</f>
        <v>ICE Dubai 1st Line Futures (7th Month)</v>
      </c>
      <c r="AG2" s="6" t="str">
        <f>_xll.Storm.ExcelMacros.GvDescription("/DBI&lt;7&gt;", AG3, "daily", "2", "31", "", "", , "p", , , , , , "Thousandths", , FALSE, )</f>
        <v>ICE Dubai 1st Line Futures (8th Month)</v>
      </c>
      <c r="AH2" s="6" t="str">
        <f>_xll.Storm.ExcelMacros.GvDescription("/DBI&lt;8&gt;", AH3, "daily", "2", "32", "", "", , "p", , , , , , "Thousandths", , FALSE, )</f>
        <v>ICE Dubai 1st Line Futures (9th Month)</v>
      </c>
      <c r="AI2" s="6" t="str">
        <f>_xll.Storm.ExcelMacros.GvDescription("/DBI&lt;9&gt;", AI3, "daily", "2", "33", "", "", , "p", , , , , , "Thousandths", , FALSE, )</f>
        <v>ICE Dubai 1st Line Futures (10th Month)</v>
      </c>
      <c r="AJ2" s="6" t="str">
        <f>_xll.Storm.ExcelMacros.GvDescription("/DBI&lt;10&gt;", AJ3, "daily", "2", "34", "", "", , "p", , , , , , "Thousandths", , FALSE, )</f>
        <v>ICE Dubai 1st Line Futures (11th Month)</v>
      </c>
      <c r="AK2" s="6" t="str">
        <f>_xll.Storm.ExcelMacros.GvDescription("/DBI&lt;11&gt;", AK3, "daily", "2", "35", "", "", , "p", , , , , , "Thousandths", , FALSE, )</f>
        <v>ICE Dubai 1st Line Futures (12th Month)</v>
      </c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</row>
    <row r="3" spans="1:147" x14ac:dyDescent="0.3">
      <c r="A3" s="8" t="s">
        <v>0</v>
      </c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  <c r="M3" s="8" t="s">
        <v>1</v>
      </c>
      <c r="N3" s="8" t="s">
        <v>1</v>
      </c>
      <c r="O3" s="8" t="s">
        <v>1</v>
      </c>
      <c r="P3" s="8" t="s">
        <v>1</v>
      </c>
      <c r="Q3" s="8" t="s">
        <v>1</v>
      </c>
      <c r="R3" s="8" t="s">
        <v>1</v>
      </c>
      <c r="S3" s="8" t="s">
        <v>1</v>
      </c>
      <c r="T3" s="8" t="s">
        <v>1</v>
      </c>
      <c r="U3" s="8" t="s">
        <v>1</v>
      </c>
      <c r="V3" s="8" t="s">
        <v>1</v>
      </c>
      <c r="W3" s="8" t="s">
        <v>1</v>
      </c>
      <c r="X3" s="8" t="s">
        <v>1</v>
      </c>
      <c r="Y3" s="8" t="s">
        <v>1</v>
      </c>
      <c r="Z3" s="8" t="s">
        <v>1</v>
      </c>
      <c r="AA3" s="8" t="s">
        <v>1</v>
      </c>
      <c r="AB3" s="8" t="s">
        <v>1</v>
      </c>
      <c r="AC3" s="8" t="s">
        <v>1</v>
      </c>
      <c r="AD3" s="8" t="s">
        <v>1</v>
      </c>
      <c r="AE3" s="8" t="s">
        <v>1</v>
      </c>
      <c r="AF3" s="8" t="s">
        <v>1</v>
      </c>
      <c r="AG3" s="8" t="s">
        <v>1</v>
      </c>
      <c r="AH3" s="8" t="s">
        <v>1</v>
      </c>
      <c r="AI3" s="8" t="s">
        <v>1</v>
      </c>
      <c r="AJ3" s="8" t="s">
        <v>1</v>
      </c>
      <c r="AK3" s="8" t="s">
        <v>1</v>
      </c>
      <c r="AL3" s="8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</row>
    <row r="4" spans="1:147" x14ac:dyDescent="0.3">
      <c r="A4" s="9">
        <f>DATE(2017, 1, 3)</f>
        <v>42738</v>
      </c>
      <c r="B4" s="10">
        <f>IF(ISERROR(_xll.Storm.ExcelMacros.GvDaily("/BRN&lt;0&gt;", B$3, A4, "", "", "", , "p", , , , , , "Hundredths", , FALSE, , "")), 55.47, _xll.Storm.ExcelMacros.GvDaily("/BRN&lt;0&gt;", B$3, A4, "", "", "", , "p", , , , , , "Hundredths", , FALSE, , ""))</f>
        <v>55.47</v>
      </c>
      <c r="C4" s="10">
        <f>IF(ISERROR(_xll.Storm.ExcelMacros.GvDaily("/BRN&lt;1&gt;", C$3, A4, "", "", "", , "p", , , , , , "Hundredths", , FALSE, , "")), 56.14, _xll.Storm.ExcelMacros.GvDaily("/BRN&lt;1&gt;", C$3, A4, "", "", "", , "p", , , , , , "Hundredths", , FALSE, , ""))</f>
        <v>56.14</v>
      </c>
      <c r="D4" s="10">
        <f>IF(ISERROR(_xll.Storm.ExcelMacros.GvDaily("/BRN&lt;2&gt;", D$3, A4, "", "", "", , "p", , , , , , "Hundredths", , FALSE, , "")), 56.71, _xll.Storm.ExcelMacros.GvDaily("/BRN&lt;2&gt;", D$3, A4, "", "", "", , "p", , , , , , "Hundredths", , FALSE, , ""))</f>
        <v>56.71</v>
      </c>
      <c r="E4" s="10">
        <f>IF(ISERROR(_xll.Storm.ExcelMacros.GvDaily("/BRN&lt;3&gt;", E$3, A4, "", "", "", , "p", , , , , , "Hundredths", , FALSE, , "")), 57.15, _xll.Storm.ExcelMacros.GvDaily("/BRN&lt;3&gt;", E$3, A4, "", "", "", , "p", , , , , , "Hundredths", , FALSE, , ""))</f>
        <v>57.15</v>
      </c>
      <c r="F4" s="10">
        <f>IF(ISERROR(_xll.Storm.ExcelMacros.GvDaily("/BRN&lt;4&gt;", F$3, A4, "", "", "", , "p", , , , , , "Hundredths", , FALSE, , "")), 57.44, _xll.Storm.ExcelMacros.GvDaily("/BRN&lt;4&gt;", F$3, A4, "", "", "", , "p", , , , , , "Hundredths", , FALSE, , ""))</f>
        <v>57.44</v>
      </c>
      <c r="G4" s="10">
        <f>IF(ISERROR(_xll.Storm.ExcelMacros.GvDaily("/BRN&lt;5&gt;", G$3, A4, "", "", "", , "p", , , , , , "Hundredths", , FALSE, , "")), 57.6, _xll.Storm.ExcelMacros.GvDaily("/BRN&lt;5&gt;", G$3, A4, "", "", "", , "p", , , , , , "Hundredths", , FALSE, , ""))</f>
        <v>57.6</v>
      </c>
      <c r="H4" s="10">
        <f>IF(ISERROR(_xll.Storm.ExcelMacros.GvDaily("/BRN&lt;6&gt;", H$3, A4, "", "", "", , "p", , , , , , "Hundredths", , FALSE, , "")), 57.66, _xll.Storm.ExcelMacros.GvDaily("/BRN&lt;6&gt;", H$3, A4, "", "", "", , "p", , , , , , "Hundredths", , FALSE, , ""))</f>
        <v>57.660000000000004</v>
      </c>
      <c r="I4" s="10">
        <f>IF(ISERROR(_xll.Storm.ExcelMacros.GvDaily("/BRN&lt;7&gt;", I$3, A4, "", "", "", , "p", , , , , , "Hundredths", , FALSE, , "")), 57.66, _xll.Storm.ExcelMacros.GvDaily("/BRN&lt;7&gt;", I$3, A4, "", "", "", , "p", , , , , , "Hundredths", , FALSE, , ""))</f>
        <v>57.660000000000004</v>
      </c>
      <c r="J4" s="10">
        <f>IF(ISERROR(_xll.Storm.ExcelMacros.GvDaily("/BRN&lt;8&gt;", J$3, A4, "", "", "", , "p", , , , , , "Hundredths", , FALSE, , "")), 57.64, _xll.Storm.ExcelMacros.GvDaily("/BRN&lt;8&gt;", J$3, A4, "", "", "", , "p", , , , , , "Hundredths", , FALSE, , ""))</f>
        <v>57.64</v>
      </c>
      <c r="K4" s="10">
        <f>IF(ISERROR(_xll.Storm.ExcelMacros.GvDaily("/BRN&lt;9&gt;", K$3, A4, "", "", "", , "p", , , , , , "Hundredths", , FALSE, , "")), 57.6, _xll.Storm.ExcelMacros.GvDaily("/BRN&lt;9&gt;", K$3, A4, "", "", "", , "p", , , , , , "Hundredths", , FALSE, , ""))</f>
        <v>57.6</v>
      </c>
      <c r="L4" s="10">
        <f>IF(ISERROR(_xll.Storm.ExcelMacros.GvDaily("/BRN&lt;10&gt;", L$3, A4, "", "", "", , "p", , , , , , "Hundredths", , FALSE, , "")), 57.56, _xll.Storm.ExcelMacros.GvDaily("/BRN&lt;10&gt;", L$3, A4, "", "", "", , "p", , , , , , "Hundredths", , FALSE, , ""))</f>
        <v>57.56</v>
      </c>
      <c r="M4" s="10">
        <f>IF(ISERROR(_xll.Storm.ExcelMacros.GvDaily("/BRN&lt;11&gt;", M$3, A4, "", "", "", , "p", , , , , , "Hundredths", , FALSE, , "")), 57.52, _xll.Storm.ExcelMacros.GvDaily("/BRN&lt;11&gt;", M$3, A4, "", "", "", , "p", , , , , , "Hundredths", , FALSE, , ""))</f>
        <v>57.52</v>
      </c>
      <c r="N4" s="10">
        <f>IF(ISERROR(_xll.Storm.ExcelMacros.GvDaily("/GCL&lt;0&gt;", N$3, A4, "", "", "", , "p", , , , , , "Hundredths", , FALSE, , "")), 52.33, _xll.Storm.ExcelMacros.GvDaily("/GCL&lt;0&gt;", N$3, A4, "", "", "", , "p", , , , , , "Hundredths", , FALSE, , ""))</f>
        <v>52.33</v>
      </c>
      <c r="O4" s="10">
        <f>IF(ISERROR(_xll.Storm.ExcelMacros.GvDaily("/GCL&lt;1&gt;", O$3, A4, "", "", "", , "p", , , , , , "Hundredths", , FALSE, , "")), 53.29, _xll.Storm.ExcelMacros.GvDaily("/GCL&lt;1&gt;", O$3, A4, "", "", "", , "p", , , , , , "Hundredths", , FALSE, , ""))</f>
        <v>53.29</v>
      </c>
      <c r="P4" s="10">
        <f>IF(ISERROR(_xll.Storm.ExcelMacros.GvDaily("/GCL&lt;2&gt;", P$3, A4, "", "", "", , "p", , , , , , "Hundredths", , FALSE, , "")), 54.12, _xll.Storm.ExcelMacros.GvDaily("/GCL&lt;2&gt;", P$3, A4, "", "", "", , "p", , , , , , "Hundredths", , FALSE, , ""))</f>
        <v>54.120000000000005</v>
      </c>
      <c r="Q4" s="10">
        <f>IF(ISERROR(_xll.Storm.ExcelMacros.GvDaily("/GCL&lt;3&gt;", Q$3, A4, "", "", "", , "p", , , , , , "Hundredths", , FALSE, , "")), 54.81, _xll.Storm.ExcelMacros.GvDaily("/GCL&lt;3&gt;", Q$3, A4, "", "", "", , "p", , , , , , "Hundredths", , FALSE, , ""))</f>
        <v>54.81</v>
      </c>
      <c r="R4" s="10">
        <f>IF(ISERROR(_xll.Storm.ExcelMacros.GvDaily("/GCL&lt;4&gt;", R$3, A4, "", "", "", , "p", , , , , , "Hundredths", , FALSE, , "")), 55.32, _xll.Storm.ExcelMacros.GvDaily("/GCL&lt;4&gt;", R$3, A4, "", "", "", , "p", , , , , , "Hundredths", , FALSE, , ""))</f>
        <v>55.32</v>
      </c>
      <c r="S4" s="10">
        <f>IF(ISERROR(_xll.Storm.ExcelMacros.GvDaily("/GCL&lt;5&gt;", S$3, A4, "", "", "", , "p", , , , , , "Hundredths", , FALSE, , "")), 55.65, _xll.Storm.ExcelMacros.GvDaily("/GCL&lt;5&gt;", S$3, A4, "", "", "", , "p", , , , , , "Hundredths", , FALSE, , ""))</f>
        <v>55.65</v>
      </c>
      <c r="T4" s="10">
        <f>IF(ISERROR(_xll.Storm.ExcelMacros.GvDaily("/GCL&lt;6&gt;", T$3, A4, "", "", "", , "p", , , , , , "Hundredths", , FALSE, , "")), 55.84, _xll.Storm.ExcelMacros.GvDaily("/GCL&lt;6&gt;", T$3, A4, "", "", "", , "p", , , , , , "Hundredths", , FALSE, , ""))</f>
        <v>55.84</v>
      </c>
      <c r="U4" s="10">
        <f>IF(ISERROR(_xll.Storm.ExcelMacros.GvDaily("/GCL&lt;7&gt;", U$3, A4, "", "", "", , "p", , , , , , "Hundredths", , FALSE, , "")), 55.95, _xll.Storm.ExcelMacros.GvDaily("/GCL&lt;7&gt;", U$3, A4, "", "", "", , "p", , , , , , "Hundredths", , FALSE, , ""))</f>
        <v>55.95</v>
      </c>
      <c r="V4" s="10">
        <f>IF(ISERROR(_xll.Storm.ExcelMacros.GvDaily("/GCL&lt;8&gt;", V$3, A4, "", "", "", , "p", , , , , , "Hundredths", , FALSE, , "")), 56.01, _xll.Storm.ExcelMacros.GvDaily("/GCL&lt;8&gt;", V$3, A4, "", "", "", , "p", , , , , , "Hundredths", , FALSE, , ""))</f>
        <v>56.01</v>
      </c>
      <c r="W4" s="10">
        <f>IF(ISERROR(_xll.Storm.ExcelMacros.GvDaily("/GCL&lt;9&gt;", W$3, A4, "", "", "", , "p", , , , , , "Hundredths", , FALSE, , "")), 56.04, _xll.Storm.ExcelMacros.GvDaily("/GCL&lt;9&gt;", W$3, A4, "", "", "", , "p", , , , , , "Hundredths", , FALSE, , ""))</f>
        <v>56.04</v>
      </c>
      <c r="X4" s="10">
        <f>IF(ISERROR(_xll.Storm.ExcelMacros.GvDaily("/GCL&lt;10&gt;", X$3, A4, "", "", "", , "p", , , , , , "Hundredths", , FALSE, , "")), 56.06, _xll.Storm.ExcelMacros.GvDaily("/GCL&lt;10&gt;", X$3, A4, "", "", "", , "p", , , , , , "Hundredths", , FALSE, , ""))</f>
        <v>56.06</v>
      </c>
      <c r="Y4" s="10">
        <f>IF(ISERROR(_xll.Storm.ExcelMacros.GvDaily("/GCL&lt;11&gt;", Y$3, A4, "", "", "", , "p", , , , , , "Hundredths", , FALSE, , "")), 56, _xll.Storm.ExcelMacros.GvDaily("/GCL&lt;11&gt;", Y$3, A4, "", "", "", , "p", , , , , , "Hundredths", , FALSE, , ""))</f>
        <v>56</v>
      </c>
      <c r="Z4" s="11" t="str">
        <f>IF(ISERROR(_xll.Storm.ExcelMacros.GvDaily("/DBI&lt;0&gt;", Z$3, A4, "", "", "", , "p", , , , , , "Thousandths", , FALSE, , "")), , _xll.Storm.ExcelMacros.GvDaily("/DBI&lt;0&gt;", Z$3, A4, "", "", "", , "p", , , , , , "Thousandths", , FALSE, , ""))</f>
        <v/>
      </c>
      <c r="AA4" s="11" t="str">
        <f>IF(ISERROR(_xll.Storm.ExcelMacros.GvDaily("/DBI&lt;1&gt;", AA$3, A4, "", "", "", , "p", , , , , , "Thousandths", , FALSE, , "")), , _xll.Storm.ExcelMacros.GvDaily("/DBI&lt;1&gt;", AA$3, A4, "", "", "", , "p", , , , , , "Thousandths", , FALSE, , ""))</f>
        <v/>
      </c>
      <c r="AB4" s="11" t="str">
        <f>IF(ISERROR(_xll.Storm.ExcelMacros.GvDaily("/DBI&lt;2&gt;", AB$3, A4, "", "", "", , "p", , , , , , "Thousandths", , FALSE, , "")), , _xll.Storm.ExcelMacros.GvDaily("/DBI&lt;2&gt;", AB$3, A4, "", "", "", , "p", , , , , , "Thousandths", , FALSE, , ""))</f>
        <v/>
      </c>
      <c r="AC4" s="11" t="str">
        <f>IF(ISERROR(_xll.Storm.ExcelMacros.GvDaily("/DBI&lt;3&gt;", AC$3, A4, "", "", "", , "p", , , , , , "Thousandths", , FALSE, , "")), , _xll.Storm.ExcelMacros.GvDaily("/DBI&lt;3&gt;", AC$3, A4, "", "", "", , "p", , , , , , "Thousandths", , FALSE, , ""))</f>
        <v/>
      </c>
      <c r="AD4" s="11" t="str">
        <f>IF(ISERROR(_xll.Storm.ExcelMacros.GvDaily("/DBI&lt;4&gt;", AD$3, A4, "", "", "", , "p", , , , , , "Thousandths", , FALSE, , "")), , _xll.Storm.ExcelMacros.GvDaily("/DBI&lt;4&gt;", AD$3, A4, "", "", "", , "p", , , , , , "Thousandths", , FALSE, , ""))</f>
        <v/>
      </c>
      <c r="AE4" s="11" t="str">
        <f>IF(ISERROR(_xll.Storm.ExcelMacros.GvDaily("/DBI&lt;5&gt;", AE$3, A4, "", "", "", , "p", , , , , , "Thousandths", , FALSE, , "")), , _xll.Storm.ExcelMacros.GvDaily("/DBI&lt;5&gt;", AE$3, A4, "", "", "", , "p", , , , , , "Thousandths", , FALSE, , ""))</f>
        <v/>
      </c>
      <c r="AF4" s="11" t="str">
        <f>IF(ISERROR(_xll.Storm.ExcelMacros.GvDaily("/DBI&lt;6&gt;", AF$3, A4, "", "", "", , "p", , , , , , "Thousandths", , FALSE, , "")), , _xll.Storm.ExcelMacros.GvDaily("/DBI&lt;6&gt;", AF$3, A4, "", "", "", , "p", , , , , , "Thousandths", , FALSE, , ""))</f>
        <v/>
      </c>
      <c r="AG4" s="11" t="str">
        <f>IF(ISERROR(_xll.Storm.ExcelMacros.GvDaily("/DBI&lt;7&gt;", AG$3, A4, "", "", "", , "p", , , , , , "Thousandths", , FALSE, , "")), , _xll.Storm.ExcelMacros.GvDaily("/DBI&lt;7&gt;", AG$3, A4, "", "", "", , "p", , , , , , "Thousandths", , FALSE, , ""))</f>
        <v/>
      </c>
      <c r="AH4" s="11" t="str">
        <f>IF(ISERROR(_xll.Storm.ExcelMacros.GvDaily("/DBI&lt;8&gt;", AH$3, A4, "", "", "", , "p", , , , , , "Thousandths", , FALSE, , "")), , _xll.Storm.ExcelMacros.GvDaily("/DBI&lt;8&gt;", AH$3, A4, "", "", "", , "p", , , , , , "Thousandths", , FALSE, , ""))</f>
        <v/>
      </c>
      <c r="AI4" s="11" t="str">
        <f>IF(ISERROR(_xll.Storm.ExcelMacros.GvDaily("/DBI&lt;9&gt;", AI$3, A4, "", "", "", , "p", , , , , , "Thousandths", , FALSE, , "")), , _xll.Storm.ExcelMacros.GvDaily("/DBI&lt;9&gt;", AI$3, A4, "", "", "", , "p", , , , , , "Thousandths", , FALSE, , ""))</f>
        <v/>
      </c>
      <c r="AJ4" s="11" t="str">
        <f>IF(ISERROR(_xll.Storm.ExcelMacros.GvDaily("/DBI&lt;10&gt;", AJ$3, A4, "", "", "", , "p", , , , , , "Thousandths", , FALSE, , "")), , _xll.Storm.ExcelMacros.GvDaily("/DBI&lt;10&gt;", AJ$3, A4, "", "", "", , "p", , , , , , "Thousandths", , FALSE, , ""))</f>
        <v/>
      </c>
      <c r="AK4" s="11" t="str">
        <f>IF(ISERROR(_xll.Storm.ExcelMacros.GvDaily("/DBI&lt;11&gt;", AK$3, A4, "", "", "", , "p", , , , , , "Thousandths", , FALSE, , "")), , _xll.Storm.ExcelMacros.GvDaily("/DBI&lt;11&gt;", AK$3, A4, "", "", "", , "p", , , , , , "Thousandths", , FALSE, , ""))</f>
        <v/>
      </c>
      <c r="AL4" s="11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</row>
    <row r="5" spans="1:147" x14ac:dyDescent="0.3">
      <c r="A5" s="9">
        <f>DATE(2017, 1, 4)</f>
        <v>42739</v>
      </c>
      <c r="B5" s="10">
        <v>56.46</v>
      </c>
      <c r="C5" s="10">
        <v>57.09</v>
      </c>
      <c r="D5" s="10">
        <v>57.63</v>
      </c>
      <c r="E5" s="10">
        <v>58.07</v>
      </c>
      <c r="F5" s="10">
        <v>58.36</v>
      </c>
      <c r="G5" s="10">
        <v>58.51</v>
      </c>
      <c r="H5" s="10">
        <v>58.57</v>
      </c>
      <c r="I5" s="10">
        <v>58.56</v>
      </c>
      <c r="J5" s="10">
        <v>58.53</v>
      </c>
      <c r="K5" s="10">
        <v>58.49</v>
      </c>
      <c r="L5" s="10">
        <v>58.44</v>
      </c>
      <c r="M5" s="10">
        <v>58.4</v>
      </c>
      <c r="N5" s="10">
        <v>53.26</v>
      </c>
      <c r="O5" s="10">
        <v>54.22</v>
      </c>
      <c r="P5" s="10">
        <v>55.05</v>
      </c>
      <c r="Q5" s="10">
        <v>55.75</v>
      </c>
      <c r="R5" s="10">
        <v>56.29</v>
      </c>
      <c r="S5" s="10">
        <v>56.63</v>
      </c>
      <c r="T5" s="10">
        <v>56.82</v>
      </c>
      <c r="U5" s="10">
        <v>56.94</v>
      </c>
      <c r="V5" s="10">
        <v>57</v>
      </c>
      <c r="W5" s="10">
        <v>57.03</v>
      </c>
      <c r="X5" s="10">
        <v>57.06</v>
      </c>
      <c r="Y5" s="10">
        <v>57.01</v>
      </c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</row>
    <row r="6" spans="1:147" x14ac:dyDescent="0.3">
      <c r="A6" s="9">
        <f>DATE(2017, 1, 5)</f>
        <v>42740</v>
      </c>
      <c r="B6" s="10">
        <v>56.89</v>
      </c>
      <c r="C6" s="10">
        <v>57.48</v>
      </c>
      <c r="D6" s="10">
        <v>57.98</v>
      </c>
      <c r="E6" s="10">
        <v>58.39</v>
      </c>
      <c r="F6" s="10">
        <v>58.66</v>
      </c>
      <c r="G6" s="10">
        <v>58.81</v>
      </c>
      <c r="H6" s="10">
        <v>58.86</v>
      </c>
      <c r="I6" s="10">
        <v>58.85</v>
      </c>
      <c r="J6" s="10">
        <v>58.82</v>
      </c>
      <c r="K6" s="10">
        <v>58.77</v>
      </c>
      <c r="L6" s="10">
        <v>58.71</v>
      </c>
      <c r="M6" s="10">
        <v>58.67</v>
      </c>
      <c r="N6" s="10">
        <v>53.76</v>
      </c>
      <c r="O6" s="10">
        <v>54.68</v>
      </c>
      <c r="P6" s="10">
        <v>55.49</v>
      </c>
      <c r="Q6" s="10">
        <v>56.17</v>
      </c>
      <c r="R6" s="10">
        <v>56.68</v>
      </c>
      <c r="S6" s="10">
        <v>57.01</v>
      </c>
      <c r="T6" s="10">
        <v>57.19</v>
      </c>
      <c r="U6" s="10">
        <v>57.3</v>
      </c>
      <c r="V6" s="10">
        <v>57.35</v>
      </c>
      <c r="W6" s="10">
        <v>57.39</v>
      </c>
      <c r="X6" s="10">
        <v>57.43</v>
      </c>
      <c r="Y6" s="10">
        <v>57.39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</row>
    <row r="7" spans="1:147" x14ac:dyDescent="0.3">
      <c r="A7" s="9">
        <f>DATE(2017, 1, 6)</f>
        <v>42741</v>
      </c>
      <c r="B7" s="10">
        <v>57.1</v>
      </c>
      <c r="C7" s="10">
        <v>57.68</v>
      </c>
      <c r="D7" s="10">
        <v>58.17</v>
      </c>
      <c r="E7" s="10">
        <v>58.57</v>
      </c>
      <c r="F7" s="10">
        <v>58.84</v>
      </c>
      <c r="G7" s="10">
        <v>58.98</v>
      </c>
      <c r="H7" s="10">
        <v>59.03</v>
      </c>
      <c r="I7" s="10">
        <v>59.02</v>
      </c>
      <c r="J7" s="10">
        <v>59</v>
      </c>
      <c r="K7" s="10">
        <v>58.94</v>
      </c>
      <c r="L7" s="10">
        <v>58.89</v>
      </c>
      <c r="M7" s="10">
        <v>58.84</v>
      </c>
      <c r="N7" s="10">
        <v>53.99</v>
      </c>
      <c r="O7" s="10">
        <v>54.87</v>
      </c>
      <c r="P7" s="10">
        <v>55.68</v>
      </c>
      <c r="Q7" s="10">
        <v>56.37</v>
      </c>
      <c r="R7" s="10">
        <v>56.88</v>
      </c>
      <c r="S7" s="10">
        <v>57.21</v>
      </c>
      <c r="T7" s="10">
        <v>57.4</v>
      </c>
      <c r="U7" s="10">
        <v>57.51</v>
      </c>
      <c r="V7" s="10">
        <v>57.57</v>
      </c>
      <c r="W7" s="10">
        <v>57.62</v>
      </c>
      <c r="X7" s="10">
        <v>57.66</v>
      </c>
      <c r="Y7" s="10">
        <v>57.63</v>
      </c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</row>
    <row r="8" spans="1:147" x14ac:dyDescent="0.3">
      <c r="A8" s="9">
        <f>DATE(2017, 1, 9)</f>
        <v>42744</v>
      </c>
      <c r="B8" s="10">
        <v>54.94</v>
      </c>
      <c r="C8" s="10">
        <v>55.56</v>
      </c>
      <c r="D8" s="10">
        <v>56.09</v>
      </c>
      <c r="E8" s="10">
        <v>56.53</v>
      </c>
      <c r="F8" s="10">
        <v>56.83</v>
      </c>
      <c r="G8" s="10">
        <v>57.01</v>
      </c>
      <c r="H8" s="10">
        <v>57.08</v>
      </c>
      <c r="I8" s="10">
        <v>57.1</v>
      </c>
      <c r="J8" s="10">
        <v>57.09</v>
      </c>
      <c r="K8" s="10">
        <v>57.07</v>
      </c>
      <c r="L8" s="10">
        <v>57.04</v>
      </c>
      <c r="M8" s="10">
        <v>57.01</v>
      </c>
      <c r="N8" s="10">
        <v>51.96</v>
      </c>
      <c r="O8" s="10">
        <v>52.87</v>
      </c>
      <c r="P8" s="10">
        <v>53.72</v>
      </c>
      <c r="Q8" s="10">
        <v>54.47</v>
      </c>
      <c r="R8" s="10">
        <v>55.05</v>
      </c>
      <c r="S8" s="10">
        <v>55.43</v>
      </c>
      <c r="T8" s="10">
        <v>55.67</v>
      </c>
      <c r="U8" s="10">
        <v>55.83</v>
      </c>
      <c r="V8" s="10">
        <v>55.94</v>
      </c>
      <c r="W8" s="10">
        <v>56.02</v>
      </c>
      <c r="X8" s="10">
        <v>56.09</v>
      </c>
      <c r="Y8" s="10">
        <v>56.09</v>
      </c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</row>
    <row r="9" spans="1:147" x14ac:dyDescent="0.3">
      <c r="A9" s="9">
        <f>DATE(2017, 1, 10)</f>
        <v>42745</v>
      </c>
      <c r="B9" s="10">
        <v>53.64</v>
      </c>
      <c r="C9" s="10">
        <v>54.26</v>
      </c>
      <c r="D9" s="10">
        <v>54.79</v>
      </c>
      <c r="E9" s="10">
        <v>55.25</v>
      </c>
      <c r="F9" s="10">
        <v>55.58</v>
      </c>
      <c r="G9" s="10">
        <v>55.79</v>
      </c>
      <c r="H9" s="10">
        <v>55.89</v>
      </c>
      <c r="I9" s="10">
        <v>55.94</v>
      </c>
      <c r="J9" s="10">
        <v>55.96</v>
      </c>
      <c r="K9" s="10">
        <v>55.95</v>
      </c>
      <c r="L9" s="10">
        <v>55.94</v>
      </c>
      <c r="M9" s="10">
        <v>55.92</v>
      </c>
      <c r="N9" s="10">
        <v>50.82</v>
      </c>
      <c r="O9" s="10">
        <v>51.7</v>
      </c>
      <c r="P9" s="10">
        <v>52.53</v>
      </c>
      <c r="Q9" s="10">
        <v>53.28</v>
      </c>
      <c r="R9" s="10">
        <v>53.87</v>
      </c>
      <c r="S9" s="10">
        <v>54.27</v>
      </c>
      <c r="T9" s="10">
        <v>54.53</v>
      </c>
      <c r="U9" s="10">
        <v>54.72</v>
      </c>
      <c r="V9" s="10">
        <v>54.87</v>
      </c>
      <c r="W9" s="10">
        <v>54.99</v>
      </c>
      <c r="X9" s="10">
        <v>55.1</v>
      </c>
      <c r="Y9" s="10">
        <v>55.15</v>
      </c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</row>
    <row r="10" spans="1:147" x14ac:dyDescent="0.3">
      <c r="A10" s="9">
        <f>DATE(2017, 1, 11)</f>
        <v>42746</v>
      </c>
      <c r="B10" s="10">
        <v>55.1</v>
      </c>
      <c r="C10" s="10">
        <v>55.6</v>
      </c>
      <c r="D10" s="10">
        <v>56.09</v>
      </c>
      <c r="E10" s="10">
        <v>56.51</v>
      </c>
      <c r="F10" s="10">
        <v>56.78</v>
      </c>
      <c r="G10" s="10">
        <v>56.94</v>
      </c>
      <c r="H10" s="10">
        <v>57.02</v>
      </c>
      <c r="I10" s="10">
        <v>57.05</v>
      </c>
      <c r="J10" s="10">
        <v>57.06</v>
      </c>
      <c r="K10" s="10">
        <v>57.04</v>
      </c>
      <c r="L10" s="10">
        <v>57.02</v>
      </c>
      <c r="M10" s="10">
        <v>56.99</v>
      </c>
      <c r="N10" s="10">
        <v>52.25</v>
      </c>
      <c r="O10" s="10">
        <v>53.06</v>
      </c>
      <c r="P10" s="10">
        <v>53.87</v>
      </c>
      <c r="Q10" s="10">
        <v>54.59</v>
      </c>
      <c r="R10" s="10">
        <v>55.17</v>
      </c>
      <c r="S10" s="10">
        <v>55.56</v>
      </c>
      <c r="T10" s="10">
        <v>55.81</v>
      </c>
      <c r="U10" s="10">
        <v>55.99</v>
      </c>
      <c r="V10" s="10">
        <v>56.12</v>
      </c>
      <c r="W10" s="10">
        <v>56.21</v>
      </c>
      <c r="X10" s="10">
        <v>56.29</v>
      </c>
      <c r="Y10" s="10">
        <v>56.31</v>
      </c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</row>
    <row r="11" spans="1:147" x14ac:dyDescent="0.3">
      <c r="A11" s="9">
        <f>DATE(2017, 1, 12)</f>
        <v>42747</v>
      </c>
      <c r="B11" s="10">
        <v>56.01</v>
      </c>
      <c r="C11" s="10">
        <v>56.49</v>
      </c>
      <c r="D11" s="10">
        <v>56.98</v>
      </c>
      <c r="E11" s="10">
        <v>57.42</v>
      </c>
      <c r="F11" s="10">
        <v>57.7</v>
      </c>
      <c r="G11" s="10">
        <v>57.85</v>
      </c>
      <c r="H11" s="10">
        <v>57.9</v>
      </c>
      <c r="I11" s="10">
        <v>57.92</v>
      </c>
      <c r="J11" s="10">
        <v>57.92</v>
      </c>
      <c r="K11" s="10">
        <v>57.89</v>
      </c>
      <c r="L11" s="10">
        <v>57.86</v>
      </c>
      <c r="M11" s="10">
        <v>57.82</v>
      </c>
      <c r="N11" s="10">
        <v>53.01</v>
      </c>
      <c r="O11" s="10">
        <v>53.84</v>
      </c>
      <c r="P11" s="10">
        <v>54.65</v>
      </c>
      <c r="Q11" s="10">
        <v>55.39</v>
      </c>
      <c r="R11" s="10">
        <v>55.99</v>
      </c>
      <c r="S11" s="10">
        <v>56.4</v>
      </c>
      <c r="T11" s="10">
        <v>56.64</v>
      </c>
      <c r="U11" s="10">
        <v>56.81</v>
      </c>
      <c r="V11" s="10">
        <v>56.92</v>
      </c>
      <c r="W11" s="10">
        <v>56.99</v>
      </c>
      <c r="X11" s="10">
        <v>57.05</v>
      </c>
      <c r="Y11" s="10">
        <v>57.05</v>
      </c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</row>
    <row r="12" spans="1:147" x14ac:dyDescent="0.3">
      <c r="A12" s="9">
        <f>DATE(2017, 1, 13)</f>
        <v>42748</v>
      </c>
      <c r="B12" s="10">
        <v>55.45</v>
      </c>
      <c r="C12" s="10">
        <v>55.91</v>
      </c>
      <c r="D12" s="10">
        <v>56.38</v>
      </c>
      <c r="E12" s="10">
        <v>56.8</v>
      </c>
      <c r="F12" s="10">
        <v>57.08</v>
      </c>
      <c r="G12" s="10">
        <v>57.23</v>
      </c>
      <c r="H12" s="10">
        <v>57.28</v>
      </c>
      <c r="I12" s="10">
        <v>57.3</v>
      </c>
      <c r="J12" s="10">
        <v>57.3</v>
      </c>
      <c r="K12" s="10">
        <v>57.26</v>
      </c>
      <c r="L12" s="10">
        <v>57.23</v>
      </c>
      <c r="M12" s="10">
        <v>57.18</v>
      </c>
      <c r="N12" s="10">
        <v>52.37</v>
      </c>
      <c r="O12" s="10">
        <v>53.15</v>
      </c>
      <c r="P12" s="10">
        <v>53.95</v>
      </c>
      <c r="Q12" s="10">
        <v>54.68</v>
      </c>
      <c r="R12" s="10">
        <v>55.27</v>
      </c>
      <c r="S12" s="10">
        <v>55.67</v>
      </c>
      <c r="T12" s="10">
        <v>55.91</v>
      </c>
      <c r="U12" s="10">
        <v>56.08</v>
      </c>
      <c r="V12" s="10">
        <v>56.2</v>
      </c>
      <c r="W12" s="10">
        <v>56.29</v>
      </c>
      <c r="X12" s="10">
        <v>56.36</v>
      </c>
      <c r="Y12" s="10">
        <v>56.37</v>
      </c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</row>
    <row r="13" spans="1:147" x14ac:dyDescent="0.3">
      <c r="A13" s="9">
        <f>DATE(2017, 1, 16)</f>
        <v>42751</v>
      </c>
      <c r="B13" s="10">
        <v>55.86</v>
      </c>
      <c r="C13" s="10">
        <v>56.28</v>
      </c>
      <c r="D13" s="10">
        <v>56.73</v>
      </c>
      <c r="E13" s="10">
        <v>57.14</v>
      </c>
      <c r="F13" s="10">
        <v>57.42</v>
      </c>
      <c r="G13" s="10">
        <v>57.57</v>
      </c>
      <c r="H13" s="10">
        <v>57.63</v>
      </c>
      <c r="I13" s="10">
        <v>57.64</v>
      </c>
      <c r="J13" s="10">
        <v>57.63</v>
      </c>
      <c r="K13" s="10">
        <v>57.6</v>
      </c>
      <c r="L13" s="10">
        <v>57.57</v>
      </c>
      <c r="M13" s="10">
        <v>57.52</v>
      </c>
      <c r="N13" s="10">
        <v>52.37</v>
      </c>
      <c r="O13" s="10">
        <v>53.15</v>
      </c>
      <c r="P13" s="10">
        <v>53.95</v>
      </c>
      <c r="Q13" s="10">
        <v>54.68</v>
      </c>
      <c r="R13" s="10">
        <v>55.27</v>
      </c>
      <c r="S13" s="10">
        <v>55.67</v>
      </c>
      <c r="T13" s="10">
        <v>55.91</v>
      </c>
      <c r="U13" s="10">
        <v>56.08</v>
      </c>
      <c r="V13" s="10">
        <v>56.2</v>
      </c>
      <c r="W13" s="10">
        <v>56.29</v>
      </c>
      <c r="X13" s="10">
        <v>56.36</v>
      </c>
      <c r="Y13" s="10">
        <v>56.37</v>
      </c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</row>
    <row r="14" spans="1:147" x14ac:dyDescent="0.3">
      <c r="A14" s="9">
        <f>DATE(2017, 1, 17)</f>
        <v>42752</v>
      </c>
      <c r="B14" s="10">
        <v>55.47</v>
      </c>
      <c r="C14" s="10">
        <v>55.94</v>
      </c>
      <c r="D14" s="10">
        <v>56.44</v>
      </c>
      <c r="E14" s="10">
        <v>56.89</v>
      </c>
      <c r="F14" s="10">
        <v>57.19</v>
      </c>
      <c r="G14" s="10">
        <v>57.37</v>
      </c>
      <c r="H14" s="10">
        <v>57.45</v>
      </c>
      <c r="I14" s="10">
        <v>57.48</v>
      </c>
      <c r="J14" s="10">
        <v>57.49</v>
      </c>
      <c r="K14" s="10">
        <v>57.48</v>
      </c>
      <c r="L14" s="10">
        <v>57.46</v>
      </c>
      <c r="M14" s="10">
        <v>57.42</v>
      </c>
      <c r="N14" s="10">
        <v>52.48</v>
      </c>
      <c r="O14" s="10">
        <v>53.26</v>
      </c>
      <c r="P14" s="10">
        <v>54.03</v>
      </c>
      <c r="Q14" s="10">
        <v>54.75</v>
      </c>
      <c r="R14" s="10">
        <v>55.33</v>
      </c>
      <c r="S14" s="10">
        <v>55.73</v>
      </c>
      <c r="T14" s="10">
        <v>55.96</v>
      </c>
      <c r="U14" s="10">
        <v>56.1</v>
      </c>
      <c r="V14" s="10">
        <v>56.18</v>
      </c>
      <c r="W14" s="10">
        <v>56.23</v>
      </c>
      <c r="X14" s="10">
        <v>56.27</v>
      </c>
      <c r="Y14" s="10">
        <v>56.25</v>
      </c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</row>
    <row r="15" spans="1:147" x14ac:dyDescent="0.3">
      <c r="A15" s="9">
        <f>DATE(2017, 1, 18)</f>
        <v>42753</v>
      </c>
      <c r="B15" s="10">
        <v>53.92</v>
      </c>
      <c r="C15" s="10">
        <v>54.41</v>
      </c>
      <c r="D15" s="10">
        <v>54.93</v>
      </c>
      <c r="E15" s="10">
        <v>55.4</v>
      </c>
      <c r="F15" s="10">
        <v>55.73</v>
      </c>
      <c r="G15" s="10">
        <v>55.93</v>
      </c>
      <c r="H15" s="10">
        <v>56.03</v>
      </c>
      <c r="I15" s="10">
        <v>56.08</v>
      </c>
      <c r="J15" s="10">
        <v>56.1</v>
      </c>
      <c r="K15" s="10">
        <v>56.11</v>
      </c>
      <c r="L15" s="10">
        <v>56.11</v>
      </c>
      <c r="M15" s="10">
        <v>56.1</v>
      </c>
      <c r="N15" s="10">
        <v>51.08</v>
      </c>
      <c r="O15" s="10">
        <v>51.89</v>
      </c>
      <c r="P15" s="10">
        <v>52.66</v>
      </c>
      <c r="Q15" s="10">
        <v>53.37</v>
      </c>
      <c r="R15" s="10">
        <v>53.95</v>
      </c>
      <c r="S15" s="10">
        <v>54.35</v>
      </c>
      <c r="T15" s="10">
        <v>54.59</v>
      </c>
      <c r="U15" s="10">
        <v>54.74</v>
      </c>
      <c r="V15" s="10">
        <v>54.83</v>
      </c>
      <c r="W15" s="10">
        <v>54.89</v>
      </c>
      <c r="X15" s="10">
        <v>54.95</v>
      </c>
      <c r="Y15" s="10">
        <v>54.96</v>
      </c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</row>
    <row r="16" spans="1:147" x14ac:dyDescent="0.3">
      <c r="A16" s="9">
        <f>DATE(2017, 1, 19)</f>
        <v>42754</v>
      </c>
      <c r="B16" s="10">
        <v>54.16</v>
      </c>
      <c r="C16" s="10">
        <v>54.69</v>
      </c>
      <c r="D16" s="10">
        <v>55.21</v>
      </c>
      <c r="E16" s="10">
        <v>55.67</v>
      </c>
      <c r="F16" s="10">
        <v>55.99</v>
      </c>
      <c r="G16" s="10">
        <v>56.19</v>
      </c>
      <c r="H16" s="10">
        <v>56.29</v>
      </c>
      <c r="I16" s="10">
        <v>56.34</v>
      </c>
      <c r="J16" s="10">
        <v>56.36</v>
      </c>
      <c r="K16" s="10">
        <v>56.37</v>
      </c>
      <c r="L16" s="10">
        <v>56.37</v>
      </c>
      <c r="M16" s="10">
        <v>56.36</v>
      </c>
      <c r="N16" s="10">
        <v>51.37</v>
      </c>
      <c r="O16" s="10">
        <v>52.12</v>
      </c>
      <c r="P16" s="10">
        <v>52.84</v>
      </c>
      <c r="Q16" s="10">
        <v>53.5</v>
      </c>
      <c r="R16" s="10">
        <v>54.05</v>
      </c>
      <c r="S16" s="10">
        <v>54.45</v>
      </c>
      <c r="T16" s="10">
        <v>54.69</v>
      </c>
      <c r="U16" s="10">
        <v>54.85</v>
      </c>
      <c r="V16" s="10">
        <v>54.95</v>
      </c>
      <c r="W16" s="10">
        <v>55.02</v>
      </c>
      <c r="X16" s="10">
        <v>55.08</v>
      </c>
      <c r="Y16" s="10">
        <v>55.09</v>
      </c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</row>
    <row r="17" spans="1:147" x14ac:dyDescent="0.3">
      <c r="A17" s="9">
        <f>DATE(2017, 1, 20)</f>
        <v>42755</v>
      </c>
      <c r="B17" s="10">
        <v>55.49</v>
      </c>
      <c r="C17" s="10">
        <v>55.98</v>
      </c>
      <c r="D17" s="10">
        <v>56.5</v>
      </c>
      <c r="E17" s="10">
        <v>56.94</v>
      </c>
      <c r="F17" s="10">
        <v>57.25</v>
      </c>
      <c r="G17" s="10">
        <v>57.44</v>
      </c>
      <c r="H17" s="10">
        <v>57.53</v>
      </c>
      <c r="I17" s="10">
        <v>57.56</v>
      </c>
      <c r="J17" s="10">
        <v>57.57</v>
      </c>
      <c r="K17" s="10">
        <v>57.57</v>
      </c>
      <c r="L17" s="10">
        <v>57.55</v>
      </c>
      <c r="M17" s="10">
        <v>57.54</v>
      </c>
      <c r="N17" s="10">
        <v>52.42</v>
      </c>
      <c r="O17" s="10">
        <v>53.22</v>
      </c>
      <c r="P17" s="10">
        <v>53.96</v>
      </c>
      <c r="Q17" s="10">
        <v>54.62</v>
      </c>
      <c r="R17" s="10">
        <v>55.16</v>
      </c>
      <c r="S17" s="10">
        <v>55.54</v>
      </c>
      <c r="T17" s="10">
        <v>55.75</v>
      </c>
      <c r="U17" s="10">
        <v>55.89</v>
      </c>
      <c r="V17" s="10">
        <v>55.97</v>
      </c>
      <c r="W17" s="10">
        <v>56.04</v>
      </c>
      <c r="X17" s="10">
        <v>56.1</v>
      </c>
      <c r="Y17" s="10">
        <v>56.1</v>
      </c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</row>
    <row r="18" spans="1:147" x14ac:dyDescent="0.3">
      <c r="A18" s="9">
        <f>DATE(2017, 1, 23)</f>
        <v>42758</v>
      </c>
      <c r="B18" s="10">
        <v>55.23</v>
      </c>
      <c r="C18" s="10">
        <v>55.63</v>
      </c>
      <c r="D18" s="10">
        <v>56.11</v>
      </c>
      <c r="E18" s="10">
        <v>56.54</v>
      </c>
      <c r="F18" s="10">
        <v>56.84</v>
      </c>
      <c r="G18" s="10">
        <v>57.02</v>
      </c>
      <c r="H18" s="10">
        <v>57.11</v>
      </c>
      <c r="I18" s="10">
        <v>57.12</v>
      </c>
      <c r="J18" s="10">
        <v>57.12</v>
      </c>
      <c r="K18" s="10">
        <v>57.11</v>
      </c>
      <c r="L18" s="10">
        <v>57.09</v>
      </c>
      <c r="M18" s="10">
        <v>57.06</v>
      </c>
      <c r="N18" s="10">
        <v>52.75</v>
      </c>
      <c r="O18" s="10">
        <v>53.5</v>
      </c>
      <c r="P18" s="10">
        <v>54.17</v>
      </c>
      <c r="Q18" s="10">
        <v>54.71</v>
      </c>
      <c r="R18" s="10">
        <v>55.1</v>
      </c>
      <c r="S18" s="10">
        <v>55.33</v>
      </c>
      <c r="T18" s="10">
        <v>55.48</v>
      </c>
      <c r="U18" s="10">
        <v>55.58</v>
      </c>
      <c r="V18" s="10">
        <v>55.66</v>
      </c>
      <c r="W18" s="10">
        <v>55.73</v>
      </c>
      <c r="X18" s="10">
        <v>55.75</v>
      </c>
      <c r="Y18" s="10">
        <v>55.76</v>
      </c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</row>
    <row r="19" spans="1:147" x14ac:dyDescent="0.3">
      <c r="A19" s="9">
        <f>DATE(2017, 1, 24)</f>
        <v>42759</v>
      </c>
      <c r="B19" s="10">
        <v>55.44</v>
      </c>
      <c r="C19" s="10">
        <v>55.85</v>
      </c>
      <c r="D19" s="10">
        <v>56.32</v>
      </c>
      <c r="E19" s="10">
        <v>56.74</v>
      </c>
      <c r="F19" s="10">
        <v>57.03</v>
      </c>
      <c r="G19" s="10">
        <v>57.21</v>
      </c>
      <c r="H19" s="10">
        <v>57.29</v>
      </c>
      <c r="I19" s="10">
        <v>57.29</v>
      </c>
      <c r="J19" s="10">
        <v>57.28</v>
      </c>
      <c r="K19" s="10">
        <v>57.26</v>
      </c>
      <c r="L19" s="10">
        <v>57.23</v>
      </c>
      <c r="M19" s="10">
        <v>57.19</v>
      </c>
      <c r="N19" s="10">
        <v>53.18</v>
      </c>
      <c r="O19" s="10">
        <v>53.86</v>
      </c>
      <c r="P19" s="10">
        <v>54.46</v>
      </c>
      <c r="Q19" s="10">
        <v>54.96</v>
      </c>
      <c r="R19" s="10">
        <v>55.33</v>
      </c>
      <c r="S19" s="10">
        <v>55.54</v>
      </c>
      <c r="T19" s="10">
        <v>55.67</v>
      </c>
      <c r="U19" s="10">
        <v>55.76</v>
      </c>
      <c r="V19" s="10">
        <v>55.82</v>
      </c>
      <c r="W19" s="10">
        <v>55.88</v>
      </c>
      <c r="X19" s="10">
        <v>55.89</v>
      </c>
      <c r="Y19" s="10">
        <v>55.9</v>
      </c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</row>
    <row r="20" spans="1:147" x14ac:dyDescent="0.3">
      <c r="A20" s="9">
        <f>DATE(2017, 1, 25)</f>
        <v>42760</v>
      </c>
      <c r="B20" s="10">
        <v>55.08</v>
      </c>
      <c r="C20" s="10">
        <v>55.42</v>
      </c>
      <c r="D20" s="10">
        <v>55.83</v>
      </c>
      <c r="E20" s="10">
        <v>56.22</v>
      </c>
      <c r="F20" s="10">
        <v>56.49</v>
      </c>
      <c r="G20" s="10">
        <v>56.67</v>
      </c>
      <c r="H20" s="10">
        <v>56.74</v>
      </c>
      <c r="I20" s="10">
        <v>56.74</v>
      </c>
      <c r="J20" s="10">
        <v>56.72</v>
      </c>
      <c r="K20" s="10">
        <v>56.7</v>
      </c>
      <c r="L20" s="10">
        <v>56.67</v>
      </c>
      <c r="M20" s="10">
        <v>56.63</v>
      </c>
      <c r="N20" s="10">
        <v>52.75</v>
      </c>
      <c r="O20" s="10">
        <v>53.39</v>
      </c>
      <c r="P20" s="10">
        <v>53.95</v>
      </c>
      <c r="Q20" s="10">
        <v>54.43</v>
      </c>
      <c r="R20" s="10">
        <v>54.79</v>
      </c>
      <c r="S20" s="10">
        <v>55.02</v>
      </c>
      <c r="T20" s="10">
        <v>55.17</v>
      </c>
      <c r="U20" s="10">
        <v>55.27</v>
      </c>
      <c r="V20" s="10">
        <v>55.35</v>
      </c>
      <c r="W20" s="10">
        <v>55.42</v>
      </c>
      <c r="X20" s="10">
        <v>55.45</v>
      </c>
      <c r="Y20" s="10">
        <v>55.47</v>
      </c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</row>
    <row r="21" spans="1:147" x14ac:dyDescent="0.3">
      <c r="A21" s="9">
        <f>DATE(2017, 1, 26)</f>
        <v>42761</v>
      </c>
      <c r="B21" s="10">
        <v>56.24</v>
      </c>
      <c r="C21" s="10">
        <v>56.49</v>
      </c>
      <c r="D21" s="10">
        <v>56.87</v>
      </c>
      <c r="E21" s="10">
        <v>57.21</v>
      </c>
      <c r="F21" s="10">
        <v>57.43</v>
      </c>
      <c r="G21" s="10">
        <v>57.55</v>
      </c>
      <c r="H21" s="10">
        <v>57.58</v>
      </c>
      <c r="I21" s="10">
        <v>57.55</v>
      </c>
      <c r="J21" s="10">
        <v>57.51</v>
      </c>
      <c r="K21" s="10">
        <v>57.47</v>
      </c>
      <c r="L21" s="10">
        <v>57.41</v>
      </c>
      <c r="M21" s="10">
        <v>57.36</v>
      </c>
      <c r="N21" s="10">
        <v>53.78</v>
      </c>
      <c r="O21" s="10">
        <v>54.38</v>
      </c>
      <c r="P21" s="10">
        <v>54.9</v>
      </c>
      <c r="Q21" s="10">
        <v>55.34</v>
      </c>
      <c r="R21" s="10">
        <v>55.65</v>
      </c>
      <c r="S21" s="10">
        <v>55.85</v>
      </c>
      <c r="T21" s="10">
        <v>56</v>
      </c>
      <c r="U21" s="10">
        <v>56.09</v>
      </c>
      <c r="V21" s="10">
        <v>56.16</v>
      </c>
      <c r="W21" s="10">
        <v>56.22</v>
      </c>
      <c r="X21" s="10">
        <v>56.24</v>
      </c>
      <c r="Y21" s="10">
        <v>56.26</v>
      </c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</row>
    <row r="22" spans="1:147" x14ac:dyDescent="0.3">
      <c r="A22" s="9">
        <f>DATE(2017, 1, 27)</f>
        <v>42762</v>
      </c>
      <c r="B22" s="10">
        <v>55.52</v>
      </c>
      <c r="C22" s="10">
        <v>55.7</v>
      </c>
      <c r="D22" s="10">
        <v>56.05</v>
      </c>
      <c r="E22" s="10">
        <v>56.36</v>
      </c>
      <c r="F22" s="10">
        <v>56.55</v>
      </c>
      <c r="G22" s="10">
        <v>56.64</v>
      </c>
      <c r="H22" s="10">
        <v>56.65</v>
      </c>
      <c r="I22" s="10">
        <v>56.61</v>
      </c>
      <c r="J22" s="10">
        <v>56.57</v>
      </c>
      <c r="K22" s="10">
        <v>56.53</v>
      </c>
      <c r="L22" s="10">
        <v>56.47</v>
      </c>
      <c r="M22" s="10">
        <v>56.41</v>
      </c>
      <c r="N22" s="10">
        <v>53.17</v>
      </c>
      <c r="O22" s="10">
        <v>53.75</v>
      </c>
      <c r="P22" s="10">
        <v>54.25</v>
      </c>
      <c r="Q22" s="10">
        <v>54.67</v>
      </c>
      <c r="R22" s="10">
        <v>54.97</v>
      </c>
      <c r="S22" s="10">
        <v>55.15</v>
      </c>
      <c r="T22" s="10">
        <v>55.28</v>
      </c>
      <c r="U22" s="10">
        <v>55.36</v>
      </c>
      <c r="V22" s="10">
        <v>55.43</v>
      </c>
      <c r="W22" s="10">
        <v>55.49</v>
      </c>
      <c r="X22" s="10">
        <v>55.53</v>
      </c>
      <c r="Y22" s="10">
        <v>55.56</v>
      </c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</row>
    <row r="23" spans="1:147" x14ac:dyDescent="0.3">
      <c r="A23" s="9">
        <f>DATE(2017, 1, 30)</f>
        <v>42765</v>
      </c>
      <c r="B23" s="10">
        <v>55.23</v>
      </c>
      <c r="C23" s="10">
        <v>55.32</v>
      </c>
      <c r="D23" s="10">
        <v>55.69</v>
      </c>
      <c r="E23" s="10">
        <v>56.02</v>
      </c>
      <c r="F23" s="10">
        <v>56.25</v>
      </c>
      <c r="G23" s="10">
        <v>56.38</v>
      </c>
      <c r="H23" s="10">
        <v>56.41</v>
      </c>
      <c r="I23" s="10">
        <v>56.39</v>
      </c>
      <c r="J23" s="10">
        <v>56.35</v>
      </c>
      <c r="K23" s="10">
        <v>56.32</v>
      </c>
      <c r="L23" s="10">
        <v>56.27</v>
      </c>
      <c r="M23" s="10">
        <v>56.22</v>
      </c>
      <c r="N23" s="10">
        <v>52.63</v>
      </c>
      <c r="O23" s="10">
        <v>53.24</v>
      </c>
      <c r="P23" s="10">
        <v>53.78</v>
      </c>
      <c r="Q23" s="10">
        <v>54.24</v>
      </c>
      <c r="R23" s="10">
        <v>54.57</v>
      </c>
      <c r="S23" s="10">
        <v>54.78</v>
      </c>
      <c r="T23" s="10">
        <v>54.93</v>
      </c>
      <c r="U23" s="10">
        <v>55.04</v>
      </c>
      <c r="V23" s="10">
        <v>55.13</v>
      </c>
      <c r="W23" s="10">
        <v>55.21</v>
      </c>
      <c r="X23" s="10">
        <v>55.27</v>
      </c>
      <c r="Y23" s="10">
        <v>55.32</v>
      </c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</row>
    <row r="24" spans="1:147" x14ac:dyDescent="0.3">
      <c r="A24" s="9">
        <f>DATE(2017, 1, 31)</f>
        <v>42766</v>
      </c>
      <c r="B24" s="10">
        <v>55.7</v>
      </c>
      <c r="C24" s="10">
        <v>55.58</v>
      </c>
      <c r="D24" s="10">
        <v>55.91</v>
      </c>
      <c r="E24" s="10">
        <v>56.21</v>
      </c>
      <c r="F24" s="10">
        <v>56.42</v>
      </c>
      <c r="G24" s="10">
        <v>56.54</v>
      </c>
      <c r="H24" s="10">
        <v>56.58</v>
      </c>
      <c r="I24" s="10">
        <v>56.57</v>
      </c>
      <c r="J24" s="10">
        <v>56.54</v>
      </c>
      <c r="K24" s="10">
        <v>56.51</v>
      </c>
      <c r="L24" s="10">
        <v>56.48</v>
      </c>
      <c r="M24" s="10">
        <v>56.43</v>
      </c>
      <c r="N24" s="10">
        <v>52.81</v>
      </c>
      <c r="O24" s="10">
        <v>53.42</v>
      </c>
      <c r="P24" s="10">
        <v>53.94</v>
      </c>
      <c r="Q24" s="10">
        <v>54.38</v>
      </c>
      <c r="R24" s="10">
        <v>54.7</v>
      </c>
      <c r="S24" s="10">
        <v>54.9</v>
      </c>
      <c r="T24" s="10">
        <v>55.05</v>
      </c>
      <c r="U24" s="10">
        <v>55.16</v>
      </c>
      <c r="V24" s="10">
        <v>55.25</v>
      </c>
      <c r="W24" s="10">
        <v>55.33</v>
      </c>
      <c r="X24" s="10">
        <v>55.38</v>
      </c>
      <c r="Y24" s="10">
        <v>55.42</v>
      </c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</row>
    <row r="25" spans="1:147" x14ac:dyDescent="0.3">
      <c r="A25" s="9">
        <f>DATE(2017, 2, 1)</f>
        <v>42767</v>
      </c>
      <c r="B25" s="10">
        <v>56.8</v>
      </c>
      <c r="C25" s="10">
        <v>57.12</v>
      </c>
      <c r="D25" s="10">
        <v>57.4</v>
      </c>
      <c r="E25" s="10">
        <v>57.59</v>
      </c>
      <c r="F25" s="10">
        <v>57.69</v>
      </c>
      <c r="G25" s="10">
        <v>57.72</v>
      </c>
      <c r="H25" s="10">
        <v>57.69</v>
      </c>
      <c r="I25" s="10">
        <v>57.65</v>
      </c>
      <c r="J25" s="10">
        <v>57.61</v>
      </c>
      <c r="K25" s="10">
        <v>57.57</v>
      </c>
      <c r="L25" s="10">
        <v>57.52</v>
      </c>
      <c r="M25" s="10">
        <v>57.47</v>
      </c>
      <c r="N25" s="10">
        <v>53.88</v>
      </c>
      <c r="O25" s="10">
        <v>54.49</v>
      </c>
      <c r="P25" s="10">
        <v>54.99</v>
      </c>
      <c r="Q25" s="10">
        <v>55.41</v>
      </c>
      <c r="R25" s="10">
        <v>55.69</v>
      </c>
      <c r="S25" s="10">
        <v>55.85</v>
      </c>
      <c r="T25" s="10">
        <v>55.95</v>
      </c>
      <c r="U25" s="10">
        <v>56.02</v>
      </c>
      <c r="V25" s="10">
        <v>56.09</v>
      </c>
      <c r="W25" s="10">
        <v>56.15</v>
      </c>
      <c r="X25" s="10">
        <v>56.18</v>
      </c>
      <c r="Y25" s="10">
        <v>56.2</v>
      </c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</row>
    <row r="26" spans="1:147" x14ac:dyDescent="0.3">
      <c r="A26" s="9">
        <f>DATE(2017, 2, 2)</f>
        <v>42768</v>
      </c>
      <c r="B26" s="10">
        <v>56.56</v>
      </c>
      <c r="C26" s="10">
        <v>56.85</v>
      </c>
      <c r="D26" s="10">
        <v>57.11</v>
      </c>
      <c r="E26" s="10">
        <v>57.28</v>
      </c>
      <c r="F26" s="10">
        <v>57.37</v>
      </c>
      <c r="G26" s="10">
        <v>57.4</v>
      </c>
      <c r="H26" s="10">
        <v>57.38</v>
      </c>
      <c r="I26" s="10">
        <v>57.34</v>
      </c>
      <c r="J26" s="10">
        <v>57.31</v>
      </c>
      <c r="K26" s="10">
        <v>57.26</v>
      </c>
      <c r="L26" s="10">
        <v>57.2</v>
      </c>
      <c r="M26" s="10">
        <v>57.14</v>
      </c>
      <c r="N26" s="10">
        <v>53.54</v>
      </c>
      <c r="O26" s="10">
        <v>54.17</v>
      </c>
      <c r="P26" s="10">
        <v>54.67</v>
      </c>
      <c r="Q26" s="10">
        <v>55.09</v>
      </c>
      <c r="R26" s="10">
        <v>55.39</v>
      </c>
      <c r="S26" s="10">
        <v>55.57</v>
      </c>
      <c r="T26" s="10">
        <v>55.69</v>
      </c>
      <c r="U26" s="10">
        <v>55.77</v>
      </c>
      <c r="V26" s="10">
        <v>55.84</v>
      </c>
      <c r="W26" s="10">
        <v>55.9</v>
      </c>
      <c r="X26" s="10">
        <v>55.94</v>
      </c>
      <c r="Y26" s="10">
        <v>55.97</v>
      </c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</row>
    <row r="27" spans="1:147" x14ac:dyDescent="0.3">
      <c r="A27" s="9">
        <f>DATE(2017, 2, 3)</f>
        <v>42769</v>
      </c>
      <c r="B27" s="10">
        <v>56.81</v>
      </c>
      <c r="C27" s="10">
        <v>57.15</v>
      </c>
      <c r="D27" s="10">
        <v>57.44</v>
      </c>
      <c r="E27" s="10">
        <v>57.62</v>
      </c>
      <c r="F27" s="10">
        <v>57.71</v>
      </c>
      <c r="G27" s="10">
        <v>57.73</v>
      </c>
      <c r="H27" s="10">
        <v>57.71</v>
      </c>
      <c r="I27" s="10">
        <v>57.67</v>
      </c>
      <c r="J27" s="10">
        <v>57.64</v>
      </c>
      <c r="K27" s="10">
        <v>57.59</v>
      </c>
      <c r="L27" s="10">
        <v>57.52</v>
      </c>
      <c r="M27" s="10">
        <v>57.45</v>
      </c>
      <c r="N27" s="10">
        <v>53.83</v>
      </c>
      <c r="O27" s="10">
        <v>54.47</v>
      </c>
      <c r="P27" s="10">
        <v>54.99</v>
      </c>
      <c r="Q27" s="10">
        <v>55.41</v>
      </c>
      <c r="R27" s="10">
        <v>55.72</v>
      </c>
      <c r="S27" s="10">
        <v>55.91</v>
      </c>
      <c r="T27" s="10">
        <v>56.04</v>
      </c>
      <c r="U27" s="10">
        <v>56.13</v>
      </c>
      <c r="V27" s="10">
        <v>56.21</v>
      </c>
      <c r="W27" s="10">
        <v>56.27</v>
      </c>
      <c r="X27" s="10">
        <v>56.31</v>
      </c>
      <c r="Y27" s="10">
        <v>56.34</v>
      </c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</row>
    <row r="28" spans="1:147" x14ac:dyDescent="0.3">
      <c r="A28" s="9">
        <f>DATE(2017, 2, 6)</f>
        <v>42772</v>
      </c>
      <c r="B28" s="10">
        <v>55.72</v>
      </c>
      <c r="C28" s="10">
        <v>56.1</v>
      </c>
      <c r="D28" s="10">
        <v>56.44</v>
      </c>
      <c r="E28" s="10">
        <v>56.68</v>
      </c>
      <c r="F28" s="10">
        <v>56.81</v>
      </c>
      <c r="G28" s="10">
        <v>56.86</v>
      </c>
      <c r="H28" s="10">
        <v>56.85</v>
      </c>
      <c r="I28" s="10">
        <v>56.83</v>
      </c>
      <c r="J28" s="10">
        <v>56.81</v>
      </c>
      <c r="K28" s="10">
        <v>56.77</v>
      </c>
      <c r="L28" s="10">
        <v>56.71</v>
      </c>
      <c r="M28" s="10">
        <v>56.65</v>
      </c>
      <c r="N28" s="10">
        <v>53.01</v>
      </c>
      <c r="O28" s="10">
        <v>53.63</v>
      </c>
      <c r="P28" s="10">
        <v>54.16</v>
      </c>
      <c r="Q28" s="10">
        <v>54.6</v>
      </c>
      <c r="R28" s="10">
        <v>54.93</v>
      </c>
      <c r="S28" s="10">
        <v>55.14</v>
      </c>
      <c r="T28" s="10">
        <v>55.28</v>
      </c>
      <c r="U28" s="10">
        <v>55.38</v>
      </c>
      <c r="V28" s="10">
        <v>55.47</v>
      </c>
      <c r="W28" s="10">
        <v>55.55</v>
      </c>
      <c r="X28" s="10">
        <v>55.6</v>
      </c>
      <c r="Y28" s="10">
        <v>55.65</v>
      </c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</row>
    <row r="29" spans="1:147" x14ac:dyDescent="0.3">
      <c r="A29" s="9">
        <f>DATE(2017, 2, 7)</f>
        <v>42773</v>
      </c>
      <c r="B29" s="10">
        <v>55.05</v>
      </c>
      <c r="C29" s="10">
        <v>55.33</v>
      </c>
      <c r="D29" s="10">
        <v>55.62</v>
      </c>
      <c r="E29" s="10">
        <v>55.84</v>
      </c>
      <c r="F29" s="10">
        <v>55.98</v>
      </c>
      <c r="G29" s="10">
        <v>56.04</v>
      </c>
      <c r="H29" s="10">
        <v>56.05</v>
      </c>
      <c r="I29" s="10">
        <v>56.05</v>
      </c>
      <c r="J29" s="10">
        <v>56.04</v>
      </c>
      <c r="K29" s="10">
        <v>56.02</v>
      </c>
      <c r="L29" s="10">
        <v>55.98</v>
      </c>
      <c r="M29" s="10">
        <v>55.94</v>
      </c>
      <c r="N29" s="10">
        <v>52.17</v>
      </c>
      <c r="O29" s="10">
        <v>52.78</v>
      </c>
      <c r="P29" s="10">
        <v>53.3</v>
      </c>
      <c r="Q29" s="10">
        <v>53.72</v>
      </c>
      <c r="R29" s="10">
        <v>54.04</v>
      </c>
      <c r="S29" s="10">
        <v>54.24</v>
      </c>
      <c r="T29" s="10">
        <v>54.38</v>
      </c>
      <c r="U29" s="10">
        <v>54.48</v>
      </c>
      <c r="V29" s="10">
        <v>54.58</v>
      </c>
      <c r="W29" s="10">
        <v>54.66</v>
      </c>
      <c r="X29" s="10">
        <v>54.72</v>
      </c>
      <c r="Y29" s="10">
        <v>54.77</v>
      </c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</row>
    <row r="30" spans="1:147" x14ac:dyDescent="0.3">
      <c r="A30" s="9">
        <f>DATE(2017, 2, 8)</f>
        <v>42774</v>
      </c>
      <c r="B30" s="10">
        <v>55.12</v>
      </c>
      <c r="C30" s="10">
        <v>55.47</v>
      </c>
      <c r="D30" s="10">
        <v>55.79</v>
      </c>
      <c r="E30" s="10">
        <v>56.04</v>
      </c>
      <c r="F30" s="10">
        <v>56.19</v>
      </c>
      <c r="G30" s="10">
        <v>56.25</v>
      </c>
      <c r="H30" s="10">
        <v>56.26</v>
      </c>
      <c r="I30" s="10">
        <v>56.25</v>
      </c>
      <c r="J30" s="10">
        <v>56.24</v>
      </c>
      <c r="K30" s="10">
        <v>56.22</v>
      </c>
      <c r="L30" s="10">
        <v>56.19</v>
      </c>
      <c r="M30" s="10">
        <v>56.16</v>
      </c>
      <c r="N30" s="10">
        <v>52.34</v>
      </c>
      <c r="O30" s="10">
        <v>52.91</v>
      </c>
      <c r="P30" s="10">
        <v>53.37</v>
      </c>
      <c r="Q30" s="10">
        <v>53.76</v>
      </c>
      <c r="R30" s="10">
        <v>54.07</v>
      </c>
      <c r="S30" s="10">
        <v>54.27</v>
      </c>
      <c r="T30" s="10">
        <v>54.42</v>
      </c>
      <c r="U30" s="10">
        <v>54.54</v>
      </c>
      <c r="V30" s="10">
        <v>54.64</v>
      </c>
      <c r="W30" s="10">
        <v>54.72</v>
      </c>
      <c r="X30" s="10">
        <v>54.77</v>
      </c>
      <c r="Y30" s="10">
        <v>54.81</v>
      </c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</row>
    <row r="31" spans="1:147" x14ac:dyDescent="0.3">
      <c r="A31" s="9">
        <f>DATE(2017, 2, 9)</f>
        <v>42775</v>
      </c>
      <c r="B31" s="10">
        <v>55.63</v>
      </c>
      <c r="C31" s="10">
        <v>56</v>
      </c>
      <c r="D31" s="10">
        <v>56.33</v>
      </c>
      <c r="E31" s="10">
        <v>56.57</v>
      </c>
      <c r="F31" s="10">
        <v>56.72</v>
      </c>
      <c r="G31" s="10">
        <v>56.78</v>
      </c>
      <c r="H31" s="10">
        <v>56.78</v>
      </c>
      <c r="I31" s="10">
        <v>56.76</v>
      </c>
      <c r="J31" s="10">
        <v>56.74</v>
      </c>
      <c r="K31" s="10">
        <v>56.71</v>
      </c>
      <c r="L31" s="10">
        <v>56.67</v>
      </c>
      <c r="M31" s="10">
        <v>56.64</v>
      </c>
      <c r="N31" s="10">
        <v>53</v>
      </c>
      <c r="O31" s="10">
        <v>53.46</v>
      </c>
      <c r="P31" s="10">
        <v>53.88</v>
      </c>
      <c r="Q31" s="10">
        <v>54.25</v>
      </c>
      <c r="R31" s="10">
        <v>54.55</v>
      </c>
      <c r="S31" s="10">
        <v>54.76</v>
      </c>
      <c r="T31" s="10">
        <v>54.91</v>
      </c>
      <c r="U31" s="10">
        <v>55.03</v>
      </c>
      <c r="V31" s="10">
        <v>55.13</v>
      </c>
      <c r="W31" s="10">
        <v>55.21</v>
      </c>
      <c r="X31" s="10">
        <v>55.26</v>
      </c>
      <c r="Y31" s="10">
        <v>55.3</v>
      </c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</row>
    <row r="32" spans="1:147" x14ac:dyDescent="0.3">
      <c r="A32" s="9">
        <f>DATE(2017, 2, 10)</f>
        <v>42776</v>
      </c>
      <c r="B32" s="10">
        <v>56.7</v>
      </c>
      <c r="C32" s="10">
        <v>57.06</v>
      </c>
      <c r="D32" s="10">
        <v>57.36</v>
      </c>
      <c r="E32" s="10">
        <v>57.55</v>
      </c>
      <c r="F32" s="10">
        <v>57.66</v>
      </c>
      <c r="G32" s="10">
        <v>57.7</v>
      </c>
      <c r="H32" s="10">
        <v>57.67</v>
      </c>
      <c r="I32" s="10">
        <v>57.61</v>
      </c>
      <c r="J32" s="10">
        <v>57.56</v>
      </c>
      <c r="K32" s="10">
        <v>57.5</v>
      </c>
      <c r="L32" s="10">
        <v>57.44</v>
      </c>
      <c r="M32" s="10">
        <v>57.38</v>
      </c>
      <c r="N32" s="10">
        <v>53.86</v>
      </c>
      <c r="O32" s="10">
        <v>54.33</v>
      </c>
      <c r="P32" s="10">
        <v>54.78</v>
      </c>
      <c r="Q32" s="10">
        <v>55.18</v>
      </c>
      <c r="R32" s="10">
        <v>55.49</v>
      </c>
      <c r="S32" s="10">
        <v>55.69</v>
      </c>
      <c r="T32" s="10">
        <v>55.82</v>
      </c>
      <c r="U32" s="10">
        <v>55.91</v>
      </c>
      <c r="V32" s="10">
        <v>55.98</v>
      </c>
      <c r="W32" s="10">
        <v>56.02</v>
      </c>
      <c r="X32" s="10">
        <v>56.04</v>
      </c>
      <c r="Y32" s="10">
        <v>56.05</v>
      </c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</row>
    <row r="33" spans="1:147" x14ac:dyDescent="0.3">
      <c r="A33" s="9">
        <f>DATE(2017, 2, 13)</f>
        <v>42779</v>
      </c>
      <c r="B33" s="10">
        <v>55.59</v>
      </c>
      <c r="C33" s="10">
        <v>55.96</v>
      </c>
      <c r="D33" s="10">
        <v>56.25</v>
      </c>
      <c r="E33" s="10">
        <v>56.44</v>
      </c>
      <c r="F33" s="10">
        <v>56.56</v>
      </c>
      <c r="G33" s="10">
        <v>56.6</v>
      </c>
      <c r="H33" s="10">
        <v>56.58</v>
      </c>
      <c r="I33" s="10">
        <v>56.54</v>
      </c>
      <c r="J33" s="10">
        <v>56.49</v>
      </c>
      <c r="K33" s="10">
        <v>56.44</v>
      </c>
      <c r="L33" s="10">
        <v>56.39</v>
      </c>
      <c r="M33" s="10">
        <v>56.33</v>
      </c>
      <c r="N33" s="10">
        <v>52.93</v>
      </c>
      <c r="O33" s="10">
        <v>53.43</v>
      </c>
      <c r="P33" s="10">
        <v>53.86</v>
      </c>
      <c r="Q33" s="10">
        <v>54.25</v>
      </c>
      <c r="R33" s="10">
        <v>54.56</v>
      </c>
      <c r="S33" s="10">
        <v>54.76</v>
      </c>
      <c r="T33" s="10">
        <v>54.9</v>
      </c>
      <c r="U33" s="10">
        <v>55.01</v>
      </c>
      <c r="V33" s="10">
        <v>55.1</v>
      </c>
      <c r="W33" s="10">
        <v>55.17</v>
      </c>
      <c r="X33" s="10">
        <v>55.2</v>
      </c>
      <c r="Y33" s="10">
        <v>55.22</v>
      </c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</row>
    <row r="34" spans="1:147" x14ac:dyDescent="0.3">
      <c r="A34" s="9">
        <f>DATE(2017, 2, 14)</f>
        <v>42780</v>
      </c>
      <c r="B34" s="10">
        <v>55.97</v>
      </c>
      <c r="C34" s="10">
        <v>56.29</v>
      </c>
      <c r="D34" s="10">
        <v>56.55</v>
      </c>
      <c r="E34" s="10">
        <v>56.72</v>
      </c>
      <c r="F34" s="10">
        <v>56.83</v>
      </c>
      <c r="G34" s="10">
        <v>56.86</v>
      </c>
      <c r="H34" s="10">
        <v>56.83</v>
      </c>
      <c r="I34" s="10">
        <v>56.77</v>
      </c>
      <c r="J34" s="10">
        <v>56.71</v>
      </c>
      <c r="K34" s="10">
        <v>56.65</v>
      </c>
      <c r="L34" s="10">
        <v>56.6</v>
      </c>
      <c r="M34" s="10">
        <v>56.54</v>
      </c>
      <c r="N34" s="10">
        <v>53.2</v>
      </c>
      <c r="O34" s="10">
        <v>53.71</v>
      </c>
      <c r="P34" s="10">
        <v>54.12</v>
      </c>
      <c r="Q34" s="10">
        <v>54.48</v>
      </c>
      <c r="R34" s="10">
        <v>54.78</v>
      </c>
      <c r="S34" s="10">
        <v>54.98</v>
      </c>
      <c r="T34" s="10">
        <v>55.12</v>
      </c>
      <c r="U34" s="10">
        <v>55.22</v>
      </c>
      <c r="V34" s="10">
        <v>55.29</v>
      </c>
      <c r="W34" s="10">
        <v>55.35</v>
      </c>
      <c r="X34" s="10">
        <v>55.37</v>
      </c>
      <c r="Y34" s="10">
        <v>55.38</v>
      </c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</row>
    <row r="35" spans="1:147" x14ac:dyDescent="0.3">
      <c r="A35" s="9">
        <f>DATE(2017, 2, 15)</f>
        <v>42781</v>
      </c>
      <c r="B35" s="10">
        <v>55.75</v>
      </c>
      <c r="C35" s="10">
        <v>56.1</v>
      </c>
      <c r="D35" s="10">
        <v>56.35</v>
      </c>
      <c r="E35" s="10">
        <v>56.51</v>
      </c>
      <c r="F35" s="10">
        <v>56.62</v>
      </c>
      <c r="G35" s="10">
        <v>56.65</v>
      </c>
      <c r="H35" s="10">
        <v>56.62</v>
      </c>
      <c r="I35" s="10">
        <v>56.56</v>
      </c>
      <c r="J35" s="10">
        <v>56.5</v>
      </c>
      <c r="K35" s="10">
        <v>56.44</v>
      </c>
      <c r="L35" s="10">
        <v>56.39</v>
      </c>
      <c r="M35" s="10">
        <v>56.33</v>
      </c>
      <c r="N35" s="10">
        <v>53.11</v>
      </c>
      <c r="O35" s="10">
        <v>53.6</v>
      </c>
      <c r="P35" s="10">
        <v>53.99</v>
      </c>
      <c r="Q35" s="10">
        <v>54.31</v>
      </c>
      <c r="R35" s="10">
        <v>54.57</v>
      </c>
      <c r="S35" s="10">
        <v>54.75</v>
      </c>
      <c r="T35" s="10">
        <v>54.87</v>
      </c>
      <c r="U35" s="10">
        <v>54.95</v>
      </c>
      <c r="V35" s="10">
        <v>55.01</v>
      </c>
      <c r="W35" s="10">
        <v>55.06</v>
      </c>
      <c r="X35" s="10">
        <v>55.07</v>
      </c>
      <c r="Y35" s="10">
        <v>55.07</v>
      </c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</row>
    <row r="36" spans="1:147" x14ac:dyDescent="0.3">
      <c r="A36" s="9">
        <f>DATE(2017, 2, 16)</f>
        <v>42782</v>
      </c>
      <c r="B36" s="10">
        <v>55.65</v>
      </c>
      <c r="C36" s="10">
        <v>56</v>
      </c>
      <c r="D36" s="10">
        <v>56.25</v>
      </c>
      <c r="E36" s="10">
        <v>56.42</v>
      </c>
      <c r="F36" s="10">
        <v>56.54</v>
      </c>
      <c r="G36" s="10">
        <v>56.58</v>
      </c>
      <c r="H36" s="10">
        <v>56.56</v>
      </c>
      <c r="I36" s="10">
        <v>56.51</v>
      </c>
      <c r="J36" s="10">
        <v>56.46</v>
      </c>
      <c r="K36" s="10">
        <v>56.41</v>
      </c>
      <c r="L36" s="10">
        <v>56.36</v>
      </c>
      <c r="M36" s="10">
        <v>56.31</v>
      </c>
      <c r="N36" s="10">
        <v>53.36</v>
      </c>
      <c r="O36" s="10">
        <v>53.75</v>
      </c>
      <c r="P36" s="10">
        <v>54.07</v>
      </c>
      <c r="Q36" s="10">
        <v>54.33</v>
      </c>
      <c r="R36" s="10">
        <v>54.52</v>
      </c>
      <c r="S36" s="10">
        <v>54.64</v>
      </c>
      <c r="T36" s="10">
        <v>54.72</v>
      </c>
      <c r="U36" s="10">
        <v>54.77</v>
      </c>
      <c r="V36" s="10">
        <v>54.81</v>
      </c>
      <c r="W36" s="10">
        <v>54.84</v>
      </c>
      <c r="X36" s="10">
        <v>54.85</v>
      </c>
      <c r="Y36" s="10">
        <v>54.85</v>
      </c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</row>
    <row r="37" spans="1:147" x14ac:dyDescent="0.3">
      <c r="A37" s="9">
        <f>DATE(2017, 2, 17)</f>
        <v>42783</v>
      </c>
      <c r="B37" s="10">
        <v>55.81</v>
      </c>
      <c r="C37" s="10">
        <v>56.11</v>
      </c>
      <c r="D37" s="10">
        <v>56.33</v>
      </c>
      <c r="E37" s="10">
        <v>56.49</v>
      </c>
      <c r="F37" s="10">
        <v>56.6</v>
      </c>
      <c r="G37" s="10">
        <v>56.64</v>
      </c>
      <c r="H37" s="10">
        <v>56.62</v>
      </c>
      <c r="I37" s="10">
        <v>56.56</v>
      </c>
      <c r="J37" s="10">
        <v>56.5</v>
      </c>
      <c r="K37" s="10">
        <v>56.44</v>
      </c>
      <c r="L37" s="10">
        <v>56.39</v>
      </c>
      <c r="M37" s="10">
        <v>56.33</v>
      </c>
      <c r="N37" s="10">
        <v>53.4</v>
      </c>
      <c r="O37" s="10">
        <v>53.78</v>
      </c>
      <c r="P37" s="10">
        <v>54.12</v>
      </c>
      <c r="Q37" s="10">
        <v>54.37</v>
      </c>
      <c r="R37" s="10">
        <v>54.56</v>
      </c>
      <c r="S37" s="10">
        <v>54.68</v>
      </c>
      <c r="T37" s="10">
        <v>54.75</v>
      </c>
      <c r="U37" s="10">
        <v>54.79</v>
      </c>
      <c r="V37" s="10">
        <v>54.82</v>
      </c>
      <c r="W37" s="10">
        <v>54.84</v>
      </c>
      <c r="X37" s="10">
        <v>54.83</v>
      </c>
      <c r="Y37" s="10">
        <v>54.82</v>
      </c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</row>
    <row r="38" spans="1:147" x14ac:dyDescent="0.3">
      <c r="A38" s="9">
        <f>DATE(2017, 2, 20)</f>
        <v>42786</v>
      </c>
      <c r="B38" s="10">
        <v>56.18</v>
      </c>
      <c r="C38" s="10">
        <v>56.35</v>
      </c>
      <c r="D38" s="10">
        <v>56.53</v>
      </c>
      <c r="E38" s="10">
        <v>56.67</v>
      </c>
      <c r="F38" s="10">
        <v>56.76</v>
      </c>
      <c r="G38" s="10">
        <v>56.78</v>
      </c>
      <c r="H38" s="10">
        <v>56.74</v>
      </c>
      <c r="I38" s="10">
        <v>56.66</v>
      </c>
      <c r="J38" s="10">
        <v>56.59</v>
      </c>
      <c r="K38" s="10">
        <v>56.53</v>
      </c>
      <c r="L38" s="10">
        <v>56.47</v>
      </c>
      <c r="M38" s="10">
        <v>56.41</v>
      </c>
      <c r="N38" s="10">
        <v>53.4</v>
      </c>
      <c r="O38" s="10">
        <v>53.78</v>
      </c>
      <c r="P38" s="10">
        <v>54.12</v>
      </c>
      <c r="Q38" s="10">
        <v>54.37</v>
      </c>
      <c r="R38" s="10">
        <v>54.56</v>
      </c>
      <c r="S38" s="10">
        <v>54.68</v>
      </c>
      <c r="T38" s="10">
        <v>54.75</v>
      </c>
      <c r="U38" s="10">
        <v>54.79</v>
      </c>
      <c r="V38" s="10">
        <v>54.82</v>
      </c>
      <c r="W38" s="10">
        <v>54.84</v>
      </c>
      <c r="X38" s="10">
        <v>54.83</v>
      </c>
      <c r="Y38" s="10">
        <v>54.82</v>
      </c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</row>
    <row r="39" spans="1:147" x14ac:dyDescent="0.3">
      <c r="A39" s="9">
        <f>DATE(2017, 2, 21)</f>
        <v>42787</v>
      </c>
      <c r="B39" s="10">
        <v>56.66</v>
      </c>
      <c r="C39" s="10">
        <v>56.76</v>
      </c>
      <c r="D39" s="10">
        <v>56.82</v>
      </c>
      <c r="E39" s="10">
        <v>56.86</v>
      </c>
      <c r="F39" s="10">
        <v>56.89</v>
      </c>
      <c r="G39" s="10">
        <v>56.88</v>
      </c>
      <c r="H39" s="10">
        <v>56.82</v>
      </c>
      <c r="I39" s="10">
        <v>56.71</v>
      </c>
      <c r="J39" s="10">
        <v>56.61</v>
      </c>
      <c r="K39" s="10">
        <v>56.52</v>
      </c>
      <c r="L39" s="10">
        <v>56.43</v>
      </c>
      <c r="M39" s="10">
        <v>56.34</v>
      </c>
      <c r="N39" s="10">
        <v>54.06</v>
      </c>
      <c r="O39" s="10">
        <v>54.33</v>
      </c>
      <c r="P39" s="10">
        <v>54.61</v>
      </c>
      <c r="Q39" s="10">
        <v>54.81</v>
      </c>
      <c r="R39" s="10">
        <v>54.96</v>
      </c>
      <c r="S39" s="10">
        <v>55.04</v>
      </c>
      <c r="T39" s="10">
        <v>55.07</v>
      </c>
      <c r="U39" s="10">
        <v>55.06</v>
      </c>
      <c r="V39" s="10">
        <v>55.04</v>
      </c>
      <c r="W39" s="10">
        <v>55.01</v>
      </c>
      <c r="X39" s="10">
        <v>54.96</v>
      </c>
      <c r="Y39" s="10">
        <v>54.91</v>
      </c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</row>
    <row r="40" spans="1:147" x14ac:dyDescent="0.3">
      <c r="A40" s="9">
        <f>DATE(2017, 2, 22)</f>
        <v>42788</v>
      </c>
      <c r="B40" s="10">
        <v>55.84</v>
      </c>
      <c r="C40" s="10">
        <v>56.04</v>
      </c>
      <c r="D40" s="10">
        <v>56.18</v>
      </c>
      <c r="E40" s="10">
        <v>56.28</v>
      </c>
      <c r="F40" s="10">
        <v>56.35</v>
      </c>
      <c r="G40" s="10">
        <v>56.36</v>
      </c>
      <c r="H40" s="10">
        <v>56.31</v>
      </c>
      <c r="I40" s="10">
        <v>56.2</v>
      </c>
      <c r="J40" s="10">
        <v>56.09</v>
      </c>
      <c r="K40" s="10">
        <v>56</v>
      </c>
      <c r="L40" s="10">
        <v>55.91</v>
      </c>
      <c r="M40" s="10">
        <v>55.82</v>
      </c>
      <c r="N40" s="10">
        <v>53.59</v>
      </c>
      <c r="O40" s="10">
        <v>53.93</v>
      </c>
      <c r="P40" s="10">
        <v>54.17</v>
      </c>
      <c r="Q40" s="10">
        <v>54.37</v>
      </c>
      <c r="R40" s="10">
        <v>54.49</v>
      </c>
      <c r="S40" s="10">
        <v>54.54</v>
      </c>
      <c r="T40" s="10">
        <v>54.56</v>
      </c>
      <c r="U40" s="10">
        <v>54.56</v>
      </c>
      <c r="V40" s="10">
        <v>54.55</v>
      </c>
      <c r="W40" s="10">
        <v>54.51</v>
      </c>
      <c r="X40" s="10">
        <v>54.45</v>
      </c>
      <c r="Y40" s="10">
        <v>54.39</v>
      </c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</row>
    <row r="41" spans="1:147" x14ac:dyDescent="0.3">
      <c r="A41" s="9">
        <f>DATE(2017, 2, 23)</f>
        <v>42789</v>
      </c>
      <c r="B41" s="10">
        <v>56.58</v>
      </c>
      <c r="C41" s="10">
        <v>56.82</v>
      </c>
      <c r="D41" s="10">
        <v>56.98</v>
      </c>
      <c r="E41" s="10">
        <v>57.07</v>
      </c>
      <c r="F41" s="10">
        <v>57.13</v>
      </c>
      <c r="G41" s="10">
        <v>57.13</v>
      </c>
      <c r="H41" s="10">
        <v>57.06</v>
      </c>
      <c r="I41" s="10">
        <v>56.94</v>
      </c>
      <c r="J41" s="10">
        <v>56.82</v>
      </c>
      <c r="K41" s="10">
        <v>56.71</v>
      </c>
      <c r="L41" s="10">
        <v>56.62</v>
      </c>
      <c r="M41" s="10">
        <v>56.51</v>
      </c>
      <c r="N41" s="10">
        <v>54.45</v>
      </c>
      <c r="O41" s="10">
        <v>54.76</v>
      </c>
      <c r="P41" s="10">
        <v>54.96</v>
      </c>
      <c r="Q41" s="10">
        <v>55.13</v>
      </c>
      <c r="R41" s="10">
        <v>55.23</v>
      </c>
      <c r="S41" s="10">
        <v>55.27</v>
      </c>
      <c r="T41" s="10">
        <v>55.27</v>
      </c>
      <c r="U41" s="10">
        <v>55.25</v>
      </c>
      <c r="V41" s="10">
        <v>55.22</v>
      </c>
      <c r="W41" s="10">
        <v>55.16</v>
      </c>
      <c r="X41" s="10">
        <v>55.09</v>
      </c>
      <c r="Y41" s="10">
        <v>55.01</v>
      </c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</row>
    <row r="42" spans="1:147" x14ac:dyDescent="0.3">
      <c r="A42" s="9">
        <f>DATE(2017, 2, 24)</f>
        <v>42790</v>
      </c>
      <c r="B42" s="10">
        <v>55.99</v>
      </c>
      <c r="C42" s="10">
        <v>56.31</v>
      </c>
      <c r="D42" s="10">
        <v>56.55</v>
      </c>
      <c r="E42" s="10">
        <v>56.69</v>
      </c>
      <c r="F42" s="10">
        <v>56.77</v>
      </c>
      <c r="G42" s="10">
        <v>56.78</v>
      </c>
      <c r="H42" s="10">
        <v>56.73</v>
      </c>
      <c r="I42" s="10">
        <v>56.64</v>
      </c>
      <c r="J42" s="10">
        <v>56.54</v>
      </c>
      <c r="K42" s="10">
        <v>56.45</v>
      </c>
      <c r="L42" s="10">
        <v>56.36</v>
      </c>
      <c r="M42" s="10">
        <v>56.26</v>
      </c>
      <c r="N42" s="10">
        <v>53.99</v>
      </c>
      <c r="O42" s="10">
        <v>54.32</v>
      </c>
      <c r="P42" s="10">
        <v>54.56</v>
      </c>
      <c r="Q42" s="10">
        <v>54.76</v>
      </c>
      <c r="R42" s="10">
        <v>54.89</v>
      </c>
      <c r="S42" s="10">
        <v>54.94</v>
      </c>
      <c r="T42" s="10">
        <v>54.94</v>
      </c>
      <c r="U42" s="10">
        <v>54.92</v>
      </c>
      <c r="V42" s="10">
        <v>54.89</v>
      </c>
      <c r="W42" s="10">
        <v>54.83</v>
      </c>
      <c r="X42" s="10">
        <v>54.76</v>
      </c>
      <c r="Y42" s="10">
        <v>54.68</v>
      </c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</row>
    <row r="43" spans="1:147" x14ac:dyDescent="0.3">
      <c r="A43" s="9">
        <f>DATE(2017, 2, 27)</f>
        <v>42793</v>
      </c>
      <c r="B43" s="10">
        <v>55.93</v>
      </c>
      <c r="C43" s="10">
        <v>56.42</v>
      </c>
      <c r="D43" s="10">
        <v>56.72</v>
      </c>
      <c r="E43" s="10">
        <v>56.87</v>
      </c>
      <c r="F43" s="10">
        <v>56.94</v>
      </c>
      <c r="G43" s="10">
        <v>56.93</v>
      </c>
      <c r="H43" s="10">
        <v>56.86</v>
      </c>
      <c r="I43" s="10">
        <v>56.75</v>
      </c>
      <c r="J43" s="10">
        <v>56.64</v>
      </c>
      <c r="K43" s="10">
        <v>56.55</v>
      </c>
      <c r="L43" s="10">
        <v>56.46</v>
      </c>
      <c r="M43" s="10">
        <v>56.37</v>
      </c>
      <c r="N43" s="10">
        <v>54.05</v>
      </c>
      <c r="O43" s="10">
        <v>54.42</v>
      </c>
      <c r="P43" s="10">
        <v>54.69</v>
      </c>
      <c r="Q43" s="10">
        <v>54.9</v>
      </c>
      <c r="R43" s="10">
        <v>55.04</v>
      </c>
      <c r="S43" s="10">
        <v>55.09</v>
      </c>
      <c r="T43" s="10">
        <v>55.1</v>
      </c>
      <c r="U43" s="10">
        <v>55.09</v>
      </c>
      <c r="V43" s="10">
        <v>55.06</v>
      </c>
      <c r="W43" s="10">
        <v>55.01</v>
      </c>
      <c r="X43" s="10">
        <v>54.95</v>
      </c>
      <c r="Y43" s="10">
        <v>54.88</v>
      </c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</row>
    <row r="44" spans="1:147" x14ac:dyDescent="0.3">
      <c r="A44" s="9">
        <f>DATE(2017, 2, 28)</f>
        <v>42794</v>
      </c>
      <c r="B44" s="10">
        <v>55.59</v>
      </c>
      <c r="C44" s="10">
        <v>56.51</v>
      </c>
      <c r="D44" s="10">
        <v>56.84</v>
      </c>
      <c r="E44" s="10">
        <v>57.01</v>
      </c>
      <c r="F44" s="10">
        <v>57.1</v>
      </c>
      <c r="G44" s="10">
        <v>57.11</v>
      </c>
      <c r="H44" s="10">
        <v>57.05</v>
      </c>
      <c r="I44" s="10">
        <v>56.96</v>
      </c>
      <c r="J44" s="10">
        <v>56.86</v>
      </c>
      <c r="K44" s="10">
        <v>56.79</v>
      </c>
      <c r="L44" s="10">
        <v>56.72</v>
      </c>
      <c r="M44" s="10">
        <v>56.65</v>
      </c>
      <c r="N44" s="10">
        <v>54.01</v>
      </c>
      <c r="O44" s="10">
        <v>54.43</v>
      </c>
      <c r="P44" s="10">
        <v>54.75</v>
      </c>
      <c r="Q44" s="10">
        <v>55</v>
      </c>
      <c r="R44" s="10">
        <v>55.17</v>
      </c>
      <c r="S44" s="10">
        <v>55.25</v>
      </c>
      <c r="T44" s="10">
        <v>55.28</v>
      </c>
      <c r="U44" s="10">
        <v>55.29</v>
      </c>
      <c r="V44" s="10">
        <v>55.28</v>
      </c>
      <c r="W44" s="10">
        <v>55.25</v>
      </c>
      <c r="X44" s="10">
        <v>55.21</v>
      </c>
      <c r="Y44" s="10">
        <v>55.17</v>
      </c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</row>
    <row r="45" spans="1:147" x14ac:dyDescent="0.3">
      <c r="A45" s="9">
        <f>DATE(2017, 3, 1)</f>
        <v>42795</v>
      </c>
      <c r="B45" s="10">
        <v>56.36</v>
      </c>
      <c r="C45" s="10">
        <v>56.66</v>
      </c>
      <c r="D45" s="10">
        <v>56.83</v>
      </c>
      <c r="E45" s="10">
        <v>56.93</v>
      </c>
      <c r="F45" s="10">
        <v>56.94</v>
      </c>
      <c r="G45" s="10">
        <v>56.9</v>
      </c>
      <c r="H45" s="10">
        <v>56.81</v>
      </c>
      <c r="I45" s="10">
        <v>56.71</v>
      </c>
      <c r="J45" s="10">
        <v>56.63</v>
      </c>
      <c r="K45" s="10">
        <v>56.55</v>
      </c>
      <c r="L45" s="10">
        <v>56.48</v>
      </c>
      <c r="M45" s="10">
        <v>56.42</v>
      </c>
      <c r="N45" s="10">
        <v>53.83</v>
      </c>
      <c r="O45" s="10">
        <v>54.28</v>
      </c>
      <c r="P45" s="10">
        <v>54.61</v>
      </c>
      <c r="Q45" s="10">
        <v>54.87</v>
      </c>
      <c r="R45" s="10">
        <v>55.05</v>
      </c>
      <c r="S45" s="10">
        <v>55.14</v>
      </c>
      <c r="T45" s="10">
        <v>55.17</v>
      </c>
      <c r="U45" s="10">
        <v>55.17</v>
      </c>
      <c r="V45" s="10">
        <v>55.15</v>
      </c>
      <c r="W45" s="10">
        <v>55.11</v>
      </c>
      <c r="X45" s="10">
        <v>55.07</v>
      </c>
      <c r="Y45" s="10">
        <v>55.03</v>
      </c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</row>
    <row r="46" spans="1:147" x14ac:dyDescent="0.3">
      <c r="A46" s="9">
        <f>DATE(2017, 3, 2)</f>
        <v>42796</v>
      </c>
      <c r="B46" s="10">
        <v>55.08</v>
      </c>
      <c r="C46" s="10">
        <v>55.37</v>
      </c>
      <c r="D46" s="10">
        <v>55.56</v>
      </c>
      <c r="E46" s="10">
        <v>55.71</v>
      </c>
      <c r="F46" s="10">
        <v>55.78</v>
      </c>
      <c r="G46" s="10">
        <v>55.8</v>
      </c>
      <c r="H46" s="10">
        <v>55.79</v>
      </c>
      <c r="I46" s="10">
        <v>55.77</v>
      </c>
      <c r="J46" s="10">
        <v>55.76</v>
      </c>
      <c r="K46" s="10">
        <v>55.73</v>
      </c>
      <c r="L46" s="10">
        <v>55.71</v>
      </c>
      <c r="M46" s="10">
        <v>55.69</v>
      </c>
      <c r="N46" s="10">
        <v>52.61</v>
      </c>
      <c r="O46" s="10">
        <v>53.07</v>
      </c>
      <c r="P46" s="10">
        <v>53.41</v>
      </c>
      <c r="Q46" s="10">
        <v>53.69</v>
      </c>
      <c r="R46" s="10">
        <v>53.9</v>
      </c>
      <c r="S46" s="10">
        <v>54.01</v>
      </c>
      <c r="T46" s="10">
        <v>54.07</v>
      </c>
      <c r="U46" s="10">
        <v>54.11</v>
      </c>
      <c r="V46" s="10">
        <v>54.14</v>
      </c>
      <c r="W46" s="10">
        <v>54.14</v>
      </c>
      <c r="X46" s="10">
        <v>54.13</v>
      </c>
      <c r="Y46" s="10">
        <v>54.12</v>
      </c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</row>
    <row r="47" spans="1:147" x14ac:dyDescent="0.3">
      <c r="A47" s="9">
        <f>DATE(2017, 3, 3)</f>
        <v>42797</v>
      </c>
      <c r="B47" s="10">
        <v>55.9</v>
      </c>
      <c r="C47" s="10">
        <v>56.16</v>
      </c>
      <c r="D47" s="10">
        <v>56.36</v>
      </c>
      <c r="E47" s="10">
        <v>56.49</v>
      </c>
      <c r="F47" s="10">
        <v>56.54</v>
      </c>
      <c r="G47" s="10">
        <v>56.53</v>
      </c>
      <c r="H47" s="10">
        <v>56.49</v>
      </c>
      <c r="I47" s="10">
        <v>56.44</v>
      </c>
      <c r="J47" s="10">
        <v>56.4</v>
      </c>
      <c r="K47" s="10">
        <v>56.35</v>
      </c>
      <c r="L47" s="10">
        <v>56.3</v>
      </c>
      <c r="M47" s="10">
        <v>56.25</v>
      </c>
      <c r="N47" s="10">
        <v>53.33</v>
      </c>
      <c r="O47" s="10">
        <v>53.78</v>
      </c>
      <c r="P47" s="10">
        <v>54.12</v>
      </c>
      <c r="Q47" s="10">
        <v>54.39</v>
      </c>
      <c r="R47" s="10">
        <v>54.59</v>
      </c>
      <c r="S47" s="10">
        <v>54.7</v>
      </c>
      <c r="T47" s="10">
        <v>54.76</v>
      </c>
      <c r="U47" s="10">
        <v>54.79</v>
      </c>
      <c r="V47" s="10">
        <v>54.8</v>
      </c>
      <c r="W47" s="10">
        <v>54.78</v>
      </c>
      <c r="X47" s="10">
        <v>54.75</v>
      </c>
      <c r="Y47" s="10">
        <v>54.73</v>
      </c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</row>
    <row r="48" spans="1:147" x14ac:dyDescent="0.3">
      <c r="A48" s="9">
        <f>DATE(2017, 3, 6)</f>
        <v>42800</v>
      </c>
      <c r="B48" s="10">
        <v>56.01</v>
      </c>
      <c r="C48" s="10">
        <v>56.26</v>
      </c>
      <c r="D48" s="10">
        <v>56.45</v>
      </c>
      <c r="E48" s="10">
        <v>56.6</v>
      </c>
      <c r="F48" s="10">
        <v>56.67</v>
      </c>
      <c r="G48" s="10">
        <v>56.67</v>
      </c>
      <c r="H48" s="10">
        <v>56.64</v>
      </c>
      <c r="I48" s="10">
        <v>56.59</v>
      </c>
      <c r="J48" s="10">
        <v>56.54</v>
      </c>
      <c r="K48" s="10">
        <v>56.48</v>
      </c>
      <c r="L48" s="10">
        <v>56.43</v>
      </c>
      <c r="M48" s="10">
        <v>56.37</v>
      </c>
      <c r="N48" s="10">
        <v>53.2</v>
      </c>
      <c r="O48" s="10">
        <v>53.71</v>
      </c>
      <c r="P48" s="10">
        <v>54.11</v>
      </c>
      <c r="Q48" s="10">
        <v>54.42</v>
      </c>
      <c r="R48" s="10">
        <v>54.64</v>
      </c>
      <c r="S48" s="10">
        <v>54.76</v>
      </c>
      <c r="T48" s="10">
        <v>54.83</v>
      </c>
      <c r="U48" s="10">
        <v>54.86</v>
      </c>
      <c r="V48" s="10">
        <v>54.88</v>
      </c>
      <c r="W48" s="10">
        <v>54.87</v>
      </c>
      <c r="X48" s="10">
        <v>54.85</v>
      </c>
      <c r="Y48" s="10">
        <v>54.83</v>
      </c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</row>
    <row r="49" spans="1:147" x14ac:dyDescent="0.3">
      <c r="A49" s="9">
        <f>DATE(2017, 3, 7)</f>
        <v>42801</v>
      </c>
      <c r="B49" s="10">
        <v>55.92</v>
      </c>
      <c r="C49" s="10">
        <v>56.13</v>
      </c>
      <c r="D49" s="10">
        <v>56.3</v>
      </c>
      <c r="E49" s="10">
        <v>56.44</v>
      </c>
      <c r="F49" s="10">
        <v>56.51</v>
      </c>
      <c r="G49" s="10">
        <v>56.51</v>
      </c>
      <c r="H49" s="10">
        <v>56.48</v>
      </c>
      <c r="I49" s="10">
        <v>56.46</v>
      </c>
      <c r="J49" s="10">
        <v>56.43</v>
      </c>
      <c r="K49" s="10">
        <v>56.38</v>
      </c>
      <c r="L49" s="10">
        <v>56.32</v>
      </c>
      <c r="M49" s="10">
        <v>56.26</v>
      </c>
      <c r="N49" s="10">
        <v>53.14</v>
      </c>
      <c r="O49" s="10">
        <v>53.64</v>
      </c>
      <c r="P49" s="10">
        <v>54.02</v>
      </c>
      <c r="Q49" s="10">
        <v>54.32</v>
      </c>
      <c r="R49" s="10">
        <v>54.53</v>
      </c>
      <c r="S49" s="10">
        <v>54.65</v>
      </c>
      <c r="T49" s="10">
        <v>54.72</v>
      </c>
      <c r="U49" s="10">
        <v>54.76</v>
      </c>
      <c r="V49" s="10">
        <v>54.78</v>
      </c>
      <c r="W49" s="10">
        <v>54.76</v>
      </c>
      <c r="X49" s="10">
        <v>54.73</v>
      </c>
      <c r="Y49" s="10">
        <v>54.7</v>
      </c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</row>
    <row r="50" spans="1:147" x14ac:dyDescent="0.3">
      <c r="A50" s="9">
        <f>DATE(2017, 3, 8)</f>
        <v>42802</v>
      </c>
      <c r="B50" s="10">
        <v>53.11</v>
      </c>
      <c r="C50" s="10">
        <v>53.37</v>
      </c>
      <c r="D50" s="10">
        <v>53.57</v>
      </c>
      <c r="E50" s="10">
        <v>53.74</v>
      </c>
      <c r="F50" s="10">
        <v>53.85</v>
      </c>
      <c r="G50" s="10">
        <v>53.9</v>
      </c>
      <c r="H50" s="10">
        <v>53.93</v>
      </c>
      <c r="I50" s="10">
        <v>53.97</v>
      </c>
      <c r="J50" s="10">
        <v>54</v>
      </c>
      <c r="K50" s="10">
        <v>53.99</v>
      </c>
      <c r="L50" s="10">
        <v>53.98</v>
      </c>
      <c r="M50" s="10">
        <v>53.96</v>
      </c>
      <c r="N50" s="10">
        <v>50.28</v>
      </c>
      <c r="O50" s="10">
        <v>50.83</v>
      </c>
      <c r="P50" s="10">
        <v>51.24</v>
      </c>
      <c r="Q50" s="10">
        <v>51.57</v>
      </c>
      <c r="R50" s="10">
        <v>51.81</v>
      </c>
      <c r="S50" s="10">
        <v>51.96</v>
      </c>
      <c r="T50" s="10">
        <v>52.06</v>
      </c>
      <c r="U50" s="10">
        <v>52.13</v>
      </c>
      <c r="V50" s="10">
        <v>52.19</v>
      </c>
      <c r="W50" s="10">
        <v>52.21</v>
      </c>
      <c r="X50" s="10">
        <v>52.22</v>
      </c>
      <c r="Y50" s="10">
        <v>52.22</v>
      </c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</row>
    <row r="51" spans="1:147" x14ac:dyDescent="0.3">
      <c r="A51" s="9">
        <f>DATE(2017, 3, 9)</f>
        <v>42803</v>
      </c>
      <c r="B51" s="10">
        <v>52.19</v>
      </c>
      <c r="C51" s="10">
        <v>52.46</v>
      </c>
      <c r="D51" s="10">
        <v>52.68</v>
      </c>
      <c r="E51" s="10">
        <v>52.85</v>
      </c>
      <c r="F51" s="10">
        <v>52.96</v>
      </c>
      <c r="G51" s="10">
        <v>53.02</v>
      </c>
      <c r="H51" s="10">
        <v>53.05</v>
      </c>
      <c r="I51" s="10">
        <v>53.1</v>
      </c>
      <c r="J51" s="10">
        <v>53.14</v>
      </c>
      <c r="K51" s="10">
        <v>53.15</v>
      </c>
      <c r="L51" s="10">
        <v>53.15</v>
      </c>
      <c r="M51" s="10">
        <v>53.13</v>
      </c>
      <c r="N51" s="10">
        <v>49.28</v>
      </c>
      <c r="O51" s="10">
        <v>49.83</v>
      </c>
      <c r="P51" s="10">
        <v>50.25</v>
      </c>
      <c r="Q51" s="10">
        <v>50.59</v>
      </c>
      <c r="R51" s="10">
        <v>50.84</v>
      </c>
      <c r="S51" s="10">
        <v>51.01</v>
      </c>
      <c r="T51" s="10">
        <v>51.13</v>
      </c>
      <c r="U51" s="10">
        <v>51.22</v>
      </c>
      <c r="V51" s="10">
        <v>51.29</v>
      </c>
      <c r="W51" s="10">
        <v>51.33</v>
      </c>
      <c r="X51" s="10">
        <v>51.35</v>
      </c>
      <c r="Y51" s="10">
        <v>51.36</v>
      </c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</row>
    <row r="52" spans="1:147" x14ac:dyDescent="0.3">
      <c r="A52" s="9">
        <f>DATE(2017, 3, 10)</f>
        <v>42804</v>
      </c>
      <c r="B52" s="10">
        <v>51.37</v>
      </c>
      <c r="C52" s="10">
        <v>51.63</v>
      </c>
      <c r="D52" s="10">
        <v>51.83</v>
      </c>
      <c r="E52" s="10">
        <v>51.98</v>
      </c>
      <c r="F52" s="10">
        <v>52.08</v>
      </c>
      <c r="G52" s="10">
        <v>52.14</v>
      </c>
      <c r="H52" s="10">
        <v>52.18</v>
      </c>
      <c r="I52" s="10">
        <v>52.23</v>
      </c>
      <c r="J52" s="10">
        <v>52.28</v>
      </c>
      <c r="K52" s="10">
        <v>52.29</v>
      </c>
      <c r="L52" s="10">
        <v>52.29</v>
      </c>
      <c r="M52" s="10">
        <v>52.27</v>
      </c>
      <c r="N52" s="10">
        <v>48.49</v>
      </c>
      <c r="O52" s="10">
        <v>49.03</v>
      </c>
      <c r="P52" s="10">
        <v>49.45</v>
      </c>
      <c r="Q52" s="10">
        <v>49.77</v>
      </c>
      <c r="R52" s="10">
        <v>50.01</v>
      </c>
      <c r="S52" s="10">
        <v>50.18</v>
      </c>
      <c r="T52" s="10">
        <v>50.3</v>
      </c>
      <c r="U52" s="10">
        <v>50.39</v>
      </c>
      <c r="V52" s="10">
        <v>50.45</v>
      </c>
      <c r="W52" s="10">
        <v>50.49</v>
      </c>
      <c r="X52" s="10">
        <v>50.5</v>
      </c>
      <c r="Y52" s="10">
        <v>50.51</v>
      </c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</row>
    <row r="53" spans="1:147" x14ac:dyDescent="0.3">
      <c r="A53" s="9">
        <f>DATE(2017, 3, 13)</f>
        <v>42807</v>
      </c>
      <c r="B53" s="10">
        <v>51.35</v>
      </c>
      <c r="C53" s="10">
        <v>51.59</v>
      </c>
      <c r="D53" s="10">
        <v>51.79</v>
      </c>
      <c r="E53" s="10">
        <v>51.96</v>
      </c>
      <c r="F53" s="10">
        <v>52.08</v>
      </c>
      <c r="G53" s="10">
        <v>52.15</v>
      </c>
      <c r="H53" s="10">
        <v>52.19</v>
      </c>
      <c r="I53" s="10">
        <v>52.24</v>
      </c>
      <c r="J53" s="10">
        <v>52.3</v>
      </c>
      <c r="K53" s="10">
        <v>52.32</v>
      </c>
      <c r="L53" s="10">
        <v>52.33</v>
      </c>
      <c r="M53" s="10">
        <v>52.33</v>
      </c>
      <c r="N53" s="10">
        <v>48.4</v>
      </c>
      <c r="O53" s="10">
        <v>48.94</v>
      </c>
      <c r="P53" s="10">
        <v>49.37</v>
      </c>
      <c r="Q53" s="10">
        <v>49.7</v>
      </c>
      <c r="R53" s="10">
        <v>49.95</v>
      </c>
      <c r="S53" s="10">
        <v>50.13</v>
      </c>
      <c r="T53" s="10">
        <v>50.27</v>
      </c>
      <c r="U53" s="10">
        <v>50.38</v>
      </c>
      <c r="V53" s="10">
        <v>50.47</v>
      </c>
      <c r="W53" s="10">
        <v>50.53</v>
      </c>
      <c r="X53" s="10">
        <v>50.57</v>
      </c>
      <c r="Y53" s="10">
        <v>50.6</v>
      </c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</row>
    <row r="54" spans="1:147" x14ac:dyDescent="0.3">
      <c r="A54" s="9">
        <f>DATE(2017, 3, 14)</f>
        <v>42808</v>
      </c>
      <c r="B54" s="10">
        <v>50.92</v>
      </c>
      <c r="C54" s="10">
        <v>51.11</v>
      </c>
      <c r="D54" s="10">
        <v>51.31</v>
      </c>
      <c r="E54" s="10">
        <v>51.47</v>
      </c>
      <c r="F54" s="10">
        <v>51.6</v>
      </c>
      <c r="G54" s="10">
        <v>51.68</v>
      </c>
      <c r="H54" s="10">
        <v>51.73</v>
      </c>
      <c r="I54" s="10">
        <v>51.78</v>
      </c>
      <c r="J54" s="10">
        <v>51.84</v>
      </c>
      <c r="K54" s="10">
        <v>51.87</v>
      </c>
      <c r="L54" s="10">
        <v>51.89</v>
      </c>
      <c r="M54" s="10">
        <v>51.91</v>
      </c>
      <c r="N54" s="10">
        <v>47.72</v>
      </c>
      <c r="O54" s="10">
        <v>48.35</v>
      </c>
      <c r="P54" s="10">
        <v>48.83</v>
      </c>
      <c r="Q54" s="10">
        <v>49.19</v>
      </c>
      <c r="R54" s="10">
        <v>49.45</v>
      </c>
      <c r="S54" s="10">
        <v>49.64</v>
      </c>
      <c r="T54" s="10">
        <v>49.78</v>
      </c>
      <c r="U54" s="10">
        <v>49.89</v>
      </c>
      <c r="V54" s="10">
        <v>49.98</v>
      </c>
      <c r="W54" s="10">
        <v>50.04</v>
      </c>
      <c r="X54" s="10">
        <v>50.09</v>
      </c>
      <c r="Y54" s="10">
        <v>50.12</v>
      </c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</row>
    <row r="55" spans="1:147" x14ac:dyDescent="0.3">
      <c r="A55" s="9">
        <f>DATE(2017, 3, 15)</f>
        <v>42809</v>
      </c>
      <c r="B55" s="10">
        <v>51.81</v>
      </c>
      <c r="C55" s="10">
        <v>51.97</v>
      </c>
      <c r="D55" s="10">
        <v>52.14</v>
      </c>
      <c r="E55" s="10">
        <v>52.27</v>
      </c>
      <c r="F55" s="10">
        <v>52.37</v>
      </c>
      <c r="G55" s="10">
        <v>52.43</v>
      </c>
      <c r="H55" s="10">
        <v>52.45</v>
      </c>
      <c r="I55" s="10">
        <v>52.48</v>
      </c>
      <c r="J55" s="10">
        <v>52.51</v>
      </c>
      <c r="K55" s="10">
        <v>52.52</v>
      </c>
      <c r="L55" s="10">
        <v>52.52</v>
      </c>
      <c r="M55" s="10">
        <v>52.51</v>
      </c>
      <c r="N55" s="10">
        <v>48.86</v>
      </c>
      <c r="O55" s="10">
        <v>49.38</v>
      </c>
      <c r="P55" s="10">
        <v>49.78</v>
      </c>
      <c r="Q55" s="10">
        <v>50.09</v>
      </c>
      <c r="R55" s="10">
        <v>50.32</v>
      </c>
      <c r="S55" s="10">
        <v>50.47</v>
      </c>
      <c r="T55" s="10">
        <v>50.57</v>
      </c>
      <c r="U55" s="10">
        <v>50.63</v>
      </c>
      <c r="V55" s="10">
        <v>50.67</v>
      </c>
      <c r="W55" s="10">
        <v>50.7</v>
      </c>
      <c r="X55" s="10">
        <v>50.72</v>
      </c>
      <c r="Y55" s="10">
        <v>50.72</v>
      </c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</row>
    <row r="56" spans="1:147" x14ac:dyDescent="0.3">
      <c r="A56" s="9">
        <f>DATE(2017, 3, 16)</f>
        <v>42810</v>
      </c>
      <c r="B56" s="10">
        <v>51.74</v>
      </c>
      <c r="C56" s="10">
        <v>51.9</v>
      </c>
      <c r="D56" s="10">
        <v>52.07</v>
      </c>
      <c r="E56" s="10">
        <v>52.21</v>
      </c>
      <c r="F56" s="10">
        <v>52.3</v>
      </c>
      <c r="G56" s="10">
        <v>52.34</v>
      </c>
      <c r="H56" s="10">
        <v>52.35</v>
      </c>
      <c r="I56" s="10">
        <v>52.36</v>
      </c>
      <c r="J56" s="10">
        <v>52.38</v>
      </c>
      <c r="K56" s="10">
        <v>52.38</v>
      </c>
      <c r="L56" s="10">
        <v>52.36</v>
      </c>
      <c r="M56" s="10">
        <v>52.35</v>
      </c>
      <c r="N56" s="10">
        <v>48.75</v>
      </c>
      <c r="O56" s="10">
        <v>49.24</v>
      </c>
      <c r="P56" s="10">
        <v>49.63</v>
      </c>
      <c r="Q56" s="10">
        <v>49.94</v>
      </c>
      <c r="R56" s="10">
        <v>50.15</v>
      </c>
      <c r="S56" s="10">
        <v>50.28</v>
      </c>
      <c r="T56" s="10">
        <v>50.36</v>
      </c>
      <c r="U56" s="10">
        <v>50.41</v>
      </c>
      <c r="V56" s="10">
        <v>50.43</v>
      </c>
      <c r="W56" s="10">
        <v>50.44</v>
      </c>
      <c r="X56" s="10">
        <v>50.44</v>
      </c>
      <c r="Y56" s="10">
        <v>50.43</v>
      </c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</row>
    <row r="57" spans="1:147" x14ac:dyDescent="0.3">
      <c r="A57" s="9">
        <f>DATE(2017, 3, 17)</f>
        <v>42811</v>
      </c>
      <c r="B57" s="10">
        <v>51.76</v>
      </c>
      <c r="C57" s="10">
        <v>51.95</v>
      </c>
      <c r="D57" s="10">
        <v>52.15</v>
      </c>
      <c r="E57" s="10">
        <v>52.3</v>
      </c>
      <c r="F57" s="10">
        <v>52.4</v>
      </c>
      <c r="G57" s="10">
        <v>52.44</v>
      </c>
      <c r="H57" s="10">
        <v>52.43</v>
      </c>
      <c r="I57" s="10">
        <v>52.42</v>
      </c>
      <c r="J57" s="10">
        <v>52.42</v>
      </c>
      <c r="K57" s="10">
        <v>52.4</v>
      </c>
      <c r="L57" s="10">
        <v>52.37</v>
      </c>
      <c r="M57" s="10">
        <v>52.34</v>
      </c>
      <c r="N57" s="10">
        <v>48.78</v>
      </c>
      <c r="O57" s="10">
        <v>49.31</v>
      </c>
      <c r="P57" s="10">
        <v>49.73</v>
      </c>
      <c r="Q57" s="10">
        <v>50.04</v>
      </c>
      <c r="R57" s="10">
        <v>50.25</v>
      </c>
      <c r="S57" s="10">
        <v>50.38</v>
      </c>
      <c r="T57" s="10">
        <v>50.46</v>
      </c>
      <c r="U57" s="10">
        <v>50.51</v>
      </c>
      <c r="V57" s="10">
        <v>50.52</v>
      </c>
      <c r="W57" s="10">
        <v>50.52</v>
      </c>
      <c r="X57" s="10">
        <v>50.49</v>
      </c>
      <c r="Y57" s="10">
        <v>50.46</v>
      </c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</row>
    <row r="58" spans="1:147" x14ac:dyDescent="0.3">
      <c r="A58" s="9">
        <f>DATE(2017, 3, 20)</f>
        <v>42814</v>
      </c>
      <c r="B58" s="10">
        <v>51.62</v>
      </c>
      <c r="C58" s="10">
        <v>51.79</v>
      </c>
      <c r="D58" s="10">
        <v>51.98</v>
      </c>
      <c r="E58" s="10">
        <v>52.15</v>
      </c>
      <c r="F58" s="10">
        <v>52.26</v>
      </c>
      <c r="G58" s="10">
        <v>52.32</v>
      </c>
      <c r="H58" s="10">
        <v>52.34</v>
      </c>
      <c r="I58" s="10">
        <v>52.36</v>
      </c>
      <c r="J58" s="10">
        <v>52.38</v>
      </c>
      <c r="K58" s="10">
        <v>52.37</v>
      </c>
      <c r="L58" s="10">
        <v>52.35</v>
      </c>
      <c r="M58" s="10">
        <v>52.33</v>
      </c>
      <c r="N58" s="10">
        <v>48.22</v>
      </c>
      <c r="O58" s="10">
        <v>48.91</v>
      </c>
      <c r="P58" s="10">
        <v>49.44</v>
      </c>
      <c r="Q58" s="10">
        <v>49.81</v>
      </c>
      <c r="R58" s="10">
        <v>50.06</v>
      </c>
      <c r="S58" s="10">
        <v>50.21</v>
      </c>
      <c r="T58" s="10">
        <v>50.3</v>
      </c>
      <c r="U58" s="10">
        <v>50.36</v>
      </c>
      <c r="V58" s="10">
        <v>50.39</v>
      </c>
      <c r="W58" s="10">
        <v>50.39</v>
      </c>
      <c r="X58" s="10">
        <v>50.37</v>
      </c>
      <c r="Y58" s="10">
        <v>50.35</v>
      </c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</row>
    <row r="59" spans="1:147" x14ac:dyDescent="0.3">
      <c r="A59" s="9">
        <f>DATE(2017, 3, 21)</f>
        <v>42815</v>
      </c>
      <c r="B59" s="10">
        <v>50.96</v>
      </c>
      <c r="C59" s="10">
        <v>51.19</v>
      </c>
      <c r="D59" s="10">
        <v>51.44</v>
      </c>
      <c r="E59" s="10">
        <v>51.65</v>
      </c>
      <c r="F59" s="10">
        <v>51.8</v>
      </c>
      <c r="G59" s="10">
        <v>51.88</v>
      </c>
      <c r="H59" s="10">
        <v>51.93</v>
      </c>
      <c r="I59" s="10">
        <v>51.96</v>
      </c>
      <c r="J59" s="10">
        <v>51.99</v>
      </c>
      <c r="K59" s="10">
        <v>52</v>
      </c>
      <c r="L59" s="10">
        <v>51.99</v>
      </c>
      <c r="M59" s="10">
        <v>51.98</v>
      </c>
      <c r="N59" s="10">
        <v>47.34</v>
      </c>
      <c r="O59" s="10">
        <v>48.24</v>
      </c>
      <c r="P59" s="10">
        <v>48.82</v>
      </c>
      <c r="Q59" s="10">
        <v>49.22</v>
      </c>
      <c r="R59" s="10">
        <v>49.5</v>
      </c>
      <c r="S59" s="10">
        <v>49.69</v>
      </c>
      <c r="T59" s="10">
        <v>49.82</v>
      </c>
      <c r="U59" s="10">
        <v>49.91</v>
      </c>
      <c r="V59" s="10">
        <v>49.97</v>
      </c>
      <c r="W59" s="10">
        <v>50.01</v>
      </c>
      <c r="X59" s="10">
        <v>50.03</v>
      </c>
      <c r="Y59" s="10">
        <v>50.05</v>
      </c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</row>
    <row r="60" spans="1:147" x14ac:dyDescent="0.3">
      <c r="A60" s="9">
        <f>DATE(2017, 3, 22)</f>
        <v>42816</v>
      </c>
      <c r="B60" s="10">
        <v>50.64</v>
      </c>
      <c r="C60" s="10">
        <v>50.87</v>
      </c>
      <c r="D60" s="10">
        <v>51.12</v>
      </c>
      <c r="E60" s="10">
        <v>51.33</v>
      </c>
      <c r="F60" s="10">
        <v>51.5</v>
      </c>
      <c r="G60" s="10">
        <v>51.62</v>
      </c>
      <c r="H60" s="10">
        <v>51.7</v>
      </c>
      <c r="I60" s="10">
        <v>51.76</v>
      </c>
      <c r="J60" s="10">
        <v>51.81</v>
      </c>
      <c r="K60" s="10">
        <v>51.84</v>
      </c>
      <c r="L60" s="10">
        <v>51.86</v>
      </c>
      <c r="M60" s="10">
        <v>51.87</v>
      </c>
      <c r="N60" s="10">
        <v>48.04</v>
      </c>
      <c r="O60" s="10">
        <v>48.58</v>
      </c>
      <c r="P60" s="10">
        <v>48.96</v>
      </c>
      <c r="Q60" s="10">
        <v>49.23</v>
      </c>
      <c r="R60" s="10">
        <v>49.45</v>
      </c>
      <c r="S60" s="10">
        <v>49.61</v>
      </c>
      <c r="T60" s="10">
        <v>49.73</v>
      </c>
      <c r="U60" s="10">
        <v>49.82</v>
      </c>
      <c r="V60" s="10">
        <v>49.89</v>
      </c>
      <c r="W60" s="10">
        <v>49.95</v>
      </c>
      <c r="X60" s="10">
        <v>49.99</v>
      </c>
      <c r="Y60" s="10">
        <v>50.02</v>
      </c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</row>
    <row r="61" spans="1:147" x14ac:dyDescent="0.3">
      <c r="A61" s="9">
        <f>DATE(2017, 3, 23)</f>
        <v>42817</v>
      </c>
      <c r="B61" s="10">
        <v>50.56</v>
      </c>
      <c r="C61" s="10">
        <v>50.66</v>
      </c>
      <c r="D61" s="10">
        <v>50.86</v>
      </c>
      <c r="E61" s="10">
        <v>51.06</v>
      </c>
      <c r="F61" s="10">
        <v>51.21</v>
      </c>
      <c r="G61" s="10">
        <v>51.32</v>
      </c>
      <c r="H61" s="10">
        <v>51.39</v>
      </c>
      <c r="I61" s="10">
        <v>51.44</v>
      </c>
      <c r="J61" s="10">
        <v>51.49</v>
      </c>
      <c r="K61" s="10">
        <v>51.51</v>
      </c>
      <c r="L61" s="10">
        <v>51.53</v>
      </c>
      <c r="M61" s="10">
        <v>51.54</v>
      </c>
      <c r="N61" s="10">
        <v>47.7</v>
      </c>
      <c r="O61" s="10">
        <v>48.26</v>
      </c>
      <c r="P61" s="10">
        <v>48.63</v>
      </c>
      <c r="Q61" s="10">
        <v>48.89</v>
      </c>
      <c r="R61" s="10">
        <v>49.1</v>
      </c>
      <c r="S61" s="10">
        <v>49.26</v>
      </c>
      <c r="T61" s="10">
        <v>49.39</v>
      </c>
      <c r="U61" s="10">
        <v>49.5</v>
      </c>
      <c r="V61" s="10">
        <v>49.58</v>
      </c>
      <c r="W61" s="10">
        <v>49.65</v>
      </c>
      <c r="X61" s="10">
        <v>49.7</v>
      </c>
      <c r="Y61" s="10">
        <v>49.73</v>
      </c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</row>
    <row r="62" spans="1:147" x14ac:dyDescent="0.3">
      <c r="A62" s="9">
        <f>DATE(2017, 3, 24)</f>
        <v>42818</v>
      </c>
      <c r="B62" s="10">
        <v>50.8</v>
      </c>
      <c r="C62" s="10">
        <v>50.92</v>
      </c>
      <c r="D62" s="10">
        <v>51.16</v>
      </c>
      <c r="E62" s="10">
        <v>51.37</v>
      </c>
      <c r="F62" s="10">
        <v>51.52</v>
      </c>
      <c r="G62" s="10">
        <v>51.62</v>
      </c>
      <c r="H62" s="10">
        <v>51.67</v>
      </c>
      <c r="I62" s="10">
        <v>51.71</v>
      </c>
      <c r="J62" s="10">
        <v>51.75</v>
      </c>
      <c r="K62" s="10">
        <v>51.77</v>
      </c>
      <c r="L62" s="10">
        <v>51.77</v>
      </c>
      <c r="M62" s="10">
        <v>51.77</v>
      </c>
      <c r="N62" s="10">
        <v>47.97</v>
      </c>
      <c r="O62" s="10">
        <v>48.51</v>
      </c>
      <c r="P62" s="10">
        <v>48.87</v>
      </c>
      <c r="Q62" s="10">
        <v>49.13</v>
      </c>
      <c r="R62" s="10">
        <v>49.33</v>
      </c>
      <c r="S62" s="10">
        <v>49.48</v>
      </c>
      <c r="T62" s="10">
        <v>49.6</v>
      </c>
      <c r="U62" s="10">
        <v>49.7</v>
      </c>
      <c r="V62" s="10">
        <v>49.77</v>
      </c>
      <c r="W62" s="10">
        <v>49.83</v>
      </c>
      <c r="X62" s="10">
        <v>49.87</v>
      </c>
      <c r="Y62" s="10">
        <v>49.9</v>
      </c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</row>
    <row r="63" spans="1:147" x14ac:dyDescent="0.3">
      <c r="A63" s="9">
        <f>DATE(2017, 3, 27)</f>
        <v>42821</v>
      </c>
      <c r="B63" s="10">
        <v>50.75</v>
      </c>
      <c r="C63" s="10">
        <v>50.9</v>
      </c>
      <c r="D63" s="10">
        <v>51.17</v>
      </c>
      <c r="E63" s="10">
        <v>51.4</v>
      </c>
      <c r="F63" s="10">
        <v>51.56</v>
      </c>
      <c r="G63" s="10">
        <v>51.69</v>
      </c>
      <c r="H63" s="10">
        <v>51.76</v>
      </c>
      <c r="I63" s="10">
        <v>51.82</v>
      </c>
      <c r="J63" s="10">
        <v>51.88</v>
      </c>
      <c r="K63" s="10">
        <v>51.91</v>
      </c>
      <c r="L63" s="10">
        <v>51.93</v>
      </c>
      <c r="M63" s="10">
        <v>51.94</v>
      </c>
      <c r="N63" s="10">
        <v>47.73</v>
      </c>
      <c r="O63" s="10">
        <v>48.3</v>
      </c>
      <c r="P63" s="10">
        <v>48.69</v>
      </c>
      <c r="Q63" s="10">
        <v>48.97</v>
      </c>
      <c r="R63" s="10">
        <v>49.2</v>
      </c>
      <c r="S63" s="10">
        <v>49.39</v>
      </c>
      <c r="T63" s="10">
        <v>49.54</v>
      </c>
      <c r="U63" s="10">
        <v>49.66</v>
      </c>
      <c r="V63" s="10">
        <v>49.75</v>
      </c>
      <c r="W63" s="10">
        <v>49.82</v>
      </c>
      <c r="X63" s="10">
        <v>49.87</v>
      </c>
      <c r="Y63" s="10">
        <v>49.91</v>
      </c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</row>
    <row r="64" spans="1:147" x14ac:dyDescent="0.3">
      <c r="A64" s="9">
        <f>DATE(2017, 3, 28)</f>
        <v>42822</v>
      </c>
      <c r="B64" s="10">
        <v>51.33</v>
      </c>
      <c r="C64" s="10">
        <v>51.42</v>
      </c>
      <c r="D64" s="10">
        <v>51.66</v>
      </c>
      <c r="E64" s="10">
        <v>51.86</v>
      </c>
      <c r="F64" s="10">
        <v>52</v>
      </c>
      <c r="G64" s="10">
        <v>52.1</v>
      </c>
      <c r="H64" s="10">
        <v>52.16</v>
      </c>
      <c r="I64" s="10">
        <v>52.2</v>
      </c>
      <c r="J64" s="10">
        <v>52.24</v>
      </c>
      <c r="K64" s="10">
        <v>52.25</v>
      </c>
      <c r="L64" s="10">
        <v>52.24</v>
      </c>
      <c r="M64" s="10">
        <v>52.23</v>
      </c>
      <c r="N64" s="10">
        <v>48.37</v>
      </c>
      <c r="O64" s="10">
        <v>48.9</v>
      </c>
      <c r="P64" s="10">
        <v>49.27</v>
      </c>
      <c r="Q64" s="10">
        <v>49.53</v>
      </c>
      <c r="R64" s="10">
        <v>49.73</v>
      </c>
      <c r="S64" s="10">
        <v>49.89</v>
      </c>
      <c r="T64" s="10">
        <v>50.01</v>
      </c>
      <c r="U64" s="10">
        <v>50.11</v>
      </c>
      <c r="V64" s="10">
        <v>50.17</v>
      </c>
      <c r="W64" s="10">
        <v>50.21</v>
      </c>
      <c r="X64" s="10">
        <v>50.23</v>
      </c>
      <c r="Y64" s="10">
        <v>50.24</v>
      </c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</row>
    <row r="65" spans="1:147" x14ac:dyDescent="0.3">
      <c r="A65" s="9">
        <f>DATE(2017, 3, 29)</f>
        <v>42823</v>
      </c>
      <c r="B65" s="10">
        <v>52.42</v>
      </c>
      <c r="C65" s="10">
        <v>52.54</v>
      </c>
      <c r="D65" s="10">
        <v>52.78</v>
      </c>
      <c r="E65" s="10">
        <v>52.95</v>
      </c>
      <c r="F65" s="10">
        <v>53.06</v>
      </c>
      <c r="G65" s="10">
        <v>53.12</v>
      </c>
      <c r="H65" s="10">
        <v>53.14</v>
      </c>
      <c r="I65" s="10">
        <v>53.15</v>
      </c>
      <c r="J65" s="10">
        <v>53.15</v>
      </c>
      <c r="K65" s="10">
        <v>53.13</v>
      </c>
      <c r="L65" s="10">
        <v>53.1</v>
      </c>
      <c r="M65" s="10">
        <v>53.06</v>
      </c>
      <c r="N65" s="10">
        <v>49.51</v>
      </c>
      <c r="O65" s="10">
        <v>50</v>
      </c>
      <c r="P65" s="10">
        <v>50.35</v>
      </c>
      <c r="Q65" s="10">
        <v>50.59</v>
      </c>
      <c r="R65" s="10">
        <v>50.76</v>
      </c>
      <c r="S65" s="10">
        <v>50.88</v>
      </c>
      <c r="T65" s="10">
        <v>50.96</v>
      </c>
      <c r="U65" s="10">
        <v>51.01</v>
      </c>
      <c r="V65" s="10">
        <v>51.04</v>
      </c>
      <c r="W65" s="10">
        <v>51.05</v>
      </c>
      <c r="X65" s="10">
        <v>51.05</v>
      </c>
      <c r="Y65" s="10">
        <v>51.03</v>
      </c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</row>
    <row r="66" spans="1:147" x14ac:dyDescent="0.3">
      <c r="A66" s="9">
        <f>DATE(2017, 3, 30)</f>
        <v>42824</v>
      </c>
      <c r="B66" s="10">
        <v>52.96</v>
      </c>
      <c r="C66" s="10">
        <v>53.13</v>
      </c>
      <c r="D66" s="10">
        <v>53.39</v>
      </c>
      <c r="E66" s="10">
        <v>53.58</v>
      </c>
      <c r="F66" s="10">
        <v>53.7</v>
      </c>
      <c r="G66" s="10">
        <v>53.77</v>
      </c>
      <c r="H66" s="10">
        <v>53.78</v>
      </c>
      <c r="I66" s="10">
        <v>53.79</v>
      </c>
      <c r="J66" s="10">
        <v>53.79</v>
      </c>
      <c r="K66" s="10">
        <v>53.77</v>
      </c>
      <c r="L66" s="10">
        <v>53.74</v>
      </c>
      <c r="M66" s="10">
        <v>53.7</v>
      </c>
      <c r="N66" s="10">
        <v>50.35</v>
      </c>
      <c r="O66" s="10">
        <v>50.78</v>
      </c>
      <c r="P66" s="10">
        <v>51.1</v>
      </c>
      <c r="Q66" s="10">
        <v>51.34</v>
      </c>
      <c r="R66" s="10">
        <v>51.52</v>
      </c>
      <c r="S66" s="10">
        <v>51.64</v>
      </c>
      <c r="T66" s="10">
        <v>51.72</v>
      </c>
      <c r="U66" s="10">
        <v>51.76</v>
      </c>
      <c r="V66" s="10">
        <v>51.78</v>
      </c>
      <c r="W66" s="10">
        <v>51.78</v>
      </c>
      <c r="X66" s="10">
        <v>51.77</v>
      </c>
      <c r="Y66" s="10">
        <v>51.74</v>
      </c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</row>
    <row r="67" spans="1:147" x14ac:dyDescent="0.3">
      <c r="A67" s="9">
        <f>DATE(2017, 3, 31)</f>
        <v>42825</v>
      </c>
      <c r="B67" s="10">
        <v>52.83</v>
      </c>
      <c r="C67" s="10">
        <v>53.53</v>
      </c>
      <c r="D67" s="10">
        <v>53.79</v>
      </c>
      <c r="E67" s="10">
        <v>53.98</v>
      </c>
      <c r="F67" s="10">
        <v>54.09</v>
      </c>
      <c r="G67" s="10">
        <v>54.16</v>
      </c>
      <c r="H67" s="10">
        <v>54.17</v>
      </c>
      <c r="I67" s="10">
        <v>54.18</v>
      </c>
      <c r="J67" s="10">
        <v>54.18</v>
      </c>
      <c r="K67" s="10">
        <v>54.15</v>
      </c>
      <c r="L67" s="10">
        <v>54.12</v>
      </c>
      <c r="M67" s="10">
        <v>54.07</v>
      </c>
      <c r="N67" s="10">
        <v>50.6</v>
      </c>
      <c r="O67" s="10">
        <v>51.07</v>
      </c>
      <c r="P67" s="10">
        <v>51.42</v>
      </c>
      <c r="Q67" s="10">
        <v>51.66</v>
      </c>
      <c r="R67" s="10">
        <v>51.84</v>
      </c>
      <c r="S67" s="10">
        <v>51.95</v>
      </c>
      <c r="T67" s="10">
        <v>52.03</v>
      </c>
      <c r="U67" s="10">
        <v>52.08</v>
      </c>
      <c r="V67" s="10">
        <v>52.1</v>
      </c>
      <c r="W67" s="10">
        <v>52.1</v>
      </c>
      <c r="X67" s="10">
        <v>52.09</v>
      </c>
      <c r="Y67" s="10">
        <v>52.06</v>
      </c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</row>
    <row r="68" spans="1:147" x14ac:dyDescent="0.3">
      <c r="A68" s="9">
        <f>DATE(2017, 4, 3)</f>
        <v>42828</v>
      </c>
      <c r="B68" s="10">
        <v>53.12</v>
      </c>
      <c r="C68" s="10">
        <v>53.41</v>
      </c>
      <c r="D68" s="10">
        <v>53.64</v>
      </c>
      <c r="E68" s="10">
        <v>53.78</v>
      </c>
      <c r="F68" s="10">
        <v>53.88</v>
      </c>
      <c r="G68" s="10">
        <v>53.92</v>
      </c>
      <c r="H68" s="10">
        <v>53.96</v>
      </c>
      <c r="I68" s="10">
        <v>53.98</v>
      </c>
      <c r="J68" s="10">
        <v>53.97</v>
      </c>
      <c r="K68" s="10">
        <v>53.95</v>
      </c>
      <c r="L68" s="10">
        <v>53.93</v>
      </c>
      <c r="M68" s="10">
        <v>53.9</v>
      </c>
      <c r="N68" s="10">
        <v>50.24</v>
      </c>
      <c r="O68" s="10">
        <v>50.71</v>
      </c>
      <c r="P68" s="10">
        <v>51.08</v>
      </c>
      <c r="Q68" s="10">
        <v>51.35</v>
      </c>
      <c r="R68" s="10">
        <v>51.56</v>
      </c>
      <c r="S68" s="10">
        <v>51.72</v>
      </c>
      <c r="T68" s="10">
        <v>51.85</v>
      </c>
      <c r="U68" s="10">
        <v>51.94</v>
      </c>
      <c r="V68" s="10">
        <v>51.99</v>
      </c>
      <c r="W68" s="10">
        <v>52.02</v>
      </c>
      <c r="X68" s="10">
        <v>52.03</v>
      </c>
      <c r="Y68" s="10">
        <v>52.03</v>
      </c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</row>
    <row r="69" spans="1:147" x14ac:dyDescent="0.3">
      <c r="A69" s="9">
        <f>DATE(2017, 4, 4)</f>
        <v>42829</v>
      </c>
      <c r="B69" s="10">
        <v>54.17</v>
      </c>
      <c r="C69" s="10">
        <v>54.44</v>
      </c>
      <c r="D69" s="10">
        <v>54.65</v>
      </c>
      <c r="E69" s="10">
        <v>54.76</v>
      </c>
      <c r="F69" s="10">
        <v>54.83</v>
      </c>
      <c r="G69" s="10">
        <v>54.86</v>
      </c>
      <c r="H69" s="10">
        <v>54.88</v>
      </c>
      <c r="I69" s="10">
        <v>54.88</v>
      </c>
      <c r="J69" s="10">
        <v>54.85</v>
      </c>
      <c r="K69" s="10">
        <v>54.81</v>
      </c>
      <c r="L69" s="10">
        <v>54.77</v>
      </c>
      <c r="M69" s="10">
        <v>54.72</v>
      </c>
      <c r="N69" s="10">
        <v>51.03</v>
      </c>
      <c r="O69" s="10">
        <v>51.51</v>
      </c>
      <c r="P69" s="10">
        <v>51.88</v>
      </c>
      <c r="Q69" s="10">
        <v>52.16</v>
      </c>
      <c r="R69" s="10">
        <v>52.37</v>
      </c>
      <c r="S69" s="10">
        <v>52.52</v>
      </c>
      <c r="T69" s="10">
        <v>52.64</v>
      </c>
      <c r="U69" s="10">
        <v>52.72</v>
      </c>
      <c r="V69" s="10">
        <v>52.76</v>
      </c>
      <c r="W69" s="10">
        <v>52.78</v>
      </c>
      <c r="X69" s="10">
        <v>52.77</v>
      </c>
      <c r="Y69" s="10">
        <v>52.75</v>
      </c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</row>
    <row r="70" spans="1:147" x14ac:dyDescent="0.3">
      <c r="A70" s="9">
        <f>DATE(2017, 4, 5)</f>
        <v>42830</v>
      </c>
      <c r="B70" s="10">
        <v>54.36</v>
      </c>
      <c r="C70" s="10">
        <v>54.63</v>
      </c>
      <c r="D70" s="10">
        <v>54.83</v>
      </c>
      <c r="E70" s="10">
        <v>54.94</v>
      </c>
      <c r="F70" s="10">
        <v>55.01</v>
      </c>
      <c r="G70" s="10">
        <v>55.04</v>
      </c>
      <c r="H70" s="10">
        <v>55.05</v>
      </c>
      <c r="I70" s="10">
        <v>55.04</v>
      </c>
      <c r="J70" s="10">
        <v>55</v>
      </c>
      <c r="K70" s="10">
        <v>54.95</v>
      </c>
      <c r="L70" s="10">
        <v>54.9</v>
      </c>
      <c r="M70" s="10">
        <v>54.83</v>
      </c>
      <c r="N70" s="10">
        <v>51.15</v>
      </c>
      <c r="O70" s="10">
        <v>51.6</v>
      </c>
      <c r="P70" s="10">
        <v>51.95</v>
      </c>
      <c r="Q70" s="10">
        <v>52.22</v>
      </c>
      <c r="R70" s="10">
        <v>52.42</v>
      </c>
      <c r="S70" s="10">
        <v>52.57</v>
      </c>
      <c r="T70" s="10">
        <v>52.68</v>
      </c>
      <c r="U70" s="10">
        <v>52.76</v>
      </c>
      <c r="V70" s="10">
        <v>52.8</v>
      </c>
      <c r="W70" s="10">
        <v>52.81</v>
      </c>
      <c r="X70" s="10">
        <v>52.8</v>
      </c>
      <c r="Y70" s="10">
        <v>52.78</v>
      </c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</row>
    <row r="71" spans="1:147" x14ac:dyDescent="0.3">
      <c r="A71" s="9">
        <f>DATE(2017, 4, 6)</f>
        <v>42831</v>
      </c>
      <c r="B71" s="10">
        <v>54.89</v>
      </c>
      <c r="C71" s="10">
        <v>55.17</v>
      </c>
      <c r="D71" s="10">
        <v>55.35</v>
      </c>
      <c r="E71" s="10">
        <v>55.45</v>
      </c>
      <c r="F71" s="10">
        <v>55.51</v>
      </c>
      <c r="G71" s="10">
        <v>55.53</v>
      </c>
      <c r="H71" s="10">
        <v>55.53</v>
      </c>
      <c r="I71" s="10">
        <v>55.51</v>
      </c>
      <c r="J71" s="10">
        <v>55.46</v>
      </c>
      <c r="K71" s="10">
        <v>55.4</v>
      </c>
      <c r="L71" s="10">
        <v>55.34</v>
      </c>
      <c r="M71" s="10">
        <v>55.26</v>
      </c>
      <c r="N71" s="10">
        <v>51.7</v>
      </c>
      <c r="O71" s="10">
        <v>52.13</v>
      </c>
      <c r="P71" s="10">
        <v>52.47</v>
      </c>
      <c r="Q71" s="10">
        <v>52.72</v>
      </c>
      <c r="R71" s="10">
        <v>52.9</v>
      </c>
      <c r="S71" s="10">
        <v>53.03</v>
      </c>
      <c r="T71" s="10">
        <v>53.12</v>
      </c>
      <c r="U71" s="10">
        <v>53.18</v>
      </c>
      <c r="V71" s="10">
        <v>53.21</v>
      </c>
      <c r="W71" s="10">
        <v>53.21</v>
      </c>
      <c r="X71" s="10">
        <v>53.19</v>
      </c>
      <c r="Y71" s="10">
        <v>53.15</v>
      </c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</row>
    <row r="72" spans="1:147" x14ac:dyDescent="0.3">
      <c r="A72" s="9">
        <f>DATE(2017, 4, 7)</f>
        <v>42832</v>
      </c>
      <c r="B72" s="10">
        <v>55.24</v>
      </c>
      <c r="C72" s="10">
        <v>55.53</v>
      </c>
      <c r="D72" s="10">
        <v>55.72</v>
      </c>
      <c r="E72" s="10">
        <v>55.82</v>
      </c>
      <c r="F72" s="10">
        <v>55.87</v>
      </c>
      <c r="G72" s="10">
        <v>55.89</v>
      </c>
      <c r="H72" s="10">
        <v>55.87</v>
      </c>
      <c r="I72" s="10">
        <v>55.85</v>
      </c>
      <c r="J72" s="10">
        <v>55.81</v>
      </c>
      <c r="K72" s="10">
        <v>55.74</v>
      </c>
      <c r="L72" s="10">
        <v>55.67</v>
      </c>
      <c r="M72" s="10">
        <v>55.58</v>
      </c>
      <c r="N72" s="10">
        <v>52.24</v>
      </c>
      <c r="O72" s="10">
        <v>52.64</v>
      </c>
      <c r="P72" s="10">
        <v>52.95</v>
      </c>
      <c r="Q72" s="10">
        <v>53.16</v>
      </c>
      <c r="R72" s="10">
        <v>53.31</v>
      </c>
      <c r="S72" s="10">
        <v>53.43</v>
      </c>
      <c r="T72" s="10">
        <v>53.52</v>
      </c>
      <c r="U72" s="10">
        <v>53.58</v>
      </c>
      <c r="V72" s="10">
        <v>53.6</v>
      </c>
      <c r="W72" s="10">
        <v>53.59</v>
      </c>
      <c r="X72" s="10">
        <v>53.55</v>
      </c>
      <c r="Y72" s="10">
        <v>53.49</v>
      </c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</row>
    <row r="73" spans="1:147" x14ac:dyDescent="0.3">
      <c r="A73" s="9">
        <f>DATE(2017, 4, 10)</f>
        <v>42835</v>
      </c>
      <c r="B73" s="10">
        <v>55.98</v>
      </c>
      <c r="C73" s="10">
        <v>56.32</v>
      </c>
      <c r="D73" s="10">
        <v>56.54</v>
      </c>
      <c r="E73" s="10">
        <v>56.67</v>
      </c>
      <c r="F73" s="10">
        <v>56.73</v>
      </c>
      <c r="G73" s="10">
        <v>56.75</v>
      </c>
      <c r="H73" s="10">
        <v>56.73</v>
      </c>
      <c r="I73" s="10">
        <v>56.7</v>
      </c>
      <c r="J73" s="10">
        <v>56.65</v>
      </c>
      <c r="K73" s="10">
        <v>56.57</v>
      </c>
      <c r="L73" s="10">
        <v>56.49</v>
      </c>
      <c r="M73" s="10">
        <v>56.4</v>
      </c>
      <c r="N73" s="10">
        <v>53.08</v>
      </c>
      <c r="O73" s="10">
        <v>53.48</v>
      </c>
      <c r="P73" s="10">
        <v>53.8</v>
      </c>
      <c r="Q73" s="10">
        <v>54.01</v>
      </c>
      <c r="R73" s="10">
        <v>54.17</v>
      </c>
      <c r="S73" s="10">
        <v>54.29</v>
      </c>
      <c r="T73" s="10">
        <v>54.37</v>
      </c>
      <c r="U73" s="10">
        <v>54.41</v>
      </c>
      <c r="V73" s="10">
        <v>54.42</v>
      </c>
      <c r="W73" s="10">
        <v>54.39</v>
      </c>
      <c r="X73" s="10">
        <v>54.34</v>
      </c>
      <c r="Y73" s="10">
        <v>54.27</v>
      </c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</row>
    <row r="74" spans="1:147" x14ac:dyDescent="0.3">
      <c r="A74" s="9">
        <f>DATE(2017, 4, 11)</f>
        <v>42836</v>
      </c>
      <c r="B74" s="10">
        <v>56.23</v>
      </c>
      <c r="C74" s="10">
        <v>56.6</v>
      </c>
      <c r="D74" s="10">
        <v>56.84</v>
      </c>
      <c r="E74" s="10">
        <v>56.97</v>
      </c>
      <c r="F74" s="10">
        <v>57.04</v>
      </c>
      <c r="G74" s="10">
        <v>57.06</v>
      </c>
      <c r="H74" s="10">
        <v>57.05</v>
      </c>
      <c r="I74" s="10">
        <v>57.03</v>
      </c>
      <c r="J74" s="10">
        <v>56.98</v>
      </c>
      <c r="K74" s="10">
        <v>56.91</v>
      </c>
      <c r="L74" s="10">
        <v>56.84</v>
      </c>
      <c r="M74" s="10">
        <v>56.74</v>
      </c>
      <c r="N74" s="10">
        <v>53.4</v>
      </c>
      <c r="O74" s="10">
        <v>53.79</v>
      </c>
      <c r="P74" s="10">
        <v>54.11</v>
      </c>
      <c r="Q74" s="10">
        <v>54.31</v>
      </c>
      <c r="R74" s="10">
        <v>54.48</v>
      </c>
      <c r="S74" s="10">
        <v>54.6</v>
      </c>
      <c r="T74" s="10">
        <v>54.69</v>
      </c>
      <c r="U74" s="10">
        <v>54.75</v>
      </c>
      <c r="V74" s="10">
        <v>54.77</v>
      </c>
      <c r="W74" s="10">
        <v>54.75</v>
      </c>
      <c r="X74" s="10">
        <v>54.7</v>
      </c>
      <c r="Y74" s="10">
        <v>54.63</v>
      </c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</row>
    <row r="75" spans="1:147" x14ac:dyDescent="0.3">
      <c r="A75" s="9">
        <f>DATE(2017, 4, 12)</f>
        <v>42837</v>
      </c>
      <c r="B75" s="10">
        <v>55.86</v>
      </c>
      <c r="C75" s="10">
        <v>56.3</v>
      </c>
      <c r="D75" s="10">
        <v>56.6</v>
      </c>
      <c r="E75" s="10">
        <v>56.78</v>
      </c>
      <c r="F75" s="10">
        <v>56.89</v>
      </c>
      <c r="G75" s="10">
        <v>56.93</v>
      </c>
      <c r="H75" s="10">
        <v>56.94</v>
      </c>
      <c r="I75" s="10">
        <v>56.94</v>
      </c>
      <c r="J75" s="10">
        <v>56.92</v>
      </c>
      <c r="K75" s="10">
        <v>56.86</v>
      </c>
      <c r="L75" s="10">
        <v>56.81</v>
      </c>
      <c r="M75" s="10">
        <v>56.73</v>
      </c>
      <c r="N75" s="10">
        <v>53.11</v>
      </c>
      <c r="O75" s="10">
        <v>53.52</v>
      </c>
      <c r="P75" s="10">
        <v>53.85</v>
      </c>
      <c r="Q75" s="10">
        <v>54.09</v>
      </c>
      <c r="R75" s="10">
        <v>54.3</v>
      </c>
      <c r="S75" s="10">
        <v>54.45</v>
      </c>
      <c r="T75" s="10">
        <v>54.56</v>
      </c>
      <c r="U75" s="10">
        <v>54.65</v>
      </c>
      <c r="V75" s="10">
        <v>54.71</v>
      </c>
      <c r="W75" s="10">
        <v>54.71</v>
      </c>
      <c r="X75" s="10">
        <v>54.68</v>
      </c>
      <c r="Y75" s="10">
        <v>54.63</v>
      </c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</row>
    <row r="76" spans="1:147" x14ac:dyDescent="0.3">
      <c r="A76" s="9">
        <f>DATE(2017, 4, 13)</f>
        <v>42838</v>
      </c>
      <c r="B76" s="10">
        <v>55.89</v>
      </c>
      <c r="C76" s="10">
        <v>56.37</v>
      </c>
      <c r="D76" s="10">
        <v>56.69</v>
      </c>
      <c r="E76" s="10">
        <v>56.88</v>
      </c>
      <c r="F76" s="10">
        <v>57</v>
      </c>
      <c r="G76" s="10">
        <v>57.06</v>
      </c>
      <c r="H76" s="10">
        <v>57.07</v>
      </c>
      <c r="I76" s="10">
        <v>57.07</v>
      </c>
      <c r="J76" s="10">
        <v>57.04</v>
      </c>
      <c r="K76" s="10">
        <v>56.99</v>
      </c>
      <c r="L76" s="10">
        <v>56.92</v>
      </c>
      <c r="M76" s="10">
        <v>56.84</v>
      </c>
      <c r="N76" s="10">
        <v>53.18</v>
      </c>
      <c r="O76" s="10">
        <v>53.6</v>
      </c>
      <c r="P76" s="10">
        <v>53.93</v>
      </c>
      <c r="Q76" s="10">
        <v>54.18</v>
      </c>
      <c r="R76" s="10">
        <v>54.39</v>
      </c>
      <c r="S76" s="10">
        <v>54.55</v>
      </c>
      <c r="T76" s="10">
        <v>54.67</v>
      </c>
      <c r="U76" s="10">
        <v>54.75</v>
      </c>
      <c r="V76" s="10">
        <v>54.8</v>
      </c>
      <c r="W76" s="10">
        <v>54.8</v>
      </c>
      <c r="X76" s="10">
        <v>54.77</v>
      </c>
      <c r="Y76" s="10">
        <v>54.72</v>
      </c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</row>
    <row r="77" spans="1:147" x14ac:dyDescent="0.3">
      <c r="A77" s="9">
        <f>DATE(2017, 4, 17)</f>
        <v>42842</v>
      </c>
      <c r="B77" s="10">
        <v>55.36</v>
      </c>
      <c r="C77" s="10">
        <v>55.88</v>
      </c>
      <c r="D77" s="10">
        <v>56.23</v>
      </c>
      <c r="E77" s="10">
        <v>56.44</v>
      </c>
      <c r="F77" s="10">
        <v>56.59</v>
      </c>
      <c r="G77" s="10">
        <v>56.67</v>
      </c>
      <c r="H77" s="10">
        <v>56.7</v>
      </c>
      <c r="I77" s="10">
        <v>56.71</v>
      </c>
      <c r="J77" s="10">
        <v>56.7</v>
      </c>
      <c r="K77" s="10">
        <v>56.65</v>
      </c>
      <c r="L77" s="10">
        <v>56.59</v>
      </c>
      <c r="M77" s="10">
        <v>56.52</v>
      </c>
      <c r="N77" s="10">
        <v>52.65</v>
      </c>
      <c r="O77" s="10">
        <v>53.11</v>
      </c>
      <c r="P77" s="10">
        <v>53.47</v>
      </c>
      <c r="Q77" s="10">
        <v>53.74</v>
      </c>
      <c r="R77" s="10">
        <v>53.96</v>
      </c>
      <c r="S77" s="10">
        <v>54.13</v>
      </c>
      <c r="T77" s="10">
        <v>54.26</v>
      </c>
      <c r="U77" s="10">
        <v>54.35</v>
      </c>
      <c r="V77" s="10">
        <v>54.41</v>
      </c>
      <c r="W77" s="10">
        <v>54.43</v>
      </c>
      <c r="X77" s="10">
        <v>54.42</v>
      </c>
      <c r="Y77" s="10">
        <v>54.39</v>
      </c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</row>
    <row r="78" spans="1:147" x14ac:dyDescent="0.3">
      <c r="A78" s="9">
        <f>DATE(2017, 4, 18)</f>
        <v>42843</v>
      </c>
      <c r="B78" s="10">
        <v>54.89</v>
      </c>
      <c r="C78" s="10">
        <v>55.44</v>
      </c>
      <c r="D78" s="10">
        <v>55.8</v>
      </c>
      <c r="E78" s="10">
        <v>56.02</v>
      </c>
      <c r="F78" s="10">
        <v>56.18</v>
      </c>
      <c r="G78" s="10">
        <v>56.28</v>
      </c>
      <c r="H78" s="10">
        <v>56.33</v>
      </c>
      <c r="I78" s="10">
        <v>56.36</v>
      </c>
      <c r="J78" s="10">
        <v>56.35</v>
      </c>
      <c r="K78" s="10">
        <v>56.31</v>
      </c>
      <c r="L78" s="10">
        <v>56.26</v>
      </c>
      <c r="M78" s="10">
        <v>56.2</v>
      </c>
      <c r="N78" s="10">
        <v>52.41</v>
      </c>
      <c r="O78" s="10">
        <v>52.85</v>
      </c>
      <c r="P78" s="10">
        <v>53.2</v>
      </c>
      <c r="Q78" s="10">
        <v>53.46</v>
      </c>
      <c r="R78" s="10">
        <v>53.69</v>
      </c>
      <c r="S78" s="10">
        <v>53.87</v>
      </c>
      <c r="T78" s="10">
        <v>54.01</v>
      </c>
      <c r="U78" s="10">
        <v>54.1</v>
      </c>
      <c r="V78" s="10">
        <v>54.16</v>
      </c>
      <c r="W78" s="10">
        <v>54.18</v>
      </c>
      <c r="X78" s="10">
        <v>54.17</v>
      </c>
      <c r="Y78" s="10">
        <v>54.13</v>
      </c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</row>
    <row r="79" spans="1:147" x14ac:dyDescent="0.3">
      <c r="A79" s="9">
        <f>DATE(2017, 4, 19)</f>
        <v>42844</v>
      </c>
      <c r="B79" s="10">
        <v>52.93</v>
      </c>
      <c r="C79" s="10">
        <v>53.43</v>
      </c>
      <c r="D79" s="10">
        <v>53.77</v>
      </c>
      <c r="E79" s="10">
        <v>54.01</v>
      </c>
      <c r="F79" s="10">
        <v>54.19</v>
      </c>
      <c r="G79" s="10">
        <v>54.31</v>
      </c>
      <c r="H79" s="10">
        <v>54.39</v>
      </c>
      <c r="I79" s="10">
        <v>54.43</v>
      </c>
      <c r="J79" s="10">
        <v>54.45</v>
      </c>
      <c r="K79" s="10">
        <v>54.45</v>
      </c>
      <c r="L79" s="10">
        <v>54.43</v>
      </c>
      <c r="M79" s="10">
        <v>54.39</v>
      </c>
      <c r="N79" s="10">
        <v>50.44</v>
      </c>
      <c r="O79" s="10">
        <v>50.85</v>
      </c>
      <c r="P79" s="10">
        <v>51.2</v>
      </c>
      <c r="Q79" s="10">
        <v>51.48</v>
      </c>
      <c r="R79" s="10">
        <v>51.71</v>
      </c>
      <c r="S79" s="10">
        <v>51.9</v>
      </c>
      <c r="T79" s="10">
        <v>52.05</v>
      </c>
      <c r="U79" s="10">
        <v>52.16</v>
      </c>
      <c r="V79" s="10">
        <v>52.23</v>
      </c>
      <c r="W79" s="10">
        <v>52.27</v>
      </c>
      <c r="X79" s="10">
        <v>52.28</v>
      </c>
      <c r="Y79" s="10">
        <v>52.27</v>
      </c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</row>
    <row r="80" spans="1:147" x14ac:dyDescent="0.3">
      <c r="A80" s="9">
        <f>DATE(2017, 4, 20)</f>
        <v>42845</v>
      </c>
      <c r="B80" s="10">
        <v>52.99</v>
      </c>
      <c r="C80" s="10">
        <v>53.46</v>
      </c>
      <c r="D80" s="10">
        <v>53.79</v>
      </c>
      <c r="E80" s="10">
        <v>54.03</v>
      </c>
      <c r="F80" s="10">
        <v>54.2</v>
      </c>
      <c r="G80" s="10">
        <v>54.31</v>
      </c>
      <c r="H80" s="10">
        <v>54.38</v>
      </c>
      <c r="I80" s="10">
        <v>54.41</v>
      </c>
      <c r="J80" s="10">
        <v>54.42</v>
      </c>
      <c r="K80" s="10">
        <v>54.4</v>
      </c>
      <c r="L80" s="10">
        <v>54.36</v>
      </c>
      <c r="M80" s="10">
        <v>54.31</v>
      </c>
      <c r="N80" s="10">
        <v>50.27</v>
      </c>
      <c r="O80" s="10">
        <v>50.71</v>
      </c>
      <c r="P80" s="10">
        <v>51.07</v>
      </c>
      <c r="Q80" s="10">
        <v>51.36</v>
      </c>
      <c r="R80" s="10">
        <v>51.61</v>
      </c>
      <c r="S80" s="10">
        <v>51.82</v>
      </c>
      <c r="T80" s="10">
        <v>51.99</v>
      </c>
      <c r="U80" s="10">
        <v>52.11</v>
      </c>
      <c r="V80" s="10">
        <v>52.2</v>
      </c>
      <c r="W80" s="10">
        <v>52.25</v>
      </c>
      <c r="X80" s="10">
        <v>52.27</v>
      </c>
      <c r="Y80" s="10">
        <v>52.26</v>
      </c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</row>
    <row r="81" spans="1:147" x14ac:dyDescent="0.3">
      <c r="A81" s="9">
        <f>DATE(2017, 4, 21)</f>
        <v>42846</v>
      </c>
      <c r="B81" s="10">
        <v>51.96</v>
      </c>
      <c r="C81" s="10">
        <v>52.44</v>
      </c>
      <c r="D81" s="10">
        <v>52.8</v>
      </c>
      <c r="E81" s="10">
        <v>53.07</v>
      </c>
      <c r="F81" s="10">
        <v>53.28</v>
      </c>
      <c r="G81" s="10">
        <v>53.43</v>
      </c>
      <c r="H81" s="10">
        <v>53.53</v>
      </c>
      <c r="I81" s="10">
        <v>53.59</v>
      </c>
      <c r="J81" s="10">
        <v>53.63</v>
      </c>
      <c r="K81" s="10">
        <v>53.64</v>
      </c>
      <c r="L81" s="10">
        <v>53.64</v>
      </c>
      <c r="M81" s="10">
        <v>53.62</v>
      </c>
      <c r="N81" s="10">
        <v>49.62</v>
      </c>
      <c r="O81" s="10">
        <v>49.97</v>
      </c>
      <c r="P81" s="10">
        <v>50.28</v>
      </c>
      <c r="Q81" s="10">
        <v>50.55</v>
      </c>
      <c r="R81" s="10">
        <v>50.8</v>
      </c>
      <c r="S81" s="10">
        <v>51.01</v>
      </c>
      <c r="T81" s="10">
        <v>51.18</v>
      </c>
      <c r="U81" s="10">
        <v>51.3</v>
      </c>
      <c r="V81" s="10">
        <v>51.38</v>
      </c>
      <c r="W81" s="10">
        <v>51.43</v>
      </c>
      <c r="X81" s="10">
        <v>51.45</v>
      </c>
      <c r="Y81" s="10">
        <v>51.45</v>
      </c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</row>
    <row r="82" spans="1:147" x14ac:dyDescent="0.3">
      <c r="A82" s="9">
        <f>DATE(2017, 4, 24)</f>
        <v>42849</v>
      </c>
      <c r="B82" s="10">
        <v>51.6</v>
      </c>
      <c r="C82" s="10">
        <v>52.13</v>
      </c>
      <c r="D82" s="10">
        <v>52.47</v>
      </c>
      <c r="E82" s="10">
        <v>52.72</v>
      </c>
      <c r="F82" s="10">
        <v>52.92</v>
      </c>
      <c r="G82" s="10">
        <v>53.07</v>
      </c>
      <c r="H82" s="10">
        <v>53.18</v>
      </c>
      <c r="I82" s="10">
        <v>53.24</v>
      </c>
      <c r="J82" s="10">
        <v>53.27</v>
      </c>
      <c r="K82" s="10">
        <v>53.28</v>
      </c>
      <c r="L82" s="10">
        <v>53.27</v>
      </c>
      <c r="M82" s="10">
        <v>53.25</v>
      </c>
      <c r="N82" s="10">
        <v>49.23</v>
      </c>
      <c r="O82" s="10">
        <v>49.58</v>
      </c>
      <c r="P82" s="10">
        <v>49.89</v>
      </c>
      <c r="Q82" s="10">
        <v>50.17</v>
      </c>
      <c r="R82" s="10">
        <v>50.42</v>
      </c>
      <c r="S82" s="10">
        <v>50.63</v>
      </c>
      <c r="T82" s="10">
        <v>50.81</v>
      </c>
      <c r="U82" s="10">
        <v>50.94</v>
      </c>
      <c r="V82" s="10">
        <v>51.03</v>
      </c>
      <c r="W82" s="10">
        <v>51.08</v>
      </c>
      <c r="X82" s="10">
        <v>51.11</v>
      </c>
      <c r="Y82" s="10">
        <v>51.11</v>
      </c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</row>
    <row r="83" spans="1:147" x14ac:dyDescent="0.3">
      <c r="A83" s="9">
        <f>DATE(2017, 4, 25)</f>
        <v>42850</v>
      </c>
      <c r="B83" s="10">
        <v>52.1</v>
      </c>
      <c r="C83" s="10">
        <v>52.57</v>
      </c>
      <c r="D83" s="10">
        <v>52.86</v>
      </c>
      <c r="E83" s="10">
        <v>53.07</v>
      </c>
      <c r="F83" s="10">
        <v>53.22</v>
      </c>
      <c r="G83" s="10">
        <v>53.34</v>
      </c>
      <c r="H83" s="10">
        <v>53.41</v>
      </c>
      <c r="I83" s="10">
        <v>53.45</v>
      </c>
      <c r="J83" s="10">
        <v>53.45</v>
      </c>
      <c r="K83" s="10">
        <v>53.43</v>
      </c>
      <c r="L83" s="10">
        <v>53.4</v>
      </c>
      <c r="M83" s="10">
        <v>53.36</v>
      </c>
      <c r="N83" s="10">
        <v>49.56</v>
      </c>
      <c r="O83" s="10">
        <v>49.9</v>
      </c>
      <c r="P83" s="10">
        <v>50.17</v>
      </c>
      <c r="Q83" s="10">
        <v>50.42</v>
      </c>
      <c r="R83" s="10">
        <v>50.64</v>
      </c>
      <c r="S83" s="10">
        <v>50.81</v>
      </c>
      <c r="T83" s="10">
        <v>50.95</v>
      </c>
      <c r="U83" s="10">
        <v>51.05</v>
      </c>
      <c r="V83" s="10">
        <v>51.11</v>
      </c>
      <c r="W83" s="10">
        <v>51.14</v>
      </c>
      <c r="X83" s="10">
        <v>51.15</v>
      </c>
      <c r="Y83" s="10">
        <v>51.13</v>
      </c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</row>
    <row r="84" spans="1:147" x14ac:dyDescent="0.3">
      <c r="A84" s="9">
        <f>DATE(2017, 4, 26)</f>
        <v>42851</v>
      </c>
      <c r="B84" s="10">
        <v>51.82</v>
      </c>
      <c r="C84" s="10">
        <v>52.41</v>
      </c>
      <c r="D84" s="10">
        <v>52.74</v>
      </c>
      <c r="E84" s="10">
        <v>52.97</v>
      </c>
      <c r="F84" s="10">
        <v>53.13</v>
      </c>
      <c r="G84" s="10">
        <v>53.25</v>
      </c>
      <c r="H84" s="10">
        <v>53.32</v>
      </c>
      <c r="I84" s="10">
        <v>53.37</v>
      </c>
      <c r="J84" s="10">
        <v>53.37</v>
      </c>
      <c r="K84" s="10">
        <v>53.36</v>
      </c>
      <c r="L84" s="10">
        <v>53.34</v>
      </c>
      <c r="M84" s="10">
        <v>53.31</v>
      </c>
      <c r="N84" s="10">
        <v>49.62</v>
      </c>
      <c r="O84" s="10">
        <v>49.96</v>
      </c>
      <c r="P84" s="10">
        <v>50.21</v>
      </c>
      <c r="Q84" s="10">
        <v>50.45</v>
      </c>
      <c r="R84" s="10">
        <v>50.67</v>
      </c>
      <c r="S84" s="10">
        <v>50.84</v>
      </c>
      <c r="T84" s="10">
        <v>50.98</v>
      </c>
      <c r="U84" s="10">
        <v>51.08</v>
      </c>
      <c r="V84" s="10">
        <v>51.13</v>
      </c>
      <c r="W84" s="10">
        <v>51.15</v>
      </c>
      <c r="X84" s="10">
        <v>51.15</v>
      </c>
      <c r="Y84" s="10">
        <v>51.12</v>
      </c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</row>
    <row r="85" spans="1:147" x14ac:dyDescent="0.3">
      <c r="A85" s="9">
        <f>DATE(2017, 4, 27)</f>
        <v>42852</v>
      </c>
      <c r="B85" s="10">
        <v>51.44</v>
      </c>
      <c r="C85" s="10">
        <v>51.82</v>
      </c>
      <c r="D85" s="10">
        <v>52.13</v>
      </c>
      <c r="E85" s="10">
        <v>52.35</v>
      </c>
      <c r="F85" s="10">
        <v>52.51</v>
      </c>
      <c r="G85" s="10">
        <v>52.63</v>
      </c>
      <c r="H85" s="10">
        <v>52.7</v>
      </c>
      <c r="I85" s="10">
        <v>52.75</v>
      </c>
      <c r="J85" s="10">
        <v>52.76</v>
      </c>
      <c r="K85" s="10">
        <v>52.76</v>
      </c>
      <c r="L85" s="10">
        <v>52.74</v>
      </c>
      <c r="M85" s="10">
        <v>52.71</v>
      </c>
      <c r="N85" s="10">
        <v>48.97</v>
      </c>
      <c r="O85" s="10">
        <v>49.31</v>
      </c>
      <c r="P85" s="10">
        <v>49.56</v>
      </c>
      <c r="Q85" s="10">
        <v>49.8</v>
      </c>
      <c r="R85" s="10">
        <v>50.01</v>
      </c>
      <c r="S85" s="10">
        <v>50.18</v>
      </c>
      <c r="T85" s="10">
        <v>50.32</v>
      </c>
      <c r="U85" s="10">
        <v>50.42</v>
      </c>
      <c r="V85" s="10">
        <v>50.47</v>
      </c>
      <c r="W85" s="10">
        <v>50.49</v>
      </c>
      <c r="X85" s="10">
        <v>50.48</v>
      </c>
      <c r="Y85" s="10">
        <v>50.44</v>
      </c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</row>
    <row r="86" spans="1:147" x14ac:dyDescent="0.3">
      <c r="A86" s="9">
        <f>DATE(2017, 4, 28)</f>
        <v>42853</v>
      </c>
      <c r="B86" s="10">
        <v>51.73</v>
      </c>
      <c r="C86" s="10">
        <v>52.05</v>
      </c>
      <c r="D86" s="10">
        <v>52.37</v>
      </c>
      <c r="E86" s="10">
        <v>52.6</v>
      </c>
      <c r="F86" s="10">
        <v>52.78</v>
      </c>
      <c r="G86" s="10">
        <v>52.92</v>
      </c>
      <c r="H86" s="10">
        <v>53</v>
      </c>
      <c r="I86" s="10">
        <v>53.05</v>
      </c>
      <c r="J86" s="10">
        <v>53.06</v>
      </c>
      <c r="K86" s="10">
        <v>53.06</v>
      </c>
      <c r="L86" s="10">
        <v>53.05</v>
      </c>
      <c r="M86" s="10">
        <v>53.03</v>
      </c>
      <c r="N86" s="10">
        <v>49.33</v>
      </c>
      <c r="O86" s="10">
        <v>49.62</v>
      </c>
      <c r="P86" s="10">
        <v>49.85</v>
      </c>
      <c r="Q86" s="10">
        <v>50.08</v>
      </c>
      <c r="R86" s="10">
        <v>50.29</v>
      </c>
      <c r="S86" s="10">
        <v>50.46</v>
      </c>
      <c r="T86" s="10">
        <v>50.59</v>
      </c>
      <c r="U86" s="10">
        <v>50.69</v>
      </c>
      <c r="V86" s="10">
        <v>50.74</v>
      </c>
      <c r="W86" s="10">
        <v>50.75</v>
      </c>
      <c r="X86" s="10">
        <v>50.73</v>
      </c>
      <c r="Y86" s="10">
        <v>50.68</v>
      </c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</row>
    <row r="87" spans="1:147" x14ac:dyDescent="0.3">
      <c r="A87" s="9">
        <f>DATE(2017, 5, 1)</f>
        <v>42856</v>
      </c>
      <c r="B87" s="10">
        <v>51.52</v>
      </c>
      <c r="C87" s="10">
        <v>51.86</v>
      </c>
      <c r="D87" s="10">
        <v>52.09</v>
      </c>
      <c r="E87" s="10">
        <v>52.28</v>
      </c>
      <c r="F87" s="10">
        <v>52.43</v>
      </c>
      <c r="G87" s="10">
        <v>52.53</v>
      </c>
      <c r="H87" s="10">
        <v>52.6</v>
      </c>
      <c r="I87" s="10">
        <v>52.62</v>
      </c>
      <c r="J87" s="10">
        <v>52.62</v>
      </c>
      <c r="K87" s="10">
        <v>52.61</v>
      </c>
      <c r="L87" s="10">
        <v>52.59</v>
      </c>
      <c r="M87" s="10">
        <v>52.56</v>
      </c>
      <c r="N87" s="10">
        <v>48.84</v>
      </c>
      <c r="O87" s="10">
        <v>49.16</v>
      </c>
      <c r="P87" s="10">
        <v>49.4</v>
      </c>
      <c r="Q87" s="10">
        <v>49.63</v>
      </c>
      <c r="R87" s="10">
        <v>49.84</v>
      </c>
      <c r="S87" s="10">
        <v>50.03</v>
      </c>
      <c r="T87" s="10">
        <v>50.18</v>
      </c>
      <c r="U87" s="10">
        <v>50.29</v>
      </c>
      <c r="V87" s="10">
        <v>50.35</v>
      </c>
      <c r="W87" s="10">
        <v>50.37</v>
      </c>
      <c r="X87" s="10">
        <v>50.35</v>
      </c>
      <c r="Y87" s="10">
        <v>50.31</v>
      </c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</row>
    <row r="88" spans="1:147" x14ac:dyDescent="0.3">
      <c r="A88" s="9">
        <f>DATE(2017, 5, 2)</f>
        <v>42857</v>
      </c>
      <c r="B88" s="10">
        <v>50.46</v>
      </c>
      <c r="C88" s="10">
        <v>50.76</v>
      </c>
      <c r="D88" s="10">
        <v>50.97</v>
      </c>
      <c r="E88" s="10">
        <v>51.15</v>
      </c>
      <c r="F88" s="10">
        <v>51.3</v>
      </c>
      <c r="G88" s="10">
        <v>51.4</v>
      </c>
      <c r="H88" s="10">
        <v>51.46</v>
      </c>
      <c r="I88" s="10">
        <v>51.49</v>
      </c>
      <c r="J88" s="10">
        <v>51.49</v>
      </c>
      <c r="K88" s="10">
        <v>51.48</v>
      </c>
      <c r="L88" s="10">
        <v>51.46</v>
      </c>
      <c r="M88" s="10">
        <v>51.43</v>
      </c>
      <c r="N88" s="10">
        <v>47.66</v>
      </c>
      <c r="O88" s="10">
        <v>47.99</v>
      </c>
      <c r="P88" s="10">
        <v>48.24</v>
      </c>
      <c r="Q88" s="10">
        <v>48.48</v>
      </c>
      <c r="R88" s="10">
        <v>48.71</v>
      </c>
      <c r="S88" s="10">
        <v>48.93</v>
      </c>
      <c r="T88" s="10">
        <v>49.1</v>
      </c>
      <c r="U88" s="10">
        <v>49.21</v>
      </c>
      <c r="V88" s="10">
        <v>49.26</v>
      </c>
      <c r="W88" s="10">
        <v>49.27</v>
      </c>
      <c r="X88" s="10">
        <v>49.25</v>
      </c>
      <c r="Y88" s="10">
        <v>49.21</v>
      </c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</row>
    <row r="89" spans="1:147" x14ac:dyDescent="0.3">
      <c r="A89" s="9">
        <f>DATE(2017, 5, 3)</f>
        <v>42858</v>
      </c>
      <c r="B89" s="10">
        <v>50.79</v>
      </c>
      <c r="C89" s="10">
        <v>51.07</v>
      </c>
      <c r="D89" s="10">
        <v>51.26</v>
      </c>
      <c r="E89" s="10">
        <v>51.43</v>
      </c>
      <c r="F89" s="10">
        <v>51.58</v>
      </c>
      <c r="G89" s="10">
        <v>51.69</v>
      </c>
      <c r="H89" s="10">
        <v>51.75</v>
      </c>
      <c r="I89" s="10">
        <v>51.77</v>
      </c>
      <c r="J89" s="10">
        <v>51.77</v>
      </c>
      <c r="K89" s="10">
        <v>51.76</v>
      </c>
      <c r="L89" s="10">
        <v>51.73</v>
      </c>
      <c r="M89" s="10">
        <v>51.7</v>
      </c>
      <c r="N89" s="10">
        <v>47.82</v>
      </c>
      <c r="O89" s="10">
        <v>48.18</v>
      </c>
      <c r="P89" s="10">
        <v>48.45</v>
      </c>
      <c r="Q89" s="10">
        <v>48.69</v>
      </c>
      <c r="R89" s="10">
        <v>48.92</v>
      </c>
      <c r="S89" s="10">
        <v>49.14</v>
      </c>
      <c r="T89" s="10">
        <v>49.32</v>
      </c>
      <c r="U89" s="10">
        <v>49.44</v>
      </c>
      <c r="V89" s="10">
        <v>49.5</v>
      </c>
      <c r="W89" s="10">
        <v>49.51</v>
      </c>
      <c r="X89" s="10">
        <v>49.49</v>
      </c>
      <c r="Y89" s="10">
        <v>49.46</v>
      </c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</row>
    <row r="90" spans="1:147" x14ac:dyDescent="0.3">
      <c r="A90" s="9">
        <f>DATE(2017, 5, 4)</f>
        <v>42859</v>
      </c>
      <c r="B90" s="10">
        <v>48.38</v>
      </c>
      <c r="C90" s="10">
        <v>48.72</v>
      </c>
      <c r="D90" s="10">
        <v>48.97</v>
      </c>
      <c r="E90" s="10">
        <v>49.16</v>
      </c>
      <c r="F90" s="10">
        <v>49.34</v>
      </c>
      <c r="G90" s="10">
        <v>49.48</v>
      </c>
      <c r="H90" s="10">
        <v>49.57</v>
      </c>
      <c r="I90" s="10">
        <v>49.63</v>
      </c>
      <c r="J90" s="10">
        <v>49.68</v>
      </c>
      <c r="K90" s="10">
        <v>49.71</v>
      </c>
      <c r="L90" s="10">
        <v>49.73</v>
      </c>
      <c r="M90" s="10">
        <v>49.74</v>
      </c>
      <c r="N90" s="10">
        <v>45.52</v>
      </c>
      <c r="O90" s="10">
        <v>45.9</v>
      </c>
      <c r="P90" s="10">
        <v>46.19</v>
      </c>
      <c r="Q90" s="10">
        <v>46.47</v>
      </c>
      <c r="R90" s="10">
        <v>46.74</v>
      </c>
      <c r="S90" s="10">
        <v>47</v>
      </c>
      <c r="T90" s="10">
        <v>47.23</v>
      </c>
      <c r="U90" s="10">
        <v>47.39</v>
      </c>
      <c r="V90" s="10">
        <v>47.49</v>
      </c>
      <c r="W90" s="10">
        <v>47.55</v>
      </c>
      <c r="X90" s="10">
        <v>47.58</v>
      </c>
      <c r="Y90" s="10">
        <v>47.59</v>
      </c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</row>
    <row r="91" spans="1:147" x14ac:dyDescent="0.3">
      <c r="A91" s="9">
        <f>DATE(2017, 5, 5)</f>
        <v>42860</v>
      </c>
      <c r="B91" s="10">
        <v>49.1</v>
      </c>
      <c r="C91" s="10">
        <v>49.48</v>
      </c>
      <c r="D91" s="10">
        <v>49.74</v>
      </c>
      <c r="E91" s="10">
        <v>49.95</v>
      </c>
      <c r="F91" s="10">
        <v>50.14</v>
      </c>
      <c r="G91" s="10">
        <v>50.3</v>
      </c>
      <c r="H91" s="10">
        <v>50.41</v>
      </c>
      <c r="I91" s="10">
        <v>50.5</v>
      </c>
      <c r="J91" s="10">
        <v>50.58</v>
      </c>
      <c r="K91" s="10">
        <v>50.63</v>
      </c>
      <c r="L91" s="10">
        <v>50.67</v>
      </c>
      <c r="M91" s="10">
        <v>50.7</v>
      </c>
      <c r="N91" s="10">
        <v>46.22</v>
      </c>
      <c r="O91" s="10">
        <v>46.6</v>
      </c>
      <c r="P91" s="10">
        <v>46.91</v>
      </c>
      <c r="Q91" s="10">
        <v>47.2</v>
      </c>
      <c r="R91" s="10">
        <v>47.48</v>
      </c>
      <c r="S91" s="10">
        <v>47.75</v>
      </c>
      <c r="T91" s="10">
        <v>47.98</v>
      </c>
      <c r="U91" s="10">
        <v>48.17</v>
      </c>
      <c r="V91" s="10">
        <v>48.29</v>
      </c>
      <c r="W91" s="10">
        <v>48.37</v>
      </c>
      <c r="X91" s="10">
        <v>48.41</v>
      </c>
      <c r="Y91" s="10">
        <v>48.43</v>
      </c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</row>
    <row r="92" spans="1:147" x14ac:dyDescent="0.3">
      <c r="A92" s="9">
        <f>DATE(2017, 5, 8)</f>
        <v>42863</v>
      </c>
      <c r="B92" s="10">
        <v>49.34</v>
      </c>
      <c r="C92" s="10">
        <v>49.75</v>
      </c>
      <c r="D92" s="10">
        <v>50.02</v>
      </c>
      <c r="E92" s="10">
        <v>50.24</v>
      </c>
      <c r="F92" s="10">
        <v>50.43</v>
      </c>
      <c r="G92" s="10">
        <v>50.61</v>
      </c>
      <c r="H92" s="10">
        <v>50.74</v>
      </c>
      <c r="I92" s="10">
        <v>50.84</v>
      </c>
      <c r="J92" s="10">
        <v>50.92</v>
      </c>
      <c r="K92" s="10">
        <v>50.97</v>
      </c>
      <c r="L92" s="10">
        <v>51.01</v>
      </c>
      <c r="M92" s="10">
        <v>51.03</v>
      </c>
      <c r="N92" s="10">
        <v>46.43</v>
      </c>
      <c r="O92" s="10">
        <v>46.84</v>
      </c>
      <c r="P92" s="10">
        <v>47.19</v>
      </c>
      <c r="Q92" s="10">
        <v>47.5</v>
      </c>
      <c r="R92" s="10">
        <v>47.79</v>
      </c>
      <c r="S92" s="10">
        <v>48.07</v>
      </c>
      <c r="T92" s="10">
        <v>48.31</v>
      </c>
      <c r="U92" s="10">
        <v>48.5</v>
      </c>
      <c r="V92" s="10">
        <v>48.63</v>
      </c>
      <c r="W92" s="10">
        <v>48.71</v>
      </c>
      <c r="X92" s="10">
        <v>48.75</v>
      </c>
      <c r="Y92" s="10">
        <v>48.78</v>
      </c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</row>
    <row r="93" spans="1:147" x14ac:dyDescent="0.3">
      <c r="A93" s="9">
        <f>DATE(2017, 5, 9)</f>
        <v>42864</v>
      </c>
      <c r="B93" s="10">
        <v>48.73</v>
      </c>
      <c r="C93" s="10">
        <v>49.11</v>
      </c>
      <c r="D93" s="10">
        <v>49.38</v>
      </c>
      <c r="E93" s="10">
        <v>49.61</v>
      </c>
      <c r="F93" s="10">
        <v>49.82</v>
      </c>
      <c r="G93" s="10">
        <v>50.03</v>
      </c>
      <c r="H93" s="10">
        <v>50.18</v>
      </c>
      <c r="I93" s="10">
        <v>50.31</v>
      </c>
      <c r="J93" s="10">
        <v>50.42</v>
      </c>
      <c r="K93" s="10">
        <v>50.5</v>
      </c>
      <c r="L93" s="10">
        <v>50.56</v>
      </c>
      <c r="M93" s="10">
        <v>50.6</v>
      </c>
      <c r="N93" s="10">
        <v>45.88</v>
      </c>
      <c r="O93" s="10">
        <v>46.27</v>
      </c>
      <c r="P93" s="10">
        <v>46.62</v>
      </c>
      <c r="Q93" s="10">
        <v>46.92</v>
      </c>
      <c r="R93" s="10">
        <v>47.2</v>
      </c>
      <c r="S93" s="10">
        <v>47.48</v>
      </c>
      <c r="T93" s="10">
        <v>47.73</v>
      </c>
      <c r="U93" s="10">
        <v>47.94</v>
      </c>
      <c r="V93" s="10">
        <v>48.09</v>
      </c>
      <c r="W93" s="10">
        <v>48.19</v>
      </c>
      <c r="X93" s="10">
        <v>48.25</v>
      </c>
      <c r="Y93" s="10">
        <v>48.29</v>
      </c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</row>
    <row r="94" spans="1:147" x14ac:dyDescent="0.3">
      <c r="A94" s="9">
        <f>DATE(2017, 5, 10)</f>
        <v>42865</v>
      </c>
      <c r="B94" s="10">
        <v>50.22</v>
      </c>
      <c r="C94" s="10">
        <v>50.54</v>
      </c>
      <c r="D94" s="10">
        <v>50.76</v>
      </c>
      <c r="E94" s="10">
        <v>50.95</v>
      </c>
      <c r="F94" s="10">
        <v>51.11</v>
      </c>
      <c r="G94" s="10">
        <v>51.27</v>
      </c>
      <c r="H94" s="10">
        <v>51.39</v>
      </c>
      <c r="I94" s="10">
        <v>51.49</v>
      </c>
      <c r="J94" s="10">
        <v>51.58</v>
      </c>
      <c r="K94" s="10">
        <v>51.63</v>
      </c>
      <c r="L94" s="10">
        <v>51.66</v>
      </c>
      <c r="M94" s="10">
        <v>51.67</v>
      </c>
      <c r="N94" s="10">
        <v>47.33</v>
      </c>
      <c r="O94" s="10">
        <v>47.7</v>
      </c>
      <c r="P94" s="10">
        <v>48.02</v>
      </c>
      <c r="Q94" s="10">
        <v>48.29</v>
      </c>
      <c r="R94" s="10">
        <v>48.53</v>
      </c>
      <c r="S94" s="10">
        <v>48.77</v>
      </c>
      <c r="T94" s="10">
        <v>48.98</v>
      </c>
      <c r="U94" s="10">
        <v>49.16</v>
      </c>
      <c r="V94" s="10">
        <v>49.28</v>
      </c>
      <c r="W94" s="10">
        <v>49.35</v>
      </c>
      <c r="X94" s="10">
        <v>49.39</v>
      </c>
      <c r="Y94" s="10">
        <v>49.41</v>
      </c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</row>
    <row r="95" spans="1:147" x14ac:dyDescent="0.3">
      <c r="A95" s="9">
        <f>DATE(2017, 5, 11)</f>
        <v>42866</v>
      </c>
      <c r="B95" s="10">
        <v>50.77</v>
      </c>
      <c r="C95" s="10">
        <v>51.05</v>
      </c>
      <c r="D95" s="10">
        <v>51.23</v>
      </c>
      <c r="E95" s="10">
        <v>51.4</v>
      </c>
      <c r="F95" s="10">
        <v>51.56</v>
      </c>
      <c r="G95" s="10">
        <v>51.71</v>
      </c>
      <c r="H95" s="10">
        <v>51.81</v>
      </c>
      <c r="I95" s="10">
        <v>51.89</v>
      </c>
      <c r="J95" s="10">
        <v>51.96</v>
      </c>
      <c r="K95" s="10">
        <v>51.99</v>
      </c>
      <c r="L95" s="10">
        <v>52</v>
      </c>
      <c r="M95" s="10">
        <v>51.99</v>
      </c>
      <c r="N95" s="10">
        <v>47.83</v>
      </c>
      <c r="O95" s="10">
        <v>48.2</v>
      </c>
      <c r="P95" s="10">
        <v>48.51</v>
      </c>
      <c r="Q95" s="10">
        <v>48.77</v>
      </c>
      <c r="R95" s="10">
        <v>49</v>
      </c>
      <c r="S95" s="10">
        <v>49.23</v>
      </c>
      <c r="T95" s="10">
        <v>49.43</v>
      </c>
      <c r="U95" s="10">
        <v>49.59</v>
      </c>
      <c r="V95" s="10">
        <v>49.69</v>
      </c>
      <c r="W95" s="10">
        <v>49.74</v>
      </c>
      <c r="X95" s="10">
        <v>49.76</v>
      </c>
      <c r="Y95" s="10">
        <v>49.77</v>
      </c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</row>
    <row r="96" spans="1:147" x14ac:dyDescent="0.3">
      <c r="A96" s="9">
        <f>DATE(2017, 5, 12)</f>
        <v>42867</v>
      </c>
      <c r="B96" s="10">
        <v>50.84</v>
      </c>
      <c r="C96" s="10">
        <v>51.05</v>
      </c>
      <c r="D96" s="10">
        <v>51.2</v>
      </c>
      <c r="E96" s="10">
        <v>51.35</v>
      </c>
      <c r="F96" s="10">
        <v>51.49</v>
      </c>
      <c r="G96" s="10">
        <v>51.62</v>
      </c>
      <c r="H96" s="10">
        <v>51.69</v>
      </c>
      <c r="I96" s="10">
        <v>51.75</v>
      </c>
      <c r="J96" s="10">
        <v>51.8</v>
      </c>
      <c r="K96" s="10">
        <v>51.82</v>
      </c>
      <c r="L96" s="10">
        <v>51.82</v>
      </c>
      <c r="M96" s="10">
        <v>51.8</v>
      </c>
      <c r="N96" s="10">
        <v>47.84</v>
      </c>
      <c r="O96" s="10">
        <v>48.17</v>
      </c>
      <c r="P96" s="10">
        <v>48.44</v>
      </c>
      <c r="Q96" s="10">
        <v>48.67</v>
      </c>
      <c r="R96" s="10">
        <v>48.88</v>
      </c>
      <c r="S96" s="10">
        <v>49.08</v>
      </c>
      <c r="T96" s="10">
        <v>49.26</v>
      </c>
      <c r="U96" s="10">
        <v>49.39</v>
      </c>
      <c r="V96" s="10">
        <v>49.47</v>
      </c>
      <c r="W96" s="10">
        <v>49.51</v>
      </c>
      <c r="X96" s="10">
        <v>49.52</v>
      </c>
      <c r="Y96" s="10">
        <v>49.51</v>
      </c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</row>
    <row r="97" spans="1:147" x14ac:dyDescent="0.3">
      <c r="A97" s="9">
        <f>DATE(2017, 5, 15)</f>
        <v>42870</v>
      </c>
      <c r="B97" s="10">
        <v>51.82</v>
      </c>
      <c r="C97" s="10">
        <v>52.01</v>
      </c>
      <c r="D97" s="10">
        <v>52.14</v>
      </c>
      <c r="E97" s="10">
        <v>52.25</v>
      </c>
      <c r="F97" s="10">
        <v>52.36</v>
      </c>
      <c r="G97" s="10">
        <v>52.44</v>
      </c>
      <c r="H97" s="10">
        <v>52.46</v>
      </c>
      <c r="I97" s="10">
        <v>52.46</v>
      </c>
      <c r="J97" s="10">
        <v>52.44</v>
      </c>
      <c r="K97" s="10">
        <v>52.4</v>
      </c>
      <c r="L97" s="10">
        <v>52.35</v>
      </c>
      <c r="M97" s="10">
        <v>52.28</v>
      </c>
      <c r="N97" s="10">
        <v>48.85</v>
      </c>
      <c r="O97" s="10">
        <v>49.16</v>
      </c>
      <c r="P97" s="10">
        <v>49.4</v>
      </c>
      <c r="Q97" s="10">
        <v>49.61</v>
      </c>
      <c r="R97" s="10">
        <v>49.78</v>
      </c>
      <c r="S97" s="10">
        <v>49.94</v>
      </c>
      <c r="T97" s="10">
        <v>50.07</v>
      </c>
      <c r="U97" s="10">
        <v>50.16</v>
      </c>
      <c r="V97" s="10">
        <v>50.19</v>
      </c>
      <c r="W97" s="10">
        <v>50.18</v>
      </c>
      <c r="X97" s="10">
        <v>50.15</v>
      </c>
      <c r="Y97" s="10">
        <v>50.11</v>
      </c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</row>
    <row r="98" spans="1:147" x14ac:dyDescent="0.3">
      <c r="A98" s="9">
        <f>DATE(2017, 5, 16)</f>
        <v>42871</v>
      </c>
      <c r="B98" s="10">
        <v>51.65</v>
      </c>
      <c r="C98" s="10">
        <v>51.91</v>
      </c>
      <c r="D98" s="10">
        <v>52.09</v>
      </c>
      <c r="E98" s="10">
        <v>52.25</v>
      </c>
      <c r="F98" s="10">
        <v>52.4</v>
      </c>
      <c r="G98" s="10">
        <v>52.5</v>
      </c>
      <c r="H98" s="10">
        <v>52.55</v>
      </c>
      <c r="I98" s="10">
        <v>52.57</v>
      </c>
      <c r="J98" s="10">
        <v>52.57</v>
      </c>
      <c r="K98" s="10">
        <v>52.55</v>
      </c>
      <c r="L98" s="10">
        <v>52.52</v>
      </c>
      <c r="M98" s="10">
        <v>52.47</v>
      </c>
      <c r="N98" s="10">
        <v>48.66</v>
      </c>
      <c r="O98" s="10">
        <v>49</v>
      </c>
      <c r="P98" s="10">
        <v>49.29</v>
      </c>
      <c r="Q98" s="10">
        <v>49.55</v>
      </c>
      <c r="R98" s="10">
        <v>49.76</v>
      </c>
      <c r="S98" s="10">
        <v>49.95</v>
      </c>
      <c r="T98" s="10">
        <v>50.11</v>
      </c>
      <c r="U98" s="10">
        <v>50.22</v>
      </c>
      <c r="V98" s="10">
        <v>50.27</v>
      </c>
      <c r="W98" s="10">
        <v>50.28</v>
      </c>
      <c r="X98" s="10">
        <v>50.26</v>
      </c>
      <c r="Y98" s="10">
        <v>50.23</v>
      </c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</row>
    <row r="99" spans="1:147" x14ac:dyDescent="0.3">
      <c r="A99" s="9">
        <f>DATE(2017, 5, 17)</f>
        <v>42872</v>
      </c>
      <c r="B99" s="10">
        <v>52.21</v>
      </c>
      <c r="C99" s="10">
        <v>52.44</v>
      </c>
      <c r="D99" s="10">
        <v>52.61</v>
      </c>
      <c r="E99" s="10">
        <v>52.76</v>
      </c>
      <c r="F99" s="10">
        <v>52.9</v>
      </c>
      <c r="G99" s="10">
        <v>53</v>
      </c>
      <c r="H99" s="10">
        <v>53.05</v>
      </c>
      <c r="I99" s="10">
        <v>53.06</v>
      </c>
      <c r="J99" s="10">
        <v>53.05</v>
      </c>
      <c r="K99" s="10">
        <v>53.02</v>
      </c>
      <c r="L99" s="10">
        <v>52.97</v>
      </c>
      <c r="M99" s="10">
        <v>52.9</v>
      </c>
      <c r="N99" s="10">
        <v>49.07</v>
      </c>
      <c r="O99" s="10">
        <v>49.41</v>
      </c>
      <c r="P99" s="10">
        <v>49.7</v>
      </c>
      <c r="Q99" s="10">
        <v>49.97</v>
      </c>
      <c r="R99" s="10">
        <v>50.19</v>
      </c>
      <c r="S99" s="10">
        <v>50.38</v>
      </c>
      <c r="T99" s="10">
        <v>50.53</v>
      </c>
      <c r="U99" s="10">
        <v>50.63</v>
      </c>
      <c r="V99" s="10">
        <v>50.67</v>
      </c>
      <c r="W99" s="10">
        <v>50.66</v>
      </c>
      <c r="X99" s="10">
        <v>50.63</v>
      </c>
      <c r="Y99" s="10">
        <v>50.59</v>
      </c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</row>
    <row r="100" spans="1:147" x14ac:dyDescent="0.3">
      <c r="A100" s="9">
        <f>DATE(2017, 5, 18)</f>
        <v>42873</v>
      </c>
      <c r="B100" s="10">
        <v>52.51</v>
      </c>
      <c r="C100" s="10">
        <v>52.67</v>
      </c>
      <c r="D100" s="10">
        <v>52.82</v>
      </c>
      <c r="E100" s="10">
        <v>52.96</v>
      </c>
      <c r="F100" s="10">
        <v>53.09</v>
      </c>
      <c r="G100" s="10">
        <v>53.2</v>
      </c>
      <c r="H100" s="10">
        <v>53.24</v>
      </c>
      <c r="I100" s="10">
        <v>53.24</v>
      </c>
      <c r="J100" s="10">
        <v>53.23</v>
      </c>
      <c r="K100" s="10">
        <v>53.2</v>
      </c>
      <c r="L100" s="10">
        <v>53.15</v>
      </c>
      <c r="M100" s="10">
        <v>53.07</v>
      </c>
      <c r="N100" s="10">
        <v>49.35</v>
      </c>
      <c r="O100" s="10">
        <v>49.66</v>
      </c>
      <c r="P100" s="10">
        <v>49.91</v>
      </c>
      <c r="Q100" s="10">
        <v>50.14</v>
      </c>
      <c r="R100" s="10">
        <v>50.33</v>
      </c>
      <c r="S100" s="10">
        <v>50.5</v>
      </c>
      <c r="T100" s="10">
        <v>50.63</v>
      </c>
      <c r="U100" s="10">
        <v>50.71</v>
      </c>
      <c r="V100" s="10">
        <v>50.74</v>
      </c>
      <c r="W100" s="10">
        <v>50.74</v>
      </c>
      <c r="X100" s="10">
        <v>50.71</v>
      </c>
      <c r="Y100" s="10">
        <v>50.67</v>
      </c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</row>
    <row r="101" spans="1:147" x14ac:dyDescent="0.3">
      <c r="A101" s="9">
        <f>DATE(2017, 5, 19)</f>
        <v>42874</v>
      </c>
      <c r="B101" s="10">
        <v>53.61</v>
      </c>
      <c r="C101" s="10">
        <v>53.76</v>
      </c>
      <c r="D101" s="10">
        <v>53.9</v>
      </c>
      <c r="E101" s="10">
        <v>54.03</v>
      </c>
      <c r="F101" s="10">
        <v>54.15</v>
      </c>
      <c r="G101" s="10">
        <v>54.23</v>
      </c>
      <c r="H101" s="10">
        <v>54.26</v>
      </c>
      <c r="I101" s="10">
        <v>54.24</v>
      </c>
      <c r="J101" s="10">
        <v>54.2</v>
      </c>
      <c r="K101" s="10">
        <v>54.15</v>
      </c>
      <c r="L101" s="10">
        <v>54.08</v>
      </c>
      <c r="M101" s="10">
        <v>53.99</v>
      </c>
      <c r="N101" s="10">
        <v>50.33</v>
      </c>
      <c r="O101" s="10">
        <v>50.67</v>
      </c>
      <c r="P101" s="10">
        <v>50.92</v>
      </c>
      <c r="Q101" s="10">
        <v>51.13</v>
      </c>
      <c r="R101" s="10">
        <v>51.3</v>
      </c>
      <c r="S101" s="10">
        <v>51.45</v>
      </c>
      <c r="T101" s="10">
        <v>51.56</v>
      </c>
      <c r="U101" s="10">
        <v>51.62</v>
      </c>
      <c r="V101" s="10">
        <v>51.64</v>
      </c>
      <c r="W101" s="10">
        <v>51.62</v>
      </c>
      <c r="X101" s="10">
        <v>51.56</v>
      </c>
      <c r="Y101" s="10">
        <v>51.49</v>
      </c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</row>
    <row r="102" spans="1:147" x14ac:dyDescent="0.3">
      <c r="A102" s="9">
        <f>DATE(2017, 5, 22)</f>
        <v>42877</v>
      </c>
      <c r="B102" s="10">
        <v>53.87</v>
      </c>
      <c r="C102" s="10">
        <v>54.11</v>
      </c>
      <c r="D102" s="10">
        <v>54.3</v>
      </c>
      <c r="E102" s="10">
        <v>54.46</v>
      </c>
      <c r="F102" s="10">
        <v>54.59</v>
      </c>
      <c r="G102" s="10">
        <v>54.68</v>
      </c>
      <c r="H102" s="10">
        <v>54.72</v>
      </c>
      <c r="I102" s="10">
        <v>54.7</v>
      </c>
      <c r="J102" s="10">
        <v>54.65</v>
      </c>
      <c r="K102" s="10">
        <v>54.59</v>
      </c>
      <c r="L102" s="10">
        <v>54.51</v>
      </c>
      <c r="M102" s="10">
        <v>54.41</v>
      </c>
      <c r="N102" s="10">
        <v>50.73</v>
      </c>
      <c r="O102" s="10">
        <v>51.13</v>
      </c>
      <c r="P102" s="10">
        <v>51.4</v>
      </c>
      <c r="Q102" s="10">
        <v>51.63</v>
      </c>
      <c r="R102" s="10">
        <v>51.8</v>
      </c>
      <c r="S102" s="10">
        <v>51.95</v>
      </c>
      <c r="T102" s="10">
        <v>52.05</v>
      </c>
      <c r="U102" s="10">
        <v>52.11</v>
      </c>
      <c r="V102" s="10">
        <v>52.11</v>
      </c>
      <c r="W102" s="10">
        <v>52.08</v>
      </c>
      <c r="X102" s="10">
        <v>52.02</v>
      </c>
      <c r="Y102" s="10">
        <v>51.94</v>
      </c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</row>
    <row r="103" spans="1:147" x14ac:dyDescent="0.3">
      <c r="A103" s="9">
        <f>DATE(2017, 5, 23)</f>
        <v>42878</v>
      </c>
      <c r="B103" s="10">
        <v>54.15</v>
      </c>
      <c r="C103" s="10">
        <v>54.41</v>
      </c>
      <c r="D103" s="10">
        <v>54.61</v>
      </c>
      <c r="E103" s="10">
        <v>54.77</v>
      </c>
      <c r="F103" s="10">
        <v>54.88</v>
      </c>
      <c r="G103" s="10">
        <v>54.96</v>
      </c>
      <c r="H103" s="10">
        <v>54.99</v>
      </c>
      <c r="I103" s="10">
        <v>54.97</v>
      </c>
      <c r="J103" s="10">
        <v>54.91</v>
      </c>
      <c r="K103" s="10">
        <v>54.84</v>
      </c>
      <c r="L103" s="10">
        <v>54.75</v>
      </c>
      <c r="M103" s="10">
        <v>54.64</v>
      </c>
      <c r="N103" s="10">
        <v>51.47</v>
      </c>
      <c r="O103" s="10">
        <v>51.72</v>
      </c>
      <c r="P103" s="10">
        <v>51.92</v>
      </c>
      <c r="Q103" s="10">
        <v>52.08</v>
      </c>
      <c r="R103" s="10">
        <v>52.22</v>
      </c>
      <c r="S103" s="10">
        <v>52.3</v>
      </c>
      <c r="T103" s="10">
        <v>52.35</v>
      </c>
      <c r="U103" s="10">
        <v>52.34</v>
      </c>
      <c r="V103" s="10">
        <v>52.29</v>
      </c>
      <c r="W103" s="10">
        <v>52.21</v>
      </c>
      <c r="X103" s="10">
        <v>52.12</v>
      </c>
      <c r="Y103" s="10">
        <v>52.02</v>
      </c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</row>
    <row r="104" spans="1:147" x14ac:dyDescent="0.3">
      <c r="A104" s="9">
        <f>DATE(2017, 5, 24)</f>
        <v>42879</v>
      </c>
      <c r="B104" s="10">
        <v>53.96</v>
      </c>
      <c r="C104" s="10">
        <v>54.24</v>
      </c>
      <c r="D104" s="10">
        <v>54.45</v>
      </c>
      <c r="E104" s="10">
        <v>54.58</v>
      </c>
      <c r="F104" s="10">
        <v>54.66</v>
      </c>
      <c r="G104" s="10">
        <v>54.71</v>
      </c>
      <c r="H104" s="10">
        <v>54.71</v>
      </c>
      <c r="I104" s="10">
        <v>54.66</v>
      </c>
      <c r="J104" s="10">
        <v>54.59</v>
      </c>
      <c r="K104" s="10">
        <v>54.5</v>
      </c>
      <c r="L104" s="10">
        <v>54.39</v>
      </c>
      <c r="M104" s="10">
        <v>54.27</v>
      </c>
      <c r="N104" s="10">
        <v>51.36</v>
      </c>
      <c r="O104" s="10">
        <v>51.59</v>
      </c>
      <c r="P104" s="10">
        <v>51.76</v>
      </c>
      <c r="Q104" s="10">
        <v>51.89</v>
      </c>
      <c r="R104" s="10">
        <v>52.01</v>
      </c>
      <c r="S104" s="10">
        <v>52.09</v>
      </c>
      <c r="T104" s="10">
        <v>52.12</v>
      </c>
      <c r="U104" s="10">
        <v>52.09</v>
      </c>
      <c r="V104" s="10">
        <v>52.02</v>
      </c>
      <c r="W104" s="10">
        <v>51.93</v>
      </c>
      <c r="X104" s="10">
        <v>51.82</v>
      </c>
      <c r="Y104" s="10">
        <v>51.71</v>
      </c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</row>
    <row r="105" spans="1:147" x14ac:dyDescent="0.3">
      <c r="A105" s="9">
        <f>DATE(2017, 5, 25)</f>
        <v>42880</v>
      </c>
      <c r="B105" s="10">
        <v>51.46</v>
      </c>
      <c r="C105" s="10">
        <v>51.77</v>
      </c>
      <c r="D105" s="10">
        <v>52</v>
      </c>
      <c r="E105" s="10">
        <v>52.17</v>
      </c>
      <c r="F105" s="10">
        <v>52.31</v>
      </c>
      <c r="G105" s="10">
        <v>52.41</v>
      </c>
      <c r="H105" s="10">
        <v>52.47</v>
      </c>
      <c r="I105" s="10">
        <v>52.47</v>
      </c>
      <c r="J105" s="10">
        <v>52.44</v>
      </c>
      <c r="K105" s="10">
        <v>52.4</v>
      </c>
      <c r="L105" s="10">
        <v>52.33</v>
      </c>
      <c r="M105" s="10">
        <v>52.25</v>
      </c>
      <c r="N105" s="10">
        <v>48.9</v>
      </c>
      <c r="O105" s="10">
        <v>49.14</v>
      </c>
      <c r="P105" s="10">
        <v>49.33</v>
      </c>
      <c r="Q105" s="10">
        <v>49.48</v>
      </c>
      <c r="R105" s="10">
        <v>49.64</v>
      </c>
      <c r="S105" s="10">
        <v>49.76</v>
      </c>
      <c r="T105" s="10">
        <v>49.84</v>
      </c>
      <c r="U105" s="10">
        <v>49.86</v>
      </c>
      <c r="V105" s="10">
        <v>49.84</v>
      </c>
      <c r="W105" s="10">
        <v>49.8</v>
      </c>
      <c r="X105" s="10">
        <v>49.73</v>
      </c>
      <c r="Y105" s="10">
        <v>49.65</v>
      </c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</row>
    <row r="106" spans="1:147" x14ac:dyDescent="0.3">
      <c r="A106" s="9">
        <f>DATE(2017, 5, 26)</f>
        <v>42881</v>
      </c>
      <c r="B106" s="10">
        <v>52.15</v>
      </c>
      <c r="C106" s="10">
        <v>52.51</v>
      </c>
      <c r="D106" s="10">
        <v>52.75</v>
      </c>
      <c r="E106" s="10">
        <v>52.93</v>
      </c>
      <c r="F106" s="10">
        <v>53.07</v>
      </c>
      <c r="G106" s="10">
        <v>53.17</v>
      </c>
      <c r="H106" s="10">
        <v>53.21</v>
      </c>
      <c r="I106" s="10">
        <v>53.21</v>
      </c>
      <c r="J106" s="10">
        <v>53.19</v>
      </c>
      <c r="K106" s="10">
        <v>53.15</v>
      </c>
      <c r="L106" s="10">
        <v>53.09</v>
      </c>
      <c r="M106" s="10">
        <v>53.02</v>
      </c>
      <c r="N106" s="10">
        <v>49.8</v>
      </c>
      <c r="O106" s="10">
        <v>50.05</v>
      </c>
      <c r="P106" s="10">
        <v>50.23</v>
      </c>
      <c r="Q106" s="10">
        <v>50.36</v>
      </c>
      <c r="R106" s="10">
        <v>50.49</v>
      </c>
      <c r="S106" s="10">
        <v>50.59</v>
      </c>
      <c r="T106" s="10">
        <v>50.66</v>
      </c>
      <c r="U106" s="10">
        <v>50.68</v>
      </c>
      <c r="V106" s="10">
        <v>50.66</v>
      </c>
      <c r="W106" s="10">
        <v>50.61</v>
      </c>
      <c r="X106" s="10">
        <v>50.54</v>
      </c>
      <c r="Y106" s="10">
        <v>50.45</v>
      </c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</row>
    <row r="107" spans="1:147" x14ac:dyDescent="0.3">
      <c r="A107" s="9">
        <f>DATE(2017, 5, 29)</f>
        <v>42884</v>
      </c>
      <c r="B107" s="10">
        <v>52.29</v>
      </c>
      <c r="C107" s="10">
        <v>52.64</v>
      </c>
      <c r="D107" s="10">
        <v>52.89</v>
      </c>
      <c r="E107" s="10">
        <v>53.09</v>
      </c>
      <c r="F107" s="10">
        <v>53.23</v>
      </c>
      <c r="G107" s="10">
        <v>53.33</v>
      </c>
      <c r="H107" s="10">
        <v>53.38</v>
      </c>
      <c r="I107" s="10">
        <v>53.38</v>
      </c>
      <c r="J107" s="10">
        <v>53.36</v>
      </c>
      <c r="K107" s="10">
        <v>53.32</v>
      </c>
      <c r="L107" s="10">
        <v>53.26</v>
      </c>
      <c r="M107" s="10">
        <v>53.19</v>
      </c>
      <c r="N107" s="10">
        <v>49.8</v>
      </c>
      <c r="O107" s="10">
        <v>50.05</v>
      </c>
      <c r="P107" s="10">
        <v>50.23</v>
      </c>
      <c r="Q107" s="10">
        <v>50.36</v>
      </c>
      <c r="R107" s="10">
        <v>50.49</v>
      </c>
      <c r="S107" s="10">
        <v>50.59</v>
      </c>
      <c r="T107" s="10">
        <v>50.66</v>
      </c>
      <c r="U107" s="10">
        <v>50.68</v>
      </c>
      <c r="V107" s="10">
        <v>50.66</v>
      </c>
      <c r="W107" s="10">
        <v>50.61</v>
      </c>
      <c r="X107" s="10">
        <v>50.54</v>
      </c>
      <c r="Y107" s="10">
        <v>50.45</v>
      </c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</row>
    <row r="108" spans="1:147" x14ac:dyDescent="0.3">
      <c r="A108" s="9">
        <f>DATE(2017, 5, 30)</f>
        <v>42885</v>
      </c>
      <c r="B108" s="10">
        <v>51.84</v>
      </c>
      <c r="C108" s="10">
        <v>52.24</v>
      </c>
      <c r="D108" s="10">
        <v>52.51</v>
      </c>
      <c r="E108" s="10">
        <v>52.72</v>
      </c>
      <c r="F108" s="10">
        <v>52.89</v>
      </c>
      <c r="G108" s="10">
        <v>53.03</v>
      </c>
      <c r="H108" s="10">
        <v>53.11</v>
      </c>
      <c r="I108" s="10">
        <v>53.15</v>
      </c>
      <c r="J108" s="10">
        <v>53.17</v>
      </c>
      <c r="K108" s="10">
        <v>53.16</v>
      </c>
      <c r="L108" s="10">
        <v>53.14</v>
      </c>
      <c r="M108" s="10">
        <v>53.09</v>
      </c>
      <c r="N108" s="10">
        <v>49.66</v>
      </c>
      <c r="O108" s="10">
        <v>49.91</v>
      </c>
      <c r="P108" s="10">
        <v>50.1</v>
      </c>
      <c r="Q108" s="10">
        <v>50.23</v>
      </c>
      <c r="R108" s="10">
        <v>50.37</v>
      </c>
      <c r="S108" s="10">
        <v>50.48</v>
      </c>
      <c r="T108" s="10">
        <v>50.56</v>
      </c>
      <c r="U108" s="10">
        <v>50.59</v>
      </c>
      <c r="V108" s="10">
        <v>50.58</v>
      </c>
      <c r="W108" s="10">
        <v>50.54</v>
      </c>
      <c r="X108" s="10">
        <v>50.48</v>
      </c>
      <c r="Y108" s="10">
        <v>50.41</v>
      </c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</row>
    <row r="109" spans="1:147" x14ac:dyDescent="0.3">
      <c r="A109" s="9">
        <f>DATE(2017, 5, 31)</f>
        <v>42886</v>
      </c>
      <c r="B109" s="10">
        <v>50.31</v>
      </c>
      <c r="C109" s="10">
        <v>50.76</v>
      </c>
      <c r="D109" s="10">
        <v>51.09</v>
      </c>
      <c r="E109" s="10">
        <v>51.33</v>
      </c>
      <c r="F109" s="10">
        <v>51.52</v>
      </c>
      <c r="G109" s="10">
        <v>51.69</v>
      </c>
      <c r="H109" s="10">
        <v>51.81</v>
      </c>
      <c r="I109" s="10">
        <v>51.89</v>
      </c>
      <c r="J109" s="10">
        <v>51.95</v>
      </c>
      <c r="K109" s="10">
        <v>51.97</v>
      </c>
      <c r="L109" s="10">
        <v>51.97</v>
      </c>
      <c r="M109" s="10">
        <v>51.94</v>
      </c>
      <c r="N109" s="10">
        <v>48.32</v>
      </c>
      <c r="O109" s="10">
        <v>48.56</v>
      </c>
      <c r="P109" s="10">
        <v>48.74</v>
      </c>
      <c r="Q109" s="10">
        <v>48.87</v>
      </c>
      <c r="R109" s="10">
        <v>49.01</v>
      </c>
      <c r="S109" s="10">
        <v>49.12</v>
      </c>
      <c r="T109" s="10">
        <v>49.21</v>
      </c>
      <c r="U109" s="10">
        <v>49.25</v>
      </c>
      <c r="V109" s="10">
        <v>49.26</v>
      </c>
      <c r="W109" s="10">
        <v>49.23</v>
      </c>
      <c r="X109" s="10">
        <v>49.19</v>
      </c>
      <c r="Y109" s="10">
        <v>49.13</v>
      </c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</row>
    <row r="110" spans="1:147" x14ac:dyDescent="0.3">
      <c r="A110" s="9">
        <f>DATE(2017, 6, 1)</f>
        <v>42887</v>
      </c>
      <c r="B110" s="10">
        <v>50.63</v>
      </c>
      <c r="C110" s="10">
        <v>50.97</v>
      </c>
      <c r="D110" s="10">
        <v>51.22</v>
      </c>
      <c r="E110" s="10">
        <v>51.42</v>
      </c>
      <c r="F110" s="10">
        <v>51.6</v>
      </c>
      <c r="G110" s="10">
        <v>51.73</v>
      </c>
      <c r="H110" s="10">
        <v>51.81</v>
      </c>
      <c r="I110" s="10">
        <v>51.86</v>
      </c>
      <c r="J110" s="10">
        <v>51.88</v>
      </c>
      <c r="K110" s="10">
        <v>51.88</v>
      </c>
      <c r="L110" s="10">
        <v>51.85</v>
      </c>
      <c r="M110" s="10">
        <v>51.84</v>
      </c>
      <c r="N110" s="10">
        <v>48.36</v>
      </c>
      <c r="O110" s="10">
        <v>48.6</v>
      </c>
      <c r="P110" s="10">
        <v>48.79</v>
      </c>
      <c r="Q110" s="10">
        <v>48.94</v>
      </c>
      <c r="R110" s="10">
        <v>49.1</v>
      </c>
      <c r="S110" s="10">
        <v>49.22</v>
      </c>
      <c r="T110" s="10">
        <v>49.32</v>
      </c>
      <c r="U110" s="10">
        <v>49.36</v>
      </c>
      <c r="V110" s="10">
        <v>49.37</v>
      </c>
      <c r="W110" s="10">
        <v>49.35</v>
      </c>
      <c r="X110" s="10">
        <v>49.31</v>
      </c>
      <c r="Y110" s="10">
        <v>49.25</v>
      </c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</row>
    <row r="111" spans="1:147" x14ac:dyDescent="0.3">
      <c r="A111" s="9">
        <f>DATE(2017, 6, 2)</f>
        <v>42888</v>
      </c>
      <c r="B111" s="10">
        <v>49.95</v>
      </c>
      <c r="C111" s="10">
        <v>50.24</v>
      </c>
      <c r="D111" s="10">
        <v>50.49</v>
      </c>
      <c r="E111" s="10">
        <v>50.71</v>
      </c>
      <c r="F111" s="10">
        <v>50.91</v>
      </c>
      <c r="G111" s="10">
        <v>51.07</v>
      </c>
      <c r="H111" s="10">
        <v>51.17</v>
      </c>
      <c r="I111" s="10">
        <v>51.24</v>
      </c>
      <c r="J111" s="10">
        <v>51.28</v>
      </c>
      <c r="K111" s="10">
        <v>51.29</v>
      </c>
      <c r="L111" s="10">
        <v>51.28</v>
      </c>
      <c r="M111" s="10">
        <v>51.28</v>
      </c>
      <c r="N111" s="10">
        <v>47.66</v>
      </c>
      <c r="O111" s="10">
        <v>47.87</v>
      </c>
      <c r="P111" s="10">
        <v>48.05</v>
      </c>
      <c r="Q111" s="10">
        <v>48.2</v>
      </c>
      <c r="R111" s="10">
        <v>48.37</v>
      </c>
      <c r="S111" s="10">
        <v>48.51</v>
      </c>
      <c r="T111" s="10">
        <v>48.62</v>
      </c>
      <c r="U111" s="10">
        <v>48.68</v>
      </c>
      <c r="V111" s="10">
        <v>48.7</v>
      </c>
      <c r="W111" s="10">
        <v>48.7</v>
      </c>
      <c r="X111" s="10">
        <v>48.68</v>
      </c>
      <c r="Y111" s="10">
        <v>48.64</v>
      </c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</row>
    <row r="112" spans="1:147" x14ac:dyDescent="0.3">
      <c r="A112" s="9">
        <f>DATE(2017, 6, 5)</f>
        <v>42891</v>
      </c>
      <c r="B112" s="10">
        <v>49.47</v>
      </c>
      <c r="C112" s="10">
        <v>49.81</v>
      </c>
      <c r="D112" s="10">
        <v>50.09</v>
      </c>
      <c r="E112" s="10">
        <v>50.33</v>
      </c>
      <c r="F112" s="10">
        <v>50.56</v>
      </c>
      <c r="G112" s="10">
        <v>50.74</v>
      </c>
      <c r="H112" s="10">
        <v>50.88</v>
      </c>
      <c r="I112" s="10">
        <v>50.97</v>
      </c>
      <c r="J112" s="10">
        <v>51.02</v>
      </c>
      <c r="K112" s="10">
        <v>51.05</v>
      </c>
      <c r="L112" s="10">
        <v>51.05</v>
      </c>
      <c r="M112" s="10">
        <v>51.06</v>
      </c>
      <c r="N112" s="10">
        <v>47.4</v>
      </c>
      <c r="O112" s="10">
        <v>47.58</v>
      </c>
      <c r="P112" s="10">
        <v>47.75</v>
      </c>
      <c r="Q112" s="10">
        <v>47.89</v>
      </c>
      <c r="R112" s="10">
        <v>48.06</v>
      </c>
      <c r="S112" s="10">
        <v>48.22</v>
      </c>
      <c r="T112" s="10">
        <v>48.34</v>
      </c>
      <c r="U112" s="10">
        <v>48.42</v>
      </c>
      <c r="V112" s="10">
        <v>48.48</v>
      </c>
      <c r="W112" s="10">
        <v>48.51</v>
      </c>
      <c r="X112" s="10">
        <v>48.51</v>
      </c>
      <c r="Y112" s="10">
        <v>48.5</v>
      </c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</row>
    <row r="113" spans="1:147" x14ac:dyDescent="0.3">
      <c r="A113" s="9">
        <f>DATE(2017, 6, 6)</f>
        <v>42892</v>
      </c>
      <c r="B113" s="10">
        <v>50.12</v>
      </c>
      <c r="C113" s="10">
        <v>50.42</v>
      </c>
      <c r="D113" s="10">
        <v>50.67</v>
      </c>
      <c r="E113" s="10">
        <v>50.88</v>
      </c>
      <c r="F113" s="10">
        <v>51.07</v>
      </c>
      <c r="G113" s="10">
        <v>51.21</v>
      </c>
      <c r="H113" s="10">
        <v>51.31</v>
      </c>
      <c r="I113" s="10">
        <v>51.37</v>
      </c>
      <c r="J113" s="10">
        <v>51.39</v>
      </c>
      <c r="K113" s="10">
        <v>51.38</v>
      </c>
      <c r="L113" s="10">
        <v>51.36</v>
      </c>
      <c r="M113" s="10">
        <v>51.35</v>
      </c>
      <c r="N113" s="10">
        <v>48.19</v>
      </c>
      <c r="O113" s="10">
        <v>48.34</v>
      </c>
      <c r="P113" s="10">
        <v>48.49</v>
      </c>
      <c r="Q113" s="10">
        <v>48.61</v>
      </c>
      <c r="R113" s="10">
        <v>48.76</v>
      </c>
      <c r="S113" s="10">
        <v>48.88</v>
      </c>
      <c r="T113" s="10">
        <v>48.98</v>
      </c>
      <c r="U113" s="10">
        <v>49.03</v>
      </c>
      <c r="V113" s="10">
        <v>49.04</v>
      </c>
      <c r="W113" s="10">
        <v>49.03</v>
      </c>
      <c r="X113" s="10">
        <v>48.99</v>
      </c>
      <c r="Y113" s="10">
        <v>48.95</v>
      </c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</row>
    <row r="114" spans="1:147" x14ac:dyDescent="0.3">
      <c r="A114" s="9">
        <f>DATE(2017, 6, 7)</f>
        <v>42893</v>
      </c>
      <c r="B114" s="10">
        <v>48.06</v>
      </c>
      <c r="C114" s="10">
        <v>48.43</v>
      </c>
      <c r="D114" s="10">
        <v>48.72</v>
      </c>
      <c r="E114" s="10">
        <v>48.97</v>
      </c>
      <c r="F114" s="10">
        <v>49.2</v>
      </c>
      <c r="G114" s="10">
        <v>49.39</v>
      </c>
      <c r="H114" s="10">
        <v>49.54</v>
      </c>
      <c r="I114" s="10">
        <v>49.66</v>
      </c>
      <c r="J114" s="10">
        <v>49.75</v>
      </c>
      <c r="K114" s="10">
        <v>49.8</v>
      </c>
      <c r="L114" s="10">
        <v>49.83</v>
      </c>
      <c r="M114" s="10">
        <v>49.88</v>
      </c>
      <c r="N114" s="10">
        <v>45.72</v>
      </c>
      <c r="O114" s="10">
        <v>45.98</v>
      </c>
      <c r="P114" s="10">
        <v>46.22</v>
      </c>
      <c r="Q114" s="10">
        <v>46.43</v>
      </c>
      <c r="R114" s="10">
        <v>46.66</v>
      </c>
      <c r="S114" s="10">
        <v>46.87</v>
      </c>
      <c r="T114" s="10">
        <v>47.05</v>
      </c>
      <c r="U114" s="10">
        <v>47.18</v>
      </c>
      <c r="V114" s="10">
        <v>47.27</v>
      </c>
      <c r="W114" s="10">
        <v>47.33</v>
      </c>
      <c r="X114" s="10">
        <v>47.36</v>
      </c>
      <c r="Y114" s="10">
        <v>47.37</v>
      </c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</row>
    <row r="115" spans="1:147" x14ac:dyDescent="0.3">
      <c r="A115" s="9">
        <f>DATE(2017, 6, 8)</f>
        <v>42894</v>
      </c>
      <c r="B115" s="10">
        <v>47.86</v>
      </c>
      <c r="C115" s="10">
        <v>48.26</v>
      </c>
      <c r="D115" s="10">
        <v>48.58</v>
      </c>
      <c r="E115" s="10">
        <v>48.86</v>
      </c>
      <c r="F115" s="10">
        <v>49.13</v>
      </c>
      <c r="G115" s="10">
        <v>49.37</v>
      </c>
      <c r="H115" s="10">
        <v>49.58</v>
      </c>
      <c r="I115" s="10">
        <v>49.77</v>
      </c>
      <c r="J115" s="10">
        <v>49.93</v>
      </c>
      <c r="K115" s="10">
        <v>50.05</v>
      </c>
      <c r="L115" s="10">
        <v>50.14</v>
      </c>
      <c r="M115" s="10">
        <v>50.23</v>
      </c>
      <c r="N115" s="10">
        <v>45.64</v>
      </c>
      <c r="O115" s="10">
        <v>45.89</v>
      </c>
      <c r="P115" s="10">
        <v>46.13</v>
      </c>
      <c r="Q115" s="10">
        <v>46.35</v>
      </c>
      <c r="R115" s="10">
        <v>46.6</v>
      </c>
      <c r="S115" s="10">
        <v>46.85</v>
      </c>
      <c r="T115" s="10">
        <v>47.08</v>
      </c>
      <c r="U115" s="10">
        <v>47.27</v>
      </c>
      <c r="V115" s="10">
        <v>47.43</v>
      </c>
      <c r="W115" s="10">
        <v>47.55</v>
      </c>
      <c r="X115" s="10">
        <v>47.63</v>
      </c>
      <c r="Y115" s="10">
        <v>47.69</v>
      </c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</row>
    <row r="116" spans="1:147" x14ac:dyDescent="0.3">
      <c r="A116" s="9">
        <f>DATE(2017, 6, 9)</f>
        <v>42895</v>
      </c>
      <c r="B116" s="10">
        <v>48.15</v>
      </c>
      <c r="C116" s="10">
        <v>48.53</v>
      </c>
      <c r="D116" s="10">
        <v>48.84</v>
      </c>
      <c r="E116" s="10">
        <v>49.12</v>
      </c>
      <c r="F116" s="10">
        <v>49.38</v>
      </c>
      <c r="G116" s="10">
        <v>49.6</v>
      </c>
      <c r="H116" s="10">
        <v>49.78</v>
      </c>
      <c r="I116" s="10">
        <v>49.94</v>
      </c>
      <c r="J116" s="10">
        <v>50.08</v>
      </c>
      <c r="K116" s="10">
        <v>50.18</v>
      </c>
      <c r="L116" s="10">
        <v>50.26</v>
      </c>
      <c r="M116" s="10">
        <v>50.35</v>
      </c>
      <c r="N116" s="10">
        <v>45.83</v>
      </c>
      <c r="O116" s="10">
        <v>46.07</v>
      </c>
      <c r="P116" s="10">
        <v>46.32</v>
      </c>
      <c r="Q116" s="10">
        <v>46.53</v>
      </c>
      <c r="R116" s="10">
        <v>46.76</v>
      </c>
      <c r="S116" s="10">
        <v>46.97</v>
      </c>
      <c r="T116" s="10">
        <v>47.18</v>
      </c>
      <c r="U116" s="10">
        <v>47.35</v>
      </c>
      <c r="V116" s="10">
        <v>47.49</v>
      </c>
      <c r="W116" s="10">
        <v>47.58</v>
      </c>
      <c r="X116" s="10">
        <v>47.65</v>
      </c>
      <c r="Y116" s="10">
        <v>47.71</v>
      </c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</row>
    <row r="117" spans="1:147" x14ac:dyDescent="0.3">
      <c r="A117" s="9">
        <f>DATE(2017, 6, 12)</f>
        <v>42898</v>
      </c>
      <c r="B117" s="10">
        <v>48.29</v>
      </c>
      <c r="C117" s="10">
        <v>48.64</v>
      </c>
      <c r="D117" s="10">
        <v>48.94</v>
      </c>
      <c r="E117" s="10">
        <v>49.21</v>
      </c>
      <c r="F117" s="10">
        <v>49.46</v>
      </c>
      <c r="G117" s="10">
        <v>49.67</v>
      </c>
      <c r="H117" s="10">
        <v>49.85</v>
      </c>
      <c r="I117" s="10">
        <v>50</v>
      </c>
      <c r="J117" s="10">
        <v>50.13</v>
      </c>
      <c r="K117" s="10">
        <v>50.22</v>
      </c>
      <c r="L117" s="10">
        <v>50.29</v>
      </c>
      <c r="M117" s="10">
        <v>50.37</v>
      </c>
      <c r="N117" s="10">
        <v>46.08</v>
      </c>
      <c r="O117" s="10">
        <v>46.32</v>
      </c>
      <c r="P117" s="10">
        <v>46.56</v>
      </c>
      <c r="Q117" s="10">
        <v>46.75</v>
      </c>
      <c r="R117" s="10">
        <v>46.96</v>
      </c>
      <c r="S117" s="10">
        <v>47.15</v>
      </c>
      <c r="T117" s="10">
        <v>47.34</v>
      </c>
      <c r="U117" s="10">
        <v>47.5</v>
      </c>
      <c r="V117" s="10">
        <v>47.63</v>
      </c>
      <c r="W117" s="10">
        <v>47.71</v>
      </c>
      <c r="X117" s="10">
        <v>47.77</v>
      </c>
      <c r="Y117" s="10">
        <v>47.83</v>
      </c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</row>
    <row r="118" spans="1:147" x14ac:dyDescent="0.3">
      <c r="A118" s="9">
        <f>DATE(2017, 6, 13)</f>
        <v>42899</v>
      </c>
      <c r="B118" s="10">
        <v>48.72</v>
      </c>
      <c r="C118" s="10">
        <v>49.05</v>
      </c>
      <c r="D118" s="10">
        <v>49.33</v>
      </c>
      <c r="E118" s="10">
        <v>49.59</v>
      </c>
      <c r="F118" s="10">
        <v>49.83</v>
      </c>
      <c r="G118" s="10">
        <v>50.03</v>
      </c>
      <c r="H118" s="10">
        <v>50.19</v>
      </c>
      <c r="I118" s="10">
        <v>50.32</v>
      </c>
      <c r="J118" s="10">
        <v>50.43</v>
      </c>
      <c r="K118" s="10">
        <v>50.51</v>
      </c>
      <c r="L118" s="10">
        <v>50.57</v>
      </c>
      <c r="M118" s="10">
        <v>50.65</v>
      </c>
      <c r="N118" s="10">
        <v>46.46</v>
      </c>
      <c r="O118" s="10">
        <v>46.67</v>
      </c>
      <c r="P118" s="10">
        <v>46.89</v>
      </c>
      <c r="Q118" s="10">
        <v>47.07</v>
      </c>
      <c r="R118" s="10">
        <v>47.27</v>
      </c>
      <c r="S118" s="10">
        <v>47.45</v>
      </c>
      <c r="T118" s="10">
        <v>47.63</v>
      </c>
      <c r="U118" s="10">
        <v>47.79</v>
      </c>
      <c r="V118" s="10">
        <v>47.92</v>
      </c>
      <c r="W118" s="10">
        <v>48</v>
      </c>
      <c r="X118" s="10">
        <v>48.05</v>
      </c>
      <c r="Y118" s="10">
        <v>48.1</v>
      </c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</row>
    <row r="119" spans="1:147" x14ac:dyDescent="0.3">
      <c r="A119" s="9">
        <f>DATE(2017, 6, 14)</f>
        <v>42900</v>
      </c>
      <c r="B119" s="10">
        <v>47</v>
      </c>
      <c r="C119" s="10">
        <v>47.29</v>
      </c>
      <c r="D119" s="10">
        <v>47.61</v>
      </c>
      <c r="E119" s="10">
        <v>47.91</v>
      </c>
      <c r="F119" s="10">
        <v>48.2</v>
      </c>
      <c r="G119" s="10">
        <v>48.45</v>
      </c>
      <c r="H119" s="10">
        <v>48.67</v>
      </c>
      <c r="I119" s="10">
        <v>48.87</v>
      </c>
      <c r="J119" s="10">
        <v>49.04</v>
      </c>
      <c r="K119" s="10">
        <v>49.17</v>
      </c>
      <c r="L119" s="10">
        <v>49.29</v>
      </c>
      <c r="M119" s="10">
        <v>49.42</v>
      </c>
      <c r="N119" s="10">
        <v>44.73</v>
      </c>
      <c r="O119" s="10">
        <v>44.93</v>
      </c>
      <c r="P119" s="10">
        <v>45.14</v>
      </c>
      <c r="Q119" s="10">
        <v>45.34</v>
      </c>
      <c r="R119" s="10">
        <v>45.58</v>
      </c>
      <c r="S119" s="10">
        <v>45.82</v>
      </c>
      <c r="T119" s="10">
        <v>46.05</v>
      </c>
      <c r="U119" s="10">
        <v>46.24</v>
      </c>
      <c r="V119" s="10">
        <v>46.41</v>
      </c>
      <c r="W119" s="10">
        <v>46.54</v>
      </c>
      <c r="X119" s="10">
        <v>46.64</v>
      </c>
      <c r="Y119" s="10">
        <v>46.74</v>
      </c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</row>
    <row r="120" spans="1:147" x14ac:dyDescent="0.3">
      <c r="A120" s="9">
        <f>DATE(2017, 6, 15)</f>
        <v>42901</v>
      </c>
      <c r="B120" s="10">
        <v>46.92</v>
      </c>
      <c r="C120" s="10">
        <v>47.19</v>
      </c>
      <c r="D120" s="10">
        <v>47.49</v>
      </c>
      <c r="E120" s="10">
        <v>47.79</v>
      </c>
      <c r="F120" s="10">
        <v>48.1</v>
      </c>
      <c r="G120" s="10">
        <v>48.38</v>
      </c>
      <c r="H120" s="10">
        <v>48.64</v>
      </c>
      <c r="I120" s="10">
        <v>48.87</v>
      </c>
      <c r="J120" s="10">
        <v>49.07</v>
      </c>
      <c r="K120" s="10">
        <v>49.25</v>
      </c>
      <c r="L120" s="10">
        <v>49.41</v>
      </c>
      <c r="M120" s="10">
        <v>49.58</v>
      </c>
      <c r="N120" s="10">
        <v>44.46</v>
      </c>
      <c r="O120" s="10">
        <v>44.68</v>
      </c>
      <c r="P120" s="10">
        <v>44.91</v>
      </c>
      <c r="Q120" s="10">
        <v>45.14</v>
      </c>
      <c r="R120" s="10">
        <v>45.41</v>
      </c>
      <c r="S120" s="10">
        <v>45.67</v>
      </c>
      <c r="T120" s="10">
        <v>45.91</v>
      </c>
      <c r="U120" s="10">
        <v>46.13</v>
      </c>
      <c r="V120" s="10">
        <v>46.32</v>
      </c>
      <c r="W120" s="10">
        <v>46.48</v>
      </c>
      <c r="X120" s="10">
        <v>46.62</v>
      </c>
      <c r="Y120" s="10">
        <v>46.75</v>
      </c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</row>
    <row r="121" spans="1:147" x14ac:dyDescent="0.3">
      <c r="A121" s="9">
        <f>DATE(2017, 6, 16)</f>
        <v>42902</v>
      </c>
      <c r="B121" s="10">
        <v>47.37</v>
      </c>
      <c r="C121" s="10">
        <v>47.63</v>
      </c>
      <c r="D121" s="10">
        <v>47.9</v>
      </c>
      <c r="E121" s="10">
        <v>48.19</v>
      </c>
      <c r="F121" s="10">
        <v>48.49</v>
      </c>
      <c r="G121" s="10">
        <v>48.76</v>
      </c>
      <c r="H121" s="10">
        <v>49.01</v>
      </c>
      <c r="I121" s="10">
        <v>49.23</v>
      </c>
      <c r="J121" s="10">
        <v>49.42</v>
      </c>
      <c r="K121" s="10">
        <v>49.59</v>
      </c>
      <c r="L121" s="10">
        <v>49.74</v>
      </c>
      <c r="M121" s="10">
        <v>49.9</v>
      </c>
      <c r="N121" s="10">
        <v>44.74</v>
      </c>
      <c r="O121" s="10">
        <v>44.97</v>
      </c>
      <c r="P121" s="10">
        <v>45.2</v>
      </c>
      <c r="Q121" s="10">
        <v>45.41</v>
      </c>
      <c r="R121" s="10">
        <v>45.67</v>
      </c>
      <c r="S121" s="10">
        <v>45.94</v>
      </c>
      <c r="T121" s="10">
        <v>46.17</v>
      </c>
      <c r="U121" s="10">
        <v>46.38</v>
      </c>
      <c r="V121" s="10">
        <v>46.57</v>
      </c>
      <c r="W121" s="10">
        <v>46.73</v>
      </c>
      <c r="X121" s="10">
        <v>46.87</v>
      </c>
      <c r="Y121" s="10">
        <v>47.01</v>
      </c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</row>
    <row r="122" spans="1:147" x14ac:dyDescent="0.3">
      <c r="A122" s="9">
        <f>DATE(2017, 6, 19)</f>
        <v>42905</v>
      </c>
      <c r="B122" s="10">
        <v>46.91</v>
      </c>
      <c r="C122" s="10">
        <v>47.13</v>
      </c>
      <c r="D122" s="10">
        <v>47.39</v>
      </c>
      <c r="E122" s="10">
        <v>47.69</v>
      </c>
      <c r="F122" s="10">
        <v>47.99</v>
      </c>
      <c r="G122" s="10">
        <v>48.26</v>
      </c>
      <c r="H122" s="10">
        <v>48.51</v>
      </c>
      <c r="I122" s="10">
        <v>48.74</v>
      </c>
      <c r="J122" s="10">
        <v>48.94</v>
      </c>
      <c r="K122" s="10">
        <v>49.12</v>
      </c>
      <c r="L122" s="10">
        <v>49.28</v>
      </c>
      <c r="M122" s="10">
        <v>49.45</v>
      </c>
      <c r="N122" s="10">
        <v>44.2</v>
      </c>
      <c r="O122" s="10">
        <v>44.43</v>
      </c>
      <c r="P122" s="10">
        <v>44.69</v>
      </c>
      <c r="Q122" s="10">
        <v>44.92</v>
      </c>
      <c r="R122" s="10">
        <v>45.19</v>
      </c>
      <c r="S122" s="10">
        <v>45.46</v>
      </c>
      <c r="T122" s="10">
        <v>45.72</v>
      </c>
      <c r="U122" s="10">
        <v>45.93</v>
      </c>
      <c r="V122" s="10">
        <v>46.12</v>
      </c>
      <c r="W122" s="10">
        <v>46.29</v>
      </c>
      <c r="X122" s="10">
        <v>46.44</v>
      </c>
      <c r="Y122" s="10">
        <v>46.58</v>
      </c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</row>
    <row r="123" spans="1:147" x14ac:dyDescent="0.3">
      <c r="A123" s="9">
        <f>DATE(2017, 6, 20)</f>
        <v>42906</v>
      </c>
      <c r="B123" s="10">
        <v>46.02</v>
      </c>
      <c r="C123" s="10">
        <v>46.25</v>
      </c>
      <c r="D123" s="10">
        <v>46.51</v>
      </c>
      <c r="E123" s="10">
        <v>46.82</v>
      </c>
      <c r="F123" s="10">
        <v>47.12</v>
      </c>
      <c r="G123" s="10">
        <v>47.4</v>
      </c>
      <c r="H123" s="10">
        <v>47.66</v>
      </c>
      <c r="I123" s="10">
        <v>47.91</v>
      </c>
      <c r="J123" s="10">
        <v>48.14</v>
      </c>
      <c r="K123" s="10">
        <v>48.35</v>
      </c>
      <c r="L123" s="10">
        <v>48.54</v>
      </c>
      <c r="M123" s="10">
        <v>48.74</v>
      </c>
      <c r="N123" s="10">
        <v>43.23</v>
      </c>
      <c r="O123" s="10">
        <v>43.51</v>
      </c>
      <c r="P123" s="10">
        <v>43.77</v>
      </c>
      <c r="Q123" s="10">
        <v>44.02</v>
      </c>
      <c r="R123" s="10">
        <v>44.3</v>
      </c>
      <c r="S123" s="10">
        <v>44.58</v>
      </c>
      <c r="T123" s="10">
        <v>44.84</v>
      </c>
      <c r="U123" s="10">
        <v>45.07</v>
      </c>
      <c r="V123" s="10">
        <v>45.27</v>
      </c>
      <c r="W123" s="10">
        <v>45.46</v>
      </c>
      <c r="X123" s="10">
        <v>45.63</v>
      </c>
      <c r="Y123" s="10">
        <v>45.79</v>
      </c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</row>
    <row r="124" spans="1:147" x14ac:dyDescent="0.3">
      <c r="A124" s="9">
        <f>DATE(2017, 6, 21)</f>
        <v>42907</v>
      </c>
      <c r="B124" s="10">
        <v>44.82</v>
      </c>
      <c r="C124" s="10">
        <v>45.05</v>
      </c>
      <c r="D124" s="10">
        <v>45.31</v>
      </c>
      <c r="E124" s="10">
        <v>45.63</v>
      </c>
      <c r="F124" s="10">
        <v>45.94</v>
      </c>
      <c r="G124" s="10">
        <v>46.24</v>
      </c>
      <c r="H124" s="10">
        <v>46.51</v>
      </c>
      <c r="I124" s="10">
        <v>46.78</v>
      </c>
      <c r="J124" s="10">
        <v>47.05</v>
      </c>
      <c r="K124" s="10">
        <v>47.29</v>
      </c>
      <c r="L124" s="10">
        <v>47.52</v>
      </c>
      <c r="M124" s="10">
        <v>47.76</v>
      </c>
      <c r="N124" s="10">
        <v>42.53</v>
      </c>
      <c r="O124" s="10">
        <v>42.75</v>
      </c>
      <c r="P124" s="10">
        <v>42.96</v>
      </c>
      <c r="Q124" s="10">
        <v>43.22</v>
      </c>
      <c r="R124" s="10">
        <v>43.51</v>
      </c>
      <c r="S124" s="10">
        <v>43.78</v>
      </c>
      <c r="T124" s="10">
        <v>44.01</v>
      </c>
      <c r="U124" s="10">
        <v>44.23</v>
      </c>
      <c r="V124" s="10">
        <v>44.43</v>
      </c>
      <c r="W124" s="10">
        <v>44.62</v>
      </c>
      <c r="X124" s="10">
        <v>44.81</v>
      </c>
      <c r="Y124" s="10">
        <v>44.98</v>
      </c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</row>
    <row r="125" spans="1:147" x14ac:dyDescent="0.3">
      <c r="A125" s="9">
        <f>DATE(2017, 6, 22)</f>
        <v>42908</v>
      </c>
      <c r="B125" s="10">
        <v>45.22</v>
      </c>
      <c r="C125" s="10">
        <v>45.41</v>
      </c>
      <c r="D125" s="10">
        <v>45.64</v>
      </c>
      <c r="E125" s="10">
        <v>45.94</v>
      </c>
      <c r="F125" s="10">
        <v>46.22</v>
      </c>
      <c r="G125" s="10">
        <v>46.5</v>
      </c>
      <c r="H125" s="10">
        <v>46.74</v>
      </c>
      <c r="I125" s="10">
        <v>46.97</v>
      </c>
      <c r="J125" s="10">
        <v>47.21</v>
      </c>
      <c r="K125" s="10">
        <v>47.44</v>
      </c>
      <c r="L125" s="10">
        <v>47.65</v>
      </c>
      <c r="M125" s="10">
        <v>47.88</v>
      </c>
      <c r="N125" s="10">
        <v>42.74</v>
      </c>
      <c r="O125" s="10">
        <v>42.97</v>
      </c>
      <c r="P125" s="10">
        <v>43.19</v>
      </c>
      <c r="Q125" s="10">
        <v>43.45</v>
      </c>
      <c r="R125" s="10">
        <v>43.74</v>
      </c>
      <c r="S125" s="10">
        <v>44.01</v>
      </c>
      <c r="T125" s="10">
        <v>44.24</v>
      </c>
      <c r="U125" s="10">
        <v>44.44</v>
      </c>
      <c r="V125" s="10">
        <v>44.63</v>
      </c>
      <c r="W125" s="10">
        <v>44.8</v>
      </c>
      <c r="X125" s="10">
        <v>44.98</v>
      </c>
      <c r="Y125" s="10">
        <v>45.14</v>
      </c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</row>
    <row r="126" spans="1:147" x14ac:dyDescent="0.3">
      <c r="A126" s="9">
        <f>DATE(2017, 6, 23)</f>
        <v>42909</v>
      </c>
      <c r="B126" s="10">
        <v>45.54</v>
      </c>
      <c r="C126" s="10">
        <v>45.75</v>
      </c>
      <c r="D126" s="10">
        <v>45.98</v>
      </c>
      <c r="E126" s="10">
        <v>46.26</v>
      </c>
      <c r="F126" s="10">
        <v>46.53</v>
      </c>
      <c r="G126" s="10">
        <v>46.8</v>
      </c>
      <c r="H126" s="10">
        <v>47.04</v>
      </c>
      <c r="I126" s="10">
        <v>47.26</v>
      </c>
      <c r="J126" s="10">
        <v>47.48</v>
      </c>
      <c r="K126" s="10">
        <v>47.68</v>
      </c>
      <c r="L126" s="10">
        <v>47.87</v>
      </c>
      <c r="M126" s="10">
        <v>48.07</v>
      </c>
      <c r="N126" s="10">
        <v>43.01</v>
      </c>
      <c r="O126" s="10">
        <v>43.27</v>
      </c>
      <c r="P126" s="10">
        <v>43.51</v>
      </c>
      <c r="Q126" s="10">
        <v>43.79</v>
      </c>
      <c r="R126" s="10">
        <v>44.08</v>
      </c>
      <c r="S126" s="10">
        <v>44.34</v>
      </c>
      <c r="T126" s="10">
        <v>44.57</v>
      </c>
      <c r="U126" s="10">
        <v>44.77</v>
      </c>
      <c r="V126" s="10">
        <v>44.95</v>
      </c>
      <c r="W126" s="10">
        <v>45.1</v>
      </c>
      <c r="X126" s="10">
        <v>45.25</v>
      </c>
      <c r="Y126" s="10">
        <v>45.38</v>
      </c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</row>
    <row r="127" spans="1:147" x14ac:dyDescent="0.3">
      <c r="A127" s="9">
        <f>DATE(2017, 6, 26)</f>
        <v>42912</v>
      </c>
      <c r="B127" s="10">
        <v>45.83</v>
      </c>
      <c r="C127" s="10">
        <v>46.04</v>
      </c>
      <c r="D127" s="10">
        <v>46.28</v>
      </c>
      <c r="E127" s="10">
        <v>46.55</v>
      </c>
      <c r="F127" s="10">
        <v>46.81</v>
      </c>
      <c r="G127" s="10">
        <v>47.08</v>
      </c>
      <c r="H127" s="10">
        <v>47.32</v>
      </c>
      <c r="I127" s="10">
        <v>47.55</v>
      </c>
      <c r="J127" s="10">
        <v>47.77</v>
      </c>
      <c r="K127" s="10">
        <v>47.97</v>
      </c>
      <c r="L127" s="10">
        <v>48.16</v>
      </c>
      <c r="M127" s="10">
        <v>48.36</v>
      </c>
      <c r="N127" s="10">
        <v>43.38</v>
      </c>
      <c r="O127" s="10">
        <v>43.61</v>
      </c>
      <c r="P127" s="10">
        <v>43.84</v>
      </c>
      <c r="Q127" s="10">
        <v>44.11</v>
      </c>
      <c r="R127" s="10">
        <v>44.4</v>
      </c>
      <c r="S127" s="10">
        <v>44.65</v>
      </c>
      <c r="T127" s="10">
        <v>44.87</v>
      </c>
      <c r="U127" s="10">
        <v>45.06</v>
      </c>
      <c r="V127" s="10">
        <v>45.22</v>
      </c>
      <c r="W127" s="10">
        <v>45.37</v>
      </c>
      <c r="X127" s="10">
        <v>45.52</v>
      </c>
      <c r="Y127" s="10">
        <v>45.64</v>
      </c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</row>
    <row r="128" spans="1:147" x14ac:dyDescent="0.3">
      <c r="A128" s="9">
        <f>DATE(2017, 6, 27)</f>
        <v>42913</v>
      </c>
      <c r="B128" s="10">
        <v>46.65</v>
      </c>
      <c r="C128" s="10">
        <v>46.92</v>
      </c>
      <c r="D128" s="10">
        <v>47.19</v>
      </c>
      <c r="E128" s="10">
        <v>47.48</v>
      </c>
      <c r="F128" s="10">
        <v>47.76</v>
      </c>
      <c r="G128" s="10">
        <v>48.04</v>
      </c>
      <c r="H128" s="10">
        <v>48.28</v>
      </c>
      <c r="I128" s="10">
        <v>48.5</v>
      </c>
      <c r="J128" s="10">
        <v>48.7</v>
      </c>
      <c r="K128" s="10">
        <v>48.88</v>
      </c>
      <c r="L128" s="10">
        <v>49.04</v>
      </c>
      <c r="M128" s="10">
        <v>49.22</v>
      </c>
      <c r="N128" s="10">
        <v>44.24</v>
      </c>
      <c r="O128" s="10">
        <v>44.49</v>
      </c>
      <c r="P128" s="10">
        <v>44.73</v>
      </c>
      <c r="Q128" s="10">
        <v>45.01</v>
      </c>
      <c r="R128" s="10">
        <v>45.31</v>
      </c>
      <c r="S128" s="10">
        <v>45.57</v>
      </c>
      <c r="T128" s="10">
        <v>45.78</v>
      </c>
      <c r="U128" s="10">
        <v>45.96</v>
      </c>
      <c r="V128" s="10">
        <v>46.11</v>
      </c>
      <c r="W128" s="10">
        <v>46.25</v>
      </c>
      <c r="X128" s="10">
        <v>46.38</v>
      </c>
      <c r="Y128" s="10">
        <v>46.49</v>
      </c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</row>
    <row r="129" spans="1:147" x14ac:dyDescent="0.3">
      <c r="A129" s="9">
        <f>DATE(2017, 6, 28)</f>
        <v>42914</v>
      </c>
      <c r="B129" s="10">
        <v>47.31</v>
      </c>
      <c r="C129" s="10">
        <v>47.54</v>
      </c>
      <c r="D129" s="10">
        <v>47.81</v>
      </c>
      <c r="E129" s="10">
        <v>48.09</v>
      </c>
      <c r="F129" s="10">
        <v>48.35</v>
      </c>
      <c r="G129" s="10">
        <v>48.61</v>
      </c>
      <c r="H129" s="10">
        <v>48.83</v>
      </c>
      <c r="I129" s="10">
        <v>49.03</v>
      </c>
      <c r="J129" s="10">
        <v>49.22</v>
      </c>
      <c r="K129" s="10">
        <v>49.39</v>
      </c>
      <c r="L129" s="10">
        <v>49.54</v>
      </c>
      <c r="M129" s="10">
        <v>49.71</v>
      </c>
      <c r="N129" s="10">
        <v>44.74</v>
      </c>
      <c r="O129" s="10">
        <v>44.99</v>
      </c>
      <c r="P129" s="10">
        <v>45.23</v>
      </c>
      <c r="Q129" s="10">
        <v>45.51</v>
      </c>
      <c r="R129" s="10">
        <v>45.81</v>
      </c>
      <c r="S129" s="10">
        <v>46.08</v>
      </c>
      <c r="T129" s="10">
        <v>46.29</v>
      </c>
      <c r="U129" s="10">
        <v>46.47</v>
      </c>
      <c r="V129" s="10">
        <v>46.62</v>
      </c>
      <c r="W129" s="10">
        <v>46.76</v>
      </c>
      <c r="X129" s="10">
        <v>46.89</v>
      </c>
      <c r="Y129" s="10">
        <v>47</v>
      </c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</row>
    <row r="130" spans="1:147" x14ac:dyDescent="0.3">
      <c r="A130" s="9">
        <f>DATE(2017, 6, 29)</f>
        <v>42915</v>
      </c>
      <c r="B130" s="10">
        <v>47.42</v>
      </c>
      <c r="C130" s="10">
        <v>47.63</v>
      </c>
      <c r="D130" s="10">
        <v>47.93</v>
      </c>
      <c r="E130" s="10">
        <v>48.23</v>
      </c>
      <c r="F130" s="10">
        <v>48.5</v>
      </c>
      <c r="G130" s="10">
        <v>48.77</v>
      </c>
      <c r="H130" s="10">
        <v>49</v>
      </c>
      <c r="I130" s="10">
        <v>49.22</v>
      </c>
      <c r="J130" s="10">
        <v>49.43</v>
      </c>
      <c r="K130" s="10">
        <v>49.61</v>
      </c>
      <c r="L130" s="10">
        <v>49.77</v>
      </c>
      <c r="M130" s="10">
        <v>49.95</v>
      </c>
      <c r="N130" s="10">
        <v>44.93</v>
      </c>
      <c r="O130" s="10">
        <v>45.2</v>
      </c>
      <c r="P130" s="10">
        <v>45.44</v>
      </c>
      <c r="Q130" s="10">
        <v>45.72</v>
      </c>
      <c r="R130" s="10">
        <v>46.02</v>
      </c>
      <c r="S130" s="10">
        <v>46.29</v>
      </c>
      <c r="T130" s="10">
        <v>46.51</v>
      </c>
      <c r="U130" s="10">
        <v>46.69</v>
      </c>
      <c r="V130" s="10">
        <v>46.85</v>
      </c>
      <c r="W130" s="10">
        <v>46.99</v>
      </c>
      <c r="X130" s="10">
        <v>47.13</v>
      </c>
      <c r="Y130" s="10">
        <v>47.24</v>
      </c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</row>
    <row r="131" spans="1:147" x14ac:dyDescent="0.3">
      <c r="A131" s="9">
        <f>DATE(2017, 6, 30)</f>
        <v>42916</v>
      </c>
      <c r="B131" s="10">
        <v>47.92</v>
      </c>
      <c r="C131" s="10">
        <v>48.77</v>
      </c>
      <c r="D131" s="10">
        <v>49.04</v>
      </c>
      <c r="E131" s="10">
        <v>49.33</v>
      </c>
      <c r="F131" s="10">
        <v>49.59</v>
      </c>
      <c r="G131" s="10">
        <v>49.85</v>
      </c>
      <c r="H131" s="10">
        <v>50.07</v>
      </c>
      <c r="I131" s="10">
        <v>50.28</v>
      </c>
      <c r="J131" s="10">
        <v>50.48</v>
      </c>
      <c r="K131" s="10">
        <v>50.65</v>
      </c>
      <c r="L131" s="10">
        <v>50.81</v>
      </c>
      <c r="M131" s="10">
        <v>50.98</v>
      </c>
      <c r="N131" s="10">
        <v>46.04</v>
      </c>
      <c r="O131" s="10">
        <v>46.29</v>
      </c>
      <c r="P131" s="10">
        <v>46.51</v>
      </c>
      <c r="Q131" s="10">
        <v>46.77</v>
      </c>
      <c r="R131" s="10">
        <v>47.05</v>
      </c>
      <c r="S131" s="10">
        <v>47.31</v>
      </c>
      <c r="T131" s="10">
        <v>47.52</v>
      </c>
      <c r="U131" s="10">
        <v>47.7</v>
      </c>
      <c r="V131" s="10">
        <v>47.85</v>
      </c>
      <c r="W131" s="10">
        <v>47.98</v>
      </c>
      <c r="X131" s="10">
        <v>48.11</v>
      </c>
      <c r="Y131" s="10">
        <v>48.21</v>
      </c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</row>
    <row r="132" spans="1:147" x14ac:dyDescent="0.3">
      <c r="A132" s="9">
        <f>DATE(2017, 7, 3)</f>
        <v>42919</v>
      </c>
      <c r="B132" s="10">
        <v>49.68</v>
      </c>
      <c r="C132" s="10">
        <v>49.99</v>
      </c>
      <c r="D132" s="10">
        <v>50.3</v>
      </c>
      <c r="E132" s="10">
        <v>50.57</v>
      </c>
      <c r="F132" s="10">
        <v>50.84</v>
      </c>
      <c r="G132" s="10">
        <v>51.07</v>
      </c>
      <c r="H132" s="10">
        <v>51.28</v>
      </c>
      <c r="I132" s="10">
        <v>51.47</v>
      </c>
      <c r="J132" s="10">
        <v>51.63</v>
      </c>
      <c r="K132" s="10">
        <v>51.77</v>
      </c>
      <c r="L132" s="10">
        <v>51.93</v>
      </c>
      <c r="M132" s="10">
        <v>52.08</v>
      </c>
      <c r="N132" s="10">
        <v>47.07</v>
      </c>
      <c r="O132" s="10">
        <v>47.29</v>
      </c>
      <c r="P132" s="10">
        <v>47.49</v>
      </c>
      <c r="Q132" s="10">
        <v>47.74</v>
      </c>
      <c r="R132" s="10">
        <v>48.01</v>
      </c>
      <c r="S132" s="10">
        <v>48.26</v>
      </c>
      <c r="T132" s="10">
        <v>48.46</v>
      </c>
      <c r="U132" s="10">
        <v>48.63</v>
      </c>
      <c r="V132" s="10">
        <v>48.77</v>
      </c>
      <c r="W132" s="10">
        <v>48.9</v>
      </c>
      <c r="X132" s="10">
        <v>49.03</v>
      </c>
      <c r="Y132" s="10">
        <v>49.14</v>
      </c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</row>
    <row r="133" spans="1:147" x14ac:dyDescent="0.3">
      <c r="A133" s="9">
        <f>DATE(2017, 7, 4)</f>
        <v>42920</v>
      </c>
      <c r="B133" s="10">
        <v>49.61</v>
      </c>
      <c r="C133" s="10">
        <v>49.9</v>
      </c>
      <c r="D133" s="10">
        <v>50.19</v>
      </c>
      <c r="E133" s="10">
        <v>50.46</v>
      </c>
      <c r="F133" s="10">
        <v>50.72</v>
      </c>
      <c r="G133" s="10">
        <v>50.94</v>
      </c>
      <c r="H133" s="10">
        <v>51.14</v>
      </c>
      <c r="I133" s="10">
        <v>51.32</v>
      </c>
      <c r="J133" s="10">
        <v>51.48</v>
      </c>
      <c r="K133" s="10">
        <v>51.62</v>
      </c>
      <c r="L133" s="10">
        <v>51.78</v>
      </c>
      <c r="M133" s="10">
        <v>51.93</v>
      </c>
      <c r="N133" s="10">
        <v>47.07</v>
      </c>
      <c r="O133" s="10">
        <v>47.29</v>
      </c>
      <c r="P133" s="10">
        <v>47.49</v>
      </c>
      <c r="Q133" s="10">
        <v>47.74</v>
      </c>
      <c r="R133" s="10">
        <v>48.01</v>
      </c>
      <c r="S133" s="10">
        <v>48.26</v>
      </c>
      <c r="T133" s="10">
        <v>48.46</v>
      </c>
      <c r="U133" s="10">
        <v>48.63</v>
      </c>
      <c r="V133" s="10">
        <v>48.77</v>
      </c>
      <c r="W133" s="10">
        <v>48.9</v>
      </c>
      <c r="X133" s="10">
        <v>49.03</v>
      </c>
      <c r="Y133" s="10">
        <v>49.14</v>
      </c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</row>
    <row r="134" spans="1:147" x14ac:dyDescent="0.3">
      <c r="A134" s="9">
        <f>DATE(2017, 7, 5)</f>
        <v>42921</v>
      </c>
      <c r="B134" s="10">
        <v>47.79</v>
      </c>
      <c r="C134" s="10">
        <v>48.07</v>
      </c>
      <c r="D134" s="10">
        <v>48.38</v>
      </c>
      <c r="E134" s="10">
        <v>48.68</v>
      </c>
      <c r="F134" s="10">
        <v>48.97</v>
      </c>
      <c r="G134" s="10">
        <v>49.23</v>
      </c>
      <c r="H134" s="10">
        <v>49.47</v>
      </c>
      <c r="I134" s="10">
        <v>49.69</v>
      </c>
      <c r="J134" s="10">
        <v>49.89</v>
      </c>
      <c r="K134" s="10">
        <v>50.07</v>
      </c>
      <c r="L134" s="10">
        <v>50.27</v>
      </c>
      <c r="M134" s="10">
        <v>50.45</v>
      </c>
      <c r="N134" s="10">
        <v>45.13</v>
      </c>
      <c r="O134" s="10">
        <v>45.34</v>
      </c>
      <c r="P134" s="10">
        <v>45.55</v>
      </c>
      <c r="Q134" s="10">
        <v>45.81</v>
      </c>
      <c r="R134" s="10">
        <v>46.1</v>
      </c>
      <c r="S134" s="10">
        <v>46.38</v>
      </c>
      <c r="T134" s="10">
        <v>46.61</v>
      </c>
      <c r="U134" s="10">
        <v>46.81</v>
      </c>
      <c r="V134" s="10">
        <v>46.99</v>
      </c>
      <c r="W134" s="10">
        <v>47.15</v>
      </c>
      <c r="X134" s="10">
        <v>47.31</v>
      </c>
      <c r="Y134" s="10">
        <v>47.45</v>
      </c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</row>
    <row r="135" spans="1:147" x14ac:dyDescent="0.3">
      <c r="A135" s="9">
        <f>DATE(2017, 7, 6)</f>
        <v>42922</v>
      </c>
      <c r="B135" s="10">
        <v>48.11</v>
      </c>
      <c r="C135" s="10">
        <v>48.39</v>
      </c>
      <c r="D135" s="10">
        <v>48.68</v>
      </c>
      <c r="E135" s="10">
        <v>48.97</v>
      </c>
      <c r="F135" s="10">
        <v>49.26</v>
      </c>
      <c r="G135" s="10">
        <v>49.5</v>
      </c>
      <c r="H135" s="10">
        <v>49.73</v>
      </c>
      <c r="I135" s="10">
        <v>49.95</v>
      </c>
      <c r="J135" s="10">
        <v>50.14</v>
      </c>
      <c r="K135" s="10">
        <v>50.3</v>
      </c>
      <c r="L135" s="10">
        <v>50.49</v>
      </c>
      <c r="M135" s="10">
        <v>50.65</v>
      </c>
      <c r="N135" s="10">
        <v>45.52</v>
      </c>
      <c r="O135" s="10">
        <v>45.7</v>
      </c>
      <c r="P135" s="10">
        <v>45.89</v>
      </c>
      <c r="Q135" s="10">
        <v>46.13</v>
      </c>
      <c r="R135" s="10">
        <v>46.4</v>
      </c>
      <c r="S135" s="10">
        <v>46.66</v>
      </c>
      <c r="T135" s="10">
        <v>46.88</v>
      </c>
      <c r="U135" s="10">
        <v>47.07</v>
      </c>
      <c r="V135" s="10">
        <v>47.23</v>
      </c>
      <c r="W135" s="10">
        <v>47.38</v>
      </c>
      <c r="X135" s="10">
        <v>47.53</v>
      </c>
      <c r="Y135" s="10">
        <v>47.66</v>
      </c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</row>
    <row r="136" spans="1:147" x14ac:dyDescent="0.3">
      <c r="A136" s="9">
        <f>DATE(2017, 7, 7)</f>
        <v>42923</v>
      </c>
      <c r="B136" s="10">
        <v>46.71</v>
      </c>
      <c r="C136" s="10">
        <v>46.98</v>
      </c>
      <c r="D136" s="10">
        <v>47.27</v>
      </c>
      <c r="E136" s="10">
        <v>47.57</v>
      </c>
      <c r="F136" s="10">
        <v>47.86</v>
      </c>
      <c r="G136" s="10">
        <v>48.12</v>
      </c>
      <c r="H136" s="10">
        <v>48.36</v>
      </c>
      <c r="I136" s="10">
        <v>48.59</v>
      </c>
      <c r="J136" s="10">
        <v>48.8</v>
      </c>
      <c r="K136" s="10">
        <v>48.98</v>
      </c>
      <c r="L136" s="10">
        <v>49.18</v>
      </c>
      <c r="M136" s="10">
        <v>49.36</v>
      </c>
      <c r="N136" s="10">
        <v>44.23</v>
      </c>
      <c r="O136" s="10">
        <v>44.39</v>
      </c>
      <c r="P136" s="10">
        <v>44.56</v>
      </c>
      <c r="Q136" s="10">
        <v>44.8</v>
      </c>
      <c r="R136" s="10">
        <v>45.07</v>
      </c>
      <c r="S136" s="10">
        <v>45.33</v>
      </c>
      <c r="T136" s="10">
        <v>45.57</v>
      </c>
      <c r="U136" s="10">
        <v>45.78</v>
      </c>
      <c r="V136" s="10">
        <v>45.96</v>
      </c>
      <c r="W136" s="10">
        <v>46.12</v>
      </c>
      <c r="X136" s="10">
        <v>46.29</v>
      </c>
      <c r="Y136" s="10">
        <v>46.44</v>
      </c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</row>
    <row r="137" spans="1:147" x14ac:dyDescent="0.3">
      <c r="A137" s="9">
        <f>DATE(2017, 7, 10)</f>
        <v>42926</v>
      </c>
      <c r="B137" s="10">
        <v>46.88</v>
      </c>
      <c r="C137" s="10">
        <v>47.17</v>
      </c>
      <c r="D137" s="10">
        <v>47.51</v>
      </c>
      <c r="E137" s="10">
        <v>47.83</v>
      </c>
      <c r="F137" s="10">
        <v>48.13</v>
      </c>
      <c r="G137" s="10">
        <v>48.41</v>
      </c>
      <c r="H137" s="10">
        <v>48.67</v>
      </c>
      <c r="I137" s="10">
        <v>48.91</v>
      </c>
      <c r="J137" s="10">
        <v>49.14</v>
      </c>
      <c r="K137" s="10">
        <v>49.34</v>
      </c>
      <c r="L137" s="10">
        <v>49.55</v>
      </c>
      <c r="M137" s="10">
        <v>49.75</v>
      </c>
      <c r="N137" s="10">
        <v>44.4</v>
      </c>
      <c r="O137" s="10">
        <v>44.6</v>
      </c>
      <c r="P137" s="10">
        <v>44.79</v>
      </c>
      <c r="Q137" s="10">
        <v>45.04</v>
      </c>
      <c r="R137" s="10">
        <v>45.32</v>
      </c>
      <c r="S137" s="10">
        <v>45.58</v>
      </c>
      <c r="T137" s="10">
        <v>45.82</v>
      </c>
      <c r="U137" s="10">
        <v>46.04</v>
      </c>
      <c r="V137" s="10">
        <v>46.25</v>
      </c>
      <c r="W137" s="10">
        <v>46.44</v>
      </c>
      <c r="X137" s="10">
        <v>46.62</v>
      </c>
      <c r="Y137" s="10">
        <v>46.8</v>
      </c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</row>
    <row r="138" spans="1:147" x14ac:dyDescent="0.3">
      <c r="A138" s="9">
        <f>DATE(2017, 7, 11)</f>
        <v>42927</v>
      </c>
      <c r="B138" s="10">
        <v>47.52</v>
      </c>
      <c r="C138" s="10">
        <v>47.81</v>
      </c>
      <c r="D138" s="10">
        <v>48.13</v>
      </c>
      <c r="E138" s="10">
        <v>48.44</v>
      </c>
      <c r="F138" s="10">
        <v>48.73</v>
      </c>
      <c r="G138" s="10">
        <v>48.99</v>
      </c>
      <c r="H138" s="10">
        <v>49.23</v>
      </c>
      <c r="I138" s="10">
        <v>49.46</v>
      </c>
      <c r="J138" s="10">
        <v>49.69</v>
      </c>
      <c r="K138" s="10">
        <v>49.89</v>
      </c>
      <c r="L138" s="10">
        <v>50.11</v>
      </c>
      <c r="M138" s="10">
        <v>50.3</v>
      </c>
      <c r="N138" s="10">
        <v>45.04</v>
      </c>
      <c r="O138" s="10">
        <v>45.23</v>
      </c>
      <c r="P138" s="10">
        <v>45.4</v>
      </c>
      <c r="Q138" s="10">
        <v>45.65</v>
      </c>
      <c r="R138" s="10">
        <v>45.92</v>
      </c>
      <c r="S138" s="10">
        <v>46.17</v>
      </c>
      <c r="T138" s="10">
        <v>46.39</v>
      </c>
      <c r="U138" s="10">
        <v>46.59</v>
      </c>
      <c r="V138" s="10">
        <v>46.78</v>
      </c>
      <c r="W138" s="10">
        <v>46.96</v>
      </c>
      <c r="X138" s="10">
        <v>47.13</v>
      </c>
      <c r="Y138" s="10">
        <v>47.29</v>
      </c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</row>
    <row r="139" spans="1:147" x14ac:dyDescent="0.3">
      <c r="A139" s="9">
        <f>DATE(2017, 7, 12)</f>
        <v>42928</v>
      </c>
      <c r="B139" s="10">
        <v>47.74</v>
      </c>
      <c r="C139" s="10">
        <v>48.03</v>
      </c>
      <c r="D139" s="10">
        <v>48.34</v>
      </c>
      <c r="E139" s="10">
        <v>48.63</v>
      </c>
      <c r="F139" s="10">
        <v>48.9</v>
      </c>
      <c r="G139" s="10">
        <v>49.14</v>
      </c>
      <c r="H139" s="10">
        <v>49.35</v>
      </c>
      <c r="I139" s="10">
        <v>49.56</v>
      </c>
      <c r="J139" s="10">
        <v>49.76</v>
      </c>
      <c r="K139" s="10">
        <v>49.94</v>
      </c>
      <c r="L139" s="10">
        <v>50.14</v>
      </c>
      <c r="M139" s="10">
        <v>50.32</v>
      </c>
      <c r="N139" s="10">
        <v>45.49</v>
      </c>
      <c r="O139" s="10">
        <v>45.66</v>
      </c>
      <c r="P139" s="10">
        <v>45.81</v>
      </c>
      <c r="Q139" s="10">
        <v>46.01</v>
      </c>
      <c r="R139" s="10">
        <v>46.24</v>
      </c>
      <c r="S139" s="10">
        <v>46.45</v>
      </c>
      <c r="T139" s="10">
        <v>46.63</v>
      </c>
      <c r="U139" s="10">
        <v>46.79</v>
      </c>
      <c r="V139" s="10">
        <v>46.94</v>
      </c>
      <c r="W139" s="10">
        <v>47.08</v>
      </c>
      <c r="X139" s="10">
        <v>47.22</v>
      </c>
      <c r="Y139" s="10">
        <v>47.34</v>
      </c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</row>
    <row r="140" spans="1:147" x14ac:dyDescent="0.3">
      <c r="A140" s="9">
        <f>DATE(2017, 7, 13)</f>
        <v>42929</v>
      </c>
      <c r="B140" s="10">
        <v>48.42</v>
      </c>
      <c r="C140" s="10">
        <v>48.68</v>
      </c>
      <c r="D140" s="10">
        <v>48.96</v>
      </c>
      <c r="E140" s="10">
        <v>49.23</v>
      </c>
      <c r="F140" s="10">
        <v>49.46</v>
      </c>
      <c r="G140" s="10">
        <v>49.68</v>
      </c>
      <c r="H140" s="10">
        <v>49.87</v>
      </c>
      <c r="I140" s="10">
        <v>50.05</v>
      </c>
      <c r="J140" s="10">
        <v>50.23</v>
      </c>
      <c r="K140" s="10">
        <v>50.39</v>
      </c>
      <c r="L140" s="10">
        <v>50.58</v>
      </c>
      <c r="M140" s="10">
        <v>50.75</v>
      </c>
      <c r="N140" s="10">
        <v>46.08</v>
      </c>
      <c r="O140" s="10">
        <v>46.25</v>
      </c>
      <c r="P140" s="10">
        <v>46.4</v>
      </c>
      <c r="Q140" s="10">
        <v>46.59</v>
      </c>
      <c r="R140" s="10">
        <v>46.81</v>
      </c>
      <c r="S140" s="10">
        <v>47</v>
      </c>
      <c r="T140" s="10">
        <v>47.16</v>
      </c>
      <c r="U140" s="10">
        <v>47.31</v>
      </c>
      <c r="V140" s="10">
        <v>47.44</v>
      </c>
      <c r="W140" s="10">
        <v>47.56</v>
      </c>
      <c r="X140" s="10">
        <v>47.68</v>
      </c>
      <c r="Y140" s="10">
        <v>47.78</v>
      </c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</row>
    <row r="141" spans="1:147" x14ac:dyDescent="0.3">
      <c r="A141" s="9">
        <f>DATE(2017, 7, 14)</f>
        <v>42930</v>
      </c>
      <c r="B141" s="10">
        <v>48.91</v>
      </c>
      <c r="C141" s="10">
        <v>49.17</v>
      </c>
      <c r="D141" s="10">
        <v>49.47</v>
      </c>
      <c r="E141" s="10">
        <v>49.74</v>
      </c>
      <c r="F141" s="10">
        <v>49.98</v>
      </c>
      <c r="G141" s="10">
        <v>50.21</v>
      </c>
      <c r="H141" s="10">
        <v>50.4</v>
      </c>
      <c r="I141" s="10">
        <v>50.58</v>
      </c>
      <c r="J141" s="10">
        <v>50.75</v>
      </c>
      <c r="K141" s="10">
        <v>50.9</v>
      </c>
      <c r="L141" s="10">
        <v>51.07</v>
      </c>
      <c r="M141" s="10">
        <v>51.24</v>
      </c>
      <c r="N141" s="10">
        <v>46.54</v>
      </c>
      <c r="O141" s="10">
        <v>46.75</v>
      </c>
      <c r="P141" s="10">
        <v>46.92</v>
      </c>
      <c r="Q141" s="10">
        <v>47.12</v>
      </c>
      <c r="R141" s="10">
        <v>47.35</v>
      </c>
      <c r="S141" s="10">
        <v>47.55</v>
      </c>
      <c r="T141" s="10">
        <v>47.71</v>
      </c>
      <c r="U141" s="10">
        <v>47.86</v>
      </c>
      <c r="V141" s="10">
        <v>47.99</v>
      </c>
      <c r="W141" s="10">
        <v>48.1</v>
      </c>
      <c r="X141" s="10">
        <v>48.21</v>
      </c>
      <c r="Y141" s="10">
        <v>48.3</v>
      </c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</row>
    <row r="142" spans="1:147" x14ac:dyDescent="0.3">
      <c r="A142" s="9">
        <f>DATE(2017, 7, 17)</f>
        <v>42933</v>
      </c>
      <c r="B142" s="10">
        <v>48.42</v>
      </c>
      <c r="C142" s="10">
        <v>48.68</v>
      </c>
      <c r="D142" s="10">
        <v>49</v>
      </c>
      <c r="E142" s="10">
        <v>49.29</v>
      </c>
      <c r="F142" s="10">
        <v>49.56</v>
      </c>
      <c r="G142" s="10">
        <v>49.8</v>
      </c>
      <c r="H142" s="10">
        <v>50.01</v>
      </c>
      <c r="I142" s="10">
        <v>50.19</v>
      </c>
      <c r="J142" s="10">
        <v>50.37</v>
      </c>
      <c r="K142" s="10">
        <v>50.52</v>
      </c>
      <c r="L142" s="10">
        <v>50.7</v>
      </c>
      <c r="M142" s="10">
        <v>50.86</v>
      </c>
      <c r="N142" s="10">
        <v>46.02</v>
      </c>
      <c r="O142" s="10">
        <v>46.23</v>
      </c>
      <c r="P142" s="10">
        <v>46.41</v>
      </c>
      <c r="Q142" s="10">
        <v>46.64</v>
      </c>
      <c r="R142" s="10">
        <v>46.91</v>
      </c>
      <c r="S142" s="10">
        <v>47.16</v>
      </c>
      <c r="T142" s="10">
        <v>47.36</v>
      </c>
      <c r="U142" s="10">
        <v>47.53</v>
      </c>
      <c r="V142" s="10">
        <v>47.67</v>
      </c>
      <c r="W142" s="10">
        <v>47.79</v>
      </c>
      <c r="X142" s="10">
        <v>47.91</v>
      </c>
      <c r="Y142" s="10">
        <v>48.01</v>
      </c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</row>
    <row r="143" spans="1:147" x14ac:dyDescent="0.3">
      <c r="A143" s="9">
        <f>DATE(2017, 7, 18)</f>
        <v>42934</v>
      </c>
      <c r="B143" s="10">
        <v>48.84</v>
      </c>
      <c r="C143" s="10">
        <v>49.08</v>
      </c>
      <c r="D143" s="10">
        <v>49.38</v>
      </c>
      <c r="E143" s="10">
        <v>49.65</v>
      </c>
      <c r="F143" s="10">
        <v>49.89</v>
      </c>
      <c r="G143" s="10">
        <v>50.12</v>
      </c>
      <c r="H143" s="10">
        <v>50.31</v>
      </c>
      <c r="I143" s="10">
        <v>50.48</v>
      </c>
      <c r="J143" s="10">
        <v>50.63</v>
      </c>
      <c r="K143" s="10">
        <v>50.77</v>
      </c>
      <c r="L143" s="10">
        <v>50.94</v>
      </c>
      <c r="M143" s="10">
        <v>51.09</v>
      </c>
      <c r="N143" s="10">
        <v>46.4</v>
      </c>
      <c r="O143" s="10">
        <v>46.59</v>
      </c>
      <c r="P143" s="10">
        <v>46.76</v>
      </c>
      <c r="Q143" s="10">
        <v>46.99</v>
      </c>
      <c r="R143" s="10">
        <v>47.25</v>
      </c>
      <c r="S143" s="10">
        <v>47.49</v>
      </c>
      <c r="T143" s="10">
        <v>47.67</v>
      </c>
      <c r="U143" s="10">
        <v>47.82</v>
      </c>
      <c r="V143" s="10">
        <v>47.94</v>
      </c>
      <c r="W143" s="10">
        <v>48.04</v>
      </c>
      <c r="X143" s="10">
        <v>48.14</v>
      </c>
      <c r="Y143" s="10">
        <v>48.22</v>
      </c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</row>
    <row r="144" spans="1:147" x14ac:dyDescent="0.3">
      <c r="A144" s="9">
        <f>DATE(2017, 7, 19)</f>
        <v>42935</v>
      </c>
      <c r="B144" s="10">
        <v>49.7</v>
      </c>
      <c r="C144" s="10">
        <v>49.93</v>
      </c>
      <c r="D144" s="10">
        <v>50.22</v>
      </c>
      <c r="E144" s="10">
        <v>50.48</v>
      </c>
      <c r="F144" s="10">
        <v>50.71</v>
      </c>
      <c r="G144" s="10">
        <v>50.93</v>
      </c>
      <c r="H144" s="10">
        <v>51.1</v>
      </c>
      <c r="I144" s="10">
        <v>51.25</v>
      </c>
      <c r="J144" s="10">
        <v>51.38</v>
      </c>
      <c r="K144" s="10">
        <v>51.49</v>
      </c>
      <c r="L144" s="10">
        <v>51.63</v>
      </c>
      <c r="M144" s="10">
        <v>51.75</v>
      </c>
      <c r="N144" s="10">
        <v>47.12</v>
      </c>
      <c r="O144" s="10">
        <v>47.32</v>
      </c>
      <c r="P144" s="10">
        <v>47.5</v>
      </c>
      <c r="Q144" s="10">
        <v>47.73</v>
      </c>
      <c r="R144" s="10">
        <v>47.99</v>
      </c>
      <c r="S144" s="10">
        <v>48.22</v>
      </c>
      <c r="T144" s="10">
        <v>48.39</v>
      </c>
      <c r="U144" s="10">
        <v>48.53</v>
      </c>
      <c r="V144" s="10">
        <v>48.64</v>
      </c>
      <c r="W144" s="10">
        <v>48.73</v>
      </c>
      <c r="X144" s="10">
        <v>48.81</v>
      </c>
      <c r="Y144" s="10">
        <v>48.87</v>
      </c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</row>
    <row r="145" spans="1:147" x14ac:dyDescent="0.3">
      <c r="A145" s="9">
        <f>DATE(2017, 7, 20)</f>
        <v>42936</v>
      </c>
      <c r="B145" s="10">
        <v>49.3</v>
      </c>
      <c r="C145" s="10">
        <v>49.52</v>
      </c>
      <c r="D145" s="10">
        <v>49.81</v>
      </c>
      <c r="E145" s="10">
        <v>50.08</v>
      </c>
      <c r="F145" s="10">
        <v>50.3</v>
      </c>
      <c r="G145" s="10">
        <v>50.52</v>
      </c>
      <c r="H145" s="10">
        <v>50.69</v>
      </c>
      <c r="I145" s="10">
        <v>50.84</v>
      </c>
      <c r="J145" s="10">
        <v>50.96</v>
      </c>
      <c r="K145" s="10">
        <v>51.07</v>
      </c>
      <c r="L145" s="10">
        <v>51.2</v>
      </c>
      <c r="M145" s="10">
        <v>51.32</v>
      </c>
      <c r="N145" s="10">
        <v>46.79</v>
      </c>
      <c r="O145" s="10">
        <v>46.92</v>
      </c>
      <c r="P145" s="10">
        <v>47.1</v>
      </c>
      <c r="Q145" s="10">
        <v>47.34</v>
      </c>
      <c r="R145" s="10">
        <v>47.6</v>
      </c>
      <c r="S145" s="10">
        <v>47.83</v>
      </c>
      <c r="T145" s="10">
        <v>48</v>
      </c>
      <c r="U145" s="10">
        <v>48.14</v>
      </c>
      <c r="V145" s="10">
        <v>48.25</v>
      </c>
      <c r="W145" s="10">
        <v>48.33</v>
      </c>
      <c r="X145" s="10">
        <v>48.41</v>
      </c>
      <c r="Y145" s="10">
        <v>48.47</v>
      </c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</row>
    <row r="146" spans="1:147" x14ac:dyDescent="0.3">
      <c r="A146" s="9">
        <f>DATE(2017, 7, 21)</f>
        <v>42937</v>
      </c>
      <c r="B146" s="10">
        <v>48.06</v>
      </c>
      <c r="C146" s="10">
        <v>48.31</v>
      </c>
      <c r="D146" s="10">
        <v>48.6</v>
      </c>
      <c r="E146" s="10">
        <v>48.88</v>
      </c>
      <c r="F146" s="10">
        <v>49.13</v>
      </c>
      <c r="G146" s="10">
        <v>49.38</v>
      </c>
      <c r="H146" s="10">
        <v>49.59</v>
      </c>
      <c r="I146" s="10">
        <v>49.75</v>
      </c>
      <c r="J146" s="10">
        <v>49.89</v>
      </c>
      <c r="K146" s="10">
        <v>50.01</v>
      </c>
      <c r="L146" s="10">
        <v>50.16</v>
      </c>
      <c r="M146" s="10">
        <v>50.29</v>
      </c>
      <c r="N146" s="10">
        <v>45.77</v>
      </c>
      <c r="O146" s="10">
        <v>45.95</v>
      </c>
      <c r="P146" s="10">
        <v>46.19</v>
      </c>
      <c r="Q146" s="10">
        <v>46.45</v>
      </c>
      <c r="R146" s="10">
        <v>46.69</v>
      </c>
      <c r="S146" s="10">
        <v>46.87</v>
      </c>
      <c r="T146" s="10">
        <v>47.02</v>
      </c>
      <c r="U146" s="10">
        <v>47.14</v>
      </c>
      <c r="V146" s="10">
        <v>47.24</v>
      </c>
      <c r="W146" s="10">
        <v>47.34</v>
      </c>
      <c r="X146" s="10">
        <v>47.42</v>
      </c>
      <c r="Y146" s="10">
        <v>47.5</v>
      </c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</row>
    <row r="147" spans="1:147" x14ac:dyDescent="0.3">
      <c r="A147" s="9">
        <f>DATE(2017, 7, 24)</f>
        <v>42940</v>
      </c>
      <c r="B147" s="10">
        <v>48.6</v>
      </c>
      <c r="C147" s="10">
        <v>48.82</v>
      </c>
      <c r="D147" s="10">
        <v>49.09</v>
      </c>
      <c r="E147" s="10">
        <v>49.35</v>
      </c>
      <c r="F147" s="10">
        <v>49.57</v>
      </c>
      <c r="G147" s="10">
        <v>49.81</v>
      </c>
      <c r="H147" s="10">
        <v>50.01</v>
      </c>
      <c r="I147" s="10">
        <v>50.17</v>
      </c>
      <c r="J147" s="10">
        <v>50.32</v>
      </c>
      <c r="K147" s="10">
        <v>50.45</v>
      </c>
      <c r="L147" s="10">
        <v>50.6</v>
      </c>
      <c r="M147" s="10">
        <v>50.73</v>
      </c>
      <c r="N147" s="10">
        <v>46.34</v>
      </c>
      <c r="O147" s="10">
        <v>46.51</v>
      </c>
      <c r="P147" s="10">
        <v>46.72</v>
      </c>
      <c r="Q147" s="10">
        <v>46.95</v>
      </c>
      <c r="R147" s="10">
        <v>47.17</v>
      </c>
      <c r="S147" s="10">
        <v>47.34</v>
      </c>
      <c r="T147" s="10">
        <v>47.48</v>
      </c>
      <c r="U147" s="10">
        <v>47.59</v>
      </c>
      <c r="V147" s="10">
        <v>47.69</v>
      </c>
      <c r="W147" s="10">
        <v>47.79</v>
      </c>
      <c r="X147" s="10">
        <v>47.87</v>
      </c>
      <c r="Y147" s="10">
        <v>47.95</v>
      </c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</row>
    <row r="148" spans="1:147" x14ac:dyDescent="0.3">
      <c r="A148" s="9">
        <f>DATE(2017, 7, 25)</f>
        <v>42941</v>
      </c>
      <c r="B148" s="10">
        <v>50.2</v>
      </c>
      <c r="C148" s="10">
        <v>50.36</v>
      </c>
      <c r="D148" s="10">
        <v>50.59</v>
      </c>
      <c r="E148" s="10">
        <v>50.8</v>
      </c>
      <c r="F148" s="10">
        <v>50.98</v>
      </c>
      <c r="G148" s="10">
        <v>51.18</v>
      </c>
      <c r="H148" s="10">
        <v>51.34</v>
      </c>
      <c r="I148" s="10">
        <v>51.48</v>
      </c>
      <c r="J148" s="10">
        <v>51.6</v>
      </c>
      <c r="K148" s="10">
        <v>51.71</v>
      </c>
      <c r="L148" s="10">
        <v>51.84</v>
      </c>
      <c r="M148" s="10">
        <v>51.95</v>
      </c>
      <c r="N148" s="10">
        <v>47.89</v>
      </c>
      <c r="O148" s="10">
        <v>48.02</v>
      </c>
      <c r="P148" s="10">
        <v>48.19</v>
      </c>
      <c r="Q148" s="10">
        <v>48.37</v>
      </c>
      <c r="R148" s="10">
        <v>48.55</v>
      </c>
      <c r="S148" s="10">
        <v>48.68</v>
      </c>
      <c r="T148" s="10">
        <v>48.78</v>
      </c>
      <c r="U148" s="10">
        <v>48.86</v>
      </c>
      <c r="V148" s="10">
        <v>48.92</v>
      </c>
      <c r="W148" s="10">
        <v>48.98</v>
      </c>
      <c r="X148" s="10">
        <v>49.03</v>
      </c>
      <c r="Y148" s="10">
        <v>49.09</v>
      </c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</row>
    <row r="149" spans="1:147" x14ac:dyDescent="0.3">
      <c r="A149" s="9">
        <f>DATE(2017, 7, 26)</f>
        <v>42942</v>
      </c>
      <c r="B149" s="10">
        <v>50.97</v>
      </c>
      <c r="C149" s="10">
        <v>51.1</v>
      </c>
      <c r="D149" s="10">
        <v>51.31</v>
      </c>
      <c r="E149" s="10">
        <v>51.5</v>
      </c>
      <c r="F149" s="10">
        <v>51.66</v>
      </c>
      <c r="G149" s="10">
        <v>51.82</v>
      </c>
      <c r="H149" s="10">
        <v>51.95</v>
      </c>
      <c r="I149" s="10">
        <v>52.06</v>
      </c>
      <c r="J149" s="10">
        <v>52.15</v>
      </c>
      <c r="K149" s="10">
        <v>52.23</v>
      </c>
      <c r="L149" s="10">
        <v>52.34</v>
      </c>
      <c r="M149" s="10">
        <v>52.44</v>
      </c>
      <c r="N149" s="10">
        <v>48.75</v>
      </c>
      <c r="O149" s="10">
        <v>48.85</v>
      </c>
      <c r="P149" s="10">
        <v>48.99</v>
      </c>
      <c r="Q149" s="10">
        <v>49.11</v>
      </c>
      <c r="R149" s="10">
        <v>49.22</v>
      </c>
      <c r="S149" s="10">
        <v>49.3</v>
      </c>
      <c r="T149" s="10">
        <v>49.36</v>
      </c>
      <c r="U149" s="10">
        <v>49.41</v>
      </c>
      <c r="V149" s="10">
        <v>49.45</v>
      </c>
      <c r="W149" s="10">
        <v>49.49</v>
      </c>
      <c r="X149" s="10">
        <v>49.51</v>
      </c>
      <c r="Y149" s="10">
        <v>49.54</v>
      </c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</row>
    <row r="150" spans="1:147" x14ac:dyDescent="0.3">
      <c r="A150" s="9">
        <f>DATE(2017, 7, 27)</f>
        <v>42943</v>
      </c>
      <c r="B150" s="10">
        <v>51.49</v>
      </c>
      <c r="C150" s="10">
        <v>51.52</v>
      </c>
      <c r="D150" s="10">
        <v>51.69</v>
      </c>
      <c r="E150" s="10">
        <v>51.85</v>
      </c>
      <c r="F150" s="10">
        <v>51.98</v>
      </c>
      <c r="G150" s="10">
        <v>52.12</v>
      </c>
      <c r="H150" s="10">
        <v>52.24</v>
      </c>
      <c r="I150" s="10">
        <v>52.33</v>
      </c>
      <c r="J150" s="10">
        <v>52.4</v>
      </c>
      <c r="K150" s="10">
        <v>52.46</v>
      </c>
      <c r="L150" s="10">
        <v>52.55</v>
      </c>
      <c r="M150" s="10">
        <v>52.63</v>
      </c>
      <c r="N150" s="10">
        <v>49.04</v>
      </c>
      <c r="O150" s="10">
        <v>49.17</v>
      </c>
      <c r="P150" s="10">
        <v>49.32</v>
      </c>
      <c r="Q150" s="10">
        <v>49.44</v>
      </c>
      <c r="R150" s="10">
        <v>49.54</v>
      </c>
      <c r="S150" s="10">
        <v>49.6</v>
      </c>
      <c r="T150" s="10">
        <v>49.65</v>
      </c>
      <c r="U150" s="10">
        <v>49.69</v>
      </c>
      <c r="V150" s="10">
        <v>49.71</v>
      </c>
      <c r="W150" s="10">
        <v>49.73</v>
      </c>
      <c r="X150" s="10">
        <v>49.74</v>
      </c>
      <c r="Y150" s="10">
        <v>49.75</v>
      </c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</row>
    <row r="151" spans="1:147" x14ac:dyDescent="0.3">
      <c r="A151" s="9">
        <f>DATE(2017, 7, 28)</f>
        <v>42944</v>
      </c>
      <c r="B151" s="10">
        <v>52.52</v>
      </c>
      <c r="C151" s="10">
        <v>52.22</v>
      </c>
      <c r="D151" s="10">
        <v>52.34</v>
      </c>
      <c r="E151" s="10">
        <v>52.48</v>
      </c>
      <c r="F151" s="10">
        <v>52.58</v>
      </c>
      <c r="G151" s="10">
        <v>52.69</v>
      </c>
      <c r="H151" s="10">
        <v>52.77</v>
      </c>
      <c r="I151" s="10">
        <v>52.83</v>
      </c>
      <c r="J151" s="10">
        <v>52.87</v>
      </c>
      <c r="K151" s="10">
        <v>52.89</v>
      </c>
      <c r="L151" s="10">
        <v>52.95</v>
      </c>
      <c r="M151" s="10">
        <v>53</v>
      </c>
      <c r="N151" s="10">
        <v>49.71</v>
      </c>
      <c r="O151" s="10">
        <v>49.81</v>
      </c>
      <c r="P151" s="10">
        <v>49.93</v>
      </c>
      <c r="Q151" s="10">
        <v>50</v>
      </c>
      <c r="R151" s="10">
        <v>50.06</v>
      </c>
      <c r="S151" s="10">
        <v>50.08</v>
      </c>
      <c r="T151" s="10">
        <v>50.1</v>
      </c>
      <c r="U151" s="10">
        <v>50.1</v>
      </c>
      <c r="V151" s="10">
        <v>50.09</v>
      </c>
      <c r="W151" s="10">
        <v>50.08</v>
      </c>
      <c r="X151" s="10">
        <v>50.05</v>
      </c>
      <c r="Y151" s="10">
        <v>50.03</v>
      </c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</row>
    <row r="152" spans="1:147" x14ac:dyDescent="0.3">
      <c r="A152" s="9">
        <f>DATE(2017, 7, 31)</f>
        <v>42947</v>
      </c>
      <c r="B152" s="10">
        <v>52.65</v>
      </c>
      <c r="C152" s="10">
        <v>52.72</v>
      </c>
      <c r="D152" s="10">
        <v>52.87</v>
      </c>
      <c r="E152" s="10">
        <v>53.02</v>
      </c>
      <c r="F152" s="10">
        <v>53.12</v>
      </c>
      <c r="G152" s="10">
        <v>53.23</v>
      </c>
      <c r="H152" s="10">
        <v>53.3</v>
      </c>
      <c r="I152" s="10">
        <v>53.34</v>
      </c>
      <c r="J152" s="10">
        <v>53.38</v>
      </c>
      <c r="K152" s="10">
        <v>53.41</v>
      </c>
      <c r="L152" s="10">
        <v>53.47</v>
      </c>
      <c r="M152" s="10">
        <v>53.52</v>
      </c>
      <c r="N152" s="10">
        <v>50.17</v>
      </c>
      <c r="O152" s="10">
        <v>50.26</v>
      </c>
      <c r="P152" s="10">
        <v>50.37</v>
      </c>
      <c r="Q152" s="10">
        <v>50.46</v>
      </c>
      <c r="R152" s="10">
        <v>50.53</v>
      </c>
      <c r="S152" s="10">
        <v>50.56</v>
      </c>
      <c r="T152" s="10">
        <v>50.58</v>
      </c>
      <c r="U152" s="10">
        <v>50.58</v>
      </c>
      <c r="V152" s="10">
        <v>50.57</v>
      </c>
      <c r="W152" s="10">
        <v>50.56</v>
      </c>
      <c r="X152" s="10">
        <v>50.53</v>
      </c>
      <c r="Y152" s="10">
        <v>50.52</v>
      </c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</row>
    <row r="153" spans="1:147" x14ac:dyDescent="0.3">
      <c r="A153" s="9">
        <f>DATE(2017, 8, 1)</f>
        <v>42948</v>
      </c>
      <c r="B153" s="10">
        <v>51.78</v>
      </c>
      <c r="C153" s="10">
        <v>51.94</v>
      </c>
      <c r="D153" s="10">
        <v>52.11</v>
      </c>
      <c r="E153" s="10">
        <v>52.25</v>
      </c>
      <c r="F153" s="10">
        <v>52.39</v>
      </c>
      <c r="G153" s="10">
        <v>52.51</v>
      </c>
      <c r="H153" s="10">
        <v>52.59</v>
      </c>
      <c r="I153" s="10">
        <v>52.65</v>
      </c>
      <c r="J153" s="10">
        <v>52.69</v>
      </c>
      <c r="K153" s="10">
        <v>52.76</v>
      </c>
      <c r="L153" s="10">
        <v>52.82</v>
      </c>
      <c r="M153" s="10">
        <v>52.86</v>
      </c>
      <c r="N153" s="10">
        <v>49.16</v>
      </c>
      <c r="O153" s="10">
        <v>49.29</v>
      </c>
      <c r="P153" s="10">
        <v>49.43</v>
      </c>
      <c r="Q153" s="10">
        <v>49.57</v>
      </c>
      <c r="R153" s="10">
        <v>49.7</v>
      </c>
      <c r="S153" s="10">
        <v>49.78</v>
      </c>
      <c r="T153" s="10">
        <v>49.83</v>
      </c>
      <c r="U153" s="10">
        <v>49.86</v>
      </c>
      <c r="V153" s="10">
        <v>49.88</v>
      </c>
      <c r="W153" s="10">
        <v>49.89</v>
      </c>
      <c r="X153" s="10">
        <v>49.89</v>
      </c>
      <c r="Y153" s="10">
        <v>49.89</v>
      </c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</row>
    <row r="154" spans="1:147" x14ac:dyDescent="0.3">
      <c r="A154" s="9">
        <f>DATE(2017, 8, 2)</f>
        <v>42949</v>
      </c>
      <c r="B154" s="10">
        <v>52.36</v>
      </c>
      <c r="C154" s="10">
        <v>52.44</v>
      </c>
      <c r="D154" s="10">
        <v>52.56</v>
      </c>
      <c r="E154" s="10">
        <v>52.66</v>
      </c>
      <c r="F154" s="10">
        <v>52.77</v>
      </c>
      <c r="G154" s="10">
        <v>52.85</v>
      </c>
      <c r="H154" s="10">
        <v>52.92</v>
      </c>
      <c r="I154" s="10">
        <v>52.97</v>
      </c>
      <c r="J154" s="10">
        <v>53.01</v>
      </c>
      <c r="K154" s="10">
        <v>53.08</v>
      </c>
      <c r="L154" s="10">
        <v>53.13</v>
      </c>
      <c r="M154" s="10">
        <v>53.16</v>
      </c>
      <c r="N154" s="10">
        <v>49.59</v>
      </c>
      <c r="O154" s="10">
        <v>49.73</v>
      </c>
      <c r="P154" s="10">
        <v>49.87</v>
      </c>
      <c r="Q154" s="10">
        <v>49.99</v>
      </c>
      <c r="R154" s="10">
        <v>50.11</v>
      </c>
      <c r="S154" s="10">
        <v>50.18</v>
      </c>
      <c r="T154" s="10">
        <v>50.23</v>
      </c>
      <c r="U154" s="10">
        <v>50.26</v>
      </c>
      <c r="V154" s="10">
        <v>50.26</v>
      </c>
      <c r="W154" s="10">
        <v>50.26</v>
      </c>
      <c r="X154" s="10">
        <v>50.24</v>
      </c>
      <c r="Y154" s="10">
        <v>50.22</v>
      </c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</row>
    <row r="155" spans="1:147" x14ac:dyDescent="0.3">
      <c r="A155" s="9">
        <f>DATE(2017, 8, 3)</f>
        <v>42950</v>
      </c>
      <c r="B155" s="10">
        <v>52.01</v>
      </c>
      <c r="C155" s="10">
        <v>52.02</v>
      </c>
      <c r="D155" s="10">
        <v>52.12</v>
      </c>
      <c r="E155" s="10">
        <v>52.21</v>
      </c>
      <c r="F155" s="10">
        <v>52.32</v>
      </c>
      <c r="G155" s="10">
        <v>52.4</v>
      </c>
      <c r="H155" s="10">
        <v>52.46</v>
      </c>
      <c r="I155" s="10">
        <v>52.52</v>
      </c>
      <c r="J155" s="10">
        <v>52.56</v>
      </c>
      <c r="K155" s="10">
        <v>52.63</v>
      </c>
      <c r="L155" s="10">
        <v>52.68</v>
      </c>
      <c r="M155" s="10">
        <v>52.71</v>
      </c>
      <c r="N155" s="10">
        <v>49.03</v>
      </c>
      <c r="O155" s="10">
        <v>49.19</v>
      </c>
      <c r="P155" s="10">
        <v>49.34</v>
      </c>
      <c r="Q155" s="10">
        <v>49.48</v>
      </c>
      <c r="R155" s="10">
        <v>49.61</v>
      </c>
      <c r="S155" s="10">
        <v>49.69</v>
      </c>
      <c r="T155" s="10">
        <v>49.75</v>
      </c>
      <c r="U155" s="10">
        <v>49.79</v>
      </c>
      <c r="V155" s="10">
        <v>49.8</v>
      </c>
      <c r="W155" s="10">
        <v>49.8</v>
      </c>
      <c r="X155" s="10">
        <v>49.78</v>
      </c>
      <c r="Y155" s="10">
        <v>49.76</v>
      </c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</row>
    <row r="156" spans="1:147" x14ac:dyDescent="0.3">
      <c r="A156" s="9">
        <f>DATE(2017, 8, 4)</f>
        <v>42951</v>
      </c>
      <c r="B156" s="10">
        <v>52.42</v>
      </c>
      <c r="C156" s="10">
        <v>52.46</v>
      </c>
      <c r="D156" s="10">
        <v>52.6</v>
      </c>
      <c r="E156" s="10">
        <v>52.72</v>
      </c>
      <c r="F156" s="10">
        <v>52.84</v>
      </c>
      <c r="G156" s="10">
        <v>52.92</v>
      </c>
      <c r="H156" s="10">
        <v>52.98</v>
      </c>
      <c r="I156" s="10">
        <v>53.03</v>
      </c>
      <c r="J156" s="10">
        <v>53.06</v>
      </c>
      <c r="K156" s="10">
        <v>53.12</v>
      </c>
      <c r="L156" s="10">
        <v>53.16</v>
      </c>
      <c r="M156" s="10">
        <v>53.18</v>
      </c>
      <c r="N156" s="10">
        <v>49.58</v>
      </c>
      <c r="O156" s="10">
        <v>49.73</v>
      </c>
      <c r="P156" s="10">
        <v>49.88</v>
      </c>
      <c r="Q156" s="10">
        <v>50.02</v>
      </c>
      <c r="R156" s="10">
        <v>50.15</v>
      </c>
      <c r="S156" s="10">
        <v>50.23</v>
      </c>
      <c r="T156" s="10">
        <v>50.28</v>
      </c>
      <c r="U156" s="10">
        <v>50.31</v>
      </c>
      <c r="V156" s="10">
        <v>50.31</v>
      </c>
      <c r="W156" s="10">
        <v>50.31</v>
      </c>
      <c r="X156" s="10">
        <v>50.28</v>
      </c>
      <c r="Y156" s="10">
        <v>50.25</v>
      </c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</row>
    <row r="157" spans="1:147" x14ac:dyDescent="0.3">
      <c r="A157" s="9">
        <f>DATE(2017, 8, 7)</f>
        <v>42954</v>
      </c>
      <c r="B157" s="10">
        <v>52.37</v>
      </c>
      <c r="C157" s="10">
        <v>52.42</v>
      </c>
      <c r="D157" s="10">
        <v>52.57</v>
      </c>
      <c r="E157" s="10">
        <v>52.71</v>
      </c>
      <c r="F157" s="10">
        <v>52.84</v>
      </c>
      <c r="G157" s="10">
        <v>52.94</v>
      </c>
      <c r="H157" s="10">
        <v>53</v>
      </c>
      <c r="I157" s="10">
        <v>53.06</v>
      </c>
      <c r="J157" s="10">
        <v>53.11</v>
      </c>
      <c r="K157" s="10">
        <v>53.17</v>
      </c>
      <c r="L157" s="10">
        <v>53.21</v>
      </c>
      <c r="M157" s="10">
        <v>53.24</v>
      </c>
      <c r="N157" s="10">
        <v>49.39</v>
      </c>
      <c r="O157" s="10">
        <v>49.57</v>
      </c>
      <c r="P157" s="10">
        <v>49.75</v>
      </c>
      <c r="Q157" s="10">
        <v>49.92</v>
      </c>
      <c r="R157" s="10">
        <v>50.07</v>
      </c>
      <c r="S157" s="10">
        <v>50.17</v>
      </c>
      <c r="T157" s="10">
        <v>50.24</v>
      </c>
      <c r="U157" s="10">
        <v>50.28</v>
      </c>
      <c r="V157" s="10">
        <v>50.3</v>
      </c>
      <c r="W157" s="10">
        <v>50.3</v>
      </c>
      <c r="X157" s="10">
        <v>50.28</v>
      </c>
      <c r="Y157" s="10">
        <v>50.25</v>
      </c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</row>
    <row r="158" spans="1:147" x14ac:dyDescent="0.3">
      <c r="A158" s="9">
        <f>DATE(2017, 8, 8)</f>
        <v>42955</v>
      </c>
      <c r="B158" s="10">
        <v>52.14</v>
      </c>
      <c r="C158" s="10">
        <v>52.19</v>
      </c>
      <c r="D158" s="10">
        <v>52.34</v>
      </c>
      <c r="E158" s="10">
        <v>52.49</v>
      </c>
      <c r="F158" s="10">
        <v>52.63</v>
      </c>
      <c r="G158" s="10">
        <v>52.73</v>
      </c>
      <c r="H158" s="10">
        <v>52.79</v>
      </c>
      <c r="I158" s="10">
        <v>52.84</v>
      </c>
      <c r="J158" s="10">
        <v>52.89</v>
      </c>
      <c r="K158" s="10">
        <v>52.95</v>
      </c>
      <c r="L158" s="10">
        <v>52.99</v>
      </c>
      <c r="M158" s="10">
        <v>53.01</v>
      </c>
      <c r="N158" s="10">
        <v>49.17</v>
      </c>
      <c r="O158" s="10">
        <v>49.35</v>
      </c>
      <c r="P158" s="10">
        <v>49.52</v>
      </c>
      <c r="Q158" s="10">
        <v>49.68</v>
      </c>
      <c r="R158" s="10">
        <v>49.84</v>
      </c>
      <c r="S158" s="10">
        <v>49.95</v>
      </c>
      <c r="T158" s="10">
        <v>50.01</v>
      </c>
      <c r="U158" s="10">
        <v>50.05</v>
      </c>
      <c r="V158" s="10">
        <v>50.06</v>
      </c>
      <c r="W158" s="10">
        <v>50.05</v>
      </c>
      <c r="X158" s="10">
        <v>50.02</v>
      </c>
      <c r="Y158" s="10">
        <v>50</v>
      </c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</row>
    <row r="159" spans="1:147" x14ac:dyDescent="0.3">
      <c r="A159" s="9">
        <f>DATE(2017, 8, 9)</f>
        <v>42956</v>
      </c>
      <c r="B159" s="10">
        <v>52.7</v>
      </c>
      <c r="C159" s="10">
        <v>52.65</v>
      </c>
      <c r="D159" s="10">
        <v>52.7</v>
      </c>
      <c r="E159" s="10">
        <v>52.78</v>
      </c>
      <c r="F159" s="10">
        <v>52.88</v>
      </c>
      <c r="G159" s="10">
        <v>52.95</v>
      </c>
      <c r="H159" s="10">
        <v>53</v>
      </c>
      <c r="I159" s="10">
        <v>53.05</v>
      </c>
      <c r="J159" s="10">
        <v>53.09</v>
      </c>
      <c r="K159" s="10">
        <v>53.14</v>
      </c>
      <c r="L159" s="10">
        <v>53.17</v>
      </c>
      <c r="M159" s="10">
        <v>53.18</v>
      </c>
      <c r="N159" s="10">
        <v>49.56</v>
      </c>
      <c r="O159" s="10">
        <v>49.72</v>
      </c>
      <c r="P159" s="10">
        <v>49.87</v>
      </c>
      <c r="Q159" s="10">
        <v>50.01</v>
      </c>
      <c r="R159" s="10">
        <v>50.16</v>
      </c>
      <c r="S159" s="10">
        <v>50.26</v>
      </c>
      <c r="T159" s="10">
        <v>50.33</v>
      </c>
      <c r="U159" s="10">
        <v>50.37</v>
      </c>
      <c r="V159" s="10">
        <v>50.38</v>
      </c>
      <c r="W159" s="10">
        <v>50.36</v>
      </c>
      <c r="X159" s="10">
        <v>50.33</v>
      </c>
      <c r="Y159" s="10">
        <v>50.29</v>
      </c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</row>
    <row r="160" spans="1:147" x14ac:dyDescent="0.3">
      <c r="A160" s="9">
        <f>DATE(2017, 8, 10)</f>
        <v>42957</v>
      </c>
      <c r="B160" s="10">
        <v>51.9</v>
      </c>
      <c r="C160" s="10">
        <v>51.78</v>
      </c>
      <c r="D160" s="10">
        <v>51.77</v>
      </c>
      <c r="E160" s="10">
        <v>51.82</v>
      </c>
      <c r="F160" s="10">
        <v>51.88</v>
      </c>
      <c r="G160" s="10">
        <v>51.93</v>
      </c>
      <c r="H160" s="10">
        <v>51.97</v>
      </c>
      <c r="I160" s="10">
        <v>52.02</v>
      </c>
      <c r="J160" s="10">
        <v>52.07</v>
      </c>
      <c r="K160" s="10">
        <v>52.13</v>
      </c>
      <c r="L160" s="10">
        <v>52.16</v>
      </c>
      <c r="M160" s="10">
        <v>52.17</v>
      </c>
      <c r="N160" s="10">
        <v>48.59</v>
      </c>
      <c r="O160" s="10">
        <v>48.75</v>
      </c>
      <c r="P160" s="10">
        <v>48.88</v>
      </c>
      <c r="Q160" s="10">
        <v>49</v>
      </c>
      <c r="R160" s="10">
        <v>49.12</v>
      </c>
      <c r="S160" s="10">
        <v>49.2</v>
      </c>
      <c r="T160" s="10">
        <v>49.25</v>
      </c>
      <c r="U160" s="10">
        <v>49.28</v>
      </c>
      <c r="V160" s="10">
        <v>49.3</v>
      </c>
      <c r="W160" s="10">
        <v>49.3</v>
      </c>
      <c r="X160" s="10">
        <v>49.28</v>
      </c>
      <c r="Y160" s="10">
        <v>49.26</v>
      </c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</row>
    <row r="161" spans="1:147" x14ac:dyDescent="0.3">
      <c r="A161" s="9">
        <f>DATE(2017, 8, 11)</f>
        <v>42958</v>
      </c>
      <c r="B161" s="10">
        <v>52.1</v>
      </c>
      <c r="C161" s="10">
        <v>51.94</v>
      </c>
      <c r="D161" s="10">
        <v>51.92</v>
      </c>
      <c r="E161" s="10">
        <v>51.97</v>
      </c>
      <c r="F161" s="10">
        <v>52.04</v>
      </c>
      <c r="G161" s="10">
        <v>52.08</v>
      </c>
      <c r="H161" s="10">
        <v>52.12</v>
      </c>
      <c r="I161" s="10">
        <v>52.17</v>
      </c>
      <c r="J161" s="10">
        <v>52.21</v>
      </c>
      <c r="K161" s="10">
        <v>52.26</v>
      </c>
      <c r="L161" s="10">
        <v>52.28</v>
      </c>
      <c r="M161" s="10">
        <v>52.28</v>
      </c>
      <c r="N161" s="10">
        <v>48.82</v>
      </c>
      <c r="O161" s="10">
        <v>48.97</v>
      </c>
      <c r="P161" s="10">
        <v>49.11</v>
      </c>
      <c r="Q161" s="10">
        <v>49.23</v>
      </c>
      <c r="R161" s="10">
        <v>49.37</v>
      </c>
      <c r="S161" s="10">
        <v>49.46</v>
      </c>
      <c r="T161" s="10">
        <v>49.52</v>
      </c>
      <c r="U161" s="10">
        <v>49.56</v>
      </c>
      <c r="V161" s="10">
        <v>49.58</v>
      </c>
      <c r="W161" s="10">
        <v>49.58</v>
      </c>
      <c r="X161" s="10">
        <v>49.55</v>
      </c>
      <c r="Y161" s="10">
        <v>49.51</v>
      </c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</row>
    <row r="162" spans="1:147" x14ac:dyDescent="0.3">
      <c r="A162" s="9">
        <f>DATE(2017, 8, 14)</f>
        <v>42961</v>
      </c>
      <c r="B162" s="10">
        <v>50.73</v>
      </c>
      <c r="C162" s="10">
        <v>50.63</v>
      </c>
      <c r="D162" s="10">
        <v>50.65</v>
      </c>
      <c r="E162" s="10">
        <v>50.74</v>
      </c>
      <c r="F162" s="10">
        <v>50.84</v>
      </c>
      <c r="G162" s="10">
        <v>50.92</v>
      </c>
      <c r="H162" s="10">
        <v>51</v>
      </c>
      <c r="I162" s="10">
        <v>51.08</v>
      </c>
      <c r="J162" s="10">
        <v>51.15</v>
      </c>
      <c r="K162" s="10">
        <v>51.23</v>
      </c>
      <c r="L162" s="10">
        <v>51.28</v>
      </c>
      <c r="M162" s="10">
        <v>51.29</v>
      </c>
      <c r="N162" s="10">
        <v>47.59</v>
      </c>
      <c r="O162" s="10">
        <v>47.73</v>
      </c>
      <c r="P162" s="10">
        <v>47.88</v>
      </c>
      <c r="Q162" s="10">
        <v>48.03</v>
      </c>
      <c r="R162" s="10">
        <v>48.2</v>
      </c>
      <c r="S162" s="10">
        <v>48.33</v>
      </c>
      <c r="T162" s="10">
        <v>48.43</v>
      </c>
      <c r="U162" s="10">
        <v>48.5</v>
      </c>
      <c r="V162" s="10">
        <v>48.54</v>
      </c>
      <c r="W162" s="10">
        <v>48.56</v>
      </c>
      <c r="X162" s="10">
        <v>48.56</v>
      </c>
      <c r="Y162" s="10">
        <v>48.54</v>
      </c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</row>
    <row r="163" spans="1:147" x14ac:dyDescent="0.3">
      <c r="A163" s="9">
        <f>DATE(2017, 8, 15)</f>
        <v>42962</v>
      </c>
      <c r="B163" s="10">
        <v>50.8</v>
      </c>
      <c r="C163" s="10">
        <v>50.63</v>
      </c>
      <c r="D163" s="10">
        <v>50.62</v>
      </c>
      <c r="E163" s="10">
        <v>50.66</v>
      </c>
      <c r="F163" s="10">
        <v>50.73</v>
      </c>
      <c r="G163" s="10">
        <v>50.8</v>
      </c>
      <c r="H163" s="10">
        <v>50.89</v>
      </c>
      <c r="I163" s="10">
        <v>50.98</v>
      </c>
      <c r="J163" s="10">
        <v>51.06</v>
      </c>
      <c r="K163" s="10">
        <v>51.15</v>
      </c>
      <c r="L163" s="10">
        <v>51.21</v>
      </c>
      <c r="M163" s="10">
        <v>51.24</v>
      </c>
      <c r="N163" s="10">
        <v>47.55</v>
      </c>
      <c r="O163" s="10">
        <v>47.7</v>
      </c>
      <c r="P163" s="10">
        <v>47.84</v>
      </c>
      <c r="Q163" s="10">
        <v>47.96</v>
      </c>
      <c r="R163" s="10">
        <v>48.11</v>
      </c>
      <c r="S163" s="10">
        <v>48.23</v>
      </c>
      <c r="T163" s="10">
        <v>48.32</v>
      </c>
      <c r="U163" s="10">
        <v>48.38</v>
      </c>
      <c r="V163" s="10">
        <v>48.43</v>
      </c>
      <c r="W163" s="10">
        <v>48.46</v>
      </c>
      <c r="X163" s="10">
        <v>48.47</v>
      </c>
      <c r="Y163" s="10">
        <v>48.46</v>
      </c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</row>
    <row r="164" spans="1:147" x14ac:dyDescent="0.3">
      <c r="A164" s="9">
        <f>DATE(2017, 8, 16)</f>
        <v>42963</v>
      </c>
      <c r="B164" s="10">
        <v>50.27</v>
      </c>
      <c r="C164" s="10">
        <v>50.1</v>
      </c>
      <c r="D164" s="10">
        <v>50.07</v>
      </c>
      <c r="E164" s="10">
        <v>50.12</v>
      </c>
      <c r="F164" s="10">
        <v>50.19</v>
      </c>
      <c r="G164" s="10">
        <v>50.27</v>
      </c>
      <c r="H164" s="10">
        <v>50.37</v>
      </c>
      <c r="I164" s="10">
        <v>50.47</v>
      </c>
      <c r="J164" s="10">
        <v>50.56</v>
      </c>
      <c r="K164" s="10">
        <v>50.66</v>
      </c>
      <c r="L164" s="10">
        <v>50.73</v>
      </c>
      <c r="M164" s="10">
        <v>50.77</v>
      </c>
      <c r="N164" s="10">
        <v>46.78</v>
      </c>
      <c r="O164" s="10">
        <v>46.94</v>
      </c>
      <c r="P164" s="10">
        <v>47.1</v>
      </c>
      <c r="Q164" s="10">
        <v>47.25</v>
      </c>
      <c r="R164" s="10">
        <v>47.41</v>
      </c>
      <c r="S164" s="10">
        <v>47.54</v>
      </c>
      <c r="T164" s="10">
        <v>47.64</v>
      </c>
      <c r="U164" s="10">
        <v>47.71</v>
      </c>
      <c r="V164" s="10">
        <v>47.77</v>
      </c>
      <c r="W164" s="10">
        <v>47.82</v>
      </c>
      <c r="X164" s="10">
        <v>47.84</v>
      </c>
      <c r="Y164" s="10">
        <v>47.86</v>
      </c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</row>
    <row r="165" spans="1:147" x14ac:dyDescent="0.3">
      <c r="A165" s="9">
        <f>DATE(2017, 8, 17)</f>
        <v>42964</v>
      </c>
      <c r="B165" s="10">
        <v>51.03</v>
      </c>
      <c r="C165" s="10">
        <v>50.75</v>
      </c>
      <c r="D165" s="10">
        <v>50.63</v>
      </c>
      <c r="E165" s="10">
        <v>50.62</v>
      </c>
      <c r="F165" s="10">
        <v>50.67</v>
      </c>
      <c r="G165" s="10">
        <v>50.74</v>
      </c>
      <c r="H165" s="10">
        <v>50.81</v>
      </c>
      <c r="I165" s="10">
        <v>50.88</v>
      </c>
      <c r="J165" s="10">
        <v>50.94</v>
      </c>
      <c r="K165" s="10">
        <v>51.02</v>
      </c>
      <c r="L165" s="10">
        <v>51.08</v>
      </c>
      <c r="M165" s="10">
        <v>51.11</v>
      </c>
      <c r="N165" s="10">
        <v>47.09</v>
      </c>
      <c r="O165" s="10">
        <v>47.24</v>
      </c>
      <c r="P165" s="10">
        <v>47.4</v>
      </c>
      <c r="Q165" s="10">
        <v>47.53</v>
      </c>
      <c r="R165" s="10">
        <v>47.65</v>
      </c>
      <c r="S165" s="10">
        <v>47.76</v>
      </c>
      <c r="T165" s="10">
        <v>47.84</v>
      </c>
      <c r="U165" s="10">
        <v>47.9</v>
      </c>
      <c r="V165" s="10">
        <v>47.95</v>
      </c>
      <c r="W165" s="10">
        <v>47.98</v>
      </c>
      <c r="X165" s="10">
        <v>47.99</v>
      </c>
      <c r="Y165" s="10">
        <v>48.01</v>
      </c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</row>
    <row r="166" spans="1:147" x14ac:dyDescent="0.3">
      <c r="A166" s="9">
        <f>DATE(2017, 8, 18)</f>
        <v>42965</v>
      </c>
      <c r="B166" s="10">
        <v>52.72</v>
      </c>
      <c r="C166" s="10">
        <v>52.41</v>
      </c>
      <c r="D166" s="10">
        <v>52.26</v>
      </c>
      <c r="E166" s="10">
        <v>52.24</v>
      </c>
      <c r="F166" s="10">
        <v>52.28</v>
      </c>
      <c r="G166" s="10">
        <v>52.33</v>
      </c>
      <c r="H166" s="10">
        <v>52.37</v>
      </c>
      <c r="I166" s="10">
        <v>52.42</v>
      </c>
      <c r="J166" s="10">
        <v>52.47</v>
      </c>
      <c r="K166" s="10">
        <v>52.54</v>
      </c>
      <c r="L166" s="10">
        <v>52.58</v>
      </c>
      <c r="M166" s="10">
        <v>52.6</v>
      </c>
      <c r="N166" s="10">
        <v>48.51</v>
      </c>
      <c r="O166" s="10">
        <v>48.66</v>
      </c>
      <c r="P166" s="10">
        <v>48.82</v>
      </c>
      <c r="Q166" s="10">
        <v>48.93</v>
      </c>
      <c r="R166" s="10">
        <v>49.03</v>
      </c>
      <c r="S166" s="10">
        <v>49.11</v>
      </c>
      <c r="T166" s="10">
        <v>49.17</v>
      </c>
      <c r="U166" s="10">
        <v>49.21</v>
      </c>
      <c r="V166" s="10">
        <v>49.24</v>
      </c>
      <c r="W166" s="10">
        <v>49.27</v>
      </c>
      <c r="X166" s="10">
        <v>49.28</v>
      </c>
      <c r="Y166" s="10">
        <v>49.29</v>
      </c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</row>
    <row r="167" spans="1:147" x14ac:dyDescent="0.3">
      <c r="A167" s="9">
        <f>DATE(2017, 8, 21)</f>
        <v>42968</v>
      </c>
      <c r="B167" s="10">
        <v>51.66</v>
      </c>
      <c r="C167" s="10">
        <v>51.28</v>
      </c>
      <c r="D167" s="10">
        <v>51.12</v>
      </c>
      <c r="E167" s="10">
        <v>51.09</v>
      </c>
      <c r="F167" s="10">
        <v>51.13</v>
      </c>
      <c r="G167" s="10">
        <v>51.19</v>
      </c>
      <c r="H167" s="10">
        <v>51.24</v>
      </c>
      <c r="I167" s="10">
        <v>51.28</v>
      </c>
      <c r="J167" s="10">
        <v>51.33</v>
      </c>
      <c r="K167" s="10">
        <v>51.4</v>
      </c>
      <c r="L167" s="10">
        <v>51.45</v>
      </c>
      <c r="M167" s="10">
        <v>51.47</v>
      </c>
      <c r="N167" s="10">
        <v>47.37</v>
      </c>
      <c r="O167" s="10">
        <v>47.53</v>
      </c>
      <c r="P167" s="10">
        <v>47.68</v>
      </c>
      <c r="Q167" s="10">
        <v>47.79</v>
      </c>
      <c r="R167" s="10">
        <v>47.89</v>
      </c>
      <c r="S167" s="10">
        <v>47.98</v>
      </c>
      <c r="T167" s="10">
        <v>48.05</v>
      </c>
      <c r="U167" s="10">
        <v>48.09</v>
      </c>
      <c r="V167" s="10">
        <v>48.12</v>
      </c>
      <c r="W167" s="10">
        <v>48.15</v>
      </c>
      <c r="X167" s="10">
        <v>48.16</v>
      </c>
      <c r="Y167" s="10">
        <v>48.17</v>
      </c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</row>
    <row r="168" spans="1:147" x14ac:dyDescent="0.3">
      <c r="A168" s="9">
        <f>DATE(2017, 8, 22)</f>
        <v>42969</v>
      </c>
      <c r="B168" s="10">
        <v>51.87</v>
      </c>
      <c r="C168" s="10">
        <v>51.58</v>
      </c>
      <c r="D168" s="10">
        <v>51.51</v>
      </c>
      <c r="E168" s="10">
        <v>51.55</v>
      </c>
      <c r="F168" s="10">
        <v>51.63</v>
      </c>
      <c r="G168" s="10">
        <v>51.73</v>
      </c>
      <c r="H168" s="10">
        <v>51.8</v>
      </c>
      <c r="I168" s="10">
        <v>51.87</v>
      </c>
      <c r="J168" s="10">
        <v>51.94</v>
      </c>
      <c r="K168" s="10">
        <v>52.03</v>
      </c>
      <c r="L168" s="10">
        <v>52.09</v>
      </c>
      <c r="M168" s="10">
        <v>52.12</v>
      </c>
      <c r="N168" s="10">
        <v>47.64</v>
      </c>
      <c r="O168" s="10">
        <v>47.83</v>
      </c>
      <c r="P168" s="10">
        <v>48.02</v>
      </c>
      <c r="Q168" s="10">
        <v>48.18</v>
      </c>
      <c r="R168" s="10">
        <v>48.34</v>
      </c>
      <c r="S168" s="10">
        <v>48.47</v>
      </c>
      <c r="T168" s="10">
        <v>48.58</v>
      </c>
      <c r="U168" s="10">
        <v>48.66</v>
      </c>
      <c r="V168" s="10">
        <v>48.72</v>
      </c>
      <c r="W168" s="10">
        <v>48.77</v>
      </c>
      <c r="X168" s="10">
        <v>48.8</v>
      </c>
      <c r="Y168" s="10">
        <v>48.82</v>
      </c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</row>
    <row r="169" spans="1:147" x14ac:dyDescent="0.3">
      <c r="A169" s="9">
        <f>DATE(2017, 8, 23)</f>
        <v>42970</v>
      </c>
      <c r="B169" s="10">
        <v>52.57</v>
      </c>
      <c r="C169" s="10">
        <v>52.24</v>
      </c>
      <c r="D169" s="10">
        <v>52.16</v>
      </c>
      <c r="E169" s="10">
        <v>52.19</v>
      </c>
      <c r="F169" s="10">
        <v>52.27</v>
      </c>
      <c r="G169" s="10">
        <v>52.35</v>
      </c>
      <c r="H169" s="10">
        <v>52.42</v>
      </c>
      <c r="I169" s="10">
        <v>52.48</v>
      </c>
      <c r="J169" s="10">
        <v>52.54</v>
      </c>
      <c r="K169" s="10">
        <v>52.62</v>
      </c>
      <c r="L169" s="10">
        <v>52.68</v>
      </c>
      <c r="M169" s="10">
        <v>52.7</v>
      </c>
      <c r="N169" s="10">
        <v>48.41</v>
      </c>
      <c r="O169" s="10">
        <v>48.62</v>
      </c>
      <c r="P169" s="10">
        <v>48.8</v>
      </c>
      <c r="Q169" s="10">
        <v>48.97</v>
      </c>
      <c r="R169" s="10">
        <v>49.11</v>
      </c>
      <c r="S169" s="10">
        <v>49.22</v>
      </c>
      <c r="T169" s="10">
        <v>49.3</v>
      </c>
      <c r="U169" s="10">
        <v>49.36</v>
      </c>
      <c r="V169" s="10">
        <v>49.4</v>
      </c>
      <c r="W169" s="10">
        <v>49.42</v>
      </c>
      <c r="X169" s="10">
        <v>49.44</v>
      </c>
      <c r="Y169" s="10">
        <v>49.45</v>
      </c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</row>
    <row r="170" spans="1:147" x14ac:dyDescent="0.3">
      <c r="A170" s="9">
        <f>DATE(2017, 8, 24)</f>
        <v>42971</v>
      </c>
      <c r="B170" s="10">
        <v>52.04</v>
      </c>
      <c r="C170" s="10">
        <v>51.66</v>
      </c>
      <c r="D170" s="10">
        <v>51.57</v>
      </c>
      <c r="E170" s="10">
        <v>51.59</v>
      </c>
      <c r="F170" s="10">
        <v>51.67</v>
      </c>
      <c r="G170" s="10">
        <v>51.76</v>
      </c>
      <c r="H170" s="10">
        <v>51.84</v>
      </c>
      <c r="I170" s="10">
        <v>51.91</v>
      </c>
      <c r="J170" s="10">
        <v>51.98</v>
      </c>
      <c r="K170" s="10">
        <v>52.07</v>
      </c>
      <c r="L170" s="10">
        <v>52.14</v>
      </c>
      <c r="M170" s="10">
        <v>52.18</v>
      </c>
      <c r="N170" s="10">
        <v>47.43</v>
      </c>
      <c r="O170" s="10">
        <v>47.7</v>
      </c>
      <c r="P170" s="10">
        <v>47.92</v>
      </c>
      <c r="Q170" s="10">
        <v>48.11</v>
      </c>
      <c r="R170" s="10">
        <v>48.27</v>
      </c>
      <c r="S170" s="10">
        <v>48.4</v>
      </c>
      <c r="T170" s="10">
        <v>48.51</v>
      </c>
      <c r="U170" s="10">
        <v>48.6</v>
      </c>
      <c r="V170" s="10">
        <v>48.67</v>
      </c>
      <c r="W170" s="10">
        <v>48.71</v>
      </c>
      <c r="X170" s="10">
        <v>48.74</v>
      </c>
      <c r="Y170" s="10">
        <v>48.77</v>
      </c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</row>
    <row r="171" spans="1:147" x14ac:dyDescent="0.3">
      <c r="A171" s="9">
        <f>DATE(2017, 8, 25)</f>
        <v>42972</v>
      </c>
      <c r="B171" s="10">
        <v>52.41</v>
      </c>
      <c r="C171" s="10">
        <v>51.98</v>
      </c>
      <c r="D171" s="10">
        <v>51.89</v>
      </c>
      <c r="E171" s="10">
        <v>51.9</v>
      </c>
      <c r="F171" s="10">
        <v>51.97</v>
      </c>
      <c r="G171" s="10">
        <v>52.07</v>
      </c>
      <c r="H171" s="10">
        <v>52.15</v>
      </c>
      <c r="I171" s="10">
        <v>52.22</v>
      </c>
      <c r="J171" s="10">
        <v>52.28</v>
      </c>
      <c r="K171" s="10">
        <v>52.37</v>
      </c>
      <c r="L171" s="10">
        <v>52.43</v>
      </c>
      <c r="M171" s="10">
        <v>52.46</v>
      </c>
      <c r="N171" s="10">
        <v>47.87</v>
      </c>
      <c r="O171" s="10">
        <v>48.12</v>
      </c>
      <c r="P171" s="10">
        <v>48.34</v>
      </c>
      <c r="Q171" s="10">
        <v>48.53</v>
      </c>
      <c r="R171" s="10">
        <v>48.7</v>
      </c>
      <c r="S171" s="10">
        <v>48.83</v>
      </c>
      <c r="T171" s="10">
        <v>48.94</v>
      </c>
      <c r="U171" s="10">
        <v>49.02</v>
      </c>
      <c r="V171" s="10">
        <v>49.08</v>
      </c>
      <c r="W171" s="10">
        <v>49.11</v>
      </c>
      <c r="X171" s="10">
        <v>49.13</v>
      </c>
      <c r="Y171" s="10">
        <v>49.15</v>
      </c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</row>
    <row r="172" spans="1:147" x14ac:dyDescent="0.3">
      <c r="A172" s="9">
        <f>DATE(2017, 8, 28)</f>
        <v>42975</v>
      </c>
      <c r="B172" s="10">
        <v>51.89</v>
      </c>
      <c r="C172" s="10">
        <v>51.42</v>
      </c>
      <c r="D172" s="10">
        <v>51.36</v>
      </c>
      <c r="E172" s="10">
        <v>51.39</v>
      </c>
      <c r="F172" s="10">
        <v>51.47</v>
      </c>
      <c r="G172" s="10">
        <v>51.57</v>
      </c>
      <c r="H172" s="10">
        <v>51.65</v>
      </c>
      <c r="I172" s="10">
        <v>51.72</v>
      </c>
      <c r="J172" s="10">
        <v>51.79</v>
      </c>
      <c r="K172" s="10">
        <v>51.88</v>
      </c>
      <c r="L172" s="10">
        <v>51.94</v>
      </c>
      <c r="M172" s="10">
        <v>51.97</v>
      </c>
      <c r="N172" s="10">
        <v>46.57</v>
      </c>
      <c r="O172" s="10">
        <v>46.96</v>
      </c>
      <c r="P172" s="10">
        <v>47.27</v>
      </c>
      <c r="Q172" s="10">
        <v>47.52</v>
      </c>
      <c r="R172" s="10">
        <v>47.72</v>
      </c>
      <c r="S172" s="10">
        <v>47.88</v>
      </c>
      <c r="T172" s="10">
        <v>48.01</v>
      </c>
      <c r="U172" s="10">
        <v>48.11</v>
      </c>
      <c r="V172" s="10">
        <v>48.2</v>
      </c>
      <c r="W172" s="10">
        <v>48.26</v>
      </c>
      <c r="X172" s="10">
        <v>48.31</v>
      </c>
      <c r="Y172" s="10">
        <v>48.36</v>
      </c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</row>
    <row r="173" spans="1:147" x14ac:dyDescent="0.3">
      <c r="A173" s="9">
        <f>DATE(2017, 8, 29)</f>
        <v>42976</v>
      </c>
      <c r="B173" s="10">
        <v>52</v>
      </c>
      <c r="C173" s="10">
        <v>51.66</v>
      </c>
      <c r="D173" s="10">
        <v>51.69</v>
      </c>
      <c r="E173" s="10">
        <v>51.77</v>
      </c>
      <c r="F173" s="10">
        <v>51.87</v>
      </c>
      <c r="G173" s="10">
        <v>51.97</v>
      </c>
      <c r="H173" s="10">
        <v>52.06</v>
      </c>
      <c r="I173" s="10">
        <v>52.14</v>
      </c>
      <c r="J173" s="10">
        <v>52.22</v>
      </c>
      <c r="K173" s="10">
        <v>52.32</v>
      </c>
      <c r="L173" s="10">
        <v>52.39</v>
      </c>
      <c r="M173" s="10">
        <v>52.42</v>
      </c>
      <c r="N173" s="10">
        <v>46.44</v>
      </c>
      <c r="O173" s="10">
        <v>47</v>
      </c>
      <c r="P173" s="10">
        <v>47.45</v>
      </c>
      <c r="Q173" s="10">
        <v>47.79</v>
      </c>
      <c r="R173" s="10">
        <v>48.04</v>
      </c>
      <c r="S173" s="10">
        <v>48.22</v>
      </c>
      <c r="T173" s="10">
        <v>48.37</v>
      </c>
      <c r="U173" s="10">
        <v>48.48</v>
      </c>
      <c r="V173" s="10">
        <v>48.57</v>
      </c>
      <c r="W173" s="10">
        <v>48.63</v>
      </c>
      <c r="X173" s="10">
        <v>48.69</v>
      </c>
      <c r="Y173" s="10">
        <v>48.75</v>
      </c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</row>
    <row r="174" spans="1:147" x14ac:dyDescent="0.3">
      <c r="A174" s="9">
        <f>DATE(2017, 8, 30)</f>
        <v>42977</v>
      </c>
      <c r="B174" s="10">
        <v>50.86</v>
      </c>
      <c r="C174" s="10">
        <v>50.73</v>
      </c>
      <c r="D174" s="10">
        <v>50.79</v>
      </c>
      <c r="E174" s="10">
        <v>50.89</v>
      </c>
      <c r="F174" s="10">
        <v>51.01</v>
      </c>
      <c r="G174" s="10">
        <v>51.13</v>
      </c>
      <c r="H174" s="10">
        <v>51.23</v>
      </c>
      <c r="I174" s="10">
        <v>51.32</v>
      </c>
      <c r="J174" s="10">
        <v>51.42</v>
      </c>
      <c r="K174" s="10">
        <v>51.54</v>
      </c>
      <c r="L174" s="10">
        <v>51.64</v>
      </c>
      <c r="M174" s="10">
        <v>51.7</v>
      </c>
      <c r="N174" s="10">
        <v>45.96</v>
      </c>
      <c r="O174" s="10">
        <v>46.51</v>
      </c>
      <c r="P174" s="10">
        <v>46.94</v>
      </c>
      <c r="Q174" s="10">
        <v>47.25</v>
      </c>
      <c r="R174" s="10">
        <v>47.48</v>
      </c>
      <c r="S174" s="10">
        <v>47.65</v>
      </c>
      <c r="T174" s="10">
        <v>47.79</v>
      </c>
      <c r="U174" s="10">
        <v>47.9</v>
      </c>
      <c r="V174" s="10">
        <v>47.99</v>
      </c>
      <c r="W174" s="10">
        <v>48.05</v>
      </c>
      <c r="X174" s="10">
        <v>48.12</v>
      </c>
      <c r="Y174" s="10">
        <v>48.19</v>
      </c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</row>
    <row r="175" spans="1:147" x14ac:dyDescent="0.3">
      <c r="A175" s="9">
        <f>DATE(2017, 8, 31)</f>
        <v>42978</v>
      </c>
      <c r="B175" s="10">
        <v>52.38</v>
      </c>
      <c r="C175" s="10">
        <v>52.86</v>
      </c>
      <c r="D175" s="10">
        <v>52.84</v>
      </c>
      <c r="E175" s="10">
        <v>52.91</v>
      </c>
      <c r="F175" s="10">
        <v>53.01</v>
      </c>
      <c r="G175" s="10">
        <v>53.11</v>
      </c>
      <c r="H175" s="10">
        <v>53.19</v>
      </c>
      <c r="I175" s="10">
        <v>53.27</v>
      </c>
      <c r="J175" s="10">
        <v>53.35</v>
      </c>
      <c r="K175" s="10">
        <v>53.45</v>
      </c>
      <c r="L175" s="10">
        <v>53.53</v>
      </c>
      <c r="M175" s="10">
        <v>53.58</v>
      </c>
      <c r="N175" s="10">
        <v>47.23</v>
      </c>
      <c r="O175" s="10">
        <v>47.96</v>
      </c>
      <c r="P175" s="10">
        <v>48.56</v>
      </c>
      <c r="Q175" s="10">
        <v>49</v>
      </c>
      <c r="R175" s="10">
        <v>49.3</v>
      </c>
      <c r="S175" s="10">
        <v>49.5</v>
      </c>
      <c r="T175" s="10">
        <v>49.64</v>
      </c>
      <c r="U175" s="10">
        <v>49.74</v>
      </c>
      <c r="V175" s="10">
        <v>49.82</v>
      </c>
      <c r="W175" s="10">
        <v>49.87</v>
      </c>
      <c r="X175" s="10">
        <v>49.91</v>
      </c>
      <c r="Y175" s="10">
        <v>49.95</v>
      </c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</row>
    <row r="176" spans="1:147" x14ac:dyDescent="0.3">
      <c r="A176" s="9">
        <f>DATE(2017, 9, 1)</f>
        <v>42979</v>
      </c>
      <c r="B176" s="10">
        <v>52.75</v>
      </c>
      <c r="C176" s="10">
        <v>52.79</v>
      </c>
      <c r="D176" s="10">
        <v>52.89</v>
      </c>
      <c r="E176" s="10">
        <v>53.01</v>
      </c>
      <c r="F176" s="10">
        <v>53.11</v>
      </c>
      <c r="G176" s="10">
        <v>53.19</v>
      </c>
      <c r="H176" s="10">
        <v>53.27</v>
      </c>
      <c r="I176" s="10">
        <v>53.36</v>
      </c>
      <c r="J176" s="10">
        <v>53.46</v>
      </c>
      <c r="K176" s="10">
        <v>53.54</v>
      </c>
      <c r="L176" s="10">
        <v>53.6</v>
      </c>
      <c r="M176" s="10">
        <v>53.66</v>
      </c>
      <c r="N176" s="10">
        <v>47.29</v>
      </c>
      <c r="O176" s="10">
        <v>47.99</v>
      </c>
      <c r="P176" s="10">
        <v>48.54</v>
      </c>
      <c r="Q176" s="10">
        <v>48.99</v>
      </c>
      <c r="R176" s="10">
        <v>49.32</v>
      </c>
      <c r="S176" s="10">
        <v>49.55</v>
      </c>
      <c r="T176" s="10">
        <v>49.71</v>
      </c>
      <c r="U176" s="10">
        <v>49.82</v>
      </c>
      <c r="V176" s="10">
        <v>49.9</v>
      </c>
      <c r="W176" s="10">
        <v>49.95</v>
      </c>
      <c r="X176" s="10">
        <v>50</v>
      </c>
      <c r="Y176" s="10">
        <v>50.05</v>
      </c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</row>
    <row r="177" spans="1:147" x14ac:dyDescent="0.3">
      <c r="A177" s="9">
        <f>DATE(2017, 9, 4)</f>
        <v>42982</v>
      </c>
      <c r="B177" s="10">
        <v>52.34</v>
      </c>
      <c r="C177" s="10">
        <v>52.37</v>
      </c>
      <c r="D177" s="10">
        <v>52.47</v>
      </c>
      <c r="E177" s="10">
        <v>52.59</v>
      </c>
      <c r="F177" s="10">
        <v>52.69</v>
      </c>
      <c r="G177" s="10">
        <v>52.77</v>
      </c>
      <c r="H177" s="10">
        <v>52.85</v>
      </c>
      <c r="I177" s="10">
        <v>52.93</v>
      </c>
      <c r="J177" s="10">
        <v>53.02</v>
      </c>
      <c r="K177" s="10">
        <v>53.1</v>
      </c>
      <c r="L177" s="10">
        <v>53.15</v>
      </c>
      <c r="M177" s="10">
        <v>53.21</v>
      </c>
      <c r="N177" s="10">
        <v>47.29</v>
      </c>
      <c r="O177" s="10">
        <v>47.99</v>
      </c>
      <c r="P177" s="10">
        <v>48.54</v>
      </c>
      <c r="Q177" s="10">
        <v>48.99</v>
      </c>
      <c r="R177" s="10">
        <v>49.32</v>
      </c>
      <c r="S177" s="10">
        <v>49.55</v>
      </c>
      <c r="T177" s="10">
        <v>49.71</v>
      </c>
      <c r="U177" s="10">
        <v>49.82</v>
      </c>
      <c r="V177" s="10">
        <v>49.9</v>
      </c>
      <c r="W177" s="10">
        <v>49.95</v>
      </c>
      <c r="X177" s="10">
        <v>50</v>
      </c>
      <c r="Y177" s="10">
        <v>50.05</v>
      </c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</row>
    <row r="178" spans="1:147" x14ac:dyDescent="0.3">
      <c r="A178" s="9">
        <f>DATE(2017, 9, 5)</f>
        <v>42983</v>
      </c>
      <c r="B178" s="10">
        <v>53.38</v>
      </c>
      <c r="C178" s="10">
        <v>53.36</v>
      </c>
      <c r="D178" s="10">
        <v>53.41</v>
      </c>
      <c r="E178" s="10">
        <v>53.5</v>
      </c>
      <c r="F178" s="10">
        <v>53.59</v>
      </c>
      <c r="G178" s="10">
        <v>53.65</v>
      </c>
      <c r="H178" s="10">
        <v>53.71</v>
      </c>
      <c r="I178" s="10">
        <v>53.77</v>
      </c>
      <c r="J178" s="10">
        <v>53.85</v>
      </c>
      <c r="K178" s="10">
        <v>53.91</v>
      </c>
      <c r="L178" s="10">
        <v>53.94</v>
      </c>
      <c r="M178" s="10">
        <v>53.98</v>
      </c>
      <c r="N178" s="10">
        <v>48.66</v>
      </c>
      <c r="O178" s="10">
        <v>49.14</v>
      </c>
      <c r="P178" s="10">
        <v>49.53</v>
      </c>
      <c r="Q178" s="10">
        <v>49.86</v>
      </c>
      <c r="R178" s="10">
        <v>50.1</v>
      </c>
      <c r="S178" s="10">
        <v>50.26</v>
      </c>
      <c r="T178" s="10">
        <v>50.37</v>
      </c>
      <c r="U178" s="10">
        <v>50.45</v>
      </c>
      <c r="V178" s="10">
        <v>50.5</v>
      </c>
      <c r="W178" s="10">
        <v>50.52</v>
      </c>
      <c r="X178" s="10">
        <v>50.54</v>
      </c>
      <c r="Y178" s="10">
        <v>50.57</v>
      </c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</row>
    <row r="179" spans="1:147" x14ac:dyDescent="0.3">
      <c r="A179" s="9">
        <f>DATE(2017, 9, 6)</f>
        <v>42984</v>
      </c>
      <c r="B179" s="10">
        <v>54.2</v>
      </c>
      <c r="C179" s="10">
        <v>54.07</v>
      </c>
      <c r="D179" s="10">
        <v>54.05</v>
      </c>
      <c r="E179" s="10">
        <v>54.1</v>
      </c>
      <c r="F179" s="10">
        <v>54.17</v>
      </c>
      <c r="G179" s="10">
        <v>54.21</v>
      </c>
      <c r="H179" s="10">
        <v>54.24</v>
      </c>
      <c r="I179" s="10">
        <v>54.28</v>
      </c>
      <c r="J179" s="10">
        <v>54.34</v>
      </c>
      <c r="K179" s="10">
        <v>54.38</v>
      </c>
      <c r="L179" s="10">
        <v>54.39</v>
      </c>
      <c r="M179" s="10">
        <v>54.42</v>
      </c>
      <c r="N179" s="10">
        <v>49.16</v>
      </c>
      <c r="O179" s="10">
        <v>49.62</v>
      </c>
      <c r="P179" s="10">
        <v>50</v>
      </c>
      <c r="Q179" s="10">
        <v>50.31</v>
      </c>
      <c r="R179" s="10">
        <v>50.52</v>
      </c>
      <c r="S179" s="10">
        <v>50.66</v>
      </c>
      <c r="T179" s="10">
        <v>50.75</v>
      </c>
      <c r="U179" s="10">
        <v>50.8</v>
      </c>
      <c r="V179" s="10">
        <v>50.83</v>
      </c>
      <c r="W179" s="10">
        <v>50.83</v>
      </c>
      <c r="X179" s="10">
        <v>50.84</v>
      </c>
      <c r="Y179" s="10">
        <v>50.86</v>
      </c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</row>
    <row r="180" spans="1:147" x14ac:dyDescent="0.3">
      <c r="A180" s="9">
        <f>DATE(2017, 9, 7)</f>
        <v>42985</v>
      </c>
      <c r="B180" s="10">
        <v>54.49</v>
      </c>
      <c r="C180" s="10">
        <v>54.33</v>
      </c>
      <c r="D180" s="10">
        <v>54.26</v>
      </c>
      <c r="E180" s="10">
        <v>54.27</v>
      </c>
      <c r="F180" s="10">
        <v>54.31</v>
      </c>
      <c r="G180" s="10">
        <v>54.35</v>
      </c>
      <c r="H180" s="10">
        <v>54.39</v>
      </c>
      <c r="I180" s="10">
        <v>54.42</v>
      </c>
      <c r="J180" s="10">
        <v>54.47</v>
      </c>
      <c r="K180" s="10">
        <v>54.51</v>
      </c>
      <c r="L180" s="10">
        <v>54.53</v>
      </c>
      <c r="M180" s="10">
        <v>54.56</v>
      </c>
      <c r="N180" s="10">
        <v>49.09</v>
      </c>
      <c r="O180" s="10">
        <v>49.53</v>
      </c>
      <c r="P180" s="10">
        <v>49.91</v>
      </c>
      <c r="Q180" s="10">
        <v>50.23</v>
      </c>
      <c r="R180" s="10">
        <v>50.47</v>
      </c>
      <c r="S180" s="10">
        <v>50.64</v>
      </c>
      <c r="T180" s="10">
        <v>50.74</v>
      </c>
      <c r="U180" s="10">
        <v>50.81</v>
      </c>
      <c r="V180" s="10">
        <v>50.85</v>
      </c>
      <c r="W180" s="10">
        <v>50.86</v>
      </c>
      <c r="X180" s="10">
        <v>50.87</v>
      </c>
      <c r="Y180" s="10">
        <v>50.89</v>
      </c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</row>
    <row r="181" spans="1:147" x14ac:dyDescent="0.3">
      <c r="A181" s="9">
        <f>DATE(2017, 9, 8)</f>
        <v>42986</v>
      </c>
      <c r="B181" s="10">
        <v>53.78</v>
      </c>
      <c r="C181" s="10">
        <v>53.58</v>
      </c>
      <c r="D181" s="10">
        <v>53.47</v>
      </c>
      <c r="E181" s="10">
        <v>53.45</v>
      </c>
      <c r="F181" s="10">
        <v>53.47</v>
      </c>
      <c r="G181" s="10">
        <v>53.5</v>
      </c>
      <c r="H181" s="10">
        <v>53.54</v>
      </c>
      <c r="I181" s="10">
        <v>53.59</v>
      </c>
      <c r="J181" s="10">
        <v>53.65</v>
      </c>
      <c r="K181" s="10">
        <v>53.7</v>
      </c>
      <c r="L181" s="10">
        <v>53.72</v>
      </c>
      <c r="M181" s="10">
        <v>53.75</v>
      </c>
      <c r="N181" s="10">
        <v>47.48</v>
      </c>
      <c r="O181" s="10">
        <v>48.06</v>
      </c>
      <c r="P181" s="10">
        <v>48.56</v>
      </c>
      <c r="Q181" s="10">
        <v>48.95</v>
      </c>
      <c r="R181" s="10">
        <v>49.25</v>
      </c>
      <c r="S181" s="10">
        <v>49.46</v>
      </c>
      <c r="T181" s="10">
        <v>49.6</v>
      </c>
      <c r="U181" s="10">
        <v>49.7</v>
      </c>
      <c r="V181" s="10">
        <v>49.77</v>
      </c>
      <c r="W181" s="10">
        <v>49.81</v>
      </c>
      <c r="X181" s="10">
        <v>49.85</v>
      </c>
      <c r="Y181" s="10">
        <v>49.89</v>
      </c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</row>
    <row r="182" spans="1:147" x14ac:dyDescent="0.3">
      <c r="A182" s="9">
        <f>DATE(2017, 9, 11)</f>
        <v>42989</v>
      </c>
      <c r="B182" s="10">
        <v>53.84</v>
      </c>
      <c r="C182" s="10">
        <v>53.69</v>
      </c>
      <c r="D182" s="10">
        <v>53.64</v>
      </c>
      <c r="E182" s="10">
        <v>53.67</v>
      </c>
      <c r="F182" s="10">
        <v>53.72</v>
      </c>
      <c r="G182" s="10">
        <v>53.76</v>
      </c>
      <c r="H182" s="10">
        <v>53.81</v>
      </c>
      <c r="I182" s="10">
        <v>53.86</v>
      </c>
      <c r="J182" s="10">
        <v>53.93</v>
      </c>
      <c r="K182" s="10">
        <v>53.97</v>
      </c>
      <c r="L182" s="10">
        <v>53.98</v>
      </c>
      <c r="M182" s="10">
        <v>54.01</v>
      </c>
      <c r="N182" s="10">
        <v>48.07</v>
      </c>
      <c r="O182" s="10">
        <v>48.62</v>
      </c>
      <c r="P182" s="10">
        <v>49.07</v>
      </c>
      <c r="Q182" s="10">
        <v>49.42</v>
      </c>
      <c r="R182" s="10">
        <v>49.69</v>
      </c>
      <c r="S182" s="10">
        <v>49.88</v>
      </c>
      <c r="T182" s="10">
        <v>50.02</v>
      </c>
      <c r="U182" s="10">
        <v>50.12</v>
      </c>
      <c r="V182" s="10">
        <v>50.18</v>
      </c>
      <c r="W182" s="10">
        <v>50.21</v>
      </c>
      <c r="X182" s="10">
        <v>50.23</v>
      </c>
      <c r="Y182" s="10">
        <v>50.26</v>
      </c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</row>
    <row r="183" spans="1:147" x14ac:dyDescent="0.3">
      <c r="A183" s="9">
        <f>DATE(2017, 9, 12)</f>
        <v>42990</v>
      </c>
      <c r="B183" s="10">
        <v>54.27</v>
      </c>
      <c r="C183" s="10">
        <v>54.03</v>
      </c>
      <c r="D183" s="10">
        <v>53.94</v>
      </c>
      <c r="E183" s="10">
        <v>53.94</v>
      </c>
      <c r="F183" s="10">
        <v>53.97</v>
      </c>
      <c r="G183" s="10">
        <v>53.99</v>
      </c>
      <c r="H183" s="10">
        <v>54.03</v>
      </c>
      <c r="I183" s="10">
        <v>54.07</v>
      </c>
      <c r="J183" s="10">
        <v>54.14</v>
      </c>
      <c r="K183" s="10">
        <v>54.18</v>
      </c>
      <c r="L183" s="10">
        <v>54.19</v>
      </c>
      <c r="M183" s="10">
        <v>54.22</v>
      </c>
      <c r="N183" s="10">
        <v>48.23</v>
      </c>
      <c r="O183" s="10">
        <v>48.75</v>
      </c>
      <c r="P183" s="10">
        <v>49.17</v>
      </c>
      <c r="Q183" s="10">
        <v>49.48</v>
      </c>
      <c r="R183" s="10">
        <v>49.72</v>
      </c>
      <c r="S183" s="10">
        <v>49.9</v>
      </c>
      <c r="T183" s="10">
        <v>50.03</v>
      </c>
      <c r="U183" s="10">
        <v>50.13</v>
      </c>
      <c r="V183" s="10">
        <v>50.2</v>
      </c>
      <c r="W183" s="10">
        <v>50.23</v>
      </c>
      <c r="X183" s="10">
        <v>50.26</v>
      </c>
      <c r="Y183" s="10">
        <v>50.29</v>
      </c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</row>
    <row r="184" spans="1:147" x14ac:dyDescent="0.3">
      <c r="A184" s="9">
        <f>DATE(2017, 9, 13)</f>
        <v>42991</v>
      </c>
      <c r="B184" s="10">
        <v>55.16</v>
      </c>
      <c r="C184" s="10">
        <v>54.89</v>
      </c>
      <c r="D184" s="10">
        <v>54.74</v>
      </c>
      <c r="E184" s="10">
        <v>54.68</v>
      </c>
      <c r="F184" s="10">
        <v>54.65</v>
      </c>
      <c r="G184" s="10">
        <v>54.63</v>
      </c>
      <c r="H184" s="10">
        <v>54.62</v>
      </c>
      <c r="I184" s="10">
        <v>54.62</v>
      </c>
      <c r="J184" s="10">
        <v>54.66</v>
      </c>
      <c r="K184" s="10">
        <v>54.69</v>
      </c>
      <c r="L184" s="10">
        <v>54.69</v>
      </c>
      <c r="M184" s="10">
        <v>54.7</v>
      </c>
      <c r="N184" s="10">
        <v>49.3</v>
      </c>
      <c r="O184" s="10">
        <v>49.75</v>
      </c>
      <c r="P184" s="10">
        <v>50.1</v>
      </c>
      <c r="Q184" s="10">
        <v>50.35</v>
      </c>
      <c r="R184" s="10">
        <v>50.53</v>
      </c>
      <c r="S184" s="10">
        <v>50.66</v>
      </c>
      <c r="T184" s="10">
        <v>50.74</v>
      </c>
      <c r="U184" s="10">
        <v>50.78</v>
      </c>
      <c r="V184" s="10">
        <v>50.8</v>
      </c>
      <c r="W184" s="10">
        <v>50.8</v>
      </c>
      <c r="X184" s="10">
        <v>50.81</v>
      </c>
      <c r="Y184" s="10">
        <v>50.82</v>
      </c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</row>
    <row r="185" spans="1:147" x14ac:dyDescent="0.3">
      <c r="A185" s="9">
        <f>DATE(2017, 9, 14)</f>
        <v>42992</v>
      </c>
      <c r="B185" s="10">
        <v>55.47</v>
      </c>
      <c r="C185" s="10">
        <v>55.22</v>
      </c>
      <c r="D185" s="10">
        <v>55.09</v>
      </c>
      <c r="E185" s="10">
        <v>55.04</v>
      </c>
      <c r="F185" s="10">
        <v>55.03</v>
      </c>
      <c r="G185" s="10">
        <v>55.02</v>
      </c>
      <c r="H185" s="10">
        <v>55.01</v>
      </c>
      <c r="I185" s="10">
        <v>55</v>
      </c>
      <c r="J185" s="10">
        <v>55.03</v>
      </c>
      <c r="K185" s="10">
        <v>55.04</v>
      </c>
      <c r="L185" s="10">
        <v>55.03</v>
      </c>
      <c r="M185" s="10">
        <v>55.04</v>
      </c>
      <c r="N185" s="10">
        <v>49.89</v>
      </c>
      <c r="O185" s="10">
        <v>50.35</v>
      </c>
      <c r="P185" s="10">
        <v>50.66</v>
      </c>
      <c r="Q185" s="10">
        <v>50.89</v>
      </c>
      <c r="R185" s="10">
        <v>51.06</v>
      </c>
      <c r="S185" s="10">
        <v>51.17</v>
      </c>
      <c r="T185" s="10">
        <v>51.23</v>
      </c>
      <c r="U185" s="10">
        <v>51.26</v>
      </c>
      <c r="V185" s="10">
        <v>51.27</v>
      </c>
      <c r="W185" s="10">
        <v>51.26</v>
      </c>
      <c r="X185" s="10">
        <v>51.25</v>
      </c>
      <c r="Y185" s="10">
        <v>51.25</v>
      </c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</row>
    <row r="186" spans="1:147" x14ac:dyDescent="0.3">
      <c r="A186" s="9">
        <f>DATE(2017, 9, 15)</f>
        <v>42993</v>
      </c>
      <c r="B186" s="10">
        <v>55.62</v>
      </c>
      <c r="C186" s="10">
        <v>55.42</v>
      </c>
      <c r="D186" s="10">
        <v>55.3</v>
      </c>
      <c r="E186" s="10">
        <v>55.26</v>
      </c>
      <c r="F186" s="10">
        <v>55.27</v>
      </c>
      <c r="G186" s="10">
        <v>55.28</v>
      </c>
      <c r="H186" s="10">
        <v>55.29</v>
      </c>
      <c r="I186" s="10">
        <v>55.29</v>
      </c>
      <c r="J186" s="10">
        <v>55.31</v>
      </c>
      <c r="K186" s="10">
        <v>55.33</v>
      </c>
      <c r="L186" s="10">
        <v>55.33</v>
      </c>
      <c r="M186" s="10">
        <v>55.34</v>
      </c>
      <c r="N186" s="10">
        <v>49.89</v>
      </c>
      <c r="O186" s="10">
        <v>50.44</v>
      </c>
      <c r="P186" s="10">
        <v>50.81</v>
      </c>
      <c r="Q186" s="10">
        <v>51.09</v>
      </c>
      <c r="R186" s="10">
        <v>51.3</v>
      </c>
      <c r="S186" s="10">
        <v>51.44</v>
      </c>
      <c r="T186" s="10">
        <v>51.51</v>
      </c>
      <c r="U186" s="10">
        <v>51.54</v>
      </c>
      <c r="V186" s="10">
        <v>51.55</v>
      </c>
      <c r="W186" s="10">
        <v>51.53</v>
      </c>
      <c r="X186" s="10">
        <v>51.52</v>
      </c>
      <c r="Y186" s="10">
        <v>51.51</v>
      </c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</row>
    <row r="187" spans="1:147" x14ac:dyDescent="0.3">
      <c r="A187" s="9">
        <f>DATE(2017, 9, 18)</f>
        <v>42996</v>
      </c>
      <c r="B187" s="10">
        <v>55.48</v>
      </c>
      <c r="C187" s="10">
        <v>55.25</v>
      </c>
      <c r="D187" s="10">
        <v>55.08</v>
      </c>
      <c r="E187" s="10">
        <v>55.01</v>
      </c>
      <c r="F187" s="10">
        <v>54.99</v>
      </c>
      <c r="G187" s="10">
        <v>54.98</v>
      </c>
      <c r="H187" s="10">
        <v>54.97</v>
      </c>
      <c r="I187" s="10">
        <v>54.96</v>
      </c>
      <c r="J187" s="10">
        <v>54.97</v>
      </c>
      <c r="K187" s="10">
        <v>54.98</v>
      </c>
      <c r="L187" s="10">
        <v>54.98</v>
      </c>
      <c r="M187" s="10">
        <v>54.99</v>
      </c>
      <c r="N187" s="10">
        <v>49.91</v>
      </c>
      <c r="O187" s="10">
        <v>50.35</v>
      </c>
      <c r="P187" s="10">
        <v>50.66</v>
      </c>
      <c r="Q187" s="10">
        <v>50.9</v>
      </c>
      <c r="R187" s="10">
        <v>51.07</v>
      </c>
      <c r="S187" s="10">
        <v>51.18</v>
      </c>
      <c r="T187" s="10">
        <v>51.23</v>
      </c>
      <c r="U187" s="10">
        <v>51.24</v>
      </c>
      <c r="V187" s="10">
        <v>51.23</v>
      </c>
      <c r="W187" s="10">
        <v>51.2</v>
      </c>
      <c r="X187" s="10">
        <v>51.17</v>
      </c>
      <c r="Y187" s="10">
        <v>51.15</v>
      </c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</row>
    <row r="188" spans="1:147" x14ac:dyDescent="0.3">
      <c r="A188" s="9">
        <f>DATE(2017, 9, 19)</f>
        <v>42997</v>
      </c>
      <c r="B188" s="10">
        <v>55.14</v>
      </c>
      <c r="C188" s="10">
        <v>54.9</v>
      </c>
      <c r="D188" s="10">
        <v>54.72</v>
      </c>
      <c r="E188" s="10">
        <v>54.63</v>
      </c>
      <c r="F188" s="10">
        <v>54.59</v>
      </c>
      <c r="G188" s="10">
        <v>54.57</v>
      </c>
      <c r="H188" s="10">
        <v>54.57</v>
      </c>
      <c r="I188" s="10">
        <v>54.56</v>
      </c>
      <c r="J188" s="10">
        <v>54.57</v>
      </c>
      <c r="K188" s="10">
        <v>54.58</v>
      </c>
      <c r="L188" s="10">
        <v>54.57</v>
      </c>
      <c r="M188" s="10">
        <v>54.57</v>
      </c>
      <c r="N188" s="10">
        <v>49.48</v>
      </c>
      <c r="O188" s="10">
        <v>49.9</v>
      </c>
      <c r="P188" s="10">
        <v>50.24</v>
      </c>
      <c r="Q188" s="10">
        <v>50.5</v>
      </c>
      <c r="R188" s="10">
        <v>50.69</v>
      </c>
      <c r="S188" s="10">
        <v>50.82</v>
      </c>
      <c r="T188" s="10">
        <v>50.9</v>
      </c>
      <c r="U188" s="10">
        <v>50.94</v>
      </c>
      <c r="V188" s="10">
        <v>50.95</v>
      </c>
      <c r="W188" s="10">
        <v>50.93</v>
      </c>
      <c r="X188" s="10">
        <v>50.91</v>
      </c>
      <c r="Y188" s="10">
        <v>50.89</v>
      </c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</row>
    <row r="189" spans="1:147" x14ac:dyDescent="0.3">
      <c r="A189" s="9">
        <f>DATE(2017, 9, 20)</f>
        <v>42998</v>
      </c>
      <c r="B189" s="10">
        <v>56.29</v>
      </c>
      <c r="C189" s="10">
        <v>55.93</v>
      </c>
      <c r="D189" s="10">
        <v>55.68</v>
      </c>
      <c r="E189" s="10">
        <v>55.53</v>
      </c>
      <c r="F189" s="10">
        <v>55.44</v>
      </c>
      <c r="G189" s="10">
        <v>55.37</v>
      </c>
      <c r="H189" s="10">
        <v>55.32</v>
      </c>
      <c r="I189" s="10">
        <v>55.27</v>
      </c>
      <c r="J189" s="10">
        <v>55.25</v>
      </c>
      <c r="K189" s="10">
        <v>55.22</v>
      </c>
      <c r="L189" s="10">
        <v>55.17</v>
      </c>
      <c r="M189" s="10">
        <v>55.14</v>
      </c>
      <c r="N189" s="10">
        <v>50.41</v>
      </c>
      <c r="O189" s="10">
        <v>50.69</v>
      </c>
      <c r="P189" s="10">
        <v>51.04</v>
      </c>
      <c r="Q189" s="10">
        <v>51.29</v>
      </c>
      <c r="R189" s="10">
        <v>51.46</v>
      </c>
      <c r="S189" s="10">
        <v>51.56</v>
      </c>
      <c r="T189" s="10">
        <v>51.6</v>
      </c>
      <c r="U189" s="10">
        <v>51.6</v>
      </c>
      <c r="V189" s="10">
        <v>51.58</v>
      </c>
      <c r="W189" s="10">
        <v>51.53</v>
      </c>
      <c r="X189" s="10">
        <v>51.48</v>
      </c>
      <c r="Y189" s="10">
        <v>51.43</v>
      </c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</row>
    <row r="190" spans="1:147" x14ac:dyDescent="0.3">
      <c r="A190" s="9">
        <f>DATE(2017, 9, 21)</f>
        <v>42999</v>
      </c>
      <c r="B190" s="10">
        <v>56.43</v>
      </c>
      <c r="C190" s="10">
        <v>56.09</v>
      </c>
      <c r="D190" s="10">
        <v>55.82</v>
      </c>
      <c r="E190" s="10">
        <v>55.66</v>
      </c>
      <c r="F190" s="10">
        <v>55.56</v>
      </c>
      <c r="G190" s="10">
        <v>55.5</v>
      </c>
      <c r="H190" s="10">
        <v>55.44</v>
      </c>
      <c r="I190" s="10">
        <v>55.39</v>
      </c>
      <c r="J190" s="10">
        <v>55.36</v>
      </c>
      <c r="K190" s="10">
        <v>55.32</v>
      </c>
      <c r="L190" s="10">
        <v>55.26</v>
      </c>
      <c r="M190" s="10">
        <v>55.21</v>
      </c>
      <c r="N190" s="10">
        <v>50.55</v>
      </c>
      <c r="O190" s="10">
        <v>50.93</v>
      </c>
      <c r="P190" s="10">
        <v>51.21</v>
      </c>
      <c r="Q190" s="10">
        <v>51.39</v>
      </c>
      <c r="R190" s="10">
        <v>51.49</v>
      </c>
      <c r="S190" s="10">
        <v>51.54</v>
      </c>
      <c r="T190" s="10">
        <v>51.55</v>
      </c>
      <c r="U190" s="10">
        <v>51.53</v>
      </c>
      <c r="V190" s="10">
        <v>51.48</v>
      </c>
      <c r="W190" s="10">
        <v>51.43</v>
      </c>
      <c r="X190" s="10">
        <v>51.4</v>
      </c>
      <c r="Y190" s="10">
        <v>51.37</v>
      </c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</row>
    <row r="191" spans="1:147" x14ac:dyDescent="0.3">
      <c r="A191" s="9">
        <f>DATE(2017, 9, 22)</f>
        <v>43000</v>
      </c>
      <c r="B191" s="10">
        <v>56.86</v>
      </c>
      <c r="C191" s="10">
        <v>56.42</v>
      </c>
      <c r="D191" s="10">
        <v>56.1</v>
      </c>
      <c r="E191" s="10">
        <v>55.9</v>
      </c>
      <c r="F191" s="10">
        <v>55.78</v>
      </c>
      <c r="G191" s="10">
        <v>55.7</v>
      </c>
      <c r="H191" s="10">
        <v>55.63</v>
      </c>
      <c r="I191" s="10">
        <v>55.57</v>
      </c>
      <c r="J191" s="10">
        <v>55.53</v>
      </c>
      <c r="K191" s="10">
        <v>55.48</v>
      </c>
      <c r="L191" s="10">
        <v>55.41</v>
      </c>
      <c r="M191" s="10">
        <v>55.35</v>
      </c>
      <c r="N191" s="10">
        <v>50.66</v>
      </c>
      <c r="O191" s="10">
        <v>51.03</v>
      </c>
      <c r="P191" s="10">
        <v>51.31</v>
      </c>
      <c r="Q191" s="10">
        <v>51.47</v>
      </c>
      <c r="R191" s="10">
        <v>51.56</v>
      </c>
      <c r="S191" s="10">
        <v>51.6</v>
      </c>
      <c r="T191" s="10">
        <v>51.6</v>
      </c>
      <c r="U191" s="10">
        <v>51.58</v>
      </c>
      <c r="V191" s="10">
        <v>51.53</v>
      </c>
      <c r="W191" s="10">
        <v>51.48</v>
      </c>
      <c r="X191" s="10">
        <v>51.45</v>
      </c>
      <c r="Y191" s="10">
        <v>51.42</v>
      </c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</row>
    <row r="192" spans="1:147" x14ac:dyDescent="0.3">
      <c r="A192" s="9">
        <f>DATE(2017, 9, 25)</f>
        <v>43003</v>
      </c>
      <c r="B192" s="10">
        <v>59.02</v>
      </c>
      <c r="C192" s="10">
        <v>58.43</v>
      </c>
      <c r="D192" s="10">
        <v>58.03</v>
      </c>
      <c r="E192" s="10">
        <v>57.75</v>
      </c>
      <c r="F192" s="10">
        <v>57.55</v>
      </c>
      <c r="G192" s="10">
        <v>57.4</v>
      </c>
      <c r="H192" s="10">
        <v>57.26</v>
      </c>
      <c r="I192" s="10">
        <v>57.11</v>
      </c>
      <c r="J192" s="10">
        <v>56.97</v>
      </c>
      <c r="K192" s="10">
        <v>56.82</v>
      </c>
      <c r="L192" s="10">
        <v>56.65</v>
      </c>
      <c r="M192" s="10">
        <v>56.5</v>
      </c>
      <c r="N192" s="10">
        <v>52.22</v>
      </c>
      <c r="O192" s="10">
        <v>52.52</v>
      </c>
      <c r="P192" s="10">
        <v>52.74</v>
      </c>
      <c r="Q192" s="10">
        <v>52.84</v>
      </c>
      <c r="R192" s="10">
        <v>52.88</v>
      </c>
      <c r="S192" s="10">
        <v>52.86</v>
      </c>
      <c r="T192" s="10">
        <v>52.8</v>
      </c>
      <c r="U192" s="10">
        <v>52.71</v>
      </c>
      <c r="V192" s="10">
        <v>52.59</v>
      </c>
      <c r="W192" s="10">
        <v>52.48</v>
      </c>
      <c r="X192" s="10">
        <v>52.38</v>
      </c>
      <c r="Y192" s="10">
        <v>52.28</v>
      </c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</row>
    <row r="193" spans="1:147" x14ac:dyDescent="0.3">
      <c r="A193" s="9">
        <f>DATE(2017, 9, 26)</f>
        <v>43004</v>
      </c>
      <c r="B193" s="10">
        <v>58.44</v>
      </c>
      <c r="C193" s="10">
        <v>57.92</v>
      </c>
      <c r="D193" s="10">
        <v>57.62</v>
      </c>
      <c r="E193" s="10">
        <v>57.4</v>
      </c>
      <c r="F193" s="10">
        <v>57.24</v>
      </c>
      <c r="G193" s="10">
        <v>57.11</v>
      </c>
      <c r="H193" s="10">
        <v>56.99</v>
      </c>
      <c r="I193" s="10">
        <v>56.85</v>
      </c>
      <c r="J193" s="10">
        <v>56.73</v>
      </c>
      <c r="K193" s="10">
        <v>56.6</v>
      </c>
      <c r="L193" s="10">
        <v>56.44</v>
      </c>
      <c r="M193" s="10">
        <v>56.3</v>
      </c>
      <c r="N193" s="10">
        <v>51.88</v>
      </c>
      <c r="O193" s="10">
        <v>52.19</v>
      </c>
      <c r="P193" s="10">
        <v>52.42</v>
      </c>
      <c r="Q193" s="10">
        <v>52.54</v>
      </c>
      <c r="R193" s="10">
        <v>52.6</v>
      </c>
      <c r="S193" s="10">
        <v>52.6</v>
      </c>
      <c r="T193" s="10">
        <v>52.56</v>
      </c>
      <c r="U193" s="10">
        <v>52.48</v>
      </c>
      <c r="V193" s="10">
        <v>52.37</v>
      </c>
      <c r="W193" s="10">
        <v>52.26</v>
      </c>
      <c r="X193" s="10">
        <v>52.17</v>
      </c>
      <c r="Y193" s="10">
        <v>52.09</v>
      </c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</row>
    <row r="194" spans="1:147" x14ac:dyDescent="0.3">
      <c r="A194" s="9">
        <f>DATE(2017, 9, 27)</f>
        <v>43005</v>
      </c>
      <c r="B194" s="10">
        <v>57.9</v>
      </c>
      <c r="C194" s="10">
        <v>57.57</v>
      </c>
      <c r="D194" s="10">
        <v>57.35</v>
      </c>
      <c r="E194" s="10">
        <v>57.18</v>
      </c>
      <c r="F194" s="10">
        <v>57.06</v>
      </c>
      <c r="G194" s="10">
        <v>56.96</v>
      </c>
      <c r="H194" s="10">
        <v>56.87</v>
      </c>
      <c r="I194" s="10">
        <v>56.75</v>
      </c>
      <c r="J194" s="10">
        <v>56.64</v>
      </c>
      <c r="K194" s="10">
        <v>56.53</v>
      </c>
      <c r="L194" s="10">
        <v>56.39</v>
      </c>
      <c r="M194" s="10">
        <v>56.27</v>
      </c>
      <c r="N194" s="10">
        <v>52.14</v>
      </c>
      <c r="O194" s="10">
        <v>52.43</v>
      </c>
      <c r="P194" s="10">
        <v>52.63</v>
      </c>
      <c r="Q194" s="10">
        <v>52.72</v>
      </c>
      <c r="R194" s="10">
        <v>52.76</v>
      </c>
      <c r="S194" s="10">
        <v>52.74</v>
      </c>
      <c r="T194" s="10">
        <v>52.68</v>
      </c>
      <c r="U194" s="10">
        <v>52.59</v>
      </c>
      <c r="V194" s="10">
        <v>52.47</v>
      </c>
      <c r="W194" s="10">
        <v>52.35</v>
      </c>
      <c r="X194" s="10">
        <v>52.26</v>
      </c>
      <c r="Y194" s="10">
        <v>52.17</v>
      </c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</row>
    <row r="195" spans="1:147" x14ac:dyDescent="0.3">
      <c r="A195" s="9">
        <f>DATE(2017, 9, 28)</f>
        <v>43006</v>
      </c>
      <c r="B195" s="10">
        <v>57.41</v>
      </c>
      <c r="C195" s="10">
        <v>57.16</v>
      </c>
      <c r="D195" s="10">
        <v>56.92</v>
      </c>
      <c r="E195" s="10">
        <v>56.73</v>
      </c>
      <c r="F195" s="10">
        <v>56.57</v>
      </c>
      <c r="G195" s="10">
        <v>56.44</v>
      </c>
      <c r="H195" s="10">
        <v>56.32</v>
      </c>
      <c r="I195" s="10">
        <v>56.18</v>
      </c>
      <c r="J195" s="10">
        <v>56.07</v>
      </c>
      <c r="K195" s="10">
        <v>55.95</v>
      </c>
      <c r="L195" s="10">
        <v>55.83</v>
      </c>
      <c r="M195" s="10">
        <v>55.72</v>
      </c>
      <c r="N195" s="10">
        <v>51.56</v>
      </c>
      <c r="O195" s="10">
        <v>51.87</v>
      </c>
      <c r="P195" s="10">
        <v>52.09</v>
      </c>
      <c r="Q195" s="10">
        <v>52.2</v>
      </c>
      <c r="R195" s="10">
        <v>52.24</v>
      </c>
      <c r="S195" s="10">
        <v>52.23</v>
      </c>
      <c r="T195" s="10">
        <v>52.17</v>
      </c>
      <c r="U195" s="10">
        <v>52.08</v>
      </c>
      <c r="V195" s="10">
        <v>51.96</v>
      </c>
      <c r="W195" s="10">
        <v>51.85</v>
      </c>
      <c r="X195" s="10">
        <v>51.76</v>
      </c>
      <c r="Y195" s="10">
        <v>51.68</v>
      </c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</row>
    <row r="196" spans="1:147" x14ac:dyDescent="0.3">
      <c r="A196" s="9">
        <f>DATE(2017, 9, 29)</f>
        <v>43007</v>
      </c>
      <c r="B196" s="10">
        <v>57.54</v>
      </c>
      <c r="C196" s="10">
        <v>56.79</v>
      </c>
      <c r="D196" s="10">
        <v>56.59</v>
      </c>
      <c r="E196" s="10">
        <v>56.43</v>
      </c>
      <c r="F196" s="10">
        <v>56.31</v>
      </c>
      <c r="G196" s="10">
        <v>56.21</v>
      </c>
      <c r="H196" s="10">
        <v>56.11</v>
      </c>
      <c r="I196" s="10">
        <v>55.99</v>
      </c>
      <c r="J196" s="10">
        <v>55.89</v>
      </c>
      <c r="K196" s="10">
        <v>55.79</v>
      </c>
      <c r="L196" s="10">
        <v>55.67</v>
      </c>
      <c r="M196" s="10">
        <v>55.58</v>
      </c>
      <c r="N196" s="10">
        <v>51.67</v>
      </c>
      <c r="O196" s="10">
        <v>51.95</v>
      </c>
      <c r="P196" s="10">
        <v>52.14</v>
      </c>
      <c r="Q196" s="10">
        <v>52.22</v>
      </c>
      <c r="R196" s="10">
        <v>52.24</v>
      </c>
      <c r="S196" s="10">
        <v>52.21</v>
      </c>
      <c r="T196" s="10">
        <v>52.14</v>
      </c>
      <c r="U196" s="10">
        <v>52.05</v>
      </c>
      <c r="V196" s="10">
        <v>51.93</v>
      </c>
      <c r="W196" s="10">
        <v>51.82</v>
      </c>
      <c r="X196" s="10">
        <v>51.73</v>
      </c>
      <c r="Y196" s="10">
        <v>51.65</v>
      </c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</row>
    <row r="197" spans="1:147" x14ac:dyDescent="0.3">
      <c r="A197" s="9">
        <f>DATE(2017, 10, 2)</f>
        <v>43010</v>
      </c>
      <c r="B197" s="10">
        <v>56.12</v>
      </c>
      <c r="C197" s="10">
        <v>55.89</v>
      </c>
      <c r="D197" s="10">
        <v>55.71</v>
      </c>
      <c r="E197" s="10">
        <v>55.58</v>
      </c>
      <c r="F197" s="10">
        <v>55.49</v>
      </c>
      <c r="G197" s="10">
        <v>55.39</v>
      </c>
      <c r="H197" s="10">
        <v>55.27</v>
      </c>
      <c r="I197" s="10">
        <v>55.18</v>
      </c>
      <c r="J197" s="10">
        <v>55.07</v>
      </c>
      <c r="K197" s="10">
        <v>54.95</v>
      </c>
      <c r="L197" s="10">
        <v>54.85</v>
      </c>
      <c r="M197" s="10">
        <v>54.77</v>
      </c>
      <c r="N197" s="10">
        <v>50.58</v>
      </c>
      <c r="O197" s="10">
        <v>50.9</v>
      </c>
      <c r="P197" s="10">
        <v>51.14</v>
      </c>
      <c r="Q197" s="10">
        <v>51.27</v>
      </c>
      <c r="R197" s="10">
        <v>51.33</v>
      </c>
      <c r="S197" s="10">
        <v>51.35</v>
      </c>
      <c r="T197" s="10">
        <v>51.31</v>
      </c>
      <c r="U197" s="10">
        <v>51.24</v>
      </c>
      <c r="V197" s="10">
        <v>51.14</v>
      </c>
      <c r="W197" s="10">
        <v>51.04</v>
      </c>
      <c r="X197" s="10">
        <v>50.95</v>
      </c>
      <c r="Y197" s="10">
        <v>50.87</v>
      </c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</row>
    <row r="198" spans="1:147" x14ac:dyDescent="0.3">
      <c r="A198" s="9">
        <f>DATE(2017, 10, 3)</f>
        <v>43011</v>
      </c>
      <c r="B198" s="10">
        <v>56</v>
      </c>
      <c r="C198" s="10">
        <v>55.78</v>
      </c>
      <c r="D198" s="10">
        <v>55.59</v>
      </c>
      <c r="E198" s="10">
        <v>55.47</v>
      </c>
      <c r="F198" s="10">
        <v>55.38</v>
      </c>
      <c r="G198" s="10">
        <v>55.29</v>
      </c>
      <c r="H198" s="10">
        <v>55.19</v>
      </c>
      <c r="I198" s="10">
        <v>55.11</v>
      </c>
      <c r="J198" s="10">
        <v>55.01</v>
      </c>
      <c r="K198" s="10">
        <v>54.9</v>
      </c>
      <c r="L198" s="10">
        <v>54.81</v>
      </c>
      <c r="M198" s="10">
        <v>54.73</v>
      </c>
      <c r="N198" s="10">
        <v>50.42</v>
      </c>
      <c r="O198" s="10">
        <v>50.74</v>
      </c>
      <c r="P198" s="10">
        <v>50.99</v>
      </c>
      <c r="Q198" s="10">
        <v>51.13</v>
      </c>
      <c r="R198" s="10">
        <v>51.22</v>
      </c>
      <c r="S198" s="10">
        <v>51.25</v>
      </c>
      <c r="T198" s="10">
        <v>51.23</v>
      </c>
      <c r="U198" s="10">
        <v>51.18</v>
      </c>
      <c r="V198" s="10">
        <v>51.09</v>
      </c>
      <c r="W198" s="10">
        <v>50.99</v>
      </c>
      <c r="X198" s="10">
        <v>50.9</v>
      </c>
      <c r="Y198" s="10">
        <v>50.82</v>
      </c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</row>
    <row r="199" spans="1:147" x14ac:dyDescent="0.3">
      <c r="A199" s="9">
        <f>DATE(2017, 10, 4)</f>
        <v>43012</v>
      </c>
      <c r="B199" s="10">
        <v>55.8</v>
      </c>
      <c r="C199" s="10">
        <v>55.6</v>
      </c>
      <c r="D199" s="10">
        <v>55.41</v>
      </c>
      <c r="E199" s="10">
        <v>55.29</v>
      </c>
      <c r="F199" s="10">
        <v>55.22</v>
      </c>
      <c r="G199" s="10">
        <v>55.16</v>
      </c>
      <c r="H199" s="10">
        <v>55.08</v>
      </c>
      <c r="I199" s="10">
        <v>55.01</v>
      </c>
      <c r="J199" s="10">
        <v>54.92</v>
      </c>
      <c r="K199" s="10">
        <v>54.83</v>
      </c>
      <c r="L199" s="10">
        <v>54.75</v>
      </c>
      <c r="M199" s="10">
        <v>54.68</v>
      </c>
      <c r="N199" s="10">
        <v>49.98</v>
      </c>
      <c r="O199" s="10">
        <v>50.32</v>
      </c>
      <c r="P199" s="10">
        <v>50.6</v>
      </c>
      <c r="Q199" s="10">
        <v>50.79</v>
      </c>
      <c r="R199" s="10">
        <v>50.92</v>
      </c>
      <c r="S199" s="10">
        <v>50.99</v>
      </c>
      <c r="T199" s="10">
        <v>51.01</v>
      </c>
      <c r="U199" s="10">
        <v>50.99</v>
      </c>
      <c r="V199" s="10">
        <v>50.93</v>
      </c>
      <c r="W199" s="10">
        <v>50.86</v>
      </c>
      <c r="X199" s="10">
        <v>50.8</v>
      </c>
      <c r="Y199" s="10">
        <v>50.74</v>
      </c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</row>
    <row r="200" spans="1:147" x14ac:dyDescent="0.3">
      <c r="A200" s="9">
        <f>DATE(2017, 10, 5)</f>
        <v>43013</v>
      </c>
      <c r="B200" s="10">
        <v>57</v>
      </c>
      <c r="C200" s="10">
        <v>56.71</v>
      </c>
      <c r="D200" s="10">
        <v>56.46</v>
      </c>
      <c r="E200" s="10">
        <v>56.29</v>
      </c>
      <c r="F200" s="10">
        <v>56.18</v>
      </c>
      <c r="G200" s="10">
        <v>56.08</v>
      </c>
      <c r="H200" s="10">
        <v>55.96</v>
      </c>
      <c r="I200" s="10">
        <v>55.86</v>
      </c>
      <c r="J200" s="10">
        <v>55.75</v>
      </c>
      <c r="K200" s="10">
        <v>55.64</v>
      </c>
      <c r="L200" s="10">
        <v>55.54</v>
      </c>
      <c r="M200" s="10">
        <v>55.46</v>
      </c>
      <c r="N200" s="10">
        <v>50.79</v>
      </c>
      <c r="O200" s="10">
        <v>51.15</v>
      </c>
      <c r="P200" s="10">
        <v>51.44</v>
      </c>
      <c r="Q200" s="10">
        <v>51.64</v>
      </c>
      <c r="R200" s="10">
        <v>51.77</v>
      </c>
      <c r="S200" s="10">
        <v>51.84</v>
      </c>
      <c r="T200" s="10">
        <v>51.85</v>
      </c>
      <c r="U200" s="10">
        <v>51.82</v>
      </c>
      <c r="V200" s="10">
        <v>51.74</v>
      </c>
      <c r="W200" s="10">
        <v>51.66</v>
      </c>
      <c r="X200" s="10">
        <v>51.58</v>
      </c>
      <c r="Y200" s="10">
        <v>51.51</v>
      </c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</row>
    <row r="201" spans="1:147" x14ac:dyDescent="0.3">
      <c r="A201" s="9">
        <f>DATE(2017, 10, 6)</f>
        <v>43014</v>
      </c>
      <c r="B201" s="10">
        <v>55.62</v>
      </c>
      <c r="C201" s="10">
        <v>55.36</v>
      </c>
      <c r="D201" s="10">
        <v>55.13</v>
      </c>
      <c r="E201" s="10">
        <v>54.98</v>
      </c>
      <c r="F201" s="10">
        <v>54.87</v>
      </c>
      <c r="G201" s="10">
        <v>54.77</v>
      </c>
      <c r="H201" s="10">
        <v>54.66</v>
      </c>
      <c r="I201" s="10">
        <v>54.58</v>
      </c>
      <c r="J201" s="10">
        <v>54.48</v>
      </c>
      <c r="K201" s="10">
        <v>54.38</v>
      </c>
      <c r="L201" s="10">
        <v>54.29</v>
      </c>
      <c r="M201" s="10">
        <v>54.22</v>
      </c>
      <c r="N201" s="10">
        <v>49.29</v>
      </c>
      <c r="O201" s="10">
        <v>49.65</v>
      </c>
      <c r="P201" s="10">
        <v>49.92</v>
      </c>
      <c r="Q201" s="10">
        <v>50.12</v>
      </c>
      <c r="R201" s="10">
        <v>50.27</v>
      </c>
      <c r="S201" s="10">
        <v>50.36</v>
      </c>
      <c r="T201" s="10">
        <v>50.4</v>
      </c>
      <c r="U201" s="10">
        <v>50.41</v>
      </c>
      <c r="V201" s="10">
        <v>50.38</v>
      </c>
      <c r="W201" s="10">
        <v>50.34</v>
      </c>
      <c r="X201" s="10">
        <v>50.31</v>
      </c>
      <c r="Y201" s="10">
        <v>50.27</v>
      </c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</row>
    <row r="202" spans="1:147" x14ac:dyDescent="0.3">
      <c r="A202" s="9">
        <f>DATE(2017, 10, 9)</f>
        <v>43017</v>
      </c>
      <c r="B202" s="10">
        <v>55.79</v>
      </c>
      <c r="C202" s="10">
        <v>55.54</v>
      </c>
      <c r="D202" s="10">
        <v>55.3</v>
      </c>
      <c r="E202" s="10">
        <v>55.14</v>
      </c>
      <c r="F202" s="10">
        <v>55.03</v>
      </c>
      <c r="G202" s="10">
        <v>54.92</v>
      </c>
      <c r="H202" s="10">
        <v>54.8</v>
      </c>
      <c r="I202" s="10">
        <v>54.71</v>
      </c>
      <c r="J202" s="10">
        <v>54.61</v>
      </c>
      <c r="K202" s="10">
        <v>54.51</v>
      </c>
      <c r="L202" s="10">
        <v>54.43</v>
      </c>
      <c r="M202" s="10">
        <v>54.36</v>
      </c>
      <c r="N202" s="10">
        <v>49.58</v>
      </c>
      <c r="O202" s="10">
        <v>49.93</v>
      </c>
      <c r="P202" s="10">
        <v>50.18</v>
      </c>
      <c r="Q202" s="10">
        <v>50.38</v>
      </c>
      <c r="R202" s="10">
        <v>50.53</v>
      </c>
      <c r="S202" s="10">
        <v>50.63</v>
      </c>
      <c r="T202" s="10">
        <v>50.68</v>
      </c>
      <c r="U202" s="10">
        <v>50.7</v>
      </c>
      <c r="V202" s="10">
        <v>50.68</v>
      </c>
      <c r="W202" s="10">
        <v>50.64</v>
      </c>
      <c r="X202" s="10">
        <v>50.6</v>
      </c>
      <c r="Y202" s="10">
        <v>50.56</v>
      </c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</row>
    <row r="203" spans="1:147" x14ac:dyDescent="0.3">
      <c r="A203" s="9">
        <f>DATE(2017, 10, 10)</f>
        <v>43018</v>
      </c>
      <c r="B203" s="10">
        <v>56.61</v>
      </c>
      <c r="C203" s="10">
        <v>56.36</v>
      </c>
      <c r="D203" s="10">
        <v>56.12</v>
      </c>
      <c r="E203" s="10">
        <v>55.96</v>
      </c>
      <c r="F203" s="10">
        <v>55.84</v>
      </c>
      <c r="G203" s="10">
        <v>55.72</v>
      </c>
      <c r="H203" s="10">
        <v>55.59</v>
      </c>
      <c r="I203" s="10">
        <v>55.47</v>
      </c>
      <c r="J203" s="10">
        <v>55.35</v>
      </c>
      <c r="K203" s="10">
        <v>55.23</v>
      </c>
      <c r="L203" s="10">
        <v>55.12</v>
      </c>
      <c r="M203" s="10">
        <v>55.03</v>
      </c>
      <c r="N203" s="10">
        <v>50.92</v>
      </c>
      <c r="O203" s="10">
        <v>51.23</v>
      </c>
      <c r="P203" s="10">
        <v>51.43</v>
      </c>
      <c r="Q203" s="10">
        <v>51.58</v>
      </c>
      <c r="R203" s="10">
        <v>51.68</v>
      </c>
      <c r="S203" s="10">
        <v>51.73</v>
      </c>
      <c r="T203" s="10">
        <v>51.74</v>
      </c>
      <c r="U203" s="10">
        <v>51.72</v>
      </c>
      <c r="V203" s="10">
        <v>51.67</v>
      </c>
      <c r="W203" s="10">
        <v>51.6</v>
      </c>
      <c r="X203" s="10">
        <v>51.53</v>
      </c>
      <c r="Y203" s="10">
        <v>51.45</v>
      </c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</row>
    <row r="204" spans="1:147" x14ac:dyDescent="0.3">
      <c r="A204" s="9">
        <f>DATE(2017, 10, 11)</f>
        <v>43019</v>
      </c>
      <c r="B204" s="10">
        <v>56.94</v>
      </c>
      <c r="C204" s="10">
        <v>56.73</v>
      </c>
      <c r="D204" s="10">
        <v>56.52</v>
      </c>
      <c r="E204" s="10">
        <v>56.39</v>
      </c>
      <c r="F204" s="10">
        <v>56.28</v>
      </c>
      <c r="G204" s="10">
        <v>56.17</v>
      </c>
      <c r="H204" s="10">
        <v>56.04</v>
      </c>
      <c r="I204" s="10">
        <v>55.93</v>
      </c>
      <c r="J204" s="10">
        <v>55.81</v>
      </c>
      <c r="K204" s="10">
        <v>55.67</v>
      </c>
      <c r="L204" s="10">
        <v>55.55</v>
      </c>
      <c r="M204" s="10">
        <v>55.44</v>
      </c>
      <c r="N204" s="10">
        <v>51.3</v>
      </c>
      <c r="O204" s="10">
        <v>51.6</v>
      </c>
      <c r="P204" s="10">
        <v>51.8</v>
      </c>
      <c r="Q204" s="10">
        <v>51.95</v>
      </c>
      <c r="R204" s="10">
        <v>52.05</v>
      </c>
      <c r="S204" s="10">
        <v>52.09</v>
      </c>
      <c r="T204" s="10">
        <v>52.09</v>
      </c>
      <c r="U204" s="10">
        <v>52.06</v>
      </c>
      <c r="V204" s="10">
        <v>52.01</v>
      </c>
      <c r="W204" s="10">
        <v>51.94</v>
      </c>
      <c r="X204" s="10">
        <v>51.87</v>
      </c>
      <c r="Y204" s="10">
        <v>51.79</v>
      </c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</row>
    <row r="205" spans="1:147" x14ac:dyDescent="0.3">
      <c r="A205" s="9">
        <f>DATE(2017, 10, 12)</f>
        <v>43020</v>
      </c>
      <c r="B205" s="10">
        <v>56.25</v>
      </c>
      <c r="C205" s="10">
        <v>56.07</v>
      </c>
      <c r="D205" s="10">
        <v>55.89</v>
      </c>
      <c r="E205" s="10">
        <v>55.77</v>
      </c>
      <c r="F205" s="10">
        <v>55.69</v>
      </c>
      <c r="G205" s="10">
        <v>55.61</v>
      </c>
      <c r="H205" s="10">
        <v>55.51</v>
      </c>
      <c r="I205" s="10">
        <v>55.42</v>
      </c>
      <c r="J205" s="10">
        <v>55.31</v>
      </c>
      <c r="K205" s="10">
        <v>55.18</v>
      </c>
      <c r="L205" s="10">
        <v>55.07</v>
      </c>
      <c r="M205" s="10">
        <v>54.97</v>
      </c>
      <c r="N205" s="10">
        <v>50.6</v>
      </c>
      <c r="O205" s="10">
        <v>50.93</v>
      </c>
      <c r="P205" s="10">
        <v>51.15</v>
      </c>
      <c r="Q205" s="10">
        <v>51.33</v>
      </c>
      <c r="R205" s="10">
        <v>51.47</v>
      </c>
      <c r="S205" s="10">
        <v>51.55</v>
      </c>
      <c r="T205" s="10">
        <v>51.58</v>
      </c>
      <c r="U205" s="10">
        <v>51.58</v>
      </c>
      <c r="V205" s="10">
        <v>51.55</v>
      </c>
      <c r="W205" s="10">
        <v>51.49</v>
      </c>
      <c r="X205" s="10">
        <v>51.42</v>
      </c>
      <c r="Y205" s="10">
        <v>51.36</v>
      </c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</row>
    <row r="206" spans="1:147" x14ac:dyDescent="0.3">
      <c r="A206" s="9">
        <f>DATE(2017, 10, 13)</f>
        <v>43021</v>
      </c>
      <c r="B206" s="10">
        <v>57.17</v>
      </c>
      <c r="C206" s="10">
        <v>56.95</v>
      </c>
      <c r="D206" s="10">
        <v>56.71</v>
      </c>
      <c r="E206" s="10">
        <v>56.54</v>
      </c>
      <c r="F206" s="10">
        <v>56.43</v>
      </c>
      <c r="G206" s="10">
        <v>56.33</v>
      </c>
      <c r="H206" s="10">
        <v>56.21</v>
      </c>
      <c r="I206" s="10">
        <v>56.09</v>
      </c>
      <c r="J206" s="10">
        <v>55.96</v>
      </c>
      <c r="K206" s="10">
        <v>55.81</v>
      </c>
      <c r="L206" s="10">
        <v>55.67</v>
      </c>
      <c r="M206" s="10">
        <v>55.54</v>
      </c>
      <c r="N206" s="10">
        <v>51.45</v>
      </c>
      <c r="O206" s="10">
        <v>51.73</v>
      </c>
      <c r="P206" s="10">
        <v>51.94</v>
      </c>
      <c r="Q206" s="10">
        <v>52.1</v>
      </c>
      <c r="R206" s="10">
        <v>52.21</v>
      </c>
      <c r="S206" s="10">
        <v>52.26</v>
      </c>
      <c r="T206" s="10">
        <v>52.26</v>
      </c>
      <c r="U206" s="10">
        <v>52.23</v>
      </c>
      <c r="V206" s="10">
        <v>52.17</v>
      </c>
      <c r="W206" s="10">
        <v>52.1</v>
      </c>
      <c r="X206" s="10">
        <v>52.01</v>
      </c>
      <c r="Y206" s="10">
        <v>51.93</v>
      </c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</row>
    <row r="207" spans="1:147" x14ac:dyDescent="0.3">
      <c r="A207" s="9">
        <f>DATE(2017, 10, 16)</f>
        <v>43024</v>
      </c>
      <c r="B207" s="10">
        <v>57.82</v>
      </c>
      <c r="C207" s="10">
        <v>57.56</v>
      </c>
      <c r="D207" s="10">
        <v>57.28</v>
      </c>
      <c r="E207" s="10">
        <v>57.07</v>
      </c>
      <c r="F207" s="10">
        <v>56.93</v>
      </c>
      <c r="G207" s="10">
        <v>56.82</v>
      </c>
      <c r="H207" s="10">
        <v>56.69</v>
      </c>
      <c r="I207" s="10">
        <v>56.55</v>
      </c>
      <c r="J207" s="10">
        <v>56.4</v>
      </c>
      <c r="K207" s="10">
        <v>56.23</v>
      </c>
      <c r="L207" s="10">
        <v>56.06</v>
      </c>
      <c r="M207" s="10">
        <v>55.91</v>
      </c>
      <c r="N207" s="10">
        <v>51.87</v>
      </c>
      <c r="O207" s="10">
        <v>52.14</v>
      </c>
      <c r="P207" s="10">
        <v>52.34</v>
      </c>
      <c r="Q207" s="10">
        <v>52.49</v>
      </c>
      <c r="R207" s="10">
        <v>52.59</v>
      </c>
      <c r="S207" s="10">
        <v>52.63</v>
      </c>
      <c r="T207" s="10">
        <v>52.62</v>
      </c>
      <c r="U207" s="10">
        <v>52.57</v>
      </c>
      <c r="V207" s="10">
        <v>52.47</v>
      </c>
      <c r="W207" s="10">
        <v>52.36</v>
      </c>
      <c r="X207" s="10">
        <v>52.25</v>
      </c>
      <c r="Y207" s="10">
        <v>52.14</v>
      </c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</row>
    <row r="208" spans="1:147" x14ac:dyDescent="0.3">
      <c r="A208" s="9">
        <f>DATE(2017, 10, 17)</f>
        <v>43025</v>
      </c>
      <c r="B208" s="10">
        <v>57.88</v>
      </c>
      <c r="C208" s="10">
        <v>57.54</v>
      </c>
      <c r="D208" s="10">
        <v>57.21</v>
      </c>
      <c r="E208" s="10">
        <v>56.97</v>
      </c>
      <c r="F208" s="10">
        <v>56.81</v>
      </c>
      <c r="G208" s="10">
        <v>56.68</v>
      </c>
      <c r="H208" s="10">
        <v>56.53</v>
      </c>
      <c r="I208" s="10">
        <v>56.38</v>
      </c>
      <c r="J208" s="10">
        <v>56.22</v>
      </c>
      <c r="K208" s="10">
        <v>56.04</v>
      </c>
      <c r="L208" s="10">
        <v>55.88</v>
      </c>
      <c r="M208" s="10">
        <v>55.73</v>
      </c>
      <c r="N208" s="10">
        <v>51.88</v>
      </c>
      <c r="O208" s="10">
        <v>52.11</v>
      </c>
      <c r="P208" s="10">
        <v>52.28</v>
      </c>
      <c r="Q208" s="10">
        <v>52.39</v>
      </c>
      <c r="R208" s="10">
        <v>52.46</v>
      </c>
      <c r="S208" s="10">
        <v>52.47</v>
      </c>
      <c r="T208" s="10">
        <v>52.43</v>
      </c>
      <c r="U208" s="10">
        <v>52.35</v>
      </c>
      <c r="V208" s="10">
        <v>52.23</v>
      </c>
      <c r="W208" s="10">
        <v>52.11</v>
      </c>
      <c r="X208" s="10">
        <v>51.98</v>
      </c>
      <c r="Y208" s="10">
        <v>51.87</v>
      </c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</row>
    <row r="209" spans="1:147" x14ac:dyDescent="0.3">
      <c r="A209" s="9">
        <f>DATE(2017, 10, 18)</f>
        <v>43026</v>
      </c>
      <c r="B209" s="10">
        <v>58.15</v>
      </c>
      <c r="C209" s="10">
        <v>57.8</v>
      </c>
      <c r="D209" s="10">
        <v>57.48</v>
      </c>
      <c r="E209" s="10">
        <v>57.26</v>
      </c>
      <c r="F209" s="10">
        <v>57.11</v>
      </c>
      <c r="G209" s="10">
        <v>56.98</v>
      </c>
      <c r="H209" s="10">
        <v>56.83</v>
      </c>
      <c r="I209" s="10">
        <v>56.69</v>
      </c>
      <c r="J209" s="10">
        <v>56.53</v>
      </c>
      <c r="K209" s="10">
        <v>56.36</v>
      </c>
      <c r="L209" s="10">
        <v>56.2</v>
      </c>
      <c r="M209" s="10">
        <v>56.06</v>
      </c>
      <c r="N209" s="10">
        <v>52.04</v>
      </c>
      <c r="O209" s="10">
        <v>52.26</v>
      </c>
      <c r="P209" s="10">
        <v>52.45</v>
      </c>
      <c r="Q209" s="10">
        <v>52.56</v>
      </c>
      <c r="R209" s="10">
        <v>52.64</v>
      </c>
      <c r="S209" s="10">
        <v>52.66</v>
      </c>
      <c r="T209" s="10">
        <v>52.63</v>
      </c>
      <c r="U209" s="10">
        <v>52.56</v>
      </c>
      <c r="V209" s="10">
        <v>52.44</v>
      </c>
      <c r="W209" s="10">
        <v>52.31</v>
      </c>
      <c r="X209" s="10">
        <v>52.18</v>
      </c>
      <c r="Y209" s="10">
        <v>52.07</v>
      </c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</row>
    <row r="210" spans="1:147" x14ac:dyDescent="0.3">
      <c r="A210" s="9">
        <f>DATE(2017, 10, 19)</f>
        <v>43027</v>
      </c>
      <c r="B210" s="10">
        <v>57.23</v>
      </c>
      <c r="C210" s="10">
        <v>56.98</v>
      </c>
      <c r="D210" s="10">
        <v>56.73</v>
      </c>
      <c r="E210" s="10">
        <v>56.57</v>
      </c>
      <c r="F210" s="10">
        <v>56.46</v>
      </c>
      <c r="G210" s="10">
        <v>56.34</v>
      </c>
      <c r="H210" s="10">
        <v>56.2</v>
      </c>
      <c r="I210" s="10">
        <v>56.08</v>
      </c>
      <c r="J210" s="10">
        <v>55.94</v>
      </c>
      <c r="K210" s="10">
        <v>55.8</v>
      </c>
      <c r="L210" s="10">
        <v>55.66</v>
      </c>
      <c r="M210" s="10">
        <v>55.54</v>
      </c>
      <c r="N210" s="10">
        <v>51.29</v>
      </c>
      <c r="O210" s="10">
        <v>51.51</v>
      </c>
      <c r="P210" s="10">
        <v>51.73</v>
      </c>
      <c r="Q210" s="10">
        <v>51.87</v>
      </c>
      <c r="R210" s="10">
        <v>51.97</v>
      </c>
      <c r="S210" s="10">
        <v>52.01</v>
      </c>
      <c r="T210" s="10">
        <v>52</v>
      </c>
      <c r="U210" s="10">
        <v>51.94</v>
      </c>
      <c r="V210" s="10">
        <v>51.84</v>
      </c>
      <c r="W210" s="10">
        <v>51.73</v>
      </c>
      <c r="X210" s="10">
        <v>51.62</v>
      </c>
      <c r="Y210" s="10">
        <v>51.51</v>
      </c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</row>
    <row r="211" spans="1:147" x14ac:dyDescent="0.3">
      <c r="A211" s="9">
        <f>DATE(2017, 10, 20)</f>
        <v>43028</v>
      </c>
      <c r="B211" s="10">
        <v>57.75</v>
      </c>
      <c r="C211" s="10">
        <v>57.58</v>
      </c>
      <c r="D211" s="10">
        <v>57.33</v>
      </c>
      <c r="E211" s="10">
        <v>57.17</v>
      </c>
      <c r="F211" s="10">
        <v>57.05</v>
      </c>
      <c r="G211" s="10">
        <v>56.93</v>
      </c>
      <c r="H211" s="10">
        <v>56.77</v>
      </c>
      <c r="I211" s="10">
        <v>56.62</v>
      </c>
      <c r="J211" s="10">
        <v>56.47</v>
      </c>
      <c r="K211" s="10">
        <v>56.31</v>
      </c>
      <c r="L211" s="10">
        <v>56.15</v>
      </c>
      <c r="M211" s="10">
        <v>56.01</v>
      </c>
      <c r="N211" s="10">
        <v>51.47</v>
      </c>
      <c r="O211" s="10">
        <v>51.84</v>
      </c>
      <c r="P211" s="10">
        <v>52.04</v>
      </c>
      <c r="Q211" s="10">
        <v>52.17</v>
      </c>
      <c r="R211" s="10">
        <v>52.26</v>
      </c>
      <c r="S211" s="10">
        <v>52.3</v>
      </c>
      <c r="T211" s="10">
        <v>52.29</v>
      </c>
      <c r="U211" s="10">
        <v>52.23</v>
      </c>
      <c r="V211" s="10">
        <v>52.12</v>
      </c>
      <c r="W211" s="10">
        <v>52</v>
      </c>
      <c r="X211" s="10">
        <v>51.88</v>
      </c>
      <c r="Y211" s="10">
        <v>51.76</v>
      </c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</row>
    <row r="212" spans="1:147" x14ac:dyDescent="0.3">
      <c r="A212" s="9">
        <f>DATE(2017, 10, 23)</f>
        <v>43031</v>
      </c>
      <c r="B212" s="10">
        <v>57.37</v>
      </c>
      <c r="C212" s="10">
        <v>57.27</v>
      </c>
      <c r="D212" s="10">
        <v>57.08</v>
      </c>
      <c r="E212" s="10">
        <v>56.94</v>
      </c>
      <c r="F212" s="10">
        <v>56.83</v>
      </c>
      <c r="G212" s="10">
        <v>56.72</v>
      </c>
      <c r="H212" s="10">
        <v>56.57</v>
      </c>
      <c r="I212" s="10">
        <v>56.43</v>
      </c>
      <c r="J212" s="10">
        <v>56.28</v>
      </c>
      <c r="K212" s="10">
        <v>56.12</v>
      </c>
      <c r="L212" s="10">
        <v>55.97</v>
      </c>
      <c r="M212" s="10">
        <v>55.82</v>
      </c>
      <c r="N212" s="10">
        <v>51.9</v>
      </c>
      <c r="O212" s="10">
        <v>52.08</v>
      </c>
      <c r="P212" s="10">
        <v>52.19</v>
      </c>
      <c r="Q212" s="10">
        <v>52.26</v>
      </c>
      <c r="R212" s="10">
        <v>52.28</v>
      </c>
      <c r="S212" s="10">
        <v>52.25</v>
      </c>
      <c r="T212" s="10">
        <v>52.18</v>
      </c>
      <c r="U212" s="10">
        <v>52.06</v>
      </c>
      <c r="V212" s="10">
        <v>51.93</v>
      </c>
      <c r="W212" s="10">
        <v>51.8</v>
      </c>
      <c r="X212" s="10">
        <v>51.67</v>
      </c>
      <c r="Y212" s="10">
        <v>51.54</v>
      </c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</row>
    <row r="213" spans="1:147" x14ac:dyDescent="0.3">
      <c r="A213" s="9">
        <f>DATE(2017, 10, 24)</f>
        <v>43032</v>
      </c>
      <c r="B213" s="10">
        <v>58.33</v>
      </c>
      <c r="C213" s="10">
        <v>58.17</v>
      </c>
      <c r="D213" s="10">
        <v>57.91</v>
      </c>
      <c r="E213" s="10">
        <v>57.73</v>
      </c>
      <c r="F213" s="10">
        <v>57.59</v>
      </c>
      <c r="G213" s="10">
        <v>57.47</v>
      </c>
      <c r="H213" s="10">
        <v>57.32</v>
      </c>
      <c r="I213" s="10">
        <v>57.17</v>
      </c>
      <c r="J213" s="10">
        <v>57.01</v>
      </c>
      <c r="K213" s="10">
        <v>56.84</v>
      </c>
      <c r="L213" s="10">
        <v>56.68</v>
      </c>
      <c r="M213" s="10">
        <v>56.52</v>
      </c>
      <c r="N213" s="10">
        <v>52.47</v>
      </c>
      <c r="O213" s="10">
        <v>52.67</v>
      </c>
      <c r="P213" s="10">
        <v>52.79</v>
      </c>
      <c r="Q213" s="10">
        <v>52.87</v>
      </c>
      <c r="R213" s="10">
        <v>52.9</v>
      </c>
      <c r="S213" s="10">
        <v>52.87</v>
      </c>
      <c r="T213" s="10">
        <v>52.8</v>
      </c>
      <c r="U213" s="10">
        <v>52.68</v>
      </c>
      <c r="V213" s="10">
        <v>52.54</v>
      </c>
      <c r="W213" s="10">
        <v>52.39</v>
      </c>
      <c r="X213" s="10">
        <v>52.25</v>
      </c>
      <c r="Y213" s="10">
        <v>52.11</v>
      </c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</row>
    <row r="214" spans="1:147" x14ac:dyDescent="0.3">
      <c r="A214" s="9">
        <f>DATE(2017, 10, 25)</f>
        <v>43033</v>
      </c>
      <c r="B214" s="10">
        <v>58.44</v>
      </c>
      <c r="C214" s="10">
        <v>58.23</v>
      </c>
      <c r="D214" s="10">
        <v>57.97</v>
      </c>
      <c r="E214" s="10">
        <v>57.82</v>
      </c>
      <c r="F214" s="10">
        <v>57.7</v>
      </c>
      <c r="G214" s="10">
        <v>57.6</v>
      </c>
      <c r="H214" s="10">
        <v>57.46</v>
      </c>
      <c r="I214" s="10">
        <v>57.33</v>
      </c>
      <c r="J214" s="10">
        <v>57.18</v>
      </c>
      <c r="K214" s="10">
        <v>57.01</v>
      </c>
      <c r="L214" s="10">
        <v>56.85</v>
      </c>
      <c r="M214" s="10">
        <v>56.69</v>
      </c>
      <c r="N214" s="10">
        <v>52.18</v>
      </c>
      <c r="O214" s="10">
        <v>52.43</v>
      </c>
      <c r="P214" s="10">
        <v>52.59</v>
      </c>
      <c r="Q214" s="10">
        <v>52.71</v>
      </c>
      <c r="R214" s="10">
        <v>52.78</v>
      </c>
      <c r="S214" s="10">
        <v>52.78</v>
      </c>
      <c r="T214" s="10">
        <v>52.72</v>
      </c>
      <c r="U214" s="10">
        <v>52.61</v>
      </c>
      <c r="V214" s="10">
        <v>52.47</v>
      </c>
      <c r="W214" s="10">
        <v>52.33</v>
      </c>
      <c r="X214" s="10">
        <v>52.19</v>
      </c>
      <c r="Y214" s="10">
        <v>52.06</v>
      </c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</row>
    <row r="215" spans="1:147" x14ac:dyDescent="0.3">
      <c r="A215" s="9">
        <f>DATE(2017, 10, 26)</f>
        <v>43034</v>
      </c>
      <c r="B215" s="10">
        <v>59.3</v>
      </c>
      <c r="C215" s="10">
        <v>59.04</v>
      </c>
      <c r="D215" s="10">
        <v>58.74</v>
      </c>
      <c r="E215" s="10">
        <v>58.53</v>
      </c>
      <c r="F215" s="10">
        <v>58.36</v>
      </c>
      <c r="G215" s="10">
        <v>58.21</v>
      </c>
      <c r="H215" s="10">
        <v>58.04</v>
      </c>
      <c r="I215" s="10">
        <v>57.87</v>
      </c>
      <c r="J215" s="10">
        <v>57.69</v>
      </c>
      <c r="K215" s="10">
        <v>57.49</v>
      </c>
      <c r="L215" s="10">
        <v>57.31</v>
      </c>
      <c r="M215" s="10">
        <v>57.13</v>
      </c>
      <c r="N215" s="10">
        <v>52.64</v>
      </c>
      <c r="O215" s="10">
        <v>52.86</v>
      </c>
      <c r="P215" s="10">
        <v>53</v>
      </c>
      <c r="Q215" s="10">
        <v>53.1</v>
      </c>
      <c r="R215" s="10">
        <v>53.15</v>
      </c>
      <c r="S215" s="10">
        <v>53.13</v>
      </c>
      <c r="T215" s="10">
        <v>53.06</v>
      </c>
      <c r="U215" s="10">
        <v>52.93</v>
      </c>
      <c r="V215" s="10">
        <v>52.78</v>
      </c>
      <c r="W215" s="10">
        <v>52.63</v>
      </c>
      <c r="X215" s="10">
        <v>52.47</v>
      </c>
      <c r="Y215" s="10">
        <v>52.32</v>
      </c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</row>
    <row r="216" spans="1:147" x14ac:dyDescent="0.3">
      <c r="A216" s="9">
        <f>DATE(2017, 10, 27)</f>
        <v>43035</v>
      </c>
      <c r="B216" s="10">
        <v>60.44</v>
      </c>
      <c r="C216" s="10">
        <v>60.13</v>
      </c>
      <c r="D216" s="10">
        <v>59.81</v>
      </c>
      <c r="E216" s="10">
        <v>59.58</v>
      </c>
      <c r="F216" s="10">
        <v>59.39</v>
      </c>
      <c r="G216" s="10">
        <v>59.22</v>
      </c>
      <c r="H216" s="10">
        <v>59.02</v>
      </c>
      <c r="I216" s="10">
        <v>58.83</v>
      </c>
      <c r="J216" s="10">
        <v>58.64</v>
      </c>
      <c r="K216" s="10">
        <v>58.42</v>
      </c>
      <c r="L216" s="10">
        <v>58.22</v>
      </c>
      <c r="M216" s="10">
        <v>58.03</v>
      </c>
      <c r="N216" s="10">
        <v>53.9</v>
      </c>
      <c r="O216" s="10">
        <v>54.09</v>
      </c>
      <c r="P216" s="10">
        <v>54.18</v>
      </c>
      <c r="Q216" s="10">
        <v>54.21</v>
      </c>
      <c r="R216" s="10">
        <v>54.2</v>
      </c>
      <c r="S216" s="10">
        <v>54.13</v>
      </c>
      <c r="T216" s="10">
        <v>54.01</v>
      </c>
      <c r="U216" s="10">
        <v>53.83</v>
      </c>
      <c r="V216" s="10">
        <v>53.64</v>
      </c>
      <c r="W216" s="10">
        <v>53.45</v>
      </c>
      <c r="X216" s="10">
        <v>53.26</v>
      </c>
      <c r="Y216" s="10">
        <v>53.07</v>
      </c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</row>
    <row r="217" spans="1:147" x14ac:dyDescent="0.3">
      <c r="A217" s="9">
        <f>DATE(2017, 10, 30)</f>
        <v>43038</v>
      </c>
      <c r="B217" s="10">
        <v>60.9</v>
      </c>
      <c r="C217" s="10">
        <v>60.59</v>
      </c>
      <c r="D217" s="10">
        <v>60.31</v>
      </c>
      <c r="E217" s="10">
        <v>60.1</v>
      </c>
      <c r="F217" s="10">
        <v>59.91</v>
      </c>
      <c r="G217" s="10">
        <v>59.74</v>
      </c>
      <c r="H217" s="10">
        <v>59.54</v>
      </c>
      <c r="I217" s="10">
        <v>59.35</v>
      </c>
      <c r="J217" s="10">
        <v>59.14</v>
      </c>
      <c r="K217" s="10">
        <v>58.9</v>
      </c>
      <c r="L217" s="10">
        <v>58.69</v>
      </c>
      <c r="M217" s="10">
        <v>58.48</v>
      </c>
      <c r="N217" s="10">
        <v>54.15</v>
      </c>
      <c r="O217" s="10">
        <v>54.37</v>
      </c>
      <c r="P217" s="10">
        <v>54.48</v>
      </c>
      <c r="Q217" s="10">
        <v>54.53</v>
      </c>
      <c r="R217" s="10">
        <v>54.51</v>
      </c>
      <c r="S217" s="10">
        <v>54.41</v>
      </c>
      <c r="T217" s="10">
        <v>54.26</v>
      </c>
      <c r="U217" s="10">
        <v>54.06</v>
      </c>
      <c r="V217" s="10">
        <v>53.85</v>
      </c>
      <c r="W217" s="10">
        <v>53.63</v>
      </c>
      <c r="X217" s="10">
        <v>53.42</v>
      </c>
      <c r="Y217" s="10">
        <v>53.22</v>
      </c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</row>
    <row r="218" spans="1:147" x14ac:dyDescent="0.3">
      <c r="A218" s="9">
        <f>DATE(2017, 10, 31)</f>
        <v>43039</v>
      </c>
      <c r="B218" s="10">
        <v>61.37</v>
      </c>
      <c r="C218" s="10">
        <v>60.94</v>
      </c>
      <c r="D218" s="10">
        <v>60.66</v>
      </c>
      <c r="E218" s="10">
        <v>60.44</v>
      </c>
      <c r="F218" s="10">
        <v>60.24</v>
      </c>
      <c r="G218" s="10">
        <v>60.06</v>
      </c>
      <c r="H218" s="10">
        <v>59.84</v>
      </c>
      <c r="I218" s="10">
        <v>59.63</v>
      </c>
      <c r="J218" s="10">
        <v>59.4</v>
      </c>
      <c r="K218" s="10">
        <v>59.15</v>
      </c>
      <c r="L218" s="10">
        <v>58.92</v>
      </c>
      <c r="M218" s="10">
        <v>58.69</v>
      </c>
      <c r="N218" s="10">
        <v>54.38</v>
      </c>
      <c r="O218" s="10">
        <v>54.59</v>
      </c>
      <c r="P218" s="10">
        <v>54.69</v>
      </c>
      <c r="Q218" s="10">
        <v>54.72</v>
      </c>
      <c r="R218" s="10">
        <v>54.67</v>
      </c>
      <c r="S218" s="10">
        <v>54.54</v>
      </c>
      <c r="T218" s="10">
        <v>54.36</v>
      </c>
      <c r="U218" s="10">
        <v>54.14</v>
      </c>
      <c r="V218" s="10">
        <v>53.9</v>
      </c>
      <c r="W218" s="10">
        <v>53.66</v>
      </c>
      <c r="X218" s="10">
        <v>53.43</v>
      </c>
      <c r="Y218" s="10">
        <v>53.21</v>
      </c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</row>
    <row r="219" spans="1:147" x14ac:dyDescent="0.3">
      <c r="A219" s="9">
        <f>DATE(2017, 11, 1)</f>
        <v>43040</v>
      </c>
      <c r="B219" s="10">
        <v>60.49</v>
      </c>
      <c r="C219" s="10">
        <v>60.23</v>
      </c>
      <c r="D219" s="10">
        <v>59.99</v>
      </c>
      <c r="E219" s="10">
        <v>59.78</v>
      </c>
      <c r="F219" s="10">
        <v>59.6</v>
      </c>
      <c r="G219" s="10">
        <v>59.4</v>
      </c>
      <c r="H219" s="10">
        <v>59.18</v>
      </c>
      <c r="I219" s="10">
        <v>58.94</v>
      </c>
      <c r="J219" s="10">
        <v>58.68</v>
      </c>
      <c r="K219" s="10">
        <v>58.44</v>
      </c>
      <c r="L219" s="10">
        <v>58.2</v>
      </c>
      <c r="M219" s="10">
        <v>57.97</v>
      </c>
      <c r="N219" s="10">
        <v>54.3</v>
      </c>
      <c r="O219" s="10">
        <v>54.51</v>
      </c>
      <c r="P219" s="10">
        <v>54.62</v>
      </c>
      <c r="Q219" s="10">
        <v>54.66</v>
      </c>
      <c r="R219" s="10">
        <v>54.6</v>
      </c>
      <c r="S219" s="10">
        <v>54.47</v>
      </c>
      <c r="T219" s="10">
        <v>54.27</v>
      </c>
      <c r="U219" s="10">
        <v>54.02</v>
      </c>
      <c r="V219" s="10">
        <v>53.75</v>
      </c>
      <c r="W219" s="10">
        <v>53.48</v>
      </c>
      <c r="X219" s="10">
        <v>53.22</v>
      </c>
      <c r="Y219" s="10">
        <v>52.97</v>
      </c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</row>
    <row r="220" spans="1:147" x14ac:dyDescent="0.3">
      <c r="A220" s="9">
        <f>DATE(2017, 11, 2)</f>
        <v>43041</v>
      </c>
      <c r="B220" s="10">
        <v>60.62</v>
      </c>
      <c r="C220" s="10">
        <v>60.37</v>
      </c>
      <c r="D220" s="10">
        <v>60.11</v>
      </c>
      <c r="E220" s="10">
        <v>59.89</v>
      </c>
      <c r="F220" s="10">
        <v>59.7</v>
      </c>
      <c r="G220" s="10">
        <v>59.48</v>
      </c>
      <c r="H220" s="10">
        <v>59.25</v>
      </c>
      <c r="I220" s="10">
        <v>58.99</v>
      </c>
      <c r="J220" s="10">
        <v>58.71</v>
      </c>
      <c r="K220" s="10">
        <v>58.44</v>
      </c>
      <c r="L220" s="10">
        <v>58.18</v>
      </c>
      <c r="M220" s="10">
        <v>57.92</v>
      </c>
      <c r="N220" s="10">
        <v>54.54</v>
      </c>
      <c r="O220" s="10">
        <v>54.77</v>
      </c>
      <c r="P220" s="10">
        <v>54.89</v>
      </c>
      <c r="Q220" s="10">
        <v>54.93</v>
      </c>
      <c r="R220" s="10">
        <v>54.89</v>
      </c>
      <c r="S220" s="10">
        <v>54.77</v>
      </c>
      <c r="T220" s="10">
        <v>54.58</v>
      </c>
      <c r="U220" s="10">
        <v>54.33</v>
      </c>
      <c r="V220" s="10">
        <v>54.05</v>
      </c>
      <c r="W220" s="10">
        <v>53.77</v>
      </c>
      <c r="X220" s="10">
        <v>53.5</v>
      </c>
      <c r="Y220" s="10">
        <v>53.23</v>
      </c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</row>
    <row r="221" spans="1:147" x14ac:dyDescent="0.3">
      <c r="A221" s="9">
        <f>DATE(2017, 11, 3)</f>
        <v>43042</v>
      </c>
      <c r="B221" s="10">
        <v>62.07</v>
      </c>
      <c r="C221" s="10">
        <v>61.8</v>
      </c>
      <c r="D221" s="10">
        <v>61.52</v>
      </c>
      <c r="E221" s="10">
        <v>61.28</v>
      </c>
      <c r="F221" s="10">
        <v>61.06</v>
      </c>
      <c r="G221" s="10">
        <v>60.81</v>
      </c>
      <c r="H221" s="10">
        <v>60.54</v>
      </c>
      <c r="I221" s="10">
        <v>60.24</v>
      </c>
      <c r="J221" s="10">
        <v>59.92</v>
      </c>
      <c r="K221" s="10">
        <v>59.61</v>
      </c>
      <c r="L221" s="10">
        <v>59.3</v>
      </c>
      <c r="M221" s="10">
        <v>58.99</v>
      </c>
      <c r="N221" s="10">
        <v>55.64</v>
      </c>
      <c r="O221" s="10">
        <v>55.86</v>
      </c>
      <c r="P221" s="10">
        <v>55.98</v>
      </c>
      <c r="Q221" s="10">
        <v>56.02</v>
      </c>
      <c r="R221" s="10">
        <v>55.96</v>
      </c>
      <c r="S221" s="10">
        <v>55.81</v>
      </c>
      <c r="T221" s="10">
        <v>55.58</v>
      </c>
      <c r="U221" s="10">
        <v>55.3</v>
      </c>
      <c r="V221" s="10">
        <v>54.99</v>
      </c>
      <c r="W221" s="10">
        <v>54.67</v>
      </c>
      <c r="X221" s="10">
        <v>54.36</v>
      </c>
      <c r="Y221" s="10">
        <v>54.06</v>
      </c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</row>
    <row r="222" spans="1:147" x14ac:dyDescent="0.3">
      <c r="A222" s="9">
        <f>DATE(2017, 11, 6)</f>
        <v>43045</v>
      </c>
      <c r="B222" s="10">
        <v>64.27</v>
      </c>
      <c r="C222" s="10">
        <v>63.96</v>
      </c>
      <c r="D222" s="10">
        <v>63.63</v>
      </c>
      <c r="E222" s="10">
        <v>63.35</v>
      </c>
      <c r="F222" s="10">
        <v>63.09</v>
      </c>
      <c r="G222" s="10">
        <v>62.79</v>
      </c>
      <c r="H222" s="10">
        <v>62.47</v>
      </c>
      <c r="I222" s="10">
        <v>62.13</v>
      </c>
      <c r="J222" s="10">
        <v>61.77</v>
      </c>
      <c r="K222" s="10">
        <v>61.42</v>
      </c>
      <c r="L222" s="10">
        <v>61.06</v>
      </c>
      <c r="M222" s="10">
        <v>60.72</v>
      </c>
      <c r="N222" s="10">
        <v>57.35</v>
      </c>
      <c r="O222" s="10">
        <v>57.57</v>
      </c>
      <c r="P222" s="10">
        <v>57.7</v>
      </c>
      <c r="Q222" s="10">
        <v>57.72</v>
      </c>
      <c r="R222" s="10">
        <v>57.65</v>
      </c>
      <c r="S222" s="10">
        <v>57.48</v>
      </c>
      <c r="T222" s="10">
        <v>57.21</v>
      </c>
      <c r="U222" s="10">
        <v>56.88</v>
      </c>
      <c r="V222" s="10">
        <v>56.51</v>
      </c>
      <c r="W222" s="10">
        <v>56.13</v>
      </c>
      <c r="X222" s="10">
        <v>55.76</v>
      </c>
      <c r="Y222" s="10">
        <v>55.39</v>
      </c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</row>
    <row r="223" spans="1:147" x14ac:dyDescent="0.3">
      <c r="A223" s="9">
        <f>DATE(2017, 11, 7)</f>
        <v>43046</v>
      </c>
      <c r="B223" s="10">
        <v>63.69</v>
      </c>
      <c r="C223" s="10">
        <v>63.47</v>
      </c>
      <c r="D223" s="10">
        <v>63.21</v>
      </c>
      <c r="E223" s="10">
        <v>62.99</v>
      </c>
      <c r="F223" s="10">
        <v>62.79</v>
      </c>
      <c r="G223" s="10">
        <v>62.55</v>
      </c>
      <c r="H223" s="10">
        <v>62.27</v>
      </c>
      <c r="I223" s="10">
        <v>61.97</v>
      </c>
      <c r="J223" s="10">
        <v>61.64</v>
      </c>
      <c r="K223" s="10">
        <v>61.3</v>
      </c>
      <c r="L223" s="10">
        <v>60.96</v>
      </c>
      <c r="M223" s="10">
        <v>60.62</v>
      </c>
      <c r="N223" s="10">
        <v>57.2</v>
      </c>
      <c r="O223" s="10">
        <v>57.43</v>
      </c>
      <c r="P223" s="10">
        <v>57.59</v>
      </c>
      <c r="Q223" s="10">
        <v>57.63</v>
      </c>
      <c r="R223" s="10">
        <v>57.59</v>
      </c>
      <c r="S223" s="10">
        <v>57.45</v>
      </c>
      <c r="T223" s="10">
        <v>57.21</v>
      </c>
      <c r="U223" s="10">
        <v>56.9</v>
      </c>
      <c r="V223" s="10">
        <v>56.56</v>
      </c>
      <c r="W223" s="10">
        <v>56.2</v>
      </c>
      <c r="X223" s="10">
        <v>55.84</v>
      </c>
      <c r="Y223" s="10">
        <v>55.48</v>
      </c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</row>
    <row r="224" spans="1:147" x14ac:dyDescent="0.3">
      <c r="A224" s="9">
        <f>DATE(2017, 11, 8)</f>
        <v>43047</v>
      </c>
      <c r="B224" s="10">
        <v>63.49</v>
      </c>
      <c r="C224" s="10">
        <v>63.28</v>
      </c>
      <c r="D224" s="10">
        <v>63.02</v>
      </c>
      <c r="E224" s="10">
        <v>62.8</v>
      </c>
      <c r="F224" s="10">
        <v>62.61</v>
      </c>
      <c r="G224" s="10">
        <v>62.39</v>
      </c>
      <c r="H224" s="10">
        <v>62.15</v>
      </c>
      <c r="I224" s="10">
        <v>61.89</v>
      </c>
      <c r="J224" s="10">
        <v>61.6</v>
      </c>
      <c r="K224" s="10">
        <v>61.3</v>
      </c>
      <c r="L224" s="10">
        <v>60.99</v>
      </c>
      <c r="M224" s="10">
        <v>60.69</v>
      </c>
      <c r="N224" s="10">
        <v>56.81</v>
      </c>
      <c r="O224" s="10">
        <v>57.05</v>
      </c>
      <c r="P224" s="10">
        <v>57.22</v>
      </c>
      <c r="Q224" s="10">
        <v>57.32</v>
      </c>
      <c r="R224" s="10">
        <v>57.33</v>
      </c>
      <c r="S224" s="10">
        <v>57.24</v>
      </c>
      <c r="T224" s="10">
        <v>57.05</v>
      </c>
      <c r="U224" s="10">
        <v>56.78</v>
      </c>
      <c r="V224" s="10">
        <v>56.47</v>
      </c>
      <c r="W224" s="10">
        <v>56.15</v>
      </c>
      <c r="X224" s="10">
        <v>55.82</v>
      </c>
      <c r="Y224" s="10">
        <v>55.5</v>
      </c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</row>
    <row r="225" spans="1:147" x14ac:dyDescent="0.3">
      <c r="A225" s="9">
        <f>DATE(2017, 11, 9)</f>
        <v>43048</v>
      </c>
      <c r="B225" s="10">
        <v>63.93</v>
      </c>
      <c r="C225" s="10">
        <v>63.74</v>
      </c>
      <c r="D225" s="10">
        <v>63.49</v>
      </c>
      <c r="E225" s="10">
        <v>63.28</v>
      </c>
      <c r="F225" s="10">
        <v>63.1</v>
      </c>
      <c r="G225" s="10">
        <v>62.89</v>
      </c>
      <c r="H225" s="10">
        <v>62.66</v>
      </c>
      <c r="I225" s="10">
        <v>62.39</v>
      </c>
      <c r="J225" s="10">
        <v>62.1</v>
      </c>
      <c r="K225" s="10">
        <v>61.78</v>
      </c>
      <c r="L225" s="10">
        <v>61.46</v>
      </c>
      <c r="M225" s="10">
        <v>61.14</v>
      </c>
      <c r="N225" s="10">
        <v>57.17</v>
      </c>
      <c r="O225" s="10">
        <v>57.39</v>
      </c>
      <c r="P225" s="10">
        <v>57.56</v>
      </c>
      <c r="Q225" s="10">
        <v>57.65</v>
      </c>
      <c r="R225" s="10">
        <v>57.67</v>
      </c>
      <c r="S225" s="10">
        <v>57.58</v>
      </c>
      <c r="T225" s="10">
        <v>57.38</v>
      </c>
      <c r="U225" s="10">
        <v>57.11</v>
      </c>
      <c r="V225" s="10">
        <v>56.8</v>
      </c>
      <c r="W225" s="10">
        <v>56.46</v>
      </c>
      <c r="X225" s="10">
        <v>56.12</v>
      </c>
      <c r="Y225" s="10">
        <v>55.78</v>
      </c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</row>
    <row r="226" spans="1:147" x14ac:dyDescent="0.3">
      <c r="A226" s="9">
        <f>DATE(2017, 11, 10)</f>
        <v>43049</v>
      </c>
      <c r="B226" s="10">
        <v>63.52</v>
      </c>
      <c r="C226" s="10">
        <v>63.41</v>
      </c>
      <c r="D226" s="10">
        <v>63.22</v>
      </c>
      <c r="E226" s="10">
        <v>63.06</v>
      </c>
      <c r="F226" s="10">
        <v>62.92</v>
      </c>
      <c r="G226" s="10">
        <v>62.76</v>
      </c>
      <c r="H226" s="10">
        <v>62.58</v>
      </c>
      <c r="I226" s="10">
        <v>62.36</v>
      </c>
      <c r="J226" s="10">
        <v>62.11</v>
      </c>
      <c r="K226" s="10">
        <v>61.82</v>
      </c>
      <c r="L226" s="10">
        <v>61.52</v>
      </c>
      <c r="M226" s="10">
        <v>61.22</v>
      </c>
      <c r="N226" s="10">
        <v>56.74</v>
      </c>
      <c r="O226" s="10">
        <v>56.98</v>
      </c>
      <c r="P226" s="10">
        <v>57.16</v>
      </c>
      <c r="Q226" s="10">
        <v>57.28</v>
      </c>
      <c r="R226" s="10">
        <v>57.33</v>
      </c>
      <c r="S226" s="10">
        <v>57.28</v>
      </c>
      <c r="T226" s="10">
        <v>57.13</v>
      </c>
      <c r="U226" s="10">
        <v>56.91</v>
      </c>
      <c r="V226" s="10">
        <v>56.64</v>
      </c>
      <c r="W226" s="10">
        <v>56.34</v>
      </c>
      <c r="X226" s="10">
        <v>56.04</v>
      </c>
      <c r="Y226" s="10">
        <v>55.74</v>
      </c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</row>
    <row r="227" spans="1:147" x14ac:dyDescent="0.3">
      <c r="A227" s="9">
        <f>DATE(2017, 11, 13)</f>
        <v>43052</v>
      </c>
      <c r="B227" s="10">
        <v>63.16</v>
      </c>
      <c r="C227" s="10">
        <v>63.1</v>
      </c>
      <c r="D227" s="10">
        <v>62.97</v>
      </c>
      <c r="E227" s="10">
        <v>62.84</v>
      </c>
      <c r="F227" s="10">
        <v>62.72</v>
      </c>
      <c r="G227" s="10">
        <v>62.58</v>
      </c>
      <c r="H227" s="10">
        <v>62.43</v>
      </c>
      <c r="I227" s="10">
        <v>62.24</v>
      </c>
      <c r="J227" s="10">
        <v>62.01</v>
      </c>
      <c r="K227" s="10">
        <v>61.74</v>
      </c>
      <c r="L227" s="10">
        <v>61.46</v>
      </c>
      <c r="M227" s="10">
        <v>61.17</v>
      </c>
      <c r="N227" s="10">
        <v>56.76</v>
      </c>
      <c r="O227" s="10">
        <v>56.97</v>
      </c>
      <c r="P227" s="10">
        <v>57.13</v>
      </c>
      <c r="Q227" s="10">
        <v>57.27</v>
      </c>
      <c r="R227" s="10">
        <v>57.34</v>
      </c>
      <c r="S227" s="10">
        <v>57.31</v>
      </c>
      <c r="T227" s="10">
        <v>57.18</v>
      </c>
      <c r="U227" s="10">
        <v>56.98</v>
      </c>
      <c r="V227" s="10">
        <v>56.74</v>
      </c>
      <c r="W227" s="10">
        <v>56.47</v>
      </c>
      <c r="X227" s="10">
        <v>56.18</v>
      </c>
      <c r="Y227" s="10">
        <v>55.89</v>
      </c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</row>
    <row r="228" spans="1:147" x14ac:dyDescent="0.3">
      <c r="A228" s="9">
        <f>DATE(2017, 11, 14)</f>
        <v>43053</v>
      </c>
      <c r="B228" s="10">
        <v>62.21</v>
      </c>
      <c r="C228" s="10">
        <v>62.06</v>
      </c>
      <c r="D228" s="10">
        <v>61.87</v>
      </c>
      <c r="E228" s="10">
        <v>61.69</v>
      </c>
      <c r="F228" s="10">
        <v>61.53</v>
      </c>
      <c r="G228" s="10">
        <v>61.36</v>
      </c>
      <c r="H228" s="10">
        <v>61.18</v>
      </c>
      <c r="I228" s="10">
        <v>60.98</v>
      </c>
      <c r="J228" s="10">
        <v>60.74</v>
      </c>
      <c r="K228" s="10">
        <v>60.48</v>
      </c>
      <c r="L228" s="10">
        <v>60.2</v>
      </c>
      <c r="M228" s="10">
        <v>59.93</v>
      </c>
      <c r="N228" s="10">
        <v>55.7</v>
      </c>
      <c r="O228" s="10">
        <v>55.89</v>
      </c>
      <c r="P228" s="10">
        <v>56.03</v>
      </c>
      <c r="Q228" s="10">
        <v>56.16</v>
      </c>
      <c r="R228" s="10">
        <v>56.22</v>
      </c>
      <c r="S228" s="10">
        <v>56.19</v>
      </c>
      <c r="T228" s="10">
        <v>56.07</v>
      </c>
      <c r="U228" s="10">
        <v>55.87</v>
      </c>
      <c r="V228" s="10">
        <v>55.62</v>
      </c>
      <c r="W228" s="10">
        <v>55.35</v>
      </c>
      <c r="X228" s="10">
        <v>55.07</v>
      </c>
      <c r="Y228" s="10">
        <v>54.8</v>
      </c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</row>
    <row r="229" spans="1:147" x14ac:dyDescent="0.3">
      <c r="A229" s="9">
        <f>DATE(2017, 11, 15)</f>
        <v>43054</v>
      </c>
      <c r="B229" s="10">
        <v>61.87</v>
      </c>
      <c r="C229" s="10">
        <v>61.76</v>
      </c>
      <c r="D229" s="10">
        <v>61.57</v>
      </c>
      <c r="E229" s="10">
        <v>61.41</v>
      </c>
      <c r="F229" s="10">
        <v>61.27</v>
      </c>
      <c r="G229" s="10">
        <v>61.12</v>
      </c>
      <c r="H229" s="10">
        <v>60.95</v>
      </c>
      <c r="I229" s="10">
        <v>60.76</v>
      </c>
      <c r="J229" s="10">
        <v>60.54</v>
      </c>
      <c r="K229" s="10">
        <v>60.29</v>
      </c>
      <c r="L229" s="10">
        <v>60.02</v>
      </c>
      <c r="M229" s="10">
        <v>59.76</v>
      </c>
      <c r="N229" s="10">
        <v>55.33</v>
      </c>
      <c r="O229" s="10">
        <v>55.52</v>
      </c>
      <c r="P229" s="10">
        <v>55.66</v>
      </c>
      <c r="Q229" s="10">
        <v>55.79</v>
      </c>
      <c r="R229" s="10">
        <v>55.87</v>
      </c>
      <c r="S229" s="10">
        <v>55.86</v>
      </c>
      <c r="T229" s="10">
        <v>55.76</v>
      </c>
      <c r="U229" s="10">
        <v>55.56</v>
      </c>
      <c r="V229" s="10">
        <v>55.31</v>
      </c>
      <c r="W229" s="10">
        <v>55.05</v>
      </c>
      <c r="X229" s="10">
        <v>54.78</v>
      </c>
      <c r="Y229" s="10">
        <v>54.51</v>
      </c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</row>
    <row r="230" spans="1:147" x14ac:dyDescent="0.3">
      <c r="A230" s="9">
        <f>DATE(2017, 11, 16)</f>
        <v>43055</v>
      </c>
      <c r="B230" s="10">
        <v>61.36</v>
      </c>
      <c r="C230" s="10">
        <v>61.29</v>
      </c>
      <c r="D230" s="10">
        <v>61.13</v>
      </c>
      <c r="E230" s="10">
        <v>60.98</v>
      </c>
      <c r="F230" s="10">
        <v>60.85</v>
      </c>
      <c r="G230" s="10">
        <v>60.7</v>
      </c>
      <c r="H230" s="10">
        <v>60.55</v>
      </c>
      <c r="I230" s="10">
        <v>60.36</v>
      </c>
      <c r="J230" s="10">
        <v>60.13</v>
      </c>
      <c r="K230" s="10">
        <v>59.88</v>
      </c>
      <c r="L230" s="10">
        <v>59.61</v>
      </c>
      <c r="M230" s="10">
        <v>59.34</v>
      </c>
      <c r="N230" s="10">
        <v>55.14</v>
      </c>
      <c r="O230" s="10">
        <v>55.35</v>
      </c>
      <c r="P230" s="10">
        <v>55.49</v>
      </c>
      <c r="Q230" s="10">
        <v>55.6</v>
      </c>
      <c r="R230" s="10">
        <v>55.69</v>
      </c>
      <c r="S230" s="10">
        <v>55.67</v>
      </c>
      <c r="T230" s="10">
        <v>55.57</v>
      </c>
      <c r="U230" s="10">
        <v>55.37</v>
      </c>
      <c r="V230" s="10">
        <v>55.12</v>
      </c>
      <c r="W230" s="10">
        <v>54.85</v>
      </c>
      <c r="X230" s="10">
        <v>54.57</v>
      </c>
      <c r="Y230" s="10">
        <v>54.3</v>
      </c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</row>
    <row r="231" spans="1:147" x14ac:dyDescent="0.3">
      <c r="A231" s="9">
        <f>DATE(2017, 11, 17)</f>
        <v>43056</v>
      </c>
      <c r="B231" s="10">
        <v>62.72</v>
      </c>
      <c r="C231" s="10">
        <v>62.55</v>
      </c>
      <c r="D231" s="10">
        <v>62.33</v>
      </c>
      <c r="E231" s="10">
        <v>62.13</v>
      </c>
      <c r="F231" s="10">
        <v>61.95</v>
      </c>
      <c r="G231" s="10">
        <v>61.77</v>
      </c>
      <c r="H231" s="10">
        <v>61.58</v>
      </c>
      <c r="I231" s="10">
        <v>61.35</v>
      </c>
      <c r="J231" s="10">
        <v>61.08</v>
      </c>
      <c r="K231" s="10">
        <v>60.77</v>
      </c>
      <c r="L231" s="10">
        <v>60.46</v>
      </c>
      <c r="M231" s="10">
        <v>60.14</v>
      </c>
      <c r="N231" s="10">
        <v>56.55</v>
      </c>
      <c r="O231" s="10">
        <v>56.71</v>
      </c>
      <c r="P231" s="10">
        <v>56.81</v>
      </c>
      <c r="Q231" s="10">
        <v>56.87</v>
      </c>
      <c r="R231" s="10">
        <v>56.89</v>
      </c>
      <c r="S231" s="10">
        <v>56.81</v>
      </c>
      <c r="T231" s="10">
        <v>56.65</v>
      </c>
      <c r="U231" s="10">
        <v>56.39</v>
      </c>
      <c r="V231" s="10">
        <v>56.09</v>
      </c>
      <c r="W231" s="10">
        <v>55.77</v>
      </c>
      <c r="X231" s="10">
        <v>55.44</v>
      </c>
      <c r="Y231" s="10">
        <v>55.12</v>
      </c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</row>
    <row r="232" spans="1:147" x14ac:dyDescent="0.3">
      <c r="A232" s="9">
        <f>DATE(2017, 11, 20)</f>
        <v>43059</v>
      </c>
      <c r="B232" s="10">
        <v>62.22</v>
      </c>
      <c r="C232" s="10">
        <v>62.06</v>
      </c>
      <c r="D232" s="10">
        <v>61.86</v>
      </c>
      <c r="E232" s="10">
        <v>61.68</v>
      </c>
      <c r="F232" s="10">
        <v>61.53</v>
      </c>
      <c r="G232" s="10">
        <v>61.36</v>
      </c>
      <c r="H232" s="10">
        <v>61.18</v>
      </c>
      <c r="I232" s="10">
        <v>60.96</v>
      </c>
      <c r="J232" s="10">
        <v>60.69</v>
      </c>
      <c r="K232" s="10">
        <v>60.38</v>
      </c>
      <c r="L232" s="10">
        <v>60.06</v>
      </c>
      <c r="M232" s="10">
        <v>59.75</v>
      </c>
      <c r="N232" s="10">
        <v>56.09</v>
      </c>
      <c r="O232" s="10">
        <v>56.42</v>
      </c>
      <c r="P232" s="10">
        <v>56.53</v>
      </c>
      <c r="Q232" s="10">
        <v>56.6</v>
      </c>
      <c r="R232" s="10">
        <v>56.6</v>
      </c>
      <c r="S232" s="10">
        <v>56.53</v>
      </c>
      <c r="T232" s="10">
        <v>56.36</v>
      </c>
      <c r="U232" s="10">
        <v>56.11</v>
      </c>
      <c r="V232" s="10">
        <v>55.81</v>
      </c>
      <c r="W232" s="10">
        <v>55.5</v>
      </c>
      <c r="X232" s="10">
        <v>55.17</v>
      </c>
      <c r="Y232" s="10">
        <v>54.84</v>
      </c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</row>
    <row r="233" spans="1:147" x14ac:dyDescent="0.3">
      <c r="A233" s="9">
        <f>DATE(2017, 11, 21)</f>
        <v>43060</v>
      </c>
      <c r="B233" s="10">
        <v>62.57</v>
      </c>
      <c r="C233" s="10">
        <v>62.32</v>
      </c>
      <c r="D233" s="10">
        <v>62.09</v>
      </c>
      <c r="E233" s="10">
        <v>61.88</v>
      </c>
      <c r="F233" s="10">
        <v>61.7</v>
      </c>
      <c r="G233" s="10">
        <v>61.52</v>
      </c>
      <c r="H233" s="10">
        <v>61.32</v>
      </c>
      <c r="I233" s="10">
        <v>61.08</v>
      </c>
      <c r="J233" s="10">
        <v>60.79</v>
      </c>
      <c r="K233" s="10">
        <v>60.47</v>
      </c>
      <c r="L233" s="10">
        <v>60.14</v>
      </c>
      <c r="M233" s="10">
        <v>59.82</v>
      </c>
      <c r="N233" s="10">
        <v>56.83</v>
      </c>
      <c r="O233" s="10">
        <v>56.92</v>
      </c>
      <c r="P233" s="10">
        <v>56.96</v>
      </c>
      <c r="Q233" s="10">
        <v>56.92</v>
      </c>
      <c r="R233" s="10">
        <v>56.8</v>
      </c>
      <c r="S233" s="10">
        <v>56.57</v>
      </c>
      <c r="T233" s="10">
        <v>56.29</v>
      </c>
      <c r="U233" s="10">
        <v>55.95</v>
      </c>
      <c r="V233" s="10">
        <v>55.6</v>
      </c>
      <c r="W233" s="10">
        <v>55.26</v>
      </c>
      <c r="X233" s="10">
        <v>54.93</v>
      </c>
      <c r="Y233" s="10">
        <v>54.6</v>
      </c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</row>
    <row r="234" spans="1:147" x14ac:dyDescent="0.3">
      <c r="A234" s="9">
        <f>DATE(2017, 11, 22)</f>
        <v>43061</v>
      </c>
      <c r="B234" s="10">
        <v>63.32</v>
      </c>
      <c r="C234" s="10">
        <v>62.99</v>
      </c>
      <c r="D234" s="10">
        <v>62.72</v>
      </c>
      <c r="E234" s="10">
        <v>62.48</v>
      </c>
      <c r="F234" s="10">
        <v>62.26</v>
      </c>
      <c r="G234" s="10">
        <v>62.05</v>
      </c>
      <c r="H234" s="10">
        <v>61.83</v>
      </c>
      <c r="I234" s="10">
        <v>61.57</v>
      </c>
      <c r="J234" s="10">
        <v>61.26</v>
      </c>
      <c r="K234" s="10">
        <v>60.93</v>
      </c>
      <c r="L234" s="10">
        <v>60.59</v>
      </c>
      <c r="M234" s="10">
        <v>60.26</v>
      </c>
      <c r="N234" s="10">
        <v>58.02</v>
      </c>
      <c r="O234" s="10">
        <v>58.02</v>
      </c>
      <c r="P234" s="10">
        <v>57.94</v>
      </c>
      <c r="Q234" s="10">
        <v>57.78</v>
      </c>
      <c r="R234" s="10">
        <v>57.55</v>
      </c>
      <c r="S234" s="10">
        <v>57.24</v>
      </c>
      <c r="T234" s="10">
        <v>56.88</v>
      </c>
      <c r="U234" s="10">
        <v>56.5</v>
      </c>
      <c r="V234" s="10">
        <v>56.13</v>
      </c>
      <c r="W234" s="10">
        <v>55.79</v>
      </c>
      <c r="X234" s="10">
        <v>55.46</v>
      </c>
      <c r="Y234" s="10">
        <v>55.16</v>
      </c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</row>
    <row r="235" spans="1:147" x14ac:dyDescent="0.3">
      <c r="A235" s="9">
        <f>DATE(2017, 11, 23)</f>
        <v>43062</v>
      </c>
      <c r="B235" s="10">
        <v>63.55</v>
      </c>
      <c r="C235" s="10">
        <v>63.24</v>
      </c>
      <c r="D235" s="10">
        <v>62.97</v>
      </c>
      <c r="E235" s="10">
        <v>62.73</v>
      </c>
      <c r="F235" s="10">
        <v>62.52</v>
      </c>
      <c r="G235" s="10">
        <v>62.32</v>
      </c>
      <c r="H235" s="10">
        <v>62.11</v>
      </c>
      <c r="I235" s="10">
        <v>61.86</v>
      </c>
      <c r="J235" s="10">
        <v>61.57</v>
      </c>
      <c r="K235" s="10">
        <v>61.26</v>
      </c>
      <c r="L235" s="10">
        <v>60.93</v>
      </c>
      <c r="M235" s="10">
        <v>60.61</v>
      </c>
      <c r="N235" s="10">
        <v>58.02</v>
      </c>
      <c r="O235" s="10">
        <v>58.02</v>
      </c>
      <c r="P235" s="10">
        <v>57.94</v>
      </c>
      <c r="Q235" s="10">
        <v>57.78</v>
      </c>
      <c r="R235" s="10">
        <v>57.55</v>
      </c>
      <c r="S235" s="10">
        <v>57.24</v>
      </c>
      <c r="T235" s="10">
        <v>56.88</v>
      </c>
      <c r="U235" s="10">
        <v>56.5</v>
      </c>
      <c r="V235" s="10">
        <v>56.13</v>
      </c>
      <c r="W235" s="10">
        <v>55.79</v>
      </c>
      <c r="X235" s="10">
        <v>55.46</v>
      </c>
      <c r="Y235" s="10">
        <v>55.16</v>
      </c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</row>
    <row r="236" spans="1:147" x14ac:dyDescent="0.3">
      <c r="A236" s="9">
        <f>DATE(2017, 11, 24)</f>
        <v>43063</v>
      </c>
      <c r="B236" s="10">
        <v>63.86</v>
      </c>
      <c r="C236" s="10">
        <v>63.47</v>
      </c>
      <c r="D236" s="10">
        <v>63.18</v>
      </c>
      <c r="E236" s="10">
        <v>62.93</v>
      </c>
      <c r="F236" s="10">
        <v>62.71</v>
      </c>
      <c r="G236" s="10">
        <v>62.51</v>
      </c>
      <c r="H236" s="10">
        <v>62.29</v>
      </c>
      <c r="I236" s="10">
        <v>62.02</v>
      </c>
      <c r="J236" s="10">
        <v>61.71</v>
      </c>
      <c r="K236" s="10">
        <v>61.39</v>
      </c>
      <c r="L236" s="10">
        <v>61.06</v>
      </c>
      <c r="M236" s="10">
        <v>60.73</v>
      </c>
      <c r="N236" s="10">
        <v>58.95</v>
      </c>
      <c r="O236" s="10">
        <v>58.91</v>
      </c>
      <c r="P236" s="10">
        <v>58.73</v>
      </c>
      <c r="Q236" s="10">
        <v>58.48</v>
      </c>
      <c r="R236" s="10">
        <v>58.17</v>
      </c>
      <c r="S236" s="10">
        <v>57.81</v>
      </c>
      <c r="T236" s="10">
        <v>57.42</v>
      </c>
      <c r="U236" s="10">
        <v>57.04</v>
      </c>
      <c r="V236" s="10">
        <v>56.68</v>
      </c>
      <c r="W236" s="10">
        <v>56.34</v>
      </c>
      <c r="X236" s="10">
        <v>56.02</v>
      </c>
      <c r="Y236" s="10">
        <v>55.71</v>
      </c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</row>
    <row r="237" spans="1:147" x14ac:dyDescent="0.3">
      <c r="A237" s="9">
        <f>DATE(2017, 11, 27)</f>
        <v>43066</v>
      </c>
      <c r="B237" s="10">
        <v>63.84</v>
      </c>
      <c r="C237" s="10">
        <v>63.38</v>
      </c>
      <c r="D237" s="10">
        <v>63.09</v>
      </c>
      <c r="E237" s="10">
        <v>62.83</v>
      </c>
      <c r="F237" s="10">
        <v>62.61</v>
      </c>
      <c r="G237" s="10">
        <v>62.42</v>
      </c>
      <c r="H237" s="10">
        <v>62.22</v>
      </c>
      <c r="I237" s="10">
        <v>61.98</v>
      </c>
      <c r="J237" s="10">
        <v>61.7</v>
      </c>
      <c r="K237" s="10">
        <v>61.4</v>
      </c>
      <c r="L237" s="10">
        <v>61.1</v>
      </c>
      <c r="M237" s="10">
        <v>60.8</v>
      </c>
      <c r="N237" s="10">
        <v>58.11</v>
      </c>
      <c r="O237" s="10">
        <v>58.16</v>
      </c>
      <c r="P237" s="10">
        <v>58.08</v>
      </c>
      <c r="Q237" s="10">
        <v>57.92</v>
      </c>
      <c r="R237" s="10">
        <v>57.7</v>
      </c>
      <c r="S237" s="10">
        <v>57.41</v>
      </c>
      <c r="T237" s="10">
        <v>57.1</v>
      </c>
      <c r="U237" s="10">
        <v>56.78</v>
      </c>
      <c r="V237" s="10">
        <v>56.45</v>
      </c>
      <c r="W237" s="10">
        <v>56.15</v>
      </c>
      <c r="X237" s="10">
        <v>55.88</v>
      </c>
      <c r="Y237" s="10">
        <v>55.6</v>
      </c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</row>
    <row r="238" spans="1:147" x14ac:dyDescent="0.3">
      <c r="A238" s="9">
        <f>DATE(2017, 11, 28)</f>
        <v>43067</v>
      </c>
      <c r="B238" s="10">
        <v>63.61</v>
      </c>
      <c r="C238" s="10">
        <v>63.24</v>
      </c>
      <c r="D238" s="10">
        <v>62.99</v>
      </c>
      <c r="E238" s="10">
        <v>62.75</v>
      </c>
      <c r="F238" s="10">
        <v>62.55</v>
      </c>
      <c r="G238" s="10">
        <v>62.38</v>
      </c>
      <c r="H238" s="10">
        <v>62.19</v>
      </c>
      <c r="I238" s="10">
        <v>61.95</v>
      </c>
      <c r="J238" s="10">
        <v>61.67</v>
      </c>
      <c r="K238" s="10">
        <v>61.38</v>
      </c>
      <c r="L238" s="10">
        <v>61.08</v>
      </c>
      <c r="M238" s="10">
        <v>60.79</v>
      </c>
      <c r="N238" s="10">
        <v>57.99</v>
      </c>
      <c r="O238" s="10">
        <v>58.05</v>
      </c>
      <c r="P238" s="10">
        <v>58</v>
      </c>
      <c r="Q238" s="10">
        <v>57.88</v>
      </c>
      <c r="R238" s="10">
        <v>57.68</v>
      </c>
      <c r="S238" s="10">
        <v>57.4</v>
      </c>
      <c r="T238" s="10">
        <v>57.1</v>
      </c>
      <c r="U238" s="10">
        <v>56.75</v>
      </c>
      <c r="V238" s="10">
        <v>56.46</v>
      </c>
      <c r="W238" s="10">
        <v>56.15</v>
      </c>
      <c r="X238" s="10">
        <v>55.87</v>
      </c>
      <c r="Y238" s="10">
        <v>55.57</v>
      </c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</row>
    <row r="239" spans="1:147" x14ac:dyDescent="0.3">
      <c r="A239" s="9">
        <f>DATE(2017, 11, 29)</f>
        <v>43068</v>
      </c>
      <c r="B239" s="10">
        <v>63.11</v>
      </c>
      <c r="C239" s="10">
        <v>62.53</v>
      </c>
      <c r="D239" s="10">
        <v>62.24</v>
      </c>
      <c r="E239" s="10">
        <v>61.99</v>
      </c>
      <c r="F239" s="10">
        <v>61.78</v>
      </c>
      <c r="G239" s="10">
        <v>61.6</v>
      </c>
      <c r="H239" s="10">
        <v>61.4</v>
      </c>
      <c r="I239" s="10">
        <v>61.16</v>
      </c>
      <c r="J239" s="10">
        <v>60.89</v>
      </c>
      <c r="K239" s="10">
        <v>60.61</v>
      </c>
      <c r="L239" s="10">
        <v>60.33</v>
      </c>
      <c r="M239" s="10">
        <v>60.05</v>
      </c>
      <c r="N239" s="10">
        <v>57.3</v>
      </c>
      <c r="O239" s="10">
        <v>57.36</v>
      </c>
      <c r="P239" s="10">
        <v>57.31</v>
      </c>
      <c r="Q239" s="10">
        <v>57.2</v>
      </c>
      <c r="R239" s="10">
        <v>57.01</v>
      </c>
      <c r="S239" s="10">
        <v>56.75</v>
      </c>
      <c r="T239" s="10">
        <v>56.44</v>
      </c>
      <c r="U239" s="10">
        <v>56.12</v>
      </c>
      <c r="V239" s="10">
        <v>55.82</v>
      </c>
      <c r="W239" s="10">
        <v>55.53</v>
      </c>
      <c r="X239" s="10">
        <v>55.26</v>
      </c>
      <c r="Y239" s="10">
        <v>55</v>
      </c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</row>
    <row r="240" spans="1:147" x14ac:dyDescent="0.3">
      <c r="A240" s="9">
        <f>DATE(2017, 11, 30)</f>
        <v>43069</v>
      </c>
      <c r="B240" s="10">
        <v>63.57</v>
      </c>
      <c r="C240" s="10">
        <v>62.63</v>
      </c>
      <c r="D240" s="10">
        <v>62.34</v>
      </c>
      <c r="E240" s="10">
        <v>62.07</v>
      </c>
      <c r="F240" s="10">
        <v>61.84</v>
      </c>
      <c r="G240" s="10">
        <v>61.63</v>
      </c>
      <c r="H240" s="10">
        <v>61.4</v>
      </c>
      <c r="I240" s="10">
        <v>61.12</v>
      </c>
      <c r="J240" s="10">
        <v>60.82</v>
      </c>
      <c r="K240" s="10">
        <v>60.52</v>
      </c>
      <c r="L240" s="10">
        <v>60.22</v>
      </c>
      <c r="M240" s="10">
        <v>59.93</v>
      </c>
      <c r="N240" s="10">
        <v>57.4</v>
      </c>
      <c r="O240" s="10">
        <v>57.45</v>
      </c>
      <c r="P240" s="10">
        <v>57.4</v>
      </c>
      <c r="Q240" s="10">
        <v>57.28</v>
      </c>
      <c r="R240" s="10">
        <v>57.09</v>
      </c>
      <c r="S240" s="10">
        <v>56.82</v>
      </c>
      <c r="T240" s="10">
        <v>56.5</v>
      </c>
      <c r="U240" s="10">
        <v>56.17</v>
      </c>
      <c r="V240" s="10">
        <v>55.86</v>
      </c>
      <c r="W240" s="10">
        <v>55.55</v>
      </c>
      <c r="X240" s="10">
        <v>55.25</v>
      </c>
      <c r="Y240" s="10">
        <v>55</v>
      </c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</row>
    <row r="241" spans="1:147" x14ac:dyDescent="0.3">
      <c r="A241" s="9">
        <f>DATE(2017, 12, 1)</f>
        <v>43070</v>
      </c>
      <c r="B241" s="10">
        <v>63.73</v>
      </c>
      <c r="C241" s="10">
        <v>63.46</v>
      </c>
      <c r="D241" s="10">
        <v>63.19</v>
      </c>
      <c r="E241" s="10">
        <v>62.94</v>
      </c>
      <c r="F241" s="10">
        <v>62.71</v>
      </c>
      <c r="G241" s="10">
        <v>62.45</v>
      </c>
      <c r="H241" s="10">
        <v>62.15</v>
      </c>
      <c r="I241" s="10">
        <v>61.83</v>
      </c>
      <c r="J241" s="10">
        <v>61.5</v>
      </c>
      <c r="K241" s="10">
        <v>61.18</v>
      </c>
      <c r="L241" s="10">
        <v>60.85</v>
      </c>
      <c r="M241" s="10">
        <v>60.56</v>
      </c>
      <c r="N241" s="10">
        <v>58.36</v>
      </c>
      <c r="O241" s="10">
        <v>58.38</v>
      </c>
      <c r="P241" s="10">
        <v>58.31</v>
      </c>
      <c r="Q241" s="10">
        <v>58.17</v>
      </c>
      <c r="R241" s="10">
        <v>57.95</v>
      </c>
      <c r="S241" s="10">
        <v>57.66</v>
      </c>
      <c r="T241" s="10">
        <v>57.32</v>
      </c>
      <c r="U241" s="10">
        <v>56.96</v>
      </c>
      <c r="V241" s="10">
        <v>56.6</v>
      </c>
      <c r="W241" s="10">
        <v>56.26</v>
      </c>
      <c r="X241" s="10">
        <v>55.93</v>
      </c>
      <c r="Y241" s="10">
        <v>55.62</v>
      </c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</row>
    <row r="242" spans="1:147" x14ac:dyDescent="0.3">
      <c r="A242" s="9">
        <f>DATE(2017, 12, 4)</f>
        <v>43073</v>
      </c>
      <c r="B242" s="10">
        <v>62.45</v>
      </c>
      <c r="C242" s="10">
        <v>62.24</v>
      </c>
      <c r="D242" s="10">
        <v>62.04</v>
      </c>
      <c r="E242" s="10">
        <v>61.87</v>
      </c>
      <c r="F242" s="10">
        <v>61.7</v>
      </c>
      <c r="G242" s="10">
        <v>61.5</v>
      </c>
      <c r="H242" s="10">
        <v>61.26</v>
      </c>
      <c r="I242" s="10">
        <v>60.99</v>
      </c>
      <c r="J242" s="10">
        <v>60.71</v>
      </c>
      <c r="K242" s="10">
        <v>60.44</v>
      </c>
      <c r="L242" s="10">
        <v>60.16</v>
      </c>
      <c r="M242" s="10">
        <v>59.92</v>
      </c>
      <c r="N242" s="10">
        <v>57.47</v>
      </c>
      <c r="O242" s="10">
        <v>57.49</v>
      </c>
      <c r="P242" s="10">
        <v>57.42</v>
      </c>
      <c r="Q242" s="10">
        <v>57.31</v>
      </c>
      <c r="R242" s="10">
        <v>57.12</v>
      </c>
      <c r="S242" s="10">
        <v>56.87</v>
      </c>
      <c r="T242" s="10">
        <v>56.58</v>
      </c>
      <c r="U242" s="10">
        <v>56.27</v>
      </c>
      <c r="V242" s="10">
        <v>55.96</v>
      </c>
      <c r="W242" s="10">
        <v>55.66</v>
      </c>
      <c r="X242" s="10">
        <v>55.37</v>
      </c>
      <c r="Y242" s="10">
        <v>55.09</v>
      </c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</row>
    <row r="243" spans="1:147" x14ac:dyDescent="0.3">
      <c r="A243" s="9">
        <f>DATE(2017, 12, 5)</f>
        <v>43074</v>
      </c>
      <c r="B243" s="10">
        <v>62.86</v>
      </c>
      <c r="C243" s="10">
        <v>62.64</v>
      </c>
      <c r="D243" s="10">
        <v>62.43</v>
      </c>
      <c r="E243" s="10">
        <v>62.26</v>
      </c>
      <c r="F243" s="10">
        <v>62.1</v>
      </c>
      <c r="G243" s="10">
        <v>61.91</v>
      </c>
      <c r="H243" s="10">
        <v>61.68</v>
      </c>
      <c r="I243" s="10">
        <v>61.41</v>
      </c>
      <c r="J243" s="10">
        <v>61.14</v>
      </c>
      <c r="K243" s="10">
        <v>60.88</v>
      </c>
      <c r="L243" s="10">
        <v>60.6</v>
      </c>
      <c r="M243" s="10">
        <v>60.38</v>
      </c>
      <c r="N243" s="10">
        <v>57.62</v>
      </c>
      <c r="O243" s="10">
        <v>57.67</v>
      </c>
      <c r="P243" s="10">
        <v>57.65</v>
      </c>
      <c r="Q243" s="10">
        <v>57.58</v>
      </c>
      <c r="R243" s="10">
        <v>57.44</v>
      </c>
      <c r="S243" s="10">
        <v>57.21</v>
      </c>
      <c r="T243" s="10">
        <v>56.94</v>
      </c>
      <c r="U243" s="10">
        <v>56.63</v>
      </c>
      <c r="V243" s="10">
        <v>56.32</v>
      </c>
      <c r="W243" s="10">
        <v>56.02</v>
      </c>
      <c r="X243" s="10">
        <v>55.73</v>
      </c>
      <c r="Y243" s="10">
        <v>55.46</v>
      </c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</row>
    <row r="244" spans="1:147" x14ac:dyDescent="0.3">
      <c r="A244" s="9">
        <f>DATE(2017, 12, 6)</f>
        <v>43075</v>
      </c>
      <c r="B244" s="10">
        <v>61.22</v>
      </c>
      <c r="C244" s="10">
        <v>61.03</v>
      </c>
      <c r="D244" s="10">
        <v>60.87</v>
      </c>
      <c r="E244" s="10">
        <v>60.77</v>
      </c>
      <c r="F244" s="10">
        <v>60.66</v>
      </c>
      <c r="G244" s="10">
        <v>60.51</v>
      </c>
      <c r="H244" s="10">
        <v>60.32</v>
      </c>
      <c r="I244" s="10">
        <v>60.09</v>
      </c>
      <c r="J244" s="10">
        <v>59.85</v>
      </c>
      <c r="K244" s="10">
        <v>59.63</v>
      </c>
      <c r="L244" s="10">
        <v>59.39</v>
      </c>
      <c r="M244" s="10">
        <v>59.22</v>
      </c>
      <c r="N244" s="10">
        <v>55.96</v>
      </c>
      <c r="O244" s="10">
        <v>56.03</v>
      </c>
      <c r="P244" s="10">
        <v>56.05</v>
      </c>
      <c r="Q244" s="10">
        <v>56.07</v>
      </c>
      <c r="R244" s="10">
        <v>56.01</v>
      </c>
      <c r="S244" s="10">
        <v>55.86</v>
      </c>
      <c r="T244" s="10">
        <v>55.66</v>
      </c>
      <c r="U244" s="10">
        <v>55.42</v>
      </c>
      <c r="V244" s="10">
        <v>55.17</v>
      </c>
      <c r="W244" s="10">
        <v>54.92</v>
      </c>
      <c r="X244" s="10">
        <v>54.68</v>
      </c>
      <c r="Y244" s="10">
        <v>54.45</v>
      </c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</row>
    <row r="245" spans="1:147" x14ac:dyDescent="0.3">
      <c r="A245" s="9">
        <f>DATE(2017, 12, 7)</f>
        <v>43076</v>
      </c>
      <c r="B245" s="10">
        <v>62.2</v>
      </c>
      <c r="C245" s="10">
        <v>61.95</v>
      </c>
      <c r="D245" s="10">
        <v>61.74</v>
      </c>
      <c r="E245" s="10">
        <v>61.6</v>
      </c>
      <c r="F245" s="10">
        <v>61.47</v>
      </c>
      <c r="G245" s="10">
        <v>61.3</v>
      </c>
      <c r="H245" s="10">
        <v>61.09</v>
      </c>
      <c r="I245" s="10">
        <v>60.85</v>
      </c>
      <c r="J245" s="10">
        <v>60.61</v>
      </c>
      <c r="K245" s="10">
        <v>60.39</v>
      </c>
      <c r="L245" s="10">
        <v>60.15</v>
      </c>
      <c r="M245" s="10">
        <v>59.99</v>
      </c>
      <c r="N245" s="10">
        <v>56.69</v>
      </c>
      <c r="O245" s="10">
        <v>56.75</v>
      </c>
      <c r="P245" s="10">
        <v>56.76</v>
      </c>
      <c r="Q245" s="10">
        <v>56.76</v>
      </c>
      <c r="R245" s="10">
        <v>56.68</v>
      </c>
      <c r="S245" s="10">
        <v>56.52</v>
      </c>
      <c r="T245" s="10">
        <v>56.3</v>
      </c>
      <c r="U245" s="10">
        <v>56.06</v>
      </c>
      <c r="V245" s="10">
        <v>55.8</v>
      </c>
      <c r="W245" s="10">
        <v>55.54</v>
      </c>
      <c r="X245" s="10">
        <v>55.29</v>
      </c>
      <c r="Y245" s="10">
        <v>55.06</v>
      </c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</row>
    <row r="246" spans="1:147" x14ac:dyDescent="0.3">
      <c r="A246" s="9">
        <f>DATE(2017, 12, 8)</f>
        <v>43077</v>
      </c>
      <c r="B246" s="10">
        <v>63.4</v>
      </c>
      <c r="C246" s="10">
        <v>63.03</v>
      </c>
      <c r="D246" s="10">
        <v>62.76</v>
      </c>
      <c r="E246" s="10">
        <v>62.59</v>
      </c>
      <c r="F246" s="10">
        <v>62.43</v>
      </c>
      <c r="G246" s="10">
        <v>62.23</v>
      </c>
      <c r="H246" s="10">
        <v>61.98</v>
      </c>
      <c r="I246" s="10">
        <v>61.71</v>
      </c>
      <c r="J246" s="10">
        <v>61.44</v>
      </c>
      <c r="K246" s="10">
        <v>61.18</v>
      </c>
      <c r="L246" s="10">
        <v>60.91</v>
      </c>
      <c r="M246" s="10">
        <v>60.73</v>
      </c>
      <c r="N246" s="10">
        <v>57.36</v>
      </c>
      <c r="O246" s="10">
        <v>57.44</v>
      </c>
      <c r="P246" s="10">
        <v>57.46</v>
      </c>
      <c r="Q246" s="10">
        <v>57.46</v>
      </c>
      <c r="R246" s="10">
        <v>57.39</v>
      </c>
      <c r="S246" s="10">
        <v>57.23</v>
      </c>
      <c r="T246" s="10">
        <v>57.01</v>
      </c>
      <c r="U246" s="10">
        <v>56.75</v>
      </c>
      <c r="V246" s="10">
        <v>56.47</v>
      </c>
      <c r="W246" s="10">
        <v>56.18</v>
      </c>
      <c r="X246" s="10">
        <v>55.89</v>
      </c>
      <c r="Y246" s="10">
        <v>55.62</v>
      </c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</row>
    <row r="247" spans="1:147" x14ac:dyDescent="0.3">
      <c r="A247" s="9">
        <f>DATE(2017, 12, 11)</f>
        <v>43080</v>
      </c>
      <c r="B247" s="10">
        <v>64.69</v>
      </c>
      <c r="C247" s="10">
        <v>64</v>
      </c>
      <c r="D247" s="10">
        <v>63.59</v>
      </c>
      <c r="E247" s="10">
        <v>63.37</v>
      </c>
      <c r="F247" s="10">
        <v>63.19</v>
      </c>
      <c r="G247" s="10">
        <v>62.94</v>
      </c>
      <c r="H247" s="10">
        <v>62.65</v>
      </c>
      <c r="I247" s="10">
        <v>62.35</v>
      </c>
      <c r="J247" s="10">
        <v>62.06</v>
      </c>
      <c r="K247" s="10">
        <v>61.79</v>
      </c>
      <c r="L247" s="10">
        <v>61.5</v>
      </c>
      <c r="M247" s="10">
        <v>61.29</v>
      </c>
      <c r="N247" s="10">
        <v>57.99</v>
      </c>
      <c r="O247" s="10">
        <v>58.05</v>
      </c>
      <c r="P247" s="10">
        <v>58.04</v>
      </c>
      <c r="Q247" s="10">
        <v>58.01</v>
      </c>
      <c r="R247" s="10">
        <v>57.9</v>
      </c>
      <c r="S247" s="10">
        <v>57.72</v>
      </c>
      <c r="T247" s="10">
        <v>57.47</v>
      </c>
      <c r="U247" s="10">
        <v>57.19</v>
      </c>
      <c r="V247" s="10">
        <v>56.87</v>
      </c>
      <c r="W247" s="10">
        <v>56.55</v>
      </c>
      <c r="X247" s="10">
        <v>56.24</v>
      </c>
      <c r="Y247" s="10">
        <v>55.94</v>
      </c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</row>
    <row r="248" spans="1:147" x14ac:dyDescent="0.3">
      <c r="A248" s="9">
        <f>DATE(2017, 12, 12)</f>
        <v>43081</v>
      </c>
      <c r="B248" s="10">
        <v>63.34</v>
      </c>
      <c r="C248" s="10">
        <v>62.73</v>
      </c>
      <c r="D248" s="10">
        <v>62.39</v>
      </c>
      <c r="E248" s="10">
        <v>62.21</v>
      </c>
      <c r="F248" s="10">
        <v>62.03</v>
      </c>
      <c r="G248" s="10">
        <v>61.8</v>
      </c>
      <c r="H248" s="10">
        <v>61.52</v>
      </c>
      <c r="I248" s="10">
        <v>61.22</v>
      </c>
      <c r="J248" s="10">
        <v>60.94</v>
      </c>
      <c r="K248" s="10">
        <v>60.68</v>
      </c>
      <c r="L248" s="10">
        <v>60.41</v>
      </c>
      <c r="M248" s="10">
        <v>60.2</v>
      </c>
      <c r="N248" s="10">
        <v>57.14</v>
      </c>
      <c r="O248" s="10">
        <v>57.16</v>
      </c>
      <c r="P248" s="10">
        <v>57.13</v>
      </c>
      <c r="Q248" s="10">
        <v>57.08</v>
      </c>
      <c r="R248" s="10">
        <v>56.97</v>
      </c>
      <c r="S248" s="10">
        <v>56.78</v>
      </c>
      <c r="T248" s="10">
        <v>56.53</v>
      </c>
      <c r="U248" s="10">
        <v>56.25</v>
      </c>
      <c r="V248" s="10">
        <v>55.96</v>
      </c>
      <c r="W248" s="10">
        <v>55.67</v>
      </c>
      <c r="X248" s="10">
        <v>55.38</v>
      </c>
      <c r="Y248" s="10">
        <v>55.11</v>
      </c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</row>
    <row r="249" spans="1:147" x14ac:dyDescent="0.3">
      <c r="A249" s="9">
        <f>DATE(2017, 12, 13)</f>
        <v>43082</v>
      </c>
      <c r="B249" s="10">
        <v>62.44</v>
      </c>
      <c r="C249" s="10">
        <v>61.81</v>
      </c>
      <c r="D249" s="10">
        <v>61.46</v>
      </c>
      <c r="E249" s="10">
        <v>61.26</v>
      </c>
      <c r="F249" s="10">
        <v>61.07</v>
      </c>
      <c r="G249" s="10">
        <v>60.84</v>
      </c>
      <c r="H249" s="10">
        <v>60.56</v>
      </c>
      <c r="I249" s="10">
        <v>60.26</v>
      </c>
      <c r="J249" s="10">
        <v>59.99</v>
      </c>
      <c r="K249" s="10">
        <v>59.73</v>
      </c>
      <c r="L249" s="10">
        <v>59.45</v>
      </c>
      <c r="M249" s="10">
        <v>59.24</v>
      </c>
      <c r="N249" s="10">
        <v>56.6</v>
      </c>
      <c r="O249" s="10">
        <v>56.59</v>
      </c>
      <c r="P249" s="10">
        <v>56.5</v>
      </c>
      <c r="Q249" s="10">
        <v>56.4</v>
      </c>
      <c r="R249" s="10">
        <v>56.26</v>
      </c>
      <c r="S249" s="10">
        <v>56.05</v>
      </c>
      <c r="T249" s="10">
        <v>55.76</v>
      </c>
      <c r="U249" s="10">
        <v>55.47</v>
      </c>
      <c r="V249" s="10">
        <v>55.18</v>
      </c>
      <c r="W249" s="10">
        <v>54.89</v>
      </c>
      <c r="X249" s="10">
        <v>54.62</v>
      </c>
      <c r="Y249" s="10">
        <v>54.35</v>
      </c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</row>
    <row r="250" spans="1:147" x14ac:dyDescent="0.3">
      <c r="A250" s="9">
        <f>DATE(2017, 12, 14)</f>
        <v>43083</v>
      </c>
      <c r="B250" s="10">
        <v>63.31</v>
      </c>
      <c r="C250" s="10">
        <v>62.66</v>
      </c>
      <c r="D250" s="10">
        <v>62.28</v>
      </c>
      <c r="E250" s="10">
        <v>62.05</v>
      </c>
      <c r="F250" s="10">
        <v>61.85</v>
      </c>
      <c r="G250" s="10">
        <v>61.62</v>
      </c>
      <c r="H250" s="10">
        <v>61.34</v>
      </c>
      <c r="I250" s="10">
        <v>61.04</v>
      </c>
      <c r="J250" s="10">
        <v>60.76</v>
      </c>
      <c r="K250" s="10">
        <v>60.49</v>
      </c>
      <c r="L250" s="10">
        <v>60.2</v>
      </c>
      <c r="M250" s="10">
        <v>59.98</v>
      </c>
      <c r="N250" s="10">
        <v>57.04</v>
      </c>
      <c r="O250" s="10">
        <v>57.08</v>
      </c>
      <c r="P250" s="10">
        <v>57.01</v>
      </c>
      <c r="Q250" s="10">
        <v>56.93</v>
      </c>
      <c r="R250" s="10">
        <v>56.81</v>
      </c>
      <c r="S250" s="10">
        <v>56.63</v>
      </c>
      <c r="T250" s="10">
        <v>56.38</v>
      </c>
      <c r="U250" s="10">
        <v>56.1</v>
      </c>
      <c r="V250" s="10">
        <v>55.8</v>
      </c>
      <c r="W250" s="10">
        <v>55.5</v>
      </c>
      <c r="X250" s="10">
        <v>55.21</v>
      </c>
      <c r="Y250" s="10">
        <v>54.94</v>
      </c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</row>
    <row r="251" spans="1:147" x14ac:dyDescent="0.3">
      <c r="A251" s="9">
        <f>DATE(2017, 12, 15)</f>
        <v>43084</v>
      </c>
      <c r="B251" s="10">
        <v>63.23</v>
      </c>
      <c r="C251" s="10">
        <v>62.65</v>
      </c>
      <c r="D251" s="10">
        <v>62.26</v>
      </c>
      <c r="E251" s="10">
        <v>62.02</v>
      </c>
      <c r="F251" s="10">
        <v>61.83</v>
      </c>
      <c r="G251" s="10">
        <v>61.59</v>
      </c>
      <c r="H251" s="10">
        <v>61.32</v>
      </c>
      <c r="I251" s="10">
        <v>61.03</v>
      </c>
      <c r="J251" s="10">
        <v>60.74</v>
      </c>
      <c r="K251" s="10">
        <v>60.46</v>
      </c>
      <c r="L251" s="10">
        <v>60.15</v>
      </c>
      <c r="M251" s="10">
        <v>59.91</v>
      </c>
      <c r="N251" s="10">
        <v>57.3</v>
      </c>
      <c r="O251" s="10">
        <v>57.33</v>
      </c>
      <c r="P251" s="10">
        <v>57.24</v>
      </c>
      <c r="Q251" s="10">
        <v>57.12</v>
      </c>
      <c r="R251" s="10">
        <v>56.97</v>
      </c>
      <c r="S251" s="10">
        <v>56.77</v>
      </c>
      <c r="T251" s="10">
        <v>56.5</v>
      </c>
      <c r="U251" s="10">
        <v>56.21</v>
      </c>
      <c r="V251" s="10">
        <v>55.9</v>
      </c>
      <c r="W251" s="10">
        <v>55.61</v>
      </c>
      <c r="X251" s="10">
        <v>55.31</v>
      </c>
      <c r="Y251" s="10">
        <v>55.04</v>
      </c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</row>
    <row r="252" spans="1:147" x14ac:dyDescent="0.3">
      <c r="A252" s="9">
        <f>DATE(2017, 12, 18)</f>
        <v>43087</v>
      </c>
      <c r="B252" s="10">
        <v>63.41</v>
      </c>
      <c r="C252" s="10">
        <v>62.91</v>
      </c>
      <c r="D252" s="10">
        <v>62.56</v>
      </c>
      <c r="E252" s="10">
        <v>62.35</v>
      </c>
      <c r="F252" s="10">
        <v>62.19</v>
      </c>
      <c r="G252" s="10">
        <v>61.99</v>
      </c>
      <c r="H252" s="10">
        <v>61.74</v>
      </c>
      <c r="I252" s="10">
        <v>61.47</v>
      </c>
      <c r="J252" s="10">
        <v>61.2</v>
      </c>
      <c r="K252" s="10">
        <v>60.94</v>
      </c>
      <c r="L252" s="10">
        <v>60.65</v>
      </c>
      <c r="M252" s="10">
        <v>60.42</v>
      </c>
      <c r="N252" s="10">
        <v>57.16</v>
      </c>
      <c r="O252" s="10">
        <v>57.22</v>
      </c>
      <c r="P252" s="10">
        <v>57.23</v>
      </c>
      <c r="Q252" s="10">
        <v>57.2</v>
      </c>
      <c r="R252" s="10">
        <v>57.12</v>
      </c>
      <c r="S252" s="10">
        <v>56.98</v>
      </c>
      <c r="T252" s="10">
        <v>56.76</v>
      </c>
      <c r="U252" s="10">
        <v>56.49</v>
      </c>
      <c r="V252" s="10">
        <v>56.22</v>
      </c>
      <c r="W252" s="10">
        <v>55.93</v>
      </c>
      <c r="X252" s="10">
        <v>55.67</v>
      </c>
      <c r="Y252" s="10">
        <v>55.41</v>
      </c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</row>
    <row r="253" spans="1:147" x14ac:dyDescent="0.3">
      <c r="A253" s="9">
        <f>DATE(2017, 12, 19)</f>
        <v>43088</v>
      </c>
      <c r="B253" s="10">
        <v>63.8</v>
      </c>
      <c r="C253" s="10">
        <v>63.4</v>
      </c>
      <c r="D253" s="10">
        <v>63.04</v>
      </c>
      <c r="E253" s="10">
        <v>62.83</v>
      </c>
      <c r="F253" s="10">
        <v>62.66</v>
      </c>
      <c r="G253" s="10">
        <v>62.46</v>
      </c>
      <c r="H253" s="10">
        <v>62.22</v>
      </c>
      <c r="I253" s="10">
        <v>61.95</v>
      </c>
      <c r="J253" s="10">
        <v>61.69</v>
      </c>
      <c r="K253" s="10">
        <v>61.43</v>
      </c>
      <c r="L253" s="10">
        <v>61.13</v>
      </c>
      <c r="M253" s="10">
        <v>60.91</v>
      </c>
      <c r="N253" s="10">
        <v>57.46</v>
      </c>
      <c r="O253" s="10">
        <v>57.56</v>
      </c>
      <c r="P253" s="10">
        <v>57.58</v>
      </c>
      <c r="Q253" s="10">
        <v>57.56</v>
      </c>
      <c r="R253" s="10">
        <v>57.49</v>
      </c>
      <c r="S253" s="10">
        <v>57.35</v>
      </c>
      <c r="T253" s="10">
        <v>57.13</v>
      </c>
      <c r="U253" s="10">
        <v>56.87</v>
      </c>
      <c r="V253" s="10">
        <v>56.59</v>
      </c>
      <c r="W253" s="10">
        <v>56.32</v>
      </c>
      <c r="X253" s="10">
        <v>56.07</v>
      </c>
      <c r="Y253" s="10">
        <v>55.81</v>
      </c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</row>
    <row r="254" spans="1:147" x14ac:dyDescent="0.3">
      <c r="A254" s="9">
        <f>DATE(2017, 12, 20)</f>
        <v>43089</v>
      </c>
      <c r="B254" s="10">
        <v>64.56</v>
      </c>
      <c r="C254" s="10">
        <v>64.11</v>
      </c>
      <c r="D254" s="10">
        <v>63.72</v>
      </c>
      <c r="E254" s="10">
        <v>63.48</v>
      </c>
      <c r="F254" s="10">
        <v>63.27</v>
      </c>
      <c r="G254" s="10">
        <v>63.04</v>
      </c>
      <c r="H254" s="10">
        <v>62.76</v>
      </c>
      <c r="I254" s="10">
        <v>62.47</v>
      </c>
      <c r="J254" s="10">
        <v>62.16</v>
      </c>
      <c r="K254" s="10">
        <v>61.86</v>
      </c>
      <c r="L254" s="10">
        <v>61.53</v>
      </c>
      <c r="M254" s="10">
        <v>61.28</v>
      </c>
      <c r="N254" s="10">
        <v>58.09</v>
      </c>
      <c r="O254" s="10">
        <v>58.13</v>
      </c>
      <c r="P254" s="10">
        <v>58.11</v>
      </c>
      <c r="Q254" s="10">
        <v>58.04</v>
      </c>
      <c r="R254" s="10">
        <v>57.88</v>
      </c>
      <c r="S254" s="10">
        <v>57.63</v>
      </c>
      <c r="T254" s="10">
        <v>57.32</v>
      </c>
      <c r="U254" s="10">
        <v>57.01</v>
      </c>
      <c r="V254" s="10">
        <v>56.71</v>
      </c>
      <c r="W254" s="10">
        <v>56.42</v>
      </c>
      <c r="X254" s="10">
        <v>56.14</v>
      </c>
      <c r="Y254" s="10">
        <v>55.85</v>
      </c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</row>
    <row r="255" spans="1:147" x14ac:dyDescent="0.3">
      <c r="A255" s="9">
        <f>DATE(2017, 12, 21)</f>
        <v>43090</v>
      </c>
      <c r="B255" s="10">
        <v>64.900000000000006</v>
      </c>
      <c r="C255" s="10">
        <v>64.430000000000007</v>
      </c>
      <c r="D255" s="10">
        <v>64.040000000000006</v>
      </c>
      <c r="E255" s="10">
        <v>63.79</v>
      </c>
      <c r="F255" s="10">
        <v>63.58</v>
      </c>
      <c r="G255" s="10">
        <v>63.35</v>
      </c>
      <c r="H255" s="10">
        <v>63.07</v>
      </c>
      <c r="I255" s="10">
        <v>62.78</v>
      </c>
      <c r="J255" s="10">
        <v>62.47</v>
      </c>
      <c r="K255" s="10">
        <v>62.17</v>
      </c>
      <c r="L255" s="10">
        <v>61.84</v>
      </c>
      <c r="M255" s="10">
        <v>61.59</v>
      </c>
      <c r="N255" s="10">
        <v>58.36</v>
      </c>
      <c r="O255" s="10">
        <v>58.4</v>
      </c>
      <c r="P255" s="10">
        <v>58.39</v>
      </c>
      <c r="Q255" s="10">
        <v>58.3</v>
      </c>
      <c r="R255" s="10">
        <v>58.13</v>
      </c>
      <c r="S255" s="10">
        <v>57.88</v>
      </c>
      <c r="T255" s="10">
        <v>57.57</v>
      </c>
      <c r="U255" s="10">
        <v>57.25</v>
      </c>
      <c r="V255" s="10">
        <v>56.94</v>
      </c>
      <c r="W255" s="10">
        <v>56.65</v>
      </c>
      <c r="X255" s="10">
        <v>56.38</v>
      </c>
      <c r="Y255" s="10">
        <v>56.08</v>
      </c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</row>
    <row r="256" spans="1:147" x14ac:dyDescent="0.3">
      <c r="A256" s="9">
        <f>DATE(2017, 12, 22)</f>
        <v>43091</v>
      </c>
      <c r="B256" s="10">
        <v>65.25</v>
      </c>
      <c r="C256" s="10">
        <v>64.73</v>
      </c>
      <c r="D256" s="10">
        <v>64.33</v>
      </c>
      <c r="E256" s="10">
        <v>64.06</v>
      </c>
      <c r="F256" s="10">
        <v>63.85</v>
      </c>
      <c r="G256" s="10">
        <v>63.63</v>
      </c>
      <c r="H256" s="10">
        <v>63.36</v>
      </c>
      <c r="I256" s="10">
        <v>63.08</v>
      </c>
      <c r="J256" s="10">
        <v>62.78</v>
      </c>
      <c r="K256" s="10">
        <v>62.48</v>
      </c>
      <c r="L256" s="10">
        <v>62.16</v>
      </c>
      <c r="M256" s="10">
        <v>61.91</v>
      </c>
      <c r="N256" s="10">
        <v>58.47</v>
      </c>
      <c r="O256" s="10">
        <v>58.54</v>
      </c>
      <c r="P256" s="10">
        <v>58.54</v>
      </c>
      <c r="Q256" s="10">
        <v>58.48</v>
      </c>
      <c r="R256" s="10">
        <v>58.34</v>
      </c>
      <c r="S256" s="10">
        <v>58.12</v>
      </c>
      <c r="T256" s="10">
        <v>57.84</v>
      </c>
      <c r="U256" s="10">
        <v>57.55</v>
      </c>
      <c r="V256" s="10">
        <v>57.25</v>
      </c>
      <c r="W256" s="10">
        <v>56.97</v>
      </c>
      <c r="X256" s="10">
        <v>56.7</v>
      </c>
      <c r="Y256" s="10">
        <v>56.41</v>
      </c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</row>
    <row r="257" spans="1:147" x14ac:dyDescent="0.3">
      <c r="A257" s="9">
        <f>DATE(2017, 12, 26)</f>
        <v>43095</v>
      </c>
      <c r="B257" s="10">
        <v>67.02</v>
      </c>
      <c r="C257" s="10">
        <v>66.459999999999994</v>
      </c>
      <c r="D257" s="10">
        <v>66.040000000000006</v>
      </c>
      <c r="E257" s="10">
        <v>65.72</v>
      </c>
      <c r="F257" s="10">
        <v>65.45</v>
      </c>
      <c r="G257" s="10">
        <v>65.19</v>
      </c>
      <c r="H257" s="10">
        <v>64.88</v>
      </c>
      <c r="I257" s="10">
        <v>64.56</v>
      </c>
      <c r="J257" s="10">
        <v>64.209999999999994</v>
      </c>
      <c r="K257" s="10">
        <v>63.86</v>
      </c>
      <c r="L257" s="10">
        <v>63.49</v>
      </c>
      <c r="M257" s="10">
        <v>63.2</v>
      </c>
      <c r="N257" s="10">
        <v>59.97</v>
      </c>
      <c r="O257" s="10">
        <v>60</v>
      </c>
      <c r="P257" s="10">
        <v>59.98</v>
      </c>
      <c r="Q257" s="10">
        <v>59.86</v>
      </c>
      <c r="R257" s="10">
        <v>59.67</v>
      </c>
      <c r="S257" s="10">
        <v>59.39</v>
      </c>
      <c r="T257" s="10">
        <v>59.05</v>
      </c>
      <c r="U257" s="10">
        <v>58.7</v>
      </c>
      <c r="V257" s="10">
        <v>58.35</v>
      </c>
      <c r="W257" s="10">
        <v>58.03</v>
      </c>
      <c r="X257" s="10">
        <v>57.71</v>
      </c>
      <c r="Y257" s="10">
        <v>57.37</v>
      </c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</row>
    <row r="258" spans="1:147" x14ac:dyDescent="0.3">
      <c r="A258" s="9">
        <f>DATE(2017, 12, 27)</f>
        <v>43096</v>
      </c>
      <c r="B258" s="10">
        <v>66.44</v>
      </c>
      <c r="C258" s="10">
        <v>65.989999999999995</v>
      </c>
      <c r="D258" s="10">
        <v>65.599999999999994</v>
      </c>
      <c r="E258" s="10">
        <v>65.31</v>
      </c>
      <c r="F258" s="10">
        <v>65.05</v>
      </c>
      <c r="G258" s="10">
        <v>64.8</v>
      </c>
      <c r="H258" s="10">
        <v>64.5</v>
      </c>
      <c r="I258" s="10">
        <v>64.180000000000007</v>
      </c>
      <c r="J258" s="10">
        <v>63.85</v>
      </c>
      <c r="K258" s="10">
        <v>63.51</v>
      </c>
      <c r="L258" s="10">
        <v>63.16</v>
      </c>
      <c r="M258" s="10">
        <v>62.88</v>
      </c>
      <c r="N258" s="10">
        <v>59.64</v>
      </c>
      <c r="O258" s="10">
        <v>59.69</v>
      </c>
      <c r="P258" s="10">
        <v>59.68</v>
      </c>
      <c r="Q258" s="10">
        <v>59.6</v>
      </c>
      <c r="R258" s="10">
        <v>59.43</v>
      </c>
      <c r="S258" s="10">
        <v>59.17</v>
      </c>
      <c r="T258" s="10">
        <v>58.86</v>
      </c>
      <c r="U258" s="10">
        <v>58.53</v>
      </c>
      <c r="V258" s="10">
        <v>58.2</v>
      </c>
      <c r="W258" s="10">
        <v>57.88</v>
      </c>
      <c r="X258" s="10">
        <v>57.58</v>
      </c>
      <c r="Y258" s="10">
        <v>57.27</v>
      </c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</row>
    <row r="259" spans="1:147" x14ac:dyDescent="0.3">
      <c r="A259" s="9">
        <f>DATE(2017, 12, 28)</f>
        <v>43097</v>
      </c>
      <c r="B259" s="10">
        <v>66.72</v>
      </c>
      <c r="C259" s="10">
        <v>66.16</v>
      </c>
      <c r="D259" s="10">
        <v>65.77</v>
      </c>
      <c r="E259" s="10">
        <v>65.459999999999994</v>
      </c>
      <c r="F259" s="10">
        <v>65.19</v>
      </c>
      <c r="G259" s="10">
        <v>64.930000000000007</v>
      </c>
      <c r="H259" s="10">
        <v>64.61</v>
      </c>
      <c r="I259" s="10">
        <v>64.28</v>
      </c>
      <c r="J259" s="10">
        <v>63.94</v>
      </c>
      <c r="K259" s="10">
        <v>63.6</v>
      </c>
      <c r="L259" s="10">
        <v>63.25</v>
      </c>
      <c r="M259" s="10">
        <v>62.97</v>
      </c>
      <c r="N259" s="10">
        <v>59.84</v>
      </c>
      <c r="O259" s="10">
        <v>59.87</v>
      </c>
      <c r="P259" s="10">
        <v>59.84</v>
      </c>
      <c r="Q259" s="10">
        <v>59.73</v>
      </c>
      <c r="R259" s="10">
        <v>59.54</v>
      </c>
      <c r="S259" s="10">
        <v>59.27</v>
      </c>
      <c r="T259" s="10">
        <v>58.96</v>
      </c>
      <c r="U259" s="10">
        <v>58.63</v>
      </c>
      <c r="V259" s="10">
        <v>58.3</v>
      </c>
      <c r="W259" s="10">
        <v>57.97</v>
      </c>
      <c r="X259" s="10">
        <v>57.67</v>
      </c>
      <c r="Y259" s="10">
        <v>57.36</v>
      </c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</row>
    <row r="260" spans="1:147" x14ac:dyDescent="0.3">
      <c r="A260" s="9">
        <f>DATE(2017, 12, 29)</f>
        <v>43098</v>
      </c>
      <c r="B260" s="10">
        <v>66.87</v>
      </c>
      <c r="C260" s="10">
        <v>66.44</v>
      </c>
      <c r="D260" s="10">
        <v>66.09</v>
      </c>
      <c r="E260" s="10">
        <v>65.78</v>
      </c>
      <c r="F260" s="10">
        <v>65.48</v>
      </c>
      <c r="G260" s="10">
        <v>65.12</v>
      </c>
      <c r="H260" s="10">
        <v>64.760000000000005</v>
      </c>
      <c r="I260" s="10">
        <v>64.39</v>
      </c>
      <c r="J260" s="10">
        <v>64.02</v>
      </c>
      <c r="K260" s="10">
        <v>63.64</v>
      </c>
      <c r="L260" s="10">
        <v>63.32</v>
      </c>
      <c r="M260" s="10">
        <v>62.98</v>
      </c>
      <c r="N260" s="10">
        <v>60.42</v>
      </c>
      <c r="O260" s="10">
        <v>60.44</v>
      </c>
      <c r="P260" s="10">
        <v>60.4</v>
      </c>
      <c r="Q260" s="10">
        <v>60.27</v>
      </c>
      <c r="R260" s="10">
        <v>60.06</v>
      </c>
      <c r="S260" s="10">
        <v>59.76</v>
      </c>
      <c r="T260" s="10">
        <v>59.42</v>
      </c>
      <c r="U260" s="10">
        <v>59.07</v>
      </c>
      <c r="V260" s="10">
        <v>58.72</v>
      </c>
      <c r="W260" s="10">
        <v>58.38</v>
      </c>
      <c r="X260" s="10">
        <v>58.07</v>
      </c>
      <c r="Y260" s="10">
        <v>57.75</v>
      </c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</row>
    <row r="261" spans="1:147" x14ac:dyDescent="0.3">
      <c r="A261" s="9">
        <f>DATE(2018, 1, 2)</f>
        <v>43102</v>
      </c>
      <c r="B261" s="10">
        <v>66.569999999999993</v>
      </c>
      <c r="C261" s="10">
        <v>66.13</v>
      </c>
      <c r="D261" s="10">
        <v>65.790000000000006</v>
      </c>
      <c r="E261" s="10">
        <v>65.510000000000005</v>
      </c>
      <c r="F261" s="10">
        <v>65.239999999999995</v>
      </c>
      <c r="G261" s="10">
        <v>64.930000000000007</v>
      </c>
      <c r="H261" s="10">
        <v>64.61</v>
      </c>
      <c r="I261" s="10">
        <v>64.260000000000005</v>
      </c>
      <c r="J261" s="10">
        <v>63.91</v>
      </c>
      <c r="K261" s="10">
        <v>63.55</v>
      </c>
      <c r="L261" s="10">
        <v>63.25</v>
      </c>
      <c r="M261" s="10">
        <v>62.92</v>
      </c>
      <c r="N261" s="10">
        <v>60.37</v>
      </c>
      <c r="O261" s="10">
        <v>60.38</v>
      </c>
      <c r="P261" s="10">
        <v>60.33</v>
      </c>
      <c r="Q261" s="10">
        <v>60.2</v>
      </c>
      <c r="R261" s="10">
        <v>59.99</v>
      </c>
      <c r="S261" s="10">
        <v>59.72</v>
      </c>
      <c r="T261" s="10">
        <v>59.4</v>
      </c>
      <c r="U261" s="10">
        <v>59.07</v>
      </c>
      <c r="V261" s="10">
        <v>58.74</v>
      </c>
      <c r="W261" s="10">
        <v>58.42</v>
      </c>
      <c r="X261" s="10">
        <v>58.12</v>
      </c>
      <c r="Y261" s="10">
        <v>57.81</v>
      </c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</row>
    <row r="262" spans="1:147" x14ac:dyDescent="0.3">
      <c r="A262" s="9">
        <f>DATE(2018, 1, 3)</f>
        <v>43103</v>
      </c>
      <c r="B262" s="10">
        <v>67.84</v>
      </c>
      <c r="C262" s="10">
        <v>67.290000000000006</v>
      </c>
      <c r="D262" s="10">
        <v>66.900000000000006</v>
      </c>
      <c r="E262" s="10">
        <v>66.569999999999993</v>
      </c>
      <c r="F262" s="10">
        <v>66.239999999999995</v>
      </c>
      <c r="G262" s="10">
        <v>65.87</v>
      </c>
      <c r="H262" s="10">
        <v>65.489999999999995</v>
      </c>
      <c r="I262" s="10">
        <v>65.09</v>
      </c>
      <c r="J262" s="10">
        <v>64.680000000000007</v>
      </c>
      <c r="K262" s="10">
        <v>64.27</v>
      </c>
      <c r="L262" s="10">
        <v>63.93</v>
      </c>
      <c r="M262" s="10">
        <v>63.58</v>
      </c>
      <c r="N262" s="10">
        <v>61.63</v>
      </c>
      <c r="O262" s="10">
        <v>61.55</v>
      </c>
      <c r="P262" s="10">
        <v>61.41</v>
      </c>
      <c r="Q262" s="10">
        <v>61.21</v>
      </c>
      <c r="R262" s="10">
        <v>60.94</v>
      </c>
      <c r="S262" s="10">
        <v>60.58</v>
      </c>
      <c r="T262" s="10">
        <v>60.2</v>
      </c>
      <c r="U262" s="10">
        <v>59.82</v>
      </c>
      <c r="V262" s="10">
        <v>59.45</v>
      </c>
      <c r="W262" s="10">
        <v>59.1</v>
      </c>
      <c r="X262" s="10">
        <v>58.77</v>
      </c>
      <c r="Y262" s="10">
        <v>58.43</v>
      </c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</row>
    <row r="263" spans="1:147" x14ac:dyDescent="0.3">
      <c r="A263" s="9">
        <f>DATE(2018, 1, 4)</f>
        <v>43104</v>
      </c>
      <c r="B263" s="10">
        <v>68.069999999999993</v>
      </c>
      <c r="C263" s="10">
        <v>67.510000000000005</v>
      </c>
      <c r="D263" s="10">
        <v>67.11</v>
      </c>
      <c r="E263" s="10">
        <v>66.77</v>
      </c>
      <c r="F263" s="10">
        <v>66.430000000000007</v>
      </c>
      <c r="G263" s="10">
        <v>66.069999999999993</v>
      </c>
      <c r="H263" s="10">
        <v>65.69</v>
      </c>
      <c r="I263" s="10">
        <v>65.28</v>
      </c>
      <c r="J263" s="10">
        <v>64.87</v>
      </c>
      <c r="K263" s="10">
        <v>64.47</v>
      </c>
      <c r="L263" s="10">
        <v>64.13</v>
      </c>
      <c r="M263" s="10">
        <v>63.78</v>
      </c>
      <c r="N263" s="10">
        <v>62.01</v>
      </c>
      <c r="O263" s="10">
        <v>61.9</v>
      </c>
      <c r="P263" s="10">
        <v>61.73</v>
      </c>
      <c r="Q263" s="10">
        <v>61.52</v>
      </c>
      <c r="R263" s="10">
        <v>61.23</v>
      </c>
      <c r="S263" s="10">
        <v>60.87</v>
      </c>
      <c r="T263" s="10">
        <v>60.47</v>
      </c>
      <c r="U263" s="10">
        <v>60.07</v>
      </c>
      <c r="V263" s="10">
        <v>59.68</v>
      </c>
      <c r="W263" s="10">
        <v>59.31</v>
      </c>
      <c r="X263" s="10">
        <v>58.95</v>
      </c>
      <c r="Y263" s="10">
        <v>58.59</v>
      </c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</row>
    <row r="264" spans="1:147" x14ac:dyDescent="0.3">
      <c r="A264" s="9">
        <f>DATE(2018, 1, 5)</f>
        <v>43105</v>
      </c>
      <c r="B264" s="10">
        <v>67.62</v>
      </c>
      <c r="C264" s="10">
        <v>67.099999999999994</v>
      </c>
      <c r="D264" s="10">
        <v>66.73</v>
      </c>
      <c r="E264" s="10">
        <v>66.41</v>
      </c>
      <c r="F264" s="10">
        <v>66.099999999999994</v>
      </c>
      <c r="G264" s="10">
        <v>65.760000000000005</v>
      </c>
      <c r="H264" s="10">
        <v>65.41</v>
      </c>
      <c r="I264" s="10">
        <v>65.040000000000006</v>
      </c>
      <c r="J264" s="10">
        <v>64.67</v>
      </c>
      <c r="K264" s="10">
        <v>64.31</v>
      </c>
      <c r="L264" s="10">
        <v>64</v>
      </c>
      <c r="M264" s="10">
        <v>63.68</v>
      </c>
      <c r="N264" s="10">
        <v>61.44</v>
      </c>
      <c r="O264" s="10">
        <v>61.41</v>
      </c>
      <c r="P264" s="10">
        <v>61.3</v>
      </c>
      <c r="Q264" s="10">
        <v>61.15</v>
      </c>
      <c r="R264" s="10">
        <v>60.93</v>
      </c>
      <c r="S264" s="10">
        <v>60.62</v>
      </c>
      <c r="T264" s="10">
        <v>60.27</v>
      </c>
      <c r="U264" s="10">
        <v>59.93</v>
      </c>
      <c r="V264" s="10">
        <v>59.58</v>
      </c>
      <c r="W264" s="10">
        <v>59.24</v>
      </c>
      <c r="X264" s="10">
        <v>58.93</v>
      </c>
      <c r="Y264" s="10">
        <v>58.61</v>
      </c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</row>
    <row r="265" spans="1:147" x14ac:dyDescent="0.3">
      <c r="A265" s="9">
        <f>DATE(2018, 1, 8)</f>
        <v>43108</v>
      </c>
      <c r="B265" s="10">
        <v>67.78</v>
      </c>
      <c r="C265" s="10">
        <v>67.31</v>
      </c>
      <c r="D265" s="10">
        <v>66.95</v>
      </c>
      <c r="E265" s="10">
        <v>66.64</v>
      </c>
      <c r="F265" s="10">
        <v>66.349999999999994</v>
      </c>
      <c r="G265" s="10">
        <v>66.02</v>
      </c>
      <c r="H265" s="10">
        <v>65.680000000000007</v>
      </c>
      <c r="I265" s="10">
        <v>65.319999999999993</v>
      </c>
      <c r="J265" s="10">
        <v>64.97</v>
      </c>
      <c r="K265" s="10">
        <v>64.61</v>
      </c>
      <c r="L265" s="10">
        <v>64.31</v>
      </c>
      <c r="M265" s="10">
        <v>64</v>
      </c>
      <c r="N265" s="10">
        <v>61.73</v>
      </c>
      <c r="O265" s="10">
        <v>61.72</v>
      </c>
      <c r="P265" s="10">
        <v>61.62</v>
      </c>
      <c r="Q265" s="10">
        <v>61.48</v>
      </c>
      <c r="R265" s="10">
        <v>61.28</v>
      </c>
      <c r="S265" s="10">
        <v>60.99</v>
      </c>
      <c r="T265" s="10">
        <v>60.66</v>
      </c>
      <c r="U265" s="10">
        <v>60.33</v>
      </c>
      <c r="V265" s="10">
        <v>59.99</v>
      </c>
      <c r="W265" s="10">
        <v>59.66</v>
      </c>
      <c r="X265" s="10">
        <v>59.34</v>
      </c>
      <c r="Y265" s="10">
        <v>59.01</v>
      </c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</row>
    <row r="266" spans="1:147" x14ac:dyDescent="0.3">
      <c r="A266" s="9">
        <f>DATE(2018, 1, 9)</f>
        <v>43109</v>
      </c>
      <c r="B266" s="10">
        <v>68.819999999999993</v>
      </c>
      <c r="C266" s="10">
        <v>68.34</v>
      </c>
      <c r="D266" s="10">
        <v>67.959999999999994</v>
      </c>
      <c r="E266" s="10">
        <v>67.61</v>
      </c>
      <c r="F266" s="10">
        <v>67.27</v>
      </c>
      <c r="G266" s="10">
        <v>66.92</v>
      </c>
      <c r="H266" s="10">
        <v>66.55</v>
      </c>
      <c r="I266" s="10">
        <v>66.17</v>
      </c>
      <c r="J266" s="10">
        <v>65.790000000000006</v>
      </c>
      <c r="K266" s="10">
        <v>65.41</v>
      </c>
      <c r="L266" s="10">
        <v>65.09</v>
      </c>
      <c r="M266" s="10">
        <v>64.760000000000005</v>
      </c>
      <c r="N266" s="10">
        <v>62.96</v>
      </c>
      <c r="O266" s="10">
        <v>62.87</v>
      </c>
      <c r="P266" s="10">
        <v>62.7</v>
      </c>
      <c r="Q266" s="10">
        <v>62.49</v>
      </c>
      <c r="R266" s="10">
        <v>62.23</v>
      </c>
      <c r="S266" s="10">
        <v>61.9</v>
      </c>
      <c r="T266" s="10">
        <v>61.53</v>
      </c>
      <c r="U266" s="10">
        <v>61.16</v>
      </c>
      <c r="V266" s="10">
        <v>60.79</v>
      </c>
      <c r="W266" s="10">
        <v>60.42</v>
      </c>
      <c r="X266" s="10">
        <v>60.07</v>
      </c>
      <c r="Y266" s="10">
        <v>59.73</v>
      </c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</row>
    <row r="267" spans="1:147" x14ac:dyDescent="0.3">
      <c r="A267" s="9">
        <f>DATE(2018, 1, 10)</f>
        <v>43110</v>
      </c>
      <c r="B267" s="10">
        <v>69.2</v>
      </c>
      <c r="C267" s="10">
        <v>68.73</v>
      </c>
      <c r="D267" s="10">
        <v>68.349999999999994</v>
      </c>
      <c r="E267" s="10">
        <v>67.989999999999995</v>
      </c>
      <c r="F267" s="10">
        <v>67.64</v>
      </c>
      <c r="G267" s="10">
        <v>67.27</v>
      </c>
      <c r="H267" s="10">
        <v>66.88</v>
      </c>
      <c r="I267" s="10">
        <v>66.47</v>
      </c>
      <c r="J267" s="10">
        <v>66.069999999999993</v>
      </c>
      <c r="K267" s="10">
        <v>65.650000000000006</v>
      </c>
      <c r="L267" s="10">
        <v>65.31</v>
      </c>
      <c r="M267" s="10">
        <v>64.959999999999994</v>
      </c>
      <c r="N267" s="10">
        <v>63.57</v>
      </c>
      <c r="O267" s="10">
        <v>63.42</v>
      </c>
      <c r="P267" s="10">
        <v>63.21</v>
      </c>
      <c r="Q267" s="10">
        <v>62.98</v>
      </c>
      <c r="R267" s="10">
        <v>62.68</v>
      </c>
      <c r="S267" s="10">
        <v>62.32</v>
      </c>
      <c r="T267" s="10">
        <v>61.91</v>
      </c>
      <c r="U267" s="10">
        <v>61.51</v>
      </c>
      <c r="V267" s="10">
        <v>61.1</v>
      </c>
      <c r="W267" s="10">
        <v>60.7</v>
      </c>
      <c r="X267" s="10">
        <v>60.33</v>
      </c>
      <c r="Y267" s="10">
        <v>59.94</v>
      </c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</row>
    <row r="268" spans="1:147" x14ac:dyDescent="0.3">
      <c r="A268" s="9">
        <f>DATE(2018, 1, 11)</f>
        <v>43111</v>
      </c>
      <c r="B268" s="10">
        <v>69.260000000000005</v>
      </c>
      <c r="C268" s="10">
        <v>68.77</v>
      </c>
      <c r="D268" s="10">
        <v>68.37</v>
      </c>
      <c r="E268" s="10">
        <v>68.010000000000005</v>
      </c>
      <c r="F268" s="10">
        <v>67.64</v>
      </c>
      <c r="G268" s="10">
        <v>67.27</v>
      </c>
      <c r="H268" s="10">
        <v>66.87</v>
      </c>
      <c r="I268" s="10">
        <v>66.45</v>
      </c>
      <c r="J268" s="10">
        <v>66.040000000000006</v>
      </c>
      <c r="K268" s="10">
        <v>65.63</v>
      </c>
      <c r="L268" s="10">
        <v>65.28</v>
      </c>
      <c r="M268" s="10">
        <v>64.92</v>
      </c>
      <c r="N268" s="10">
        <v>63.8</v>
      </c>
      <c r="O268" s="10">
        <v>63.68</v>
      </c>
      <c r="P268" s="10">
        <v>63.46</v>
      </c>
      <c r="Q268" s="10">
        <v>63.2</v>
      </c>
      <c r="R268" s="10">
        <v>62.89</v>
      </c>
      <c r="S268" s="10">
        <v>62.52</v>
      </c>
      <c r="T268" s="10">
        <v>62.09</v>
      </c>
      <c r="U268" s="10">
        <v>61.67</v>
      </c>
      <c r="V268" s="10">
        <v>61.25</v>
      </c>
      <c r="W268" s="10">
        <v>60.85</v>
      </c>
      <c r="X268" s="10">
        <v>60.48</v>
      </c>
      <c r="Y268" s="10">
        <v>60.09</v>
      </c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</row>
    <row r="269" spans="1:147" x14ac:dyDescent="0.3">
      <c r="A269" s="9">
        <f>DATE(2018, 1, 12)</f>
        <v>43112</v>
      </c>
      <c r="B269" s="10">
        <v>69.87</v>
      </c>
      <c r="C269" s="10">
        <v>69.38</v>
      </c>
      <c r="D269" s="10">
        <v>68.98</v>
      </c>
      <c r="E269" s="10">
        <v>68.61</v>
      </c>
      <c r="F269" s="10">
        <v>68.22</v>
      </c>
      <c r="G269" s="10">
        <v>67.819999999999993</v>
      </c>
      <c r="H269" s="10">
        <v>67.400000000000006</v>
      </c>
      <c r="I269" s="10">
        <v>66.97</v>
      </c>
      <c r="J269" s="10">
        <v>66.55</v>
      </c>
      <c r="K269" s="10">
        <v>66.12</v>
      </c>
      <c r="L269" s="10">
        <v>65.77</v>
      </c>
      <c r="M269" s="10">
        <v>65.41</v>
      </c>
      <c r="N269" s="10">
        <v>64.3</v>
      </c>
      <c r="O269" s="10">
        <v>64.23</v>
      </c>
      <c r="P269" s="10">
        <v>64.03</v>
      </c>
      <c r="Q269" s="10">
        <v>63.77</v>
      </c>
      <c r="R269" s="10">
        <v>63.44</v>
      </c>
      <c r="S269" s="10">
        <v>63.05</v>
      </c>
      <c r="T269" s="10">
        <v>62.61</v>
      </c>
      <c r="U269" s="10">
        <v>62.17</v>
      </c>
      <c r="V269" s="10">
        <v>61.73</v>
      </c>
      <c r="W269" s="10">
        <v>61.3</v>
      </c>
      <c r="X269" s="10">
        <v>60.89</v>
      </c>
      <c r="Y269" s="10">
        <v>60.5</v>
      </c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</row>
    <row r="270" spans="1:147" x14ac:dyDescent="0.3">
      <c r="A270" s="9">
        <f>DATE(2018, 1, 15)</f>
        <v>43115</v>
      </c>
      <c r="B270" s="10">
        <v>70.260000000000005</v>
      </c>
      <c r="C270" s="10">
        <v>69.83</v>
      </c>
      <c r="D270" s="10">
        <v>69.48</v>
      </c>
      <c r="E270" s="10">
        <v>69.17</v>
      </c>
      <c r="F270" s="10">
        <v>68.81</v>
      </c>
      <c r="G270" s="10">
        <v>68.42</v>
      </c>
      <c r="H270" s="10">
        <v>68.010000000000005</v>
      </c>
      <c r="I270" s="10">
        <v>67.58</v>
      </c>
      <c r="J270" s="10">
        <v>67.16</v>
      </c>
      <c r="K270" s="10">
        <v>66.73</v>
      </c>
      <c r="L270" s="10">
        <v>66.38</v>
      </c>
      <c r="M270" s="10">
        <v>66.02</v>
      </c>
      <c r="N270" s="10">
        <v>64.3</v>
      </c>
      <c r="O270" s="10">
        <v>64.23</v>
      </c>
      <c r="P270" s="10">
        <v>64.03</v>
      </c>
      <c r="Q270" s="10">
        <v>63.77</v>
      </c>
      <c r="R270" s="10">
        <v>63.44</v>
      </c>
      <c r="S270" s="10">
        <v>63.05</v>
      </c>
      <c r="T270" s="10">
        <v>62.61</v>
      </c>
      <c r="U270" s="10">
        <v>62.17</v>
      </c>
      <c r="V270" s="10">
        <v>61.73</v>
      </c>
      <c r="W270" s="10">
        <v>61.3</v>
      </c>
      <c r="X270" s="10">
        <v>60.89</v>
      </c>
      <c r="Y270" s="10">
        <v>60.5</v>
      </c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</row>
    <row r="271" spans="1:147" x14ac:dyDescent="0.3">
      <c r="A271" s="9">
        <f>DATE(2018, 1, 16)</f>
        <v>43116</v>
      </c>
      <c r="B271" s="10">
        <v>69.150000000000006</v>
      </c>
      <c r="C271" s="10">
        <v>68.78</v>
      </c>
      <c r="D271" s="10">
        <v>68.45</v>
      </c>
      <c r="E271" s="10">
        <v>68.150000000000006</v>
      </c>
      <c r="F271" s="10">
        <v>67.83</v>
      </c>
      <c r="G271" s="10">
        <v>67.47</v>
      </c>
      <c r="H271" s="10">
        <v>67.09</v>
      </c>
      <c r="I271" s="10">
        <v>66.69</v>
      </c>
      <c r="J271" s="10">
        <v>66.290000000000006</v>
      </c>
      <c r="K271" s="10">
        <v>65.89</v>
      </c>
      <c r="L271" s="10">
        <v>65.56</v>
      </c>
      <c r="M271" s="10">
        <v>65.22</v>
      </c>
      <c r="N271" s="10">
        <v>63.73</v>
      </c>
      <c r="O271" s="10">
        <v>63.67</v>
      </c>
      <c r="P271" s="10">
        <v>63.49</v>
      </c>
      <c r="Q271" s="10">
        <v>63.27</v>
      </c>
      <c r="R271" s="10">
        <v>62.97</v>
      </c>
      <c r="S271" s="10">
        <v>62.6</v>
      </c>
      <c r="T271" s="10">
        <v>62.19</v>
      </c>
      <c r="U271" s="10">
        <v>61.78</v>
      </c>
      <c r="V271" s="10">
        <v>61.38</v>
      </c>
      <c r="W271" s="10">
        <v>60.98</v>
      </c>
      <c r="X271" s="10">
        <v>60.61</v>
      </c>
      <c r="Y271" s="10">
        <v>60.22</v>
      </c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</row>
    <row r="272" spans="1:147" x14ac:dyDescent="0.3">
      <c r="A272" s="9">
        <f>DATE(2018, 1, 17)</f>
        <v>43117</v>
      </c>
      <c r="B272" s="10">
        <v>69.38</v>
      </c>
      <c r="C272" s="10">
        <v>69</v>
      </c>
      <c r="D272" s="10">
        <v>68.650000000000006</v>
      </c>
      <c r="E272" s="10">
        <v>68.319999999999993</v>
      </c>
      <c r="F272" s="10">
        <v>67.989999999999995</v>
      </c>
      <c r="G272" s="10">
        <v>67.63</v>
      </c>
      <c r="H272" s="10">
        <v>67.25</v>
      </c>
      <c r="I272" s="10">
        <v>66.849999999999994</v>
      </c>
      <c r="J272" s="10">
        <v>66.45</v>
      </c>
      <c r="K272" s="10">
        <v>66.05</v>
      </c>
      <c r="L272" s="10">
        <v>65.72</v>
      </c>
      <c r="M272" s="10">
        <v>65.39</v>
      </c>
      <c r="N272" s="10">
        <v>63.97</v>
      </c>
      <c r="O272" s="10">
        <v>63.92</v>
      </c>
      <c r="P272" s="10">
        <v>63.74</v>
      </c>
      <c r="Q272" s="10">
        <v>63.52</v>
      </c>
      <c r="R272" s="10">
        <v>63.21</v>
      </c>
      <c r="S272" s="10">
        <v>62.85</v>
      </c>
      <c r="T272" s="10">
        <v>62.44</v>
      </c>
      <c r="U272" s="10">
        <v>62.02</v>
      </c>
      <c r="V272" s="10">
        <v>61.6</v>
      </c>
      <c r="W272" s="10">
        <v>61.2</v>
      </c>
      <c r="X272" s="10">
        <v>60.82</v>
      </c>
      <c r="Y272" s="10">
        <v>60.43</v>
      </c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</row>
    <row r="273" spans="1:147" x14ac:dyDescent="0.3">
      <c r="A273" s="9">
        <f>DATE(2018, 1, 18)</f>
        <v>43118</v>
      </c>
      <c r="B273" s="10">
        <v>69.31</v>
      </c>
      <c r="C273" s="10">
        <v>68.92</v>
      </c>
      <c r="D273" s="10">
        <v>68.59</v>
      </c>
      <c r="E273" s="10">
        <v>68.28</v>
      </c>
      <c r="F273" s="10">
        <v>67.97</v>
      </c>
      <c r="G273" s="10">
        <v>67.64</v>
      </c>
      <c r="H273" s="10">
        <v>67.28</v>
      </c>
      <c r="I273" s="10">
        <v>66.89</v>
      </c>
      <c r="J273" s="10">
        <v>66.5</v>
      </c>
      <c r="K273" s="10">
        <v>66.11</v>
      </c>
      <c r="L273" s="10">
        <v>65.78</v>
      </c>
      <c r="M273" s="10">
        <v>65.459999999999994</v>
      </c>
      <c r="N273" s="10">
        <v>63.95</v>
      </c>
      <c r="O273" s="10">
        <v>63.89</v>
      </c>
      <c r="P273" s="10">
        <v>63.71</v>
      </c>
      <c r="Q273" s="10">
        <v>63.49</v>
      </c>
      <c r="R273" s="10">
        <v>63.2</v>
      </c>
      <c r="S273" s="10">
        <v>62.85</v>
      </c>
      <c r="T273" s="10">
        <v>62.45</v>
      </c>
      <c r="U273" s="10">
        <v>62.03</v>
      </c>
      <c r="V273" s="10">
        <v>61.63</v>
      </c>
      <c r="W273" s="10">
        <v>61.24</v>
      </c>
      <c r="X273" s="10">
        <v>60.86</v>
      </c>
      <c r="Y273" s="10">
        <v>60.47</v>
      </c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</row>
    <row r="274" spans="1:147" x14ac:dyDescent="0.3">
      <c r="A274" s="9">
        <f>DATE(2018, 1, 19)</f>
        <v>43119</v>
      </c>
      <c r="B274" s="10">
        <v>68.61</v>
      </c>
      <c r="C274" s="10">
        <v>68.239999999999995</v>
      </c>
      <c r="D274" s="10">
        <v>67.900000000000006</v>
      </c>
      <c r="E274" s="10">
        <v>67.599999999999994</v>
      </c>
      <c r="F274" s="10">
        <v>67.3</v>
      </c>
      <c r="G274" s="10">
        <v>66.989999999999995</v>
      </c>
      <c r="H274" s="10">
        <v>66.650000000000006</v>
      </c>
      <c r="I274" s="10">
        <v>66.28</v>
      </c>
      <c r="J274" s="10">
        <v>65.92</v>
      </c>
      <c r="K274" s="10">
        <v>65.55</v>
      </c>
      <c r="L274" s="10">
        <v>65.239999999999995</v>
      </c>
      <c r="M274" s="10">
        <v>64.95</v>
      </c>
      <c r="N274" s="10">
        <v>63.37</v>
      </c>
      <c r="O274" s="10">
        <v>63.31</v>
      </c>
      <c r="P274" s="10">
        <v>63.16</v>
      </c>
      <c r="Q274" s="10">
        <v>62.96</v>
      </c>
      <c r="R274" s="10">
        <v>62.68</v>
      </c>
      <c r="S274" s="10">
        <v>62.33</v>
      </c>
      <c r="T274" s="10">
        <v>61.93</v>
      </c>
      <c r="U274" s="10">
        <v>61.53</v>
      </c>
      <c r="V274" s="10">
        <v>61.14</v>
      </c>
      <c r="W274" s="10">
        <v>60.77</v>
      </c>
      <c r="X274" s="10">
        <v>60.41</v>
      </c>
      <c r="Y274" s="10">
        <v>60.05</v>
      </c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</row>
    <row r="275" spans="1:147" x14ac:dyDescent="0.3">
      <c r="A275" s="9">
        <f>DATE(2018, 1, 22)</f>
        <v>43122</v>
      </c>
      <c r="B275" s="10">
        <v>69.03</v>
      </c>
      <c r="C275" s="10">
        <v>68.63</v>
      </c>
      <c r="D275" s="10">
        <v>68.260000000000005</v>
      </c>
      <c r="E275" s="10">
        <v>67.94</v>
      </c>
      <c r="F275" s="10">
        <v>67.62</v>
      </c>
      <c r="G275" s="10">
        <v>67.3</v>
      </c>
      <c r="H275" s="10">
        <v>66.95</v>
      </c>
      <c r="I275" s="10">
        <v>66.569999999999993</v>
      </c>
      <c r="J275" s="10">
        <v>66.2</v>
      </c>
      <c r="K275" s="10">
        <v>65.819999999999993</v>
      </c>
      <c r="L275" s="10">
        <v>65.5</v>
      </c>
      <c r="M275" s="10">
        <v>65.19</v>
      </c>
      <c r="N275" s="10">
        <v>63.49</v>
      </c>
      <c r="O275" s="10">
        <v>63.57</v>
      </c>
      <c r="P275" s="10">
        <v>63.43</v>
      </c>
      <c r="Q275" s="10">
        <v>63.23</v>
      </c>
      <c r="R275" s="10">
        <v>62.96</v>
      </c>
      <c r="S275" s="10">
        <v>62.62</v>
      </c>
      <c r="T275" s="10">
        <v>62.22</v>
      </c>
      <c r="U275" s="10">
        <v>61.82</v>
      </c>
      <c r="V275" s="10">
        <v>61.42</v>
      </c>
      <c r="W275" s="10">
        <v>61.03</v>
      </c>
      <c r="X275" s="10">
        <v>60.67</v>
      </c>
      <c r="Y275" s="10">
        <v>60.3</v>
      </c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</row>
    <row r="276" spans="1:147" x14ac:dyDescent="0.3">
      <c r="A276" s="9">
        <f>DATE(2018, 1, 23)</f>
        <v>43123</v>
      </c>
      <c r="B276" s="10">
        <v>69.959999999999994</v>
      </c>
      <c r="C276" s="10">
        <v>69.540000000000006</v>
      </c>
      <c r="D276" s="10">
        <v>69.150000000000006</v>
      </c>
      <c r="E276" s="10">
        <v>68.790000000000006</v>
      </c>
      <c r="F276" s="10">
        <v>68.430000000000007</v>
      </c>
      <c r="G276" s="10">
        <v>68.08</v>
      </c>
      <c r="H276" s="10">
        <v>67.709999999999994</v>
      </c>
      <c r="I276" s="10">
        <v>67.3</v>
      </c>
      <c r="J276" s="10">
        <v>66.900000000000006</v>
      </c>
      <c r="K276" s="10">
        <v>66.489999999999995</v>
      </c>
      <c r="L276" s="10">
        <v>66.150000000000006</v>
      </c>
      <c r="M276" s="10">
        <v>65.819999999999993</v>
      </c>
      <c r="N276" s="10">
        <v>64.47</v>
      </c>
      <c r="O276" s="10">
        <v>64.31</v>
      </c>
      <c r="P276" s="10">
        <v>64.09</v>
      </c>
      <c r="Q276" s="10">
        <v>63.79</v>
      </c>
      <c r="R276" s="10">
        <v>63.42</v>
      </c>
      <c r="S276" s="10">
        <v>62.98</v>
      </c>
      <c r="T276" s="10">
        <v>62.55</v>
      </c>
      <c r="U276" s="10">
        <v>62.12</v>
      </c>
      <c r="V276" s="10">
        <v>61.68</v>
      </c>
      <c r="W276" s="10">
        <v>61.3</v>
      </c>
      <c r="X276" s="10">
        <v>60.9</v>
      </c>
      <c r="Y276" s="10">
        <v>60.48</v>
      </c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</row>
    <row r="277" spans="1:147" x14ac:dyDescent="0.3">
      <c r="A277" s="9">
        <f>DATE(2018, 1, 24)</f>
        <v>43124</v>
      </c>
      <c r="B277" s="10">
        <v>70.53</v>
      </c>
      <c r="C277" s="10">
        <v>70.02</v>
      </c>
      <c r="D277" s="10">
        <v>69.599999999999994</v>
      </c>
      <c r="E277" s="10">
        <v>69.209999999999994</v>
      </c>
      <c r="F277" s="10">
        <v>68.819999999999993</v>
      </c>
      <c r="G277" s="10">
        <v>68.44</v>
      </c>
      <c r="H277" s="10">
        <v>68.03</v>
      </c>
      <c r="I277" s="10">
        <v>67.59</v>
      </c>
      <c r="J277" s="10">
        <v>67.150000000000006</v>
      </c>
      <c r="K277" s="10">
        <v>66.709999999999994</v>
      </c>
      <c r="L277" s="10">
        <v>66.33</v>
      </c>
      <c r="M277" s="10">
        <v>65.97</v>
      </c>
      <c r="N277" s="10">
        <v>65.61</v>
      </c>
      <c r="O277" s="10">
        <v>65.36</v>
      </c>
      <c r="P277" s="10">
        <v>65.03</v>
      </c>
      <c r="Q277" s="10">
        <v>64.61</v>
      </c>
      <c r="R277" s="10">
        <v>64.12</v>
      </c>
      <c r="S277" s="10">
        <v>63.58</v>
      </c>
      <c r="T277" s="10">
        <v>63.05</v>
      </c>
      <c r="U277" s="10">
        <v>62.55</v>
      </c>
      <c r="V277" s="10">
        <v>62.07</v>
      </c>
      <c r="W277" s="10">
        <v>61.63</v>
      </c>
      <c r="X277" s="10">
        <v>61.18</v>
      </c>
      <c r="Y277" s="10">
        <v>60.71</v>
      </c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</row>
    <row r="278" spans="1:147" x14ac:dyDescent="0.3">
      <c r="A278" s="9">
        <f>DATE(2018, 1, 25)</f>
        <v>43125</v>
      </c>
      <c r="B278" s="10">
        <v>70.42</v>
      </c>
      <c r="C278" s="10">
        <v>69.97</v>
      </c>
      <c r="D278" s="10">
        <v>69.599999999999994</v>
      </c>
      <c r="E278" s="10">
        <v>69.260000000000005</v>
      </c>
      <c r="F278" s="10">
        <v>68.900000000000006</v>
      </c>
      <c r="G278" s="10">
        <v>68.540000000000006</v>
      </c>
      <c r="H278" s="10">
        <v>68.14</v>
      </c>
      <c r="I278" s="10">
        <v>67.72</v>
      </c>
      <c r="J278" s="10">
        <v>67.28</v>
      </c>
      <c r="K278" s="10">
        <v>66.83</v>
      </c>
      <c r="L278" s="10">
        <v>66.459999999999994</v>
      </c>
      <c r="M278" s="10">
        <v>66.09</v>
      </c>
      <c r="N278" s="10">
        <v>65.510000000000005</v>
      </c>
      <c r="O278" s="10">
        <v>65.37</v>
      </c>
      <c r="P278" s="10">
        <v>65.099999999999994</v>
      </c>
      <c r="Q278" s="10">
        <v>64.72</v>
      </c>
      <c r="R278" s="10">
        <v>64.27</v>
      </c>
      <c r="S278" s="10">
        <v>63.75</v>
      </c>
      <c r="T278" s="10">
        <v>63.23</v>
      </c>
      <c r="U278" s="10">
        <v>62.74</v>
      </c>
      <c r="V278" s="10">
        <v>62.27</v>
      </c>
      <c r="W278" s="10">
        <v>61.82</v>
      </c>
      <c r="X278" s="10">
        <v>61.36</v>
      </c>
      <c r="Y278" s="10">
        <v>60.88</v>
      </c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</row>
    <row r="279" spans="1:147" x14ac:dyDescent="0.3">
      <c r="A279" s="9">
        <f>DATE(2018, 1, 26)</f>
        <v>43126</v>
      </c>
      <c r="B279" s="10">
        <v>70.52</v>
      </c>
      <c r="C279" s="10">
        <v>70.150000000000006</v>
      </c>
      <c r="D279" s="10">
        <v>69.8</v>
      </c>
      <c r="E279" s="10">
        <v>69.459999999999994</v>
      </c>
      <c r="F279" s="10">
        <v>69.09</v>
      </c>
      <c r="G279" s="10">
        <v>68.709999999999994</v>
      </c>
      <c r="H279" s="10">
        <v>68.290000000000006</v>
      </c>
      <c r="I279" s="10">
        <v>67.849999999999994</v>
      </c>
      <c r="J279" s="10">
        <v>67.400000000000006</v>
      </c>
      <c r="K279" s="10">
        <v>66.930000000000007</v>
      </c>
      <c r="L279" s="10">
        <v>66.53</v>
      </c>
      <c r="M279" s="10">
        <v>66.150000000000006</v>
      </c>
      <c r="N279" s="10">
        <v>66.14</v>
      </c>
      <c r="O279" s="10">
        <v>65.97</v>
      </c>
      <c r="P279" s="10">
        <v>65.67</v>
      </c>
      <c r="Q279" s="10">
        <v>65.260000000000005</v>
      </c>
      <c r="R279" s="10">
        <v>64.760000000000005</v>
      </c>
      <c r="S279" s="10">
        <v>64.2</v>
      </c>
      <c r="T279" s="10">
        <v>63.65</v>
      </c>
      <c r="U279" s="10">
        <v>63.12</v>
      </c>
      <c r="V279" s="10">
        <v>62.61</v>
      </c>
      <c r="W279" s="10">
        <v>62.14</v>
      </c>
      <c r="X279" s="10">
        <v>61.66</v>
      </c>
      <c r="Y279" s="10">
        <v>61.15</v>
      </c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</row>
    <row r="280" spans="1:147" x14ac:dyDescent="0.3">
      <c r="A280" s="9">
        <f>DATE(2018, 1, 29)</f>
        <v>43129</v>
      </c>
      <c r="B280" s="10">
        <v>69.459999999999994</v>
      </c>
      <c r="C280" s="10">
        <v>69.2</v>
      </c>
      <c r="D280" s="10">
        <v>68.94</v>
      </c>
      <c r="E280" s="10">
        <v>68.67</v>
      </c>
      <c r="F280" s="10">
        <v>68.349999999999994</v>
      </c>
      <c r="G280" s="10">
        <v>68</v>
      </c>
      <c r="H280" s="10">
        <v>67.61</v>
      </c>
      <c r="I280" s="10">
        <v>67.2</v>
      </c>
      <c r="J280" s="10">
        <v>66.77</v>
      </c>
      <c r="K280" s="10">
        <v>66.319999999999993</v>
      </c>
      <c r="L280" s="10">
        <v>65.94</v>
      </c>
      <c r="M280" s="10">
        <v>65.58</v>
      </c>
      <c r="N280" s="10">
        <v>65.56</v>
      </c>
      <c r="O280" s="10">
        <v>65.39</v>
      </c>
      <c r="P280" s="10">
        <v>65.099999999999994</v>
      </c>
      <c r="Q280" s="10">
        <v>64.709999999999994</v>
      </c>
      <c r="R280" s="10">
        <v>64.239999999999995</v>
      </c>
      <c r="S280" s="10">
        <v>63.7</v>
      </c>
      <c r="T280" s="10">
        <v>63.16</v>
      </c>
      <c r="U280" s="10">
        <v>62.63</v>
      </c>
      <c r="V280" s="10">
        <v>62.12</v>
      </c>
      <c r="W280" s="10">
        <v>61.65</v>
      </c>
      <c r="X280" s="10">
        <v>61.17</v>
      </c>
      <c r="Y280" s="10">
        <v>60.67</v>
      </c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</row>
    <row r="281" spans="1:147" x14ac:dyDescent="0.3">
      <c r="A281" s="9">
        <f>DATE(2018, 1, 30)</f>
        <v>43130</v>
      </c>
      <c r="B281" s="10">
        <v>69.02</v>
      </c>
      <c r="C281" s="10">
        <v>68.52</v>
      </c>
      <c r="D281" s="10">
        <v>68.209999999999994</v>
      </c>
      <c r="E281" s="10">
        <v>67.900000000000006</v>
      </c>
      <c r="F281" s="10">
        <v>67.540000000000006</v>
      </c>
      <c r="G281" s="10">
        <v>67.180000000000007</v>
      </c>
      <c r="H281" s="10">
        <v>66.8</v>
      </c>
      <c r="I281" s="10">
        <v>66.400000000000006</v>
      </c>
      <c r="J281" s="10">
        <v>65.989999999999995</v>
      </c>
      <c r="K281" s="10">
        <v>65.56</v>
      </c>
      <c r="L281" s="10">
        <v>65.19</v>
      </c>
      <c r="M281" s="10">
        <v>64.849999999999994</v>
      </c>
      <c r="N281" s="10">
        <v>64.5</v>
      </c>
      <c r="O281" s="10">
        <v>64.349999999999994</v>
      </c>
      <c r="P281" s="10">
        <v>64.11</v>
      </c>
      <c r="Q281" s="10">
        <v>63.77</v>
      </c>
      <c r="R281" s="10">
        <v>63.34</v>
      </c>
      <c r="S281" s="10">
        <v>62.83</v>
      </c>
      <c r="T281" s="10">
        <v>62.3</v>
      </c>
      <c r="U281" s="10">
        <v>61.78</v>
      </c>
      <c r="V281" s="10">
        <v>61.29</v>
      </c>
      <c r="W281" s="10">
        <v>60.83</v>
      </c>
      <c r="X281" s="10">
        <v>60.37</v>
      </c>
      <c r="Y281" s="10">
        <v>59.89</v>
      </c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</row>
    <row r="282" spans="1:147" x14ac:dyDescent="0.3">
      <c r="A282" s="9">
        <f>DATE(2018, 1, 31)</f>
        <v>43131</v>
      </c>
      <c r="B282" s="10">
        <v>69.05</v>
      </c>
      <c r="C282" s="10">
        <v>68.89</v>
      </c>
      <c r="D282" s="10">
        <v>68.569999999999993</v>
      </c>
      <c r="E282" s="10">
        <v>68.239999999999995</v>
      </c>
      <c r="F282" s="10">
        <v>67.87</v>
      </c>
      <c r="G282" s="10">
        <v>67.5</v>
      </c>
      <c r="H282" s="10">
        <v>67.11</v>
      </c>
      <c r="I282" s="10">
        <v>66.709999999999994</v>
      </c>
      <c r="J282" s="10">
        <v>66.28</v>
      </c>
      <c r="K282" s="10">
        <v>65.83</v>
      </c>
      <c r="L282" s="10">
        <v>65.45</v>
      </c>
      <c r="M282" s="10">
        <v>65.09</v>
      </c>
      <c r="N282" s="10">
        <v>64.73</v>
      </c>
      <c r="O282" s="10">
        <v>64.56</v>
      </c>
      <c r="P282" s="10">
        <v>64.31</v>
      </c>
      <c r="Q282" s="10">
        <v>63.96</v>
      </c>
      <c r="R282" s="10">
        <v>63.53</v>
      </c>
      <c r="S282" s="10">
        <v>63.02</v>
      </c>
      <c r="T282" s="10">
        <v>62.49</v>
      </c>
      <c r="U282" s="10">
        <v>61.97</v>
      </c>
      <c r="V282" s="10">
        <v>61.47</v>
      </c>
      <c r="W282" s="10">
        <v>61.01</v>
      </c>
      <c r="X282" s="10">
        <v>60.56</v>
      </c>
      <c r="Y282" s="10">
        <v>60.08</v>
      </c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</row>
    <row r="283" spans="1:147" x14ac:dyDescent="0.3">
      <c r="A283" s="9">
        <f>DATE(2018, 2, 1)</f>
        <v>43132</v>
      </c>
      <c r="B283" s="10">
        <v>69.650000000000006</v>
      </c>
      <c r="C283" s="10">
        <v>69.349999999999994</v>
      </c>
      <c r="D283" s="10">
        <v>69.02</v>
      </c>
      <c r="E283" s="10">
        <v>68.64</v>
      </c>
      <c r="F283" s="10">
        <v>68.25</v>
      </c>
      <c r="G283" s="10">
        <v>67.84</v>
      </c>
      <c r="H283" s="10">
        <v>67.42</v>
      </c>
      <c r="I283" s="10">
        <v>66.959999999999994</v>
      </c>
      <c r="J283" s="10">
        <v>66.489999999999995</v>
      </c>
      <c r="K283" s="10">
        <v>66.069999999999993</v>
      </c>
      <c r="L283" s="10">
        <v>65.680000000000007</v>
      </c>
      <c r="M283" s="10">
        <v>65.290000000000006</v>
      </c>
      <c r="N283" s="10">
        <v>65.8</v>
      </c>
      <c r="O283" s="10">
        <v>65.55</v>
      </c>
      <c r="P283" s="10">
        <v>65.209999999999994</v>
      </c>
      <c r="Q283" s="10">
        <v>64.8</v>
      </c>
      <c r="R283" s="10">
        <v>64.319999999999993</v>
      </c>
      <c r="S283" s="10">
        <v>63.77</v>
      </c>
      <c r="T283" s="10">
        <v>63.2</v>
      </c>
      <c r="U283" s="10">
        <v>62.63</v>
      </c>
      <c r="V283" s="10">
        <v>62.1</v>
      </c>
      <c r="W283" s="10">
        <v>61.61</v>
      </c>
      <c r="X283" s="10">
        <v>61.13</v>
      </c>
      <c r="Y283" s="10">
        <v>60.63</v>
      </c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</row>
    <row r="284" spans="1:147" x14ac:dyDescent="0.3">
      <c r="A284" s="9">
        <f>DATE(2018, 2, 2)</f>
        <v>43133</v>
      </c>
      <c r="B284" s="10">
        <v>68.58</v>
      </c>
      <c r="C284" s="10">
        <v>68.28</v>
      </c>
      <c r="D284" s="10">
        <v>67.930000000000007</v>
      </c>
      <c r="E284" s="10">
        <v>67.540000000000006</v>
      </c>
      <c r="F284" s="10">
        <v>67.150000000000006</v>
      </c>
      <c r="G284" s="10">
        <v>66.739999999999995</v>
      </c>
      <c r="H284" s="10">
        <v>66.319999999999993</v>
      </c>
      <c r="I284" s="10">
        <v>65.88</v>
      </c>
      <c r="J284" s="10">
        <v>65.41</v>
      </c>
      <c r="K284" s="10">
        <v>65</v>
      </c>
      <c r="L284" s="10">
        <v>64.61</v>
      </c>
      <c r="M284" s="10">
        <v>64.22</v>
      </c>
      <c r="N284" s="10">
        <v>65.45</v>
      </c>
      <c r="O284" s="10">
        <v>65.069999999999993</v>
      </c>
      <c r="P284" s="10">
        <v>64.61</v>
      </c>
      <c r="Q284" s="10">
        <v>64.11</v>
      </c>
      <c r="R284" s="10">
        <v>63.55</v>
      </c>
      <c r="S284" s="10">
        <v>62.95</v>
      </c>
      <c r="T284" s="10">
        <v>62.35</v>
      </c>
      <c r="U284" s="10">
        <v>61.77</v>
      </c>
      <c r="V284" s="10">
        <v>61.24</v>
      </c>
      <c r="W284" s="10">
        <v>60.73</v>
      </c>
      <c r="X284" s="10">
        <v>60.24</v>
      </c>
      <c r="Y284" s="10">
        <v>59.73</v>
      </c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</row>
    <row r="285" spans="1:147" x14ac:dyDescent="0.3">
      <c r="A285" s="9">
        <f>DATE(2018, 2, 5)</f>
        <v>43136</v>
      </c>
      <c r="B285" s="10">
        <v>67.62</v>
      </c>
      <c r="C285" s="10">
        <v>67.28</v>
      </c>
      <c r="D285" s="10">
        <v>66.930000000000007</v>
      </c>
      <c r="E285" s="10">
        <v>66.56</v>
      </c>
      <c r="F285" s="10">
        <v>66.2</v>
      </c>
      <c r="G285" s="10">
        <v>65.819999999999993</v>
      </c>
      <c r="H285" s="10">
        <v>65.44</v>
      </c>
      <c r="I285" s="10">
        <v>65.040000000000006</v>
      </c>
      <c r="J285" s="10">
        <v>64.61</v>
      </c>
      <c r="K285" s="10">
        <v>64.239999999999995</v>
      </c>
      <c r="L285" s="10">
        <v>63.89</v>
      </c>
      <c r="M285" s="10">
        <v>63.54</v>
      </c>
      <c r="N285" s="10">
        <v>64.150000000000006</v>
      </c>
      <c r="O285" s="10">
        <v>63.83</v>
      </c>
      <c r="P285" s="10">
        <v>63.41</v>
      </c>
      <c r="Q285" s="10">
        <v>62.96</v>
      </c>
      <c r="R285" s="10">
        <v>62.46</v>
      </c>
      <c r="S285" s="10">
        <v>61.92</v>
      </c>
      <c r="T285" s="10">
        <v>61.38</v>
      </c>
      <c r="U285" s="10">
        <v>60.88</v>
      </c>
      <c r="V285" s="10">
        <v>60.4</v>
      </c>
      <c r="W285" s="10">
        <v>59.97</v>
      </c>
      <c r="X285" s="10">
        <v>59.54</v>
      </c>
      <c r="Y285" s="10">
        <v>59.08</v>
      </c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</row>
    <row r="286" spans="1:147" x14ac:dyDescent="0.3">
      <c r="A286" s="9">
        <f>DATE(2018, 2, 6)</f>
        <v>43137</v>
      </c>
      <c r="B286" s="10">
        <v>66.86</v>
      </c>
      <c r="C286" s="10">
        <v>66.48</v>
      </c>
      <c r="D286" s="10">
        <v>66.11</v>
      </c>
      <c r="E286" s="10">
        <v>65.75</v>
      </c>
      <c r="F286" s="10">
        <v>65.38</v>
      </c>
      <c r="G286" s="10">
        <v>65</v>
      </c>
      <c r="H286" s="10">
        <v>64.61</v>
      </c>
      <c r="I286" s="10">
        <v>64.209999999999994</v>
      </c>
      <c r="J286" s="10">
        <v>63.79</v>
      </c>
      <c r="K286" s="10">
        <v>63.43</v>
      </c>
      <c r="L286" s="10">
        <v>63.09</v>
      </c>
      <c r="M286" s="10">
        <v>62.75</v>
      </c>
      <c r="N286" s="10">
        <v>63.39</v>
      </c>
      <c r="O286" s="10">
        <v>63.11</v>
      </c>
      <c r="P286" s="10">
        <v>62.7</v>
      </c>
      <c r="Q286" s="10">
        <v>62.26</v>
      </c>
      <c r="R286" s="10">
        <v>61.75</v>
      </c>
      <c r="S286" s="10">
        <v>61.21</v>
      </c>
      <c r="T286" s="10">
        <v>60.67</v>
      </c>
      <c r="U286" s="10">
        <v>60.17</v>
      </c>
      <c r="V286" s="10">
        <v>59.71</v>
      </c>
      <c r="W286" s="10">
        <v>59.3</v>
      </c>
      <c r="X286" s="10">
        <v>58.88</v>
      </c>
      <c r="Y286" s="10">
        <v>58.45</v>
      </c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</row>
    <row r="287" spans="1:147" x14ac:dyDescent="0.3">
      <c r="A287" s="9">
        <f>DATE(2018, 2, 7)</f>
        <v>43138</v>
      </c>
      <c r="B287" s="10">
        <v>65.510000000000005</v>
      </c>
      <c r="C287" s="10">
        <v>65.150000000000006</v>
      </c>
      <c r="D287" s="10">
        <v>64.790000000000006</v>
      </c>
      <c r="E287" s="10">
        <v>64.45</v>
      </c>
      <c r="F287" s="10">
        <v>64.09</v>
      </c>
      <c r="G287" s="10">
        <v>63.73</v>
      </c>
      <c r="H287" s="10">
        <v>63.36</v>
      </c>
      <c r="I287" s="10">
        <v>62.99</v>
      </c>
      <c r="J287" s="10">
        <v>62.6</v>
      </c>
      <c r="K287" s="10">
        <v>62.26</v>
      </c>
      <c r="L287" s="10">
        <v>61.95</v>
      </c>
      <c r="M287" s="10">
        <v>61.64</v>
      </c>
      <c r="N287" s="10">
        <v>61.79</v>
      </c>
      <c r="O287" s="10">
        <v>61.55</v>
      </c>
      <c r="P287" s="10">
        <v>61.19</v>
      </c>
      <c r="Q287" s="10">
        <v>60.81</v>
      </c>
      <c r="R287" s="10">
        <v>60.36</v>
      </c>
      <c r="S287" s="10">
        <v>59.86</v>
      </c>
      <c r="T287" s="10">
        <v>59.35</v>
      </c>
      <c r="U287" s="10">
        <v>58.87</v>
      </c>
      <c r="V287" s="10">
        <v>58.44</v>
      </c>
      <c r="W287" s="10">
        <v>58.04</v>
      </c>
      <c r="X287" s="10">
        <v>57.65</v>
      </c>
      <c r="Y287" s="10">
        <v>57.23</v>
      </c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</row>
    <row r="288" spans="1:147" x14ac:dyDescent="0.3">
      <c r="A288" s="9">
        <f>DATE(2018, 2, 8)</f>
        <v>43139</v>
      </c>
      <c r="B288" s="10">
        <v>64.81</v>
      </c>
      <c r="C288" s="10">
        <v>64.489999999999995</v>
      </c>
      <c r="D288" s="10">
        <v>64.180000000000007</v>
      </c>
      <c r="E288" s="10">
        <v>63.87</v>
      </c>
      <c r="F288" s="10">
        <v>63.53</v>
      </c>
      <c r="G288" s="10">
        <v>63.18</v>
      </c>
      <c r="H288" s="10">
        <v>62.82</v>
      </c>
      <c r="I288" s="10">
        <v>62.47</v>
      </c>
      <c r="J288" s="10">
        <v>62.09</v>
      </c>
      <c r="K288" s="10">
        <v>61.77</v>
      </c>
      <c r="L288" s="10">
        <v>61.48</v>
      </c>
      <c r="M288" s="10">
        <v>61.18</v>
      </c>
      <c r="N288" s="10">
        <v>61.15</v>
      </c>
      <c r="O288" s="10">
        <v>60.94</v>
      </c>
      <c r="P288" s="10">
        <v>60.62</v>
      </c>
      <c r="Q288" s="10">
        <v>60.27</v>
      </c>
      <c r="R288" s="10">
        <v>59.86</v>
      </c>
      <c r="S288" s="10">
        <v>59.39</v>
      </c>
      <c r="T288" s="10">
        <v>58.9</v>
      </c>
      <c r="U288" s="10">
        <v>58.45</v>
      </c>
      <c r="V288" s="10">
        <v>58.03</v>
      </c>
      <c r="W288" s="10">
        <v>57.63</v>
      </c>
      <c r="X288" s="10">
        <v>57.24</v>
      </c>
      <c r="Y288" s="10">
        <v>56.84</v>
      </c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</row>
    <row r="289" spans="1:147" x14ac:dyDescent="0.3">
      <c r="A289" s="9">
        <f>DATE(2018, 2, 9)</f>
        <v>43140</v>
      </c>
      <c r="B289" s="10">
        <v>62.79</v>
      </c>
      <c r="C289" s="10">
        <v>62.48</v>
      </c>
      <c r="D289" s="10">
        <v>62.16</v>
      </c>
      <c r="E289" s="10">
        <v>61.85</v>
      </c>
      <c r="F289" s="10">
        <v>61.52</v>
      </c>
      <c r="G289" s="10">
        <v>61.18</v>
      </c>
      <c r="H289" s="10">
        <v>60.85</v>
      </c>
      <c r="I289" s="10">
        <v>60.53</v>
      </c>
      <c r="J289" s="10">
        <v>60.2</v>
      </c>
      <c r="K289" s="10">
        <v>59.92</v>
      </c>
      <c r="L289" s="10">
        <v>59.66</v>
      </c>
      <c r="M289" s="10">
        <v>59.4</v>
      </c>
      <c r="N289" s="10">
        <v>59.2</v>
      </c>
      <c r="O289" s="10">
        <v>58.99</v>
      </c>
      <c r="P289" s="10">
        <v>58.67</v>
      </c>
      <c r="Q289" s="10">
        <v>58.32</v>
      </c>
      <c r="R289" s="10">
        <v>57.9</v>
      </c>
      <c r="S289" s="10">
        <v>57.45</v>
      </c>
      <c r="T289" s="10">
        <v>56.99</v>
      </c>
      <c r="U289" s="10">
        <v>56.57</v>
      </c>
      <c r="V289" s="10">
        <v>56.17</v>
      </c>
      <c r="W289" s="10">
        <v>55.8</v>
      </c>
      <c r="X289" s="10">
        <v>55.43</v>
      </c>
      <c r="Y289" s="10">
        <v>55.06</v>
      </c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</row>
    <row r="290" spans="1:147" x14ac:dyDescent="0.3">
      <c r="A290" s="9">
        <f>DATE(2018, 2, 12)</f>
        <v>43143</v>
      </c>
      <c r="B290" s="10">
        <v>62.59</v>
      </c>
      <c r="C290" s="10">
        <v>62.33</v>
      </c>
      <c r="D290" s="10">
        <v>62.04</v>
      </c>
      <c r="E290" s="10">
        <v>61.74</v>
      </c>
      <c r="F290" s="10">
        <v>61.43</v>
      </c>
      <c r="G290" s="10">
        <v>61.1</v>
      </c>
      <c r="H290" s="10">
        <v>60.78</v>
      </c>
      <c r="I290" s="10">
        <v>60.47</v>
      </c>
      <c r="J290" s="10">
        <v>60.15</v>
      </c>
      <c r="K290" s="10">
        <v>59.87</v>
      </c>
      <c r="L290" s="10">
        <v>59.62</v>
      </c>
      <c r="M290" s="10">
        <v>59.38</v>
      </c>
      <c r="N290" s="10">
        <v>59.29</v>
      </c>
      <c r="O290" s="10">
        <v>59.08</v>
      </c>
      <c r="P290" s="10">
        <v>58.73</v>
      </c>
      <c r="Q290" s="10">
        <v>58.35</v>
      </c>
      <c r="R290" s="10">
        <v>57.92</v>
      </c>
      <c r="S290" s="10">
        <v>57.46</v>
      </c>
      <c r="T290" s="10">
        <v>57.01</v>
      </c>
      <c r="U290" s="10">
        <v>56.59</v>
      </c>
      <c r="V290" s="10">
        <v>56.2</v>
      </c>
      <c r="W290" s="10">
        <v>55.83</v>
      </c>
      <c r="X290" s="10">
        <v>55.48</v>
      </c>
      <c r="Y290" s="10">
        <v>55.12</v>
      </c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</row>
    <row r="291" spans="1:147" x14ac:dyDescent="0.3">
      <c r="A291" s="9">
        <f>DATE(2018, 2, 13)</f>
        <v>43144</v>
      </c>
      <c r="B291" s="10">
        <v>62.72</v>
      </c>
      <c r="C291" s="10">
        <v>62.44</v>
      </c>
      <c r="D291" s="10">
        <v>62.15</v>
      </c>
      <c r="E291" s="10">
        <v>61.86</v>
      </c>
      <c r="F291" s="10">
        <v>61.56</v>
      </c>
      <c r="G291" s="10">
        <v>61.25</v>
      </c>
      <c r="H291" s="10">
        <v>60.94</v>
      </c>
      <c r="I291" s="10">
        <v>60.65</v>
      </c>
      <c r="J291" s="10">
        <v>60.34</v>
      </c>
      <c r="K291" s="10">
        <v>60.06</v>
      </c>
      <c r="L291" s="10">
        <v>59.82</v>
      </c>
      <c r="M291" s="10">
        <v>59.59</v>
      </c>
      <c r="N291" s="10">
        <v>59.19</v>
      </c>
      <c r="O291" s="10">
        <v>59.03</v>
      </c>
      <c r="P291" s="10">
        <v>58.75</v>
      </c>
      <c r="Q291" s="10">
        <v>58.41</v>
      </c>
      <c r="R291" s="10">
        <v>58.02</v>
      </c>
      <c r="S291" s="10">
        <v>57.58</v>
      </c>
      <c r="T291" s="10">
        <v>57.14</v>
      </c>
      <c r="U291" s="10">
        <v>56.74</v>
      </c>
      <c r="V291" s="10">
        <v>56.37</v>
      </c>
      <c r="W291" s="10">
        <v>56.03</v>
      </c>
      <c r="X291" s="10">
        <v>55.69</v>
      </c>
      <c r="Y291" s="10">
        <v>55.37</v>
      </c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</row>
    <row r="292" spans="1:147" x14ac:dyDescent="0.3">
      <c r="A292" s="9">
        <f>DATE(2018, 2, 14)</f>
        <v>43145</v>
      </c>
      <c r="B292" s="10">
        <v>64.36</v>
      </c>
      <c r="C292" s="10">
        <v>64.02</v>
      </c>
      <c r="D292" s="10">
        <v>63.68</v>
      </c>
      <c r="E292" s="10">
        <v>63.34</v>
      </c>
      <c r="F292" s="10">
        <v>62.99</v>
      </c>
      <c r="G292" s="10">
        <v>62.64</v>
      </c>
      <c r="H292" s="10">
        <v>62.27</v>
      </c>
      <c r="I292" s="10">
        <v>61.91</v>
      </c>
      <c r="J292" s="10">
        <v>61.55</v>
      </c>
      <c r="K292" s="10">
        <v>61.21</v>
      </c>
      <c r="L292" s="10">
        <v>60.92</v>
      </c>
      <c r="M292" s="10">
        <v>60.63</v>
      </c>
      <c r="N292" s="10">
        <v>60.6</v>
      </c>
      <c r="O292" s="10">
        <v>60.51</v>
      </c>
      <c r="P292" s="10">
        <v>60.27</v>
      </c>
      <c r="Q292" s="10">
        <v>59.92</v>
      </c>
      <c r="R292" s="10">
        <v>59.48</v>
      </c>
      <c r="S292" s="10">
        <v>59</v>
      </c>
      <c r="T292" s="10">
        <v>58.51</v>
      </c>
      <c r="U292" s="10">
        <v>58.05</v>
      </c>
      <c r="V292" s="10">
        <v>57.65</v>
      </c>
      <c r="W292" s="10">
        <v>57.25</v>
      </c>
      <c r="X292" s="10">
        <v>56.87</v>
      </c>
      <c r="Y292" s="10">
        <v>56.47</v>
      </c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</row>
    <row r="293" spans="1:147" x14ac:dyDescent="0.3">
      <c r="A293" s="9">
        <f>DATE(2018, 2, 15)</f>
        <v>43146</v>
      </c>
      <c r="B293" s="10">
        <v>64.33</v>
      </c>
      <c r="C293" s="10">
        <v>64</v>
      </c>
      <c r="D293" s="10">
        <v>63.68</v>
      </c>
      <c r="E293" s="10">
        <v>63.34</v>
      </c>
      <c r="F293" s="10">
        <v>62.98</v>
      </c>
      <c r="G293" s="10">
        <v>62.62</v>
      </c>
      <c r="H293" s="10">
        <v>62.25</v>
      </c>
      <c r="I293" s="10">
        <v>61.88</v>
      </c>
      <c r="J293" s="10">
        <v>61.5</v>
      </c>
      <c r="K293" s="10">
        <v>61.16</v>
      </c>
      <c r="L293" s="10">
        <v>60.86</v>
      </c>
      <c r="M293" s="10">
        <v>60.56</v>
      </c>
      <c r="N293" s="10">
        <v>61.34</v>
      </c>
      <c r="O293" s="10">
        <v>61.17</v>
      </c>
      <c r="P293" s="10">
        <v>60.78</v>
      </c>
      <c r="Q293" s="10">
        <v>60.28</v>
      </c>
      <c r="R293" s="10">
        <v>59.73</v>
      </c>
      <c r="S293" s="10">
        <v>59.17</v>
      </c>
      <c r="T293" s="10">
        <v>58.62</v>
      </c>
      <c r="U293" s="10">
        <v>58.12</v>
      </c>
      <c r="V293" s="10">
        <v>57.67</v>
      </c>
      <c r="W293" s="10">
        <v>57.27</v>
      </c>
      <c r="X293" s="10">
        <v>56.87</v>
      </c>
      <c r="Y293" s="10">
        <v>56.46</v>
      </c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</row>
    <row r="294" spans="1:147" x14ac:dyDescent="0.3">
      <c r="A294" s="9">
        <f>DATE(2018, 2, 16)</f>
        <v>43147</v>
      </c>
      <c r="B294" s="10">
        <v>64.84</v>
      </c>
      <c r="C294" s="10">
        <v>64.53</v>
      </c>
      <c r="D294" s="10">
        <v>64.209999999999994</v>
      </c>
      <c r="E294" s="10">
        <v>63.88</v>
      </c>
      <c r="F294" s="10">
        <v>63.54</v>
      </c>
      <c r="G294" s="10">
        <v>63.18</v>
      </c>
      <c r="H294" s="10">
        <v>62.79</v>
      </c>
      <c r="I294" s="10">
        <v>62.41</v>
      </c>
      <c r="J294" s="10">
        <v>62.01</v>
      </c>
      <c r="K294" s="10">
        <v>61.65</v>
      </c>
      <c r="L294" s="10">
        <v>61.33</v>
      </c>
      <c r="M294" s="10">
        <v>61.03</v>
      </c>
      <c r="N294" s="10">
        <v>61.68</v>
      </c>
      <c r="O294" s="10">
        <v>61.55</v>
      </c>
      <c r="P294" s="10">
        <v>61.2</v>
      </c>
      <c r="Q294" s="10">
        <v>60.73</v>
      </c>
      <c r="R294" s="10">
        <v>60.19</v>
      </c>
      <c r="S294" s="10">
        <v>59.63</v>
      </c>
      <c r="T294" s="10">
        <v>59.09</v>
      </c>
      <c r="U294" s="10">
        <v>58.58</v>
      </c>
      <c r="V294" s="10">
        <v>58.13</v>
      </c>
      <c r="W294" s="10">
        <v>57.72</v>
      </c>
      <c r="X294" s="10">
        <v>57.32</v>
      </c>
      <c r="Y294" s="10">
        <v>56.92</v>
      </c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</row>
    <row r="295" spans="1:147" x14ac:dyDescent="0.3">
      <c r="A295" s="9">
        <f>DATE(2018, 2, 19)</f>
        <v>43150</v>
      </c>
      <c r="B295" s="10">
        <v>65.67</v>
      </c>
      <c r="C295" s="10">
        <v>65.39</v>
      </c>
      <c r="D295" s="10">
        <v>65.08</v>
      </c>
      <c r="E295" s="10">
        <v>64.75</v>
      </c>
      <c r="F295" s="10">
        <v>64.41</v>
      </c>
      <c r="G295" s="10">
        <v>64.03</v>
      </c>
      <c r="H295" s="10">
        <v>63.63</v>
      </c>
      <c r="I295" s="10">
        <v>63.23</v>
      </c>
      <c r="J295" s="10">
        <v>62.81</v>
      </c>
      <c r="K295" s="10">
        <v>62.44</v>
      </c>
      <c r="L295" s="10">
        <v>62.11</v>
      </c>
      <c r="M295" s="10">
        <v>61.79</v>
      </c>
      <c r="N295" s="10">
        <v>61.68</v>
      </c>
      <c r="O295" s="10">
        <v>61.55</v>
      </c>
      <c r="P295" s="10">
        <v>61.2</v>
      </c>
      <c r="Q295" s="10">
        <v>60.73</v>
      </c>
      <c r="R295" s="10">
        <v>60.19</v>
      </c>
      <c r="S295" s="10">
        <v>59.63</v>
      </c>
      <c r="T295" s="10">
        <v>59.09</v>
      </c>
      <c r="U295" s="10">
        <v>58.58</v>
      </c>
      <c r="V295" s="10">
        <v>58.13</v>
      </c>
      <c r="W295" s="10">
        <v>57.72</v>
      </c>
      <c r="X295" s="10">
        <v>57.32</v>
      </c>
      <c r="Y295" s="10">
        <v>56.92</v>
      </c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</row>
    <row r="296" spans="1:147" x14ac:dyDescent="0.3">
      <c r="A296" s="9">
        <f>DATE(2018, 2, 20)</f>
        <v>43151</v>
      </c>
      <c r="B296" s="10">
        <v>65.25</v>
      </c>
      <c r="C296" s="10">
        <v>65.05</v>
      </c>
      <c r="D296" s="10">
        <v>64.790000000000006</v>
      </c>
      <c r="E296" s="10">
        <v>64.5</v>
      </c>
      <c r="F296" s="10">
        <v>64.2</v>
      </c>
      <c r="G296" s="10">
        <v>63.86</v>
      </c>
      <c r="H296" s="10">
        <v>63.5</v>
      </c>
      <c r="I296" s="10">
        <v>63.12</v>
      </c>
      <c r="J296" s="10">
        <v>62.73</v>
      </c>
      <c r="K296" s="10">
        <v>62.39</v>
      </c>
      <c r="L296" s="10">
        <v>62.08</v>
      </c>
      <c r="M296" s="10">
        <v>61.77</v>
      </c>
      <c r="N296" s="10">
        <v>61.9</v>
      </c>
      <c r="O296" s="10">
        <v>61.79</v>
      </c>
      <c r="P296" s="10">
        <v>61.56</v>
      </c>
      <c r="Q296" s="10">
        <v>61.2</v>
      </c>
      <c r="R296" s="10">
        <v>60.74</v>
      </c>
      <c r="S296" s="10">
        <v>60.23</v>
      </c>
      <c r="T296" s="10">
        <v>59.7</v>
      </c>
      <c r="U296" s="10">
        <v>59.21</v>
      </c>
      <c r="V296" s="10">
        <v>58.75</v>
      </c>
      <c r="W296" s="10">
        <v>58.37</v>
      </c>
      <c r="X296" s="10">
        <v>57.98</v>
      </c>
      <c r="Y296" s="10">
        <v>57.59</v>
      </c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</row>
    <row r="297" spans="1:147" x14ac:dyDescent="0.3">
      <c r="A297" s="9">
        <f>DATE(2018, 2, 21)</f>
        <v>43152</v>
      </c>
      <c r="B297" s="10">
        <v>65.42</v>
      </c>
      <c r="C297" s="10">
        <v>65.150000000000006</v>
      </c>
      <c r="D297" s="10">
        <v>64.88</v>
      </c>
      <c r="E297" s="10">
        <v>64.59</v>
      </c>
      <c r="F297" s="10">
        <v>64.27</v>
      </c>
      <c r="G297" s="10">
        <v>63.93</v>
      </c>
      <c r="H297" s="10">
        <v>63.57</v>
      </c>
      <c r="I297" s="10">
        <v>63.21</v>
      </c>
      <c r="J297" s="10">
        <v>62.83</v>
      </c>
      <c r="K297" s="10">
        <v>62.49</v>
      </c>
      <c r="L297" s="10">
        <v>62.18</v>
      </c>
      <c r="M297" s="10">
        <v>61.88</v>
      </c>
      <c r="N297" s="10">
        <v>61.68</v>
      </c>
      <c r="O297" s="10">
        <v>61.52</v>
      </c>
      <c r="P297" s="10">
        <v>61.2</v>
      </c>
      <c r="Q297" s="10">
        <v>60.78</v>
      </c>
      <c r="R297" s="10">
        <v>60.29</v>
      </c>
      <c r="S297" s="10">
        <v>59.78</v>
      </c>
      <c r="T297" s="10">
        <v>59.3</v>
      </c>
      <c r="U297" s="10">
        <v>58.87</v>
      </c>
      <c r="V297" s="10">
        <v>58.47</v>
      </c>
      <c r="W297" s="10">
        <v>58.08</v>
      </c>
      <c r="X297" s="10">
        <v>57.7</v>
      </c>
      <c r="Y297" s="10">
        <v>57.34</v>
      </c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</row>
    <row r="298" spans="1:147" x14ac:dyDescent="0.3">
      <c r="A298" s="9">
        <f>DATE(2018, 2, 22)</f>
        <v>43153</v>
      </c>
      <c r="B298" s="10">
        <v>66.39</v>
      </c>
      <c r="C298" s="10">
        <v>66.11</v>
      </c>
      <c r="D298" s="10">
        <v>65.83</v>
      </c>
      <c r="E298" s="10">
        <v>65.510000000000005</v>
      </c>
      <c r="F298" s="10">
        <v>65.16</v>
      </c>
      <c r="G298" s="10">
        <v>64.790000000000006</v>
      </c>
      <c r="H298" s="10">
        <v>64.400000000000006</v>
      </c>
      <c r="I298" s="10">
        <v>64</v>
      </c>
      <c r="J298" s="10">
        <v>63.59</v>
      </c>
      <c r="K298" s="10">
        <v>63.22</v>
      </c>
      <c r="L298" s="10">
        <v>62.88</v>
      </c>
      <c r="M298" s="10">
        <v>62.55</v>
      </c>
      <c r="N298" s="10">
        <v>62.77</v>
      </c>
      <c r="O298" s="10">
        <v>62.6</v>
      </c>
      <c r="P298" s="10">
        <v>62.25</v>
      </c>
      <c r="Q298" s="10">
        <v>61.78</v>
      </c>
      <c r="R298" s="10">
        <v>61.25</v>
      </c>
      <c r="S298" s="10">
        <v>60.7</v>
      </c>
      <c r="T298" s="10">
        <v>60.17</v>
      </c>
      <c r="U298" s="10">
        <v>59.7</v>
      </c>
      <c r="V298" s="10">
        <v>59.27</v>
      </c>
      <c r="W298" s="10">
        <v>58.85</v>
      </c>
      <c r="X298" s="10">
        <v>58.42</v>
      </c>
      <c r="Y298" s="10">
        <v>58.03</v>
      </c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</row>
    <row r="299" spans="1:147" x14ac:dyDescent="0.3">
      <c r="A299" s="9">
        <f>DATE(2018, 2, 23)</f>
        <v>43154</v>
      </c>
      <c r="B299" s="10">
        <v>67.31</v>
      </c>
      <c r="C299" s="10">
        <v>67.040000000000006</v>
      </c>
      <c r="D299" s="10">
        <v>66.77</v>
      </c>
      <c r="E299" s="10">
        <v>66.44</v>
      </c>
      <c r="F299" s="10">
        <v>66.069999999999993</v>
      </c>
      <c r="G299" s="10">
        <v>65.7</v>
      </c>
      <c r="H299" s="10">
        <v>65.3</v>
      </c>
      <c r="I299" s="10">
        <v>64.89</v>
      </c>
      <c r="J299" s="10">
        <v>64.47</v>
      </c>
      <c r="K299" s="10">
        <v>64.09</v>
      </c>
      <c r="L299" s="10">
        <v>63.75</v>
      </c>
      <c r="M299" s="10">
        <v>63.41</v>
      </c>
      <c r="N299" s="10">
        <v>63.55</v>
      </c>
      <c r="O299" s="10">
        <v>63.41</v>
      </c>
      <c r="P299" s="10">
        <v>63.1</v>
      </c>
      <c r="Q299" s="10">
        <v>62.67</v>
      </c>
      <c r="R299" s="10">
        <v>62.16</v>
      </c>
      <c r="S299" s="10">
        <v>61.61</v>
      </c>
      <c r="T299" s="10">
        <v>61.06</v>
      </c>
      <c r="U299" s="10">
        <v>60.56</v>
      </c>
      <c r="V299" s="10">
        <v>60.13</v>
      </c>
      <c r="W299" s="10">
        <v>59.7</v>
      </c>
      <c r="X299" s="10">
        <v>59.26</v>
      </c>
      <c r="Y299" s="10">
        <v>58.86</v>
      </c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</row>
    <row r="300" spans="1:147" x14ac:dyDescent="0.3">
      <c r="A300" s="9">
        <f>DATE(2018, 2, 26)</f>
        <v>43157</v>
      </c>
      <c r="B300" s="10">
        <v>67.5</v>
      </c>
      <c r="C300" s="10">
        <v>67.290000000000006</v>
      </c>
      <c r="D300" s="10">
        <v>67.040000000000006</v>
      </c>
      <c r="E300" s="10">
        <v>66.73</v>
      </c>
      <c r="F300" s="10">
        <v>66.38</v>
      </c>
      <c r="G300" s="10">
        <v>66.02</v>
      </c>
      <c r="H300" s="10">
        <v>65.63</v>
      </c>
      <c r="I300" s="10">
        <v>65.22</v>
      </c>
      <c r="J300" s="10">
        <v>64.81</v>
      </c>
      <c r="K300" s="10">
        <v>64.45</v>
      </c>
      <c r="L300" s="10">
        <v>64.12</v>
      </c>
      <c r="M300" s="10">
        <v>63.79</v>
      </c>
      <c r="N300" s="10">
        <v>63.91</v>
      </c>
      <c r="O300" s="10">
        <v>63.77</v>
      </c>
      <c r="P300" s="10">
        <v>63.45</v>
      </c>
      <c r="Q300" s="10">
        <v>63</v>
      </c>
      <c r="R300" s="10">
        <v>62.48</v>
      </c>
      <c r="S300" s="10">
        <v>61.92</v>
      </c>
      <c r="T300" s="10">
        <v>61.38</v>
      </c>
      <c r="U300" s="10">
        <v>60.89</v>
      </c>
      <c r="V300" s="10">
        <v>60.46</v>
      </c>
      <c r="W300" s="10">
        <v>60.04</v>
      </c>
      <c r="X300" s="10">
        <v>59.62</v>
      </c>
      <c r="Y300" s="10">
        <v>59.22</v>
      </c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</row>
    <row r="301" spans="1:147" x14ac:dyDescent="0.3">
      <c r="A301" s="9">
        <f>DATE(2018, 2, 27)</f>
        <v>43158</v>
      </c>
      <c r="B301" s="10">
        <v>66.63</v>
      </c>
      <c r="C301" s="10">
        <v>66.52</v>
      </c>
      <c r="D301" s="10">
        <v>66.28</v>
      </c>
      <c r="E301" s="10">
        <v>65.98</v>
      </c>
      <c r="F301" s="10">
        <v>65.64</v>
      </c>
      <c r="G301" s="10">
        <v>65.290000000000006</v>
      </c>
      <c r="H301" s="10">
        <v>64.92</v>
      </c>
      <c r="I301" s="10">
        <v>64.53</v>
      </c>
      <c r="J301" s="10">
        <v>64.14</v>
      </c>
      <c r="K301" s="10">
        <v>63.79</v>
      </c>
      <c r="L301" s="10">
        <v>63.48</v>
      </c>
      <c r="M301" s="10">
        <v>63.17</v>
      </c>
      <c r="N301" s="10">
        <v>63.01</v>
      </c>
      <c r="O301" s="10">
        <v>62.9</v>
      </c>
      <c r="P301" s="10">
        <v>62.63</v>
      </c>
      <c r="Q301" s="10">
        <v>62.22</v>
      </c>
      <c r="R301" s="10">
        <v>61.71</v>
      </c>
      <c r="S301" s="10">
        <v>61.17</v>
      </c>
      <c r="T301" s="10">
        <v>60.64</v>
      </c>
      <c r="U301" s="10">
        <v>60.17</v>
      </c>
      <c r="V301" s="10">
        <v>59.76</v>
      </c>
      <c r="W301" s="10">
        <v>59.35</v>
      </c>
      <c r="X301" s="10">
        <v>58.94</v>
      </c>
      <c r="Y301" s="10">
        <v>58.56</v>
      </c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</row>
    <row r="302" spans="1:147" x14ac:dyDescent="0.3">
      <c r="A302" s="9">
        <f>DATE(2018, 2, 28)</f>
        <v>43159</v>
      </c>
      <c r="B302" s="10">
        <v>65.78</v>
      </c>
      <c r="C302" s="10">
        <v>64.73</v>
      </c>
      <c r="D302" s="10">
        <v>64.459999999999994</v>
      </c>
      <c r="E302" s="10">
        <v>64.13</v>
      </c>
      <c r="F302" s="10">
        <v>63.78</v>
      </c>
      <c r="G302" s="10">
        <v>63.44</v>
      </c>
      <c r="H302" s="10">
        <v>63.07</v>
      </c>
      <c r="I302" s="10">
        <v>62.7</v>
      </c>
      <c r="J302" s="10">
        <v>62.33</v>
      </c>
      <c r="K302" s="10">
        <v>62.01</v>
      </c>
      <c r="L302" s="10">
        <v>61.71</v>
      </c>
      <c r="M302" s="10">
        <v>61.43</v>
      </c>
      <c r="N302" s="10">
        <v>61.64</v>
      </c>
      <c r="O302" s="10">
        <v>61.47</v>
      </c>
      <c r="P302" s="10">
        <v>61.14</v>
      </c>
      <c r="Q302" s="10">
        <v>60.67</v>
      </c>
      <c r="R302" s="10">
        <v>60.14</v>
      </c>
      <c r="S302" s="10">
        <v>59.58</v>
      </c>
      <c r="T302" s="10">
        <v>59.04</v>
      </c>
      <c r="U302" s="10">
        <v>58.56</v>
      </c>
      <c r="V302" s="10">
        <v>58.15</v>
      </c>
      <c r="W302" s="10">
        <v>57.75</v>
      </c>
      <c r="X302" s="10">
        <v>57.34</v>
      </c>
      <c r="Y302" s="10">
        <v>56.98</v>
      </c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</row>
    <row r="303" spans="1:147" x14ac:dyDescent="0.3">
      <c r="A303" s="9">
        <f>DATE(2018, 3, 1)</f>
        <v>43160</v>
      </c>
      <c r="B303" s="10">
        <v>63.83</v>
      </c>
      <c r="C303" s="10">
        <v>63.59</v>
      </c>
      <c r="D303" s="10">
        <v>63.29</v>
      </c>
      <c r="E303" s="10">
        <v>62.97</v>
      </c>
      <c r="F303" s="10">
        <v>62.65</v>
      </c>
      <c r="G303" s="10">
        <v>62.31</v>
      </c>
      <c r="H303" s="10">
        <v>61.98</v>
      </c>
      <c r="I303" s="10">
        <v>61.64</v>
      </c>
      <c r="J303" s="10">
        <v>61.33</v>
      </c>
      <c r="K303" s="10">
        <v>61.06</v>
      </c>
      <c r="L303" s="10">
        <v>60.79</v>
      </c>
      <c r="M303" s="10">
        <v>60.54</v>
      </c>
      <c r="N303" s="10">
        <v>60.99</v>
      </c>
      <c r="O303" s="10">
        <v>60.8</v>
      </c>
      <c r="P303" s="10">
        <v>60.44</v>
      </c>
      <c r="Q303" s="10">
        <v>59.98</v>
      </c>
      <c r="R303" s="10">
        <v>59.45</v>
      </c>
      <c r="S303" s="10">
        <v>58.92</v>
      </c>
      <c r="T303" s="10">
        <v>58.42</v>
      </c>
      <c r="U303" s="10">
        <v>57.98</v>
      </c>
      <c r="V303" s="10">
        <v>57.59</v>
      </c>
      <c r="W303" s="10">
        <v>57.23</v>
      </c>
      <c r="X303" s="10">
        <v>56.85</v>
      </c>
      <c r="Y303" s="10">
        <v>56.51</v>
      </c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</row>
    <row r="304" spans="1:147" x14ac:dyDescent="0.3">
      <c r="A304" s="9">
        <f>DATE(2018, 3, 2)</f>
        <v>43161</v>
      </c>
      <c r="B304" s="10">
        <v>64.37</v>
      </c>
      <c r="C304" s="10">
        <v>64.11</v>
      </c>
      <c r="D304" s="10">
        <v>63.8</v>
      </c>
      <c r="E304" s="10">
        <v>63.48</v>
      </c>
      <c r="F304" s="10">
        <v>63.15</v>
      </c>
      <c r="G304" s="10">
        <v>62.81</v>
      </c>
      <c r="H304" s="10">
        <v>62.46</v>
      </c>
      <c r="I304" s="10">
        <v>62.1</v>
      </c>
      <c r="J304" s="10">
        <v>61.79</v>
      </c>
      <c r="K304" s="10">
        <v>61.51</v>
      </c>
      <c r="L304" s="10">
        <v>61.23</v>
      </c>
      <c r="M304" s="10">
        <v>60.97</v>
      </c>
      <c r="N304" s="10">
        <v>61.25</v>
      </c>
      <c r="O304" s="10">
        <v>61.09</v>
      </c>
      <c r="P304" s="10">
        <v>60.78</v>
      </c>
      <c r="Q304" s="10">
        <v>60.36</v>
      </c>
      <c r="R304" s="10">
        <v>59.87</v>
      </c>
      <c r="S304" s="10">
        <v>59.36</v>
      </c>
      <c r="T304" s="10">
        <v>58.87</v>
      </c>
      <c r="U304" s="10">
        <v>58.43</v>
      </c>
      <c r="V304" s="10">
        <v>58.04</v>
      </c>
      <c r="W304" s="10">
        <v>57.66</v>
      </c>
      <c r="X304" s="10">
        <v>57.29</v>
      </c>
      <c r="Y304" s="10">
        <v>56.93</v>
      </c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</row>
    <row r="305" spans="1:147" x14ac:dyDescent="0.3">
      <c r="A305" s="9">
        <f>DATE(2018, 3, 5)</f>
        <v>43164</v>
      </c>
      <c r="B305" s="10">
        <v>65.540000000000006</v>
      </c>
      <c r="C305" s="10">
        <v>65.3</v>
      </c>
      <c r="D305" s="10">
        <v>65.010000000000005</v>
      </c>
      <c r="E305" s="10">
        <v>64.7</v>
      </c>
      <c r="F305" s="10">
        <v>64.38</v>
      </c>
      <c r="G305" s="10">
        <v>64.02</v>
      </c>
      <c r="H305" s="10">
        <v>63.65</v>
      </c>
      <c r="I305" s="10">
        <v>63.27</v>
      </c>
      <c r="J305" s="10">
        <v>62.94</v>
      </c>
      <c r="K305" s="10">
        <v>62.64</v>
      </c>
      <c r="L305" s="10">
        <v>62.34</v>
      </c>
      <c r="M305" s="10">
        <v>62.07</v>
      </c>
      <c r="N305" s="10">
        <v>62.57</v>
      </c>
      <c r="O305" s="10">
        <v>62.39</v>
      </c>
      <c r="P305" s="10">
        <v>62.05</v>
      </c>
      <c r="Q305" s="10">
        <v>61.6</v>
      </c>
      <c r="R305" s="10">
        <v>61.08</v>
      </c>
      <c r="S305" s="10">
        <v>60.55</v>
      </c>
      <c r="T305" s="10">
        <v>60.04</v>
      </c>
      <c r="U305" s="10">
        <v>59.58</v>
      </c>
      <c r="V305" s="10">
        <v>59.15</v>
      </c>
      <c r="W305" s="10">
        <v>58.75</v>
      </c>
      <c r="X305" s="10">
        <v>58.34</v>
      </c>
      <c r="Y305" s="10">
        <v>57.95</v>
      </c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</row>
    <row r="306" spans="1:147" x14ac:dyDescent="0.3">
      <c r="A306" s="9">
        <f>DATE(2018, 3, 6)</f>
        <v>43165</v>
      </c>
      <c r="B306" s="10">
        <v>65.790000000000006</v>
      </c>
      <c r="C306" s="10">
        <v>65.55</v>
      </c>
      <c r="D306" s="10">
        <v>65.25</v>
      </c>
      <c r="E306" s="10">
        <v>64.930000000000007</v>
      </c>
      <c r="F306" s="10">
        <v>64.599999999999994</v>
      </c>
      <c r="G306" s="10">
        <v>64.25</v>
      </c>
      <c r="H306" s="10">
        <v>63.88</v>
      </c>
      <c r="I306" s="10">
        <v>63.49</v>
      </c>
      <c r="J306" s="10">
        <v>63.16</v>
      </c>
      <c r="K306" s="10">
        <v>62.86</v>
      </c>
      <c r="L306" s="10">
        <v>62.56</v>
      </c>
      <c r="M306" s="10">
        <v>62.27</v>
      </c>
      <c r="N306" s="10">
        <v>62.6</v>
      </c>
      <c r="O306" s="10">
        <v>62.45</v>
      </c>
      <c r="P306" s="10">
        <v>62.16</v>
      </c>
      <c r="Q306" s="10">
        <v>61.73</v>
      </c>
      <c r="R306" s="10">
        <v>61.23</v>
      </c>
      <c r="S306" s="10">
        <v>60.7</v>
      </c>
      <c r="T306" s="10">
        <v>60.18</v>
      </c>
      <c r="U306" s="10">
        <v>59.7</v>
      </c>
      <c r="V306" s="10">
        <v>59.26</v>
      </c>
      <c r="W306" s="10">
        <v>58.84</v>
      </c>
      <c r="X306" s="10">
        <v>58.42</v>
      </c>
      <c r="Y306" s="10">
        <v>58.02</v>
      </c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</row>
    <row r="307" spans="1:147" x14ac:dyDescent="0.3">
      <c r="A307" s="9">
        <f>DATE(2018, 3, 7)</f>
        <v>43166</v>
      </c>
      <c r="B307" s="10">
        <v>64.34</v>
      </c>
      <c r="C307" s="10">
        <v>64.150000000000006</v>
      </c>
      <c r="D307" s="10">
        <v>63.88</v>
      </c>
      <c r="E307" s="10">
        <v>63.59</v>
      </c>
      <c r="F307" s="10">
        <v>63.27</v>
      </c>
      <c r="G307" s="10">
        <v>62.94</v>
      </c>
      <c r="H307" s="10">
        <v>62.6</v>
      </c>
      <c r="I307" s="10">
        <v>62.25</v>
      </c>
      <c r="J307" s="10">
        <v>61.95</v>
      </c>
      <c r="K307" s="10">
        <v>61.68</v>
      </c>
      <c r="L307" s="10">
        <v>61.4</v>
      </c>
      <c r="M307" s="10">
        <v>61.14</v>
      </c>
      <c r="N307" s="10">
        <v>61.15</v>
      </c>
      <c r="O307" s="10">
        <v>61.02</v>
      </c>
      <c r="P307" s="10">
        <v>60.75</v>
      </c>
      <c r="Q307" s="10">
        <v>60.37</v>
      </c>
      <c r="R307" s="10">
        <v>59.93</v>
      </c>
      <c r="S307" s="10">
        <v>59.45</v>
      </c>
      <c r="T307" s="10">
        <v>58.97</v>
      </c>
      <c r="U307" s="10">
        <v>58.53</v>
      </c>
      <c r="V307" s="10">
        <v>58.12</v>
      </c>
      <c r="W307" s="10">
        <v>57.73</v>
      </c>
      <c r="X307" s="10">
        <v>57.33</v>
      </c>
      <c r="Y307" s="10">
        <v>56.96</v>
      </c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</row>
    <row r="308" spans="1:147" x14ac:dyDescent="0.3">
      <c r="A308" s="9">
        <f>DATE(2018, 3, 8)</f>
        <v>43167</v>
      </c>
      <c r="B308" s="10">
        <v>63.61</v>
      </c>
      <c r="C308" s="10">
        <v>63.44</v>
      </c>
      <c r="D308" s="10">
        <v>63.17</v>
      </c>
      <c r="E308" s="10">
        <v>62.9</v>
      </c>
      <c r="F308" s="10">
        <v>62.61</v>
      </c>
      <c r="G308" s="10">
        <v>62.31</v>
      </c>
      <c r="H308" s="10">
        <v>62</v>
      </c>
      <c r="I308" s="10">
        <v>61.68</v>
      </c>
      <c r="J308" s="10">
        <v>61.39</v>
      </c>
      <c r="K308" s="10">
        <v>61.14</v>
      </c>
      <c r="L308" s="10">
        <v>60.9</v>
      </c>
      <c r="M308" s="10">
        <v>60.67</v>
      </c>
      <c r="N308" s="10">
        <v>60.12</v>
      </c>
      <c r="O308" s="10">
        <v>60.06</v>
      </c>
      <c r="P308" s="10">
        <v>59.91</v>
      </c>
      <c r="Q308" s="10">
        <v>59.64</v>
      </c>
      <c r="R308" s="10">
        <v>59.27</v>
      </c>
      <c r="S308" s="10">
        <v>58.84</v>
      </c>
      <c r="T308" s="10">
        <v>58.41</v>
      </c>
      <c r="U308" s="10">
        <v>58.01</v>
      </c>
      <c r="V308" s="10">
        <v>57.64</v>
      </c>
      <c r="W308" s="10">
        <v>57.28</v>
      </c>
      <c r="X308" s="10">
        <v>56.91</v>
      </c>
      <c r="Y308" s="10">
        <v>56.58</v>
      </c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</row>
    <row r="309" spans="1:147" x14ac:dyDescent="0.3">
      <c r="A309" s="9">
        <f>DATE(2018, 3, 9)</f>
        <v>43168</v>
      </c>
      <c r="B309" s="10">
        <v>65.489999999999995</v>
      </c>
      <c r="C309" s="10">
        <v>65.27</v>
      </c>
      <c r="D309" s="10">
        <v>64.95</v>
      </c>
      <c r="E309" s="10">
        <v>64.63</v>
      </c>
      <c r="F309" s="10">
        <v>64.31</v>
      </c>
      <c r="G309" s="10">
        <v>63.97</v>
      </c>
      <c r="H309" s="10">
        <v>63.63</v>
      </c>
      <c r="I309" s="10">
        <v>63.29</v>
      </c>
      <c r="J309" s="10">
        <v>62.97</v>
      </c>
      <c r="K309" s="10">
        <v>62.69</v>
      </c>
      <c r="L309" s="10">
        <v>62.41</v>
      </c>
      <c r="M309" s="10">
        <v>62.15</v>
      </c>
      <c r="N309" s="10">
        <v>62.04</v>
      </c>
      <c r="O309" s="10">
        <v>61.92</v>
      </c>
      <c r="P309" s="10">
        <v>61.69</v>
      </c>
      <c r="Q309" s="10">
        <v>61.33</v>
      </c>
      <c r="R309" s="10">
        <v>60.89</v>
      </c>
      <c r="S309" s="10">
        <v>60.42</v>
      </c>
      <c r="T309" s="10">
        <v>59.95</v>
      </c>
      <c r="U309" s="10">
        <v>59.52</v>
      </c>
      <c r="V309" s="10">
        <v>59.13</v>
      </c>
      <c r="W309" s="10">
        <v>58.73</v>
      </c>
      <c r="X309" s="10">
        <v>58.33</v>
      </c>
      <c r="Y309" s="10">
        <v>57.95</v>
      </c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</row>
    <row r="310" spans="1:147" x14ac:dyDescent="0.3">
      <c r="A310" s="9">
        <f>DATE(2018, 3, 12)</f>
        <v>43171</v>
      </c>
      <c r="B310" s="10">
        <v>64.95</v>
      </c>
      <c r="C310" s="10">
        <v>64.790000000000006</v>
      </c>
      <c r="D310" s="10">
        <v>64.52</v>
      </c>
      <c r="E310" s="10">
        <v>64.25</v>
      </c>
      <c r="F310" s="10">
        <v>63.95</v>
      </c>
      <c r="G310" s="10">
        <v>63.64</v>
      </c>
      <c r="H310" s="10">
        <v>63.33</v>
      </c>
      <c r="I310" s="10">
        <v>63.01</v>
      </c>
      <c r="J310" s="10">
        <v>62.72</v>
      </c>
      <c r="K310" s="10">
        <v>62.45</v>
      </c>
      <c r="L310" s="10">
        <v>62.19</v>
      </c>
      <c r="M310" s="10">
        <v>61.94</v>
      </c>
      <c r="N310" s="10">
        <v>61.36</v>
      </c>
      <c r="O310" s="10">
        <v>61.33</v>
      </c>
      <c r="P310" s="10">
        <v>61.16</v>
      </c>
      <c r="Q310" s="10">
        <v>60.87</v>
      </c>
      <c r="R310" s="10">
        <v>60.49</v>
      </c>
      <c r="S310" s="10">
        <v>60.06</v>
      </c>
      <c r="T310" s="10">
        <v>59.63</v>
      </c>
      <c r="U310" s="10">
        <v>59.24</v>
      </c>
      <c r="V310" s="10">
        <v>58.87</v>
      </c>
      <c r="W310" s="10">
        <v>58.52</v>
      </c>
      <c r="X310" s="10">
        <v>58.13</v>
      </c>
      <c r="Y310" s="10">
        <v>57.78</v>
      </c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</row>
    <row r="311" spans="1:147" x14ac:dyDescent="0.3">
      <c r="A311" s="9">
        <f>DATE(2018, 3, 13)</f>
        <v>43172</v>
      </c>
      <c r="B311" s="10">
        <v>64.64</v>
      </c>
      <c r="C311" s="10">
        <v>64.52</v>
      </c>
      <c r="D311" s="10">
        <v>64.290000000000006</v>
      </c>
      <c r="E311" s="10">
        <v>64.02</v>
      </c>
      <c r="F311" s="10">
        <v>63.74</v>
      </c>
      <c r="G311" s="10">
        <v>63.46</v>
      </c>
      <c r="H311" s="10">
        <v>63.17</v>
      </c>
      <c r="I311" s="10">
        <v>62.87</v>
      </c>
      <c r="J311" s="10">
        <v>62.6</v>
      </c>
      <c r="K311" s="10">
        <v>62.34</v>
      </c>
      <c r="L311" s="10">
        <v>62.09</v>
      </c>
      <c r="M311" s="10">
        <v>61.85</v>
      </c>
      <c r="N311" s="10">
        <v>60.71</v>
      </c>
      <c r="O311" s="10">
        <v>60.75</v>
      </c>
      <c r="P311" s="10">
        <v>60.65</v>
      </c>
      <c r="Q311" s="10">
        <v>60.41</v>
      </c>
      <c r="R311" s="10">
        <v>60.07</v>
      </c>
      <c r="S311" s="10">
        <v>59.67</v>
      </c>
      <c r="T311" s="10">
        <v>59.27</v>
      </c>
      <c r="U311" s="10">
        <v>58.91</v>
      </c>
      <c r="V311" s="10">
        <v>58.56</v>
      </c>
      <c r="W311" s="10">
        <v>58.23</v>
      </c>
      <c r="X311" s="10">
        <v>57.87</v>
      </c>
      <c r="Y311" s="10">
        <v>57.53</v>
      </c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</row>
    <row r="312" spans="1:147" x14ac:dyDescent="0.3">
      <c r="A312" s="9">
        <f>DATE(2018, 3, 14)</f>
        <v>43173</v>
      </c>
      <c r="B312" s="10">
        <v>64.89</v>
      </c>
      <c r="C312" s="10">
        <v>64.760000000000005</v>
      </c>
      <c r="D312" s="10">
        <v>64.5</v>
      </c>
      <c r="E312" s="10">
        <v>64.22</v>
      </c>
      <c r="F312" s="10">
        <v>63.93</v>
      </c>
      <c r="G312" s="10">
        <v>63.64</v>
      </c>
      <c r="H312" s="10">
        <v>63.34</v>
      </c>
      <c r="I312" s="10">
        <v>63.04</v>
      </c>
      <c r="J312" s="10">
        <v>62.76</v>
      </c>
      <c r="K312" s="10">
        <v>62.51</v>
      </c>
      <c r="L312" s="10">
        <v>62.26</v>
      </c>
      <c r="M312" s="10">
        <v>62.03</v>
      </c>
      <c r="N312" s="10">
        <v>60.96</v>
      </c>
      <c r="O312" s="10">
        <v>61.02</v>
      </c>
      <c r="P312" s="10">
        <v>60.91</v>
      </c>
      <c r="Q312" s="10">
        <v>60.66</v>
      </c>
      <c r="R312" s="10">
        <v>60.31</v>
      </c>
      <c r="S312" s="10">
        <v>59.89</v>
      </c>
      <c r="T312" s="10">
        <v>59.49</v>
      </c>
      <c r="U312" s="10">
        <v>59.12</v>
      </c>
      <c r="V312" s="10">
        <v>58.79</v>
      </c>
      <c r="W312" s="10">
        <v>58.45</v>
      </c>
      <c r="X312" s="10">
        <v>58.11</v>
      </c>
      <c r="Y312" s="10">
        <v>57.78</v>
      </c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</row>
    <row r="313" spans="1:147" x14ac:dyDescent="0.3">
      <c r="A313" s="9">
        <f>DATE(2018, 3, 15)</f>
        <v>43174</v>
      </c>
      <c r="B313" s="10">
        <v>65.12</v>
      </c>
      <c r="C313" s="10">
        <v>64.95</v>
      </c>
      <c r="D313" s="10">
        <v>64.680000000000007</v>
      </c>
      <c r="E313" s="10">
        <v>64.38</v>
      </c>
      <c r="F313" s="10">
        <v>64.069999999999993</v>
      </c>
      <c r="G313" s="10">
        <v>63.77</v>
      </c>
      <c r="H313" s="10">
        <v>63.46</v>
      </c>
      <c r="I313" s="10">
        <v>63.15</v>
      </c>
      <c r="J313" s="10">
        <v>62.86</v>
      </c>
      <c r="K313" s="10">
        <v>62.6</v>
      </c>
      <c r="L313" s="10">
        <v>62.34</v>
      </c>
      <c r="M313" s="10">
        <v>62.1</v>
      </c>
      <c r="N313" s="10">
        <v>61.19</v>
      </c>
      <c r="O313" s="10">
        <v>61.25</v>
      </c>
      <c r="P313" s="10">
        <v>61.13</v>
      </c>
      <c r="Q313" s="10">
        <v>60.85</v>
      </c>
      <c r="R313" s="10">
        <v>60.46</v>
      </c>
      <c r="S313" s="10">
        <v>60.04</v>
      </c>
      <c r="T313" s="10">
        <v>59.62</v>
      </c>
      <c r="U313" s="10">
        <v>59.24</v>
      </c>
      <c r="V313" s="10">
        <v>58.88</v>
      </c>
      <c r="W313" s="10">
        <v>58.54</v>
      </c>
      <c r="X313" s="10">
        <v>58.17</v>
      </c>
      <c r="Y313" s="10">
        <v>57.82</v>
      </c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</row>
    <row r="314" spans="1:147" x14ac:dyDescent="0.3">
      <c r="A314" s="9">
        <f>DATE(2018, 3, 16)</f>
        <v>43175</v>
      </c>
      <c r="B314" s="10">
        <v>66.209999999999994</v>
      </c>
      <c r="C314" s="10">
        <v>66.05</v>
      </c>
      <c r="D314" s="10">
        <v>65.75</v>
      </c>
      <c r="E314" s="10">
        <v>65.41</v>
      </c>
      <c r="F314" s="10">
        <v>65.06</v>
      </c>
      <c r="G314" s="10">
        <v>64.709999999999994</v>
      </c>
      <c r="H314" s="10">
        <v>64.36</v>
      </c>
      <c r="I314" s="10">
        <v>64.010000000000005</v>
      </c>
      <c r="J314" s="10">
        <v>63.68</v>
      </c>
      <c r="K314" s="10">
        <v>63.38</v>
      </c>
      <c r="L314" s="10">
        <v>63.08</v>
      </c>
      <c r="M314" s="10">
        <v>62.8</v>
      </c>
      <c r="N314" s="10">
        <v>62.34</v>
      </c>
      <c r="O314" s="10">
        <v>62.41</v>
      </c>
      <c r="P314" s="10">
        <v>62.25</v>
      </c>
      <c r="Q314" s="10">
        <v>61.94</v>
      </c>
      <c r="R314" s="10">
        <v>61.49</v>
      </c>
      <c r="S314" s="10">
        <v>61.03</v>
      </c>
      <c r="T314" s="10">
        <v>60.55</v>
      </c>
      <c r="U314" s="10">
        <v>60.11</v>
      </c>
      <c r="V314" s="10">
        <v>59.7</v>
      </c>
      <c r="W314" s="10">
        <v>59.3</v>
      </c>
      <c r="X314" s="10">
        <v>58.88</v>
      </c>
      <c r="Y314" s="10">
        <v>58.47</v>
      </c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</row>
    <row r="315" spans="1:147" x14ac:dyDescent="0.3">
      <c r="A315" s="9">
        <f>DATE(2018, 3, 19)</f>
        <v>43178</v>
      </c>
      <c r="B315" s="10">
        <v>66.05</v>
      </c>
      <c r="C315" s="10">
        <v>65.819999999999993</v>
      </c>
      <c r="D315" s="10">
        <v>65.48</v>
      </c>
      <c r="E315" s="10">
        <v>65.12</v>
      </c>
      <c r="F315" s="10">
        <v>64.760000000000005</v>
      </c>
      <c r="G315" s="10">
        <v>64.39</v>
      </c>
      <c r="H315" s="10">
        <v>64.03</v>
      </c>
      <c r="I315" s="10">
        <v>63.67</v>
      </c>
      <c r="J315" s="10">
        <v>63.34</v>
      </c>
      <c r="K315" s="10">
        <v>63.03</v>
      </c>
      <c r="L315" s="10">
        <v>62.73</v>
      </c>
      <c r="M315" s="10">
        <v>62.45</v>
      </c>
      <c r="N315" s="10">
        <v>62.06</v>
      </c>
      <c r="O315" s="10">
        <v>62.13</v>
      </c>
      <c r="P315" s="10">
        <v>61.96</v>
      </c>
      <c r="Q315" s="10">
        <v>61.61</v>
      </c>
      <c r="R315" s="10">
        <v>61.16</v>
      </c>
      <c r="S315" s="10">
        <v>60.67</v>
      </c>
      <c r="T315" s="10">
        <v>60.19</v>
      </c>
      <c r="U315" s="10">
        <v>59.75</v>
      </c>
      <c r="V315" s="10">
        <v>59.35</v>
      </c>
      <c r="W315" s="10">
        <v>58.96</v>
      </c>
      <c r="X315" s="10">
        <v>58.53</v>
      </c>
      <c r="Y315" s="10">
        <v>58.14</v>
      </c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</row>
    <row r="316" spans="1:147" x14ac:dyDescent="0.3">
      <c r="A316" s="9">
        <f>DATE(2018, 3, 20)</f>
        <v>43179</v>
      </c>
      <c r="B316" s="10">
        <v>67.42</v>
      </c>
      <c r="C316" s="10">
        <v>67.13</v>
      </c>
      <c r="D316" s="10">
        <v>66.760000000000005</v>
      </c>
      <c r="E316" s="10">
        <v>66.37</v>
      </c>
      <c r="F316" s="10">
        <v>65.97</v>
      </c>
      <c r="G316" s="10">
        <v>65.569999999999993</v>
      </c>
      <c r="H316" s="10">
        <v>65.180000000000007</v>
      </c>
      <c r="I316" s="10">
        <v>64.790000000000006</v>
      </c>
      <c r="J316" s="10">
        <v>64.42</v>
      </c>
      <c r="K316" s="10">
        <v>64.09</v>
      </c>
      <c r="L316" s="10">
        <v>63.76</v>
      </c>
      <c r="M316" s="10">
        <v>63.44</v>
      </c>
      <c r="N316" s="10">
        <v>63.4</v>
      </c>
      <c r="O316" s="10">
        <v>63.54</v>
      </c>
      <c r="P316" s="10">
        <v>63.31</v>
      </c>
      <c r="Q316" s="10">
        <v>62.9</v>
      </c>
      <c r="R316" s="10">
        <v>62.38</v>
      </c>
      <c r="S316" s="10">
        <v>61.83</v>
      </c>
      <c r="T316" s="10">
        <v>61.29</v>
      </c>
      <c r="U316" s="10">
        <v>60.79</v>
      </c>
      <c r="V316" s="10">
        <v>60.33</v>
      </c>
      <c r="W316" s="10">
        <v>59.89</v>
      </c>
      <c r="X316" s="10">
        <v>59.43</v>
      </c>
      <c r="Y316" s="10">
        <v>58.99</v>
      </c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</row>
    <row r="317" spans="1:147" x14ac:dyDescent="0.3">
      <c r="A317" s="9">
        <f>DATE(2018, 3, 21)</f>
        <v>43180</v>
      </c>
      <c r="B317" s="10">
        <v>69.47</v>
      </c>
      <c r="C317" s="10">
        <v>69.069999999999993</v>
      </c>
      <c r="D317" s="10">
        <v>68.64</v>
      </c>
      <c r="E317" s="10">
        <v>68.23</v>
      </c>
      <c r="F317" s="10">
        <v>67.819999999999993</v>
      </c>
      <c r="G317" s="10">
        <v>67.42</v>
      </c>
      <c r="H317" s="10">
        <v>67.010000000000005</v>
      </c>
      <c r="I317" s="10">
        <v>66.599999999999994</v>
      </c>
      <c r="J317" s="10">
        <v>66.22</v>
      </c>
      <c r="K317" s="10">
        <v>65.86</v>
      </c>
      <c r="L317" s="10">
        <v>65.5</v>
      </c>
      <c r="M317" s="10">
        <v>65.150000000000006</v>
      </c>
      <c r="N317" s="10">
        <v>65.17</v>
      </c>
      <c r="O317" s="10">
        <v>64.95</v>
      </c>
      <c r="P317" s="10">
        <v>64.540000000000006</v>
      </c>
      <c r="Q317" s="10">
        <v>64</v>
      </c>
      <c r="R317" s="10">
        <v>63.42</v>
      </c>
      <c r="S317" s="10">
        <v>62.82</v>
      </c>
      <c r="T317" s="10">
        <v>62.28</v>
      </c>
      <c r="U317" s="10">
        <v>61.78</v>
      </c>
      <c r="V317" s="10">
        <v>61.28</v>
      </c>
      <c r="W317" s="10">
        <v>60.77</v>
      </c>
      <c r="X317" s="10">
        <v>60.3</v>
      </c>
      <c r="Y317" s="10">
        <v>59.86</v>
      </c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</row>
    <row r="318" spans="1:147" x14ac:dyDescent="0.3">
      <c r="A318" s="9">
        <f>DATE(2018, 3, 22)</f>
        <v>43181</v>
      </c>
      <c r="B318" s="10">
        <v>68.91</v>
      </c>
      <c r="C318" s="10">
        <v>68.38</v>
      </c>
      <c r="D318" s="10">
        <v>67.95</v>
      </c>
      <c r="E318" s="10">
        <v>67.55</v>
      </c>
      <c r="F318" s="10">
        <v>67.17</v>
      </c>
      <c r="G318" s="10">
        <v>66.790000000000006</v>
      </c>
      <c r="H318" s="10">
        <v>66.41</v>
      </c>
      <c r="I318" s="10">
        <v>66.010000000000005</v>
      </c>
      <c r="J318" s="10">
        <v>65.650000000000006</v>
      </c>
      <c r="K318" s="10">
        <v>65.3</v>
      </c>
      <c r="L318" s="10">
        <v>64.95</v>
      </c>
      <c r="M318" s="10">
        <v>64.61</v>
      </c>
      <c r="N318" s="10">
        <v>64.3</v>
      </c>
      <c r="O318" s="10">
        <v>64.180000000000007</v>
      </c>
      <c r="P318" s="10">
        <v>63.83</v>
      </c>
      <c r="Q318" s="10">
        <v>63.37</v>
      </c>
      <c r="R318" s="10">
        <v>62.84</v>
      </c>
      <c r="S318" s="10">
        <v>62.3</v>
      </c>
      <c r="T318" s="10">
        <v>61.81</v>
      </c>
      <c r="U318" s="10">
        <v>61.35</v>
      </c>
      <c r="V318" s="10">
        <v>60.88</v>
      </c>
      <c r="W318" s="10">
        <v>60.39</v>
      </c>
      <c r="X318" s="10">
        <v>59.94</v>
      </c>
      <c r="Y318" s="10">
        <v>59.51</v>
      </c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</row>
    <row r="319" spans="1:147" x14ac:dyDescent="0.3">
      <c r="A319" s="9">
        <f>DATE(2018, 3, 23)</f>
        <v>43182</v>
      </c>
      <c r="B319" s="10">
        <v>70.45</v>
      </c>
      <c r="C319" s="10">
        <v>69.81</v>
      </c>
      <c r="D319" s="10">
        <v>69.349999999999994</v>
      </c>
      <c r="E319" s="10">
        <v>68.900000000000006</v>
      </c>
      <c r="F319" s="10">
        <v>68.459999999999994</v>
      </c>
      <c r="G319" s="10">
        <v>68.040000000000006</v>
      </c>
      <c r="H319" s="10">
        <v>67.62</v>
      </c>
      <c r="I319" s="10">
        <v>67.180000000000007</v>
      </c>
      <c r="J319" s="10">
        <v>66.78</v>
      </c>
      <c r="K319" s="10">
        <v>66.41</v>
      </c>
      <c r="L319" s="10">
        <v>66.03</v>
      </c>
      <c r="M319" s="10">
        <v>65.66</v>
      </c>
      <c r="N319" s="10">
        <v>65.88</v>
      </c>
      <c r="O319" s="10">
        <v>65.709999999999994</v>
      </c>
      <c r="P319" s="10">
        <v>65.290000000000006</v>
      </c>
      <c r="Q319" s="10">
        <v>64.739999999999995</v>
      </c>
      <c r="R319" s="10">
        <v>64.16</v>
      </c>
      <c r="S319" s="10">
        <v>63.56</v>
      </c>
      <c r="T319" s="10">
        <v>63.01</v>
      </c>
      <c r="U319" s="10">
        <v>62.51</v>
      </c>
      <c r="V319" s="10">
        <v>61.99</v>
      </c>
      <c r="W319" s="10">
        <v>61.46</v>
      </c>
      <c r="X319" s="10">
        <v>60.96</v>
      </c>
      <c r="Y319" s="10">
        <v>60.5</v>
      </c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</row>
    <row r="320" spans="1:147" x14ac:dyDescent="0.3">
      <c r="A320" s="9">
        <f>DATE(2018, 3, 26)</f>
        <v>43185</v>
      </c>
      <c r="B320" s="10">
        <v>70.12</v>
      </c>
      <c r="C320" s="10">
        <v>69.52</v>
      </c>
      <c r="D320" s="10">
        <v>69.069999999999993</v>
      </c>
      <c r="E320" s="10">
        <v>68.599999999999994</v>
      </c>
      <c r="F320" s="10">
        <v>68.14</v>
      </c>
      <c r="G320" s="10">
        <v>67.72</v>
      </c>
      <c r="H320" s="10">
        <v>67.3</v>
      </c>
      <c r="I320" s="10">
        <v>66.87</v>
      </c>
      <c r="J320" s="10">
        <v>66.47</v>
      </c>
      <c r="K320" s="10">
        <v>66.099999999999994</v>
      </c>
      <c r="L320" s="10">
        <v>65.73</v>
      </c>
      <c r="M320" s="10">
        <v>65.38</v>
      </c>
      <c r="N320" s="10">
        <v>65.55</v>
      </c>
      <c r="O320" s="10">
        <v>65.41</v>
      </c>
      <c r="P320" s="10">
        <v>65.03</v>
      </c>
      <c r="Q320" s="10">
        <v>64.489999999999995</v>
      </c>
      <c r="R320" s="10">
        <v>63.92</v>
      </c>
      <c r="S320" s="10">
        <v>63.33</v>
      </c>
      <c r="T320" s="10">
        <v>62.79</v>
      </c>
      <c r="U320" s="10">
        <v>62.28</v>
      </c>
      <c r="V320" s="10">
        <v>61.77</v>
      </c>
      <c r="W320" s="10">
        <v>61.24</v>
      </c>
      <c r="X320" s="10">
        <v>60.76</v>
      </c>
      <c r="Y320" s="10">
        <v>60.3</v>
      </c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</row>
    <row r="321" spans="1:147" x14ac:dyDescent="0.3">
      <c r="A321" s="9">
        <f>DATE(2018, 3, 27)</f>
        <v>43186</v>
      </c>
      <c r="B321" s="10">
        <v>70.11</v>
      </c>
      <c r="C321" s="10">
        <v>69.459999999999994</v>
      </c>
      <c r="D321" s="10">
        <v>69.02</v>
      </c>
      <c r="E321" s="10">
        <v>68.56</v>
      </c>
      <c r="F321" s="10">
        <v>68.13</v>
      </c>
      <c r="G321" s="10">
        <v>67.73</v>
      </c>
      <c r="H321" s="10">
        <v>67.34</v>
      </c>
      <c r="I321" s="10">
        <v>66.94</v>
      </c>
      <c r="J321" s="10">
        <v>66.56</v>
      </c>
      <c r="K321" s="10">
        <v>66.209999999999994</v>
      </c>
      <c r="L321" s="10">
        <v>65.849999999999994</v>
      </c>
      <c r="M321" s="10">
        <v>65.5</v>
      </c>
      <c r="N321" s="10">
        <v>65.25</v>
      </c>
      <c r="O321" s="10">
        <v>65.180000000000007</v>
      </c>
      <c r="P321" s="10">
        <v>64.86</v>
      </c>
      <c r="Q321" s="10">
        <v>64.36</v>
      </c>
      <c r="R321" s="10">
        <v>63.83</v>
      </c>
      <c r="S321" s="10">
        <v>63.3</v>
      </c>
      <c r="T321" s="10">
        <v>62.78</v>
      </c>
      <c r="U321" s="10">
        <v>62.29</v>
      </c>
      <c r="V321" s="10">
        <v>61.81</v>
      </c>
      <c r="W321" s="10">
        <v>61.31</v>
      </c>
      <c r="X321" s="10">
        <v>60.84</v>
      </c>
      <c r="Y321" s="10">
        <v>60.41</v>
      </c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</row>
    <row r="322" spans="1:147" x14ac:dyDescent="0.3">
      <c r="A322" s="9">
        <f>DATE(2018, 3, 28)</f>
        <v>43187</v>
      </c>
      <c r="B322" s="10">
        <v>69.53</v>
      </c>
      <c r="C322" s="10">
        <v>68.760000000000005</v>
      </c>
      <c r="D322" s="10">
        <v>68.319999999999993</v>
      </c>
      <c r="E322" s="10">
        <v>67.87</v>
      </c>
      <c r="F322" s="10">
        <v>67.45</v>
      </c>
      <c r="G322" s="10">
        <v>67.05</v>
      </c>
      <c r="H322" s="10">
        <v>66.67</v>
      </c>
      <c r="I322" s="10">
        <v>66.28</v>
      </c>
      <c r="J322" s="10">
        <v>65.91</v>
      </c>
      <c r="K322" s="10">
        <v>65.569999999999993</v>
      </c>
      <c r="L322" s="10">
        <v>65.23</v>
      </c>
      <c r="M322" s="10">
        <v>64.89</v>
      </c>
      <c r="N322" s="10">
        <v>64.38</v>
      </c>
      <c r="O322" s="10">
        <v>64.349999999999994</v>
      </c>
      <c r="P322" s="10">
        <v>64.06</v>
      </c>
      <c r="Q322" s="10">
        <v>63.59</v>
      </c>
      <c r="R322" s="10">
        <v>63.07</v>
      </c>
      <c r="S322" s="10">
        <v>62.54</v>
      </c>
      <c r="T322" s="10">
        <v>62.05</v>
      </c>
      <c r="U322" s="10">
        <v>61.59</v>
      </c>
      <c r="V322" s="10">
        <v>61.12</v>
      </c>
      <c r="W322" s="10">
        <v>60.65</v>
      </c>
      <c r="X322" s="10">
        <v>60.21</v>
      </c>
      <c r="Y322" s="10">
        <v>59.8</v>
      </c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</row>
    <row r="323" spans="1:147" x14ac:dyDescent="0.3">
      <c r="A323" s="9">
        <f>DATE(2018, 3, 29)</f>
        <v>43188</v>
      </c>
      <c r="B323" s="10">
        <v>70.27</v>
      </c>
      <c r="C323" s="10">
        <v>69.34</v>
      </c>
      <c r="D323" s="10">
        <v>68.849999999999994</v>
      </c>
      <c r="E323" s="10">
        <v>68.36</v>
      </c>
      <c r="F323" s="10">
        <v>67.91</v>
      </c>
      <c r="G323" s="10">
        <v>67.489999999999995</v>
      </c>
      <c r="H323" s="10">
        <v>67.09</v>
      </c>
      <c r="I323" s="10">
        <v>66.680000000000007</v>
      </c>
      <c r="J323" s="10">
        <v>66.290000000000006</v>
      </c>
      <c r="K323" s="10">
        <v>65.94</v>
      </c>
      <c r="L323" s="10">
        <v>65.58</v>
      </c>
      <c r="M323" s="10">
        <v>65.22</v>
      </c>
      <c r="N323" s="10">
        <v>64.94</v>
      </c>
      <c r="O323" s="10">
        <v>64.87</v>
      </c>
      <c r="P323" s="10">
        <v>64.540000000000006</v>
      </c>
      <c r="Q323" s="10">
        <v>64.040000000000006</v>
      </c>
      <c r="R323" s="10">
        <v>63.48</v>
      </c>
      <c r="S323" s="10">
        <v>62.92</v>
      </c>
      <c r="T323" s="10">
        <v>62.4</v>
      </c>
      <c r="U323" s="10">
        <v>61.91</v>
      </c>
      <c r="V323" s="10">
        <v>61.43</v>
      </c>
      <c r="W323" s="10">
        <v>60.94</v>
      </c>
      <c r="X323" s="10">
        <v>60.48</v>
      </c>
      <c r="Y323" s="10">
        <v>60.06</v>
      </c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</row>
    <row r="324" spans="1:147" x14ac:dyDescent="0.3">
      <c r="A324" s="9">
        <f>DATE(2018, 4, 2)</f>
        <v>43192</v>
      </c>
      <c r="B324" s="10">
        <v>67.64</v>
      </c>
      <c r="C324" s="10">
        <v>67.180000000000007</v>
      </c>
      <c r="D324" s="10">
        <v>66.7</v>
      </c>
      <c r="E324" s="10">
        <v>66.23</v>
      </c>
      <c r="F324" s="10">
        <v>65.81</v>
      </c>
      <c r="G324" s="10">
        <v>65.44</v>
      </c>
      <c r="H324" s="10">
        <v>65.06</v>
      </c>
      <c r="I324" s="10">
        <v>64.69</v>
      </c>
      <c r="J324" s="10">
        <v>64.36</v>
      </c>
      <c r="K324" s="10">
        <v>64.02</v>
      </c>
      <c r="L324" s="10">
        <v>63.69</v>
      </c>
      <c r="M324" s="10">
        <v>63.36</v>
      </c>
      <c r="N324" s="10">
        <v>63.01</v>
      </c>
      <c r="O324" s="10">
        <v>62.99</v>
      </c>
      <c r="P324" s="10">
        <v>62.72</v>
      </c>
      <c r="Q324" s="10">
        <v>62.26</v>
      </c>
      <c r="R324" s="10">
        <v>61.75</v>
      </c>
      <c r="S324" s="10">
        <v>61.24</v>
      </c>
      <c r="T324" s="10">
        <v>60.77</v>
      </c>
      <c r="U324" s="10">
        <v>60.33</v>
      </c>
      <c r="V324" s="10">
        <v>59.9</v>
      </c>
      <c r="W324" s="10">
        <v>59.45</v>
      </c>
      <c r="X324" s="10">
        <v>59.03</v>
      </c>
      <c r="Y324" s="10">
        <v>58.64</v>
      </c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</row>
    <row r="325" spans="1:147" x14ac:dyDescent="0.3">
      <c r="A325" s="9">
        <f>DATE(2018, 4, 3)</f>
        <v>43193</v>
      </c>
      <c r="B325" s="10">
        <v>68.12</v>
      </c>
      <c r="C325" s="10">
        <v>67.67</v>
      </c>
      <c r="D325" s="10">
        <v>67.209999999999994</v>
      </c>
      <c r="E325" s="10">
        <v>66.77</v>
      </c>
      <c r="F325" s="10">
        <v>66.38</v>
      </c>
      <c r="G325" s="10">
        <v>66.010000000000005</v>
      </c>
      <c r="H325" s="10">
        <v>65.650000000000006</v>
      </c>
      <c r="I325" s="10">
        <v>65.3</v>
      </c>
      <c r="J325" s="10">
        <v>64.98</v>
      </c>
      <c r="K325" s="10">
        <v>64.650000000000006</v>
      </c>
      <c r="L325" s="10">
        <v>64.319999999999993</v>
      </c>
      <c r="M325" s="10">
        <v>64</v>
      </c>
      <c r="N325" s="10">
        <v>63.51</v>
      </c>
      <c r="O325" s="10">
        <v>63.46</v>
      </c>
      <c r="P325" s="10">
        <v>63.21</v>
      </c>
      <c r="Q325" s="10">
        <v>62.77</v>
      </c>
      <c r="R325" s="10">
        <v>62.28</v>
      </c>
      <c r="S325" s="10">
        <v>61.78</v>
      </c>
      <c r="T325" s="10">
        <v>61.33</v>
      </c>
      <c r="U325" s="10">
        <v>60.9</v>
      </c>
      <c r="V325" s="10">
        <v>60.48</v>
      </c>
      <c r="W325" s="10">
        <v>60.03</v>
      </c>
      <c r="X325" s="10">
        <v>59.63</v>
      </c>
      <c r="Y325" s="10">
        <v>59.23</v>
      </c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</row>
    <row r="326" spans="1:147" x14ac:dyDescent="0.3">
      <c r="A326" s="9">
        <f>DATE(2018, 4, 4)</f>
        <v>43194</v>
      </c>
      <c r="B326" s="10">
        <v>68.02</v>
      </c>
      <c r="C326" s="10">
        <v>67.55</v>
      </c>
      <c r="D326" s="10">
        <v>67.08</v>
      </c>
      <c r="E326" s="10">
        <v>66.650000000000006</v>
      </c>
      <c r="F326" s="10">
        <v>66.27</v>
      </c>
      <c r="G326" s="10">
        <v>65.91</v>
      </c>
      <c r="H326" s="10">
        <v>65.56</v>
      </c>
      <c r="I326" s="10">
        <v>65.22</v>
      </c>
      <c r="J326" s="10">
        <v>64.91</v>
      </c>
      <c r="K326" s="10">
        <v>64.59</v>
      </c>
      <c r="L326" s="10">
        <v>64.27</v>
      </c>
      <c r="M326" s="10">
        <v>63.96</v>
      </c>
      <c r="N326" s="10">
        <v>63.37</v>
      </c>
      <c r="O326" s="10">
        <v>63.33</v>
      </c>
      <c r="P326" s="10">
        <v>63.1</v>
      </c>
      <c r="Q326" s="10">
        <v>62.69</v>
      </c>
      <c r="R326" s="10">
        <v>62.22</v>
      </c>
      <c r="S326" s="10">
        <v>61.74</v>
      </c>
      <c r="T326" s="10">
        <v>61.29</v>
      </c>
      <c r="U326" s="10">
        <v>60.87</v>
      </c>
      <c r="V326" s="10">
        <v>60.46</v>
      </c>
      <c r="W326" s="10">
        <v>60.04</v>
      </c>
      <c r="X326" s="10">
        <v>59.65</v>
      </c>
      <c r="Y326" s="10">
        <v>59.27</v>
      </c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</row>
    <row r="327" spans="1:147" x14ac:dyDescent="0.3">
      <c r="A327" s="9">
        <f>DATE(2018, 4, 5)</f>
        <v>43195</v>
      </c>
      <c r="B327" s="10">
        <v>68.33</v>
      </c>
      <c r="C327" s="10">
        <v>67.900000000000006</v>
      </c>
      <c r="D327" s="10">
        <v>67.45</v>
      </c>
      <c r="E327" s="10">
        <v>67.03</v>
      </c>
      <c r="F327" s="10">
        <v>66.650000000000006</v>
      </c>
      <c r="G327" s="10">
        <v>66.3</v>
      </c>
      <c r="H327" s="10">
        <v>65.95</v>
      </c>
      <c r="I327" s="10">
        <v>65.62</v>
      </c>
      <c r="J327" s="10">
        <v>65.31</v>
      </c>
      <c r="K327" s="10">
        <v>64.989999999999995</v>
      </c>
      <c r="L327" s="10">
        <v>64.67</v>
      </c>
      <c r="M327" s="10">
        <v>64.36</v>
      </c>
      <c r="N327" s="10">
        <v>63.54</v>
      </c>
      <c r="O327" s="10">
        <v>63.54</v>
      </c>
      <c r="P327" s="10">
        <v>63.34</v>
      </c>
      <c r="Q327" s="10">
        <v>62.98</v>
      </c>
      <c r="R327" s="10">
        <v>62.56</v>
      </c>
      <c r="S327" s="10">
        <v>62.12</v>
      </c>
      <c r="T327" s="10">
        <v>61.69</v>
      </c>
      <c r="U327" s="10">
        <v>61.29</v>
      </c>
      <c r="V327" s="10">
        <v>60.9</v>
      </c>
      <c r="W327" s="10">
        <v>60.48</v>
      </c>
      <c r="X327" s="10">
        <v>60.08</v>
      </c>
      <c r="Y327" s="10">
        <v>59.69</v>
      </c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</row>
    <row r="328" spans="1:147" x14ac:dyDescent="0.3">
      <c r="A328" s="9">
        <f>DATE(2018, 4, 6)</f>
        <v>43196</v>
      </c>
      <c r="B328" s="10">
        <v>67.11</v>
      </c>
      <c r="C328" s="10">
        <v>66.680000000000007</v>
      </c>
      <c r="D328" s="10">
        <v>66.239999999999995</v>
      </c>
      <c r="E328" s="10">
        <v>65.819999999999993</v>
      </c>
      <c r="F328" s="10">
        <v>65.44</v>
      </c>
      <c r="G328" s="10">
        <v>65.09</v>
      </c>
      <c r="H328" s="10">
        <v>64.739999999999995</v>
      </c>
      <c r="I328" s="10">
        <v>64.42</v>
      </c>
      <c r="J328" s="10">
        <v>64.13</v>
      </c>
      <c r="K328" s="10">
        <v>63.83</v>
      </c>
      <c r="L328" s="10">
        <v>63.54</v>
      </c>
      <c r="M328" s="10">
        <v>63.25</v>
      </c>
      <c r="N328" s="10">
        <v>62.06</v>
      </c>
      <c r="O328" s="10">
        <v>62.1</v>
      </c>
      <c r="P328" s="10">
        <v>61.96</v>
      </c>
      <c r="Q328" s="10">
        <v>61.64</v>
      </c>
      <c r="R328" s="10">
        <v>61.26</v>
      </c>
      <c r="S328" s="10">
        <v>60.87</v>
      </c>
      <c r="T328" s="10">
        <v>60.5</v>
      </c>
      <c r="U328" s="10">
        <v>60.14</v>
      </c>
      <c r="V328" s="10">
        <v>59.78</v>
      </c>
      <c r="W328" s="10">
        <v>59.38</v>
      </c>
      <c r="X328" s="10">
        <v>59</v>
      </c>
      <c r="Y328" s="10">
        <v>58.64</v>
      </c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</row>
    <row r="329" spans="1:147" x14ac:dyDescent="0.3">
      <c r="A329" s="9">
        <f>DATE(2018, 4, 9)</f>
        <v>43199</v>
      </c>
      <c r="B329" s="10">
        <v>68.650000000000006</v>
      </c>
      <c r="C329" s="10">
        <v>68.180000000000007</v>
      </c>
      <c r="D329" s="10">
        <v>67.7</v>
      </c>
      <c r="E329" s="10">
        <v>67.23</v>
      </c>
      <c r="F329" s="10">
        <v>66.790000000000006</v>
      </c>
      <c r="G329" s="10">
        <v>66.38</v>
      </c>
      <c r="H329" s="10">
        <v>65.98</v>
      </c>
      <c r="I329" s="10">
        <v>65.61</v>
      </c>
      <c r="J329" s="10">
        <v>65.25</v>
      </c>
      <c r="K329" s="10">
        <v>64.900000000000006</v>
      </c>
      <c r="L329" s="10">
        <v>64.56</v>
      </c>
      <c r="M329" s="10">
        <v>64.22</v>
      </c>
      <c r="N329" s="10">
        <v>63.42</v>
      </c>
      <c r="O329" s="10">
        <v>63.43</v>
      </c>
      <c r="P329" s="10">
        <v>63.26</v>
      </c>
      <c r="Q329" s="10">
        <v>62.91</v>
      </c>
      <c r="R329" s="10">
        <v>62.5</v>
      </c>
      <c r="S329" s="10">
        <v>62.08</v>
      </c>
      <c r="T329" s="10">
        <v>61.68</v>
      </c>
      <c r="U329" s="10">
        <v>61.29</v>
      </c>
      <c r="V329" s="10">
        <v>60.89</v>
      </c>
      <c r="W329" s="10">
        <v>60.46</v>
      </c>
      <c r="X329" s="10">
        <v>60.04</v>
      </c>
      <c r="Y329" s="10">
        <v>59.63</v>
      </c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</row>
    <row r="330" spans="1:147" x14ac:dyDescent="0.3">
      <c r="A330" s="9">
        <f>DATE(2018, 4, 10)</f>
        <v>43200</v>
      </c>
      <c r="B330" s="10">
        <v>71.040000000000006</v>
      </c>
      <c r="C330" s="10">
        <v>70.42</v>
      </c>
      <c r="D330" s="10">
        <v>69.87</v>
      </c>
      <c r="E330" s="10">
        <v>69.34</v>
      </c>
      <c r="F330" s="10">
        <v>68.81</v>
      </c>
      <c r="G330" s="10">
        <v>68.31</v>
      </c>
      <c r="H330" s="10">
        <v>67.83</v>
      </c>
      <c r="I330" s="10">
        <v>67.37</v>
      </c>
      <c r="J330" s="10">
        <v>66.930000000000007</v>
      </c>
      <c r="K330" s="10">
        <v>66.5</v>
      </c>
      <c r="L330" s="10">
        <v>66.09</v>
      </c>
      <c r="M330" s="10">
        <v>65.680000000000007</v>
      </c>
      <c r="N330" s="10">
        <v>65.510000000000005</v>
      </c>
      <c r="O330" s="10">
        <v>65.44</v>
      </c>
      <c r="P330" s="10">
        <v>65.17</v>
      </c>
      <c r="Q330" s="10">
        <v>64.7</v>
      </c>
      <c r="R330" s="10">
        <v>64.16</v>
      </c>
      <c r="S330" s="10">
        <v>63.6</v>
      </c>
      <c r="T330" s="10">
        <v>63.08</v>
      </c>
      <c r="U330" s="10">
        <v>62.58</v>
      </c>
      <c r="V330" s="10">
        <v>62.08</v>
      </c>
      <c r="W330" s="10">
        <v>61.56</v>
      </c>
      <c r="X330" s="10">
        <v>61.05</v>
      </c>
      <c r="Y330" s="10">
        <v>60.58</v>
      </c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</row>
    <row r="331" spans="1:147" x14ac:dyDescent="0.3">
      <c r="A331" s="9">
        <f>DATE(2018, 4, 11)</f>
        <v>43201</v>
      </c>
      <c r="B331" s="10">
        <v>72.06</v>
      </c>
      <c r="C331" s="10">
        <v>71.459999999999994</v>
      </c>
      <c r="D331" s="10">
        <v>70.930000000000007</v>
      </c>
      <c r="E331" s="10">
        <v>70.42</v>
      </c>
      <c r="F331" s="10">
        <v>69.900000000000006</v>
      </c>
      <c r="G331" s="10">
        <v>69.41</v>
      </c>
      <c r="H331" s="10">
        <v>68.94</v>
      </c>
      <c r="I331" s="10">
        <v>68.5</v>
      </c>
      <c r="J331" s="10">
        <v>68.06</v>
      </c>
      <c r="K331" s="10">
        <v>67.62</v>
      </c>
      <c r="L331" s="10">
        <v>67.19</v>
      </c>
      <c r="M331" s="10">
        <v>66.760000000000005</v>
      </c>
      <c r="N331" s="10">
        <v>66.819999999999993</v>
      </c>
      <c r="O331" s="10">
        <v>66.739999999999995</v>
      </c>
      <c r="P331" s="10">
        <v>66.44</v>
      </c>
      <c r="Q331" s="10">
        <v>65.91</v>
      </c>
      <c r="R331" s="10">
        <v>65.34</v>
      </c>
      <c r="S331" s="10">
        <v>64.77</v>
      </c>
      <c r="T331" s="10">
        <v>64.239999999999995</v>
      </c>
      <c r="U331" s="10">
        <v>63.72</v>
      </c>
      <c r="V331" s="10">
        <v>63.21</v>
      </c>
      <c r="W331" s="10">
        <v>62.66</v>
      </c>
      <c r="X331" s="10">
        <v>62.11</v>
      </c>
      <c r="Y331" s="10">
        <v>61.61</v>
      </c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</row>
    <row r="332" spans="1:147" x14ac:dyDescent="0.3">
      <c r="A332" s="9">
        <f>DATE(2018, 4, 12)</f>
        <v>43202</v>
      </c>
      <c r="B332" s="10">
        <v>72.02</v>
      </c>
      <c r="C332" s="10">
        <v>71.400000000000006</v>
      </c>
      <c r="D332" s="10">
        <v>70.849999999999994</v>
      </c>
      <c r="E332" s="10">
        <v>70.3</v>
      </c>
      <c r="F332" s="10">
        <v>69.739999999999995</v>
      </c>
      <c r="G332" s="10">
        <v>69.22</v>
      </c>
      <c r="H332" s="10">
        <v>68.72</v>
      </c>
      <c r="I332" s="10">
        <v>68.25</v>
      </c>
      <c r="J332" s="10">
        <v>67.8</v>
      </c>
      <c r="K332" s="10">
        <v>67.34</v>
      </c>
      <c r="L332" s="10">
        <v>66.900000000000006</v>
      </c>
      <c r="M332" s="10">
        <v>66.45</v>
      </c>
      <c r="N332" s="10">
        <v>67.069999999999993</v>
      </c>
      <c r="O332" s="10">
        <v>66.95</v>
      </c>
      <c r="P332" s="10">
        <v>66.58</v>
      </c>
      <c r="Q332" s="10">
        <v>66.010000000000005</v>
      </c>
      <c r="R332" s="10">
        <v>65.400000000000006</v>
      </c>
      <c r="S332" s="10">
        <v>64.8</v>
      </c>
      <c r="T332" s="10">
        <v>64.25</v>
      </c>
      <c r="U332" s="10">
        <v>63.72</v>
      </c>
      <c r="V332" s="10">
        <v>63.2</v>
      </c>
      <c r="W332" s="10">
        <v>62.62</v>
      </c>
      <c r="X332" s="10">
        <v>62.06</v>
      </c>
      <c r="Y332" s="10">
        <v>61.52</v>
      </c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</row>
    <row r="333" spans="1:147" x14ac:dyDescent="0.3">
      <c r="A333" s="9">
        <f>DATE(2018, 4, 13)</f>
        <v>43203</v>
      </c>
      <c r="B333" s="10">
        <v>72.58</v>
      </c>
      <c r="C333" s="10">
        <v>71.930000000000007</v>
      </c>
      <c r="D333" s="10">
        <v>71.38</v>
      </c>
      <c r="E333" s="10">
        <v>70.819999999999993</v>
      </c>
      <c r="F333" s="10">
        <v>70.260000000000005</v>
      </c>
      <c r="G333" s="10">
        <v>69.739999999999995</v>
      </c>
      <c r="H333" s="10">
        <v>69.239999999999995</v>
      </c>
      <c r="I333" s="10">
        <v>68.77</v>
      </c>
      <c r="J333" s="10">
        <v>68.319999999999993</v>
      </c>
      <c r="K333" s="10">
        <v>67.849999999999994</v>
      </c>
      <c r="L333" s="10">
        <v>67.400000000000006</v>
      </c>
      <c r="M333" s="10">
        <v>66.95</v>
      </c>
      <c r="N333" s="10">
        <v>67.39</v>
      </c>
      <c r="O333" s="10">
        <v>67.33</v>
      </c>
      <c r="P333" s="10">
        <v>67</v>
      </c>
      <c r="Q333" s="10">
        <v>66.45</v>
      </c>
      <c r="R333" s="10">
        <v>65.849999999999994</v>
      </c>
      <c r="S333" s="10">
        <v>65.23</v>
      </c>
      <c r="T333" s="10">
        <v>64.67</v>
      </c>
      <c r="U333" s="10">
        <v>64.13</v>
      </c>
      <c r="V333" s="10">
        <v>63.59</v>
      </c>
      <c r="W333" s="10">
        <v>63</v>
      </c>
      <c r="X333" s="10">
        <v>62.42</v>
      </c>
      <c r="Y333" s="10">
        <v>61.86</v>
      </c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</row>
    <row r="334" spans="1:147" x14ac:dyDescent="0.3">
      <c r="A334" s="9">
        <f>DATE(2018, 4, 16)</f>
        <v>43206</v>
      </c>
      <c r="B334" s="10">
        <v>71.42</v>
      </c>
      <c r="C334" s="10">
        <v>70.81</v>
      </c>
      <c r="D334" s="10">
        <v>70.290000000000006</v>
      </c>
      <c r="E334" s="10">
        <v>69.78</v>
      </c>
      <c r="F334" s="10">
        <v>69.28</v>
      </c>
      <c r="G334" s="10">
        <v>68.819999999999993</v>
      </c>
      <c r="H334" s="10">
        <v>68.37</v>
      </c>
      <c r="I334" s="10">
        <v>67.95</v>
      </c>
      <c r="J334" s="10">
        <v>67.55</v>
      </c>
      <c r="K334" s="10">
        <v>67.12</v>
      </c>
      <c r="L334" s="10">
        <v>66.709999999999994</v>
      </c>
      <c r="M334" s="10">
        <v>66.3</v>
      </c>
      <c r="N334" s="10">
        <v>66.22</v>
      </c>
      <c r="O334" s="10">
        <v>66.2</v>
      </c>
      <c r="P334" s="10">
        <v>65.94</v>
      </c>
      <c r="Q334" s="10">
        <v>65.459999999999994</v>
      </c>
      <c r="R334" s="10">
        <v>64.91</v>
      </c>
      <c r="S334" s="10">
        <v>64.349999999999994</v>
      </c>
      <c r="T334" s="10">
        <v>63.84</v>
      </c>
      <c r="U334" s="10">
        <v>63.36</v>
      </c>
      <c r="V334" s="10">
        <v>62.89</v>
      </c>
      <c r="W334" s="10">
        <v>62.36</v>
      </c>
      <c r="X334" s="10">
        <v>61.83</v>
      </c>
      <c r="Y334" s="10">
        <v>61.31</v>
      </c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</row>
    <row r="335" spans="1:147" x14ac:dyDescent="0.3">
      <c r="A335" s="9">
        <f>DATE(2018, 4, 17)</f>
        <v>43207</v>
      </c>
      <c r="B335" s="10">
        <v>71.58</v>
      </c>
      <c r="C335" s="10">
        <v>70.97</v>
      </c>
      <c r="D335" s="10">
        <v>70.44</v>
      </c>
      <c r="E335" s="10">
        <v>69.94</v>
      </c>
      <c r="F335" s="10">
        <v>69.45</v>
      </c>
      <c r="G335" s="10">
        <v>69</v>
      </c>
      <c r="H335" s="10">
        <v>68.55</v>
      </c>
      <c r="I335" s="10">
        <v>68.13</v>
      </c>
      <c r="J335" s="10">
        <v>67.73</v>
      </c>
      <c r="K335" s="10">
        <v>67.3</v>
      </c>
      <c r="L335" s="10">
        <v>66.89</v>
      </c>
      <c r="M335" s="10">
        <v>66.48</v>
      </c>
      <c r="N335" s="10">
        <v>66.52</v>
      </c>
      <c r="O335" s="10">
        <v>66.510000000000005</v>
      </c>
      <c r="P335" s="10">
        <v>66.239999999999995</v>
      </c>
      <c r="Q335" s="10">
        <v>65.75</v>
      </c>
      <c r="R335" s="10">
        <v>65.2</v>
      </c>
      <c r="S335" s="10">
        <v>64.650000000000006</v>
      </c>
      <c r="T335" s="10">
        <v>64.150000000000006</v>
      </c>
      <c r="U335" s="10">
        <v>63.67</v>
      </c>
      <c r="V335" s="10">
        <v>63.2</v>
      </c>
      <c r="W335" s="10">
        <v>62.66</v>
      </c>
      <c r="X335" s="10">
        <v>62.14</v>
      </c>
      <c r="Y335" s="10">
        <v>61.62</v>
      </c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</row>
    <row r="336" spans="1:147" x14ac:dyDescent="0.3">
      <c r="A336" s="9">
        <f>DATE(2018, 4, 18)</f>
        <v>43208</v>
      </c>
      <c r="B336" s="10">
        <v>73.48</v>
      </c>
      <c r="C336" s="10">
        <v>72.84</v>
      </c>
      <c r="D336" s="10">
        <v>72.28</v>
      </c>
      <c r="E336" s="10">
        <v>71.709999999999994</v>
      </c>
      <c r="F336" s="10">
        <v>71.13</v>
      </c>
      <c r="G336" s="10">
        <v>70.61</v>
      </c>
      <c r="H336" s="10">
        <v>70.09</v>
      </c>
      <c r="I336" s="10">
        <v>69.599999999999994</v>
      </c>
      <c r="J336" s="10">
        <v>69.12</v>
      </c>
      <c r="K336" s="10">
        <v>68.63</v>
      </c>
      <c r="L336" s="10">
        <v>68.16</v>
      </c>
      <c r="M336" s="10">
        <v>67.69</v>
      </c>
      <c r="N336" s="10">
        <v>68.47</v>
      </c>
      <c r="O336" s="10">
        <v>68.47</v>
      </c>
      <c r="P336" s="10">
        <v>68.150000000000006</v>
      </c>
      <c r="Q336" s="10">
        <v>67.55</v>
      </c>
      <c r="R336" s="10">
        <v>66.87</v>
      </c>
      <c r="S336" s="10">
        <v>66.2</v>
      </c>
      <c r="T336" s="10">
        <v>65.59</v>
      </c>
      <c r="U336" s="10">
        <v>65.02</v>
      </c>
      <c r="V336" s="10">
        <v>64.459999999999994</v>
      </c>
      <c r="W336" s="10">
        <v>63.84</v>
      </c>
      <c r="X336" s="10">
        <v>63.24</v>
      </c>
      <c r="Y336" s="10">
        <v>62.65</v>
      </c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</row>
    <row r="337" spans="1:147" x14ac:dyDescent="0.3">
      <c r="A337" s="9">
        <f>DATE(2018, 4, 19)</f>
        <v>43209</v>
      </c>
      <c r="B337" s="10">
        <v>73.78</v>
      </c>
      <c r="C337" s="10">
        <v>73.11</v>
      </c>
      <c r="D337" s="10">
        <v>72.540000000000006</v>
      </c>
      <c r="E337" s="10">
        <v>72.010000000000005</v>
      </c>
      <c r="F337" s="10">
        <v>71.47</v>
      </c>
      <c r="G337" s="10">
        <v>70.98</v>
      </c>
      <c r="H337" s="10">
        <v>70.48</v>
      </c>
      <c r="I337" s="10">
        <v>70</v>
      </c>
      <c r="J337" s="10">
        <v>69.540000000000006</v>
      </c>
      <c r="K337" s="10">
        <v>69.06</v>
      </c>
      <c r="L337" s="10">
        <v>68.59</v>
      </c>
      <c r="M337" s="10">
        <v>68.12</v>
      </c>
      <c r="N337" s="10">
        <v>68.290000000000006</v>
      </c>
      <c r="O337" s="10">
        <v>68.33</v>
      </c>
      <c r="P337" s="10">
        <v>68.08</v>
      </c>
      <c r="Q337" s="10">
        <v>67.53</v>
      </c>
      <c r="R337" s="10">
        <v>66.900000000000006</v>
      </c>
      <c r="S337" s="10">
        <v>66.260000000000005</v>
      </c>
      <c r="T337" s="10">
        <v>65.67</v>
      </c>
      <c r="U337" s="10">
        <v>65.099999999999994</v>
      </c>
      <c r="V337" s="10">
        <v>64.55</v>
      </c>
      <c r="W337" s="10">
        <v>63.95</v>
      </c>
      <c r="X337" s="10">
        <v>63.37</v>
      </c>
      <c r="Y337" s="10">
        <v>62.8</v>
      </c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</row>
    <row r="338" spans="1:147" x14ac:dyDescent="0.3">
      <c r="A338" s="9">
        <f>DATE(2018, 4, 20)</f>
        <v>43210</v>
      </c>
      <c r="B338" s="10">
        <v>74.06</v>
      </c>
      <c r="C338" s="10">
        <v>73.349999999999994</v>
      </c>
      <c r="D338" s="10">
        <v>72.78</v>
      </c>
      <c r="E338" s="10">
        <v>72.23</v>
      </c>
      <c r="F338" s="10">
        <v>71.7</v>
      </c>
      <c r="G338" s="10">
        <v>71.22</v>
      </c>
      <c r="H338" s="10">
        <v>70.739999999999995</v>
      </c>
      <c r="I338" s="10">
        <v>70.27</v>
      </c>
      <c r="J338" s="10">
        <v>69.81</v>
      </c>
      <c r="K338" s="10">
        <v>69.33</v>
      </c>
      <c r="L338" s="10">
        <v>68.86</v>
      </c>
      <c r="M338" s="10">
        <v>68.39</v>
      </c>
      <c r="N338" s="10">
        <v>68.38</v>
      </c>
      <c r="O338" s="10">
        <v>68.400000000000006</v>
      </c>
      <c r="P338" s="10">
        <v>68.180000000000007</v>
      </c>
      <c r="Q338" s="10">
        <v>67.66</v>
      </c>
      <c r="R338" s="10">
        <v>67.05</v>
      </c>
      <c r="S338" s="10">
        <v>66.430000000000007</v>
      </c>
      <c r="T338" s="10">
        <v>65.849999999999994</v>
      </c>
      <c r="U338" s="10">
        <v>65.28</v>
      </c>
      <c r="V338" s="10">
        <v>64.73</v>
      </c>
      <c r="W338" s="10">
        <v>64.12</v>
      </c>
      <c r="X338" s="10">
        <v>63.55</v>
      </c>
      <c r="Y338" s="10">
        <v>62.98</v>
      </c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</row>
    <row r="339" spans="1:147" x14ac:dyDescent="0.3">
      <c r="A339" s="9">
        <f>DATE(2018, 4, 23)</f>
        <v>43213</v>
      </c>
      <c r="B339" s="10">
        <v>74.709999999999994</v>
      </c>
      <c r="C339" s="10">
        <v>74.010000000000005</v>
      </c>
      <c r="D339" s="10">
        <v>73.45</v>
      </c>
      <c r="E339" s="10">
        <v>72.900000000000006</v>
      </c>
      <c r="F339" s="10">
        <v>72.349999999999994</v>
      </c>
      <c r="G339" s="10">
        <v>71.849999999999994</v>
      </c>
      <c r="H339" s="10">
        <v>71.349999999999994</v>
      </c>
      <c r="I339" s="10">
        <v>70.86</v>
      </c>
      <c r="J339" s="10">
        <v>70.39</v>
      </c>
      <c r="K339" s="10">
        <v>69.91</v>
      </c>
      <c r="L339" s="10">
        <v>69.44</v>
      </c>
      <c r="M339" s="10">
        <v>68.97</v>
      </c>
      <c r="N339" s="10">
        <v>68.64</v>
      </c>
      <c r="O339" s="10">
        <v>68.47</v>
      </c>
      <c r="P339" s="10">
        <v>68.02</v>
      </c>
      <c r="Q339" s="10">
        <v>67.430000000000007</v>
      </c>
      <c r="R339" s="10">
        <v>66.83</v>
      </c>
      <c r="S339" s="10">
        <v>66.25</v>
      </c>
      <c r="T339" s="10">
        <v>65.69</v>
      </c>
      <c r="U339" s="10">
        <v>65.12</v>
      </c>
      <c r="V339" s="10">
        <v>64.52</v>
      </c>
      <c r="W339" s="10">
        <v>63.93</v>
      </c>
      <c r="X339" s="10">
        <v>63.35</v>
      </c>
      <c r="Y339" s="10">
        <v>62.8</v>
      </c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</row>
    <row r="340" spans="1:147" x14ac:dyDescent="0.3">
      <c r="A340" s="9">
        <f>DATE(2018, 4, 24)</f>
        <v>43214</v>
      </c>
      <c r="B340" s="10">
        <v>73.86</v>
      </c>
      <c r="C340" s="10">
        <v>73.069999999999993</v>
      </c>
      <c r="D340" s="10">
        <v>72.53</v>
      </c>
      <c r="E340" s="10">
        <v>72.010000000000005</v>
      </c>
      <c r="F340" s="10">
        <v>71.48</v>
      </c>
      <c r="G340" s="10">
        <v>71</v>
      </c>
      <c r="H340" s="10">
        <v>70.52</v>
      </c>
      <c r="I340" s="10">
        <v>70.06</v>
      </c>
      <c r="J340" s="10">
        <v>69.599999999999994</v>
      </c>
      <c r="K340" s="10">
        <v>69.13</v>
      </c>
      <c r="L340" s="10">
        <v>68.67</v>
      </c>
      <c r="M340" s="10">
        <v>68.209999999999994</v>
      </c>
      <c r="N340" s="10">
        <v>67.7</v>
      </c>
      <c r="O340" s="10">
        <v>67.569999999999993</v>
      </c>
      <c r="P340" s="10">
        <v>67.17</v>
      </c>
      <c r="Q340" s="10">
        <v>66.62</v>
      </c>
      <c r="R340" s="10">
        <v>66.05</v>
      </c>
      <c r="S340" s="10">
        <v>65.510000000000005</v>
      </c>
      <c r="T340" s="10">
        <v>64.97</v>
      </c>
      <c r="U340" s="10">
        <v>64.44</v>
      </c>
      <c r="V340" s="10">
        <v>63.84</v>
      </c>
      <c r="W340" s="10">
        <v>63.25</v>
      </c>
      <c r="X340" s="10">
        <v>62.67</v>
      </c>
      <c r="Y340" s="10">
        <v>62.12</v>
      </c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</row>
    <row r="341" spans="1:147" x14ac:dyDescent="0.3">
      <c r="A341" s="9">
        <f>DATE(2018, 4, 25)</f>
        <v>43215</v>
      </c>
      <c r="B341" s="10">
        <v>74</v>
      </c>
      <c r="C341" s="10">
        <v>73.23</v>
      </c>
      <c r="D341" s="10">
        <v>72.72</v>
      </c>
      <c r="E341" s="10">
        <v>72.22</v>
      </c>
      <c r="F341" s="10">
        <v>71.7</v>
      </c>
      <c r="G341" s="10">
        <v>71.22</v>
      </c>
      <c r="H341" s="10">
        <v>70.739999999999995</v>
      </c>
      <c r="I341" s="10">
        <v>70.27</v>
      </c>
      <c r="J341" s="10">
        <v>69.8</v>
      </c>
      <c r="K341" s="10">
        <v>69.33</v>
      </c>
      <c r="L341" s="10">
        <v>68.88</v>
      </c>
      <c r="M341" s="10">
        <v>68.42</v>
      </c>
      <c r="N341" s="10">
        <v>68.05</v>
      </c>
      <c r="O341" s="10">
        <v>67.92</v>
      </c>
      <c r="P341" s="10">
        <v>67.53</v>
      </c>
      <c r="Q341" s="10">
        <v>66.98</v>
      </c>
      <c r="R341" s="10">
        <v>66.41</v>
      </c>
      <c r="S341" s="10">
        <v>65.87</v>
      </c>
      <c r="T341" s="10">
        <v>65.34</v>
      </c>
      <c r="U341" s="10">
        <v>64.8</v>
      </c>
      <c r="V341" s="10">
        <v>64.19</v>
      </c>
      <c r="W341" s="10">
        <v>63.59</v>
      </c>
      <c r="X341" s="10">
        <v>63.01</v>
      </c>
      <c r="Y341" s="10">
        <v>62.44</v>
      </c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</row>
    <row r="342" spans="1:147" x14ac:dyDescent="0.3">
      <c r="A342" s="9">
        <f>DATE(2018, 4, 26)</f>
        <v>43216</v>
      </c>
      <c r="B342" s="10">
        <v>74.739999999999995</v>
      </c>
      <c r="C342" s="10">
        <v>73.88</v>
      </c>
      <c r="D342" s="10">
        <v>73.34</v>
      </c>
      <c r="E342" s="10">
        <v>72.790000000000006</v>
      </c>
      <c r="F342" s="10">
        <v>72.239999999999995</v>
      </c>
      <c r="G342" s="10">
        <v>71.739999999999995</v>
      </c>
      <c r="H342" s="10">
        <v>71.239999999999995</v>
      </c>
      <c r="I342" s="10">
        <v>70.760000000000005</v>
      </c>
      <c r="J342" s="10">
        <v>70.27</v>
      </c>
      <c r="K342" s="10">
        <v>69.78</v>
      </c>
      <c r="L342" s="10">
        <v>69.31</v>
      </c>
      <c r="M342" s="10">
        <v>68.83</v>
      </c>
      <c r="N342" s="10">
        <v>68.19</v>
      </c>
      <c r="O342" s="10">
        <v>68.08</v>
      </c>
      <c r="P342" s="10">
        <v>67.739999999999995</v>
      </c>
      <c r="Q342" s="10">
        <v>67.209999999999994</v>
      </c>
      <c r="R342" s="10">
        <v>66.64</v>
      </c>
      <c r="S342" s="10">
        <v>66.11</v>
      </c>
      <c r="T342" s="10">
        <v>65.569999999999993</v>
      </c>
      <c r="U342" s="10">
        <v>65.02</v>
      </c>
      <c r="V342" s="10">
        <v>64.400000000000006</v>
      </c>
      <c r="W342" s="10">
        <v>63.78</v>
      </c>
      <c r="X342" s="10">
        <v>63.17</v>
      </c>
      <c r="Y342" s="10">
        <v>62.59</v>
      </c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</row>
    <row r="343" spans="1:147" x14ac:dyDescent="0.3">
      <c r="A343" s="9">
        <f>DATE(2018, 4, 27)</f>
        <v>43217</v>
      </c>
      <c r="B343" s="10">
        <v>74.64</v>
      </c>
      <c r="C343" s="10">
        <v>73.790000000000006</v>
      </c>
      <c r="D343" s="10">
        <v>73.25</v>
      </c>
      <c r="E343" s="10">
        <v>72.7</v>
      </c>
      <c r="F343" s="10">
        <v>72.150000000000006</v>
      </c>
      <c r="G343" s="10">
        <v>71.66</v>
      </c>
      <c r="H343" s="10">
        <v>71.17</v>
      </c>
      <c r="I343" s="10">
        <v>70.69</v>
      </c>
      <c r="J343" s="10">
        <v>70.2</v>
      </c>
      <c r="K343" s="10">
        <v>69.72</v>
      </c>
      <c r="L343" s="10">
        <v>69.25</v>
      </c>
      <c r="M343" s="10">
        <v>68.77</v>
      </c>
      <c r="N343" s="10">
        <v>68.099999999999994</v>
      </c>
      <c r="O343" s="10">
        <v>67.98</v>
      </c>
      <c r="P343" s="10">
        <v>67.63</v>
      </c>
      <c r="Q343" s="10">
        <v>67.099999999999994</v>
      </c>
      <c r="R343" s="10">
        <v>66.52</v>
      </c>
      <c r="S343" s="10">
        <v>65.97</v>
      </c>
      <c r="T343" s="10">
        <v>65.430000000000007</v>
      </c>
      <c r="U343" s="10">
        <v>64.89</v>
      </c>
      <c r="V343" s="10">
        <v>64.260000000000005</v>
      </c>
      <c r="W343" s="10">
        <v>63.64</v>
      </c>
      <c r="X343" s="10">
        <v>63.04</v>
      </c>
      <c r="Y343" s="10">
        <v>62.45</v>
      </c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</row>
    <row r="344" spans="1:147" x14ac:dyDescent="0.3">
      <c r="A344" s="9">
        <f>DATE(2018, 4, 30)</f>
        <v>43220</v>
      </c>
      <c r="B344" s="10">
        <v>75.17</v>
      </c>
      <c r="C344" s="10">
        <v>74.69</v>
      </c>
      <c r="D344" s="10">
        <v>74.17</v>
      </c>
      <c r="E344" s="10">
        <v>73.599999999999994</v>
      </c>
      <c r="F344" s="10">
        <v>73.040000000000006</v>
      </c>
      <c r="G344" s="10">
        <v>72.540000000000006</v>
      </c>
      <c r="H344" s="10">
        <v>72.040000000000006</v>
      </c>
      <c r="I344" s="10">
        <v>71.540000000000006</v>
      </c>
      <c r="J344" s="10">
        <v>71.040000000000006</v>
      </c>
      <c r="K344" s="10">
        <v>70.540000000000006</v>
      </c>
      <c r="L344" s="10">
        <v>70.05</v>
      </c>
      <c r="M344" s="10">
        <v>69.56</v>
      </c>
      <c r="N344" s="10">
        <v>68.569999999999993</v>
      </c>
      <c r="O344" s="10">
        <v>68.48</v>
      </c>
      <c r="P344" s="10">
        <v>68.17</v>
      </c>
      <c r="Q344" s="10">
        <v>67.680000000000007</v>
      </c>
      <c r="R344" s="10">
        <v>67.09</v>
      </c>
      <c r="S344" s="10">
        <v>66.540000000000006</v>
      </c>
      <c r="T344" s="10">
        <v>65.989999999999995</v>
      </c>
      <c r="U344" s="10">
        <v>65.430000000000007</v>
      </c>
      <c r="V344" s="10">
        <v>64.8</v>
      </c>
      <c r="W344" s="10">
        <v>64.180000000000007</v>
      </c>
      <c r="X344" s="10">
        <v>63.57</v>
      </c>
      <c r="Y344" s="10">
        <v>62.98</v>
      </c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</row>
    <row r="345" spans="1:147" x14ac:dyDescent="0.3">
      <c r="A345" s="9">
        <f>DATE(2018, 5, 1)</f>
        <v>43221</v>
      </c>
      <c r="B345" s="10">
        <v>73.13</v>
      </c>
      <c r="C345" s="10">
        <v>72.7</v>
      </c>
      <c r="D345" s="10">
        <v>72.209999999999994</v>
      </c>
      <c r="E345" s="10">
        <v>71.709999999999994</v>
      </c>
      <c r="F345" s="10">
        <v>71.239999999999995</v>
      </c>
      <c r="G345" s="10">
        <v>70.77</v>
      </c>
      <c r="H345" s="10">
        <v>70.319999999999993</v>
      </c>
      <c r="I345" s="10">
        <v>69.87</v>
      </c>
      <c r="J345" s="10">
        <v>69.42</v>
      </c>
      <c r="K345" s="10">
        <v>68.98</v>
      </c>
      <c r="L345" s="10">
        <v>68.540000000000006</v>
      </c>
      <c r="M345" s="10">
        <v>68.11</v>
      </c>
      <c r="N345" s="10">
        <v>67.25</v>
      </c>
      <c r="O345" s="10">
        <v>67.13</v>
      </c>
      <c r="P345" s="10">
        <v>66.819999999999993</v>
      </c>
      <c r="Q345" s="10">
        <v>66.349999999999994</v>
      </c>
      <c r="R345" s="10">
        <v>65.790000000000006</v>
      </c>
      <c r="S345" s="10">
        <v>65.260000000000005</v>
      </c>
      <c r="T345" s="10">
        <v>64.760000000000005</v>
      </c>
      <c r="U345" s="10">
        <v>64.239999999999995</v>
      </c>
      <c r="V345" s="10">
        <v>63.67</v>
      </c>
      <c r="W345" s="10">
        <v>63.11</v>
      </c>
      <c r="X345" s="10">
        <v>62.55</v>
      </c>
      <c r="Y345" s="10">
        <v>62.02</v>
      </c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</row>
    <row r="346" spans="1:147" x14ac:dyDescent="0.3">
      <c r="A346" s="9">
        <f>DATE(2018, 5, 2)</f>
        <v>43222</v>
      </c>
      <c r="B346" s="10">
        <v>73.36</v>
      </c>
      <c r="C346" s="10">
        <v>72.94</v>
      </c>
      <c r="D346" s="10">
        <v>72.400000000000006</v>
      </c>
      <c r="E346" s="10">
        <v>71.87</v>
      </c>
      <c r="F346" s="10">
        <v>71.400000000000006</v>
      </c>
      <c r="G346" s="10">
        <v>70.92</v>
      </c>
      <c r="H346" s="10">
        <v>70.459999999999994</v>
      </c>
      <c r="I346" s="10">
        <v>70</v>
      </c>
      <c r="J346" s="10">
        <v>69.53</v>
      </c>
      <c r="K346" s="10">
        <v>69.08</v>
      </c>
      <c r="L346" s="10">
        <v>68.63</v>
      </c>
      <c r="M346" s="10">
        <v>68.180000000000007</v>
      </c>
      <c r="N346" s="10">
        <v>67.930000000000007</v>
      </c>
      <c r="O346" s="10">
        <v>67.77</v>
      </c>
      <c r="P346" s="10">
        <v>67.349999999999994</v>
      </c>
      <c r="Q346" s="10">
        <v>66.819999999999993</v>
      </c>
      <c r="R346" s="10">
        <v>66.23</v>
      </c>
      <c r="S346" s="10">
        <v>65.69</v>
      </c>
      <c r="T346" s="10">
        <v>65.180000000000007</v>
      </c>
      <c r="U346" s="10">
        <v>64.650000000000006</v>
      </c>
      <c r="V346" s="10">
        <v>64.06</v>
      </c>
      <c r="W346" s="10">
        <v>63.47</v>
      </c>
      <c r="X346" s="10">
        <v>62.89</v>
      </c>
      <c r="Y346" s="10">
        <v>62.33</v>
      </c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</row>
    <row r="347" spans="1:147" x14ac:dyDescent="0.3">
      <c r="A347" s="9">
        <f>DATE(2018, 5, 3)</f>
        <v>43223</v>
      </c>
      <c r="B347" s="10">
        <v>73.62</v>
      </c>
      <c r="C347" s="10">
        <v>73.22</v>
      </c>
      <c r="D347" s="10">
        <v>72.650000000000006</v>
      </c>
      <c r="E347" s="10">
        <v>72.08</v>
      </c>
      <c r="F347" s="10">
        <v>71.599999999999994</v>
      </c>
      <c r="G347" s="10">
        <v>71.12</v>
      </c>
      <c r="H347" s="10">
        <v>70.66</v>
      </c>
      <c r="I347" s="10">
        <v>70.2</v>
      </c>
      <c r="J347" s="10">
        <v>69.73</v>
      </c>
      <c r="K347" s="10">
        <v>69.28</v>
      </c>
      <c r="L347" s="10">
        <v>68.81</v>
      </c>
      <c r="M347" s="10">
        <v>68.349999999999994</v>
      </c>
      <c r="N347" s="10">
        <v>68.430000000000007</v>
      </c>
      <c r="O347" s="10">
        <v>68.260000000000005</v>
      </c>
      <c r="P347" s="10">
        <v>67.8</v>
      </c>
      <c r="Q347" s="10">
        <v>67.22</v>
      </c>
      <c r="R347" s="10">
        <v>66.64</v>
      </c>
      <c r="S347" s="10">
        <v>66.12</v>
      </c>
      <c r="T347" s="10">
        <v>65.62</v>
      </c>
      <c r="U347" s="10">
        <v>65.09</v>
      </c>
      <c r="V347" s="10">
        <v>64.489999999999995</v>
      </c>
      <c r="W347" s="10">
        <v>63.9</v>
      </c>
      <c r="X347" s="10">
        <v>63.32</v>
      </c>
      <c r="Y347" s="10">
        <v>62.75</v>
      </c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</row>
    <row r="348" spans="1:147" x14ac:dyDescent="0.3">
      <c r="A348" s="9">
        <f>DATE(2018, 5, 4)</f>
        <v>43224</v>
      </c>
      <c r="B348" s="10">
        <v>74.87</v>
      </c>
      <c r="C348" s="10">
        <v>74.52</v>
      </c>
      <c r="D348" s="10">
        <v>73.989999999999995</v>
      </c>
      <c r="E348" s="10">
        <v>73.459999999999994</v>
      </c>
      <c r="F348" s="10">
        <v>73</v>
      </c>
      <c r="G348" s="10">
        <v>72.540000000000006</v>
      </c>
      <c r="H348" s="10">
        <v>72.09</v>
      </c>
      <c r="I348" s="10">
        <v>71.62</v>
      </c>
      <c r="J348" s="10">
        <v>71.16</v>
      </c>
      <c r="K348" s="10">
        <v>70.7</v>
      </c>
      <c r="L348" s="10">
        <v>70.22</v>
      </c>
      <c r="M348" s="10">
        <v>69.760000000000005</v>
      </c>
      <c r="N348" s="10">
        <v>69.72</v>
      </c>
      <c r="O348" s="10">
        <v>69.58</v>
      </c>
      <c r="P348" s="10">
        <v>69.16</v>
      </c>
      <c r="Q348" s="10">
        <v>68.62</v>
      </c>
      <c r="R348" s="10">
        <v>68.05</v>
      </c>
      <c r="S348" s="10">
        <v>67.52</v>
      </c>
      <c r="T348" s="10">
        <v>67.010000000000005</v>
      </c>
      <c r="U348" s="10">
        <v>66.48</v>
      </c>
      <c r="V348" s="10">
        <v>65.87</v>
      </c>
      <c r="W348" s="10">
        <v>65.260000000000005</v>
      </c>
      <c r="X348" s="10">
        <v>64.67</v>
      </c>
      <c r="Y348" s="10">
        <v>64.09</v>
      </c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</row>
    <row r="349" spans="1:147" x14ac:dyDescent="0.3">
      <c r="A349" s="9">
        <f>DATE(2018, 5, 7)</f>
        <v>43227</v>
      </c>
      <c r="B349" s="10">
        <v>76.17</v>
      </c>
      <c r="C349" s="10">
        <v>75.83</v>
      </c>
      <c r="D349" s="10">
        <v>75.33</v>
      </c>
      <c r="E349" s="10">
        <v>74.81</v>
      </c>
      <c r="F349" s="10">
        <v>74.33</v>
      </c>
      <c r="G349" s="10">
        <v>73.83</v>
      </c>
      <c r="H349" s="10">
        <v>73.34</v>
      </c>
      <c r="I349" s="10">
        <v>72.849999999999994</v>
      </c>
      <c r="J349" s="10">
        <v>72.36</v>
      </c>
      <c r="K349" s="10">
        <v>71.88</v>
      </c>
      <c r="L349" s="10">
        <v>71.38</v>
      </c>
      <c r="M349" s="10">
        <v>70.89</v>
      </c>
      <c r="N349" s="10">
        <v>70.73</v>
      </c>
      <c r="O349" s="10">
        <v>70.62</v>
      </c>
      <c r="P349" s="10">
        <v>70.260000000000005</v>
      </c>
      <c r="Q349" s="10">
        <v>69.760000000000005</v>
      </c>
      <c r="R349" s="10">
        <v>69.209999999999994</v>
      </c>
      <c r="S349" s="10">
        <v>68.69</v>
      </c>
      <c r="T349" s="10">
        <v>68.17</v>
      </c>
      <c r="U349" s="10">
        <v>67.63</v>
      </c>
      <c r="V349" s="10">
        <v>67.010000000000005</v>
      </c>
      <c r="W349" s="10">
        <v>66.38</v>
      </c>
      <c r="X349" s="10">
        <v>65.75</v>
      </c>
      <c r="Y349" s="10">
        <v>65.14</v>
      </c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</row>
    <row r="350" spans="1:147" x14ac:dyDescent="0.3">
      <c r="A350" s="9">
        <f>DATE(2018, 5, 8)</f>
        <v>43228</v>
      </c>
      <c r="B350" s="10">
        <v>74.849999999999994</v>
      </c>
      <c r="C350" s="10">
        <v>74.569999999999993</v>
      </c>
      <c r="D350" s="10">
        <v>74.06</v>
      </c>
      <c r="E350" s="10">
        <v>73.53</v>
      </c>
      <c r="F350" s="10">
        <v>73.040000000000006</v>
      </c>
      <c r="G350" s="10">
        <v>72.53</v>
      </c>
      <c r="H350" s="10">
        <v>72.05</v>
      </c>
      <c r="I350" s="10">
        <v>71.56</v>
      </c>
      <c r="J350" s="10">
        <v>71.09</v>
      </c>
      <c r="K350" s="10">
        <v>70.63</v>
      </c>
      <c r="L350" s="10">
        <v>70.16</v>
      </c>
      <c r="M350" s="10">
        <v>69.69</v>
      </c>
      <c r="N350" s="10">
        <v>69.06</v>
      </c>
      <c r="O350" s="10">
        <v>68.97</v>
      </c>
      <c r="P350" s="10">
        <v>68.66</v>
      </c>
      <c r="Q350" s="10">
        <v>68.19</v>
      </c>
      <c r="R350" s="10">
        <v>67.67</v>
      </c>
      <c r="S350" s="10">
        <v>67.180000000000007</v>
      </c>
      <c r="T350" s="10">
        <v>66.69</v>
      </c>
      <c r="U350" s="10">
        <v>66.19</v>
      </c>
      <c r="V350" s="10">
        <v>65.59</v>
      </c>
      <c r="W350" s="10">
        <v>64.989999999999995</v>
      </c>
      <c r="X350" s="10">
        <v>64.39</v>
      </c>
      <c r="Y350" s="10">
        <v>63.83</v>
      </c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</row>
    <row r="351" spans="1:147" x14ac:dyDescent="0.3">
      <c r="A351" s="9">
        <f>DATE(2018, 5, 9)</f>
        <v>43229</v>
      </c>
      <c r="B351" s="10">
        <v>77.209999999999994</v>
      </c>
      <c r="C351" s="10">
        <v>76.930000000000007</v>
      </c>
      <c r="D351" s="10">
        <v>76.44</v>
      </c>
      <c r="E351" s="10">
        <v>75.91</v>
      </c>
      <c r="F351" s="10">
        <v>75.400000000000006</v>
      </c>
      <c r="G351" s="10">
        <v>74.87</v>
      </c>
      <c r="H351" s="10">
        <v>74.37</v>
      </c>
      <c r="I351" s="10">
        <v>73.849999999999994</v>
      </c>
      <c r="J351" s="10">
        <v>73.33</v>
      </c>
      <c r="K351" s="10">
        <v>72.83</v>
      </c>
      <c r="L351" s="10">
        <v>72.319999999999993</v>
      </c>
      <c r="M351" s="10">
        <v>71.81</v>
      </c>
      <c r="N351" s="10">
        <v>71.14</v>
      </c>
      <c r="O351" s="10">
        <v>71.05</v>
      </c>
      <c r="P351" s="10">
        <v>70.75</v>
      </c>
      <c r="Q351" s="10">
        <v>70.27</v>
      </c>
      <c r="R351" s="10">
        <v>69.73</v>
      </c>
      <c r="S351" s="10">
        <v>69.22</v>
      </c>
      <c r="T351" s="10">
        <v>68.709999999999994</v>
      </c>
      <c r="U351" s="10">
        <v>68.19</v>
      </c>
      <c r="V351" s="10">
        <v>67.569999999999993</v>
      </c>
      <c r="W351" s="10">
        <v>66.930000000000007</v>
      </c>
      <c r="X351" s="10">
        <v>66.3</v>
      </c>
      <c r="Y351" s="10">
        <v>65.680000000000007</v>
      </c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</row>
    <row r="352" spans="1:147" x14ac:dyDescent="0.3">
      <c r="A352" s="9">
        <f>DATE(2018, 5, 10)</f>
        <v>43230</v>
      </c>
      <c r="B352" s="10">
        <v>77.47</v>
      </c>
      <c r="C352" s="10">
        <v>77.239999999999995</v>
      </c>
      <c r="D352" s="10">
        <v>76.81</v>
      </c>
      <c r="E352" s="10">
        <v>76.33</v>
      </c>
      <c r="F352" s="10">
        <v>75.84</v>
      </c>
      <c r="G352" s="10">
        <v>75.319999999999993</v>
      </c>
      <c r="H352" s="10">
        <v>74.84</v>
      </c>
      <c r="I352" s="10">
        <v>74.34</v>
      </c>
      <c r="J352" s="10">
        <v>73.84</v>
      </c>
      <c r="K352" s="10">
        <v>73.36</v>
      </c>
      <c r="L352" s="10">
        <v>72.84</v>
      </c>
      <c r="M352" s="10">
        <v>72.319999999999993</v>
      </c>
      <c r="N352" s="10">
        <v>71.36</v>
      </c>
      <c r="O352" s="10">
        <v>71.31</v>
      </c>
      <c r="P352" s="10">
        <v>71.069999999999993</v>
      </c>
      <c r="Q352" s="10">
        <v>70.63</v>
      </c>
      <c r="R352" s="10">
        <v>70.13</v>
      </c>
      <c r="S352" s="10">
        <v>69.67</v>
      </c>
      <c r="T352" s="10">
        <v>69.2</v>
      </c>
      <c r="U352" s="10">
        <v>68.72</v>
      </c>
      <c r="V352" s="10">
        <v>68.12</v>
      </c>
      <c r="W352" s="10">
        <v>67.489999999999995</v>
      </c>
      <c r="X352" s="10">
        <v>66.86</v>
      </c>
      <c r="Y352" s="10">
        <v>66.239999999999995</v>
      </c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</row>
    <row r="353" spans="1:147" x14ac:dyDescent="0.3">
      <c r="A353" s="9">
        <f>DATE(2018, 5, 11)</f>
        <v>43231</v>
      </c>
      <c r="B353" s="10">
        <v>77.12</v>
      </c>
      <c r="C353" s="10">
        <v>76.94</v>
      </c>
      <c r="D353" s="10">
        <v>76.540000000000006</v>
      </c>
      <c r="E353" s="10">
        <v>76.08</v>
      </c>
      <c r="F353" s="10">
        <v>75.62</v>
      </c>
      <c r="G353" s="10">
        <v>75.150000000000006</v>
      </c>
      <c r="H353" s="10">
        <v>74.709999999999994</v>
      </c>
      <c r="I353" s="10">
        <v>74.239999999999995</v>
      </c>
      <c r="J353" s="10">
        <v>73.77</v>
      </c>
      <c r="K353" s="10">
        <v>73.31</v>
      </c>
      <c r="L353" s="10">
        <v>72.819999999999993</v>
      </c>
      <c r="M353" s="10">
        <v>72.319999999999993</v>
      </c>
      <c r="N353" s="10">
        <v>70.7</v>
      </c>
      <c r="O353" s="10">
        <v>70.680000000000007</v>
      </c>
      <c r="P353" s="10">
        <v>70.47</v>
      </c>
      <c r="Q353" s="10">
        <v>70.09</v>
      </c>
      <c r="R353" s="10">
        <v>69.66</v>
      </c>
      <c r="S353" s="10">
        <v>69.239999999999995</v>
      </c>
      <c r="T353" s="10">
        <v>68.81</v>
      </c>
      <c r="U353" s="10">
        <v>68.37</v>
      </c>
      <c r="V353" s="10">
        <v>67.819999999999993</v>
      </c>
      <c r="W353" s="10">
        <v>67.209999999999994</v>
      </c>
      <c r="X353" s="10">
        <v>66.61</v>
      </c>
      <c r="Y353" s="10">
        <v>66.03</v>
      </c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</row>
    <row r="354" spans="1:147" x14ac:dyDescent="0.3">
      <c r="A354" s="9">
        <f>DATE(2018, 5, 14)</f>
        <v>43234</v>
      </c>
      <c r="B354" s="10">
        <v>78.23</v>
      </c>
      <c r="C354" s="10">
        <v>77.989999999999995</v>
      </c>
      <c r="D354" s="10">
        <v>77.52</v>
      </c>
      <c r="E354" s="10">
        <v>77</v>
      </c>
      <c r="F354" s="10">
        <v>76.510000000000005</v>
      </c>
      <c r="G354" s="10">
        <v>76.010000000000005</v>
      </c>
      <c r="H354" s="10">
        <v>75.53</v>
      </c>
      <c r="I354" s="10">
        <v>75.02</v>
      </c>
      <c r="J354" s="10">
        <v>74.53</v>
      </c>
      <c r="K354" s="10">
        <v>74.06</v>
      </c>
      <c r="L354" s="10">
        <v>73.55</v>
      </c>
      <c r="M354" s="10">
        <v>73.05</v>
      </c>
      <c r="N354" s="10">
        <v>70.959999999999994</v>
      </c>
      <c r="O354" s="10">
        <v>70.989999999999995</v>
      </c>
      <c r="P354" s="10">
        <v>70.81</v>
      </c>
      <c r="Q354" s="10">
        <v>70.45</v>
      </c>
      <c r="R354" s="10">
        <v>70.040000000000006</v>
      </c>
      <c r="S354" s="10">
        <v>69.63</v>
      </c>
      <c r="T354" s="10">
        <v>69.209999999999994</v>
      </c>
      <c r="U354" s="10">
        <v>68.75</v>
      </c>
      <c r="V354" s="10">
        <v>68.19</v>
      </c>
      <c r="W354" s="10">
        <v>67.58</v>
      </c>
      <c r="X354" s="10">
        <v>66.98</v>
      </c>
      <c r="Y354" s="10">
        <v>66.39</v>
      </c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</row>
    <row r="355" spans="1:147" x14ac:dyDescent="0.3">
      <c r="A355" s="9">
        <f>DATE(2018, 5, 15)</f>
        <v>43235</v>
      </c>
      <c r="B355" s="10">
        <v>78.430000000000007</v>
      </c>
      <c r="C355" s="10">
        <v>78.27</v>
      </c>
      <c r="D355" s="10">
        <v>77.88</v>
      </c>
      <c r="E355" s="10">
        <v>77.44</v>
      </c>
      <c r="F355" s="10">
        <v>76.989999999999995</v>
      </c>
      <c r="G355" s="10">
        <v>76.53</v>
      </c>
      <c r="H355" s="10">
        <v>76.06</v>
      </c>
      <c r="I355" s="10">
        <v>75.56</v>
      </c>
      <c r="J355" s="10">
        <v>75.09</v>
      </c>
      <c r="K355" s="10">
        <v>74.63</v>
      </c>
      <c r="L355" s="10">
        <v>74.13</v>
      </c>
      <c r="M355" s="10">
        <v>73.63</v>
      </c>
      <c r="N355" s="10">
        <v>71.31</v>
      </c>
      <c r="O355" s="10">
        <v>71.37</v>
      </c>
      <c r="P355" s="10">
        <v>71.150000000000006</v>
      </c>
      <c r="Q355" s="10">
        <v>70.72</v>
      </c>
      <c r="R355" s="10">
        <v>70.23</v>
      </c>
      <c r="S355" s="10">
        <v>69.78</v>
      </c>
      <c r="T355" s="10">
        <v>69.34</v>
      </c>
      <c r="U355" s="10">
        <v>68.86</v>
      </c>
      <c r="V355" s="10">
        <v>68.290000000000006</v>
      </c>
      <c r="W355" s="10">
        <v>67.69</v>
      </c>
      <c r="X355" s="10">
        <v>67.09</v>
      </c>
      <c r="Y355" s="10">
        <v>66.5</v>
      </c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</row>
    <row r="356" spans="1:147" x14ac:dyDescent="0.3">
      <c r="A356" s="9">
        <f>DATE(2018, 5, 16)</f>
        <v>43236</v>
      </c>
      <c r="B356" s="10">
        <v>79.28</v>
      </c>
      <c r="C356" s="10">
        <v>79.17</v>
      </c>
      <c r="D356" s="10">
        <v>78.790000000000006</v>
      </c>
      <c r="E356" s="10">
        <v>78.319999999999993</v>
      </c>
      <c r="F356" s="10">
        <v>77.86</v>
      </c>
      <c r="G356" s="10">
        <v>77.38</v>
      </c>
      <c r="H356" s="10">
        <v>76.900000000000006</v>
      </c>
      <c r="I356" s="10">
        <v>76.400000000000006</v>
      </c>
      <c r="J356" s="10">
        <v>75.92</v>
      </c>
      <c r="K356" s="10">
        <v>75.45</v>
      </c>
      <c r="L356" s="10">
        <v>74.95</v>
      </c>
      <c r="M356" s="10">
        <v>74.44</v>
      </c>
      <c r="N356" s="10">
        <v>71.489999999999995</v>
      </c>
      <c r="O356" s="10">
        <v>71.56</v>
      </c>
      <c r="P356" s="10">
        <v>71.349999999999994</v>
      </c>
      <c r="Q356" s="10">
        <v>70.930000000000007</v>
      </c>
      <c r="R356" s="10">
        <v>70.45</v>
      </c>
      <c r="S356" s="10">
        <v>69.989999999999995</v>
      </c>
      <c r="T356" s="10">
        <v>69.56</v>
      </c>
      <c r="U356" s="10">
        <v>69.08</v>
      </c>
      <c r="V356" s="10">
        <v>68.510000000000005</v>
      </c>
      <c r="W356" s="10">
        <v>67.900000000000006</v>
      </c>
      <c r="X356" s="10">
        <v>67.3</v>
      </c>
      <c r="Y356" s="10">
        <v>66.709999999999994</v>
      </c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</row>
    <row r="357" spans="1:147" x14ac:dyDescent="0.3">
      <c r="A357" s="9">
        <f>DATE(2018, 5, 17)</f>
        <v>43237</v>
      </c>
      <c r="B357" s="10">
        <v>79.3</v>
      </c>
      <c r="C357" s="10">
        <v>79.25</v>
      </c>
      <c r="D357" s="10">
        <v>78.88</v>
      </c>
      <c r="E357" s="10">
        <v>78.44</v>
      </c>
      <c r="F357" s="10">
        <v>78.02</v>
      </c>
      <c r="G357" s="10">
        <v>77.58</v>
      </c>
      <c r="H357" s="10">
        <v>77.13</v>
      </c>
      <c r="I357" s="10">
        <v>76.650000000000006</v>
      </c>
      <c r="J357" s="10">
        <v>76.180000000000007</v>
      </c>
      <c r="K357" s="10">
        <v>75.72</v>
      </c>
      <c r="L357" s="10">
        <v>75.239999999999995</v>
      </c>
      <c r="M357" s="10">
        <v>74.739999999999995</v>
      </c>
      <c r="N357" s="10">
        <v>71.489999999999995</v>
      </c>
      <c r="O357" s="10">
        <v>71.569999999999993</v>
      </c>
      <c r="P357" s="10">
        <v>71.33</v>
      </c>
      <c r="Q357" s="10">
        <v>70.86</v>
      </c>
      <c r="R357" s="10">
        <v>70.349999999999994</v>
      </c>
      <c r="S357" s="10">
        <v>69.86</v>
      </c>
      <c r="T357" s="10">
        <v>69.400000000000006</v>
      </c>
      <c r="U357" s="10">
        <v>68.94</v>
      </c>
      <c r="V357" s="10">
        <v>68.38</v>
      </c>
      <c r="W357" s="10">
        <v>67.8</v>
      </c>
      <c r="X357" s="10">
        <v>67.239999999999995</v>
      </c>
      <c r="Y357" s="10">
        <v>66.69</v>
      </c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</row>
    <row r="358" spans="1:147" x14ac:dyDescent="0.3">
      <c r="A358" s="9">
        <f>DATE(2018, 5, 18)</f>
        <v>43238</v>
      </c>
      <c r="B358" s="10">
        <v>78.510000000000005</v>
      </c>
      <c r="C358" s="10">
        <v>78.489999999999995</v>
      </c>
      <c r="D358" s="10">
        <v>78.150000000000006</v>
      </c>
      <c r="E358" s="10">
        <v>77.760000000000005</v>
      </c>
      <c r="F358" s="10">
        <v>77.39</v>
      </c>
      <c r="G358" s="10">
        <v>77</v>
      </c>
      <c r="H358" s="10">
        <v>76.599999999999994</v>
      </c>
      <c r="I358" s="10">
        <v>76.180000000000007</v>
      </c>
      <c r="J358" s="10">
        <v>75.78</v>
      </c>
      <c r="K358" s="10">
        <v>75.37</v>
      </c>
      <c r="L358" s="10">
        <v>74.930000000000007</v>
      </c>
      <c r="M358" s="10">
        <v>74.47</v>
      </c>
      <c r="N358" s="10">
        <v>71.28</v>
      </c>
      <c r="O358" s="10">
        <v>71.37</v>
      </c>
      <c r="P358" s="10">
        <v>71.11</v>
      </c>
      <c r="Q358" s="10">
        <v>70.62</v>
      </c>
      <c r="R358" s="10">
        <v>70.08</v>
      </c>
      <c r="S358" s="10">
        <v>69.569999999999993</v>
      </c>
      <c r="T358" s="10">
        <v>69.11</v>
      </c>
      <c r="U358" s="10">
        <v>68.66</v>
      </c>
      <c r="V358" s="10">
        <v>68.11</v>
      </c>
      <c r="W358" s="10">
        <v>67.569999999999993</v>
      </c>
      <c r="X358" s="10">
        <v>67.040000000000006</v>
      </c>
      <c r="Y358" s="10">
        <v>66.540000000000006</v>
      </c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</row>
    <row r="359" spans="1:147" x14ac:dyDescent="0.3">
      <c r="A359" s="9">
        <f>DATE(2018, 5, 21)</f>
        <v>43241</v>
      </c>
      <c r="B359" s="10">
        <v>79.22</v>
      </c>
      <c r="C359" s="10">
        <v>79.260000000000005</v>
      </c>
      <c r="D359" s="10">
        <v>78.87</v>
      </c>
      <c r="E359" s="10">
        <v>78.42</v>
      </c>
      <c r="F359" s="10">
        <v>78.010000000000005</v>
      </c>
      <c r="G359" s="10">
        <v>77.61</v>
      </c>
      <c r="H359" s="10">
        <v>77.2</v>
      </c>
      <c r="I359" s="10">
        <v>76.77</v>
      </c>
      <c r="J359" s="10">
        <v>76.36</v>
      </c>
      <c r="K359" s="10">
        <v>75.95</v>
      </c>
      <c r="L359" s="10">
        <v>75.510000000000005</v>
      </c>
      <c r="M359" s="10">
        <v>75.06</v>
      </c>
      <c r="N359" s="10">
        <v>72.239999999999995</v>
      </c>
      <c r="O359" s="10">
        <v>72.349999999999994</v>
      </c>
      <c r="P359" s="10">
        <v>72.08</v>
      </c>
      <c r="Q359" s="10">
        <v>71.540000000000006</v>
      </c>
      <c r="R359" s="10">
        <v>70.959999999999994</v>
      </c>
      <c r="S359" s="10">
        <v>70.42</v>
      </c>
      <c r="T359" s="10">
        <v>69.94</v>
      </c>
      <c r="U359" s="10">
        <v>69.459999999999994</v>
      </c>
      <c r="V359" s="10">
        <v>68.900000000000006</v>
      </c>
      <c r="W359" s="10">
        <v>68.349999999999994</v>
      </c>
      <c r="X359" s="10">
        <v>67.819999999999993</v>
      </c>
      <c r="Y359" s="10">
        <v>67.33</v>
      </c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</row>
    <row r="360" spans="1:147" x14ac:dyDescent="0.3">
      <c r="A360" s="9">
        <f>DATE(2018, 5, 22)</f>
        <v>43242</v>
      </c>
      <c r="B360" s="10">
        <v>79.569999999999993</v>
      </c>
      <c r="C360" s="10">
        <v>79.59</v>
      </c>
      <c r="D360" s="10">
        <v>79.2</v>
      </c>
      <c r="E360" s="10">
        <v>78.760000000000005</v>
      </c>
      <c r="F360" s="10">
        <v>78.36</v>
      </c>
      <c r="G360" s="10">
        <v>77.97</v>
      </c>
      <c r="H360" s="10">
        <v>77.56</v>
      </c>
      <c r="I360" s="10">
        <v>77.12</v>
      </c>
      <c r="J360" s="10">
        <v>76.7</v>
      </c>
      <c r="K360" s="10">
        <v>76.290000000000006</v>
      </c>
      <c r="L360" s="10">
        <v>75.84</v>
      </c>
      <c r="M360" s="10">
        <v>75.38</v>
      </c>
      <c r="N360" s="10">
        <v>72.13</v>
      </c>
      <c r="O360" s="10">
        <v>72.2</v>
      </c>
      <c r="P360" s="10">
        <v>72.02</v>
      </c>
      <c r="Q360" s="10">
        <v>71.569999999999993</v>
      </c>
      <c r="R360" s="10">
        <v>71.03</v>
      </c>
      <c r="S360" s="10">
        <v>70.52</v>
      </c>
      <c r="T360" s="10">
        <v>70.040000000000006</v>
      </c>
      <c r="U360" s="10">
        <v>69.55</v>
      </c>
      <c r="V360" s="10">
        <v>68.98</v>
      </c>
      <c r="W360" s="10">
        <v>68.41</v>
      </c>
      <c r="X360" s="10">
        <v>67.86</v>
      </c>
      <c r="Y360" s="10">
        <v>67.349999999999994</v>
      </c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</row>
    <row r="361" spans="1:147" x14ac:dyDescent="0.3">
      <c r="A361" s="9">
        <f>DATE(2018, 5, 23)</f>
        <v>43243</v>
      </c>
      <c r="B361" s="10">
        <v>79.8</v>
      </c>
      <c r="C361" s="10">
        <v>79.84</v>
      </c>
      <c r="D361" s="10">
        <v>79.45</v>
      </c>
      <c r="E361" s="10">
        <v>79.010000000000005</v>
      </c>
      <c r="F361" s="10">
        <v>78.61</v>
      </c>
      <c r="G361" s="10">
        <v>78.23</v>
      </c>
      <c r="H361" s="10">
        <v>77.83</v>
      </c>
      <c r="I361" s="10">
        <v>77.39</v>
      </c>
      <c r="J361" s="10">
        <v>76.97</v>
      </c>
      <c r="K361" s="10">
        <v>76.56</v>
      </c>
      <c r="L361" s="10">
        <v>76.11</v>
      </c>
      <c r="M361" s="10">
        <v>75.64</v>
      </c>
      <c r="N361" s="10">
        <v>71.84</v>
      </c>
      <c r="O361" s="10">
        <v>71.709999999999994</v>
      </c>
      <c r="P361" s="10">
        <v>71.319999999999993</v>
      </c>
      <c r="Q361" s="10">
        <v>70.819999999999993</v>
      </c>
      <c r="R361" s="10">
        <v>70.34</v>
      </c>
      <c r="S361" s="10">
        <v>69.87</v>
      </c>
      <c r="T361" s="10">
        <v>69.400000000000006</v>
      </c>
      <c r="U361" s="10">
        <v>68.86</v>
      </c>
      <c r="V361" s="10">
        <v>68.3</v>
      </c>
      <c r="W361" s="10">
        <v>67.77</v>
      </c>
      <c r="X361" s="10">
        <v>67.260000000000005</v>
      </c>
      <c r="Y361" s="10">
        <v>66.77</v>
      </c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</row>
    <row r="362" spans="1:147" x14ac:dyDescent="0.3">
      <c r="A362" s="9">
        <f>DATE(2018, 5, 24)</f>
        <v>43244</v>
      </c>
      <c r="B362" s="10">
        <v>78.790000000000006</v>
      </c>
      <c r="C362" s="10">
        <v>78.83</v>
      </c>
      <c r="D362" s="10">
        <v>78.48</v>
      </c>
      <c r="E362" s="10">
        <v>78.069999999999993</v>
      </c>
      <c r="F362" s="10">
        <v>77.7</v>
      </c>
      <c r="G362" s="10">
        <v>77.349999999999994</v>
      </c>
      <c r="H362" s="10">
        <v>76.97</v>
      </c>
      <c r="I362" s="10">
        <v>76.55</v>
      </c>
      <c r="J362" s="10">
        <v>76.14</v>
      </c>
      <c r="K362" s="10">
        <v>75.75</v>
      </c>
      <c r="L362" s="10">
        <v>75.319999999999993</v>
      </c>
      <c r="M362" s="10">
        <v>74.87</v>
      </c>
      <c r="N362" s="10">
        <v>70.709999999999994</v>
      </c>
      <c r="O362" s="10">
        <v>70.58</v>
      </c>
      <c r="P362" s="10">
        <v>70.19</v>
      </c>
      <c r="Q362" s="10">
        <v>69.69</v>
      </c>
      <c r="R362" s="10">
        <v>69.23</v>
      </c>
      <c r="S362" s="10">
        <v>68.790000000000006</v>
      </c>
      <c r="T362" s="10">
        <v>68.36</v>
      </c>
      <c r="U362" s="10">
        <v>67.849999999999994</v>
      </c>
      <c r="V362" s="10">
        <v>67.34</v>
      </c>
      <c r="W362" s="10">
        <v>66.849999999999994</v>
      </c>
      <c r="X362" s="10">
        <v>66.38</v>
      </c>
      <c r="Y362" s="10">
        <v>65.930000000000007</v>
      </c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</row>
    <row r="363" spans="1:147" x14ac:dyDescent="0.3">
      <c r="A363" s="9">
        <f>DATE(2018, 5, 25)</f>
        <v>43245</v>
      </c>
      <c r="B363" s="10">
        <v>76.44</v>
      </c>
      <c r="C363" s="10">
        <v>76.47</v>
      </c>
      <c r="D363" s="10">
        <v>76.14</v>
      </c>
      <c r="E363" s="10">
        <v>75.760000000000005</v>
      </c>
      <c r="F363" s="10">
        <v>75.400000000000006</v>
      </c>
      <c r="G363" s="10">
        <v>75.06</v>
      </c>
      <c r="H363" s="10">
        <v>74.7</v>
      </c>
      <c r="I363" s="10">
        <v>74.31</v>
      </c>
      <c r="J363" s="10">
        <v>73.94</v>
      </c>
      <c r="K363" s="10">
        <v>73.59</v>
      </c>
      <c r="L363" s="10">
        <v>73.209999999999994</v>
      </c>
      <c r="M363" s="10">
        <v>72.81</v>
      </c>
      <c r="N363" s="10">
        <v>67.88</v>
      </c>
      <c r="O363" s="10">
        <v>67.78</v>
      </c>
      <c r="P363" s="10">
        <v>67.45</v>
      </c>
      <c r="Q363" s="10">
        <v>67.06</v>
      </c>
      <c r="R363" s="10">
        <v>66.72</v>
      </c>
      <c r="S363" s="10">
        <v>66.36</v>
      </c>
      <c r="T363" s="10">
        <v>66.010000000000005</v>
      </c>
      <c r="U363" s="10">
        <v>65.58</v>
      </c>
      <c r="V363" s="10">
        <v>65.11</v>
      </c>
      <c r="W363" s="10">
        <v>64.66</v>
      </c>
      <c r="X363" s="10">
        <v>64.23</v>
      </c>
      <c r="Y363" s="10">
        <v>63.82</v>
      </c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</row>
    <row r="364" spans="1:147" x14ac:dyDescent="0.3">
      <c r="A364" s="9">
        <f>DATE(2018, 5, 28)</f>
        <v>43248</v>
      </c>
      <c r="B364" s="10">
        <v>75.3</v>
      </c>
      <c r="C364" s="10">
        <v>75.319999999999993</v>
      </c>
      <c r="D364" s="10">
        <v>75</v>
      </c>
      <c r="E364" s="10">
        <v>74.64</v>
      </c>
      <c r="F364" s="10">
        <v>74.31</v>
      </c>
      <c r="G364" s="10">
        <v>73.98</v>
      </c>
      <c r="H364" s="10">
        <v>73.62</v>
      </c>
      <c r="I364" s="10">
        <v>73.25</v>
      </c>
      <c r="J364" s="10">
        <v>72.91</v>
      </c>
      <c r="K364" s="10">
        <v>72.58</v>
      </c>
      <c r="L364" s="10">
        <v>72.23</v>
      </c>
      <c r="M364" s="10">
        <v>71.86</v>
      </c>
      <c r="N364" s="10">
        <v>67.88</v>
      </c>
      <c r="O364" s="10">
        <v>67.78</v>
      </c>
      <c r="P364" s="10">
        <v>67.45</v>
      </c>
      <c r="Q364" s="10">
        <v>67.06</v>
      </c>
      <c r="R364" s="10">
        <v>66.72</v>
      </c>
      <c r="S364" s="10">
        <v>66.36</v>
      </c>
      <c r="T364" s="10">
        <v>66.010000000000005</v>
      </c>
      <c r="U364" s="10">
        <v>65.58</v>
      </c>
      <c r="V364" s="10">
        <v>65.11</v>
      </c>
      <c r="W364" s="10">
        <v>64.66</v>
      </c>
      <c r="X364" s="10">
        <v>64.23</v>
      </c>
      <c r="Y364" s="10">
        <v>63.82</v>
      </c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</row>
    <row r="365" spans="1:147" x14ac:dyDescent="0.3">
      <c r="A365" s="9">
        <f>DATE(2018, 5, 29)</f>
        <v>43249</v>
      </c>
      <c r="B365" s="10">
        <v>75.39</v>
      </c>
      <c r="C365" s="10">
        <v>75.489999999999995</v>
      </c>
      <c r="D365" s="10">
        <v>75.23</v>
      </c>
      <c r="E365" s="10">
        <v>74.91</v>
      </c>
      <c r="F365" s="10">
        <v>74.58</v>
      </c>
      <c r="G365" s="10">
        <v>74.25</v>
      </c>
      <c r="H365" s="10">
        <v>73.900000000000006</v>
      </c>
      <c r="I365" s="10">
        <v>73.53</v>
      </c>
      <c r="J365" s="10">
        <v>73.19</v>
      </c>
      <c r="K365" s="10">
        <v>72.849999999999994</v>
      </c>
      <c r="L365" s="10">
        <v>72.48</v>
      </c>
      <c r="M365" s="10">
        <v>72.09</v>
      </c>
      <c r="N365" s="10">
        <v>66.73</v>
      </c>
      <c r="O365" s="10">
        <v>66.62</v>
      </c>
      <c r="P365" s="10">
        <v>66.27</v>
      </c>
      <c r="Q365" s="10">
        <v>65.87</v>
      </c>
      <c r="R365" s="10">
        <v>65.53</v>
      </c>
      <c r="S365" s="10">
        <v>65.209999999999994</v>
      </c>
      <c r="T365" s="10">
        <v>64.900000000000006</v>
      </c>
      <c r="U365" s="10">
        <v>64.5</v>
      </c>
      <c r="V365" s="10">
        <v>64.09</v>
      </c>
      <c r="W365" s="10">
        <v>63.68</v>
      </c>
      <c r="X365" s="10">
        <v>63.29</v>
      </c>
      <c r="Y365" s="10">
        <v>62.93</v>
      </c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</row>
    <row r="366" spans="1:147" x14ac:dyDescent="0.3">
      <c r="A366" s="9">
        <f>DATE(2018, 5, 30)</f>
        <v>43250</v>
      </c>
      <c r="B366" s="10">
        <v>77.5</v>
      </c>
      <c r="C366" s="10">
        <v>77.72</v>
      </c>
      <c r="D366" s="10">
        <v>77.400000000000006</v>
      </c>
      <c r="E366" s="10">
        <v>77.02</v>
      </c>
      <c r="F366" s="10">
        <v>76.64</v>
      </c>
      <c r="G366" s="10">
        <v>76.260000000000005</v>
      </c>
      <c r="H366" s="10">
        <v>75.86</v>
      </c>
      <c r="I366" s="10">
        <v>75.459999999999994</v>
      </c>
      <c r="J366" s="10">
        <v>75.08</v>
      </c>
      <c r="K366" s="10">
        <v>74.709999999999994</v>
      </c>
      <c r="L366" s="10">
        <v>74.3</v>
      </c>
      <c r="M366" s="10">
        <v>73.88</v>
      </c>
      <c r="N366" s="10">
        <v>68.209999999999994</v>
      </c>
      <c r="O366" s="10">
        <v>68.08</v>
      </c>
      <c r="P366" s="10">
        <v>67.66</v>
      </c>
      <c r="Q366" s="10">
        <v>67.180000000000007</v>
      </c>
      <c r="R366" s="10">
        <v>66.8</v>
      </c>
      <c r="S366" s="10">
        <v>66.44</v>
      </c>
      <c r="T366" s="10">
        <v>66.099999999999994</v>
      </c>
      <c r="U366" s="10">
        <v>65.680000000000007</v>
      </c>
      <c r="V366" s="10">
        <v>65.23</v>
      </c>
      <c r="W366" s="10">
        <v>64.77</v>
      </c>
      <c r="X366" s="10">
        <v>64.34</v>
      </c>
      <c r="Y366" s="10">
        <v>63.94</v>
      </c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</row>
    <row r="367" spans="1:147" x14ac:dyDescent="0.3">
      <c r="A367" s="9">
        <f>DATE(2018, 5, 31)</f>
        <v>43251</v>
      </c>
      <c r="B367" s="10">
        <v>77.59</v>
      </c>
      <c r="C367" s="10">
        <v>77.56</v>
      </c>
      <c r="D367" s="10">
        <v>77.25</v>
      </c>
      <c r="E367" s="10">
        <v>76.900000000000006</v>
      </c>
      <c r="F367" s="10">
        <v>76.53</v>
      </c>
      <c r="G367" s="10">
        <v>76.150000000000006</v>
      </c>
      <c r="H367" s="10">
        <v>75.78</v>
      </c>
      <c r="I367" s="10">
        <v>75.41</v>
      </c>
      <c r="J367" s="10">
        <v>75.05</v>
      </c>
      <c r="K367" s="10">
        <v>74.69</v>
      </c>
      <c r="L367" s="10">
        <v>74.3</v>
      </c>
      <c r="M367" s="10">
        <v>73.89</v>
      </c>
      <c r="N367" s="10">
        <v>67.040000000000006</v>
      </c>
      <c r="O367" s="10">
        <v>66.91</v>
      </c>
      <c r="P367" s="10">
        <v>66.540000000000006</v>
      </c>
      <c r="Q367" s="10">
        <v>66.11</v>
      </c>
      <c r="R367" s="10">
        <v>65.8</v>
      </c>
      <c r="S367" s="10">
        <v>65.52</v>
      </c>
      <c r="T367" s="10">
        <v>65.25</v>
      </c>
      <c r="U367" s="10">
        <v>64.89</v>
      </c>
      <c r="V367" s="10">
        <v>64.489999999999995</v>
      </c>
      <c r="W367" s="10">
        <v>64.069999999999993</v>
      </c>
      <c r="X367" s="10">
        <v>63.7</v>
      </c>
      <c r="Y367" s="10">
        <v>63.31</v>
      </c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</row>
    <row r="368" spans="1:147" x14ac:dyDescent="0.3">
      <c r="A368" s="9">
        <f>DATE(2018, 6, 1)</f>
        <v>43252</v>
      </c>
      <c r="B368" s="10">
        <v>76.790000000000006</v>
      </c>
      <c r="C368" s="10">
        <v>76.510000000000005</v>
      </c>
      <c r="D368" s="10">
        <v>76.22</v>
      </c>
      <c r="E368" s="10">
        <v>75.92</v>
      </c>
      <c r="F368" s="10">
        <v>75.59</v>
      </c>
      <c r="G368" s="10">
        <v>75.239999999999995</v>
      </c>
      <c r="H368" s="10">
        <v>74.89</v>
      </c>
      <c r="I368" s="10">
        <v>74.55</v>
      </c>
      <c r="J368" s="10">
        <v>74.209999999999994</v>
      </c>
      <c r="K368" s="10">
        <v>73.84</v>
      </c>
      <c r="L368" s="10">
        <v>73.45</v>
      </c>
      <c r="M368" s="10">
        <v>73.13</v>
      </c>
      <c r="N368" s="10">
        <v>65.81</v>
      </c>
      <c r="O368" s="10">
        <v>65.77</v>
      </c>
      <c r="P368" s="10">
        <v>65.53</v>
      </c>
      <c r="Q368" s="10">
        <v>65.23</v>
      </c>
      <c r="R368" s="10">
        <v>65.010000000000005</v>
      </c>
      <c r="S368" s="10">
        <v>64.78</v>
      </c>
      <c r="T368" s="10">
        <v>64.56</v>
      </c>
      <c r="U368" s="10">
        <v>64.239999999999995</v>
      </c>
      <c r="V368" s="10">
        <v>63.92</v>
      </c>
      <c r="W368" s="10">
        <v>63.6</v>
      </c>
      <c r="X368" s="10">
        <v>63.27</v>
      </c>
      <c r="Y368" s="10">
        <v>62.97</v>
      </c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</row>
    <row r="369" spans="1:147" x14ac:dyDescent="0.3">
      <c r="A369" s="9">
        <f>DATE(2018, 6, 4)</f>
        <v>43255</v>
      </c>
      <c r="B369" s="10">
        <v>75.290000000000006</v>
      </c>
      <c r="C369" s="10">
        <v>75.099999999999994</v>
      </c>
      <c r="D369" s="10">
        <v>74.88</v>
      </c>
      <c r="E369" s="10">
        <v>74.66</v>
      </c>
      <c r="F369" s="10">
        <v>74.41</v>
      </c>
      <c r="G369" s="10">
        <v>74.12</v>
      </c>
      <c r="H369" s="10">
        <v>73.8</v>
      </c>
      <c r="I369" s="10">
        <v>73.489999999999995</v>
      </c>
      <c r="J369" s="10">
        <v>73.180000000000007</v>
      </c>
      <c r="K369" s="10">
        <v>72.849999999999994</v>
      </c>
      <c r="L369" s="10">
        <v>72.5</v>
      </c>
      <c r="M369" s="10">
        <v>72.209999999999994</v>
      </c>
      <c r="N369" s="10">
        <v>64.75</v>
      </c>
      <c r="O369" s="10">
        <v>64.680000000000007</v>
      </c>
      <c r="P369" s="10">
        <v>64.48</v>
      </c>
      <c r="Q369" s="10">
        <v>64.260000000000005</v>
      </c>
      <c r="R369" s="10">
        <v>64.099999999999994</v>
      </c>
      <c r="S369" s="10">
        <v>63.91</v>
      </c>
      <c r="T369" s="10">
        <v>63.72</v>
      </c>
      <c r="U369" s="10">
        <v>63.42</v>
      </c>
      <c r="V369" s="10">
        <v>63.14</v>
      </c>
      <c r="W369" s="10">
        <v>62.84</v>
      </c>
      <c r="X369" s="10">
        <v>62.56</v>
      </c>
      <c r="Y369" s="10">
        <v>62.28</v>
      </c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</row>
    <row r="370" spans="1:147" x14ac:dyDescent="0.3">
      <c r="A370" s="9">
        <f>DATE(2018, 6, 5)</f>
        <v>43256</v>
      </c>
      <c r="B370" s="10">
        <v>75.38</v>
      </c>
      <c r="C370" s="10">
        <v>75.13</v>
      </c>
      <c r="D370" s="10">
        <v>74.849999999999994</v>
      </c>
      <c r="E370" s="10">
        <v>74.599999999999994</v>
      </c>
      <c r="F370" s="10">
        <v>74.33</v>
      </c>
      <c r="G370" s="10">
        <v>74.010000000000005</v>
      </c>
      <c r="H370" s="10">
        <v>73.67</v>
      </c>
      <c r="I370" s="10">
        <v>73.34</v>
      </c>
      <c r="J370" s="10">
        <v>73.010000000000005</v>
      </c>
      <c r="K370" s="10">
        <v>72.66</v>
      </c>
      <c r="L370" s="10">
        <v>72.3</v>
      </c>
      <c r="M370" s="10">
        <v>72</v>
      </c>
      <c r="N370" s="10">
        <v>65.52</v>
      </c>
      <c r="O370" s="10">
        <v>65.459999999999994</v>
      </c>
      <c r="P370" s="10">
        <v>65.23</v>
      </c>
      <c r="Q370" s="10">
        <v>64.95</v>
      </c>
      <c r="R370" s="10">
        <v>64.73</v>
      </c>
      <c r="S370" s="10">
        <v>64.47</v>
      </c>
      <c r="T370" s="10">
        <v>64.239999999999995</v>
      </c>
      <c r="U370" s="10">
        <v>63.91</v>
      </c>
      <c r="V370" s="10">
        <v>63.58</v>
      </c>
      <c r="W370" s="10">
        <v>63.25</v>
      </c>
      <c r="X370" s="10">
        <v>62.92</v>
      </c>
      <c r="Y370" s="10">
        <v>62.6</v>
      </c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</row>
    <row r="371" spans="1:147" x14ac:dyDescent="0.3">
      <c r="A371" s="9">
        <f>DATE(2018, 6, 6)</f>
        <v>43257</v>
      </c>
      <c r="B371" s="10">
        <v>75.36</v>
      </c>
      <c r="C371" s="10">
        <v>74.959999999999994</v>
      </c>
      <c r="D371" s="10">
        <v>74.58</v>
      </c>
      <c r="E371" s="10">
        <v>74.28</v>
      </c>
      <c r="F371" s="10">
        <v>73.989999999999995</v>
      </c>
      <c r="G371" s="10">
        <v>73.66</v>
      </c>
      <c r="H371" s="10">
        <v>73.319999999999993</v>
      </c>
      <c r="I371" s="10">
        <v>72.98</v>
      </c>
      <c r="J371" s="10">
        <v>72.64</v>
      </c>
      <c r="K371" s="10">
        <v>72.290000000000006</v>
      </c>
      <c r="L371" s="10">
        <v>71.92</v>
      </c>
      <c r="M371" s="10">
        <v>71.599999999999994</v>
      </c>
      <c r="N371" s="10">
        <v>64.73</v>
      </c>
      <c r="O371" s="10">
        <v>64.7</v>
      </c>
      <c r="P371" s="10">
        <v>64.52</v>
      </c>
      <c r="Q371" s="10">
        <v>64.27</v>
      </c>
      <c r="R371" s="10">
        <v>64.13</v>
      </c>
      <c r="S371" s="10">
        <v>63.95</v>
      </c>
      <c r="T371" s="10">
        <v>63.76</v>
      </c>
      <c r="U371" s="10">
        <v>63.47</v>
      </c>
      <c r="V371" s="10">
        <v>63.18</v>
      </c>
      <c r="W371" s="10">
        <v>62.89</v>
      </c>
      <c r="X371" s="10">
        <v>62.59</v>
      </c>
      <c r="Y371" s="10">
        <v>62.3</v>
      </c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</row>
    <row r="372" spans="1:147" x14ac:dyDescent="0.3">
      <c r="A372" s="9">
        <f>DATE(2018, 6, 7)</f>
        <v>43258</v>
      </c>
      <c r="B372" s="10">
        <v>77.319999999999993</v>
      </c>
      <c r="C372" s="10">
        <v>76.98</v>
      </c>
      <c r="D372" s="10">
        <v>76.599999999999994</v>
      </c>
      <c r="E372" s="10">
        <v>76.28</v>
      </c>
      <c r="F372" s="10">
        <v>75.959999999999994</v>
      </c>
      <c r="G372" s="10">
        <v>75.61</v>
      </c>
      <c r="H372" s="10">
        <v>75.23</v>
      </c>
      <c r="I372" s="10">
        <v>74.84</v>
      </c>
      <c r="J372" s="10">
        <v>74.45</v>
      </c>
      <c r="K372" s="10">
        <v>74.040000000000006</v>
      </c>
      <c r="L372" s="10">
        <v>73.61</v>
      </c>
      <c r="M372" s="10">
        <v>73.239999999999995</v>
      </c>
      <c r="N372" s="10">
        <v>65.95</v>
      </c>
      <c r="O372" s="10">
        <v>65.89</v>
      </c>
      <c r="P372" s="10">
        <v>65.63</v>
      </c>
      <c r="Q372" s="10">
        <v>65.3</v>
      </c>
      <c r="R372" s="10">
        <v>65.14</v>
      </c>
      <c r="S372" s="10">
        <v>64.95</v>
      </c>
      <c r="T372" s="10">
        <v>64.73</v>
      </c>
      <c r="U372" s="10">
        <v>64.44</v>
      </c>
      <c r="V372" s="10">
        <v>64.14</v>
      </c>
      <c r="W372" s="10">
        <v>63.82</v>
      </c>
      <c r="X372" s="10">
        <v>63.5</v>
      </c>
      <c r="Y372" s="10">
        <v>63.18</v>
      </c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</row>
    <row r="373" spans="1:147" x14ac:dyDescent="0.3">
      <c r="A373" s="9">
        <f>DATE(2018, 6, 8)</f>
        <v>43259</v>
      </c>
      <c r="B373" s="10">
        <v>76.459999999999994</v>
      </c>
      <c r="C373" s="10">
        <v>76.19</v>
      </c>
      <c r="D373" s="10">
        <v>75.86</v>
      </c>
      <c r="E373" s="10">
        <v>75.58</v>
      </c>
      <c r="F373" s="10">
        <v>75.3</v>
      </c>
      <c r="G373" s="10">
        <v>74.98</v>
      </c>
      <c r="H373" s="10">
        <v>74.64</v>
      </c>
      <c r="I373" s="10">
        <v>74.3</v>
      </c>
      <c r="J373" s="10">
        <v>73.95</v>
      </c>
      <c r="K373" s="10">
        <v>73.58</v>
      </c>
      <c r="L373" s="10">
        <v>73.2</v>
      </c>
      <c r="M373" s="10">
        <v>72.86</v>
      </c>
      <c r="N373" s="10">
        <v>65.739999999999995</v>
      </c>
      <c r="O373" s="10">
        <v>65.67</v>
      </c>
      <c r="P373" s="10">
        <v>65.400000000000006</v>
      </c>
      <c r="Q373" s="10">
        <v>65.06</v>
      </c>
      <c r="R373" s="10">
        <v>64.91</v>
      </c>
      <c r="S373" s="10">
        <v>64.73</v>
      </c>
      <c r="T373" s="10">
        <v>64.52</v>
      </c>
      <c r="U373" s="10">
        <v>64.25</v>
      </c>
      <c r="V373" s="10">
        <v>63.97</v>
      </c>
      <c r="W373" s="10">
        <v>63.68</v>
      </c>
      <c r="X373" s="10">
        <v>63.39</v>
      </c>
      <c r="Y373" s="10">
        <v>63.09</v>
      </c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</row>
    <row r="374" spans="1:147" x14ac:dyDescent="0.3">
      <c r="A374" s="9">
        <f>DATE(2018, 6, 11)</f>
        <v>43262</v>
      </c>
      <c r="B374" s="10">
        <v>76.459999999999994</v>
      </c>
      <c r="C374" s="10">
        <v>76.19</v>
      </c>
      <c r="D374" s="10">
        <v>75.819999999999993</v>
      </c>
      <c r="E374" s="10">
        <v>75.53</v>
      </c>
      <c r="F374" s="10">
        <v>75.239999999999995</v>
      </c>
      <c r="G374" s="10">
        <v>74.94</v>
      </c>
      <c r="H374" s="10">
        <v>74.61</v>
      </c>
      <c r="I374" s="10">
        <v>74.28</v>
      </c>
      <c r="J374" s="10">
        <v>73.959999999999994</v>
      </c>
      <c r="K374" s="10">
        <v>73.61</v>
      </c>
      <c r="L374" s="10">
        <v>73.25</v>
      </c>
      <c r="M374" s="10">
        <v>72.92</v>
      </c>
      <c r="N374" s="10">
        <v>66.099999999999994</v>
      </c>
      <c r="O374" s="10">
        <v>66.03</v>
      </c>
      <c r="P374" s="10">
        <v>65.739999999999995</v>
      </c>
      <c r="Q374" s="10">
        <v>65.36</v>
      </c>
      <c r="R374" s="10">
        <v>65.17</v>
      </c>
      <c r="S374" s="10">
        <v>64.97</v>
      </c>
      <c r="T374" s="10">
        <v>64.75</v>
      </c>
      <c r="U374" s="10">
        <v>64.489999999999995</v>
      </c>
      <c r="V374" s="10">
        <v>64.22</v>
      </c>
      <c r="W374" s="10">
        <v>63.94</v>
      </c>
      <c r="X374" s="10">
        <v>63.67</v>
      </c>
      <c r="Y374" s="10">
        <v>63.4</v>
      </c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</row>
    <row r="375" spans="1:147" x14ac:dyDescent="0.3">
      <c r="A375" s="9">
        <f>DATE(2018, 6, 12)</f>
        <v>43263</v>
      </c>
      <c r="B375" s="10">
        <v>75.88</v>
      </c>
      <c r="C375" s="10">
        <v>75.650000000000006</v>
      </c>
      <c r="D375" s="10">
        <v>75.3</v>
      </c>
      <c r="E375" s="10">
        <v>75.03</v>
      </c>
      <c r="F375" s="10">
        <v>74.760000000000005</v>
      </c>
      <c r="G375" s="10">
        <v>74.47</v>
      </c>
      <c r="H375" s="10">
        <v>74.16</v>
      </c>
      <c r="I375" s="10">
        <v>73.849999999999994</v>
      </c>
      <c r="J375" s="10">
        <v>73.53</v>
      </c>
      <c r="K375" s="10">
        <v>73.209999999999994</v>
      </c>
      <c r="L375" s="10">
        <v>72.87</v>
      </c>
      <c r="M375" s="10">
        <v>72.55</v>
      </c>
      <c r="N375" s="10">
        <v>66.36</v>
      </c>
      <c r="O375" s="10">
        <v>66.28</v>
      </c>
      <c r="P375" s="10">
        <v>65.98</v>
      </c>
      <c r="Q375" s="10">
        <v>65.58</v>
      </c>
      <c r="R375" s="10">
        <v>65.37</v>
      </c>
      <c r="S375" s="10">
        <v>65.16</v>
      </c>
      <c r="T375" s="10">
        <v>64.94</v>
      </c>
      <c r="U375" s="10">
        <v>64.680000000000007</v>
      </c>
      <c r="V375" s="10">
        <v>64.39</v>
      </c>
      <c r="W375" s="10">
        <v>64.09</v>
      </c>
      <c r="X375" s="10">
        <v>63.79</v>
      </c>
      <c r="Y375" s="10">
        <v>63.5</v>
      </c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</row>
    <row r="376" spans="1:147" x14ac:dyDescent="0.3">
      <c r="A376" s="9">
        <f>DATE(2018, 6, 13)</f>
        <v>43264</v>
      </c>
      <c r="B376" s="10">
        <v>76.739999999999995</v>
      </c>
      <c r="C376" s="10">
        <v>76.48</v>
      </c>
      <c r="D376" s="10">
        <v>76.099999999999994</v>
      </c>
      <c r="E376" s="10">
        <v>75.83</v>
      </c>
      <c r="F376" s="10">
        <v>75.58</v>
      </c>
      <c r="G376" s="10">
        <v>75.319999999999993</v>
      </c>
      <c r="H376" s="10">
        <v>75.03</v>
      </c>
      <c r="I376" s="10">
        <v>74.739999999999995</v>
      </c>
      <c r="J376" s="10">
        <v>74.45</v>
      </c>
      <c r="K376" s="10">
        <v>74.14</v>
      </c>
      <c r="L376" s="10">
        <v>73.81</v>
      </c>
      <c r="M376" s="10">
        <v>73.510000000000005</v>
      </c>
      <c r="N376" s="10">
        <v>66.64</v>
      </c>
      <c r="O376" s="10">
        <v>66.52</v>
      </c>
      <c r="P376" s="10">
        <v>66.22</v>
      </c>
      <c r="Q376" s="10">
        <v>65.84</v>
      </c>
      <c r="R376" s="10">
        <v>65.67</v>
      </c>
      <c r="S376" s="10">
        <v>65.5</v>
      </c>
      <c r="T376" s="10">
        <v>65.319999999999993</v>
      </c>
      <c r="U376" s="10">
        <v>65.09</v>
      </c>
      <c r="V376" s="10">
        <v>64.849999999999994</v>
      </c>
      <c r="W376" s="10">
        <v>64.59</v>
      </c>
      <c r="X376" s="10">
        <v>64.319999999999993</v>
      </c>
      <c r="Y376" s="10">
        <v>64.05</v>
      </c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</row>
    <row r="377" spans="1:147" x14ac:dyDescent="0.3">
      <c r="A377" s="9">
        <f>DATE(2018, 6, 14)</f>
        <v>43265</v>
      </c>
      <c r="B377" s="10">
        <v>75.94</v>
      </c>
      <c r="C377" s="10">
        <v>75.62</v>
      </c>
      <c r="D377" s="10">
        <v>75.2</v>
      </c>
      <c r="E377" s="10">
        <v>74.900000000000006</v>
      </c>
      <c r="F377" s="10">
        <v>74.62</v>
      </c>
      <c r="G377" s="10">
        <v>74.33</v>
      </c>
      <c r="H377" s="10">
        <v>74.03</v>
      </c>
      <c r="I377" s="10">
        <v>73.73</v>
      </c>
      <c r="J377" s="10">
        <v>73.459999999999994</v>
      </c>
      <c r="K377" s="10">
        <v>73.16</v>
      </c>
      <c r="L377" s="10">
        <v>72.849999999999994</v>
      </c>
      <c r="M377" s="10">
        <v>72.55</v>
      </c>
      <c r="N377" s="10">
        <v>66.89</v>
      </c>
      <c r="O377" s="10">
        <v>66.69</v>
      </c>
      <c r="P377" s="10">
        <v>66.27</v>
      </c>
      <c r="Q377" s="10">
        <v>65.790000000000006</v>
      </c>
      <c r="R377" s="10">
        <v>65.540000000000006</v>
      </c>
      <c r="S377" s="10">
        <v>65.290000000000006</v>
      </c>
      <c r="T377" s="10">
        <v>65.06</v>
      </c>
      <c r="U377" s="10">
        <v>64.790000000000006</v>
      </c>
      <c r="V377" s="10">
        <v>64.52</v>
      </c>
      <c r="W377" s="10">
        <v>64.23</v>
      </c>
      <c r="X377" s="10">
        <v>63.95</v>
      </c>
      <c r="Y377" s="10">
        <v>63.67</v>
      </c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</row>
    <row r="378" spans="1:147" x14ac:dyDescent="0.3">
      <c r="A378" s="9">
        <f>DATE(2018, 6, 15)</f>
        <v>43266</v>
      </c>
      <c r="B378" s="10">
        <v>73.44</v>
      </c>
      <c r="C378" s="10">
        <v>73.08</v>
      </c>
      <c r="D378" s="10">
        <v>72.66</v>
      </c>
      <c r="E378" s="10">
        <v>72.38</v>
      </c>
      <c r="F378" s="10">
        <v>72.11</v>
      </c>
      <c r="G378" s="10">
        <v>71.84</v>
      </c>
      <c r="H378" s="10">
        <v>71.55</v>
      </c>
      <c r="I378" s="10">
        <v>71.25</v>
      </c>
      <c r="J378" s="10">
        <v>70.98</v>
      </c>
      <c r="K378" s="10">
        <v>70.69</v>
      </c>
      <c r="L378" s="10">
        <v>70.39</v>
      </c>
      <c r="M378" s="10">
        <v>70.12</v>
      </c>
      <c r="N378" s="10">
        <v>65.06</v>
      </c>
      <c r="O378" s="10">
        <v>64.849999999999994</v>
      </c>
      <c r="P378" s="10">
        <v>64.400000000000006</v>
      </c>
      <c r="Q378" s="10">
        <v>63.94</v>
      </c>
      <c r="R378" s="10">
        <v>63.74</v>
      </c>
      <c r="S378" s="10">
        <v>63.52</v>
      </c>
      <c r="T378" s="10">
        <v>63.29</v>
      </c>
      <c r="U378" s="10">
        <v>63</v>
      </c>
      <c r="V378" s="10">
        <v>62.7</v>
      </c>
      <c r="W378" s="10">
        <v>62.4</v>
      </c>
      <c r="X378" s="10">
        <v>62.11</v>
      </c>
      <c r="Y378" s="10">
        <v>61.84</v>
      </c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</row>
    <row r="379" spans="1:147" x14ac:dyDescent="0.3">
      <c r="A379" s="9">
        <f>DATE(2018, 6, 18)</f>
        <v>43269</v>
      </c>
      <c r="B379" s="10">
        <v>75.34</v>
      </c>
      <c r="C379" s="10">
        <v>74.94</v>
      </c>
      <c r="D379" s="10">
        <v>74.52</v>
      </c>
      <c r="E379" s="10">
        <v>74.209999999999994</v>
      </c>
      <c r="F379" s="10">
        <v>73.91</v>
      </c>
      <c r="G379" s="10">
        <v>73.599999999999994</v>
      </c>
      <c r="H379" s="10">
        <v>73.27</v>
      </c>
      <c r="I379" s="10">
        <v>72.930000000000007</v>
      </c>
      <c r="J379" s="10">
        <v>72.61</v>
      </c>
      <c r="K379" s="10">
        <v>72.290000000000006</v>
      </c>
      <c r="L379" s="10">
        <v>71.959999999999994</v>
      </c>
      <c r="M379" s="10">
        <v>71.66</v>
      </c>
      <c r="N379" s="10">
        <v>65.849999999999994</v>
      </c>
      <c r="O379" s="10">
        <v>65.69</v>
      </c>
      <c r="P379" s="10">
        <v>65.28</v>
      </c>
      <c r="Q379" s="10">
        <v>64.81</v>
      </c>
      <c r="R379" s="10">
        <v>64.56</v>
      </c>
      <c r="S379" s="10">
        <v>64.3</v>
      </c>
      <c r="T379" s="10">
        <v>64.03</v>
      </c>
      <c r="U379" s="10">
        <v>63.71</v>
      </c>
      <c r="V379" s="10">
        <v>63.39</v>
      </c>
      <c r="W379" s="10">
        <v>63.08</v>
      </c>
      <c r="X379" s="10">
        <v>62.78</v>
      </c>
      <c r="Y379" s="10">
        <v>62.51</v>
      </c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</row>
    <row r="380" spans="1:147" x14ac:dyDescent="0.3">
      <c r="A380" s="9">
        <f>DATE(2018, 6, 19)</f>
        <v>43270</v>
      </c>
      <c r="B380" s="10">
        <v>75.08</v>
      </c>
      <c r="C380" s="10">
        <v>74.64</v>
      </c>
      <c r="D380" s="10">
        <v>74.16</v>
      </c>
      <c r="E380" s="10">
        <v>73.83</v>
      </c>
      <c r="F380" s="10">
        <v>73.5</v>
      </c>
      <c r="G380" s="10">
        <v>73.180000000000007</v>
      </c>
      <c r="H380" s="10">
        <v>72.849999999999994</v>
      </c>
      <c r="I380" s="10">
        <v>72.510000000000005</v>
      </c>
      <c r="J380" s="10">
        <v>72.19</v>
      </c>
      <c r="K380" s="10">
        <v>71.87</v>
      </c>
      <c r="L380" s="10">
        <v>71.55</v>
      </c>
      <c r="M380" s="10">
        <v>71.25</v>
      </c>
      <c r="N380" s="10">
        <v>65.069999999999993</v>
      </c>
      <c r="O380" s="10">
        <v>64.900000000000006</v>
      </c>
      <c r="P380" s="10">
        <v>64.56</v>
      </c>
      <c r="Q380" s="10">
        <v>64.13</v>
      </c>
      <c r="R380" s="10">
        <v>63.94</v>
      </c>
      <c r="S380" s="10">
        <v>63.72</v>
      </c>
      <c r="T380" s="10">
        <v>63.5</v>
      </c>
      <c r="U380" s="10">
        <v>63.21</v>
      </c>
      <c r="V380" s="10">
        <v>62.9</v>
      </c>
      <c r="W380" s="10">
        <v>62.61</v>
      </c>
      <c r="X380" s="10">
        <v>62.32</v>
      </c>
      <c r="Y380" s="10">
        <v>62.05</v>
      </c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</row>
    <row r="381" spans="1:147" x14ac:dyDescent="0.3">
      <c r="A381" s="9">
        <f>DATE(2018, 6, 20)</f>
        <v>43271</v>
      </c>
      <c r="B381" s="10">
        <v>74.739999999999995</v>
      </c>
      <c r="C381" s="10">
        <v>74.33</v>
      </c>
      <c r="D381" s="10">
        <v>73.89</v>
      </c>
      <c r="E381" s="10">
        <v>73.56</v>
      </c>
      <c r="F381" s="10">
        <v>73.23</v>
      </c>
      <c r="G381" s="10">
        <v>72.900000000000006</v>
      </c>
      <c r="H381" s="10">
        <v>72.55</v>
      </c>
      <c r="I381" s="10">
        <v>72.209999999999994</v>
      </c>
      <c r="J381" s="10">
        <v>71.88</v>
      </c>
      <c r="K381" s="10">
        <v>71.540000000000006</v>
      </c>
      <c r="L381" s="10">
        <v>71.209999999999994</v>
      </c>
      <c r="M381" s="10">
        <v>70.900000000000006</v>
      </c>
      <c r="N381" s="10">
        <v>66.22</v>
      </c>
      <c r="O381" s="10">
        <v>65.709999999999994</v>
      </c>
      <c r="P381" s="10">
        <v>65.239999999999995</v>
      </c>
      <c r="Q381" s="10">
        <v>64.72</v>
      </c>
      <c r="R381" s="10">
        <v>64.45</v>
      </c>
      <c r="S381" s="10">
        <v>64.19</v>
      </c>
      <c r="T381" s="10">
        <v>63.92</v>
      </c>
      <c r="U381" s="10">
        <v>63.57</v>
      </c>
      <c r="V381" s="10">
        <v>63.22</v>
      </c>
      <c r="W381" s="10">
        <v>62.87</v>
      </c>
      <c r="X381" s="10">
        <v>62.55</v>
      </c>
      <c r="Y381" s="10">
        <v>62.23</v>
      </c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</row>
    <row r="382" spans="1:147" x14ac:dyDescent="0.3">
      <c r="A382" s="9">
        <f>DATE(2018, 6, 21)</f>
        <v>43272</v>
      </c>
      <c r="B382" s="10">
        <v>73.05</v>
      </c>
      <c r="C382" s="10">
        <v>72.8</v>
      </c>
      <c r="D382" s="10">
        <v>72.42</v>
      </c>
      <c r="E382" s="10">
        <v>72.150000000000006</v>
      </c>
      <c r="F382" s="10">
        <v>71.86</v>
      </c>
      <c r="G382" s="10">
        <v>71.56</v>
      </c>
      <c r="H382" s="10">
        <v>71.23</v>
      </c>
      <c r="I382" s="10">
        <v>70.91</v>
      </c>
      <c r="J382" s="10">
        <v>70.599999999999994</v>
      </c>
      <c r="K382" s="10">
        <v>70.28</v>
      </c>
      <c r="L382" s="10">
        <v>69.959999999999994</v>
      </c>
      <c r="M382" s="10">
        <v>69.69</v>
      </c>
      <c r="N382" s="10">
        <v>65.540000000000006</v>
      </c>
      <c r="O382" s="10">
        <v>64.86</v>
      </c>
      <c r="P382" s="10">
        <v>64.19</v>
      </c>
      <c r="Q382" s="10">
        <v>63.84</v>
      </c>
      <c r="R382" s="10">
        <v>63.55</v>
      </c>
      <c r="S382" s="10">
        <v>63.22</v>
      </c>
      <c r="T382" s="10">
        <v>62.82</v>
      </c>
      <c r="U382" s="10">
        <v>62.42</v>
      </c>
      <c r="V382" s="10">
        <v>62.05</v>
      </c>
      <c r="W382" s="10">
        <v>61.71</v>
      </c>
      <c r="X382" s="10">
        <v>61.4</v>
      </c>
      <c r="Y382" s="10">
        <v>61.08</v>
      </c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</row>
    <row r="383" spans="1:147" x14ac:dyDescent="0.3">
      <c r="A383" s="9">
        <f>DATE(2018, 6, 22)</f>
        <v>43273</v>
      </c>
      <c r="B383" s="10">
        <v>75.55</v>
      </c>
      <c r="C383" s="10">
        <v>75.319999999999993</v>
      </c>
      <c r="D383" s="10">
        <v>74.94</v>
      </c>
      <c r="E383" s="10">
        <v>74.63</v>
      </c>
      <c r="F383" s="10">
        <v>74.27</v>
      </c>
      <c r="G383" s="10">
        <v>73.91</v>
      </c>
      <c r="H383" s="10">
        <v>73.540000000000006</v>
      </c>
      <c r="I383" s="10">
        <v>73.16</v>
      </c>
      <c r="J383" s="10">
        <v>72.8</v>
      </c>
      <c r="K383" s="10">
        <v>72.44</v>
      </c>
      <c r="L383" s="10">
        <v>72.08</v>
      </c>
      <c r="M383" s="10">
        <v>71.77</v>
      </c>
      <c r="N383" s="10">
        <v>68.58</v>
      </c>
      <c r="O383" s="10">
        <v>67.63</v>
      </c>
      <c r="P383" s="10">
        <v>66.790000000000006</v>
      </c>
      <c r="Q383" s="10">
        <v>66.34</v>
      </c>
      <c r="R383" s="10">
        <v>65.959999999999994</v>
      </c>
      <c r="S383" s="10">
        <v>65.56</v>
      </c>
      <c r="T383" s="10">
        <v>65.099999999999994</v>
      </c>
      <c r="U383" s="10">
        <v>64.66</v>
      </c>
      <c r="V383" s="10">
        <v>64.27</v>
      </c>
      <c r="W383" s="10">
        <v>63.89</v>
      </c>
      <c r="X383" s="10">
        <v>63.53</v>
      </c>
      <c r="Y383" s="10">
        <v>63.16</v>
      </c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</row>
    <row r="384" spans="1:147" x14ac:dyDescent="0.3">
      <c r="A384" s="9">
        <f>DATE(2018, 6, 25)</f>
        <v>43276</v>
      </c>
      <c r="B384" s="10">
        <v>74.73</v>
      </c>
      <c r="C384" s="10">
        <v>74.55</v>
      </c>
      <c r="D384" s="10">
        <v>74.22</v>
      </c>
      <c r="E384" s="10">
        <v>73.94</v>
      </c>
      <c r="F384" s="10">
        <v>73.599999999999994</v>
      </c>
      <c r="G384" s="10">
        <v>73.290000000000006</v>
      </c>
      <c r="H384" s="10">
        <v>72.97</v>
      </c>
      <c r="I384" s="10">
        <v>72.650000000000006</v>
      </c>
      <c r="J384" s="10">
        <v>72.34</v>
      </c>
      <c r="K384" s="10">
        <v>72.02</v>
      </c>
      <c r="L384" s="10">
        <v>71.709999999999994</v>
      </c>
      <c r="M384" s="10">
        <v>71.42</v>
      </c>
      <c r="N384" s="10">
        <v>68.08</v>
      </c>
      <c r="O384" s="10">
        <v>67.040000000000006</v>
      </c>
      <c r="P384" s="10">
        <v>66.180000000000007</v>
      </c>
      <c r="Q384" s="10">
        <v>65.790000000000006</v>
      </c>
      <c r="R384" s="10">
        <v>65.47</v>
      </c>
      <c r="S384" s="10">
        <v>65.11</v>
      </c>
      <c r="T384" s="10">
        <v>64.72</v>
      </c>
      <c r="U384" s="10">
        <v>64.33</v>
      </c>
      <c r="V384" s="10">
        <v>63.99</v>
      </c>
      <c r="W384" s="10">
        <v>63.67</v>
      </c>
      <c r="X384" s="10">
        <v>63.36</v>
      </c>
      <c r="Y384" s="10">
        <v>63.01</v>
      </c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</row>
    <row r="385" spans="1:147" x14ac:dyDescent="0.3">
      <c r="A385" s="9">
        <f>DATE(2018, 6, 26)</f>
        <v>43277</v>
      </c>
      <c r="B385" s="10">
        <v>76.31</v>
      </c>
      <c r="C385" s="10">
        <v>76.14</v>
      </c>
      <c r="D385" s="10">
        <v>75.83</v>
      </c>
      <c r="E385" s="10">
        <v>75.56</v>
      </c>
      <c r="F385" s="10">
        <v>75.22</v>
      </c>
      <c r="G385" s="10">
        <v>74.88</v>
      </c>
      <c r="H385" s="10">
        <v>74.540000000000006</v>
      </c>
      <c r="I385" s="10">
        <v>74.2</v>
      </c>
      <c r="J385" s="10">
        <v>73.87</v>
      </c>
      <c r="K385" s="10">
        <v>73.540000000000006</v>
      </c>
      <c r="L385" s="10">
        <v>73.22</v>
      </c>
      <c r="M385" s="10">
        <v>72.930000000000007</v>
      </c>
      <c r="N385" s="10">
        <v>70.53</v>
      </c>
      <c r="O385" s="10">
        <v>69.28</v>
      </c>
      <c r="P385" s="10">
        <v>68.16</v>
      </c>
      <c r="Q385" s="10">
        <v>67.59</v>
      </c>
      <c r="R385" s="10">
        <v>67.17</v>
      </c>
      <c r="S385" s="10">
        <v>66.739999999999995</v>
      </c>
      <c r="T385" s="10">
        <v>66.290000000000006</v>
      </c>
      <c r="U385" s="10">
        <v>65.87</v>
      </c>
      <c r="V385" s="10">
        <v>65.48</v>
      </c>
      <c r="W385" s="10">
        <v>65.099999999999994</v>
      </c>
      <c r="X385" s="10">
        <v>64.760000000000005</v>
      </c>
      <c r="Y385" s="10">
        <v>64.37</v>
      </c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</row>
    <row r="386" spans="1:147" x14ac:dyDescent="0.3">
      <c r="A386" s="9">
        <f>DATE(2018, 6, 27)</f>
        <v>43278</v>
      </c>
      <c r="B386" s="10">
        <v>77.62</v>
      </c>
      <c r="C386" s="10">
        <v>77.459999999999994</v>
      </c>
      <c r="D386" s="10">
        <v>77.17</v>
      </c>
      <c r="E386" s="10">
        <v>76.900000000000006</v>
      </c>
      <c r="F386" s="10">
        <v>76.569999999999993</v>
      </c>
      <c r="G386" s="10">
        <v>76.209999999999994</v>
      </c>
      <c r="H386" s="10">
        <v>75.819999999999993</v>
      </c>
      <c r="I386" s="10">
        <v>75.42</v>
      </c>
      <c r="J386" s="10">
        <v>75.040000000000006</v>
      </c>
      <c r="K386" s="10">
        <v>74.650000000000006</v>
      </c>
      <c r="L386" s="10">
        <v>74.27</v>
      </c>
      <c r="M386" s="10">
        <v>73.92</v>
      </c>
      <c r="N386" s="10">
        <v>72.760000000000005</v>
      </c>
      <c r="O386" s="10">
        <v>71.260000000000005</v>
      </c>
      <c r="P386" s="10">
        <v>69.959999999999994</v>
      </c>
      <c r="Q386" s="10">
        <v>69.22</v>
      </c>
      <c r="R386" s="10">
        <v>68.61</v>
      </c>
      <c r="S386" s="10">
        <v>68.040000000000006</v>
      </c>
      <c r="T386" s="10">
        <v>67.459999999999994</v>
      </c>
      <c r="U386" s="10">
        <v>66.95</v>
      </c>
      <c r="V386" s="10">
        <v>66.48</v>
      </c>
      <c r="W386" s="10">
        <v>66.06</v>
      </c>
      <c r="X386" s="10">
        <v>65.680000000000007</v>
      </c>
      <c r="Y386" s="10">
        <v>65.239999999999995</v>
      </c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</row>
    <row r="387" spans="1:147" x14ac:dyDescent="0.3">
      <c r="A387" s="9">
        <f>DATE(2018, 6, 28)</f>
        <v>43279</v>
      </c>
      <c r="B387" s="10">
        <v>77.849999999999994</v>
      </c>
      <c r="C387" s="10">
        <v>77.61</v>
      </c>
      <c r="D387" s="10">
        <v>77.33</v>
      </c>
      <c r="E387" s="10">
        <v>77.05</v>
      </c>
      <c r="F387" s="10">
        <v>76.7</v>
      </c>
      <c r="G387" s="10">
        <v>76.319999999999993</v>
      </c>
      <c r="H387" s="10">
        <v>75.89</v>
      </c>
      <c r="I387" s="10">
        <v>75.459999999999994</v>
      </c>
      <c r="J387" s="10">
        <v>75.05</v>
      </c>
      <c r="K387" s="10">
        <v>74.63</v>
      </c>
      <c r="L387" s="10">
        <v>74.22</v>
      </c>
      <c r="M387" s="10">
        <v>73.84</v>
      </c>
      <c r="N387" s="10">
        <v>73.45</v>
      </c>
      <c r="O387" s="10">
        <v>71.81</v>
      </c>
      <c r="P387" s="10">
        <v>70.34</v>
      </c>
      <c r="Q387" s="10">
        <v>69.510000000000005</v>
      </c>
      <c r="R387" s="10">
        <v>68.790000000000006</v>
      </c>
      <c r="S387" s="10">
        <v>68.150000000000006</v>
      </c>
      <c r="T387" s="10">
        <v>67.5</v>
      </c>
      <c r="U387" s="10">
        <v>66.94</v>
      </c>
      <c r="V387" s="10">
        <v>66.44</v>
      </c>
      <c r="W387" s="10">
        <v>65.989999999999995</v>
      </c>
      <c r="X387" s="10">
        <v>65.59</v>
      </c>
      <c r="Y387" s="10">
        <v>65.12</v>
      </c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</row>
    <row r="388" spans="1:147" x14ac:dyDescent="0.3">
      <c r="A388" s="9">
        <f>DATE(2018, 6, 29)</f>
        <v>43280</v>
      </c>
      <c r="B388" s="10">
        <v>79.44</v>
      </c>
      <c r="C388" s="10">
        <v>79.23</v>
      </c>
      <c r="D388" s="10">
        <v>78.86</v>
      </c>
      <c r="E388" s="10">
        <v>78.53</v>
      </c>
      <c r="F388" s="10">
        <v>78.13</v>
      </c>
      <c r="G388" s="10">
        <v>77.7</v>
      </c>
      <c r="H388" s="10">
        <v>77.2</v>
      </c>
      <c r="I388" s="10">
        <v>76.69</v>
      </c>
      <c r="J388" s="10">
        <v>76.2</v>
      </c>
      <c r="K388" s="10">
        <v>75.7</v>
      </c>
      <c r="L388" s="10">
        <v>75.22</v>
      </c>
      <c r="M388" s="10">
        <v>74.78</v>
      </c>
      <c r="N388" s="10">
        <v>74.150000000000006</v>
      </c>
      <c r="O388" s="10">
        <v>72.459999999999994</v>
      </c>
      <c r="P388" s="10">
        <v>70.92</v>
      </c>
      <c r="Q388" s="10">
        <v>70.16</v>
      </c>
      <c r="R388" s="10">
        <v>69.489999999999995</v>
      </c>
      <c r="S388" s="10">
        <v>68.849999999999994</v>
      </c>
      <c r="T388" s="10">
        <v>68.17</v>
      </c>
      <c r="U388" s="10">
        <v>67.56</v>
      </c>
      <c r="V388" s="10">
        <v>67.02</v>
      </c>
      <c r="W388" s="10">
        <v>66.53</v>
      </c>
      <c r="X388" s="10">
        <v>66.09</v>
      </c>
      <c r="Y388" s="10">
        <v>65.59</v>
      </c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</row>
    <row r="389" spans="1:147" x14ac:dyDescent="0.3">
      <c r="A389" s="9">
        <f>DATE(2018, 7, 2)</f>
        <v>43283</v>
      </c>
      <c r="B389" s="10">
        <v>77.3</v>
      </c>
      <c r="C389" s="10">
        <v>76.98</v>
      </c>
      <c r="D389" s="10">
        <v>76.69</v>
      </c>
      <c r="E389" s="10">
        <v>76.349999999999994</v>
      </c>
      <c r="F389" s="10">
        <v>75.97</v>
      </c>
      <c r="G389" s="10">
        <v>75.53</v>
      </c>
      <c r="H389" s="10">
        <v>75.069999999999993</v>
      </c>
      <c r="I389" s="10">
        <v>74.63</v>
      </c>
      <c r="J389" s="10">
        <v>74.180000000000007</v>
      </c>
      <c r="K389" s="10">
        <v>73.739999999999995</v>
      </c>
      <c r="L389" s="10">
        <v>73.349999999999994</v>
      </c>
      <c r="M389" s="10">
        <v>72.97</v>
      </c>
      <c r="N389" s="10">
        <v>73.94</v>
      </c>
      <c r="O389" s="10">
        <v>71.62</v>
      </c>
      <c r="P389" s="10">
        <v>69.3</v>
      </c>
      <c r="Q389" s="10">
        <v>68.510000000000005</v>
      </c>
      <c r="R389" s="10">
        <v>67.83</v>
      </c>
      <c r="S389" s="10">
        <v>67.23</v>
      </c>
      <c r="T389" s="10">
        <v>66.61</v>
      </c>
      <c r="U389" s="10">
        <v>66.06</v>
      </c>
      <c r="V389" s="10">
        <v>65.56</v>
      </c>
      <c r="W389" s="10">
        <v>65.13</v>
      </c>
      <c r="X389" s="10">
        <v>64.75</v>
      </c>
      <c r="Y389" s="10">
        <v>64.319999999999993</v>
      </c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</row>
    <row r="390" spans="1:147" x14ac:dyDescent="0.3">
      <c r="A390" s="9">
        <f>DATE(2018, 7, 3)</f>
        <v>43284</v>
      </c>
      <c r="B390" s="10">
        <v>77.760000000000005</v>
      </c>
      <c r="C390" s="10">
        <v>77.41</v>
      </c>
      <c r="D390" s="10">
        <v>77.09</v>
      </c>
      <c r="E390" s="10">
        <v>76.73</v>
      </c>
      <c r="F390" s="10">
        <v>76.34</v>
      </c>
      <c r="G390" s="10">
        <v>75.900000000000006</v>
      </c>
      <c r="H390" s="10">
        <v>75.45</v>
      </c>
      <c r="I390" s="10">
        <v>75</v>
      </c>
      <c r="J390" s="10">
        <v>74.56</v>
      </c>
      <c r="K390" s="10">
        <v>74.11</v>
      </c>
      <c r="L390" s="10">
        <v>73.7</v>
      </c>
      <c r="M390" s="10">
        <v>73.3</v>
      </c>
      <c r="N390" s="10">
        <v>74.14</v>
      </c>
      <c r="O390" s="10">
        <v>71.59</v>
      </c>
      <c r="P390" s="10">
        <v>68.84</v>
      </c>
      <c r="Q390" s="10">
        <v>68.06</v>
      </c>
      <c r="R390" s="10">
        <v>67.44</v>
      </c>
      <c r="S390" s="10">
        <v>66.92</v>
      </c>
      <c r="T390" s="10">
        <v>66.37</v>
      </c>
      <c r="U390" s="10">
        <v>65.88</v>
      </c>
      <c r="V390" s="10">
        <v>65.44</v>
      </c>
      <c r="W390" s="10">
        <v>65.05</v>
      </c>
      <c r="X390" s="10">
        <v>64.7</v>
      </c>
      <c r="Y390" s="10">
        <v>64.290000000000006</v>
      </c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</row>
    <row r="391" spans="1:147" x14ac:dyDescent="0.3">
      <c r="A391" s="9">
        <f>DATE(2018, 7, 4)</f>
        <v>43285</v>
      </c>
      <c r="B391" s="10">
        <v>78.239999999999995</v>
      </c>
      <c r="C391" s="10">
        <v>77.89</v>
      </c>
      <c r="D391" s="10">
        <v>77.569999999999993</v>
      </c>
      <c r="E391" s="10">
        <v>77.2</v>
      </c>
      <c r="F391" s="10">
        <v>76.81</v>
      </c>
      <c r="G391" s="10">
        <v>76.37</v>
      </c>
      <c r="H391" s="10">
        <v>75.92</v>
      </c>
      <c r="I391" s="10">
        <v>75.489999999999995</v>
      </c>
      <c r="J391" s="10">
        <v>75.03</v>
      </c>
      <c r="K391" s="10">
        <v>74.58</v>
      </c>
      <c r="L391" s="10">
        <v>74.180000000000007</v>
      </c>
      <c r="M391" s="10">
        <v>73.77</v>
      </c>
      <c r="N391" s="10">
        <v>74.14</v>
      </c>
      <c r="O391" s="10">
        <v>71.59</v>
      </c>
      <c r="P391" s="10">
        <v>68.84</v>
      </c>
      <c r="Q391" s="10">
        <v>68.06</v>
      </c>
      <c r="R391" s="10">
        <v>67.44</v>
      </c>
      <c r="S391" s="10">
        <v>66.92</v>
      </c>
      <c r="T391" s="10">
        <v>66.37</v>
      </c>
      <c r="U391" s="10">
        <v>65.88</v>
      </c>
      <c r="V391" s="10">
        <v>65.44</v>
      </c>
      <c r="W391" s="10">
        <v>65.05</v>
      </c>
      <c r="X391" s="10">
        <v>64.7</v>
      </c>
      <c r="Y391" s="10">
        <v>64.290000000000006</v>
      </c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</row>
    <row r="392" spans="1:147" x14ac:dyDescent="0.3">
      <c r="A392" s="9">
        <f>DATE(2018, 7, 5)</f>
        <v>43286</v>
      </c>
      <c r="B392" s="10">
        <v>77.39</v>
      </c>
      <c r="C392" s="10">
        <v>77.099999999999994</v>
      </c>
      <c r="D392" s="10">
        <v>76.83</v>
      </c>
      <c r="E392" s="10">
        <v>76.540000000000006</v>
      </c>
      <c r="F392" s="10">
        <v>76.209999999999994</v>
      </c>
      <c r="G392" s="10">
        <v>75.84</v>
      </c>
      <c r="H392" s="10">
        <v>75.459999999999994</v>
      </c>
      <c r="I392" s="10">
        <v>75.08</v>
      </c>
      <c r="J392" s="10">
        <v>74.69</v>
      </c>
      <c r="K392" s="10">
        <v>74.290000000000006</v>
      </c>
      <c r="L392" s="10">
        <v>73.92</v>
      </c>
      <c r="M392" s="10">
        <v>73.55</v>
      </c>
      <c r="N392" s="10">
        <v>72.94</v>
      </c>
      <c r="O392" s="10">
        <v>70.63</v>
      </c>
      <c r="P392" s="10">
        <v>68.459999999999994</v>
      </c>
      <c r="Q392" s="10">
        <v>67.959999999999994</v>
      </c>
      <c r="R392" s="10">
        <v>67.62</v>
      </c>
      <c r="S392" s="10">
        <v>67.239999999999995</v>
      </c>
      <c r="T392" s="10">
        <v>66.78</v>
      </c>
      <c r="U392" s="10">
        <v>66.34</v>
      </c>
      <c r="V392" s="10">
        <v>65.930000000000007</v>
      </c>
      <c r="W392" s="10">
        <v>65.56</v>
      </c>
      <c r="X392" s="10">
        <v>65.209999999999994</v>
      </c>
      <c r="Y392" s="10">
        <v>64.790000000000006</v>
      </c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</row>
    <row r="393" spans="1:147" x14ac:dyDescent="0.3">
      <c r="A393" s="9">
        <f>DATE(2018, 7, 6)</f>
        <v>43287</v>
      </c>
      <c r="B393" s="10">
        <v>77.11</v>
      </c>
      <c r="C393" s="10">
        <v>76.91</v>
      </c>
      <c r="D393" s="10">
        <v>76.72</v>
      </c>
      <c r="E393" s="10">
        <v>76.510000000000005</v>
      </c>
      <c r="F393" s="10">
        <v>76.260000000000005</v>
      </c>
      <c r="G393" s="10">
        <v>75.94</v>
      </c>
      <c r="H393" s="10">
        <v>75.61</v>
      </c>
      <c r="I393" s="10">
        <v>75.27</v>
      </c>
      <c r="J393" s="10">
        <v>74.900000000000006</v>
      </c>
      <c r="K393" s="10">
        <v>74.52</v>
      </c>
      <c r="L393" s="10">
        <v>74.17</v>
      </c>
      <c r="M393" s="10">
        <v>73.81</v>
      </c>
      <c r="N393" s="10">
        <v>73.8</v>
      </c>
      <c r="O393" s="10">
        <v>71.569999999999993</v>
      </c>
      <c r="P393" s="10">
        <v>69.14</v>
      </c>
      <c r="Q393" s="10">
        <v>68.5</v>
      </c>
      <c r="R393" s="10">
        <v>68.040000000000006</v>
      </c>
      <c r="S393" s="10">
        <v>67.62</v>
      </c>
      <c r="T393" s="10">
        <v>67.14</v>
      </c>
      <c r="U393" s="10">
        <v>66.709999999999994</v>
      </c>
      <c r="V393" s="10">
        <v>66.3</v>
      </c>
      <c r="W393" s="10">
        <v>65.94</v>
      </c>
      <c r="X393" s="10">
        <v>65.59</v>
      </c>
      <c r="Y393" s="10">
        <v>65.19</v>
      </c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</row>
    <row r="394" spans="1:147" x14ac:dyDescent="0.3">
      <c r="A394" s="9">
        <f>DATE(2018, 7, 9)</f>
        <v>43290</v>
      </c>
      <c r="B394" s="10">
        <v>78.069999999999993</v>
      </c>
      <c r="C394" s="10">
        <v>77.849999999999994</v>
      </c>
      <c r="D394" s="10">
        <v>77.66</v>
      </c>
      <c r="E394" s="10">
        <v>77.44</v>
      </c>
      <c r="F394" s="10">
        <v>77.180000000000007</v>
      </c>
      <c r="G394" s="10">
        <v>76.849999999999994</v>
      </c>
      <c r="H394" s="10">
        <v>76.5</v>
      </c>
      <c r="I394" s="10">
        <v>76.150000000000006</v>
      </c>
      <c r="J394" s="10">
        <v>75.77</v>
      </c>
      <c r="K394" s="10">
        <v>75.37</v>
      </c>
      <c r="L394" s="10">
        <v>75.010000000000005</v>
      </c>
      <c r="M394" s="10">
        <v>74.64</v>
      </c>
      <c r="N394" s="10">
        <v>73.849999999999994</v>
      </c>
      <c r="O394" s="10">
        <v>71.98</v>
      </c>
      <c r="P394" s="10">
        <v>69.849999999999994</v>
      </c>
      <c r="Q394" s="10">
        <v>69.22</v>
      </c>
      <c r="R394" s="10">
        <v>68.75</v>
      </c>
      <c r="S394" s="10">
        <v>68.319999999999993</v>
      </c>
      <c r="T394" s="10">
        <v>67.8</v>
      </c>
      <c r="U394" s="10">
        <v>67.34</v>
      </c>
      <c r="V394" s="10">
        <v>66.92</v>
      </c>
      <c r="W394" s="10">
        <v>66.540000000000006</v>
      </c>
      <c r="X394" s="10">
        <v>66.17</v>
      </c>
      <c r="Y394" s="10">
        <v>65.75</v>
      </c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</row>
    <row r="395" spans="1:147" x14ac:dyDescent="0.3">
      <c r="A395" s="9">
        <f>DATE(2018, 7, 10)</f>
        <v>43291</v>
      </c>
      <c r="B395" s="10">
        <v>78.86</v>
      </c>
      <c r="C395" s="10">
        <v>78.62</v>
      </c>
      <c r="D395" s="10">
        <v>78.400000000000006</v>
      </c>
      <c r="E395" s="10">
        <v>78.14</v>
      </c>
      <c r="F395" s="10">
        <v>77.83</v>
      </c>
      <c r="G395" s="10">
        <v>77.47</v>
      </c>
      <c r="H395" s="10">
        <v>77.099999999999994</v>
      </c>
      <c r="I395" s="10">
        <v>76.739999999999995</v>
      </c>
      <c r="J395" s="10">
        <v>76.349999999999994</v>
      </c>
      <c r="K395" s="10">
        <v>75.94</v>
      </c>
      <c r="L395" s="10">
        <v>75.569999999999993</v>
      </c>
      <c r="M395" s="10">
        <v>75.19</v>
      </c>
      <c r="N395" s="10">
        <v>74.11</v>
      </c>
      <c r="O395" s="10">
        <v>72.56</v>
      </c>
      <c r="P395" s="10">
        <v>70.62</v>
      </c>
      <c r="Q395" s="10">
        <v>69.88</v>
      </c>
      <c r="R395" s="10">
        <v>69.319999999999993</v>
      </c>
      <c r="S395" s="10">
        <v>68.81</v>
      </c>
      <c r="T395" s="10">
        <v>68.23</v>
      </c>
      <c r="U395" s="10">
        <v>67.73</v>
      </c>
      <c r="V395" s="10">
        <v>67.3</v>
      </c>
      <c r="W395" s="10">
        <v>66.900000000000006</v>
      </c>
      <c r="X395" s="10">
        <v>66.52</v>
      </c>
      <c r="Y395" s="10">
        <v>66.09</v>
      </c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</row>
    <row r="396" spans="1:147" x14ac:dyDescent="0.3">
      <c r="A396" s="9">
        <f>DATE(2018, 7, 11)</f>
        <v>43292</v>
      </c>
      <c r="B396" s="10">
        <v>73.400000000000006</v>
      </c>
      <c r="C396" s="10">
        <v>73.33</v>
      </c>
      <c r="D396" s="10">
        <v>73.31</v>
      </c>
      <c r="E396" s="10">
        <v>73.260000000000005</v>
      </c>
      <c r="F396" s="10">
        <v>73.150000000000006</v>
      </c>
      <c r="G396" s="10">
        <v>72.97</v>
      </c>
      <c r="H396" s="10">
        <v>72.77</v>
      </c>
      <c r="I396" s="10">
        <v>72.58</v>
      </c>
      <c r="J396" s="10">
        <v>72.34</v>
      </c>
      <c r="K396" s="10">
        <v>72.069999999999993</v>
      </c>
      <c r="L396" s="10">
        <v>71.790000000000006</v>
      </c>
      <c r="M396" s="10">
        <v>71.5</v>
      </c>
      <c r="N396" s="10">
        <v>70.38</v>
      </c>
      <c r="O396" s="10">
        <v>68.86</v>
      </c>
      <c r="P396" s="10">
        <v>67.099999999999994</v>
      </c>
      <c r="Q396" s="10">
        <v>66.33</v>
      </c>
      <c r="R396" s="10">
        <v>65.75</v>
      </c>
      <c r="S396" s="10">
        <v>65.239999999999995</v>
      </c>
      <c r="T396" s="10">
        <v>64.67</v>
      </c>
      <c r="U396" s="10">
        <v>64.209999999999994</v>
      </c>
      <c r="V396" s="10">
        <v>63.84</v>
      </c>
      <c r="W396" s="10">
        <v>63.52</v>
      </c>
      <c r="X396" s="10">
        <v>63.23</v>
      </c>
      <c r="Y396" s="10">
        <v>62.88</v>
      </c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</row>
    <row r="397" spans="1:147" x14ac:dyDescent="0.3">
      <c r="A397" s="9">
        <f>DATE(2018, 7, 12)</f>
        <v>43293</v>
      </c>
      <c r="B397" s="10">
        <v>74.45</v>
      </c>
      <c r="C397" s="10">
        <v>74.44</v>
      </c>
      <c r="D397" s="10">
        <v>74.459999999999994</v>
      </c>
      <c r="E397" s="10">
        <v>74.44</v>
      </c>
      <c r="F397" s="10">
        <v>74.33</v>
      </c>
      <c r="G397" s="10">
        <v>74.150000000000006</v>
      </c>
      <c r="H397" s="10">
        <v>73.95</v>
      </c>
      <c r="I397" s="10">
        <v>73.75</v>
      </c>
      <c r="J397" s="10">
        <v>73.5</v>
      </c>
      <c r="K397" s="10">
        <v>73.2</v>
      </c>
      <c r="L397" s="10">
        <v>72.91</v>
      </c>
      <c r="M397" s="10">
        <v>72.599999999999994</v>
      </c>
      <c r="N397" s="10">
        <v>70.33</v>
      </c>
      <c r="O397" s="10">
        <v>69.349999999999994</v>
      </c>
      <c r="P397" s="10">
        <v>68.069999999999993</v>
      </c>
      <c r="Q397" s="10">
        <v>67.44</v>
      </c>
      <c r="R397" s="10">
        <v>66.959999999999994</v>
      </c>
      <c r="S397" s="10">
        <v>66.5</v>
      </c>
      <c r="T397" s="10">
        <v>65.95</v>
      </c>
      <c r="U397" s="10">
        <v>65.48</v>
      </c>
      <c r="V397" s="10">
        <v>65.08</v>
      </c>
      <c r="W397" s="10">
        <v>64.739999999999995</v>
      </c>
      <c r="X397" s="10">
        <v>64.44</v>
      </c>
      <c r="Y397" s="10">
        <v>64.08</v>
      </c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</row>
    <row r="398" spans="1:147" x14ac:dyDescent="0.3">
      <c r="A398" s="9">
        <f>DATE(2018, 7, 13)</f>
        <v>43294</v>
      </c>
      <c r="B398" s="10">
        <v>75.33</v>
      </c>
      <c r="C398" s="10">
        <v>75.260000000000005</v>
      </c>
      <c r="D398" s="10">
        <v>75.23</v>
      </c>
      <c r="E398" s="10">
        <v>75.150000000000006</v>
      </c>
      <c r="F398" s="10">
        <v>74.989999999999995</v>
      </c>
      <c r="G398" s="10">
        <v>74.78</v>
      </c>
      <c r="H398" s="10">
        <v>74.55</v>
      </c>
      <c r="I398" s="10">
        <v>74.33</v>
      </c>
      <c r="J398" s="10">
        <v>74.069999999999993</v>
      </c>
      <c r="K398" s="10">
        <v>73.75</v>
      </c>
      <c r="L398" s="10">
        <v>73.430000000000007</v>
      </c>
      <c r="M398" s="10">
        <v>73.09</v>
      </c>
      <c r="N398" s="10">
        <v>71.010000000000005</v>
      </c>
      <c r="O398" s="10">
        <v>69.95</v>
      </c>
      <c r="P398" s="10">
        <v>68.55</v>
      </c>
      <c r="Q398" s="10">
        <v>68.010000000000005</v>
      </c>
      <c r="R398" s="10">
        <v>67.58</v>
      </c>
      <c r="S398" s="10">
        <v>67.150000000000006</v>
      </c>
      <c r="T398" s="10">
        <v>66.62</v>
      </c>
      <c r="U398" s="10">
        <v>66.150000000000006</v>
      </c>
      <c r="V398" s="10">
        <v>65.760000000000005</v>
      </c>
      <c r="W398" s="10">
        <v>65.400000000000006</v>
      </c>
      <c r="X398" s="10">
        <v>65.069999999999993</v>
      </c>
      <c r="Y398" s="10">
        <v>64.69</v>
      </c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</row>
    <row r="399" spans="1:147" x14ac:dyDescent="0.3">
      <c r="A399" s="9">
        <f>DATE(2018, 7, 16)</f>
        <v>43297</v>
      </c>
      <c r="B399" s="10">
        <v>71.84</v>
      </c>
      <c r="C399" s="10">
        <v>71.819999999999993</v>
      </c>
      <c r="D399" s="10">
        <v>71.849999999999994</v>
      </c>
      <c r="E399" s="10">
        <v>71.83</v>
      </c>
      <c r="F399" s="10">
        <v>71.739999999999995</v>
      </c>
      <c r="G399" s="10">
        <v>71.599999999999994</v>
      </c>
      <c r="H399" s="10">
        <v>71.45</v>
      </c>
      <c r="I399" s="10">
        <v>71.3</v>
      </c>
      <c r="J399" s="10">
        <v>71.099999999999994</v>
      </c>
      <c r="K399" s="10">
        <v>70.86</v>
      </c>
      <c r="L399" s="10">
        <v>70.599999999999994</v>
      </c>
      <c r="M399" s="10">
        <v>70.33</v>
      </c>
      <c r="N399" s="10">
        <v>68.06</v>
      </c>
      <c r="O399" s="10">
        <v>67.069999999999993</v>
      </c>
      <c r="P399" s="10">
        <v>65.66</v>
      </c>
      <c r="Q399" s="10">
        <v>65.11</v>
      </c>
      <c r="R399" s="10">
        <v>64.709999999999994</v>
      </c>
      <c r="S399" s="10">
        <v>64.34</v>
      </c>
      <c r="T399" s="10">
        <v>63.9</v>
      </c>
      <c r="U399" s="10">
        <v>63.51</v>
      </c>
      <c r="V399" s="10">
        <v>63.19</v>
      </c>
      <c r="W399" s="10">
        <v>62.88</v>
      </c>
      <c r="X399" s="10">
        <v>62.61</v>
      </c>
      <c r="Y399" s="10">
        <v>62.27</v>
      </c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</row>
    <row r="400" spans="1:147" x14ac:dyDescent="0.3">
      <c r="A400" s="9">
        <f>DATE(2018, 7, 17)</f>
        <v>43298</v>
      </c>
      <c r="B400" s="10">
        <v>72.16</v>
      </c>
      <c r="C400" s="10">
        <v>72.239999999999995</v>
      </c>
      <c r="D400" s="10">
        <v>72.3</v>
      </c>
      <c r="E400" s="10">
        <v>72.28</v>
      </c>
      <c r="F400" s="10">
        <v>72.180000000000007</v>
      </c>
      <c r="G400" s="10">
        <v>72.02</v>
      </c>
      <c r="H400" s="10">
        <v>71.84</v>
      </c>
      <c r="I400" s="10">
        <v>71.650000000000006</v>
      </c>
      <c r="J400" s="10">
        <v>71.42</v>
      </c>
      <c r="K400" s="10">
        <v>71.16</v>
      </c>
      <c r="L400" s="10">
        <v>70.91</v>
      </c>
      <c r="M400" s="10">
        <v>70.650000000000006</v>
      </c>
      <c r="N400" s="10">
        <v>68.08</v>
      </c>
      <c r="O400" s="10">
        <v>67.16</v>
      </c>
      <c r="P400" s="10">
        <v>65.84</v>
      </c>
      <c r="Q400" s="10">
        <v>65.27</v>
      </c>
      <c r="R400" s="10">
        <v>64.89</v>
      </c>
      <c r="S400" s="10">
        <v>64.540000000000006</v>
      </c>
      <c r="T400" s="10">
        <v>64.12</v>
      </c>
      <c r="U400" s="10">
        <v>63.73</v>
      </c>
      <c r="V400" s="10">
        <v>63.4</v>
      </c>
      <c r="W400" s="10">
        <v>63.09</v>
      </c>
      <c r="X400" s="10">
        <v>62.8</v>
      </c>
      <c r="Y400" s="10">
        <v>62.47</v>
      </c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</row>
    <row r="401" spans="1:147" x14ac:dyDescent="0.3">
      <c r="A401" s="9">
        <f>DATE(2018, 7, 18)</f>
        <v>43299</v>
      </c>
      <c r="B401" s="10">
        <v>72.900000000000006</v>
      </c>
      <c r="C401" s="10">
        <v>72.989999999999995</v>
      </c>
      <c r="D401" s="10">
        <v>73.010000000000005</v>
      </c>
      <c r="E401" s="10">
        <v>72.97</v>
      </c>
      <c r="F401" s="10">
        <v>72.86</v>
      </c>
      <c r="G401" s="10">
        <v>72.680000000000007</v>
      </c>
      <c r="H401" s="10">
        <v>72.48</v>
      </c>
      <c r="I401" s="10">
        <v>72.28</v>
      </c>
      <c r="J401" s="10">
        <v>72.040000000000006</v>
      </c>
      <c r="K401" s="10">
        <v>71.77</v>
      </c>
      <c r="L401" s="10">
        <v>71.53</v>
      </c>
      <c r="M401" s="10">
        <v>71.27</v>
      </c>
      <c r="N401" s="10">
        <v>68.760000000000005</v>
      </c>
      <c r="O401" s="10">
        <v>67.75</v>
      </c>
      <c r="P401" s="10">
        <v>66.38</v>
      </c>
      <c r="Q401" s="10">
        <v>65.89</v>
      </c>
      <c r="R401" s="10">
        <v>65.53</v>
      </c>
      <c r="S401" s="10">
        <v>65.19</v>
      </c>
      <c r="T401" s="10">
        <v>64.760000000000005</v>
      </c>
      <c r="U401" s="10">
        <v>64.36</v>
      </c>
      <c r="V401" s="10">
        <v>64.03</v>
      </c>
      <c r="W401" s="10">
        <v>63.71</v>
      </c>
      <c r="X401" s="10">
        <v>63.42</v>
      </c>
      <c r="Y401" s="10">
        <v>63.08</v>
      </c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</row>
    <row r="402" spans="1:147" x14ac:dyDescent="0.3">
      <c r="A402" s="9">
        <f>DATE(2018, 7, 19)</f>
        <v>43300</v>
      </c>
      <c r="B402" s="10">
        <v>72.58</v>
      </c>
      <c r="C402" s="10">
        <v>72.67</v>
      </c>
      <c r="D402" s="10">
        <v>72.739999999999995</v>
      </c>
      <c r="E402" s="10">
        <v>72.73</v>
      </c>
      <c r="F402" s="10">
        <v>72.650000000000006</v>
      </c>
      <c r="G402" s="10">
        <v>72.5</v>
      </c>
      <c r="H402" s="10">
        <v>72.319999999999993</v>
      </c>
      <c r="I402" s="10">
        <v>72.13</v>
      </c>
      <c r="J402" s="10">
        <v>71.900000000000006</v>
      </c>
      <c r="K402" s="10">
        <v>71.64</v>
      </c>
      <c r="L402" s="10">
        <v>71.400000000000006</v>
      </c>
      <c r="M402" s="10">
        <v>71.150000000000006</v>
      </c>
      <c r="N402" s="10">
        <v>69.459999999999994</v>
      </c>
      <c r="O402" s="10">
        <v>68.239999999999995</v>
      </c>
      <c r="P402" s="10">
        <v>66.53</v>
      </c>
      <c r="Q402" s="10">
        <v>65.989999999999995</v>
      </c>
      <c r="R402" s="10">
        <v>65.599999999999994</v>
      </c>
      <c r="S402" s="10">
        <v>65.260000000000005</v>
      </c>
      <c r="T402" s="10">
        <v>64.84</v>
      </c>
      <c r="U402" s="10">
        <v>64.44</v>
      </c>
      <c r="V402" s="10">
        <v>64.11</v>
      </c>
      <c r="W402" s="10">
        <v>63.8</v>
      </c>
      <c r="X402" s="10">
        <v>63.5</v>
      </c>
      <c r="Y402" s="10">
        <v>63.17</v>
      </c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</row>
    <row r="403" spans="1:147" x14ac:dyDescent="0.3">
      <c r="A403" s="9">
        <f>DATE(2018, 7, 20)</f>
        <v>43301</v>
      </c>
      <c r="B403" s="10">
        <v>73.069999999999993</v>
      </c>
      <c r="C403" s="10">
        <v>73.14</v>
      </c>
      <c r="D403" s="10">
        <v>73.22</v>
      </c>
      <c r="E403" s="10">
        <v>73.22</v>
      </c>
      <c r="F403" s="10">
        <v>73.150000000000006</v>
      </c>
      <c r="G403" s="10">
        <v>73</v>
      </c>
      <c r="H403" s="10">
        <v>72.819999999999993</v>
      </c>
      <c r="I403" s="10">
        <v>72.63</v>
      </c>
      <c r="J403" s="10">
        <v>72.39</v>
      </c>
      <c r="K403" s="10">
        <v>72.12</v>
      </c>
      <c r="L403" s="10">
        <v>71.89</v>
      </c>
      <c r="M403" s="10">
        <v>71.64</v>
      </c>
      <c r="N403" s="10">
        <v>70.459999999999994</v>
      </c>
      <c r="O403" s="10">
        <v>68.260000000000005</v>
      </c>
      <c r="P403" s="10">
        <v>66.64</v>
      </c>
      <c r="Q403" s="10">
        <v>66.180000000000007</v>
      </c>
      <c r="R403" s="10">
        <v>65.87</v>
      </c>
      <c r="S403" s="10">
        <v>65.569999999999993</v>
      </c>
      <c r="T403" s="10">
        <v>65.17</v>
      </c>
      <c r="U403" s="10">
        <v>64.790000000000006</v>
      </c>
      <c r="V403" s="10">
        <v>64.44</v>
      </c>
      <c r="W403" s="10">
        <v>64.12</v>
      </c>
      <c r="X403" s="10">
        <v>63.81</v>
      </c>
      <c r="Y403" s="10">
        <v>63.48</v>
      </c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</row>
    <row r="404" spans="1:147" x14ac:dyDescent="0.3">
      <c r="A404" s="9">
        <f>DATE(2018, 7, 23)</f>
        <v>43304</v>
      </c>
      <c r="B404" s="10">
        <v>73.06</v>
      </c>
      <c r="C404" s="10">
        <v>73.38</v>
      </c>
      <c r="D404" s="10">
        <v>73.58</v>
      </c>
      <c r="E404" s="10">
        <v>73.67</v>
      </c>
      <c r="F404" s="10">
        <v>73.7</v>
      </c>
      <c r="G404" s="10">
        <v>73.63</v>
      </c>
      <c r="H404" s="10">
        <v>73.489999999999995</v>
      </c>
      <c r="I404" s="10">
        <v>73.33</v>
      </c>
      <c r="J404" s="10">
        <v>73.099999999999994</v>
      </c>
      <c r="K404" s="10">
        <v>72.849999999999994</v>
      </c>
      <c r="L404" s="10">
        <v>72.63</v>
      </c>
      <c r="M404" s="10">
        <v>72.39</v>
      </c>
      <c r="N404" s="10">
        <v>67.89</v>
      </c>
      <c r="O404" s="10">
        <v>66.75</v>
      </c>
      <c r="P404" s="10">
        <v>66.430000000000007</v>
      </c>
      <c r="Q404" s="10">
        <v>66.14</v>
      </c>
      <c r="R404" s="10">
        <v>65.900000000000006</v>
      </c>
      <c r="S404" s="10">
        <v>65.55</v>
      </c>
      <c r="T404" s="10">
        <v>65.22</v>
      </c>
      <c r="U404" s="10">
        <v>64.91</v>
      </c>
      <c r="V404" s="10">
        <v>64.62</v>
      </c>
      <c r="W404" s="10">
        <v>64.349999999999994</v>
      </c>
      <c r="X404" s="10">
        <v>64.05</v>
      </c>
      <c r="Y404" s="10">
        <v>63.76</v>
      </c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</row>
    <row r="405" spans="1:147" x14ac:dyDescent="0.3">
      <c r="A405" s="9">
        <f>DATE(2018, 7, 24)</f>
        <v>43305</v>
      </c>
      <c r="B405" s="10">
        <v>73.44</v>
      </c>
      <c r="C405" s="10">
        <v>73.8</v>
      </c>
      <c r="D405" s="10">
        <v>74.05</v>
      </c>
      <c r="E405" s="10">
        <v>74.180000000000007</v>
      </c>
      <c r="F405" s="10">
        <v>74.23</v>
      </c>
      <c r="G405" s="10">
        <v>74.180000000000007</v>
      </c>
      <c r="H405" s="10">
        <v>74.05</v>
      </c>
      <c r="I405" s="10">
        <v>73.88</v>
      </c>
      <c r="J405" s="10">
        <v>73.650000000000006</v>
      </c>
      <c r="K405" s="10">
        <v>73.400000000000006</v>
      </c>
      <c r="L405" s="10">
        <v>73.180000000000007</v>
      </c>
      <c r="M405" s="10">
        <v>72.94</v>
      </c>
      <c r="N405" s="10">
        <v>68.52</v>
      </c>
      <c r="O405" s="10">
        <v>67.19</v>
      </c>
      <c r="P405" s="10">
        <v>66.77</v>
      </c>
      <c r="Q405" s="10">
        <v>66.47</v>
      </c>
      <c r="R405" s="10">
        <v>66.22</v>
      </c>
      <c r="S405" s="10">
        <v>65.849999999999994</v>
      </c>
      <c r="T405" s="10">
        <v>65.52</v>
      </c>
      <c r="U405" s="10">
        <v>65.22</v>
      </c>
      <c r="V405" s="10">
        <v>64.95</v>
      </c>
      <c r="W405" s="10">
        <v>64.680000000000007</v>
      </c>
      <c r="X405" s="10">
        <v>64.38</v>
      </c>
      <c r="Y405" s="10">
        <v>64.099999999999994</v>
      </c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</row>
    <row r="406" spans="1:147" x14ac:dyDescent="0.3">
      <c r="A406" s="9">
        <f>DATE(2018, 7, 25)</f>
        <v>43306</v>
      </c>
      <c r="B406" s="10">
        <v>73.930000000000007</v>
      </c>
      <c r="C406" s="10">
        <v>74.41</v>
      </c>
      <c r="D406" s="10">
        <v>74.7</v>
      </c>
      <c r="E406" s="10">
        <v>74.86</v>
      </c>
      <c r="F406" s="10">
        <v>74.930000000000007</v>
      </c>
      <c r="G406" s="10">
        <v>74.88</v>
      </c>
      <c r="H406" s="10">
        <v>74.739999999999995</v>
      </c>
      <c r="I406" s="10">
        <v>74.56</v>
      </c>
      <c r="J406" s="10">
        <v>74.33</v>
      </c>
      <c r="K406" s="10">
        <v>74.069999999999993</v>
      </c>
      <c r="L406" s="10">
        <v>73.84</v>
      </c>
      <c r="M406" s="10">
        <v>73.59</v>
      </c>
      <c r="N406" s="10">
        <v>69.3</v>
      </c>
      <c r="O406" s="10">
        <v>68.010000000000005</v>
      </c>
      <c r="P406" s="10">
        <v>67.59</v>
      </c>
      <c r="Q406" s="10">
        <v>67.260000000000005</v>
      </c>
      <c r="R406" s="10">
        <v>67</v>
      </c>
      <c r="S406" s="10">
        <v>66.61</v>
      </c>
      <c r="T406" s="10">
        <v>66.25</v>
      </c>
      <c r="U406" s="10">
        <v>65.930000000000007</v>
      </c>
      <c r="V406" s="10">
        <v>65.64</v>
      </c>
      <c r="W406" s="10">
        <v>65.36</v>
      </c>
      <c r="X406" s="10">
        <v>65.05</v>
      </c>
      <c r="Y406" s="10">
        <v>64.75</v>
      </c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</row>
    <row r="407" spans="1:147" x14ac:dyDescent="0.3">
      <c r="A407" s="9">
        <f>DATE(2018, 7, 26)</f>
        <v>43307</v>
      </c>
      <c r="B407" s="10">
        <v>74.540000000000006</v>
      </c>
      <c r="C407" s="10">
        <v>75.12</v>
      </c>
      <c r="D407" s="10">
        <v>75.38</v>
      </c>
      <c r="E407" s="10">
        <v>75.510000000000005</v>
      </c>
      <c r="F407" s="10">
        <v>75.540000000000006</v>
      </c>
      <c r="G407" s="10">
        <v>75.47</v>
      </c>
      <c r="H407" s="10">
        <v>75.319999999999993</v>
      </c>
      <c r="I407" s="10">
        <v>75.13</v>
      </c>
      <c r="J407" s="10">
        <v>74.89</v>
      </c>
      <c r="K407" s="10">
        <v>74.62</v>
      </c>
      <c r="L407" s="10">
        <v>74.38</v>
      </c>
      <c r="M407" s="10">
        <v>74.13</v>
      </c>
      <c r="N407" s="10">
        <v>69.61</v>
      </c>
      <c r="O407" s="10">
        <v>68.430000000000007</v>
      </c>
      <c r="P407" s="10">
        <v>68</v>
      </c>
      <c r="Q407" s="10">
        <v>67.67</v>
      </c>
      <c r="R407" s="10">
        <v>67.41</v>
      </c>
      <c r="S407" s="10">
        <v>67.02</v>
      </c>
      <c r="T407" s="10">
        <v>66.67</v>
      </c>
      <c r="U407" s="10">
        <v>66.36</v>
      </c>
      <c r="V407" s="10">
        <v>66.08</v>
      </c>
      <c r="W407" s="10">
        <v>65.790000000000006</v>
      </c>
      <c r="X407" s="10">
        <v>65.489999999999995</v>
      </c>
      <c r="Y407" s="10">
        <v>65.19</v>
      </c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</row>
    <row r="408" spans="1:147" x14ac:dyDescent="0.3">
      <c r="A408" s="9">
        <f>DATE(2018, 7, 27)</f>
        <v>43308</v>
      </c>
      <c r="B408" s="10">
        <v>74.290000000000006</v>
      </c>
      <c r="C408" s="10">
        <v>74.760000000000005</v>
      </c>
      <c r="D408" s="10">
        <v>74.98</v>
      </c>
      <c r="E408" s="10">
        <v>75.05</v>
      </c>
      <c r="F408" s="10">
        <v>75.03</v>
      </c>
      <c r="G408" s="10">
        <v>74.92</v>
      </c>
      <c r="H408" s="10">
        <v>74.739999999999995</v>
      </c>
      <c r="I408" s="10">
        <v>74.53</v>
      </c>
      <c r="J408" s="10">
        <v>74.290000000000006</v>
      </c>
      <c r="K408" s="10">
        <v>74.02</v>
      </c>
      <c r="L408" s="10">
        <v>73.78</v>
      </c>
      <c r="M408" s="10">
        <v>73.53</v>
      </c>
      <c r="N408" s="10">
        <v>68.69</v>
      </c>
      <c r="O408" s="10">
        <v>67.73</v>
      </c>
      <c r="P408" s="10">
        <v>67.36</v>
      </c>
      <c r="Q408" s="10">
        <v>67.040000000000006</v>
      </c>
      <c r="R408" s="10">
        <v>66.78</v>
      </c>
      <c r="S408" s="10">
        <v>66.37</v>
      </c>
      <c r="T408" s="10">
        <v>66.02</v>
      </c>
      <c r="U408" s="10">
        <v>65.72</v>
      </c>
      <c r="V408" s="10">
        <v>65.45</v>
      </c>
      <c r="W408" s="10">
        <v>65.19</v>
      </c>
      <c r="X408" s="10">
        <v>64.88</v>
      </c>
      <c r="Y408" s="10">
        <v>64.59</v>
      </c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</row>
    <row r="409" spans="1:147" x14ac:dyDescent="0.3">
      <c r="A409" s="9">
        <f>DATE(2018, 7, 30)</f>
        <v>43311</v>
      </c>
      <c r="B409" s="10">
        <v>74.97</v>
      </c>
      <c r="C409" s="10">
        <v>75.55</v>
      </c>
      <c r="D409" s="10">
        <v>75.75</v>
      </c>
      <c r="E409" s="10">
        <v>75.81</v>
      </c>
      <c r="F409" s="10">
        <v>75.760000000000005</v>
      </c>
      <c r="G409" s="10">
        <v>75.62</v>
      </c>
      <c r="H409" s="10">
        <v>75.430000000000007</v>
      </c>
      <c r="I409" s="10">
        <v>75.209999999999994</v>
      </c>
      <c r="J409" s="10">
        <v>74.95</v>
      </c>
      <c r="K409" s="10">
        <v>74.67</v>
      </c>
      <c r="L409" s="10">
        <v>74.41</v>
      </c>
      <c r="M409" s="10">
        <v>74.14</v>
      </c>
      <c r="N409" s="10">
        <v>70.13</v>
      </c>
      <c r="O409" s="10">
        <v>68.95</v>
      </c>
      <c r="P409" s="10">
        <v>68.510000000000005</v>
      </c>
      <c r="Q409" s="10">
        <v>68.14</v>
      </c>
      <c r="R409" s="10">
        <v>67.819999999999993</v>
      </c>
      <c r="S409" s="10">
        <v>67.38</v>
      </c>
      <c r="T409" s="10">
        <v>66.989999999999995</v>
      </c>
      <c r="U409" s="10">
        <v>66.650000000000006</v>
      </c>
      <c r="V409" s="10">
        <v>66.349999999999994</v>
      </c>
      <c r="W409" s="10">
        <v>66.02</v>
      </c>
      <c r="X409" s="10">
        <v>65.69</v>
      </c>
      <c r="Y409" s="10">
        <v>65.349999999999994</v>
      </c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</row>
    <row r="410" spans="1:147" x14ac:dyDescent="0.3">
      <c r="A410" s="9">
        <f>DATE(2018, 7, 31)</f>
        <v>43312</v>
      </c>
      <c r="B410" s="10">
        <v>74.25</v>
      </c>
      <c r="C410" s="10">
        <v>74.209999999999994</v>
      </c>
      <c r="D410" s="10">
        <v>74.39</v>
      </c>
      <c r="E410" s="10">
        <v>74.430000000000007</v>
      </c>
      <c r="F410" s="10">
        <v>74.38</v>
      </c>
      <c r="G410" s="10">
        <v>74.260000000000005</v>
      </c>
      <c r="H410" s="10">
        <v>74.09</v>
      </c>
      <c r="I410" s="10">
        <v>73.91</v>
      </c>
      <c r="J410" s="10">
        <v>73.69</v>
      </c>
      <c r="K410" s="10">
        <v>73.430000000000007</v>
      </c>
      <c r="L410" s="10">
        <v>73.19</v>
      </c>
      <c r="M410" s="10">
        <v>72.930000000000007</v>
      </c>
      <c r="N410" s="10">
        <v>68.760000000000005</v>
      </c>
      <c r="O410" s="10">
        <v>67.63</v>
      </c>
      <c r="P410" s="10">
        <v>67.27</v>
      </c>
      <c r="Q410" s="10">
        <v>66.97</v>
      </c>
      <c r="R410" s="10">
        <v>66.709999999999994</v>
      </c>
      <c r="S410" s="10">
        <v>66.31</v>
      </c>
      <c r="T410" s="10">
        <v>65.95</v>
      </c>
      <c r="U410" s="10">
        <v>65.64</v>
      </c>
      <c r="V410" s="10">
        <v>65.36</v>
      </c>
      <c r="W410" s="10">
        <v>65.069999999999993</v>
      </c>
      <c r="X410" s="10">
        <v>64.75</v>
      </c>
      <c r="Y410" s="10">
        <v>64.44</v>
      </c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</row>
    <row r="411" spans="1:147" x14ac:dyDescent="0.3">
      <c r="A411" s="9">
        <f>DATE(2018, 8, 1)</f>
        <v>43313</v>
      </c>
      <c r="B411" s="10">
        <v>72.39</v>
      </c>
      <c r="C411" s="10">
        <v>72.67</v>
      </c>
      <c r="D411" s="10">
        <v>72.760000000000005</v>
      </c>
      <c r="E411" s="10">
        <v>72.739999999999995</v>
      </c>
      <c r="F411" s="10">
        <v>72.64</v>
      </c>
      <c r="G411" s="10">
        <v>72.48</v>
      </c>
      <c r="H411" s="10">
        <v>72.31</v>
      </c>
      <c r="I411" s="10">
        <v>72.09</v>
      </c>
      <c r="J411" s="10">
        <v>71.84</v>
      </c>
      <c r="K411" s="10">
        <v>71.61</v>
      </c>
      <c r="L411" s="10">
        <v>71.37</v>
      </c>
      <c r="M411" s="10">
        <v>71.12</v>
      </c>
      <c r="N411" s="10">
        <v>67.66</v>
      </c>
      <c r="O411" s="10">
        <v>66.5</v>
      </c>
      <c r="P411" s="10">
        <v>66.11</v>
      </c>
      <c r="Q411" s="10">
        <v>65.78</v>
      </c>
      <c r="R411" s="10">
        <v>65.459999999999994</v>
      </c>
      <c r="S411" s="10">
        <v>65.040000000000006</v>
      </c>
      <c r="T411" s="10">
        <v>64.680000000000007</v>
      </c>
      <c r="U411" s="10">
        <v>64.349999999999994</v>
      </c>
      <c r="V411" s="10">
        <v>64.069999999999993</v>
      </c>
      <c r="W411" s="10">
        <v>63.81</v>
      </c>
      <c r="X411" s="10">
        <v>63.5</v>
      </c>
      <c r="Y411" s="10">
        <v>63.19</v>
      </c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</row>
    <row r="412" spans="1:147" x14ac:dyDescent="0.3">
      <c r="A412" s="9">
        <f>DATE(2018, 8, 2)</f>
        <v>43314</v>
      </c>
      <c r="B412" s="10">
        <v>73.45</v>
      </c>
      <c r="C412" s="10">
        <v>73.680000000000007</v>
      </c>
      <c r="D412" s="10">
        <v>73.739999999999995</v>
      </c>
      <c r="E412" s="10">
        <v>73.69</v>
      </c>
      <c r="F412" s="10">
        <v>73.569999999999993</v>
      </c>
      <c r="G412" s="10">
        <v>73.39</v>
      </c>
      <c r="H412" s="10">
        <v>73.2</v>
      </c>
      <c r="I412" s="10">
        <v>72.97</v>
      </c>
      <c r="J412" s="10">
        <v>72.72</v>
      </c>
      <c r="K412" s="10">
        <v>72.48</v>
      </c>
      <c r="L412" s="10">
        <v>72.239999999999995</v>
      </c>
      <c r="M412" s="10">
        <v>72</v>
      </c>
      <c r="N412" s="10">
        <v>68.959999999999994</v>
      </c>
      <c r="O412" s="10">
        <v>67.66</v>
      </c>
      <c r="P412" s="10">
        <v>67.180000000000007</v>
      </c>
      <c r="Q412" s="10">
        <v>66.790000000000006</v>
      </c>
      <c r="R412" s="10">
        <v>66.45</v>
      </c>
      <c r="S412" s="10">
        <v>66.010000000000005</v>
      </c>
      <c r="T412" s="10">
        <v>65.62</v>
      </c>
      <c r="U412" s="10">
        <v>65.27</v>
      </c>
      <c r="V412" s="10">
        <v>64.959999999999994</v>
      </c>
      <c r="W412" s="10">
        <v>64.64</v>
      </c>
      <c r="X412" s="10">
        <v>64.290000000000006</v>
      </c>
      <c r="Y412" s="10">
        <v>63.96</v>
      </c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</row>
    <row r="413" spans="1:147" x14ac:dyDescent="0.3">
      <c r="A413" s="9">
        <f>DATE(2018, 8, 3)</f>
        <v>43315</v>
      </c>
      <c r="B413" s="10">
        <v>73.209999999999994</v>
      </c>
      <c r="C413" s="10">
        <v>73.53</v>
      </c>
      <c r="D413" s="10">
        <v>73.63</v>
      </c>
      <c r="E413" s="10">
        <v>73.62</v>
      </c>
      <c r="F413" s="10">
        <v>73.52</v>
      </c>
      <c r="G413" s="10">
        <v>73.349999999999994</v>
      </c>
      <c r="H413" s="10">
        <v>73.17</v>
      </c>
      <c r="I413" s="10">
        <v>72.959999999999994</v>
      </c>
      <c r="J413" s="10">
        <v>72.72</v>
      </c>
      <c r="K413" s="10">
        <v>72.48</v>
      </c>
      <c r="L413" s="10">
        <v>72.25</v>
      </c>
      <c r="M413" s="10">
        <v>72</v>
      </c>
      <c r="N413" s="10">
        <v>68.489999999999995</v>
      </c>
      <c r="O413" s="10">
        <v>67.349999999999994</v>
      </c>
      <c r="P413" s="10">
        <v>66.930000000000007</v>
      </c>
      <c r="Q413" s="10">
        <v>66.59</v>
      </c>
      <c r="R413" s="10">
        <v>66.290000000000006</v>
      </c>
      <c r="S413" s="10">
        <v>65.87</v>
      </c>
      <c r="T413" s="10">
        <v>65.5</v>
      </c>
      <c r="U413" s="10">
        <v>65.16</v>
      </c>
      <c r="V413" s="10">
        <v>64.86</v>
      </c>
      <c r="W413" s="10">
        <v>64.540000000000006</v>
      </c>
      <c r="X413" s="10">
        <v>64.209999999999994</v>
      </c>
      <c r="Y413" s="10">
        <v>63.88</v>
      </c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</row>
    <row r="414" spans="1:147" x14ac:dyDescent="0.3">
      <c r="A414" s="9">
        <f>DATE(2018, 8, 6)</f>
        <v>43318</v>
      </c>
      <c r="B414" s="10">
        <v>73.75</v>
      </c>
      <c r="C414" s="10">
        <v>74.069999999999993</v>
      </c>
      <c r="D414" s="10">
        <v>74.2</v>
      </c>
      <c r="E414" s="10">
        <v>74.209999999999994</v>
      </c>
      <c r="F414" s="10">
        <v>74.12</v>
      </c>
      <c r="G414" s="10">
        <v>73.930000000000007</v>
      </c>
      <c r="H414" s="10">
        <v>73.73</v>
      </c>
      <c r="I414" s="10">
        <v>73.510000000000005</v>
      </c>
      <c r="J414" s="10">
        <v>73.260000000000005</v>
      </c>
      <c r="K414" s="10">
        <v>73.03</v>
      </c>
      <c r="L414" s="10">
        <v>72.8</v>
      </c>
      <c r="M414" s="10">
        <v>72.56</v>
      </c>
      <c r="N414" s="10">
        <v>69.010000000000005</v>
      </c>
      <c r="O414" s="10">
        <v>67.94</v>
      </c>
      <c r="P414" s="10">
        <v>67.48</v>
      </c>
      <c r="Q414" s="10">
        <v>67.099999999999994</v>
      </c>
      <c r="R414" s="10">
        <v>66.8</v>
      </c>
      <c r="S414" s="10">
        <v>66.37</v>
      </c>
      <c r="T414" s="10">
        <v>65.98</v>
      </c>
      <c r="U414" s="10">
        <v>65.63</v>
      </c>
      <c r="V414" s="10">
        <v>65.31</v>
      </c>
      <c r="W414" s="10">
        <v>64.989999999999995</v>
      </c>
      <c r="X414" s="10">
        <v>64.64</v>
      </c>
      <c r="Y414" s="10">
        <v>64.3</v>
      </c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</row>
    <row r="415" spans="1:147" x14ac:dyDescent="0.3">
      <c r="A415" s="9">
        <f>DATE(2018, 8, 7)</f>
        <v>43319</v>
      </c>
      <c r="B415" s="10">
        <v>74.650000000000006</v>
      </c>
      <c r="C415" s="10">
        <v>74.989999999999995</v>
      </c>
      <c r="D415" s="10">
        <v>75.16</v>
      </c>
      <c r="E415" s="10">
        <v>75.209999999999994</v>
      </c>
      <c r="F415" s="10">
        <v>75.14</v>
      </c>
      <c r="G415" s="10">
        <v>74.959999999999994</v>
      </c>
      <c r="H415" s="10">
        <v>74.760000000000005</v>
      </c>
      <c r="I415" s="10">
        <v>74.510000000000005</v>
      </c>
      <c r="J415" s="10">
        <v>74.23</v>
      </c>
      <c r="K415" s="10">
        <v>73.989999999999995</v>
      </c>
      <c r="L415" s="10">
        <v>73.75</v>
      </c>
      <c r="M415" s="10">
        <v>73.489999999999995</v>
      </c>
      <c r="N415" s="10">
        <v>69.17</v>
      </c>
      <c r="O415" s="10">
        <v>68.33</v>
      </c>
      <c r="P415" s="10">
        <v>67.959999999999994</v>
      </c>
      <c r="Q415" s="10">
        <v>67.62</v>
      </c>
      <c r="R415" s="10">
        <v>67.349999999999994</v>
      </c>
      <c r="S415" s="10">
        <v>66.959999999999994</v>
      </c>
      <c r="T415" s="10">
        <v>66.61</v>
      </c>
      <c r="U415" s="10">
        <v>66.290000000000006</v>
      </c>
      <c r="V415" s="10">
        <v>65.989999999999995</v>
      </c>
      <c r="W415" s="10">
        <v>65.69</v>
      </c>
      <c r="X415" s="10">
        <v>65.349999999999994</v>
      </c>
      <c r="Y415" s="10">
        <v>65.02</v>
      </c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</row>
    <row r="416" spans="1:147" x14ac:dyDescent="0.3">
      <c r="A416" s="9">
        <f>DATE(2018, 8, 8)</f>
        <v>43320</v>
      </c>
      <c r="B416" s="10">
        <v>72.28</v>
      </c>
      <c r="C416" s="10">
        <v>72.64</v>
      </c>
      <c r="D416" s="10">
        <v>72.84</v>
      </c>
      <c r="E416" s="10">
        <v>72.92</v>
      </c>
      <c r="F416" s="10">
        <v>72.900000000000006</v>
      </c>
      <c r="G416" s="10">
        <v>72.77</v>
      </c>
      <c r="H416" s="10">
        <v>72.59</v>
      </c>
      <c r="I416" s="10">
        <v>72.37</v>
      </c>
      <c r="J416" s="10">
        <v>72.11</v>
      </c>
      <c r="K416" s="10">
        <v>71.89</v>
      </c>
      <c r="L416" s="10">
        <v>71.67</v>
      </c>
      <c r="M416" s="10">
        <v>71.430000000000007</v>
      </c>
      <c r="N416" s="10">
        <v>66.94</v>
      </c>
      <c r="O416" s="10">
        <v>66.25</v>
      </c>
      <c r="P416" s="10">
        <v>65.87</v>
      </c>
      <c r="Q416" s="10">
        <v>65.540000000000006</v>
      </c>
      <c r="R416" s="10">
        <v>65.3</v>
      </c>
      <c r="S416" s="10">
        <v>64.97</v>
      </c>
      <c r="T416" s="10">
        <v>64.66</v>
      </c>
      <c r="U416" s="10">
        <v>64.39</v>
      </c>
      <c r="V416" s="10">
        <v>64.13</v>
      </c>
      <c r="W416" s="10">
        <v>63.86</v>
      </c>
      <c r="X416" s="10">
        <v>63.56</v>
      </c>
      <c r="Y416" s="10">
        <v>63.26</v>
      </c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</row>
    <row r="417" spans="1:147" x14ac:dyDescent="0.3">
      <c r="A417" s="9">
        <f>DATE(2018, 8, 9)</f>
        <v>43321</v>
      </c>
      <c r="B417" s="10">
        <v>72.069999999999993</v>
      </c>
      <c r="C417" s="10">
        <v>72.39</v>
      </c>
      <c r="D417" s="10">
        <v>72.569999999999993</v>
      </c>
      <c r="E417" s="10">
        <v>72.64</v>
      </c>
      <c r="F417" s="10">
        <v>72.63</v>
      </c>
      <c r="G417" s="10">
        <v>72.53</v>
      </c>
      <c r="H417" s="10">
        <v>72.38</v>
      </c>
      <c r="I417" s="10">
        <v>72.19</v>
      </c>
      <c r="J417" s="10">
        <v>71.97</v>
      </c>
      <c r="K417" s="10">
        <v>71.77</v>
      </c>
      <c r="L417" s="10">
        <v>71.58</v>
      </c>
      <c r="M417" s="10">
        <v>71.36</v>
      </c>
      <c r="N417" s="10">
        <v>66.81</v>
      </c>
      <c r="O417" s="10">
        <v>66.14</v>
      </c>
      <c r="P417" s="10">
        <v>65.78</v>
      </c>
      <c r="Q417" s="10">
        <v>65.48</v>
      </c>
      <c r="R417" s="10">
        <v>65.27</v>
      </c>
      <c r="S417" s="10">
        <v>64.959999999999994</v>
      </c>
      <c r="T417" s="10">
        <v>64.680000000000007</v>
      </c>
      <c r="U417" s="10">
        <v>64.44</v>
      </c>
      <c r="V417" s="10">
        <v>64.209999999999994</v>
      </c>
      <c r="W417" s="10">
        <v>63.97</v>
      </c>
      <c r="X417" s="10">
        <v>63.69</v>
      </c>
      <c r="Y417" s="10">
        <v>63.41</v>
      </c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</row>
    <row r="418" spans="1:147" x14ac:dyDescent="0.3">
      <c r="A418" s="9">
        <f>DATE(2018, 8, 10)</f>
        <v>43322</v>
      </c>
      <c r="B418" s="10">
        <v>72.81</v>
      </c>
      <c r="C418" s="10">
        <v>73.11</v>
      </c>
      <c r="D418" s="10">
        <v>73.260000000000005</v>
      </c>
      <c r="E418" s="10">
        <v>73.319999999999993</v>
      </c>
      <c r="F418" s="10">
        <v>73.3</v>
      </c>
      <c r="G418" s="10">
        <v>73.2</v>
      </c>
      <c r="H418" s="10">
        <v>73.040000000000006</v>
      </c>
      <c r="I418" s="10">
        <v>72.84</v>
      </c>
      <c r="J418" s="10">
        <v>72.61</v>
      </c>
      <c r="K418" s="10">
        <v>72.400000000000006</v>
      </c>
      <c r="L418" s="10">
        <v>72.180000000000007</v>
      </c>
      <c r="M418" s="10">
        <v>71.95</v>
      </c>
      <c r="N418" s="10">
        <v>67.63</v>
      </c>
      <c r="O418" s="10">
        <v>66.94</v>
      </c>
      <c r="P418" s="10">
        <v>66.540000000000006</v>
      </c>
      <c r="Q418" s="10">
        <v>66.209999999999994</v>
      </c>
      <c r="R418" s="10">
        <v>65.97</v>
      </c>
      <c r="S418" s="10">
        <v>65.64</v>
      </c>
      <c r="T418" s="10">
        <v>65.34</v>
      </c>
      <c r="U418" s="10">
        <v>65.069999999999993</v>
      </c>
      <c r="V418" s="10">
        <v>64.81</v>
      </c>
      <c r="W418" s="10">
        <v>64.55</v>
      </c>
      <c r="X418" s="10">
        <v>64.239999999999995</v>
      </c>
      <c r="Y418" s="10">
        <v>63.93</v>
      </c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</row>
    <row r="419" spans="1:147" x14ac:dyDescent="0.3">
      <c r="A419" s="9">
        <f>DATE(2018, 8, 13)</f>
        <v>43325</v>
      </c>
      <c r="B419" s="10">
        <v>72.61</v>
      </c>
      <c r="C419" s="10">
        <v>72.92</v>
      </c>
      <c r="D419" s="10">
        <v>73.069999999999993</v>
      </c>
      <c r="E419" s="10">
        <v>73.12</v>
      </c>
      <c r="F419" s="10">
        <v>73.09</v>
      </c>
      <c r="G419" s="10">
        <v>72.989999999999995</v>
      </c>
      <c r="H419" s="10">
        <v>72.819999999999993</v>
      </c>
      <c r="I419" s="10">
        <v>72.62</v>
      </c>
      <c r="J419" s="10">
        <v>72.39</v>
      </c>
      <c r="K419" s="10">
        <v>72.17</v>
      </c>
      <c r="L419" s="10">
        <v>71.94</v>
      </c>
      <c r="M419" s="10">
        <v>71.7</v>
      </c>
      <c r="N419" s="10">
        <v>67.2</v>
      </c>
      <c r="O419" s="10">
        <v>66.569999999999993</v>
      </c>
      <c r="P419" s="10">
        <v>66.209999999999994</v>
      </c>
      <c r="Q419" s="10">
        <v>65.88</v>
      </c>
      <c r="R419" s="10">
        <v>65.64</v>
      </c>
      <c r="S419" s="10">
        <v>65.31</v>
      </c>
      <c r="T419" s="10">
        <v>65.010000000000005</v>
      </c>
      <c r="U419" s="10">
        <v>64.73</v>
      </c>
      <c r="V419" s="10">
        <v>64.459999999999994</v>
      </c>
      <c r="W419" s="10">
        <v>64.17</v>
      </c>
      <c r="X419" s="10">
        <v>63.84</v>
      </c>
      <c r="Y419" s="10">
        <v>63.53</v>
      </c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</row>
    <row r="420" spans="1:147" x14ac:dyDescent="0.3">
      <c r="A420" s="9">
        <f>DATE(2018, 8, 14)</f>
        <v>43326</v>
      </c>
      <c r="B420" s="10">
        <v>72.459999999999994</v>
      </c>
      <c r="C420" s="10">
        <v>72.78</v>
      </c>
      <c r="D420" s="10">
        <v>72.930000000000007</v>
      </c>
      <c r="E420" s="10">
        <v>72.989999999999995</v>
      </c>
      <c r="F420" s="10">
        <v>72.97</v>
      </c>
      <c r="G420" s="10">
        <v>72.849999999999994</v>
      </c>
      <c r="H420" s="10">
        <v>72.680000000000007</v>
      </c>
      <c r="I420" s="10">
        <v>72.48</v>
      </c>
      <c r="J420" s="10">
        <v>72.260000000000005</v>
      </c>
      <c r="K420" s="10">
        <v>72.05</v>
      </c>
      <c r="L420" s="10">
        <v>71.83</v>
      </c>
      <c r="M420" s="10">
        <v>71.599999999999994</v>
      </c>
      <c r="N420" s="10">
        <v>67.040000000000006</v>
      </c>
      <c r="O420" s="10">
        <v>66.33</v>
      </c>
      <c r="P420" s="10">
        <v>66</v>
      </c>
      <c r="Q420" s="10">
        <v>65.709999999999994</v>
      </c>
      <c r="R420" s="10">
        <v>65.459999999999994</v>
      </c>
      <c r="S420" s="10">
        <v>65.16</v>
      </c>
      <c r="T420" s="10">
        <v>64.89</v>
      </c>
      <c r="U420" s="10">
        <v>64.63</v>
      </c>
      <c r="V420" s="10">
        <v>64.39</v>
      </c>
      <c r="W420" s="10">
        <v>64.13</v>
      </c>
      <c r="X420" s="10">
        <v>63.83</v>
      </c>
      <c r="Y420" s="10">
        <v>63.53</v>
      </c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</row>
    <row r="421" spans="1:147" x14ac:dyDescent="0.3">
      <c r="A421" s="9">
        <f>DATE(2018, 8, 15)</f>
        <v>43327</v>
      </c>
      <c r="B421" s="10">
        <v>70.760000000000005</v>
      </c>
      <c r="C421" s="10">
        <v>71.099999999999994</v>
      </c>
      <c r="D421" s="10">
        <v>71.260000000000005</v>
      </c>
      <c r="E421" s="10">
        <v>71.33</v>
      </c>
      <c r="F421" s="10">
        <v>71.33</v>
      </c>
      <c r="G421" s="10">
        <v>71.239999999999995</v>
      </c>
      <c r="H421" s="10">
        <v>71.099999999999994</v>
      </c>
      <c r="I421" s="10">
        <v>70.930000000000007</v>
      </c>
      <c r="J421" s="10">
        <v>70.73</v>
      </c>
      <c r="K421" s="10">
        <v>70.55</v>
      </c>
      <c r="L421" s="10">
        <v>70.37</v>
      </c>
      <c r="M421" s="10">
        <v>70.180000000000007</v>
      </c>
      <c r="N421" s="10">
        <v>65.010000000000005</v>
      </c>
      <c r="O421" s="10">
        <v>64.459999999999994</v>
      </c>
      <c r="P421" s="10">
        <v>64.239999999999995</v>
      </c>
      <c r="Q421" s="10">
        <v>64</v>
      </c>
      <c r="R421" s="10">
        <v>63.8</v>
      </c>
      <c r="S421" s="10">
        <v>63.54</v>
      </c>
      <c r="T421" s="10">
        <v>63.31</v>
      </c>
      <c r="U421" s="10">
        <v>63.08</v>
      </c>
      <c r="V421" s="10">
        <v>62.86</v>
      </c>
      <c r="W421" s="10">
        <v>62.65</v>
      </c>
      <c r="X421" s="10">
        <v>62.37</v>
      </c>
      <c r="Y421" s="10">
        <v>62.1</v>
      </c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</row>
    <row r="422" spans="1:147" x14ac:dyDescent="0.3">
      <c r="A422" s="9">
        <f>DATE(2018, 8, 16)</f>
        <v>43328</v>
      </c>
      <c r="B422" s="10">
        <v>71.430000000000007</v>
      </c>
      <c r="C422" s="10">
        <v>71.75</v>
      </c>
      <c r="D422" s="10">
        <v>71.88</v>
      </c>
      <c r="E422" s="10">
        <v>71.930000000000007</v>
      </c>
      <c r="F422" s="10">
        <v>71.91</v>
      </c>
      <c r="G422" s="10">
        <v>71.8</v>
      </c>
      <c r="H422" s="10">
        <v>71.650000000000006</v>
      </c>
      <c r="I422" s="10">
        <v>71.47</v>
      </c>
      <c r="J422" s="10">
        <v>71.27</v>
      </c>
      <c r="K422" s="10">
        <v>71.09</v>
      </c>
      <c r="L422" s="10">
        <v>70.89</v>
      </c>
      <c r="M422" s="10">
        <v>70.69</v>
      </c>
      <c r="N422" s="10">
        <v>65.459999999999994</v>
      </c>
      <c r="O422" s="10">
        <v>64.88</v>
      </c>
      <c r="P422" s="10">
        <v>64.66</v>
      </c>
      <c r="Q422" s="10">
        <v>64.42</v>
      </c>
      <c r="R422" s="10">
        <v>64.2</v>
      </c>
      <c r="S422" s="10">
        <v>63.93</v>
      </c>
      <c r="T422" s="10">
        <v>63.7</v>
      </c>
      <c r="U422" s="10">
        <v>63.48</v>
      </c>
      <c r="V422" s="10">
        <v>63.27</v>
      </c>
      <c r="W422" s="10">
        <v>63.06</v>
      </c>
      <c r="X422" s="10">
        <v>62.79</v>
      </c>
      <c r="Y422" s="10">
        <v>62.52</v>
      </c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</row>
    <row r="423" spans="1:147" x14ac:dyDescent="0.3">
      <c r="A423" s="9">
        <f>DATE(2018, 8, 17)</f>
        <v>43329</v>
      </c>
      <c r="B423" s="10">
        <v>71.83</v>
      </c>
      <c r="C423" s="10">
        <v>72.069999999999993</v>
      </c>
      <c r="D423" s="10">
        <v>72.150000000000006</v>
      </c>
      <c r="E423" s="10">
        <v>72.17</v>
      </c>
      <c r="F423" s="10">
        <v>72.13</v>
      </c>
      <c r="G423" s="10">
        <v>72.010000000000005</v>
      </c>
      <c r="H423" s="10">
        <v>71.849999999999994</v>
      </c>
      <c r="I423" s="10">
        <v>71.66</v>
      </c>
      <c r="J423" s="10">
        <v>71.44</v>
      </c>
      <c r="K423" s="10">
        <v>71.25</v>
      </c>
      <c r="L423" s="10">
        <v>71.06</v>
      </c>
      <c r="M423" s="10">
        <v>70.86</v>
      </c>
      <c r="N423" s="10">
        <v>65.91</v>
      </c>
      <c r="O423" s="10">
        <v>65.209999999999994</v>
      </c>
      <c r="P423" s="10">
        <v>64.94</v>
      </c>
      <c r="Q423" s="10">
        <v>64.66</v>
      </c>
      <c r="R423" s="10">
        <v>64.430000000000007</v>
      </c>
      <c r="S423" s="10">
        <v>64.150000000000006</v>
      </c>
      <c r="T423" s="10">
        <v>63.92</v>
      </c>
      <c r="U423" s="10">
        <v>63.69</v>
      </c>
      <c r="V423" s="10">
        <v>63.48</v>
      </c>
      <c r="W423" s="10">
        <v>63.26</v>
      </c>
      <c r="X423" s="10">
        <v>62.99</v>
      </c>
      <c r="Y423" s="10">
        <v>62.72</v>
      </c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</row>
    <row r="424" spans="1:147" x14ac:dyDescent="0.3">
      <c r="A424" s="9">
        <f>DATE(2018, 8, 20)</f>
        <v>43332</v>
      </c>
      <c r="B424" s="10">
        <v>72.209999999999994</v>
      </c>
      <c r="C424" s="10">
        <v>72.569999999999993</v>
      </c>
      <c r="D424" s="10">
        <v>72.63</v>
      </c>
      <c r="E424" s="10">
        <v>72.61</v>
      </c>
      <c r="F424" s="10">
        <v>72.540000000000006</v>
      </c>
      <c r="G424" s="10">
        <v>72.400000000000006</v>
      </c>
      <c r="H424" s="10">
        <v>72.22</v>
      </c>
      <c r="I424" s="10">
        <v>72.02</v>
      </c>
      <c r="J424" s="10">
        <v>71.8</v>
      </c>
      <c r="K424" s="10">
        <v>71.599999999999994</v>
      </c>
      <c r="L424" s="10">
        <v>71.400000000000006</v>
      </c>
      <c r="M424" s="10">
        <v>71.19</v>
      </c>
      <c r="N424" s="10">
        <v>66.430000000000007</v>
      </c>
      <c r="O424" s="10">
        <v>65.42</v>
      </c>
      <c r="P424" s="10">
        <v>65.099999999999994</v>
      </c>
      <c r="Q424" s="10">
        <v>64.8</v>
      </c>
      <c r="R424" s="10">
        <v>64.55</v>
      </c>
      <c r="S424" s="10">
        <v>64.27</v>
      </c>
      <c r="T424" s="10">
        <v>64.03</v>
      </c>
      <c r="U424" s="10">
        <v>63.8</v>
      </c>
      <c r="V424" s="10">
        <v>63.58</v>
      </c>
      <c r="W424" s="10">
        <v>63.35</v>
      </c>
      <c r="X424" s="10">
        <v>63.09</v>
      </c>
      <c r="Y424" s="10">
        <v>62.81</v>
      </c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</row>
    <row r="425" spans="1:147" x14ac:dyDescent="0.3">
      <c r="A425" s="9">
        <f>DATE(2018, 8, 21)</f>
        <v>43333</v>
      </c>
      <c r="B425" s="10">
        <v>72.63</v>
      </c>
      <c r="C425" s="10">
        <v>72.91</v>
      </c>
      <c r="D425" s="10">
        <v>72.92</v>
      </c>
      <c r="E425" s="10">
        <v>72.86</v>
      </c>
      <c r="F425" s="10">
        <v>72.75</v>
      </c>
      <c r="G425" s="10">
        <v>72.58</v>
      </c>
      <c r="H425" s="10">
        <v>72.37</v>
      </c>
      <c r="I425" s="10">
        <v>72.14</v>
      </c>
      <c r="J425" s="10">
        <v>71.900000000000006</v>
      </c>
      <c r="K425" s="10">
        <v>71.67</v>
      </c>
      <c r="L425" s="10">
        <v>71.44</v>
      </c>
      <c r="M425" s="10">
        <v>71.209999999999994</v>
      </c>
      <c r="N425" s="10">
        <v>67.349999999999994</v>
      </c>
      <c r="O425" s="10">
        <v>65.84</v>
      </c>
      <c r="P425" s="10">
        <v>65.489999999999995</v>
      </c>
      <c r="Q425" s="10">
        <v>65.19</v>
      </c>
      <c r="R425" s="10">
        <v>64.930000000000007</v>
      </c>
      <c r="S425" s="10">
        <v>64.64</v>
      </c>
      <c r="T425" s="10">
        <v>64.39</v>
      </c>
      <c r="U425" s="10">
        <v>64.150000000000006</v>
      </c>
      <c r="V425" s="10">
        <v>63.9</v>
      </c>
      <c r="W425" s="10">
        <v>63.65</v>
      </c>
      <c r="X425" s="10">
        <v>63.38</v>
      </c>
      <c r="Y425" s="10">
        <v>63.1</v>
      </c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</row>
    <row r="426" spans="1:147" x14ac:dyDescent="0.3">
      <c r="A426" s="9">
        <f>DATE(2018, 8, 22)</f>
        <v>43334</v>
      </c>
      <c r="B426" s="10">
        <v>74.78</v>
      </c>
      <c r="C426" s="10">
        <v>75.069999999999993</v>
      </c>
      <c r="D426" s="10">
        <v>75.06</v>
      </c>
      <c r="E426" s="10">
        <v>74.97</v>
      </c>
      <c r="F426" s="10">
        <v>74.819999999999993</v>
      </c>
      <c r="G426" s="10">
        <v>74.63</v>
      </c>
      <c r="H426" s="10">
        <v>74.41</v>
      </c>
      <c r="I426" s="10">
        <v>74.17</v>
      </c>
      <c r="J426" s="10">
        <v>73.92</v>
      </c>
      <c r="K426" s="10">
        <v>73.67</v>
      </c>
      <c r="L426" s="10">
        <v>73.42</v>
      </c>
      <c r="M426" s="10">
        <v>73.16</v>
      </c>
      <c r="N426" s="10">
        <v>67.86</v>
      </c>
      <c r="O426" s="10">
        <v>67.510000000000005</v>
      </c>
      <c r="P426" s="10">
        <v>67.2</v>
      </c>
      <c r="Q426" s="10">
        <v>66.930000000000007</v>
      </c>
      <c r="R426" s="10">
        <v>66.63</v>
      </c>
      <c r="S426" s="10">
        <v>66.36</v>
      </c>
      <c r="T426" s="10">
        <v>66.099999999999994</v>
      </c>
      <c r="U426" s="10">
        <v>65.819999999999993</v>
      </c>
      <c r="V426" s="10">
        <v>65.55</v>
      </c>
      <c r="W426" s="10">
        <v>65.239999999999995</v>
      </c>
      <c r="X426" s="10">
        <v>64.92</v>
      </c>
      <c r="Y426" s="10">
        <v>64.63</v>
      </c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</row>
    <row r="427" spans="1:147" x14ac:dyDescent="0.3">
      <c r="A427" s="9">
        <f>DATE(2018, 8, 23)</f>
        <v>43335</v>
      </c>
      <c r="B427" s="10">
        <v>74.73</v>
      </c>
      <c r="C427" s="10">
        <v>75.09</v>
      </c>
      <c r="D427" s="10">
        <v>75.099999999999994</v>
      </c>
      <c r="E427" s="10">
        <v>75.03</v>
      </c>
      <c r="F427" s="10">
        <v>74.900000000000006</v>
      </c>
      <c r="G427" s="10">
        <v>74.72</v>
      </c>
      <c r="H427" s="10">
        <v>74.510000000000005</v>
      </c>
      <c r="I427" s="10">
        <v>74.28</v>
      </c>
      <c r="J427" s="10">
        <v>74.03</v>
      </c>
      <c r="K427" s="10">
        <v>73.78</v>
      </c>
      <c r="L427" s="10">
        <v>73.53</v>
      </c>
      <c r="M427" s="10">
        <v>73.27</v>
      </c>
      <c r="N427" s="10">
        <v>67.83</v>
      </c>
      <c r="O427" s="10">
        <v>67.53</v>
      </c>
      <c r="P427" s="10">
        <v>67.239999999999995</v>
      </c>
      <c r="Q427" s="10">
        <v>66.98</v>
      </c>
      <c r="R427" s="10">
        <v>66.680000000000007</v>
      </c>
      <c r="S427" s="10">
        <v>66.41</v>
      </c>
      <c r="T427" s="10">
        <v>66.14</v>
      </c>
      <c r="U427" s="10">
        <v>65.86</v>
      </c>
      <c r="V427" s="10">
        <v>65.58</v>
      </c>
      <c r="W427" s="10">
        <v>65.260000000000005</v>
      </c>
      <c r="X427" s="10">
        <v>64.95</v>
      </c>
      <c r="Y427" s="10">
        <v>64.64</v>
      </c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</row>
    <row r="428" spans="1:147" x14ac:dyDescent="0.3">
      <c r="A428" s="9">
        <f>DATE(2018, 8, 24)</f>
        <v>43336</v>
      </c>
      <c r="B428" s="10">
        <v>75.819999999999993</v>
      </c>
      <c r="C428" s="10">
        <v>76.13</v>
      </c>
      <c r="D428" s="10">
        <v>76.069999999999993</v>
      </c>
      <c r="E428" s="10">
        <v>75.930000000000007</v>
      </c>
      <c r="F428" s="10">
        <v>75.739999999999995</v>
      </c>
      <c r="G428" s="10">
        <v>75.52</v>
      </c>
      <c r="H428" s="10">
        <v>75.28</v>
      </c>
      <c r="I428" s="10">
        <v>75.02</v>
      </c>
      <c r="J428" s="10">
        <v>74.75</v>
      </c>
      <c r="K428" s="10">
        <v>74.489999999999995</v>
      </c>
      <c r="L428" s="10">
        <v>74.22</v>
      </c>
      <c r="M428" s="10">
        <v>73.95</v>
      </c>
      <c r="N428" s="10">
        <v>68.72</v>
      </c>
      <c r="O428" s="10">
        <v>68.36</v>
      </c>
      <c r="P428" s="10">
        <v>68.05</v>
      </c>
      <c r="Q428" s="10">
        <v>67.78</v>
      </c>
      <c r="R428" s="10">
        <v>67.47</v>
      </c>
      <c r="S428" s="10">
        <v>67.180000000000007</v>
      </c>
      <c r="T428" s="10">
        <v>66.89</v>
      </c>
      <c r="U428" s="10">
        <v>66.599999999999994</v>
      </c>
      <c r="V428" s="10">
        <v>66.3</v>
      </c>
      <c r="W428" s="10">
        <v>65.97</v>
      </c>
      <c r="X428" s="10">
        <v>65.63</v>
      </c>
      <c r="Y428" s="10">
        <v>65.319999999999993</v>
      </c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</row>
    <row r="429" spans="1:147" x14ac:dyDescent="0.3">
      <c r="A429" s="9">
        <f>DATE(2018, 8, 27)</f>
        <v>43339</v>
      </c>
      <c r="B429" s="10">
        <v>76.209999999999994</v>
      </c>
      <c r="C429" s="10">
        <v>76.5</v>
      </c>
      <c r="D429" s="10">
        <v>76.430000000000007</v>
      </c>
      <c r="E429" s="10">
        <v>76.3</v>
      </c>
      <c r="F429" s="10">
        <v>76.11</v>
      </c>
      <c r="G429" s="10">
        <v>75.900000000000006</v>
      </c>
      <c r="H429" s="10">
        <v>75.66</v>
      </c>
      <c r="I429" s="10">
        <v>75.400000000000006</v>
      </c>
      <c r="J429" s="10">
        <v>75.12</v>
      </c>
      <c r="K429" s="10">
        <v>74.849999999999994</v>
      </c>
      <c r="L429" s="10">
        <v>74.56</v>
      </c>
      <c r="M429" s="10">
        <v>74.27</v>
      </c>
      <c r="N429" s="10">
        <v>68.87</v>
      </c>
      <c r="O429" s="10">
        <v>68.540000000000006</v>
      </c>
      <c r="P429" s="10">
        <v>68.25</v>
      </c>
      <c r="Q429" s="10">
        <v>67.989999999999995</v>
      </c>
      <c r="R429" s="10">
        <v>67.69</v>
      </c>
      <c r="S429" s="10">
        <v>67.39</v>
      </c>
      <c r="T429" s="10">
        <v>67.09</v>
      </c>
      <c r="U429" s="10">
        <v>66.790000000000006</v>
      </c>
      <c r="V429" s="10">
        <v>66.48</v>
      </c>
      <c r="W429" s="10">
        <v>66.14</v>
      </c>
      <c r="X429" s="10">
        <v>65.8</v>
      </c>
      <c r="Y429" s="10">
        <v>65.48</v>
      </c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</row>
    <row r="430" spans="1:147" x14ac:dyDescent="0.3">
      <c r="A430" s="9">
        <f>DATE(2018, 8, 28)</f>
        <v>43340</v>
      </c>
      <c r="B430" s="10">
        <v>75.95</v>
      </c>
      <c r="C430" s="10">
        <v>76.290000000000006</v>
      </c>
      <c r="D430" s="10">
        <v>76.19</v>
      </c>
      <c r="E430" s="10">
        <v>76.03</v>
      </c>
      <c r="F430" s="10">
        <v>75.819999999999993</v>
      </c>
      <c r="G430" s="10">
        <v>75.61</v>
      </c>
      <c r="H430" s="10">
        <v>75.37</v>
      </c>
      <c r="I430" s="10">
        <v>75.12</v>
      </c>
      <c r="J430" s="10">
        <v>74.86</v>
      </c>
      <c r="K430" s="10">
        <v>74.599999999999994</v>
      </c>
      <c r="L430" s="10">
        <v>74.33</v>
      </c>
      <c r="M430" s="10">
        <v>74.05</v>
      </c>
      <c r="N430" s="10">
        <v>68.53</v>
      </c>
      <c r="O430" s="10">
        <v>68.22</v>
      </c>
      <c r="P430" s="10">
        <v>67.930000000000007</v>
      </c>
      <c r="Q430" s="10">
        <v>67.69</v>
      </c>
      <c r="R430" s="10">
        <v>67.400000000000006</v>
      </c>
      <c r="S430" s="10">
        <v>67.12</v>
      </c>
      <c r="T430" s="10">
        <v>66.849999999999994</v>
      </c>
      <c r="U430" s="10">
        <v>66.569999999999993</v>
      </c>
      <c r="V430" s="10">
        <v>66.28</v>
      </c>
      <c r="W430" s="10">
        <v>65.959999999999994</v>
      </c>
      <c r="X430" s="10">
        <v>65.63</v>
      </c>
      <c r="Y430" s="10">
        <v>65.33</v>
      </c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</row>
    <row r="431" spans="1:147" x14ac:dyDescent="0.3">
      <c r="A431" s="9">
        <f>DATE(2018, 8, 29)</f>
        <v>43341</v>
      </c>
      <c r="B431" s="10">
        <v>77.14</v>
      </c>
      <c r="C431" s="10">
        <v>77.459999999999994</v>
      </c>
      <c r="D431" s="10">
        <v>77.34</v>
      </c>
      <c r="E431" s="10">
        <v>77.150000000000006</v>
      </c>
      <c r="F431" s="10">
        <v>76.92</v>
      </c>
      <c r="G431" s="10">
        <v>76.680000000000007</v>
      </c>
      <c r="H431" s="10">
        <v>76.42</v>
      </c>
      <c r="I431" s="10">
        <v>76.150000000000006</v>
      </c>
      <c r="J431" s="10">
        <v>75.87</v>
      </c>
      <c r="K431" s="10">
        <v>75.58</v>
      </c>
      <c r="L431" s="10">
        <v>75.28</v>
      </c>
      <c r="M431" s="10">
        <v>74.97</v>
      </c>
      <c r="N431" s="10">
        <v>69.510000000000005</v>
      </c>
      <c r="O431" s="10">
        <v>69.17</v>
      </c>
      <c r="P431" s="10">
        <v>68.87</v>
      </c>
      <c r="Q431" s="10">
        <v>68.61</v>
      </c>
      <c r="R431" s="10">
        <v>68.290000000000006</v>
      </c>
      <c r="S431" s="10">
        <v>67.989999999999995</v>
      </c>
      <c r="T431" s="10">
        <v>67.680000000000007</v>
      </c>
      <c r="U431" s="10">
        <v>67.38</v>
      </c>
      <c r="V431" s="10">
        <v>67.069999999999993</v>
      </c>
      <c r="W431" s="10">
        <v>66.73</v>
      </c>
      <c r="X431" s="10">
        <v>66.38</v>
      </c>
      <c r="Y431" s="10">
        <v>66.05</v>
      </c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</row>
    <row r="432" spans="1:147" x14ac:dyDescent="0.3">
      <c r="A432" s="9">
        <f>DATE(2018, 8, 30)</f>
        <v>43342</v>
      </c>
      <c r="B432" s="10">
        <v>77.77</v>
      </c>
      <c r="C432" s="10">
        <v>78.02</v>
      </c>
      <c r="D432" s="10">
        <v>77.819999999999993</v>
      </c>
      <c r="E432" s="10">
        <v>77.58</v>
      </c>
      <c r="F432" s="10">
        <v>77.33</v>
      </c>
      <c r="G432" s="10">
        <v>77.08</v>
      </c>
      <c r="H432" s="10">
        <v>76.819999999999993</v>
      </c>
      <c r="I432" s="10">
        <v>76.55</v>
      </c>
      <c r="J432" s="10">
        <v>76.27</v>
      </c>
      <c r="K432" s="10">
        <v>75.989999999999995</v>
      </c>
      <c r="L432" s="10">
        <v>75.69</v>
      </c>
      <c r="M432" s="10">
        <v>75.38</v>
      </c>
      <c r="N432" s="10">
        <v>70.25</v>
      </c>
      <c r="O432" s="10">
        <v>69.81</v>
      </c>
      <c r="P432" s="10">
        <v>69.459999999999994</v>
      </c>
      <c r="Q432" s="10">
        <v>69.17</v>
      </c>
      <c r="R432" s="10">
        <v>68.84</v>
      </c>
      <c r="S432" s="10">
        <v>68.540000000000006</v>
      </c>
      <c r="T432" s="10">
        <v>68.239999999999995</v>
      </c>
      <c r="U432" s="10">
        <v>67.94</v>
      </c>
      <c r="V432" s="10">
        <v>67.63</v>
      </c>
      <c r="W432" s="10">
        <v>67.290000000000006</v>
      </c>
      <c r="X432" s="10">
        <v>66.930000000000007</v>
      </c>
      <c r="Y432" s="10">
        <v>66.599999999999994</v>
      </c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</row>
    <row r="433" spans="1:147" x14ac:dyDescent="0.3">
      <c r="A433" s="9">
        <f>DATE(2018, 8, 31)</f>
        <v>43343</v>
      </c>
      <c r="B433" s="10">
        <v>77.42</v>
      </c>
      <c r="C433" s="10">
        <v>77.64</v>
      </c>
      <c r="D433" s="10">
        <v>77.400000000000006</v>
      </c>
      <c r="E433" s="10">
        <v>77.13</v>
      </c>
      <c r="F433" s="10">
        <v>76.88</v>
      </c>
      <c r="G433" s="10">
        <v>76.63</v>
      </c>
      <c r="H433" s="10">
        <v>76.38</v>
      </c>
      <c r="I433" s="10">
        <v>76.12</v>
      </c>
      <c r="J433" s="10">
        <v>75.849999999999994</v>
      </c>
      <c r="K433" s="10">
        <v>75.569999999999993</v>
      </c>
      <c r="L433" s="10">
        <v>75.27</v>
      </c>
      <c r="M433" s="10">
        <v>74.959999999999994</v>
      </c>
      <c r="N433" s="10">
        <v>69.8</v>
      </c>
      <c r="O433" s="10">
        <v>69.37</v>
      </c>
      <c r="P433" s="10">
        <v>69.05</v>
      </c>
      <c r="Q433" s="10">
        <v>68.790000000000006</v>
      </c>
      <c r="R433" s="10">
        <v>68.459999999999994</v>
      </c>
      <c r="S433" s="10">
        <v>68.16</v>
      </c>
      <c r="T433" s="10">
        <v>67.87</v>
      </c>
      <c r="U433" s="10">
        <v>67.569999999999993</v>
      </c>
      <c r="V433" s="10">
        <v>67.260000000000005</v>
      </c>
      <c r="W433" s="10">
        <v>66.91</v>
      </c>
      <c r="X433" s="10">
        <v>66.569999999999993</v>
      </c>
      <c r="Y433" s="10">
        <v>66.25</v>
      </c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</row>
    <row r="434" spans="1:147" x14ac:dyDescent="0.3">
      <c r="A434" s="9">
        <f>DATE(2018, 9, 3)</f>
        <v>43346</v>
      </c>
      <c r="B434" s="10">
        <v>78.150000000000006</v>
      </c>
      <c r="C434" s="10">
        <v>77.900000000000006</v>
      </c>
      <c r="D434" s="10">
        <v>77.61</v>
      </c>
      <c r="E434" s="10">
        <v>77.349999999999994</v>
      </c>
      <c r="F434" s="10">
        <v>77.09</v>
      </c>
      <c r="G434" s="10">
        <v>76.819999999999993</v>
      </c>
      <c r="H434" s="10">
        <v>76.55</v>
      </c>
      <c r="I434" s="10">
        <v>76.260000000000005</v>
      </c>
      <c r="J434" s="10">
        <v>75.97</v>
      </c>
      <c r="K434" s="10">
        <v>75.67</v>
      </c>
      <c r="L434" s="10">
        <v>75.36</v>
      </c>
      <c r="M434" s="10">
        <v>75.05</v>
      </c>
      <c r="N434" s="10">
        <v>69.8</v>
      </c>
      <c r="O434" s="10">
        <v>69.37</v>
      </c>
      <c r="P434" s="10">
        <v>69.05</v>
      </c>
      <c r="Q434" s="10">
        <v>68.790000000000006</v>
      </c>
      <c r="R434" s="10">
        <v>68.459999999999994</v>
      </c>
      <c r="S434" s="10">
        <v>68.16</v>
      </c>
      <c r="T434" s="10">
        <v>67.87</v>
      </c>
      <c r="U434" s="10">
        <v>67.569999999999993</v>
      </c>
      <c r="V434" s="10">
        <v>67.260000000000005</v>
      </c>
      <c r="W434" s="10">
        <v>66.91</v>
      </c>
      <c r="X434" s="10">
        <v>66.569999999999993</v>
      </c>
      <c r="Y434" s="10">
        <v>66.25</v>
      </c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</row>
    <row r="435" spans="1:147" x14ac:dyDescent="0.3">
      <c r="A435" s="9">
        <f>DATE(2018, 9, 4)</f>
        <v>43347</v>
      </c>
      <c r="B435" s="10">
        <v>78.17</v>
      </c>
      <c r="C435" s="10">
        <v>77.900000000000006</v>
      </c>
      <c r="D435" s="10">
        <v>77.62</v>
      </c>
      <c r="E435" s="10">
        <v>77.36</v>
      </c>
      <c r="F435" s="10">
        <v>77.11</v>
      </c>
      <c r="G435" s="10">
        <v>76.849999999999994</v>
      </c>
      <c r="H435" s="10">
        <v>76.58</v>
      </c>
      <c r="I435" s="10">
        <v>76.290000000000006</v>
      </c>
      <c r="J435" s="10">
        <v>75.989999999999995</v>
      </c>
      <c r="K435" s="10">
        <v>75.680000000000007</v>
      </c>
      <c r="L435" s="10">
        <v>75.36</v>
      </c>
      <c r="M435" s="10">
        <v>75.040000000000006</v>
      </c>
      <c r="N435" s="10">
        <v>69.87</v>
      </c>
      <c r="O435" s="10">
        <v>69.56</v>
      </c>
      <c r="P435" s="10">
        <v>69.290000000000006</v>
      </c>
      <c r="Q435" s="10">
        <v>69.040000000000006</v>
      </c>
      <c r="R435" s="10">
        <v>68.739999999999995</v>
      </c>
      <c r="S435" s="10">
        <v>68.45</v>
      </c>
      <c r="T435" s="10">
        <v>68.16</v>
      </c>
      <c r="U435" s="10">
        <v>67.87</v>
      </c>
      <c r="V435" s="10">
        <v>67.58</v>
      </c>
      <c r="W435" s="10">
        <v>67.239999999999995</v>
      </c>
      <c r="X435" s="10">
        <v>66.89</v>
      </c>
      <c r="Y435" s="10">
        <v>66.569999999999993</v>
      </c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</row>
    <row r="436" spans="1:147" x14ac:dyDescent="0.3">
      <c r="A436" s="9">
        <f>DATE(2018, 9, 5)</f>
        <v>43348</v>
      </c>
      <c r="B436" s="10">
        <v>77.27</v>
      </c>
      <c r="C436" s="10">
        <v>76.900000000000006</v>
      </c>
      <c r="D436" s="10">
        <v>76.569999999999993</v>
      </c>
      <c r="E436" s="10">
        <v>76.31</v>
      </c>
      <c r="F436" s="10">
        <v>76.06</v>
      </c>
      <c r="G436" s="10">
        <v>75.83</v>
      </c>
      <c r="H436" s="10">
        <v>75.61</v>
      </c>
      <c r="I436" s="10">
        <v>75.36</v>
      </c>
      <c r="J436" s="10">
        <v>75.099999999999994</v>
      </c>
      <c r="K436" s="10">
        <v>74.819999999999993</v>
      </c>
      <c r="L436" s="10">
        <v>74.52</v>
      </c>
      <c r="M436" s="10">
        <v>74.209999999999994</v>
      </c>
      <c r="N436" s="10">
        <v>68.72</v>
      </c>
      <c r="O436" s="10">
        <v>68.42</v>
      </c>
      <c r="P436" s="10">
        <v>68.17</v>
      </c>
      <c r="Q436" s="10">
        <v>67.94</v>
      </c>
      <c r="R436" s="10">
        <v>67.67</v>
      </c>
      <c r="S436" s="10">
        <v>67.42</v>
      </c>
      <c r="T436" s="10">
        <v>67.17</v>
      </c>
      <c r="U436" s="10">
        <v>66.930000000000007</v>
      </c>
      <c r="V436" s="10">
        <v>66.67</v>
      </c>
      <c r="W436" s="10">
        <v>66.38</v>
      </c>
      <c r="X436" s="10">
        <v>66.069999999999993</v>
      </c>
      <c r="Y436" s="10">
        <v>65.78</v>
      </c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</row>
    <row r="437" spans="1:147" x14ac:dyDescent="0.3">
      <c r="A437" s="9">
        <f>DATE(2018, 9, 6)</f>
        <v>43349</v>
      </c>
      <c r="B437" s="10">
        <v>76.5</v>
      </c>
      <c r="C437" s="10">
        <v>76.150000000000006</v>
      </c>
      <c r="D437" s="10">
        <v>75.83</v>
      </c>
      <c r="E437" s="10">
        <v>75.59</v>
      </c>
      <c r="F437" s="10">
        <v>75.36</v>
      </c>
      <c r="G437" s="10">
        <v>75.14</v>
      </c>
      <c r="H437" s="10">
        <v>74.92</v>
      </c>
      <c r="I437" s="10">
        <v>74.680000000000007</v>
      </c>
      <c r="J437" s="10">
        <v>74.430000000000007</v>
      </c>
      <c r="K437" s="10">
        <v>74.150000000000006</v>
      </c>
      <c r="L437" s="10">
        <v>73.86</v>
      </c>
      <c r="M437" s="10">
        <v>73.56</v>
      </c>
      <c r="N437" s="10">
        <v>67.77</v>
      </c>
      <c r="O437" s="10">
        <v>67.52</v>
      </c>
      <c r="P437" s="10">
        <v>67.3</v>
      </c>
      <c r="Q437" s="10">
        <v>67.069999999999993</v>
      </c>
      <c r="R437" s="10">
        <v>66.81</v>
      </c>
      <c r="S437" s="10">
        <v>66.58</v>
      </c>
      <c r="T437" s="10">
        <v>66.34</v>
      </c>
      <c r="U437" s="10">
        <v>66.12</v>
      </c>
      <c r="V437" s="10">
        <v>65.87</v>
      </c>
      <c r="W437" s="10">
        <v>65.59</v>
      </c>
      <c r="X437" s="10">
        <v>65.319999999999993</v>
      </c>
      <c r="Y437" s="10">
        <v>65.040000000000006</v>
      </c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</row>
    <row r="438" spans="1:147" x14ac:dyDescent="0.3">
      <c r="A438" s="9">
        <f>DATE(2018, 9, 7)</f>
        <v>43350</v>
      </c>
      <c r="B438" s="10">
        <v>76.83</v>
      </c>
      <c r="C438" s="10">
        <v>76.47</v>
      </c>
      <c r="D438" s="10">
        <v>76.16</v>
      </c>
      <c r="E438" s="10">
        <v>75.930000000000007</v>
      </c>
      <c r="F438" s="10">
        <v>75.7</v>
      </c>
      <c r="G438" s="10">
        <v>75.47</v>
      </c>
      <c r="H438" s="10">
        <v>75.25</v>
      </c>
      <c r="I438" s="10">
        <v>75.010000000000005</v>
      </c>
      <c r="J438" s="10">
        <v>74.75</v>
      </c>
      <c r="K438" s="10">
        <v>74.47</v>
      </c>
      <c r="L438" s="10">
        <v>74.17</v>
      </c>
      <c r="M438" s="10">
        <v>73.86</v>
      </c>
      <c r="N438" s="10">
        <v>67.75</v>
      </c>
      <c r="O438" s="10">
        <v>67.55</v>
      </c>
      <c r="P438" s="10">
        <v>67.39</v>
      </c>
      <c r="Q438" s="10">
        <v>67.19</v>
      </c>
      <c r="R438" s="10">
        <v>66.959999999999994</v>
      </c>
      <c r="S438" s="10">
        <v>66.73</v>
      </c>
      <c r="T438" s="10">
        <v>66.5</v>
      </c>
      <c r="U438" s="10">
        <v>66.28</v>
      </c>
      <c r="V438" s="10">
        <v>66.040000000000006</v>
      </c>
      <c r="W438" s="10">
        <v>65.78</v>
      </c>
      <c r="X438" s="10">
        <v>65.489999999999995</v>
      </c>
      <c r="Y438" s="10">
        <v>65.209999999999994</v>
      </c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</row>
    <row r="439" spans="1:147" x14ac:dyDescent="0.3">
      <c r="A439" s="9">
        <f>DATE(2018, 9, 10)</f>
        <v>43353</v>
      </c>
      <c r="B439" s="10">
        <v>77.37</v>
      </c>
      <c r="C439" s="10">
        <v>76.92</v>
      </c>
      <c r="D439" s="10">
        <v>76.55</v>
      </c>
      <c r="E439" s="10">
        <v>76.28</v>
      </c>
      <c r="F439" s="10">
        <v>76.03</v>
      </c>
      <c r="G439" s="10">
        <v>75.8</v>
      </c>
      <c r="H439" s="10">
        <v>75.569999999999993</v>
      </c>
      <c r="I439" s="10">
        <v>75.33</v>
      </c>
      <c r="J439" s="10">
        <v>75.06</v>
      </c>
      <c r="K439" s="10">
        <v>74.760000000000005</v>
      </c>
      <c r="L439" s="10">
        <v>74.45</v>
      </c>
      <c r="M439" s="10">
        <v>74.12</v>
      </c>
      <c r="N439" s="10">
        <v>67.540000000000006</v>
      </c>
      <c r="O439" s="10">
        <v>67.41</v>
      </c>
      <c r="P439" s="10">
        <v>67.31</v>
      </c>
      <c r="Q439" s="10">
        <v>67.17</v>
      </c>
      <c r="R439" s="10">
        <v>67</v>
      </c>
      <c r="S439" s="10">
        <v>66.8</v>
      </c>
      <c r="T439" s="10">
        <v>66.61</v>
      </c>
      <c r="U439" s="10">
        <v>66.430000000000007</v>
      </c>
      <c r="V439" s="10">
        <v>66.2</v>
      </c>
      <c r="W439" s="10">
        <v>65.95</v>
      </c>
      <c r="X439" s="10">
        <v>65.69</v>
      </c>
      <c r="Y439" s="10">
        <v>65.41</v>
      </c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</row>
    <row r="440" spans="1:147" x14ac:dyDescent="0.3">
      <c r="A440" s="9">
        <f>DATE(2018, 9, 11)</f>
        <v>43354</v>
      </c>
      <c r="B440" s="10">
        <v>79.06</v>
      </c>
      <c r="C440" s="10">
        <v>78.56</v>
      </c>
      <c r="D440" s="10">
        <v>78.17</v>
      </c>
      <c r="E440" s="10">
        <v>77.849999999999994</v>
      </c>
      <c r="F440" s="10">
        <v>77.56</v>
      </c>
      <c r="G440" s="10">
        <v>77.290000000000006</v>
      </c>
      <c r="H440" s="10">
        <v>77.02</v>
      </c>
      <c r="I440" s="10">
        <v>76.73</v>
      </c>
      <c r="J440" s="10">
        <v>76.42</v>
      </c>
      <c r="K440" s="10">
        <v>76.09</v>
      </c>
      <c r="L440" s="10">
        <v>75.739999999999995</v>
      </c>
      <c r="M440" s="10">
        <v>75.38</v>
      </c>
      <c r="N440" s="10">
        <v>69.25</v>
      </c>
      <c r="O440" s="10">
        <v>69.040000000000006</v>
      </c>
      <c r="P440" s="10">
        <v>68.89</v>
      </c>
      <c r="Q440" s="10">
        <v>68.709999999999994</v>
      </c>
      <c r="R440" s="10">
        <v>68.5</v>
      </c>
      <c r="S440" s="10">
        <v>68.28</v>
      </c>
      <c r="T440" s="10">
        <v>68.06</v>
      </c>
      <c r="U440" s="10">
        <v>67.86</v>
      </c>
      <c r="V440" s="10">
        <v>67.63</v>
      </c>
      <c r="W440" s="10">
        <v>67.36</v>
      </c>
      <c r="X440" s="10">
        <v>67.06</v>
      </c>
      <c r="Y440" s="10">
        <v>66.77</v>
      </c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</row>
    <row r="441" spans="1:147" x14ac:dyDescent="0.3">
      <c r="A441" s="9">
        <f>DATE(2018, 9, 12)</f>
        <v>43355</v>
      </c>
      <c r="B441" s="10">
        <v>79.739999999999995</v>
      </c>
      <c r="C441" s="10">
        <v>79.290000000000006</v>
      </c>
      <c r="D441" s="10">
        <v>78.900000000000006</v>
      </c>
      <c r="E441" s="10">
        <v>78.58</v>
      </c>
      <c r="F441" s="10">
        <v>78.290000000000006</v>
      </c>
      <c r="G441" s="10">
        <v>78.02</v>
      </c>
      <c r="H441" s="10">
        <v>77.739999999999995</v>
      </c>
      <c r="I441" s="10">
        <v>77.45</v>
      </c>
      <c r="J441" s="10">
        <v>77.14</v>
      </c>
      <c r="K441" s="10">
        <v>76.81</v>
      </c>
      <c r="L441" s="10">
        <v>76.459999999999994</v>
      </c>
      <c r="M441" s="10">
        <v>76.11</v>
      </c>
      <c r="N441" s="10">
        <v>70.37</v>
      </c>
      <c r="O441" s="10">
        <v>70.16</v>
      </c>
      <c r="P441" s="10">
        <v>70.040000000000006</v>
      </c>
      <c r="Q441" s="10">
        <v>69.88</v>
      </c>
      <c r="R441" s="10">
        <v>69.650000000000006</v>
      </c>
      <c r="S441" s="10">
        <v>69.41</v>
      </c>
      <c r="T441" s="10">
        <v>69.17</v>
      </c>
      <c r="U441" s="10">
        <v>68.94</v>
      </c>
      <c r="V441" s="10">
        <v>68.67</v>
      </c>
      <c r="W441" s="10">
        <v>68.37</v>
      </c>
      <c r="X441" s="10">
        <v>68.069999999999993</v>
      </c>
      <c r="Y441" s="10">
        <v>67.77</v>
      </c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</row>
    <row r="442" spans="1:147" x14ac:dyDescent="0.3">
      <c r="A442" s="9">
        <f>DATE(2018, 9, 13)</f>
        <v>43356</v>
      </c>
      <c r="B442" s="10">
        <v>78.180000000000007</v>
      </c>
      <c r="C442" s="10">
        <v>77.75</v>
      </c>
      <c r="D442" s="10">
        <v>77.38</v>
      </c>
      <c r="E442" s="10">
        <v>77.08</v>
      </c>
      <c r="F442" s="10">
        <v>76.819999999999993</v>
      </c>
      <c r="G442" s="10">
        <v>76.569999999999993</v>
      </c>
      <c r="H442" s="10">
        <v>76.31</v>
      </c>
      <c r="I442" s="10">
        <v>76.040000000000006</v>
      </c>
      <c r="J442" s="10">
        <v>75.75</v>
      </c>
      <c r="K442" s="10">
        <v>75.44</v>
      </c>
      <c r="L442" s="10">
        <v>75.11</v>
      </c>
      <c r="M442" s="10">
        <v>74.77</v>
      </c>
      <c r="N442" s="10">
        <v>68.59</v>
      </c>
      <c r="O442" s="10">
        <v>68.41</v>
      </c>
      <c r="P442" s="10">
        <v>68.349999999999994</v>
      </c>
      <c r="Q442" s="10">
        <v>68.25</v>
      </c>
      <c r="R442" s="10">
        <v>68.09</v>
      </c>
      <c r="S442" s="10">
        <v>67.91</v>
      </c>
      <c r="T442" s="10">
        <v>67.709999999999994</v>
      </c>
      <c r="U442" s="10">
        <v>67.5</v>
      </c>
      <c r="V442" s="10">
        <v>67.27</v>
      </c>
      <c r="W442" s="10">
        <v>67.010000000000005</v>
      </c>
      <c r="X442" s="10">
        <v>66.739999999999995</v>
      </c>
      <c r="Y442" s="10">
        <v>66.47</v>
      </c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</row>
    <row r="443" spans="1:147" x14ac:dyDescent="0.3">
      <c r="A443" s="9">
        <f>DATE(2018, 9, 14)</f>
        <v>43357</v>
      </c>
      <c r="B443" s="10">
        <v>78.09</v>
      </c>
      <c r="C443" s="10">
        <v>77.61</v>
      </c>
      <c r="D443" s="10">
        <v>77.22</v>
      </c>
      <c r="E443" s="10">
        <v>76.900000000000006</v>
      </c>
      <c r="F443" s="10">
        <v>76.63</v>
      </c>
      <c r="G443" s="10">
        <v>76.39</v>
      </c>
      <c r="H443" s="10">
        <v>76.14</v>
      </c>
      <c r="I443" s="10">
        <v>75.88</v>
      </c>
      <c r="J443" s="10">
        <v>75.61</v>
      </c>
      <c r="K443" s="10">
        <v>75.319999999999993</v>
      </c>
      <c r="L443" s="10">
        <v>75</v>
      </c>
      <c r="M443" s="10">
        <v>74.67</v>
      </c>
      <c r="N443" s="10">
        <v>68.989999999999995</v>
      </c>
      <c r="O443" s="10">
        <v>68.77</v>
      </c>
      <c r="P443" s="10">
        <v>68.67</v>
      </c>
      <c r="Q443" s="10">
        <v>68.540000000000006</v>
      </c>
      <c r="R443" s="10">
        <v>68.38</v>
      </c>
      <c r="S443" s="10">
        <v>68.2</v>
      </c>
      <c r="T443" s="10">
        <v>68</v>
      </c>
      <c r="U443" s="10">
        <v>67.8</v>
      </c>
      <c r="V443" s="10">
        <v>67.56</v>
      </c>
      <c r="W443" s="10">
        <v>67.3</v>
      </c>
      <c r="X443" s="10">
        <v>67.03</v>
      </c>
      <c r="Y443" s="10">
        <v>66.760000000000005</v>
      </c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</row>
    <row r="444" spans="1:147" x14ac:dyDescent="0.3">
      <c r="A444" s="9">
        <f>DATE(2018, 9, 17)</f>
        <v>43360</v>
      </c>
      <c r="B444" s="10">
        <v>78.05</v>
      </c>
      <c r="C444" s="10">
        <v>77.59</v>
      </c>
      <c r="D444" s="10">
        <v>77.23</v>
      </c>
      <c r="E444" s="10">
        <v>76.959999999999994</v>
      </c>
      <c r="F444" s="10">
        <v>76.739999999999995</v>
      </c>
      <c r="G444" s="10">
        <v>76.53</v>
      </c>
      <c r="H444" s="10">
        <v>76.31</v>
      </c>
      <c r="I444" s="10">
        <v>76.06</v>
      </c>
      <c r="J444" s="10">
        <v>75.8</v>
      </c>
      <c r="K444" s="10">
        <v>75.510000000000005</v>
      </c>
      <c r="L444" s="10">
        <v>75.19</v>
      </c>
      <c r="M444" s="10">
        <v>74.87</v>
      </c>
      <c r="N444" s="10">
        <v>68.91</v>
      </c>
      <c r="O444" s="10">
        <v>68.680000000000007</v>
      </c>
      <c r="P444" s="10">
        <v>68.59</v>
      </c>
      <c r="Q444" s="10">
        <v>68.47</v>
      </c>
      <c r="R444" s="10">
        <v>68.319999999999993</v>
      </c>
      <c r="S444" s="10">
        <v>68.150000000000006</v>
      </c>
      <c r="T444" s="10">
        <v>67.97</v>
      </c>
      <c r="U444" s="10">
        <v>67.78</v>
      </c>
      <c r="V444" s="10">
        <v>67.569999999999993</v>
      </c>
      <c r="W444" s="10">
        <v>67.319999999999993</v>
      </c>
      <c r="X444" s="10">
        <v>67.040000000000006</v>
      </c>
      <c r="Y444" s="10">
        <v>66.78</v>
      </c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</row>
    <row r="445" spans="1:147" x14ac:dyDescent="0.3">
      <c r="A445" s="9">
        <f>DATE(2018, 9, 18)</f>
        <v>43361</v>
      </c>
      <c r="B445" s="10">
        <v>79.03</v>
      </c>
      <c r="C445" s="10">
        <v>78.53</v>
      </c>
      <c r="D445" s="10">
        <v>78.150000000000006</v>
      </c>
      <c r="E445" s="10">
        <v>77.849999999999994</v>
      </c>
      <c r="F445" s="10">
        <v>77.61</v>
      </c>
      <c r="G445" s="10">
        <v>77.38</v>
      </c>
      <c r="H445" s="10">
        <v>77.14</v>
      </c>
      <c r="I445" s="10">
        <v>76.84</v>
      </c>
      <c r="J445" s="10">
        <v>76.55</v>
      </c>
      <c r="K445" s="10">
        <v>76.239999999999995</v>
      </c>
      <c r="L445" s="10">
        <v>75.900000000000006</v>
      </c>
      <c r="M445" s="10">
        <v>75.56</v>
      </c>
      <c r="N445" s="10">
        <v>69.849999999999994</v>
      </c>
      <c r="O445" s="10">
        <v>69.59</v>
      </c>
      <c r="P445" s="10">
        <v>69.45</v>
      </c>
      <c r="Q445" s="10">
        <v>69.3</v>
      </c>
      <c r="R445" s="10">
        <v>69.12</v>
      </c>
      <c r="S445" s="10">
        <v>68.94</v>
      </c>
      <c r="T445" s="10">
        <v>68.73</v>
      </c>
      <c r="U445" s="10">
        <v>68.53</v>
      </c>
      <c r="V445" s="10">
        <v>68.3</v>
      </c>
      <c r="W445" s="10">
        <v>68.02</v>
      </c>
      <c r="X445" s="10">
        <v>67.73</v>
      </c>
      <c r="Y445" s="10">
        <v>67.45</v>
      </c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</row>
    <row r="446" spans="1:147" x14ac:dyDescent="0.3">
      <c r="A446" s="9">
        <f>DATE(2018, 9, 19)</f>
        <v>43362</v>
      </c>
      <c r="B446" s="10">
        <v>79.400000000000006</v>
      </c>
      <c r="C446" s="10">
        <v>78.92</v>
      </c>
      <c r="D446" s="10">
        <v>78.53</v>
      </c>
      <c r="E446" s="10">
        <v>78.209999999999994</v>
      </c>
      <c r="F446" s="10">
        <v>77.959999999999994</v>
      </c>
      <c r="G446" s="10">
        <v>77.72</v>
      </c>
      <c r="H446" s="10">
        <v>77.47</v>
      </c>
      <c r="I446" s="10">
        <v>77.17</v>
      </c>
      <c r="J446" s="10">
        <v>76.87</v>
      </c>
      <c r="K446" s="10">
        <v>76.56</v>
      </c>
      <c r="L446" s="10">
        <v>76.22</v>
      </c>
      <c r="M446" s="10">
        <v>75.88</v>
      </c>
      <c r="N446" s="10">
        <v>71.12</v>
      </c>
      <c r="O446" s="10">
        <v>70.77</v>
      </c>
      <c r="P446" s="10">
        <v>70.52</v>
      </c>
      <c r="Q446" s="10">
        <v>70.28</v>
      </c>
      <c r="R446" s="10">
        <v>70.02</v>
      </c>
      <c r="S446" s="10">
        <v>69.78</v>
      </c>
      <c r="T446" s="10">
        <v>69.53</v>
      </c>
      <c r="U446" s="10">
        <v>69.290000000000006</v>
      </c>
      <c r="V446" s="10">
        <v>69.02</v>
      </c>
      <c r="W446" s="10">
        <v>68.7</v>
      </c>
      <c r="X446" s="10">
        <v>68.37</v>
      </c>
      <c r="Y446" s="10">
        <v>68.05</v>
      </c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</row>
    <row r="447" spans="1:147" x14ac:dyDescent="0.3">
      <c r="A447" s="9">
        <f>DATE(2018, 9, 20)</f>
        <v>43363</v>
      </c>
      <c r="B447" s="10">
        <v>78.7</v>
      </c>
      <c r="C447" s="10">
        <v>78.22</v>
      </c>
      <c r="D447" s="10">
        <v>77.849999999999994</v>
      </c>
      <c r="E447" s="10">
        <v>77.569999999999993</v>
      </c>
      <c r="F447" s="10">
        <v>77.34</v>
      </c>
      <c r="G447" s="10">
        <v>77.14</v>
      </c>
      <c r="H447" s="10">
        <v>76.91</v>
      </c>
      <c r="I447" s="10">
        <v>76.62</v>
      </c>
      <c r="J447" s="10">
        <v>76.33</v>
      </c>
      <c r="K447" s="10">
        <v>76.02</v>
      </c>
      <c r="L447" s="10">
        <v>75.69</v>
      </c>
      <c r="M447" s="10">
        <v>75.36</v>
      </c>
      <c r="N447" s="10">
        <v>70.8</v>
      </c>
      <c r="O447" s="10">
        <v>70.319999999999993</v>
      </c>
      <c r="P447" s="10">
        <v>70.06</v>
      </c>
      <c r="Q447" s="10">
        <v>69.88</v>
      </c>
      <c r="R447" s="10">
        <v>69.66</v>
      </c>
      <c r="S447" s="10">
        <v>69.459999999999994</v>
      </c>
      <c r="T447" s="10">
        <v>69.239999999999995</v>
      </c>
      <c r="U447" s="10">
        <v>69.010000000000005</v>
      </c>
      <c r="V447" s="10">
        <v>68.75</v>
      </c>
      <c r="W447" s="10">
        <v>68.459999999999994</v>
      </c>
      <c r="X447" s="10">
        <v>68.14</v>
      </c>
      <c r="Y447" s="10">
        <v>67.83</v>
      </c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</row>
    <row r="448" spans="1:147" x14ac:dyDescent="0.3">
      <c r="A448" s="9">
        <f>DATE(2018, 9, 21)</f>
        <v>43364</v>
      </c>
      <c r="B448" s="10">
        <v>78.8</v>
      </c>
      <c r="C448" s="10">
        <v>78.239999999999995</v>
      </c>
      <c r="D448" s="10">
        <v>77.86</v>
      </c>
      <c r="E448" s="10">
        <v>77.599999999999994</v>
      </c>
      <c r="F448" s="10">
        <v>77.39</v>
      </c>
      <c r="G448" s="10">
        <v>77.19</v>
      </c>
      <c r="H448" s="10">
        <v>76.97</v>
      </c>
      <c r="I448" s="10">
        <v>76.69</v>
      </c>
      <c r="J448" s="10">
        <v>76.400000000000006</v>
      </c>
      <c r="K448" s="10">
        <v>76.09</v>
      </c>
      <c r="L448" s="10">
        <v>75.75</v>
      </c>
      <c r="M448" s="10">
        <v>75.41</v>
      </c>
      <c r="N448" s="10">
        <v>70.78</v>
      </c>
      <c r="O448" s="10">
        <v>70.37</v>
      </c>
      <c r="P448" s="10">
        <v>70.06</v>
      </c>
      <c r="Q448" s="10">
        <v>69.790000000000006</v>
      </c>
      <c r="R448" s="10">
        <v>69.58</v>
      </c>
      <c r="S448" s="10">
        <v>69.36</v>
      </c>
      <c r="T448" s="10">
        <v>69.13</v>
      </c>
      <c r="U448" s="10">
        <v>68.87</v>
      </c>
      <c r="V448" s="10">
        <v>68.569999999999993</v>
      </c>
      <c r="W448" s="10">
        <v>68.239999999999995</v>
      </c>
      <c r="X448" s="10">
        <v>67.930000000000007</v>
      </c>
      <c r="Y448" s="10">
        <v>67.63</v>
      </c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</row>
    <row r="449" spans="1:147" x14ac:dyDescent="0.3">
      <c r="A449" s="9">
        <f>DATE(2018, 9, 24)</f>
        <v>43367</v>
      </c>
      <c r="B449" s="10">
        <v>81.2</v>
      </c>
      <c r="C449" s="10">
        <v>80.53</v>
      </c>
      <c r="D449" s="10">
        <v>80.08</v>
      </c>
      <c r="E449" s="10">
        <v>79.760000000000005</v>
      </c>
      <c r="F449" s="10">
        <v>79.5</v>
      </c>
      <c r="G449" s="10">
        <v>79.260000000000005</v>
      </c>
      <c r="H449" s="10">
        <v>78.989999999999995</v>
      </c>
      <c r="I449" s="10">
        <v>78.650000000000006</v>
      </c>
      <c r="J449" s="10">
        <v>78.31</v>
      </c>
      <c r="K449" s="10">
        <v>77.95</v>
      </c>
      <c r="L449" s="10">
        <v>77.569999999999993</v>
      </c>
      <c r="M449" s="10">
        <v>77.19</v>
      </c>
      <c r="N449" s="10">
        <v>72.08</v>
      </c>
      <c r="O449" s="10">
        <v>71.760000000000005</v>
      </c>
      <c r="P449" s="10">
        <v>71.510000000000005</v>
      </c>
      <c r="Q449" s="10">
        <v>71.260000000000005</v>
      </c>
      <c r="R449" s="10">
        <v>71.08</v>
      </c>
      <c r="S449" s="10">
        <v>70.86</v>
      </c>
      <c r="T449" s="10">
        <v>70.62</v>
      </c>
      <c r="U449" s="10">
        <v>70.33</v>
      </c>
      <c r="V449" s="10">
        <v>70.02</v>
      </c>
      <c r="W449" s="10">
        <v>69.67</v>
      </c>
      <c r="X449" s="10">
        <v>69.319999999999993</v>
      </c>
      <c r="Y449" s="10">
        <v>68.989999999999995</v>
      </c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</row>
    <row r="450" spans="1:147" x14ac:dyDescent="0.3">
      <c r="A450" s="9">
        <f>DATE(2018, 9, 25)</f>
        <v>43368</v>
      </c>
      <c r="B450" s="10">
        <v>81.87</v>
      </c>
      <c r="C450" s="10">
        <v>81.260000000000005</v>
      </c>
      <c r="D450" s="10">
        <v>80.78</v>
      </c>
      <c r="E450" s="10">
        <v>80.430000000000007</v>
      </c>
      <c r="F450" s="10">
        <v>80.150000000000006</v>
      </c>
      <c r="G450" s="10">
        <v>79.89</v>
      </c>
      <c r="H450" s="10">
        <v>79.61</v>
      </c>
      <c r="I450" s="10">
        <v>79.260000000000005</v>
      </c>
      <c r="J450" s="10">
        <v>78.92</v>
      </c>
      <c r="K450" s="10">
        <v>78.56</v>
      </c>
      <c r="L450" s="10">
        <v>78.17</v>
      </c>
      <c r="M450" s="10">
        <v>77.790000000000006</v>
      </c>
      <c r="N450" s="10">
        <v>72.28</v>
      </c>
      <c r="O450" s="10">
        <v>72.099999999999994</v>
      </c>
      <c r="P450" s="10">
        <v>71.91</v>
      </c>
      <c r="Q450" s="10">
        <v>71.69</v>
      </c>
      <c r="R450" s="10">
        <v>71.53</v>
      </c>
      <c r="S450" s="10">
        <v>71.3</v>
      </c>
      <c r="T450" s="10">
        <v>71.069999999999993</v>
      </c>
      <c r="U450" s="10">
        <v>70.8</v>
      </c>
      <c r="V450" s="10">
        <v>70.48</v>
      </c>
      <c r="W450" s="10">
        <v>70.12</v>
      </c>
      <c r="X450" s="10">
        <v>69.77</v>
      </c>
      <c r="Y450" s="10">
        <v>69.430000000000007</v>
      </c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</row>
    <row r="451" spans="1:147" x14ac:dyDescent="0.3">
      <c r="A451" s="9">
        <f>DATE(2018, 9, 26)</f>
        <v>43369</v>
      </c>
      <c r="B451" s="10">
        <v>81.34</v>
      </c>
      <c r="C451" s="10">
        <v>80.790000000000006</v>
      </c>
      <c r="D451" s="10">
        <v>80.31</v>
      </c>
      <c r="E451" s="10">
        <v>79.959999999999994</v>
      </c>
      <c r="F451" s="10">
        <v>79.7</v>
      </c>
      <c r="G451" s="10">
        <v>79.459999999999994</v>
      </c>
      <c r="H451" s="10">
        <v>79.2</v>
      </c>
      <c r="I451" s="10">
        <v>78.87</v>
      </c>
      <c r="J451" s="10">
        <v>78.55</v>
      </c>
      <c r="K451" s="10">
        <v>78.209999999999994</v>
      </c>
      <c r="L451" s="10">
        <v>77.849999999999994</v>
      </c>
      <c r="M451" s="10">
        <v>77.489999999999995</v>
      </c>
      <c r="N451" s="10">
        <v>71.569999999999993</v>
      </c>
      <c r="O451" s="10">
        <v>71.41</v>
      </c>
      <c r="P451" s="10">
        <v>71.25</v>
      </c>
      <c r="Q451" s="10">
        <v>71.06</v>
      </c>
      <c r="R451" s="10">
        <v>70.900000000000006</v>
      </c>
      <c r="S451" s="10">
        <v>70.709999999999994</v>
      </c>
      <c r="T451" s="10">
        <v>70.5</v>
      </c>
      <c r="U451" s="10">
        <v>70.27</v>
      </c>
      <c r="V451" s="10">
        <v>69.97</v>
      </c>
      <c r="W451" s="10">
        <v>69.66</v>
      </c>
      <c r="X451" s="10">
        <v>69.33</v>
      </c>
      <c r="Y451" s="10">
        <v>69.02</v>
      </c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</row>
    <row r="452" spans="1:147" x14ac:dyDescent="0.3">
      <c r="A452" s="9">
        <f>DATE(2018, 9, 27)</f>
        <v>43370</v>
      </c>
      <c r="B452" s="10">
        <v>81.72</v>
      </c>
      <c r="C452" s="10">
        <v>81.38</v>
      </c>
      <c r="D452" s="10">
        <v>80.930000000000007</v>
      </c>
      <c r="E452" s="10">
        <v>80.58</v>
      </c>
      <c r="F452" s="10">
        <v>80.319999999999993</v>
      </c>
      <c r="G452" s="10">
        <v>80.06</v>
      </c>
      <c r="H452" s="10">
        <v>79.790000000000006</v>
      </c>
      <c r="I452" s="10">
        <v>79.459999999999994</v>
      </c>
      <c r="J452" s="10">
        <v>79.13</v>
      </c>
      <c r="K452" s="10">
        <v>78.78</v>
      </c>
      <c r="L452" s="10">
        <v>78.400000000000006</v>
      </c>
      <c r="M452" s="10">
        <v>78.03</v>
      </c>
      <c r="N452" s="10">
        <v>72.12</v>
      </c>
      <c r="O452" s="10">
        <v>71.959999999999994</v>
      </c>
      <c r="P452" s="10">
        <v>71.819999999999993</v>
      </c>
      <c r="Q452" s="10">
        <v>71.63</v>
      </c>
      <c r="R452" s="10">
        <v>71.459999999999994</v>
      </c>
      <c r="S452" s="10">
        <v>71.260000000000005</v>
      </c>
      <c r="T452" s="10">
        <v>71.05</v>
      </c>
      <c r="U452" s="10">
        <v>70.81</v>
      </c>
      <c r="V452" s="10">
        <v>70.510000000000005</v>
      </c>
      <c r="W452" s="10">
        <v>70.180000000000007</v>
      </c>
      <c r="X452" s="10">
        <v>69.86</v>
      </c>
      <c r="Y452" s="10">
        <v>69.53</v>
      </c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</row>
    <row r="453" spans="1:147" x14ac:dyDescent="0.3">
      <c r="A453" s="9">
        <f>DATE(2018, 9, 28)</f>
        <v>43371</v>
      </c>
      <c r="B453" s="10">
        <v>82.72</v>
      </c>
      <c r="C453" s="10">
        <v>82.73</v>
      </c>
      <c r="D453" s="10">
        <v>82.24</v>
      </c>
      <c r="E453" s="10">
        <v>81.83</v>
      </c>
      <c r="F453" s="10">
        <v>81.53</v>
      </c>
      <c r="G453" s="10">
        <v>81.239999999999995</v>
      </c>
      <c r="H453" s="10">
        <v>80.94</v>
      </c>
      <c r="I453" s="10">
        <v>80.59</v>
      </c>
      <c r="J453" s="10">
        <v>80.239999999999995</v>
      </c>
      <c r="K453" s="10">
        <v>79.86</v>
      </c>
      <c r="L453" s="10">
        <v>79.45</v>
      </c>
      <c r="M453" s="10">
        <v>79.06</v>
      </c>
      <c r="N453" s="10">
        <v>73.25</v>
      </c>
      <c r="O453" s="10">
        <v>73.06</v>
      </c>
      <c r="P453" s="10">
        <v>72.89</v>
      </c>
      <c r="Q453" s="10">
        <v>72.7</v>
      </c>
      <c r="R453" s="10">
        <v>72.510000000000005</v>
      </c>
      <c r="S453" s="10">
        <v>72.31</v>
      </c>
      <c r="T453" s="10">
        <v>72.09</v>
      </c>
      <c r="U453" s="10">
        <v>71.84</v>
      </c>
      <c r="V453" s="10">
        <v>71.510000000000005</v>
      </c>
      <c r="W453" s="10">
        <v>71.16</v>
      </c>
      <c r="X453" s="10">
        <v>70.819999999999993</v>
      </c>
      <c r="Y453" s="10">
        <v>70.45</v>
      </c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</row>
    <row r="454" spans="1:147" x14ac:dyDescent="0.3">
      <c r="A454" s="9">
        <f>DATE(2018, 10, 1)</f>
        <v>43374</v>
      </c>
      <c r="B454" s="10">
        <v>84.98</v>
      </c>
      <c r="C454" s="10">
        <v>84.51</v>
      </c>
      <c r="D454" s="10">
        <v>84.12</v>
      </c>
      <c r="E454" s="10">
        <v>83.8</v>
      </c>
      <c r="F454" s="10">
        <v>83.47</v>
      </c>
      <c r="G454" s="10">
        <v>83.13</v>
      </c>
      <c r="H454" s="10">
        <v>82.74</v>
      </c>
      <c r="I454" s="10">
        <v>82.35</v>
      </c>
      <c r="J454" s="10">
        <v>81.94</v>
      </c>
      <c r="K454" s="10">
        <v>81.510000000000005</v>
      </c>
      <c r="L454" s="10">
        <v>81.09</v>
      </c>
      <c r="M454" s="10">
        <v>80.69</v>
      </c>
      <c r="N454" s="10">
        <v>75.3</v>
      </c>
      <c r="O454" s="10">
        <v>75.14</v>
      </c>
      <c r="P454" s="10">
        <v>75</v>
      </c>
      <c r="Q454" s="10">
        <v>74.83</v>
      </c>
      <c r="R454" s="10">
        <v>74.680000000000007</v>
      </c>
      <c r="S454" s="10">
        <v>74.5</v>
      </c>
      <c r="T454" s="10">
        <v>74.28</v>
      </c>
      <c r="U454" s="10">
        <v>74.010000000000005</v>
      </c>
      <c r="V454" s="10">
        <v>73.680000000000007</v>
      </c>
      <c r="W454" s="10">
        <v>73.3</v>
      </c>
      <c r="X454" s="10">
        <v>72.92</v>
      </c>
      <c r="Y454" s="10">
        <v>72.53</v>
      </c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</row>
    <row r="455" spans="1:147" x14ac:dyDescent="0.3">
      <c r="A455" s="9">
        <f>DATE(2018, 10, 2)</f>
        <v>43375</v>
      </c>
      <c r="B455" s="10">
        <v>84.8</v>
      </c>
      <c r="C455" s="10">
        <v>84.35</v>
      </c>
      <c r="D455" s="10">
        <v>83.98</v>
      </c>
      <c r="E455" s="10">
        <v>83.69</v>
      </c>
      <c r="F455" s="10">
        <v>83.39</v>
      </c>
      <c r="G455" s="10">
        <v>83.07</v>
      </c>
      <c r="H455" s="10">
        <v>82.7</v>
      </c>
      <c r="I455" s="10">
        <v>82.33</v>
      </c>
      <c r="J455" s="10">
        <v>81.93</v>
      </c>
      <c r="K455" s="10">
        <v>81.510000000000005</v>
      </c>
      <c r="L455" s="10">
        <v>81.11</v>
      </c>
      <c r="M455" s="10">
        <v>80.72</v>
      </c>
      <c r="N455" s="10">
        <v>75.23</v>
      </c>
      <c r="O455" s="10">
        <v>75.040000000000006</v>
      </c>
      <c r="P455" s="10">
        <v>74.900000000000006</v>
      </c>
      <c r="Q455" s="10">
        <v>74.760000000000005</v>
      </c>
      <c r="R455" s="10">
        <v>74.650000000000006</v>
      </c>
      <c r="S455" s="10">
        <v>74.510000000000005</v>
      </c>
      <c r="T455" s="10">
        <v>74.319999999999993</v>
      </c>
      <c r="U455" s="10">
        <v>74.08</v>
      </c>
      <c r="V455" s="10">
        <v>73.77</v>
      </c>
      <c r="W455" s="10">
        <v>73.41</v>
      </c>
      <c r="X455" s="10">
        <v>73.040000000000006</v>
      </c>
      <c r="Y455" s="10">
        <v>72.650000000000006</v>
      </c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</row>
    <row r="456" spans="1:147" x14ac:dyDescent="0.3">
      <c r="A456" s="9">
        <f>DATE(2018, 10, 3)</f>
        <v>43376</v>
      </c>
      <c r="B456" s="10">
        <v>86.29</v>
      </c>
      <c r="C456" s="10">
        <v>85.83</v>
      </c>
      <c r="D456" s="10">
        <v>85.45</v>
      </c>
      <c r="E456" s="10">
        <v>85.14</v>
      </c>
      <c r="F456" s="10">
        <v>84.82</v>
      </c>
      <c r="G456" s="10">
        <v>84.48</v>
      </c>
      <c r="H456" s="10">
        <v>84.1</v>
      </c>
      <c r="I456" s="10">
        <v>83.71</v>
      </c>
      <c r="J456" s="10">
        <v>83.3</v>
      </c>
      <c r="K456" s="10">
        <v>82.87</v>
      </c>
      <c r="L456" s="10">
        <v>82.44</v>
      </c>
      <c r="M456" s="10">
        <v>82.03</v>
      </c>
      <c r="N456" s="10">
        <v>76.41</v>
      </c>
      <c r="O456" s="10">
        <v>76.239999999999995</v>
      </c>
      <c r="P456" s="10">
        <v>76.099999999999994</v>
      </c>
      <c r="Q456" s="10">
        <v>75.959999999999994</v>
      </c>
      <c r="R456" s="10">
        <v>75.84</v>
      </c>
      <c r="S456" s="10">
        <v>75.7</v>
      </c>
      <c r="T456" s="10">
        <v>75.510000000000005</v>
      </c>
      <c r="U456" s="10">
        <v>75.27</v>
      </c>
      <c r="V456" s="10">
        <v>74.95</v>
      </c>
      <c r="W456" s="10">
        <v>74.599999999999994</v>
      </c>
      <c r="X456" s="10">
        <v>74.23</v>
      </c>
      <c r="Y456" s="10">
        <v>73.84</v>
      </c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</row>
    <row r="457" spans="1:147" x14ac:dyDescent="0.3">
      <c r="A457" s="9">
        <f>DATE(2018, 10, 4)</f>
        <v>43377</v>
      </c>
      <c r="B457" s="10">
        <v>84.58</v>
      </c>
      <c r="C457" s="10">
        <v>84.16</v>
      </c>
      <c r="D457" s="10">
        <v>83.83</v>
      </c>
      <c r="E457" s="10">
        <v>83.58</v>
      </c>
      <c r="F457" s="10">
        <v>83.3</v>
      </c>
      <c r="G457" s="10">
        <v>83</v>
      </c>
      <c r="H457" s="10">
        <v>82.65</v>
      </c>
      <c r="I457" s="10">
        <v>82.28</v>
      </c>
      <c r="J457" s="10">
        <v>81.89</v>
      </c>
      <c r="K457" s="10">
        <v>81.489999999999995</v>
      </c>
      <c r="L457" s="10">
        <v>81.09</v>
      </c>
      <c r="M457" s="10">
        <v>80.709999999999994</v>
      </c>
      <c r="N457" s="10">
        <v>74.33</v>
      </c>
      <c r="O457" s="10">
        <v>74.25</v>
      </c>
      <c r="P457" s="10">
        <v>74.13</v>
      </c>
      <c r="Q457" s="10">
        <v>74.03</v>
      </c>
      <c r="R457" s="10">
        <v>73.95</v>
      </c>
      <c r="S457" s="10">
        <v>73.84</v>
      </c>
      <c r="T457" s="10">
        <v>73.69</v>
      </c>
      <c r="U457" s="10">
        <v>73.48</v>
      </c>
      <c r="V457" s="10">
        <v>73.209999999999994</v>
      </c>
      <c r="W457" s="10">
        <v>72.900000000000006</v>
      </c>
      <c r="X457" s="10">
        <v>72.58</v>
      </c>
      <c r="Y457" s="10">
        <v>72.25</v>
      </c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</row>
    <row r="458" spans="1:147" x14ac:dyDescent="0.3">
      <c r="A458" s="9">
        <f>DATE(2018, 10, 5)</f>
        <v>43378</v>
      </c>
      <c r="B458" s="10">
        <v>84.16</v>
      </c>
      <c r="C458" s="10">
        <v>83.79</v>
      </c>
      <c r="D458" s="10">
        <v>83.52</v>
      </c>
      <c r="E458" s="10">
        <v>83.31</v>
      </c>
      <c r="F458" s="10">
        <v>83.09</v>
      </c>
      <c r="G458" s="10">
        <v>82.85</v>
      </c>
      <c r="H458" s="10">
        <v>82.56</v>
      </c>
      <c r="I458" s="10">
        <v>82.24</v>
      </c>
      <c r="J458" s="10">
        <v>81.900000000000006</v>
      </c>
      <c r="K458" s="10">
        <v>81.53</v>
      </c>
      <c r="L458" s="10">
        <v>81.16</v>
      </c>
      <c r="M458" s="10">
        <v>80.81</v>
      </c>
      <c r="N458" s="10">
        <v>74.34</v>
      </c>
      <c r="O458" s="10">
        <v>74.260000000000005</v>
      </c>
      <c r="P458" s="10">
        <v>74.150000000000006</v>
      </c>
      <c r="Q458" s="10">
        <v>74.05</v>
      </c>
      <c r="R458" s="10">
        <v>73.97</v>
      </c>
      <c r="S458" s="10">
        <v>73.88</v>
      </c>
      <c r="T458" s="10">
        <v>73.760000000000005</v>
      </c>
      <c r="U458" s="10">
        <v>73.59</v>
      </c>
      <c r="V458" s="10">
        <v>73.36</v>
      </c>
      <c r="W458" s="10">
        <v>73.08</v>
      </c>
      <c r="X458" s="10">
        <v>72.760000000000005</v>
      </c>
      <c r="Y458" s="10">
        <v>72.45</v>
      </c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</row>
    <row r="459" spans="1:147" x14ac:dyDescent="0.3">
      <c r="A459" s="9">
        <f>DATE(2018, 10, 8)</f>
        <v>43381</v>
      </c>
      <c r="B459" s="10">
        <v>83.91</v>
      </c>
      <c r="C459" s="10">
        <v>83.54</v>
      </c>
      <c r="D459" s="10">
        <v>83.27</v>
      </c>
      <c r="E459" s="10">
        <v>83.06</v>
      </c>
      <c r="F459" s="10">
        <v>82.84</v>
      </c>
      <c r="G459" s="10">
        <v>82.61</v>
      </c>
      <c r="H459" s="10">
        <v>82.32</v>
      </c>
      <c r="I459" s="10">
        <v>82.02</v>
      </c>
      <c r="J459" s="10">
        <v>81.7</v>
      </c>
      <c r="K459" s="10">
        <v>81.34</v>
      </c>
      <c r="L459" s="10">
        <v>80.989999999999995</v>
      </c>
      <c r="M459" s="10">
        <v>80.66</v>
      </c>
      <c r="N459" s="10">
        <v>74.290000000000006</v>
      </c>
      <c r="O459" s="10">
        <v>74.17</v>
      </c>
      <c r="P459" s="10">
        <v>74.03</v>
      </c>
      <c r="Q459" s="10">
        <v>73.900000000000006</v>
      </c>
      <c r="R459" s="10">
        <v>73.8</v>
      </c>
      <c r="S459" s="10">
        <v>73.7</v>
      </c>
      <c r="T459" s="10">
        <v>73.59</v>
      </c>
      <c r="U459" s="10">
        <v>73.430000000000007</v>
      </c>
      <c r="V459" s="10">
        <v>73.22</v>
      </c>
      <c r="W459" s="10">
        <v>72.97</v>
      </c>
      <c r="X459" s="10">
        <v>72.680000000000007</v>
      </c>
      <c r="Y459" s="10">
        <v>72.39</v>
      </c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</row>
    <row r="460" spans="1:147" x14ac:dyDescent="0.3">
      <c r="A460" s="9">
        <f>DATE(2018, 10, 9)</f>
        <v>43382</v>
      </c>
      <c r="B460" s="10">
        <v>85</v>
      </c>
      <c r="C460" s="10">
        <v>84.54</v>
      </c>
      <c r="D460" s="10">
        <v>84.2</v>
      </c>
      <c r="E460" s="10">
        <v>83.96</v>
      </c>
      <c r="F460" s="10">
        <v>83.71</v>
      </c>
      <c r="G460" s="10">
        <v>83.47</v>
      </c>
      <c r="H460" s="10">
        <v>83.19</v>
      </c>
      <c r="I460" s="10">
        <v>82.88</v>
      </c>
      <c r="J460" s="10">
        <v>82.55</v>
      </c>
      <c r="K460" s="10">
        <v>82.19</v>
      </c>
      <c r="L460" s="10">
        <v>81.84</v>
      </c>
      <c r="M460" s="10">
        <v>81.5</v>
      </c>
      <c r="N460" s="10">
        <v>74.959999999999994</v>
      </c>
      <c r="O460" s="10">
        <v>74.81</v>
      </c>
      <c r="P460" s="10">
        <v>74.650000000000006</v>
      </c>
      <c r="Q460" s="10">
        <v>74.510000000000005</v>
      </c>
      <c r="R460" s="10">
        <v>74.42</v>
      </c>
      <c r="S460" s="10">
        <v>74.33</v>
      </c>
      <c r="T460" s="10">
        <v>74.22</v>
      </c>
      <c r="U460" s="10">
        <v>74.08</v>
      </c>
      <c r="V460" s="10">
        <v>73.88</v>
      </c>
      <c r="W460" s="10">
        <v>73.63</v>
      </c>
      <c r="X460" s="10">
        <v>73.349999999999994</v>
      </c>
      <c r="Y460" s="10">
        <v>73.05</v>
      </c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</row>
    <row r="461" spans="1:147" x14ac:dyDescent="0.3">
      <c r="A461" s="9">
        <f>DATE(2018, 10, 10)</f>
        <v>43383</v>
      </c>
      <c r="B461" s="10">
        <v>83.09</v>
      </c>
      <c r="C461" s="10">
        <v>82.65</v>
      </c>
      <c r="D461" s="10">
        <v>82.34</v>
      </c>
      <c r="E461" s="10">
        <v>82.13</v>
      </c>
      <c r="F461" s="10">
        <v>81.93</v>
      </c>
      <c r="G461" s="10">
        <v>81.739999999999995</v>
      </c>
      <c r="H461" s="10">
        <v>81.5</v>
      </c>
      <c r="I461" s="10">
        <v>81.239999999999995</v>
      </c>
      <c r="J461" s="10">
        <v>80.94</v>
      </c>
      <c r="K461" s="10">
        <v>80.61</v>
      </c>
      <c r="L461" s="10">
        <v>80.28</v>
      </c>
      <c r="M461" s="10">
        <v>79.959999999999994</v>
      </c>
      <c r="N461" s="10">
        <v>73.17</v>
      </c>
      <c r="O461" s="10">
        <v>73.03</v>
      </c>
      <c r="P461" s="10">
        <v>72.91</v>
      </c>
      <c r="Q461" s="10">
        <v>72.819999999999993</v>
      </c>
      <c r="R461" s="10">
        <v>72.77</v>
      </c>
      <c r="S461" s="10">
        <v>72.72</v>
      </c>
      <c r="T461" s="10">
        <v>72.650000000000006</v>
      </c>
      <c r="U461" s="10">
        <v>72.53</v>
      </c>
      <c r="V461" s="10">
        <v>72.36</v>
      </c>
      <c r="W461" s="10">
        <v>72.13</v>
      </c>
      <c r="X461" s="10">
        <v>71.86</v>
      </c>
      <c r="Y461" s="10">
        <v>71.569999999999993</v>
      </c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</row>
    <row r="462" spans="1:147" x14ac:dyDescent="0.3">
      <c r="A462" s="9">
        <f>DATE(2018, 10, 11)</f>
        <v>43384</v>
      </c>
      <c r="B462" s="10">
        <v>80.260000000000005</v>
      </c>
      <c r="C462" s="10">
        <v>79.87</v>
      </c>
      <c r="D462" s="10">
        <v>79.599999999999994</v>
      </c>
      <c r="E462" s="10">
        <v>79.42</v>
      </c>
      <c r="F462" s="10">
        <v>79.25</v>
      </c>
      <c r="G462" s="10">
        <v>79.09</v>
      </c>
      <c r="H462" s="10">
        <v>78.91</v>
      </c>
      <c r="I462" s="10">
        <v>78.7</v>
      </c>
      <c r="J462" s="10">
        <v>78.45</v>
      </c>
      <c r="K462" s="10">
        <v>78.180000000000007</v>
      </c>
      <c r="L462" s="10">
        <v>77.89</v>
      </c>
      <c r="M462" s="10">
        <v>77.61</v>
      </c>
      <c r="N462" s="10">
        <v>70.97</v>
      </c>
      <c r="O462" s="10">
        <v>70.81</v>
      </c>
      <c r="P462" s="10">
        <v>70.69</v>
      </c>
      <c r="Q462" s="10">
        <v>70.599999999999994</v>
      </c>
      <c r="R462" s="10">
        <v>70.55</v>
      </c>
      <c r="S462" s="10">
        <v>70.5</v>
      </c>
      <c r="T462" s="10">
        <v>70.44</v>
      </c>
      <c r="U462" s="10">
        <v>70.34</v>
      </c>
      <c r="V462" s="10">
        <v>70.19</v>
      </c>
      <c r="W462" s="10">
        <v>69.98</v>
      </c>
      <c r="X462" s="10">
        <v>69.739999999999995</v>
      </c>
      <c r="Y462" s="10">
        <v>69.47</v>
      </c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</row>
    <row r="463" spans="1:147" x14ac:dyDescent="0.3">
      <c r="A463" s="9">
        <f>DATE(2018, 10, 12)</f>
        <v>43385</v>
      </c>
      <c r="B463" s="10">
        <v>80.430000000000007</v>
      </c>
      <c r="C463" s="10">
        <v>80.069999999999993</v>
      </c>
      <c r="D463" s="10">
        <v>79.819999999999993</v>
      </c>
      <c r="E463" s="10">
        <v>79.64</v>
      </c>
      <c r="F463" s="10">
        <v>79.47</v>
      </c>
      <c r="G463" s="10">
        <v>79.31</v>
      </c>
      <c r="H463" s="10">
        <v>79.12</v>
      </c>
      <c r="I463" s="10">
        <v>78.88</v>
      </c>
      <c r="J463" s="10">
        <v>78.62</v>
      </c>
      <c r="K463" s="10">
        <v>78.34</v>
      </c>
      <c r="L463" s="10">
        <v>78.040000000000006</v>
      </c>
      <c r="M463" s="10">
        <v>77.739999999999995</v>
      </c>
      <c r="N463" s="10">
        <v>71.34</v>
      </c>
      <c r="O463" s="10">
        <v>71.180000000000007</v>
      </c>
      <c r="P463" s="10">
        <v>71.08</v>
      </c>
      <c r="Q463" s="10">
        <v>70.989999999999995</v>
      </c>
      <c r="R463" s="10">
        <v>70.94</v>
      </c>
      <c r="S463" s="10">
        <v>70.89</v>
      </c>
      <c r="T463" s="10">
        <v>70.819999999999993</v>
      </c>
      <c r="U463" s="10">
        <v>70.7</v>
      </c>
      <c r="V463" s="10">
        <v>70.540000000000006</v>
      </c>
      <c r="W463" s="10">
        <v>70.31</v>
      </c>
      <c r="X463" s="10">
        <v>70.040000000000006</v>
      </c>
      <c r="Y463" s="10">
        <v>69.75</v>
      </c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</row>
    <row r="464" spans="1:147" x14ac:dyDescent="0.3">
      <c r="A464" s="9">
        <f>DATE(2018, 10, 15)</f>
        <v>43388</v>
      </c>
      <c r="B464" s="10">
        <v>80.78</v>
      </c>
      <c r="C464" s="10">
        <v>80.430000000000007</v>
      </c>
      <c r="D464" s="10">
        <v>80.27</v>
      </c>
      <c r="E464" s="10">
        <v>80.150000000000006</v>
      </c>
      <c r="F464" s="10">
        <v>80.010000000000005</v>
      </c>
      <c r="G464" s="10">
        <v>79.87</v>
      </c>
      <c r="H464" s="10">
        <v>79.69</v>
      </c>
      <c r="I464" s="10">
        <v>79.45</v>
      </c>
      <c r="J464" s="10">
        <v>79.180000000000007</v>
      </c>
      <c r="K464" s="10">
        <v>78.87</v>
      </c>
      <c r="L464" s="10">
        <v>78.540000000000006</v>
      </c>
      <c r="M464" s="10">
        <v>78.23</v>
      </c>
      <c r="N464" s="10">
        <v>71.78</v>
      </c>
      <c r="O464" s="10">
        <v>71.61</v>
      </c>
      <c r="P464" s="10">
        <v>71.53</v>
      </c>
      <c r="Q464" s="10">
        <v>71.45</v>
      </c>
      <c r="R464" s="10">
        <v>71.39</v>
      </c>
      <c r="S464" s="10">
        <v>71.319999999999993</v>
      </c>
      <c r="T464" s="10">
        <v>71.239999999999995</v>
      </c>
      <c r="U464" s="10">
        <v>71.11</v>
      </c>
      <c r="V464" s="10">
        <v>70.930000000000007</v>
      </c>
      <c r="W464" s="10">
        <v>70.680000000000007</v>
      </c>
      <c r="X464" s="10">
        <v>70.400000000000006</v>
      </c>
      <c r="Y464" s="10">
        <v>70.09</v>
      </c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</row>
    <row r="465" spans="1:147" x14ac:dyDescent="0.3">
      <c r="A465" s="9">
        <f>DATE(2018, 10, 16)</f>
        <v>43389</v>
      </c>
      <c r="B465" s="10">
        <v>81.41</v>
      </c>
      <c r="C465" s="10">
        <v>81.040000000000006</v>
      </c>
      <c r="D465" s="10">
        <v>80.88</v>
      </c>
      <c r="E465" s="10">
        <v>80.760000000000005</v>
      </c>
      <c r="F465" s="10">
        <v>80.63</v>
      </c>
      <c r="G465" s="10">
        <v>80.5</v>
      </c>
      <c r="H465" s="10">
        <v>80.31</v>
      </c>
      <c r="I465" s="10">
        <v>80.069999999999993</v>
      </c>
      <c r="J465" s="10">
        <v>79.790000000000006</v>
      </c>
      <c r="K465" s="10">
        <v>79.47</v>
      </c>
      <c r="L465" s="10">
        <v>79.13</v>
      </c>
      <c r="M465" s="10">
        <v>78.8</v>
      </c>
      <c r="N465" s="10">
        <v>71.92</v>
      </c>
      <c r="O465" s="10">
        <v>71.760000000000005</v>
      </c>
      <c r="P465" s="10">
        <v>71.7</v>
      </c>
      <c r="Q465" s="10">
        <v>71.64</v>
      </c>
      <c r="R465" s="10">
        <v>71.59</v>
      </c>
      <c r="S465" s="10">
        <v>71.540000000000006</v>
      </c>
      <c r="T465" s="10">
        <v>71.48</v>
      </c>
      <c r="U465" s="10">
        <v>71.38</v>
      </c>
      <c r="V465" s="10">
        <v>71.23</v>
      </c>
      <c r="W465" s="10">
        <v>71.010000000000005</v>
      </c>
      <c r="X465" s="10">
        <v>70.739999999999995</v>
      </c>
      <c r="Y465" s="10">
        <v>70.45</v>
      </c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</row>
    <row r="466" spans="1:147" x14ac:dyDescent="0.3">
      <c r="A466" s="9">
        <f>DATE(2018, 10, 17)</f>
        <v>43390</v>
      </c>
      <c r="B466" s="10">
        <v>80.05</v>
      </c>
      <c r="C466" s="10">
        <v>79.63</v>
      </c>
      <c r="D466" s="10">
        <v>79.48</v>
      </c>
      <c r="E466" s="10">
        <v>79.36</v>
      </c>
      <c r="F466" s="10">
        <v>79.23</v>
      </c>
      <c r="G466" s="10">
        <v>79.11</v>
      </c>
      <c r="H466" s="10">
        <v>78.930000000000007</v>
      </c>
      <c r="I466" s="10">
        <v>78.7</v>
      </c>
      <c r="J466" s="10">
        <v>78.44</v>
      </c>
      <c r="K466" s="10">
        <v>78.150000000000006</v>
      </c>
      <c r="L466" s="10">
        <v>77.84</v>
      </c>
      <c r="M466" s="10">
        <v>77.53</v>
      </c>
      <c r="N466" s="10">
        <v>69.75</v>
      </c>
      <c r="O466" s="10">
        <v>69.7</v>
      </c>
      <c r="P466" s="10">
        <v>69.72</v>
      </c>
      <c r="Q466" s="10">
        <v>69.73</v>
      </c>
      <c r="R466" s="10">
        <v>69.739999999999995</v>
      </c>
      <c r="S466" s="10">
        <v>69.75</v>
      </c>
      <c r="T466" s="10">
        <v>69.73</v>
      </c>
      <c r="U466" s="10">
        <v>69.67</v>
      </c>
      <c r="V466" s="10">
        <v>69.55</v>
      </c>
      <c r="W466" s="10">
        <v>69.37</v>
      </c>
      <c r="X466" s="10">
        <v>69.150000000000006</v>
      </c>
      <c r="Y466" s="10">
        <v>68.900000000000006</v>
      </c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</row>
    <row r="467" spans="1:147" x14ac:dyDescent="0.3">
      <c r="A467" s="9">
        <f>DATE(2018, 10, 18)</f>
        <v>43391</v>
      </c>
      <c r="B467" s="10">
        <v>79.290000000000006</v>
      </c>
      <c r="C467" s="10">
        <v>78.75</v>
      </c>
      <c r="D467" s="10">
        <v>78.59</v>
      </c>
      <c r="E467" s="10">
        <v>78.459999999999994</v>
      </c>
      <c r="F467" s="10">
        <v>78.31</v>
      </c>
      <c r="G467" s="10">
        <v>78.17</v>
      </c>
      <c r="H467" s="10">
        <v>77.98</v>
      </c>
      <c r="I467" s="10">
        <v>77.73</v>
      </c>
      <c r="J467" s="10">
        <v>77.45</v>
      </c>
      <c r="K467" s="10">
        <v>77.14</v>
      </c>
      <c r="L467" s="10">
        <v>76.819999999999993</v>
      </c>
      <c r="M467" s="10">
        <v>76.510000000000005</v>
      </c>
      <c r="N467" s="10">
        <v>68.650000000000006</v>
      </c>
      <c r="O467" s="10">
        <v>68.709999999999994</v>
      </c>
      <c r="P467" s="10">
        <v>68.75</v>
      </c>
      <c r="Q467" s="10">
        <v>68.760000000000005</v>
      </c>
      <c r="R467" s="10">
        <v>68.78</v>
      </c>
      <c r="S467" s="10">
        <v>68.790000000000006</v>
      </c>
      <c r="T467" s="10">
        <v>68.78</v>
      </c>
      <c r="U467" s="10">
        <v>68.739999999999995</v>
      </c>
      <c r="V467" s="10">
        <v>68.64</v>
      </c>
      <c r="W467" s="10">
        <v>68.48</v>
      </c>
      <c r="X467" s="10">
        <v>68.27</v>
      </c>
      <c r="Y467" s="10">
        <v>68.03</v>
      </c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</row>
    <row r="468" spans="1:147" x14ac:dyDescent="0.3">
      <c r="A468" s="9">
        <f>DATE(2018, 10, 19)</f>
        <v>43392</v>
      </c>
      <c r="B468" s="10">
        <v>79.78</v>
      </c>
      <c r="C468" s="10">
        <v>79.260000000000005</v>
      </c>
      <c r="D468" s="10">
        <v>79.11</v>
      </c>
      <c r="E468" s="10">
        <v>78.97</v>
      </c>
      <c r="F468" s="10">
        <v>78.81</v>
      </c>
      <c r="G468" s="10">
        <v>78.67</v>
      </c>
      <c r="H468" s="10">
        <v>78.47</v>
      </c>
      <c r="I468" s="10">
        <v>78.209999999999994</v>
      </c>
      <c r="J468" s="10">
        <v>77.92</v>
      </c>
      <c r="K468" s="10">
        <v>77.62</v>
      </c>
      <c r="L468" s="10">
        <v>77.31</v>
      </c>
      <c r="M468" s="10">
        <v>77.010000000000005</v>
      </c>
      <c r="N468" s="10">
        <v>69.12</v>
      </c>
      <c r="O468" s="10">
        <v>69.28</v>
      </c>
      <c r="P468" s="10">
        <v>69.349999999999994</v>
      </c>
      <c r="Q468" s="10">
        <v>69.39</v>
      </c>
      <c r="R468" s="10">
        <v>69.430000000000007</v>
      </c>
      <c r="S468" s="10">
        <v>69.459999999999994</v>
      </c>
      <c r="T468" s="10">
        <v>69.459999999999994</v>
      </c>
      <c r="U468" s="10">
        <v>69.42</v>
      </c>
      <c r="V468" s="10">
        <v>69.31</v>
      </c>
      <c r="W468" s="10">
        <v>69.150000000000006</v>
      </c>
      <c r="X468" s="10">
        <v>68.959999999999994</v>
      </c>
      <c r="Y468" s="10">
        <v>68.72</v>
      </c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</row>
    <row r="469" spans="1:147" x14ac:dyDescent="0.3">
      <c r="A469" s="9">
        <f>DATE(2018, 10, 22)</f>
        <v>43395</v>
      </c>
      <c r="B469" s="10">
        <v>79.83</v>
      </c>
      <c r="C469" s="10">
        <v>79.44</v>
      </c>
      <c r="D469" s="10">
        <v>79.33</v>
      </c>
      <c r="E469" s="10">
        <v>79.23</v>
      </c>
      <c r="F469" s="10">
        <v>79.12</v>
      </c>
      <c r="G469" s="10">
        <v>78.989999999999995</v>
      </c>
      <c r="H469" s="10">
        <v>78.8</v>
      </c>
      <c r="I469" s="10">
        <v>78.55</v>
      </c>
      <c r="J469" s="10">
        <v>78.28</v>
      </c>
      <c r="K469" s="10">
        <v>77.989999999999995</v>
      </c>
      <c r="L469" s="10">
        <v>77.680000000000007</v>
      </c>
      <c r="M469" s="10">
        <v>77.39</v>
      </c>
      <c r="N469" s="10">
        <v>69.17</v>
      </c>
      <c r="O469" s="10">
        <v>69.36</v>
      </c>
      <c r="P469" s="10">
        <v>69.489999999999995</v>
      </c>
      <c r="Q469" s="10">
        <v>69.569999999999993</v>
      </c>
      <c r="R469" s="10">
        <v>69.67</v>
      </c>
      <c r="S469" s="10">
        <v>69.75</v>
      </c>
      <c r="T469" s="10">
        <v>69.8</v>
      </c>
      <c r="U469" s="10">
        <v>69.8</v>
      </c>
      <c r="V469" s="10">
        <v>69.739999999999995</v>
      </c>
      <c r="W469" s="10">
        <v>69.62</v>
      </c>
      <c r="X469" s="10">
        <v>69.44</v>
      </c>
      <c r="Y469" s="10">
        <v>69.239999999999995</v>
      </c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</row>
    <row r="470" spans="1:147" x14ac:dyDescent="0.3">
      <c r="A470" s="9">
        <f>DATE(2018, 10, 23)</f>
        <v>43396</v>
      </c>
      <c r="B470" s="10">
        <v>76.44</v>
      </c>
      <c r="C470" s="10">
        <v>76.150000000000006</v>
      </c>
      <c r="D470" s="10">
        <v>76.099999999999994</v>
      </c>
      <c r="E470" s="10">
        <v>76.05</v>
      </c>
      <c r="F470" s="10">
        <v>76</v>
      </c>
      <c r="G470" s="10">
        <v>75.95</v>
      </c>
      <c r="H470" s="10">
        <v>75.84</v>
      </c>
      <c r="I470" s="10">
        <v>75.66</v>
      </c>
      <c r="J470" s="10">
        <v>75.45</v>
      </c>
      <c r="K470" s="10">
        <v>75.22</v>
      </c>
      <c r="L470" s="10">
        <v>74.97</v>
      </c>
      <c r="M470" s="10">
        <v>74.73</v>
      </c>
      <c r="N470" s="10">
        <v>66.430000000000007</v>
      </c>
      <c r="O470" s="10">
        <v>66.62</v>
      </c>
      <c r="P470" s="10">
        <v>66.760000000000005</v>
      </c>
      <c r="Q470" s="10">
        <v>66.89</v>
      </c>
      <c r="R470" s="10">
        <v>67</v>
      </c>
      <c r="S470" s="10">
        <v>67.069999999999993</v>
      </c>
      <c r="T470" s="10">
        <v>67.08</v>
      </c>
      <c r="U470" s="10">
        <v>67.040000000000006</v>
      </c>
      <c r="V470" s="10">
        <v>66.94</v>
      </c>
      <c r="W470" s="10">
        <v>66.8</v>
      </c>
      <c r="X470" s="10">
        <v>66.61</v>
      </c>
      <c r="Y470" s="10">
        <v>66.42</v>
      </c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</row>
    <row r="471" spans="1:147" x14ac:dyDescent="0.3">
      <c r="A471" s="9">
        <f>DATE(2018, 10, 24)</f>
        <v>43397</v>
      </c>
      <c r="B471" s="10">
        <v>76.17</v>
      </c>
      <c r="C471" s="10">
        <v>76.17</v>
      </c>
      <c r="D471" s="10">
        <v>76.2</v>
      </c>
      <c r="E471" s="10">
        <v>76.2</v>
      </c>
      <c r="F471" s="10">
        <v>76.17</v>
      </c>
      <c r="G471" s="10">
        <v>76.14</v>
      </c>
      <c r="H471" s="10">
        <v>76.03</v>
      </c>
      <c r="I471" s="10">
        <v>75.86</v>
      </c>
      <c r="J471" s="10">
        <v>75.66</v>
      </c>
      <c r="K471" s="10">
        <v>75.430000000000007</v>
      </c>
      <c r="L471" s="10">
        <v>75.180000000000007</v>
      </c>
      <c r="M471" s="10">
        <v>74.94</v>
      </c>
      <c r="N471" s="10">
        <v>66.819999999999993</v>
      </c>
      <c r="O471" s="10">
        <v>66.959999999999994</v>
      </c>
      <c r="P471" s="10">
        <v>67.06</v>
      </c>
      <c r="Q471" s="10">
        <v>67.16</v>
      </c>
      <c r="R471" s="10">
        <v>67.25</v>
      </c>
      <c r="S471" s="10">
        <v>67.3</v>
      </c>
      <c r="T471" s="10">
        <v>67.290000000000006</v>
      </c>
      <c r="U471" s="10">
        <v>67.239999999999995</v>
      </c>
      <c r="V471" s="10">
        <v>67.13</v>
      </c>
      <c r="W471" s="10">
        <v>66.98</v>
      </c>
      <c r="X471" s="10">
        <v>66.8</v>
      </c>
      <c r="Y471" s="10">
        <v>66.599999999999994</v>
      </c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</row>
    <row r="472" spans="1:147" x14ac:dyDescent="0.3">
      <c r="A472" s="9">
        <f>DATE(2018, 10, 25)</f>
        <v>43398</v>
      </c>
      <c r="B472" s="10">
        <v>76.89</v>
      </c>
      <c r="C472" s="10">
        <v>76.88</v>
      </c>
      <c r="D472" s="10">
        <v>76.86</v>
      </c>
      <c r="E472" s="10">
        <v>76.8</v>
      </c>
      <c r="F472" s="10">
        <v>76.709999999999994</v>
      </c>
      <c r="G472" s="10">
        <v>76.64</v>
      </c>
      <c r="H472" s="10">
        <v>76.5</v>
      </c>
      <c r="I472" s="10">
        <v>76.33</v>
      </c>
      <c r="J472" s="10">
        <v>76.12</v>
      </c>
      <c r="K472" s="10">
        <v>75.89</v>
      </c>
      <c r="L472" s="10">
        <v>75.64</v>
      </c>
      <c r="M472" s="10">
        <v>75.41</v>
      </c>
      <c r="N472" s="10">
        <v>67.33</v>
      </c>
      <c r="O472" s="10">
        <v>67.44</v>
      </c>
      <c r="P472" s="10">
        <v>67.510000000000005</v>
      </c>
      <c r="Q472" s="10">
        <v>67.58</v>
      </c>
      <c r="R472" s="10">
        <v>67.67</v>
      </c>
      <c r="S472" s="10">
        <v>67.72</v>
      </c>
      <c r="T472" s="10">
        <v>67.72</v>
      </c>
      <c r="U472" s="10">
        <v>67.66</v>
      </c>
      <c r="V472" s="10">
        <v>67.53</v>
      </c>
      <c r="W472" s="10">
        <v>67.37</v>
      </c>
      <c r="X472" s="10">
        <v>67.19</v>
      </c>
      <c r="Y472" s="10">
        <v>67.010000000000005</v>
      </c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</row>
    <row r="473" spans="1:147" x14ac:dyDescent="0.3">
      <c r="A473" s="9">
        <f>DATE(2018, 10, 26)</f>
        <v>43399</v>
      </c>
      <c r="B473" s="10">
        <v>77.62</v>
      </c>
      <c r="C473" s="10">
        <v>77.66</v>
      </c>
      <c r="D473" s="10">
        <v>77.61</v>
      </c>
      <c r="E473" s="10">
        <v>77.53</v>
      </c>
      <c r="F473" s="10">
        <v>77.41</v>
      </c>
      <c r="G473" s="10">
        <v>77.28</v>
      </c>
      <c r="H473" s="10">
        <v>77.099999999999994</v>
      </c>
      <c r="I473" s="10">
        <v>76.900000000000006</v>
      </c>
      <c r="J473" s="10">
        <v>76.67</v>
      </c>
      <c r="K473" s="10">
        <v>76.42</v>
      </c>
      <c r="L473" s="10">
        <v>76.16</v>
      </c>
      <c r="M473" s="10">
        <v>75.92</v>
      </c>
      <c r="N473" s="10">
        <v>67.59</v>
      </c>
      <c r="O473" s="10">
        <v>67.75</v>
      </c>
      <c r="P473" s="10">
        <v>67.84</v>
      </c>
      <c r="Q473" s="10">
        <v>67.930000000000007</v>
      </c>
      <c r="R473" s="10">
        <v>68.010000000000005</v>
      </c>
      <c r="S473" s="10">
        <v>68.05</v>
      </c>
      <c r="T473" s="10">
        <v>68.040000000000006</v>
      </c>
      <c r="U473" s="10">
        <v>67.98</v>
      </c>
      <c r="V473" s="10">
        <v>67.86</v>
      </c>
      <c r="W473" s="10">
        <v>67.709999999999994</v>
      </c>
      <c r="X473" s="10">
        <v>67.540000000000006</v>
      </c>
      <c r="Y473" s="10">
        <v>67.37</v>
      </c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</row>
    <row r="474" spans="1:147" x14ac:dyDescent="0.3">
      <c r="A474" s="9">
        <f>DATE(2018, 10, 29)</f>
        <v>43402</v>
      </c>
      <c r="B474" s="10">
        <v>77.34</v>
      </c>
      <c r="C474" s="10">
        <v>77.37</v>
      </c>
      <c r="D474" s="10">
        <v>77.33</v>
      </c>
      <c r="E474" s="10">
        <v>77.3</v>
      </c>
      <c r="F474" s="10">
        <v>77.22</v>
      </c>
      <c r="G474" s="10">
        <v>77.12</v>
      </c>
      <c r="H474" s="10">
        <v>76.959999999999994</v>
      </c>
      <c r="I474" s="10">
        <v>76.77</v>
      </c>
      <c r="J474" s="10">
        <v>76.540000000000006</v>
      </c>
      <c r="K474" s="10">
        <v>76.31</v>
      </c>
      <c r="L474" s="10">
        <v>76.06</v>
      </c>
      <c r="M474" s="10">
        <v>75.84</v>
      </c>
      <c r="N474" s="10">
        <v>67.040000000000006</v>
      </c>
      <c r="O474" s="10">
        <v>67.209999999999994</v>
      </c>
      <c r="P474" s="10">
        <v>67.34</v>
      </c>
      <c r="Q474" s="10">
        <v>67.48</v>
      </c>
      <c r="R474" s="10">
        <v>67.61</v>
      </c>
      <c r="S474" s="10">
        <v>67.7</v>
      </c>
      <c r="T474" s="10">
        <v>67.739999999999995</v>
      </c>
      <c r="U474" s="10">
        <v>67.72</v>
      </c>
      <c r="V474" s="10">
        <v>67.64</v>
      </c>
      <c r="W474" s="10">
        <v>67.52</v>
      </c>
      <c r="X474" s="10">
        <v>67.37</v>
      </c>
      <c r="Y474" s="10">
        <v>67.22</v>
      </c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</row>
    <row r="475" spans="1:147" x14ac:dyDescent="0.3">
      <c r="A475" s="9">
        <f>DATE(2018, 10, 30)</f>
        <v>43403</v>
      </c>
      <c r="B475" s="10">
        <v>75.91</v>
      </c>
      <c r="C475" s="10">
        <v>75.95</v>
      </c>
      <c r="D475" s="10">
        <v>75.930000000000007</v>
      </c>
      <c r="E475" s="10">
        <v>75.930000000000007</v>
      </c>
      <c r="F475" s="10">
        <v>75.87</v>
      </c>
      <c r="G475" s="10">
        <v>75.790000000000006</v>
      </c>
      <c r="H475" s="10">
        <v>75.64</v>
      </c>
      <c r="I475" s="10">
        <v>75.459999999999994</v>
      </c>
      <c r="J475" s="10">
        <v>75.239999999999995</v>
      </c>
      <c r="K475" s="10">
        <v>75.03</v>
      </c>
      <c r="L475" s="10">
        <v>74.790000000000006</v>
      </c>
      <c r="M475" s="10">
        <v>74.569999999999993</v>
      </c>
      <c r="N475" s="10">
        <v>66.180000000000007</v>
      </c>
      <c r="O475" s="10">
        <v>66.31</v>
      </c>
      <c r="P475" s="10">
        <v>66.42</v>
      </c>
      <c r="Q475" s="10">
        <v>66.55</v>
      </c>
      <c r="R475" s="10">
        <v>66.67</v>
      </c>
      <c r="S475" s="10">
        <v>66.760000000000005</v>
      </c>
      <c r="T475" s="10">
        <v>66.790000000000006</v>
      </c>
      <c r="U475" s="10">
        <v>66.760000000000005</v>
      </c>
      <c r="V475" s="10">
        <v>66.67</v>
      </c>
      <c r="W475" s="10">
        <v>66.53</v>
      </c>
      <c r="X475" s="10">
        <v>66.37</v>
      </c>
      <c r="Y475" s="10">
        <v>66.209999999999994</v>
      </c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</row>
    <row r="476" spans="1:147" x14ac:dyDescent="0.3">
      <c r="A476" s="9">
        <f>DATE(2018, 10, 31)</f>
        <v>43404</v>
      </c>
      <c r="B476" s="10">
        <v>75.47</v>
      </c>
      <c r="C476" s="10">
        <v>75.040000000000006</v>
      </c>
      <c r="D476" s="10">
        <v>75.06</v>
      </c>
      <c r="E476" s="10">
        <v>75.09</v>
      </c>
      <c r="F476" s="10">
        <v>75.08</v>
      </c>
      <c r="G476" s="10">
        <v>75.05</v>
      </c>
      <c r="H476" s="10">
        <v>74.95</v>
      </c>
      <c r="I476" s="10">
        <v>74.81</v>
      </c>
      <c r="J476" s="10">
        <v>74.63</v>
      </c>
      <c r="K476" s="10">
        <v>74.44</v>
      </c>
      <c r="L476" s="10">
        <v>74.22</v>
      </c>
      <c r="M476" s="10">
        <v>74.03</v>
      </c>
      <c r="N476" s="10">
        <v>65.31</v>
      </c>
      <c r="O476" s="10">
        <v>65.44</v>
      </c>
      <c r="P476" s="10">
        <v>65.58</v>
      </c>
      <c r="Q476" s="10">
        <v>65.73</v>
      </c>
      <c r="R476" s="10">
        <v>65.88</v>
      </c>
      <c r="S476" s="10">
        <v>65.989999999999995</v>
      </c>
      <c r="T476" s="10">
        <v>66.05</v>
      </c>
      <c r="U476" s="10">
        <v>66.06</v>
      </c>
      <c r="V476" s="10">
        <v>66.010000000000005</v>
      </c>
      <c r="W476" s="10">
        <v>65.91</v>
      </c>
      <c r="X476" s="10">
        <v>65.78</v>
      </c>
      <c r="Y476" s="10">
        <v>65.64</v>
      </c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</row>
    <row r="477" spans="1:147" x14ac:dyDescent="0.3">
      <c r="A477" s="9">
        <f>DATE(2018, 11, 1)</f>
        <v>43405</v>
      </c>
      <c r="B477" s="10">
        <v>72.89</v>
      </c>
      <c r="C477" s="10">
        <v>72.959999999999994</v>
      </c>
      <c r="D477" s="10">
        <v>73.040000000000006</v>
      </c>
      <c r="E477" s="10">
        <v>73.06</v>
      </c>
      <c r="F477" s="10">
        <v>73.040000000000006</v>
      </c>
      <c r="G477" s="10">
        <v>72.959999999999994</v>
      </c>
      <c r="H477" s="10">
        <v>72.84</v>
      </c>
      <c r="I477" s="10">
        <v>72.680000000000007</v>
      </c>
      <c r="J477" s="10">
        <v>72.52</v>
      </c>
      <c r="K477" s="10">
        <v>72.34</v>
      </c>
      <c r="L477" s="10">
        <v>72.17</v>
      </c>
      <c r="M477" s="10">
        <v>71.959999999999994</v>
      </c>
      <c r="N477" s="10">
        <v>63.69</v>
      </c>
      <c r="O477" s="10">
        <v>63.81</v>
      </c>
      <c r="P477" s="10">
        <v>63.92</v>
      </c>
      <c r="Q477" s="10">
        <v>64.06</v>
      </c>
      <c r="R477" s="10">
        <v>64.2</v>
      </c>
      <c r="S477" s="10">
        <v>64.319999999999993</v>
      </c>
      <c r="T477" s="10">
        <v>64.39</v>
      </c>
      <c r="U477" s="10">
        <v>64.41</v>
      </c>
      <c r="V477" s="10">
        <v>64.37</v>
      </c>
      <c r="W477" s="10">
        <v>64.28</v>
      </c>
      <c r="X477" s="10">
        <v>64.16</v>
      </c>
      <c r="Y477" s="10">
        <v>64.03</v>
      </c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</row>
    <row r="478" spans="1:147" x14ac:dyDescent="0.3">
      <c r="A478" s="9">
        <f>DATE(2018, 11, 2)</f>
        <v>43406</v>
      </c>
      <c r="B478" s="10">
        <v>72.83</v>
      </c>
      <c r="C478" s="10">
        <v>72.83</v>
      </c>
      <c r="D478" s="10">
        <v>72.89</v>
      </c>
      <c r="E478" s="10">
        <v>72.900000000000006</v>
      </c>
      <c r="F478" s="10">
        <v>72.89</v>
      </c>
      <c r="G478" s="10">
        <v>72.81</v>
      </c>
      <c r="H478" s="10">
        <v>72.7</v>
      </c>
      <c r="I478" s="10">
        <v>72.56</v>
      </c>
      <c r="J478" s="10">
        <v>72.41</v>
      </c>
      <c r="K478" s="10">
        <v>72.239999999999995</v>
      </c>
      <c r="L478" s="10">
        <v>72.08</v>
      </c>
      <c r="M478" s="10">
        <v>71.87</v>
      </c>
      <c r="N478" s="10">
        <v>63.14</v>
      </c>
      <c r="O478" s="10">
        <v>63.28</v>
      </c>
      <c r="P478" s="10">
        <v>63.41</v>
      </c>
      <c r="Q478" s="10">
        <v>63.56</v>
      </c>
      <c r="R478" s="10">
        <v>63.71</v>
      </c>
      <c r="S478" s="10">
        <v>63.84</v>
      </c>
      <c r="T478" s="10">
        <v>63.94</v>
      </c>
      <c r="U478" s="10">
        <v>63.98</v>
      </c>
      <c r="V478" s="10">
        <v>63.98</v>
      </c>
      <c r="W478" s="10">
        <v>63.92</v>
      </c>
      <c r="X478" s="10">
        <v>63.83</v>
      </c>
      <c r="Y478" s="10">
        <v>63.72</v>
      </c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</row>
    <row r="479" spans="1:147" x14ac:dyDescent="0.3">
      <c r="A479" s="9">
        <f>DATE(2018, 11, 5)</f>
        <v>43409</v>
      </c>
      <c r="B479" s="10">
        <v>73.17</v>
      </c>
      <c r="C479" s="10">
        <v>73.099999999999994</v>
      </c>
      <c r="D479" s="10">
        <v>73.13</v>
      </c>
      <c r="E479" s="10">
        <v>73.13</v>
      </c>
      <c r="F479" s="10">
        <v>73.12</v>
      </c>
      <c r="G479" s="10">
        <v>73.05</v>
      </c>
      <c r="H479" s="10">
        <v>72.95</v>
      </c>
      <c r="I479" s="10">
        <v>72.819999999999993</v>
      </c>
      <c r="J479" s="10">
        <v>72.680000000000007</v>
      </c>
      <c r="K479" s="10">
        <v>72.52</v>
      </c>
      <c r="L479" s="10">
        <v>72.37</v>
      </c>
      <c r="M479" s="10">
        <v>72.180000000000007</v>
      </c>
      <c r="N479" s="10">
        <v>63.1</v>
      </c>
      <c r="O479" s="10">
        <v>63.21</v>
      </c>
      <c r="P479" s="10">
        <v>63.31</v>
      </c>
      <c r="Q479" s="10">
        <v>63.45</v>
      </c>
      <c r="R479" s="10">
        <v>63.6</v>
      </c>
      <c r="S479" s="10">
        <v>63.75</v>
      </c>
      <c r="T479" s="10">
        <v>63.87</v>
      </c>
      <c r="U479" s="10">
        <v>63.93</v>
      </c>
      <c r="V479" s="10">
        <v>63.94</v>
      </c>
      <c r="W479" s="10">
        <v>63.91</v>
      </c>
      <c r="X479" s="10">
        <v>63.85</v>
      </c>
      <c r="Y479" s="10">
        <v>63.77</v>
      </c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</row>
    <row r="480" spans="1:147" x14ac:dyDescent="0.3">
      <c r="A480" s="9">
        <f>DATE(2018, 11, 6)</f>
        <v>43410</v>
      </c>
      <c r="B480" s="10">
        <v>72.13</v>
      </c>
      <c r="C480" s="10">
        <v>72.16</v>
      </c>
      <c r="D480" s="10">
        <v>72.25</v>
      </c>
      <c r="E480" s="10">
        <v>72.31</v>
      </c>
      <c r="F480" s="10">
        <v>72.36</v>
      </c>
      <c r="G480" s="10">
        <v>72.349999999999994</v>
      </c>
      <c r="H480" s="10">
        <v>72.290000000000006</v>
      </c>
      <c r="I480" s="10">
        <v>72.19</v>
      </c>
      <c r="J480" s="10">
        <v>72.08</v>
      </c>
      <c r="K480" s="10">
        <v>71.95</v>
      </c>
      <c r="L480" s="10">
        <v>71.83</v>
      </c>
      <c r="M480" s="10">
        <v>71.67</v>
      </c>
      <c r="N480" s="10">
        <v>62.21</v>
      </c>
      <c r="O480" s="10">
        <v>62.34</v>
      </c>
      <c r="P480" s="10">
        <v>62.46</v>
      </c>
      <c r="Q480" s="10">
        <v>62.6</v>
      </c>
      <c r="R480" s="10">
        <v>62.77</v>
      </c>
      <c r="S480" s="10">
        <v>62.94</v>
      </c>
      <c r="T480" s="10">
        <v>63.08</v>
      </c>
      <c r="U480" s="10">
        <v>63.17</v>
      </c>
      <c r="V480" s="10">
        <v>63.21</v>
      </c>
      <c r="W480" s="10">
        <v>63.22</v>
      </c>
      <c r="X480" s="10">
        <v>63.2</v>
      </c>
      <c r="Y480" s="10">
        <v>63.16</v>
      </c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</row>
    <row r="481" spans="1:147" x14ac:dyDescent="0.3">
      <c r="A481" s="9">
        <f>DATE(2018, 11, 7)</f>
        <v>43411</v>
      </c>
      <c r="B481" s="10">
        <v>72.069999999999993</v>
      </c>
      <c r="C481" s="10">
        <v>72.13</v>
      </c>
      <c r="D481" s="10">
        <v>72.239999999999995</v>
      </c>
      <c r="E481" s="10">
        <v>72.36</v>
      </c>
      <c r="F481" s="10">
        <v>72.48</v>
      </c>
      <c r="G481" s="10">
        <v>72.540000000000006</v>
      </c>
      <c r="H481" s="10">
        <v>72.540000000000006</v>
      </c>
      <c r="I481" s="10">
        <v>72.489999999999995</v>
      </c>
      <c r="J481" s="10">
        <v>72.42</v>
      </c>
      <c r="K481" s="10">
        <v>72.33</v>
      </c>
      <c r="L481" s="10">
        <v>72.260000000000005</v>
      </c>
      <c r="M481" s="10">
        <v>72.150000000000006</v>
      </c>
      <c r="N481" s="10">
        <v>61.67</v>
      </c>
      <c r="O481" s="10">
        <v>61.82</v>
      </c>
      <c r="P481" s="10">
        <v>62</v>
      </c>
      <c r="Q481" s="10">
        <v>62.2</v>
      </c>
      <c r="R481" s="10">
        <v>62.42</v>
      </c>
      <c r="S481" s="10">
        <v>62.66</v>
      </c>
      <c r="T481" s="10">
        <v>62.89</v>
      </c>
      <c r="U481" s="10">
        <v>63.08</v>
      </c>
      <c r="V481" s="10">
        <v>63.23</v>
      </c>
      <c r="W481" s="10">
        <v>63.33</v>
      </c>
      <c r="X481" s="10">
        <v>63.4</v>
      </c>
      <c r="Y481" s="10">
        <v>63.44</v>
      </c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</row>
    <row r="482" spans="1:147" x14ac:dyDescent="0.3">
      <c r="A482" s="9">
        <f>DATE(2018, 11, 8)</f>
        <v>43412</v>
      </c>
      <c r="B482" s="10">
        <v>70.650000000000006</v>
      </c>
      <c r="C482" s="10">
        <v>70.900000000000006</v>
      </c>
      <c r="D482" s="10">
        <v>71.11</v>
      </c>
      <c r="E482" s="10">
        <v>71.31</v>
      </c>
      <c r="F482" s="10">
        <v>71.489999999999995</v>
      </c>
      <c r="G482" s="10">
        <v>71.61</v>
      </c>
      <c r="H482" s="10">
        <v>71.650000000000006</v>
      </c>
      <c r="I482" s="10">
        <v>71.63</v>
      </c>
      <c r="J482" s="10">
        <v>71.569999999999993</v>
      </c>
      <c r="K482" s="10">
        <v>71.489999999999995</v>
      </c>
      <c r="L482" s="10">
        <v>71.41</v>
      </c>
      <c r="M482" s="10">
        <v>71.3</v>
      </c>
      <c r="N482" s="10">
        <v>60.67</v>
      </c>
      <c r="O482" s="10">
        <v>60.86</v>
      </c>
      <c r="P482" s="10">
        <v>61.07</v>
      </c>
      <c r="Q482" s="10">
        <v>61.29</v>
      </c>
      <c r="R482" s="10">
        <v>61.53</v>
      </c>
      <c r="S482" s="10">
        <v>61.77</v>
      </c>
      <c r="T482" s="10">
        <v>61.99</v>
      </c>
      <c r="U482" s="10">
        <v>62.18</v>
      </c>
      <c r="V482" s="10">
        <v>62.33</v>
      </c>
      <c r="W482" s="10">
        <v>62.44</v>
      </c>
      <c r="X482" s="10">
        <v>62.51</v>
      </c>
      <c r="Y482" s="10">
        <v>62.56</v>
      </c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</row>
    <row r="483" spans="1:147" x14ac:dyDescent="0.3">
      <c r="A483" s="9">
        <f>DATE(2018, 11, 9)</f>
        <v>43413</v>
      </c>
      <c r="B483" s="10">
        <v>70.180000000000007</v>
      </c>
      <c r="C483" s="10">
        <v>70.39</v>
      </c>
      <c r="D483" s="10">
        <v>70.61</v>
      </c>
      <c r="E483" s="10">
        <v>70.81</v>
      </c>
      <c r="F483" s="10">
        <v>70.989999999999995</v>
      </c>
      <c r="G483" s="10">
        <v>71.11</v>
      </c>
      <c r="H483" s="10">
        <v>71.13</v>
      </c>
      <c r="I483" s="10">
        <v>71.09</v>
      </c>
      <c r="J483" s="10">
        <v>71</v>
      </c>
      <c r="K483" s="10">
        <v>70.88</v>
      </c>
      <c r="L483" s="10">
        <v>70.77</v>
      </c>
      <c r="M483" s="10">
        <v>70.63</v>
      </c>
      <c r="N483" s="10">
        <v>60.19</v>
      </c>
      <c r="O483" s="10">
        <v>60.36</v>
      </c>
      <c r="P483" s="10">
        <v>60.56</v>
      </c>
      <c r="Q483" s="10">
        <v>60.75</v>
      </c>
      <c r="R483" s="10">
        <v>60.95</v>
      </c>
      <c r="S483" s="10">
        <v>61.16</v>
      </c>
      <c r="T483" s="10">
        <v>61.34</v>
      </c>
      <c r="U483" s="10">
        <v>61.48</v>
      </c>
      <c r="V483" s="10">
        <v>61.59</v>
      </c>
      <c r="W483" s="10">
        <v>61.67</v>
      </c>
      <c r="X483" s="10">
        <v>61.73</v>
      </c>
      <c r="Y483" s="10">
        <v>61.77</v>
      </c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</row>
    <row r="484" spans="1:147" x14ac:dyDescent="0.3">
      <c r="A484" s="9">
        <f>DATE(2018, 11, 12)</f>
        <v>43416</v>
      </c>
      <c r="B484" s="10">
        <v>70.12</v>
      </c>
      <c r="C484" s="10">
        <v>70.39</v>
      </c>
      <c r="D484" s="10">
        <v>70.599999999999994</v>
      </c>
      <c r="E484" s="10">
        <v>70.78</v>
      </c>
      <c r="F484" s="10">
        <v>70.94</v>
      </c>
      <c r="G484" s="10">
        <v>71.040000000000006</v>
      </c>
      <c r="H484" s="10">
        <v>71.040000000000006</v>
      </c>
      <c r="I484" s="10">
        <v>70.98</v>
      </c>
      <c r="J484" s="10">
        <v>70.87</v>
      </c>
      <c r="K484" s="10">
        <v>70.73</v>
      </c>
      <c r="L484" s="10">
        <v>70.59</v>
      </c>
      <c r="M484" s="10">
        <v>70.42</v>
      </c>
      <c r="N484" s="10">
        <v>59.93</v>
      </c>
      <c r="O484" s="10">
        <v>60.08</v>
      </c>
      <c r="P484" s="10">
        <v>60.28</v>
      </c>
      <c r="Q484" s="10">
        <v>60.49</v>
      </c>
      <c r="R484" s="10">
        <v>60.68</v>
      </c>
      <c r="S484" s="10">
        <v>60.89</v>
      </c>
      <c r="T484" s="10">
        <v>61.06</v>
      </c>
      <c r="U484" s="10">
        <v>61.2</v>
      </c>
      <c r="V484" s="10">
        <v>61.31</v>
      </c>
      <c r="W484" s="10">
        <v>61.38</v>
      </c>
      <c r="X484" s="10">
        <v>61.43</v>
      </c>
      <c r="Y484" s="10">
        <v>61.47</v>
      </c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</row>
    <row r="485" spans="1:147" x14ac:dyDescent="0.3">
      <c r="A485" s="9">
        <f>DATE(2018, 11, 13)</f>
        <v>43417</v>
      </c>
      <c r="B485" s="10">
        <v>65.47</v>
      </c>
      <c r="C485" s="10">
        <v>65.81</v>
      </c>
      <c r="D485" s="10">
        <v>66.08</v>
      </c>
      <c r="E485" s="10">
        <v>66.31</v>
      </c>
      <c r="F485" s="10">
        <v>66.52</v>
      </c>
      <c r="G485" s="10">
        <v>66.67</v>
      </c>
      <c r="H485" s="10">
        <v>66.73</v>
      </c>
      <c r="I485" s="10">
        <v>66.72</v>
      </c>
      <c r="J485" s="10">
        <v>66.66</v>
      </c>
      <c r="K485" s="10">
        <v>66.58</v>
      </c>
      <c r="L485" s="10">
        <v>66.489999999999995</v>
      </c>
      <c r="M485" s="10">
        <v>66.38</v>
      </c>
      <c r="N485" s="10">
        <v>55.69</v>
      </c>
      <c r="O485" s="10">
        <v>55.84</v>
      </c>
      <c r="P485" s="10">
        <v>56.05</v>
      </c>
      <c r="Q485" s="10">
        <v>56.28</v>
      </c>
      <c r="R485" s="10">
        <v>56.48</v>
      </c>
      <c r="S485" s="10">
        <v>56.68</v>
      </c>
      <c r="T485" s="10">
        <v>56.87</v>
      </c>
      <c r="U485" s="10">
        <v>57.03</v>
      </c>
      <c r="V485" s="10">
        <v>57.17</v>
      </c>
      <c r="W485" s="10">
        <v>57.28</v>
      </c>
      <c r="X485" s="10">
        <v>57.37</v>
      </c>
      <c r="Y485" s="10">
        <v>57.45</v>
      </c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</row>
    <row r="486" spans="1:147" x14ac:dyDescent="0.3">
      <c r="A486" s="9">
        <f>DATE(2018, 11, 14)</f>
        <v>43418</v>
      </c>
      <c r="B486" s="10">
        <v>66.12</v>
      </c>
      <c r="C486" s="10">
        <v>66.47</v>
      </c>
      <c r="D486" s="10">
        <v>66.739999999999995</v>
      </c>
      <c r="E486" s="10">
        <v>66.959999999999994</v>
      </c>
      <c r="F486" s="10">
        <v>67.16</v>
      </c>
      <c r="G486" s="10">
        <v>67.3</v>
      </c>
      <c r="H486" s="10">
        <v>67.34</v>
      </c>
      <c r="I486" s="10">
        <v>67.319999999999993</v>
      </c>
      <c r="J486" s="10">
        <v>67.239999999999995</v>
      </c>
      <c r="K486" s="10">
        <v>67.16</v>
      </c>
      <c r="L486" s="10">
        <v>67.08</v>
      </c>
      <c r="M486" s="10">
        <v>66.97</v>
      </c>
      <c r="N486" s="10">
        <v>56.25</v>
      </c>
      <c r="O486" s="10">
        <v>56.44</v>
      </c>
      <c r="P486" s="10">
        <v>56.67</v>
      </c>
      <c r="Q486" s="10">
        <v>56.89</v>
      </c>
      <c r="R486" s="10">
        <v>57.09</v>
      </c>
      <c r="S486" s="10">
        <v>57.29</v>
      </c>
      <c r="T486" s="10">
        <v>57.48</v>
      </c>
      <c r="U486" s="10">
        <v>57.63</v>
      </c>
      <c r="V486" s="10">
        <v>57.76</v>
      </c>
      <c r="W486" s="10">
        <v>57.88</v>
      </c>
      <c r="X486" s="10">
        <v>57.98</v>
      </c>
      <c r="Y486" s="10">
        <v>58.06</v>
      </c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</row>
    <row r="487" spans="1:147" x14ac:dyDescent="0.3">
      <c r="A487" s="9">
        <f>DATE(2018, 11, 15)</f>
        <v>43419</v>
      </c>
      <c r="B487" s="10">
        <v>66.62</v>
      </c>
      <c r="C487" s="10">
        <v>66.89</v>
      </c>
      <c r="D487" s="10">
        <v>67.06</v>
      </c>
      <c r="E487" s="10">
        <v>67.2</v>
      </c>
      <c r="F487" s="10">
        <v>67.33</v>
      </c>
      <c r="G487" s="10">
        <v>67.41</v>
      </c>
      <c r="H487" s="10">
        <v>67.39</v>
      </c>
      <c r="I487" s="10">
        <v>67.31</v>
      </c>
      <c r="J487" s="10">
        <v>67.19</v>
      </c>
      <c r="K487" s="10">
        <v>67.06</v>
      </c>
      <c r="L487" s="10">
        <v>66.94</v>
      </c>
      <c r="M487" s="10">
        <v>66.790000000000006</v>
      </c>
      <c r="N487" s="10">
        <v>56.46</v>
      </c>
      <c r="O487" s="10">
        <v>56.68</v>
      </c>
      <c r="P487" s="10">
        <v>56.9</v>
      </c>
      <c r="Q487" s="10">
        <v>57.1</v>
      </c>
      <c r="R487" s="10">
        <v>57.28</v>
      </c>
      <c r="S487" s="10">
        <v>57.46</v>
      </c>
      <c r="T487" s="10">
        <v>57.61</v>
      </c>
      <c r="U487" s="10">
        <v>57.72</v>
      </c>
      <c r="V487" s="10">
        <v>57.81</v>
      </c>
      <c r="W487" s="10">
        <v>57.9</v>
      </c>
      <c r="X487" s="10">
        <v>57.96</v>
      </c>
      <c r="Y487" s="10">
        <v>58.01</v>
      </c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</row>
    <row r="488" spans="1:147" x14ac:dyDescent="0.3">
      <c r="A488" s="9">
        <f>DATE(2018, 11, 16)</f>
        <v>43420</v>
      </c>
      <c r="B488" s="10">
        <v>66.760000000000005</v>
      </c>
      <c r="C488" s="10">
        <v>67.03</v>
      </c>
      <c r="D488" s="10">
        <v>67.209999999999994</v>
      </c>
      <c r="E488" s="10">
        <v>67.34</v>
      </c>
      <c r="F488" s="10">
        <v>67.459999999999994</v>
      </c>
      <c r="G488" s="10">
        <v>67.52</v>
      </c>
      <c r="H488" s="10">
        <v>67.489999999999995</v>
      </c>
      <c r="I488" s="10">
        <v>67.38</v>
      </c>
      <c r="J488" s="10">
        <v>67.23</v>
      </c>
      <c r="K488" s="10">
        <v>67.09</v>
      </c>
      <c r="L488" s="10">
        <v>66.95</v>
      </c>
      <c r="M488" s="10">
        <v>66.790000000000006</v>
      </c>
      <c r="N488" s="10">
        <v>56.46</v>
      </c>
      <c r="O488" s="10">
        <v>56.68</v>
      </c>
      <c r="P488" s="10">
        <v>56.88</v>
      </c>
      <c r="Q488" s="10">
        <v>57.07</v>
      </c>
      <c r="R488" s="10">
        <v>57.25</v>
      </c>
      <c r="S488" s="10">
        <v>57.43</v>
      </c>
      <c r="T488" s="10">
        <v>57.58</v>
      </c>
      <c r="U488" s="10">
        <v>57.67</v>
      </c>
      <c r="V488" s="10">
        <v>57.76</v>
      </c>
      <c r="W488" s="10">
        <v>57.84</v>
      </c>
      <c r="X488" s="10">
        <v>57.9</v>
      </c>
      <c r="Y488" s="10">
        <v>57.94</v>
      </c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</row>
    <row r="489" spans="1:147" x14ac:dyDescent="0.3">
      <c r="A489" s="9">
        <f>DATE(2018, 11, 19)</f>
        <v>43423</v>
      </c>
      <c r="B489" s="10">
        <v>66.790000000000006</v>
      </c>
      <c r="C489" s="10">
        <v>67.08</v>
      </c>
      <c r="D489" s="10">
        <v>67.27</v>
      </c>
      <c r="E489" s="10">
        <v>67.400000000000006</v>
      </c>
      <c r="F489" s="10">
        <v>67.52</v>
      </c>
      <c r="G489" s="10">
        <v>67.569999999999993</v>
      </c>
      <c r="H489" s="10">
        <v>67.540000000000006</v>
      </c>
      <c r="I489" s="10">
        <v>67.430000000000007</v>
      </c>
      <c r="J489" s="10">
        <v>67.27</v>
      </c>
      <c r="K489" s="10">
        <v>67.11</v>
      </c>
      <c r="L489" s="10">
        <v>66.97</v>
      </c>
      <c r="M489" s="10">
        <v>66.81</v>
      </c>
      <c r="N489" s="10">
        <v>56.76</v>
      </c>
      <c r="O489" s="10">
        <v>57.2</v>
      </c>
      <c r="P489" s="10">
        <v>57.32</v>
      </c>
      <c r="Q489" s="10">
        <v>57.43</v>
      </c>
      <c r="R489" s="10">
        <v>57.54</v>
      </c>
      <c r="S489" s="10">
        <v>57.66</v>
      </c>
      <c r="T489" s="10">
        <v>57.76</v>
      </c>
      <c r="U489" s="10">
        <v>57.82</v>
      </c>
      <c r="V489" s="10">
        <v>57.86</v>
      </c>
      <c r="W489" s="10">
        <v>57.9</v>
      </c>
      <c r="X489" s="10">
        <v>57.94</v>
      </c>
      <c r="Y489" s="10">
        <v>57.96</v>
      </c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</row>
    <row r="490" spans="1:147" x14ac:dyDescent="0.3">
      <c r="A490" s="9">
        <f>DATE(2018, 11, 20)</f>
        <v>43424</v>
      </c>
      <c r="B490" s="10">
        <v>62.53</v>
      </c>
      <c r="C490" s="10">
        <v>62.84</v>
      </c>
      <c r="D490" s="10">
        <v>63.05</v>
      </c>
      <c r="E490" s="10">
        <v>63.21</v>
      </c>
      <c r="F490" s="10">
        <v>63.36</v>
      </c>
      <c r="G490" s="10">
        <v>63.44</v>
      </c>
      <c r="H490" s="10">
        <v>63.46</v>
      </c>
      <c r="I490" s="10">
        <v>63.4</v>
      </c>
      <c r="J490" s="10">
        <v>63.28</v>
      </c>
      <c r="K490" s="10">
        <v>63.17</v>
      </c>
      <c r="L490" s="10">
        <v>63.06</v>
      </c>
      <c r="M490" s="10">
        <v>62.94</v>
      </c>
      <c r="N490" s="10">
        <v>53.43</v>
      </c>
      <c r="O490" s="10">
        <v>53.57</v>
      </c>
      <c r="P490" s="10">
        <v>53.71</v>
      </c>
      <c r="Q490" s="10">
        <v>53.82</v>
      </c>
      <c r="R490" s="10">
        <v>53.93</v>
      </c>
      <c r="S490" s="10">
        <v>54</v>
      </c>
      <c r="T490" s="10">
        <v>54.04</v>
      </c>
      <c r="U490" s="10">
        <v>54.06</v>
      </c>
      <c r="V490" s="10">
        <v>54.09</v>
      </c>
      <c r="W490" s="10">
        <v>54.11</v>
      </c>
      <c r="X490" s="10">
        <v>54.12</v>
      </c>
      <c r="Y490" s="10">
        <v>54.12</v>
      </c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</row>
    <row r="491" spans="1:147" x14ac:dyDescent="0.3">
      <c r="A491" s="9">
        <f>DATE(2018, 11, 21)</f>
        <v>43425</v>
      </c>
      <c r="B491" s="10">
        <v>63.48</v>
      </c>
      <c r="C491" s="10">
        <v>63.83</v>
      </c>
      <c r="D491" s="10">
        <v>64.06</v>
      </c>
      <c r="E491" s="10">
        <v>64.239999999999995</v>
      </c>
      <c r="F491" s="10">
        <v>64.41</v>
      </c>
      <c r="G491" s="10">
        <v>64.53</v>
      </c>
      <c r="H491" s="10">
        <v>64.58</v>
      </c>
      <c r="I491" s="10">
        <v>64.55</v>
      </c>
      <c r="J491" s="10">
        <v>64.459999999999994</v>
      </c>
      <c r="K491" s="10">
        <v>64.37</v>
      </c>
      <c r="L491" s="10">
        <v>64.28</v>
      </c>
      <c r="M491" s="10">
        <v>64.180000000000007</v>
      </c>
      <c r="N491" s="10">
        <v>54.63</v>
      </c>
      <c r="O491" s="10">
        <v>54.8</v>
      </c>
      <c r="P491" s="10">
        <v>54.97</v>
      </c>
      <c r="Q491" s="10">
        <v>55.11</v>
      </c>
      <c r="R491" s="10">
        <v>55.24</v>
      </c>
      <c r="S491" s="10">
        <v>55.32</v>
      </c>
      <c r="T491" s="10">
        <v>55.37</v>
      </c>
      <c r="U491" s="10">
        <v>55.4</v>
      </c>
      <c r="V491" s="10">
        <v>55.44</v>
      </c>
      <c r="W491" s="10">
        <v>55.47</v>
      </c>
      <c r="X491" s="10">
        <v>55.49</v>
      </c>
      <c r="Y491" s="10">
        <v>55.5</v>
      </c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</row>
    <row r="492" spans="1:147" x14ac:dyDescent="0.3">
      <c r="A492" s="9">
        <f>DATE(2018, 11, 22)</f>
        <v>43426</v>
      </c>
      <c r="B492" s="10">
        <v>62.6</v>
      </c>
      <c r="C492" s="10">
        <v>62.88</v>
      </c>
      <c r="D492" s="10">
        <v>63.11</v>
      </c>
      <c r="E492" s="10">
        <v>63.3</v>
      </c>
      <c r="F492" s="10">
        <v>63.49</v>
      </c>
      <c r="G492" s="10">
        <v>63.63</v>
      </c>
      <c r="H492" s="10">
        <v>63.7</v>
      </c>
      <c r="I492" s="10">
        <v>63.69</v>
      </c>
      <c r="J492" s="10">
        <v>63.63</v>
      </c>
      <c r="K492" s="10">
        <v>63.57</v>
      </c>
      <c r="L492" s="10">
        <v>63.51</v>
      </c>
      <c r="M492" s="10">
        <v>63.44</v>
      </c>
      <c r="N492" s="10">
        <v>54.63</v>
      </c>
      <c r="O492" s="10">
        <v>54.8</v>
      </c>
      <c r="P492" s="10">
        <v>54.97</v>
      </c>
      <c r="Q492" s="10">
        <v>55.11</v>
      </c>
      <c r="R492" s="10">
        <v>55.24</v>
      </c>
      <c r="S492" s="10">
        <v>55.32</v>
      </c>
      <c r="T492" s="10">
        <v>55.37</v>
      </c>
      <c r="U492" s="10">
        <v>55.4</v>
      </c>
      <c r="V492" s="10">
        <v>55.44</v>
      </c>
      <c r="W492" s="10">
        <v>55.47</v>
      </c>
      <c r="X492" s="10">
        <v>55.49</v>
      </c>
      <c r="Y492" s="10">
        <v>55.5</v>
      </c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</row>
    <row r="493" spans="1:147" x14ac:dyDescent="0.3">
      <c r="A493" s="9">
        <f>DATE(2018, 11, 23)</f>
        <v>43427</v>
      </c>
      <c r="B493" s="10">
        <v>58.8</v>
      </c>
      <c r="C493" s="10">
        <v>59.04</v>
      </c>
      <c r="D493" s="10">
        <v>59.23</v>
      </c>
      <c r="E493" s="10">
        <v>59.42</v>
      </c>
      <c r="F493" s="10">
        <v>59.61</v>
      </c>
      <c r="G493" s="10">
        <v>59.78</v>
      </c>
      <c r="H493" s="10">
        <v>59.89</v>
      </c>
      <c r="I493" s="10">
        <v>59.93</v>
      </c>
      <c r="J493" s="10">
        <v>59.91</v>
      </c>
      <c r="K493" s="10">
        <v>59.89</v>
      </c>
      <c r="L493" s="10">
        <v>59.89</v>
      </c>
      <c r="M493" s="10">
        <v>59.86</v>
      </c>
      <c r="N493" s="10">
        <v>50.42</v>
      </c>
      <c r="O493" s="10">
        <v>50.59</v>
      </c>
      <c r="P493" s="10">
        <v>50.76</v>
      </c>
      <c r="Q493" s="10">
        <v>50.91</v>
      </c>
      <c r="R493" s="10">
        <v>51.06</v>
      </c>
      <c r="S493" s="10">
        <v>51.17</v>
      </c>
      <c r="T493" s="10">
        <v>51.26</v>
      </c>
      <c r="U493" s="10">
        <v>51.34</v>
      </c>
      <c r="V493" s="10">
        <v>51.43</v>
      </c>
      <c r="W493" s="10">
        <v>51.51</v>
      </c>
      <c r="X493" s="10">
        <v>51.59</v>
      </c>
      <c r="Y493" s="10">
        <v>51.66</v>
      </c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</row>
    <row r="494" spans="1:147" x14ac:dyDescent="0.3">
      <c r="A494" s="9">
        <f>DATE(2018, 11, 26)</f>
        <v>43430</v>
      </c>
      <c r="B494" s="10">
        <v>60.48</v>
      </c>
      <c r="C494" s="10">
        <v>60.56</v>
      </c>
      <c r="D494" s="10">
        <v>60.69</v>
      </c>
      <c r="E494" s="10">
        <v>60.83</v>
      </c>
      <c r="F494" s="10">
        <v>60.99</v>
      </c>
      <c r="G494" s="10">
        <v>61.14</v>
      </c>
      <c r="H494" s="10">
        <v>61.23</v>
      </c>
      <c r="I494" s="10">
        <v>61.24</v>
      </c>
      <c r="J494" s="10">
        <v>61.2</v>
      </c>
      <c r="K494" s="10">
        <v>61.16</v>
      </c>
      <c r="L494" s="10">
        <v>61.12</v>
      </c>
      <c r="M494" s="10">
        <v>61.06</v>
      </c>
      <c r="N494" s="10">
        <v>51.63</v>
      </c>
      <c r="O494" s="10">
        <v>51.8</v>
      </c>
      <c r="P494" s="10">
        <v>51.95</v>
      </c>
      <c r="Q494" s="10">
        <v>52.08</v>
      </c>
      <c r="R494" s="10">
        <v>52.23</v>
      </c>
      <c r="S494" s="10">
        <v>52.33</v>
      </c>
      <c r="T494" s="10">
        <v>52.41</v>
      </c>
      <c r="U494" s="10">
        <v>52.48</v>
      </c>
      <c r="V494" s="10">
        <v>52.56</v>
      </c>
      <c r="W494" s="10">
        <v>52.61</v>
      </c>
      <c r="X494" s="10">
        <v>52.66</v>
      </c>
      <c r="Y494" s="10">
        <v>52.71</v>
      </c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</row>
    <row r="495" spans="1:147" x14ac:dyDescent="0.3">
      <c r="A495" s="9">
        <f>DATE(2018, 11, 27)</f>
        <v>43431</v>
      </c>
      <c r="B495" s="10">
        <v>60.21</v>
      </c>
      <c r="C495" s="10">
        <v>60.4</v>
      </c>
      <c r="D495" s="10">
        <v>60.58</v>
      </c>
      <c r="E495" s="10">
        <v>60.73</v>
      </c>
      <c r="F495" s="10">
        <v>60.9</v>
      </c>
      <c r="G495" s="10">
        <v>61.05</v>
      </c>
      <c r="H495" s="10">
        <v>61.15</v>
      </c>
      <c r="I495" s="10">
        <v>61.19</v>
      </c>
      <c r="J495" s="10">
        <v>61.16</v>
      </c>
      <c r="K495" s="10">
        <v>61.13</v>
      </c>
      <c r="L495" s="10">
        <v>61.12</v>
      </c>
      <c r="M495" s="10">
        <v>61.08</v>
      </c>
      <c r="N495" s="10">
        <v>51.56</v>
      </c>
      <c r="O495" s="10">
        <v>51.73</v>
      </c>
      <c r="P495" s="10">
        <v>51.89</v>
      </c>
      <c r="Q495" s="10">
        <v>52.02</v>
      </c>
      <c r="R495" s="10">
        <v>52.17</v>
      </c>
      <c r="S495" s="10">
        <v>52.28</v>
      </c>
      <c r="T495" s="10">
        <v>52.38</v>
      </c>
      <c r="U495" s="10">
        <v>52.47</v>
      </c>
      <c r="V495" s="10">
        <v>52.57</v>
      </c>
      <c r="W495" s="10">
        <v>52.64</v>
      </c>
      <c r="X495" s="10">
        <v>52.72</v>
      </c>
      <c r="Y495" s="10">
        <v>52.79</v>
      </c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</row>
    <row r="496" spans="1:147" x14ac:dyDescent="0.3">
      <c r="A496" s="9">
        <f>DATE(2018, 11, 28)</f>
        <v>43432</v>
      </c>
      <c r="B496" s="10">
        <v>58.76</v>
      </c>
      <c r="C496" s="10">
        <v>59.09</v>
      </c>
      <c r="D496" s="10">
        <v>59.29</v>
      </c>
      <c r="E496" s="10">
        <v>59.48</v>
      </c>
      <c r="F496" s="10">
        <v>59.68</v>
      </c>
      <c r="G496" s="10">
        <v>59.85</v>
      </c>
      <c r="H496" s="10">
        <v>59.98</v>
      </c>
      <c r="I496" s="10">
        <v>60.04</v>
      </c>
      <c r="J496" s="10">
        <v>60.05</v>
      </c>
      <c r="K496" s="10">
        <v>60.05</v>
      </c>
      <c r="L496" s="10">
        <v>60.07</v>
      </c>
      <c r="M496" s="10">
        <v>60.06</v>
      </c>
      <c r="N496" s="10">
        <v>50.29</v>
      </c>
      <c r="O496" s="10">
        <v>50.49</v>
      </c>
      <c r="P496" s="10">
        <v>50.67</v>
      </c>
      <c r="Q496" s="10">
        <v>50.83</v>
      </c>
      <c r="R496" s="10">
        <v>51</v>
      </c>
      <c r="S496" s="10">
        <v>51.15</v>
      </c>
      <c r="T496" s="10">
        <v>51.28</v>
      </c>
      <c r="U496" s="10">
        <v>51.4</v>
      </c>
      <c r="V496" s="10">
        <v>51.52</v>
      </c>
      <c r="W496" s="10">
        <v>51.63</v>
      </c>
      <c r="X496" s="10">
        <v>51.74</v>
      </c>
      <c r="Y496" s="10">
        <v>51.84</v>
      </c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</row>
    <row r="497" spans="1:147" x14ac:dyDescent="0.3">
      <c r="A497" s="9">
        <f>DATE(2018, 11, 29)</f>
        <v>43433</v>
      </c>
      <c r="B497" s="10">
        <v>59.51</v>
      </c>
      <c r="C497" s="10">
        <v>59.91</v>
      </c>
      <c r="D497" s="10">
        <v>60.07</v>
      </c>
      <c r="E497" s="10">
        <v>60.23</v>
      </c>
      <c r="F497" s="10">
        <v>60.42</v>
      </c>
      <c r="G497" s="10">
        <v>60.58</v>
      </c>
      <c r="H497" s="10">
        <v>60.69</v>
      </c>
      <c r="I497" s="10">
        <v>60.74</v>
      </c>
      <c r="J497" s="10">
        <v>60.74</v>
      </c>
      <c r="K497" s="10">
        <v>60.75</v>
      </c>
      <c r="L497" s="10">
        <v>60.77</v>
      </c>
      <c r="M497" s="10">
        <v>60.77</v>
      </c>
      <c r="N497" s="10">
        <v>51.45</v>
      </c>
      <c r="O497" s="10">
        <v>51.62</v>
      </c>
      <c r="P497" s="10">
        <v>51.78</v>
      </c>
      <c r="Q497" s="10">
        <v>51.92</v>
      </c>
      <c r="R497" s="10">
        <v>52.07</v>
      </c>
      <c r="S497" s="10">
        <v>52.2</v>
      </c>
      <c r="T497" s="10">
        <v>52.31</v>
      </c>
      <c r="U497" s="10">
        <v>52.41</v>
      </c>
      <c r="V497" s="10">
        <v>52.52</v>
      </c>
      <c r="W497" s="10">
        <v>52.61</v>
      </c>
      <c r="X497" s="10">
        <v>52.7</v>
      </c>
      <c r="Y497" s="10">
        <v>52.8</v>
      </c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</row>
    <row r="498" spans="1:147" x14ac:dyDescent="0.3">
      <c r="A498" s="9">
        <f>DATE(2018, 11, 30)</f>
        <v>43434</v>
      </c>
      <c r="B498" s="10">
        <v>58.71</v>
      </c>
      <c r="C498" s="10">
        <v>59.46</v>
      </c>
      <c r="D498" s="10">
        <v>59.58</v>
      </c>
      <c r="E498" s="10">
        <v>59.69</v>
      </c>
      <c r="F498" s="10">
        <v>59.83</v>
      </c>
      <c r="G498" s="10">
        <v>59.94</v>
      </c>
      <c r="H498" s="10">
        <v>59.99</v>
      </c>
      <c r="I498" s="10">
        <v>59.99</v>
      </c>
      <c r="J498" s="10">
        <v>59.94</v>
      </c>
      <c r="K498" s="10">
        <v>59.91</v>
      </c>
      <c r="L498" s="10">
        <v>59.89</v>
      </c>
      <c r="M498" s="10">
        <v>59.85</v>
      </c>
      <c r="N498" s="10">
        <v>50.93</v>
      </c>
      <c r="O498" s="10">
        <v>51.09</v>
      </c>
      <c r="P498" s="10">
        <v>51.23</v>
      </c>
      <c r="Q498" s="10">
        <v>51.36</v>
      </c>
      <c r="R498" s="10">
        <v>51.5</v>
      </c>
      <c r="S498" s="10">
        <v>51.6</v>
      </c>
      <c r="T498" s="10">
        <v>51.66</v>
      </c>
      <c r="U498" s="10">
        <v>51.71</v>
      </c>
      <c r="V498" s="10">
        <v>51.76</v>
      </c>
      <c r="W498" s="10">
        <v>51.8</v>
      </c>
      <c r="X498" s="10">
        <v>51.84</v>
      </c>
      <c r="Y498" s="10">
        <v>51.89</v>
      </c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</row>
    <row r="499" spans="1:147" x14ac:dyDescent="0.3">
      <c r="A499" s="9">
        <f>DATE(2018, 12, 3)</f>
        <v>43437</v>
      </c>
      <c r="B499" s="10">
        <v>61.69</v>
      </c>
      <c r="C499" s="10">
        <v>61.82</v>
      </c>
      <c r="D499" s="10">
        <v>61.93</v>
      </c>
      <c r="E499" s="10">
        <v>62.07</v>
      </c>
      <c r="F499" s="10">
        <v>62.17</v>
      </c>
      <c r="G499" s="10">
        <v>62.21</v>
      </c>
      <c r="H499" s="10">
        <v>62.19</v>
      </c>
      <c r="I499" s="10">
        <v>62.13</v>
      </c>
      <c r="J499" s="10">
        <v>62.08</v>
      </c>
      <c r="K499" s="10">
        <v>62.05</v>
      </c>
      <c r="L499" s="10">
        <v>62.01</v>
      </c>
      <c r="M499" s="10">
        <v>62.01</v>
      </c>
      <c r="N499" s="10">
        <v>52.95</v>
      </c>
      <c r="O499" s="10">
        <v>53.14</v>
      </c>
      <c r="P499" s="10">
        <v>53.33</v>
      </c>
      <c r="Q499" s="10">
        <v>53.52</v>
      </c>
      <c r="R499" s="10">
        <v>53.7</v>
      </c>
      <c r="S499" s="10">
        <v>53.83</v>
      </c>
      <c r="T499" s="10">
        <v>53.92</v>
      </c>
      <c r="U499" s="10">
        <v>53.98</v>
      </c>
      <c r="V499" s="10">
        <v>54.03</v>
      </c>
      <c r="W499" s="10">
        <v>54.05</v>
      </c>
      <c r="X499" s="10">
        <v>54.07</v>
      </c>
      <c r="Y499" s="10">
        <v>54.09</v>
      </c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</row>
    <row r="500" spans="1:147" x14ac:dyDescent="0.3">
      <c r="A500" s="9">
        <f>DATE(2018, 12, 4)</f>
        <v>43438</v>
      </c>
      <c r="B500" s="10">
        <v>62.08</v>
      </c>
      <c r="C500" s="10">
        <v>62.22</v>
      </c>
      <c r="D500" s="10">
        <v>62.36</v>
      </c>
      <c r="E500" s="10">
        <v>62.54</v>
      </c>
      <c r="F500" s="10">
        <v>62.69</v>
      </c>
      <c r="G500" s="10">
        <v>62.76</v>
      </c>
      <c r="H500" s="10">
        <v>62.78</v>
      </c>
      <c r="I500" s="10">
        <v>62.74</v>
      </c>
      <c r="J500" s="10">
        <v>62.7</v>
      </c>
      <c r="K500" s="10">
        <v>62.68</v>
      </c>
      <c r="L500" s="10">
        <v>62.64</v>
      </c>
      <c r="M500" s="10">
        <v>62.64</v>
      </c>
      <c r="N500" s="10">
        <v>53.25</v>
      </c>
      <c r="O500" s="10">
        <v>53.46</v>
      </c>
      <c r="P500" s="10">
        <v>53.67</v>
      </c>
      <c r="Q500" s="10">
        <v>53.9</v>
      </c>
      <c r="R500" s="10">
        <v>54.13</v>
      </c>
      <c r="S500" s="10">
        <v>54.32</v>
      </c>
      <c r="T500" s="10">
        <v>54.46</v>
      </c>
      <c r="U500" s="10">
        <v>54.55</v>
      </c>
      <c r="V500" s="10">
        <v>54.61</v>
      </c>
      <c r="W500" s="10">
        <v>54.64</v>
      </c>
      <c r="X500" s="10">
        <v>54.67</v>
      </c>
      <c r="Y500" s="10">
        <v>54.7</v>
      </c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</row>
    <row r="501" spans="1:147" x14ac:dyDescent="0.3">
      <c r="A501" s="9">
        <f>DATE(2018, 12, 5)</f>
        <v>43439</v>
      </c>
      <c r="B501" s="10">
        <v>61.56</v>
      </c>
      <c r="C501" s="10">
        <v>61.76</v>
      </c>
      <c r="D501" s="10">
        <v>61.94</v>
      </c>
      <c r="E501" s="10">
        <v>62.15</v>
      </c>
      <c r="F501" s="10">
        <v>62.32</v>
      </c>
      <c r="G501" s="10">
        <v>62.4</v>
      </c>
      <c r="H501" s="10">
        <v>62.43</v>
      </c>
      <c r="I501" s="10">
        <v>62.39</v>
      </c>
      <c r="J501" s="10">
        <v>62.36</v>
      </c>
      <c r="K501" s="10">
        <v>62.34</v>
      </c>
      <c r="L501" s="10">
        <v>62.29</v>
      </c>
      <c r="M501" s="10">
        <v>62.29</v>
      </c>
      <c r="N501" s="10">
        <v>52.89</v>
      </c>
      <c r="O501" s="10">
        <v>53.12</v>
      </c>
      <c r="P501" s="10">
        <v>53.36</v>
      </c>
      <c r="Q501" s="10">
        <v>53.61</v>
      </c>
      <c r="R501" s="10">
        <v>53.86</v>
      </c>
      <c r="S501" s="10">
        <v>54.06</v>
      </c>
      <c r="T501" s="10">
        <v>54.22</v>
      </c>
      <c r="U501" s="10">
        <v>54.32</v>
      </c>
      <c r="V501" s="10">
        <v>54.4</v>
      </c>
      <c r="W501" s="10">
        <v>54.44</v>
      </c>
      <c r="X501" s="10">
        <v>54.47</v>
      </c>
      <c r="Y501" s="10">
        <v>54.49</v>
      </c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</row>
    <row r="502" spans="1:147" x14ac:dyDescent="0.3">
      <c r="A502" s="9">
        <f>DATE(2018, 12, 6)</f>
        <v>43440</v>
      </c>
      <c r="B502" s="10">
        <v>60.06</v>
      </c>
      <c r="C502" s="10">
        <v>60.33</v>
      </c>
      <c r="D502" s="10">
        <v>60.55</v>
      </c>
      <c r="E502" s="10">
        <v>60.79</v>
      </c>
      <c r="F502" s="10">
        <v>60.99</v>
      </c>
      <c r="G502" s="10">
        <v>61.1</v>
      </c>
      <c r="H502" s="10">
        <v>61.15</v>
      </c>
      <c r="I502" s="10">
        <v>61.13</v>
      </c>
      <c r="J502" s="10">
        <v>61.11</v>
      </c>
      <c r="K502" s="10">
        <v>61.1</v>
      </c>
      <c r="L502" s="10">
        <v>61.06</v>
      </c>
      <c r="M502" s="10">
        <v>61.07</v>
      </c>
      <c r="N502" s="10">
        <v>51.49</v>
      </c>
      <c r="O502" s="10">
        <v>51.7</v>
      </c>
      <c r="P502" s="10">
        <v>51.95</v>
      </c>
      <c r="Q502" s="10">
        <v>52.24</v>
      </c>
      <c r="R502" s="10">
        <v>52.54</v>
      </c>
      <c r="S502" s="10">
        <v>52.78</v>
      </c>
      <c r="T502" s="10">
        <v>52.97</v>
      </c>
      <c r="U502" s="10">
        <v>53.11</v>
      </c>
      <c r="V502" s="10">
        <v>53.23</v>
      </c>
      <c r="W502" s="10">
        <v>53.31</v>
      </c>
      <c r="X502" s="10">
        <v>53.37</v>
      </c>
      <c r="Y502" s="10">
        <v>53.43</v>
      </c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</row>
    <row r="503" spans="1:147" x14ac:dyDescent="0.3">
      <c r="A503" s="9">
        <f>DATE(2018, 12, 7)</f>
        <v>43441</v>
      </c>
      <c r="B503" s="10">
        <v>61.67</v>
      </c>
      <c r="C503" s="10">
        <v>61.85</v>
      </c>
      <c r="D503" s="10">
        <v>62</v>
      </c>
      <c r="E503" s="10">
        <v>62.18</v>
      </c>
      <c r="F503" s="10">
        <v>62.32</v>
      </c>
      <c r="G503" s="10">
        <v>62.39</v>
      </c>
      <c r="H503" s="10">
        <v>62.39</v>
      </c>
      <c r="I503" s="10">
        <v>62.32</v>
      </c>
      <c r="J503" s="10">
        <v>62.26</v>
      </c>
      <c r="K503" s="10">
        <v>62.22</v>
      </c>
      <c r="L503" s="10">
        <v>62.14</v>
      </c>
      <c r="M503" s="10">
        <v>62.11</v>
      </c>
      <c r="N503" s="10">
        <v>52.61</v>
      </c>
      <c r="O503" s="10">
        <v>52.81</v>
      </c>
      <c r="P503" s="10">
        <v>53.05</v>
      </c>
      <c r="Q503" s="10">
        <v>53.31</v>
      </c>
      <c r="R503" s="10">
        <v>53.58</v>
      </c>
      <c r="S503" s="10">
        <v>53.82</v>
      </c>
      <c r="T503" s="10">
        <v>54</v>
      </c>
      <c r="U503" s="10">
        <v>54.13</v>
      </c>
      <c r="V503" s="10">
        <v>54.23</v>
      </c>
      <c r="W503" s="10">
        <v>54.28</v>
      </c>
      <c r="X503" s="10">
        <v>54.31</v>
      </c>
      <c r="Y503" s="10">
        <v>54.33</v>
      </c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</row>
    <row r="504" spans="1:147" x14ac:dyDescent="0.3">
      <c r="A504" s="9">
        <f>DATE(2018, 12, 10)</f>
        <v>43444</v>
      </c>
      <c r="B504" s="10">
        <v>59.97</v>
      </c>
      <c r="C504" s="10">
        <v>60.1</v>
      </c>
      <c r="D504" s="10">
        <v>60.24</v>
      </c>
      <c r="E504" s="10">
        <v>60.42</v>
      </c>
      <c r="F504" s="10">
        <v>60.55</v>
      </c>
      <c r="G504" s="10">
        <v>60.62</v>
      </c>
      <c r="H504" s="10">
        <v>60.62</v>
      </c>
      <c r="I504" s="10">
        <v>60.55</v>
      </c>
      <c r="J504" s="10">
        <v>60.49</v>
      </c>
      <c r="K504" s="10">
        <v>60.44</v>
      </c>
      <c r="L504" s="10">
        <v>60.37</v>
      </c>
      <c r="M504" s="10">
        <v>60.35</v>
      </c>
      <c r="N504" s="10">
        <v>51</v>
      </c>
      <c r="O504" s="10">
        <v>51.2</v>
      </c>
      <c r="P504" s="10">
        <v>51.4</v>
      </c>
      <c r="Q504" s="10">
        <v>51.65</v>
      </c>
      <c r="R504" s="10">
        <v>51.91</v>
      </c>
      <c r="S504" s="10">
        <v>52.16</v>
      </c>
      <c r="T504" s="10">
        <v>52.35</v>
      </c>
      <c r="U504" s="10">
        <v>52.49</v>
      </c>
      <c r="V504" s="10">
        <v>52.59</v>
      </c>
      <c r="W504" s="10">
        <v>52.63</v>
      </c>
      <c r="X504" s="10">
        <v>52.67</v>
      </c>
      <c r="Y504" s="10">
        <v>52.67</v>
      </c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</row>
    <row r="505" spans="1:147" x14ac:dyDescent="0.3">
      <c r="A505" s="9">
        <f>DATE(2018, 12, 11)</f>
        <v>43445</v>
      </c>
      <c r="B505" s="10">
        <v>60.2</v>
      </c>
      <c r="C505" s="10">
        <v>60.35</v>
      </c>
      <c r="D505" s="10">
        <v>60.5</v>
      </c>
      <c r="E505" s="10">
        <v>60.7</v>
      </c>
      <c r="F505" s="10">
        <v>60.84</v>
      </c>
      <c r="G505" s="10">
        <v>60.92</v>
      </c>
      <c r="H505" s="10">
        <v>60.93</v>
      </c>
      <c r="I505" s="10">
        <v>60.86</v>
      </c>
      <c r="J505" s="10">
        <v>60.81</v>
      </c>
      <c r="K505" s="10">
        <v>60.76</v>
      </c>
      <c r="L505" s="10">
        <v>60.69</v>
      </c>
      <c r="M505" s="10">
        <v>60.67</v>
      </c>
      <c r="N505" s="10">
        <v>51.65</v>
      </c>
      <c r="O505" s="10">
        <v>51.84</v>
      </c>
      <c r="P505" s="10">
        <v>52.01</v>
      </c>
      <c r="Q505" s="10">
        <v>52.21</v>
      </c>
      <c r="R505" s="10">
        <v>52.42</v>
      </c>
      <c r="S505" s="10">
        <v>52.63</v>
      </c>
      <c r="T505" s="10">
        <v>52.78</v>
      </c>
      <c r="U505" s="10">
        <v>52.89</v>
      </c>
      <c r="V505" s="10">
        <v>52.96</v>
      </c>
      <c r="W505" s="10">
        <v>52.98</v>
      </c>
      <c r="X505" s="10">
        <v>52.99</v>
      </c>
      <c r="Y505" s="10">
        <v>52.99</v>
      </c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</row>
    <row r="506" spans="1:147" x14ac:dyDescent="0.3">
      <c r="A506" s="9">
        <f>DATE(2018, 12, 12)</f>
        <v>43446</v>
      </c>
      <c r="B506" s="10">
        <v>60.15</v>
      </c>
      <c r="C506" s="10">
        <v>60.27</v>
      </c>
      <c r="D506" s="10">
        <v>60.42</v>
      </c>
      <c r="E506" s="10">
        <v>60.61</v>
      </c>
      <c r="F506" s="10">
        <v>60.76</v>
      </c>
      <c r="G506" s="10">
        <v>60.85</v>
      </c>
      <c r="H506" s="10">
        <v>60.86</v>
      </c>
      <c r="I506" s="10">
        <v>60.8</v>
      </c>
      <c r="J506" s="10">
        <v>60.75</v>
      </c>
      <c r="K506" s="10">
        <v>60.7</v>
      </c>
      <c r="L506" s="10">
        <v>60.63</v>
      </c>
      <c r="M506" s="10">
        <v>60.61</v>
      </c>
      <c r="N506" s="10">
        <v>51.15</v>
      </c>
      <c r="O506" s="10">
        <v>51.36</v>
      </c>
      <c r="P506" s="10">
        <v>51.59</v>
      </c>
      <c r="Q506" s="10">
        <v>51.86</v>
      </c>
      <c r="R506" s="10">
        <v>52.14</v>
      </c>
      <c r="S506" s="10">
        <v>52.4</v>
      </c>
      <c r="T506" s="10">
        <v>52.61</v>
      </c>
      <c r="U506" s="10">
        <v>52.76</v>
      </c>
      <c r="V506" s="10">
        <v>52.87</v>
      </c>
      <c r="W506" s="10">
        <v>52.93</v>
      </c>
      <c r="X506" s="10">
        <v>52.98</v>
      </c>
      <c r="Y506" s="10">
        <v>53</v>
      </c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</row>
    <row r="507" spans="1:147" x14ac:dyDescent="0.3">
      <c r="A507" s="9">
        <f>DATE(2018, 12, 13)</f>
        <v>43447</v>
      </c>
      <c r="B507" s="10">
        <v>61.45</v>
      </c>
      <c r="C507" s="10">
        <v>61.58</v>
      </c>
      <c r="D507" s="10">
        <v>61.74</v>
      </c>
      <c r="E507" s="10">
        <v>61.94</v>
      </c>
      <c r="F507" s="10">
        <v>62.1</v>
      </c>
      <c r="G507" s="10">
        <v>62.2</v>
      </c>
      <c r="H507" s="10">
        <v>62.21</v>
      </c>
      <c r="I507" s="10">
        <v>62.14</v>
      </c>
      <c r="J507" s="10">
        <v>62.07</v>
      </c>
      <c r="K507" s="10">
        <v>62.02</v>
      </c>
      <c r="L507" s="10">
        <v>61.94</v>
      </c>
      <c r="M507" s="10">
        <v>61.9</v>
      </c>
      <c r="N507" s="10">
        <v>52.58</v>
      </c>
      <c r="O507" s="10">
        <v>52.83</v>
      </c>
      <c r="P507" s="10">
        <v>53.07</v>
      </c>
      <c r="Q507" s="10">
        <v>53.33</v>
      </c>
      <c r="R507" s="10">
        <v>53.62</v>
      </c>
      <c r="S507" s="10">
        <v>53.88</v>
      </c>
      <c r="T507" s="10">
        <v>54.08</v>
      </c>
      <c r="U507" s="10">
        <v>54.22</v>
      </c>
      <c r="V507" s="10">
        <v>54.31</v>
      </c>
      <c r="W507" s="10">
        <v>54.34</v>
      </c>
      <c r="X507" s="10">
        <v>54.36</v>
      </c>
      <c r="Y507" s="10">
        <v>54.36</v>
      </c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</row>
    <row r="508" spans="1:147" x14ac:dyDescent="0.3">
      <c r="A508" s="9">
        <f>DATE(2018, 12, 14)</f>
        <v>43448</v>
      </c>
      <c r="B508" s="10">
        <v>60.28</v>
      </c>
      <c r="C508" s="10">
        <v>60.4</v>
      </c>
      <c r="D508" s="10">
        <v>60.56</v>
      </c>
      <c r="E508" s="10">
        <v>60.79</v>
      </c>
      <c r="F508" s="10">
        <v>60.98</v>
      </c>
      <c r="G508" s="10">
        <v>61.11</v>
      </c>
      <c r="H508" s="10">
        <v>61.14</v>
      </c>
      <c r="I508" s="10">
        <v>61.09</v>
      </c>
      <c r="J508" s="10">
        <v>61.04</v>
      </c>
      <c r="K508" s="10">
        <v>61</v>
      </c>
      <c r="L508" s="10">
        <v>60.95</v>
      </c>
      <c r="M508" s="10">
        <v>60.93</v>
      </c>
      <c r="N508" s="10">
        <v>51.2</v>
      </c>
      <c r="O508" s="10">
        <v>51.47</v>
      </c>
      <c r="P508" s="10">
        <v>51.76</v>
      </c>
      <c r="Q508" s="10">
        <v>52.06</v>
      </c>
      <c r="R508" s="10">
        <v>52.39</v>
      </c>
      <c r="S508" s="10">
        <v>52.68</v>
      </c>
      <c r="T508" s="10">
        <v>52.92</v>
      </c>
      <c r="U508" s="10">
        <v>53.1</v>
      </c>
      <c r="V508" s="10">
        <v>53.22</v>
      </c>
      <c r="W508" s="10">
        <v>53.29</v>
      </c>
      <c r="X508" s="10">
        <v>53.33</v>
      </c>
      <c r="Y508" s="10">
        <v>53.35</v>
      </c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</row>
    <row r="509" spans="1:147" x14ac:dyDescent="0.3">
      <c r="A509" s="9">
        <f>DATE(2018, 12, 17)</f>
        <v>43451</v>
      </c>
      <c r="B509" s="10">
        <v>59.61</v>
      </c>
      <c r="C509" s="10">
        <v>59.66</v>
      </c>
      <c r="D509" s="10">
        <v>59.8</v>
      </c>
      <c r="E509" s="10">
        <v>60.05</v>
      </c>
      <c r="F509" s="10">
        <v>60.27</v>
      </c>
      <c r="G509" s="10">
        <v>60.42</v>
      </c>
      <c r="H509" s="10">
        <v>60.48</v>
      </c>
      <c r="I509" s="10">
        <v>60.46</v>
      </c>
      <c r="J509" s="10">
        <v>60.43</v>
      </c>
      <c r="K509" s="10">
        <v>60.42</v>
      </c>
      <c r="L509" s="10">
        <v>60.4</v>
      </c>
      <c r="M509" s="10">
        <v>60.41</v>
      </c>
      <c r="N509" s="10">
        <v>49.88</v>
      </c>
      <c r="O509" s="10">
        <v>50.2</v>
      </c>
      <c r="P509" s="10">
        <v>50.55</v>
      </c>
      <c r="Q509" s="10">
        <v>50.91</v>
      </c>
      <c r="R509" s="10">
        <v>51.29</v>
      </c>
      <c r="S509" s="10">
        <v>51.65</v>
      </c>
      <c r="T509" s="10">
        <v>51.96</v>
      </c>
      <c r="U509" s="10">
        <v>52.21</v>
      </c>
      <c r="V509" s="10">
        <v>52.39</v>
      </c>
      <c r="W509" s="10">
        <v>52.49</v>
      </c>
      <c r="X509" s="10">
        <v>52.59</v>
      </c>
      <c r="Y509" s="10">
        <v>52.64</v>
      </c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</row>
    <row r="510" spans="1:147" x14ac:dyDescent="0.3">
      <c r="A510" s="9">
        <f>DATE(2018, 12, 18)</f>
        <v>43452</v>
      </c>
      <c r="B510" s="10">
        <v>56.26</v>
      </c>
      <c r="C510" s="10">
        <v>56.23</v>
      </c>
      <c r="D510" s="10">
        <v>56.38</v>
      </c>
      <c r="E510" s="10">
        <v>56.63</v>
      </c>
      <c r="F510" s="10">
        <v>56.85</v>
      </c>
      <c r="G510" s="10">
        <v>57.01</v>
      </c>
      <c r="H510" s="10">
        <v>57.08</v>
      </c>
      <c r="I510" s="10">
        <v>57.08</v>
      </c>
      <c r="J510" s="10">
        <v>57.09</v>
      </c>
      <c r="K510" s="10">
        <v>57.11</v>
      </c>
      <c r="L510" s="10">
        <v>57.13</v>
      </c>
      <c r="M510" s="10">
        <v>57.18</v>
      </c>
      <c r="N510" s="10">
        <v>46.24</v>
      </c>
      <c r="O510" s="10">
        <v>46.6</v>
      </c>
      <c r="P510" s="10">
        <v>46.94</v>
      </c>
      <c r="Q510" s="10">
        <v>47.3</v>
      </c>
      <c r="R510" s="10">
        <v>47.69</v>
      </c>
      <c r="S510" s="10">
        <v>48.06</v>
      </c>
      <c r="T510" s="10">
        <v>48.38</v>
      </c>
      <c r="U510" s="10">
        <v>48.65</v>
      </c>
      <c r="V510" s="10">
        <v>48.87</v>
      </c>
      <c r="W510" s="10">
        <v>49.04</v>
      </c>
      <c r="X510" s="10">
        <v>49.16</v>
      </c>
      <c r="Y510" s="10">
        <v>49.28</v>
      </c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</row>
    <row r="511" spans="1:147" x14ac:dyDescent="0.3">
      <c r="A511" s="9">
        <f>DATE(2018, 12, 19)</f>
        <v>43453</v>
      </c>
      <c r="B511" s="10">
        <v>57.24</v>
      </c>
      <c r="C511" s="10">
        <v>57.45</v>
      </c>
      <c r="D511" s="10">
        <v>57.63</v>
      </c>
      <c r="E511" s="10">
        <v>57.87</v>
      </c>
      <c r="F511" s="10">
        <v>58.09</v>
      </c>
      <c r="G511" s="10">
        <v>58.25</v>
      </c>
      <c r="H511" s="10">
        <v>58.32</v>
      </c>
      <c r="I511" s="10">
        <v>58.31</v>
      </c>
      <c r="J511" s="10">
        <v>58.31</v>
      </c>
      <c r="K511" s="10">
        <v>58.34</v>
      </c>
      <c r="L511" s="10">
        <v>58.34</v>
      </c>
      <c r="M511" s="10">
        <v>58.38</v>
      </c>
      <c r="N511" s="10">
        <v>47.2</v>
      </c>
      <c r="O511" s="10">
        <v>48.17</v>
      </c>
      <c r="P511" s="10">
        <v>48.49</v>
      </c>
      <c r="Q511" s="10">
        <v>48.83</v>
      </c>
      <c r="R511" s="10">
        <v>49.2</v>
      </c>
      <c r="S511" s="10">
        <v>49.55</v>
      </c>
      <c r="T511" s="10">
        <v>49.85</v>
      </c>
      <c r="U511" s="10">
        <v>50.09</v>
      </c>
      <c r="V511" s="10">
        <v>50.27</v>
      </c>
      <c r="W511" s="10">
        <v>50.42</v>
      </c>
      <c r="X511" s="10">
        <v>50.56</v>
      </c>
      <c r="Y511" s="10">
        <v>50.65</v>
      </c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</row>
    <row r="512" spans="1:147" x14ac:dyDescent="0.3">
      <c r="A512" s="9">
        <f>DATE(2018, 12, 20)</f>
        <v>43454</v>
      </c>
      <c r="B512" s="10">
        <v>54.35</v>
      </c>
      <c r="C512" s="10">
        <v>54.65</v>
      </c>
      <c r="D512" s="10">
        <v>54.89</v>
      </c>
      <c r="E512" s="10">
        <v>55.17</v>
      </c>
      <c r="F512" s="10">
        <v>55.42</v>
      </c>
      <c r="G512" s="10">
        <v>55.63</v>
      </c>
      <c r="H512" s="10">
        <v>55.75</v>
      </c>
      <c r="I512" s="10">
        <v>55.79</v>
      </c>
      <c r="J512" s="10">
        <v>55.84</v>
      </c>
      <c r="K512" s="10">
        <v>55.91</v>
      </c>
      <c r="L512" s="10">
        <v>55.97</v>
      </c>
      <c r="M512" s="10">
        <v>56.06</v>
      </c>
      <c r="N512" s="10">
        <v>45.88</v>
      </c>
      <c r="O512" s="10">
        <v>46.19</v>
      </c>
      <c r="P512" s="10">
        <v>46.52</v>
      </c>
      <c r="Q512" s="10">
        <v>46.88</v>
      </c>
      <c r="R512" s="10">
        <v>47.24</v>
      </c>
      <c r="S512" s="10">
        <v>47.55</v>
      </c>
      <c r="T512" s="10">
        <v>47.81</v>
      </c>
      <c r="U512" s="10">
        <v>48.03</v>
      </c>
      <c r="V512" s="10">
        <v>48.22</v>
      </c>
      <c r="W512" s="10">
        <v>48.39</v>
      </c>
      <c r="X512" s="10">
        <v>48.54</v>
      </c>
      <c r="Y512" s="10">
        <v>48.66</v>
      </c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</row>
    <row r="513" spans="1:147" x14ac:dyDescent="0.3">
      <c r="A513" s="9">
        <f>DATE(2018, 12, 21)</f>
        <v>43455</v>
      </c>
      <c r="B513" s="10">
        <v>53.82</v>
      </c>
      <c r="C513" s="10">
        <v>54.1</v>
      </c>
      <c r="D513" s="10">
        <v>54.3</v>
      </c>
      <c r="E513" s="10">
        <v>54.57</v>
      </c>
      <c r="F513" s="10">
        <v>54.81</v>
      </c>
      <c r="G513" s="10">
        <v>55.01</v>
      </c>
      <c r="H513" s="10">
        <v>55.13</v>
      </c>
      <c r="I513" s="10">
        <v>55.16</v>
      </c>
      <c r="J513" s="10">
        <v>55.22</v>
      </c>
      <c r="K513" s="10">
        <v>55.29</v>
      </c>
      <c r="L513" s="10">
        <v>55.35</v>
      </c>
      <c r="M513" s="10">
        <v>55.44</v>
      </c>
      <c r="N513" s="10">
        <v>45.59</v>
      </c>
      <c r="O513" s="10">
        <v>45.89</v>
      </c>
      <c r="P513" s="10">
        <v>46.23</v>
      </c>
      <c r="Q513" s="10">
        <v>46.61</v>
      </c>
      <c r="R513" s="10">
        <v>46.98</v>
      </c>
      <c r="S513" s="10">
        <v>47.28</v>
      </c>
      <c r="T513" s="10">
        <v>47.52</v>
      </c>
      <c r="U513" s="10">
        <v>47.71</v>
      </c>
      <c r="V513" s="10">
        <v>47.87</v>
      </c>
      <c r="W513" s="10">
        <v>48.01</v>
      </c>
      <c r="X513" s="10">
        <v>48.15</v>
      </c>
      <c r="Y513" s="10">
        <v>48.24</v>
      </c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</row>
    <row r="514" spans="1:147" x14ac:dyDescent="0.3">
      <c r="A514" s="9">
        <f>DATE(2018, 12, 24)</f>
        <v>43458</v>
      </c>
      <c r="B514" s="10">
        <v>50.47</v>
      </c>
      <c r="C514" s="10">
        <v>50.77</v>
      </c>
      <c r="D514" s="10">
        <v>51.02</v>
      </c>
      <c r="E514" s="10">
        <v>51.31</v>
      </c>
      <c r="F514" s="10">
        <v>51.57</v>
      </c>
      <c r="G514" s="10">
        <v>51.78</v>
      </c>
      <c r="H514" s="10">
        <v>51.9</v>
      </c>
      <c r="I514" s="10">
        <v>51.95</v>
      </c>
      <c r="J514" s="10">
        <v>52.04</v>
      </c>
      <c r="K514" s="10">
        <v>52.14</v>
      </c>
      <c r="L514" s="10">
        <v>52.24</v>
      </c>
      <c r="M514" s="10">
        <v>52.38</v>
      </c>
      <c r="N514" s="10">
        <v>42.53</v>
      </c>
      <c r="O514" s="10">
        <v>42.82</v>
      </c>
      <c r="P514" s="10">
        <v>43.16</v>
      </c>
      <c r="Q514" s="10">
        <v>43.55</v>
      </c>
      <c r="R514" s="10">
        <v>43.94</v>
      </c>
      <c r="S514" s="10">
        <v>44.27</v>
      </c>
      <c r="T514" s="10">
        <v>44.54</v>
      </c>
      <c r="U514" s="10">
        <v>44.75</v>
      </c>
      <c r="V514" s="10">
        <v>44.93</v>
      </c>
      <c r="W514" s="10">
        <v>45.12</v>
      </c>
      <c r="X514" s="10">
        <v>45.3</v>
      </c>
      <c r="Y514" s="10">
        <v>45.44</v>
      </c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</row>
    <row r="515" spans="1:147" x14ac:dyDescent="0.3">
      <c r="A515" s="9">
        <f>DATE(2018, 12, 26)</f>
        <v>43460</v>
      </c>
      <c r="B515" s="10">
        <v>54.47</v>
      </c>
      <c r="C515" s="10">
        <v>54.76</v>
      </c>
      <c r="D515" s="10">
        <v>54.98</v>
      </c>
      <c r="E515" s="10">
        <v>55.24</v>
      </c>
      <c r="F515" s="10">
        <v>55.46</v>
      </c>
      <c r="G515" s="10">
        <v>55.64</v>
      </c>
      <c r="H515" s="10">
        <v>55.73</v>
      </c>
      <c r="I515" s="10">
        <v>55.75</v>
      </c>
      <c r="J515" s="10">
        <v>55.79</v>
      </c>
      <c r="K515" s="10">
        <v>55.87</v>
      </c>
      <c r="L515" s="10">
        <v>55.93</v>
      </c>
      <c r="M515" s="10">
        <v>56.03</v>
      </c>
      <c r="N515" s="10">
        <v>46.22</v>
      </c>
      <c r="O515" s="10">
        <v>46.54</v>
      </c>
      <c r="P515" s="10">
        <v>46.88</v>
      </c>
      <c r="Q515" s="10">
        <v>47.26</v>
      </c>
      <c r="R515" s="10">
        <v>47.64</v>
      </c>
      <c r="S515" s="10">
        <v>47.96</v>
      </c>
      <c r="T515" s="10">
        <v>48.2</v>
      </c>
      <c r="U515" s="10">
        <v>48.39</v>
      </c>
      <c r="V515" s="10">
        <v>48.56</v>
      </c>
      <c r="W515" s="10">
        <v>48.72</v>
      </c>
      <c r="X515" s="10">
        <v>48.85</v>
      </c>
      <c r="Y515" s="10">
        <v>48.95</v>
      </c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</row>
    <row r="516" spans="1:147" x14ac:dyDescent="0.3">
      <c r="A516" s="9">
        <f>DATE(2018, 12, 27)</f>
        <v>43461</v>
      </c>
      <c r="B516" s="10">
        <v>52.16</v>
      </c>
      <c r="C516" s="10">
        <v>52.73</v>
      </c>
      <c r="D516" s="10">
        <v>52.99</v>
      </c>
      <c r="E516" s="10">
        <v>53.3</v>
      </c>
      <c r="F516" s="10">
        <v>53.58</v>
      </c>
      <c r="G516" s="10">
        <v>53.79</v>
      </c>
      <c r="H516" s="10">
        <v>53.93</v>
      </c>
      <c r="I516" s="10">
        <v>54</v>
      </c>
      <c r="J516" s="10">
        <v>54.08</v>
      </c>
      <c r="K516" s="10">
        <v>54.2</v>
      </c>
      <c r="L516" s="10">
        <v>54.3</v>
      </c>
      <c r="M516" s="10">
        <v>54.43</v>
      </c>
      <c r="N516" s="10">
        <v>44.61</v>
      </c>
      <c r="O516" s="10">
        <v>44.9</v>
      </c>
      <c r="P516" s="10">
        <v>45.23</v>
      </c>
      <c r="Q516" s="10">
        <v>45.63</v>
      </c>
      <c r="R516" s="10">
        <v>46.04</v>
      </c>
      <c r="S516" s="10">
        <v>46.39</v>
      </c>
      <c r="T516" s="10">
        <v>46.67</v>
      </c>
      <c r="U516" s="10">
        <v>46.89</v>
      </c>
      <c r="V516" s="10">
        <v>47.07</v>
      </c>
      <c r="W516" s="10">
        <v>47.25</v>
      </c>
      <c r="X516" s="10">
        <v>47.42</v>
      </c>
      <c r="Y516" s="10">
        <v>47.52</v>
      </c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</row>
    <row r="517" spans="1:147" x14ac:dyDescent="0.3">
      <c r="A517" s="9">
        <f>DATE(2018, 12, 28)</f>
        <v>43462</v>
      </c>
      <c r="B517" s="10">
        <v>52.2</v>
      </c>
      <c r="C517" s="10">
        <v>53.21</v>
      </c>
      <c r="D517" s="10">
        <v>53.46</v>
      </c>
      <c r="E517" s="10">
        <v>53.76</v>
      </c>
      <c r="F517" s="10">
        <v>54.01</v>
      </c>
      <c r="G517" s="10">
        <v>54.18</v>
      </c>
      <c r="H517" s="10">
        <v>54.29</v>
      </c>
      <c r="I517" s="10">
        <v>54.32</v>
      </c>
      <c r="J517" s="10">
        <v>54.37</v>
      </c>
      <c r="K517" s="10">
        <v>54.45</v>
      </c>
      <c r="L517" s="10">
        <v>54.51</v>
      </c>
      <c r="M517" s="10">
        <v>54.61</v>
      </c>
      <c r="N517" s="10">
        <v>45.33</v>
      </c>
      <c r="O517" s="10">
        <v>45.6</v>
      </c>
      <c r="P517" s="10">
        <v>45.9</v>
      </c>
      <c r="Q517" s="10">
        <v>46.27</v>
      </c>
      <c r="R517" s="10">
        <v>46.64</v>
      </c>
      <c r="S517" s="10">
        <v>46.95</v>
      </c>
      <c r="T517" s="10">
        <v>47.19</v>
      </c>
      <c r="U517" s="10">
        <v>47.36</v>
      </c>
      <c r="V517" s="10">
        <v>47.5</v>
      </c>
      <c r="W517" s="10">
        <v>47.63</v>
      </c>
      <c r="X517" s="10">
        <v>47.75</v>
      </c>
      <c r="Y517" s="10">
        <v>47.82</v>
      </c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</row>
    <row r="518" spans="1:147" x14ac:dyDescent="0.3">
      <c r="A518" s="9">
        <f>DATE(2018, 12, 31)</f>
        <v>43465</v>
      </c>
      <c r="B518" s="10">
        <v>53.8</v>
      </c>
      <c r="C518" s="10">
        <v>54.02</v>
      </c>
      <c r="D518" s="10">
        <v>54.31</v>
      </c>
      <c r="E518" s="10">
        <v>54.57</v>
      </c>
      <c r="F518" s="10">
        <v>54.76</v>
      </c>
      <c r="G518" s="10">
        <v>54.88</v>
      </c>
      <c r="H518" s="10">
        <v>54.92</v>
      </c>
      <c r="I518" s="10">
        <v>54.98</v>
      </c>
      <c r="J518" s="10">
        <v>55.07</v>
      </c>
      <c r="K518" s="10">
        <v>55.14</v>
      </c>
      <c r="L518" s="10">
        <v>55.25</v>
      </c>
      <c r="M518" s="10">
        <v>55.35</v>
      </c>
      <c r="N518" s="10">
        <v>45.41</v>
      </c>
      <c r="O518" s="10">
        <v>45.72</v>
      </c>
      <c r="P518" s="10">
        <v>46.08</v>
      </c>
      <c r="Q518" s="10">
        <v>46.51</v>
      </c>
      <c r="R518" s="10">
        <v>46.93</v>
      </c>
      <c r="S518" s="10">
        <v>47.3</v>
      </c>
      <c r="T518" s="10">
        <v>47.6</v>
      </c>
      <c r="U518" s="10">
        <v>47.84</v>
      </c>
      <c r="V518" s="10">
        <v>48.04</v>
      </c>
      <c r="W518" s="10">
        <v>48.22</v>
      </c>
      <c r="X518" s="10">
        <v>48.38</v>
      </c>
      <c r="Y518" s="10">
        <v>48.5</v>
      </c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</row>
    <row r="519" spans="1:147" x14ac:dyDescent="0.3">
      <c r="A519" s="9">
        <f>DATE(2019, 1, 2)</f>
        <v>43467</v>
      </c>
      <c r="B519" s="10">
        <v>54.91</v>
      </c>
      <c r="C519" s="10">
        <v>55.15</v>
      </c>
      <c r="D519" s="10">
        <v>55.46</v>
      </c>
      <c r="E519" s="10">
        <v>55.74</v>
      </c>
      <c r="F519" s="10">
        <v>55.95</v>
      </c>
      <c r="G519" s="10">
        <v>56.09</v>
      </c>
      <c r="H519" s="10">
        <v>56.15</v>
      </c>
      <c r="I519" s="10">
        <v>56.21</v>
      </c>
      <c r="J519" s="10">
        <v>56.29</v>
      </c>
      <c r="K519" s="10">
        <v>56.36</v>
      </c>
      <c r="L519" s="10">
        <v>56.45</v>
      </c>
      <c r="M519" s="10">
        <v>56.54</v>
      </c>
      <c r="N519" s="10">
        <v>46.54</v>
      </c>
      <c r="O519" s="10">
        <v>46.86</v>
      </c>
      <c r="P519" s="10">
        <v>47.24</v>
      </c>
      <c r="Q519" s="10">
        <v>47.7</v>
      </c>
      <c r="R519" s="10">
        <v>48.15</v>
      </c>
      <c r="S519" s="10">
        <v>48.54</v>
      </c>
      <c r="T519" s="10">
        <v>48.85</v>
      </c>
      <c r="U519" s="10">
        <v>49.11</v>
      </c>
      <c r="V519" s="10">
        <v>49.31</v>
      </c>
      <c r="W519" s="10">
        <v>49.5</v>
      </c>
      <c r="X519" s="10">
        <v>49.66</v>
      </c>
      <c r="Y519" s="10">
        <v>49.77</v>
      </c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</row>
    <row r="520" spans="1:147" x14ac:dyDescent="0.3">
      <c r="A520" s="9">
        <f>DATE(2019, 1, 3)</f>
        <v>43468</v>
      </c>
      <c r="B520" s="10">
        <v>55.95</v>
      </c>
      <c r="C520" s="10">
        <v>56.14</v>
      </c>
      <c r="D520" s="10">
        <v>56.42</v>
      </c>
      <c r="E520" s="10">
        <v>56.67</v>
      </c>
      <c r="F520" s="10">
        <v>56.86</v>
      </c>
      <c r="G520" s="10">
        <v>56.99</v>
      </c>
      <c r="H520" s="10">
        <v>57.03</v>
      </c>
      <c r="I520" s="10">
        <v>57.07</v>
      </c>
      <c r="J520" s="10">
        <v>57.14</v>
      </c>
      <c r="K520" s="10">
        <v>57.19</v>
      </c>
      <c r="L520" s="10">
        <v>57.27</v>
      </c>
      <c r="M520" s="10">
        <v>57.35</v>
      </c>
      <c r="N520" s="10">
        <v>47.09</v>
      </c>
      <c r="O520" s="10">
        <v>47.4</v>
      </c>
      <c r="P520" s="10">
        <v>47.77</v>
      </c>
      <c r="Q520" s="10">
        <v>48.22</v>
      </c>
      <c r="R520" s="10">
        <v>48.69</v>
      </c>
      <c r="S520" s="10">
        <v>49.09</v>
      </c>
      <c r="T520" s="10">
        <v>49.42</v>
      </c>
      <c r="U520" s="10">
        <v>49.7</v>
      </c>
      <c r="V520" s="10">
        <v>49.93</v>
      </c>
      <c r="W520" s="10">
        <v>50.11</v>
      </c>
      <c r="X520" s="10">
        <v>50.27</v>
      </c>
      <c r="Y520" s="10">
        <v>50.37</v>
      </c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</row>
    <row r="521" spans="1:147" x14ac:dyDescent="0.3">
      <c r="A521" s="9">
        <f>DATE(2019, 1, 4)</f>
        <v>43469</v>
      </c>
      <c r="B521" s="10">
        <v>57.06</v>
      </c>
      <c r="C521" s="10">
        <v>57.21</v>
      </c>
      <c r="D521" s="10">
        <v>57.46</v>
      </c>
      <c r="E521" s="10">
        <v>57.68</v>
      </c>
      <c r="F521" s="10">
        <v>57.85</v>
      </c>
      <c r="G521" s="10">
        <v>57.95</v>
      </c>
      <c r="H521" s="10">
        <v>57.97</v>
      </c>
      <c r="I521" s="10">
        <v>57.99</v>
      </c>
      <c r="J521" s="10">
        <v>58.02</v>
      </c>
      <c r="K521" s="10">
        <v>58.04</v>
      </c>
      <c r="L521" s="10">
        <v>58.09</v>
      </c>
      <c r="M521" s="10">
        <v>58.15</v>
      </c>
      <c r="N521" s="10">
        <v>47.96</v>
      </c>
      <c r="O521" s="10">
        <v>48.28</v>
      </c>
      <c r="P521" s="10">
        <v>48.65</v>
      </c>
      <c r="Q521" s="10">
        <v>49.1</v>
      </c>
      <c r="R521" s="10">
        <v>49.56</v>
      </c>
      <c r="S521" s="10">
        <v>49.96</v>
      </c>
      <c r="T521" s="10">
        <v>50.29</v>
      </c>
      <c r="U521" s="10">
        <v>50.55</v>
      </c>
      <c r="V521" s="10">
        <v>50.77</v>
      </c>
      <c r="W521" s="10">
        <v>50.94</v>
      </c>
      <c r="X521" s="10">
        <v>51.08</v>
      </c>
      <c r="Y521" s="10">
        <v>51.18</v>
      </c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</row>
    <row r="522" spans="1:147" x14ac:dyDescent="0.3">
      <c r="A522" s="9">
        <f>DATE(2019, 1, 7)</f>
        <v>43472</v>
      </c>
      <c r="B522" s="10">
        <v>57.33</v>
      </c>
      <c r="C522" s="10">
        <v>57.55</v>
      </c>
      <c r="D522" s="10">
        <v>57.83</v>
      </c>
      <c r="E522" s="10">
        <v>58.09</v>
      </c>
      <c r="F522" s="10">
        <v>58.27</v>
      </c>
      <c r="G522" s="10">
        <v>58.37</v>
      </c>
      <c r="H522" s="10">
        <v>58.4</v>
      </c>
      <c r="I522" s="10">
        <v>58.42</v>
      </c>
      <c r="J522" s="10">
        <v>58.44</v>
      </c>
      <c r="K522" s="10">
        <v>58.45</v>
      </c>
      <c r="L522" s="10">
        <v>58.5</v>
      </c>
      <c r="M522" s="10">
        <v>58.55</v>
      </c>
      <c r="N522" s="10">
        <v>48.52</v>
      </c>
      <c r="O522" s="10">
        <v>48.82</v>
      </c>
      <c r="P522" s="10">
        <v>49.17</v>
      </c>
      <c r="Q522" s="10">
        <v>49.6</v>
      </c>
      <c r="R522" s="10">
        <v>50.04</v>
      </c>
      <c r="S522" s="10">
        <v>50.42</v>
      </c>
      <c r="T522" s="10">
        <v>50.74</v>
      </c>
      <c r="U522" s="10">
        <v>51</v>
      </c>
      <c r="V522" s="10">
        <v>51.19</v>
      </c>
      <c r="W522" s="10">
        <v>51.35</v>
      </c>
      <c r="X522" s="10">
        <v>51.48</v>
      </c>
      <c r="Y522" s="10">
        <v>51.53</v>
      </c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</row>
    <row r="523" spans="1:147" x14ac:dyDescent="0.3">
      <c r="A523" s="9">
        <f>DATE(2019, 1, 8)</f>
        <v>43473</v>
      </c>
      <c r="B523" s="10">
        <v>58.72</v>
      </c>
      <c r="C523" s="10">
        <v>58.89</v>
      </c>
      <c r="D523" s="10">
        <v>59.14</v>
      </c>
      <c r="E523" s="10">
        <v>59.37</v>
      </c>
      <c r="F523" s="10">
        <v>59.51</v>
      </c>
      <c r="G523" s="10">
        <v>59.6</v>
      </c>
      <c r="H523" s="10">
        <v>59.62</v>
      </c>
      <c r="I523" s="10">
        <v>59.63</v>
      </c>
      <c r="J523" s="10">
        <v>59.67</v>
      </c>
      <c r="K523" s="10">
        <v>59.68</v>
      </c>
      <c r="L523" s="10">
        <v>59.72</v>
      </c>
      <c r="M523" s="10">
        <v>59.76</v>
      </c>
      <c r="N523" s="10">
        <v>49.78</v>
      </c>
      <c r="O523" s="10">
        <v>50.11</v>
      </c>
      <c r="P523" s="10">
        <v>50.49</v>
      </c>
      <c r="Q523" s="10">
        <v>50.93</v>
      </c>
      <c r="R523" s="10">
        <v>51.36</v>
      </c>
      <c r="S523" s="10">
        <v>51.74</v>
      </c>
      <c r="T523" s="10">
        <v>52.04</v>
      </c>
      <c r="U523" s="10">
        <v>52.29</v>
      </c>
      <c r="V523" s="10">
        <v>52.49</v>
      </c>
      <c r="W523" s="10">
        <v>52.64</v>
      </c>
      <c r="X523" s="10">
        <v>52.75</v>
      </c>
      <c r="Y523" s="10">
        <v>52.83</v>
      </c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</row>
    <row r="524" spans="1:147" x14ac:dyDescent="0.3">
      <c r="A524" s="9">
        <f>DATE(2019, 1, 9)</f>
        <v>43474</v>
      </c>
      <c r="B524" s="10">
        <v>61.44</v>
      </c>
      <c r="C524" s="10">
        <v>61.6</v>
      </c>
      <c r="D524" s="10">
        <v>61.83</v>
      </c>
      <c r="E524" s="10">
        <v>62.03</v>
      </c>
      <c r="F524" s="10">
        <v>62.14</v>
      </c>
      <c r="G524" s="10">
        <v>62.2</v>
      </c>
      <c r="H524" s="10">
        <v>62.18</v>
      </c>
      <c r="I524" s="10">
        <v>62.17</v>
      </c>
      <c r="J524" s="10">
        <v>62.18</v>
      </c>
      <c r="K524" s="10">
        <v>62.15</v>
      </c>
      <c r="L524" s="10">
        <v>62.15</v>
      </c>
      <c r="M524" s="10">
        <v>62.15</v>
      </c>
      <c r="N524" s="10">
        <v>52.36</v>
      </c>
      <c r="O524" s="10">
        <v>52.69</v>
      </c>
      <c r="P524" s="10">
        <v>53.07</v>
      </c>
      <c r="Q524" s="10">
        <v>53.51</v>
      </c>
      <c r="R524" s="10">
        <v>53.94</v>
      </c>
      <c r="S524" s="10">
        <v>54.3</v>
      </c>
      <c r="T524" s="10">
        <v>54.58</v>
      </c>
      <c r="U524" s="10">
        <v>54.8</v>
      </c>
      <c r="V524" s="10">
        <v>54.97</v>
      </c>
      <c r="W524" s="10">
        <v>55.07</v>
      </c>
      <c r="X524" s="10">
        <v>55.15</v>
      </c>
      <c r="Y524" s="10">
        <v>55.19</v>
      </c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</row>
    <row r="525" spans="1:147" x14ac:dyDescent="0.3">
      <c r="A525" s="9">
        <f>DATE(2019, 1, 10)</f>
        <v>43475</v>
      </c>
      <c r="B525" s="10">
        <v>61.68</v>
      </c>
      <c r="C525" s="10">
        <v>61.81</v>
      </c>
      <c r="D525" s="10">
        <v>62.02</v>
      </c>
      <c r="E525" s="10">
        <v>62.2</v>
      </c>
      <c r="F525" s="10">
        <v>62.29</v>
      </c>
      <c r="G525" s="10">
        <v>62.35</v>
      </c>
      <c r="H525" s="10">
        <v>62.33</v>
      </c>
      <c r="I525" s="10">
        <v>62.32</v>
      </c>
      <c r="J525" s="10">
        <v>62.32</v>
      </c>
      <c r="K525" s="10">
        <v>62.29</v>
      </c>
      <c r="L525" s="10">
        <v>62.29</v>
      </c>
      <c r="M525" s="10">
        <v>62.29</v>
      </c>
      <c r="N525" s="10">
        <v>52.59</v>
      </c>
      <c r="O525" s="10">
        <v>52.91</v>
      </c>
      <c r="P525" s="10">
        <v>53.28</v>
      </c>
      <c r="Q525" s="10">
        <v>53.73</v>
      </c>
      <c r="R525" s="10">
        <v>54.16</v>
      </c>
      <c r="S525" s="10">
        <v>54.53</v>
      </c>
      <c r="T525" s="10">
        <v>54.81</v>
      </c>
      <c r="U525" s="10">
        <v>55.02</v>
      </c>
      <c r="V525" s="10">
        <v>55.18</v>
      </c>
      <c r="W525" s="10">
        <v>55.29</v>
      </c>
      <c r="X525" s="10">
        <v>55.35</v>
      </c>
      <c r="Y525" s="10">
        <v>55.37</v>
      </c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</row>
    <row r="526" spans="1:147" x14ac:dyDescent="0.3">
      <c r="A526" s="9">
        <f>DATE(2019, 1, 11)</f>
        <v>43476</v>
      </c>
      <c r="B526" s="10">
        <v>60.48</v>
      </c>
      <c r="C526" s="10">
        <v>60.63</v>
      </c>
      <c r="D526" s="10">
        <v>60.85</v>
      </c>
      <c r="E526" s="10">
        <v>61.02</v>
      </c>
      <c r="F526" s="10">
        <v>61.09</v>
      </c>
      <c r="G526" s="10">
        <v>61.14</v>
      </c>
      <c r="H526" s="10">
        <v>61.11</v>
      </c>
      <c r="I526" s="10">
        <v>61.09</v>
      </c>
      <c r="J526" s="10">
        <v>61.09</v>
      </c>
      <c r="K526" s="10">
        <v>61.05</v>
      </c>
      <c r="L526" s="10">
        <v>61.05</v>
      </c>
      <c r="M526" s="10">
        <v>61.04</v>
      </c>
      <c r="N526" s="10">
        <v>51.59</v>
      </c>
      <c r="O526" s="10">
        <v>51.91</v>
      </c>
      <c r="P526" s="10">
        <v>52.27</v>
      </c>
      <c r="Q526" s="10">
        <v>52.7</v>
      </c>
      <c r="R526" s="10">
        <v>53.11</v>
      </c>
      <c r="S526" s="10">
        <v>53.46</v>
      </c>
      <c r="T526" s="10">
        <v>53.72</v>
      </c>
      <c r="U526" s="10">
        <v>53.92</v>
      </c>
      <c r="V526" s="10">
        <v>54.07</v>
      </c>
      <c r="W526" s="10">
        <v>54.16</v>
      </c>
      <c r="X526" s="10">
        <v>54.22</v>
      </c>
      <c r="Y526" s="10">
        <v>54.24</v>
      </c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</row>
    <row r="527" spans="1:147" x14ac:dyDescent="0.3">
      <c r="A527" s="9">
        <f>DATE(2019, 1, 14)</f>
        <v>43479</v>
      </c>
      <c r="B527" s="10">
        <v>58.99</v>
      </c>
      <c r="C527" s="10">
        <v>59.18</v>
      </c>
      <c r="D527" s="10">
        <v>59.44</v>
      </c>
      <c r="E527" s="10">
        <v>59.63</v>
      </c>
      <c r="F527" s="10">
        <v>59.72</v>
      </c>
      <c r="G527" s="10">
        <v>59.78</v>
      </c>
      <c r="H527" s="10">
        <v>59.77</v>
      </c>
      <c r="I527" s="10">
        <v>59.77</v>
      </c>
      <c r="J527" s="10">
        <v>59.79</v>
      </c>
      <c r="K527" s="10">
        <v>59.76</v>
      </c>
      <c r="L527" s="10">
        <v>59.77</v>
      </c>
      <c r="M527" s="10">
        <v>59.78</v>
      </c>
      <c r="N527" s="10">
        <v>50.51</v>
      </c>
      <c r="O527" s="10">
        <v>50.8</v>
      </c>
      <c r="P527" s="10">
        <v>51.14</v>
      </c>
      <c r="Q527" s="10">
        <v>51.55</v>
      </c>
      <c r="R527" s="10">
        <v>51.96</v>
      </c>
      <c r="S527" s="10">
        <v>52.3</v>
      </c>
      <c r="T527" s="10">
        <v>52.56</v>
      </c>
      <c r="U527" s="10">
        <v>52.75</v>
      </c>
      <c r="V527" s="10">
        <v>52.89</v>
      </c>
      <c r="W527" s="10">
        <v>52.98</v>
      </c>
      <c r="X527" s="10">
        <v>53.04</v>
      </c>
      <c r="Y527" s="10">
        <v>53.07</v>
      </c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</row>
    <row r="528" spans="1:147" x14ac:dyDescent="0.3">
      <c r="A528" s="9">
        <f>DATE(2019, 1, 15)</f>
        <v>43480</v>
      </c>
      <c r="B528" s="10">
        <v>60.64</v>
      </c>
      <c r="C528" s="10">
        <v>60.78</v>
      </c>
      <c r="D528" s="10">
        <v>61.01</v>
      </c>
      <c r="E528" s="10">
        <v>61.17</v>
      </c>
      <c r="F528" s="10">
        <v>61.24</v>
      </c>
      <c r="G528" s="10">
        <v>61.28</v>
      </c>
      <c r="H528" s="10">
        <v>61.24</v>
      </c>
      <c r="I528" s="10">
        <v>61.21</v>
      </c>
      <c r="J528" s="10">
        <v>61.2</v>
      </c>
      <c r="K528" s="10">
        <v>61.16</v>
      </c>
      <c r="L528" s="10">
        <v>61.15</v>
      </c>
      <c r="M528" s="10">
        <v>61.14</v>
      </c>
      <c r="N528" s="10">
        <v>52.11</v>
      </c>
      <c r="O528" s="10">
        <v>52.39</v>
      </c>
      <c r="P528" s="10">
        <v>52.7</v>
      </c>
      <c r="Q528" s="10">
        <v>53.08</v>
      </c>
      <c r="R528" s="10">
        <v>53.47</v>
      </c>
      <c r="S528" s="10">
        <v>53.78</v>
      </c>
      <c r="T528" s="10">
        <v>54.01</v>
      </c>
      <c r="U528" s="10">
        <v>54.17</v>
      </c>
      <c r="V528" s="10">
        <v>54.27</v>
      </c>
      <c r="W528" s="10">
        <v>54.32</v>
      </c>
      <c r="X528" s="10">
        <v>54.35</v>
      </c>
      <c r="Y528" s="10">
        <v>54.34</v>
      </c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</row>
    <row r="529" spans="1:147" x14ac:dyDescent="0.3">
      <c r="A529" s="9">
        <f>DATE(2019, 1, 16)</f>
        <v>43481</v>
      </c>
      <c r="B529" s="10">
        <v>61.32</v>
      </c>
      <c r="C529" s="10">
        <v>61.34</v>
      </c>
      <c r="D529" s="10">
        <v>61.51</v>
      </c>
      <c r="E529" s="10">
        <v>61.65</v>
      </c>
      <c r="F529" s="10">
        <v>61.7</v>
      </c>
      <c r="G529" s="10">
        <v>61.72</v>
      </c>
      <c r="H529" s="10">
        <v>61.67</v>
      </c>
      <c r="I529" s="10">
        <v>61.63</v>
      </c>
      <c r="J529" s="10">
        <v>61.59</v>
      </c>
      <c r="K529" s="10">
        <v>61.53</v>
      </c>
      <c r="L529" s="10">
        <v>61.51</v>
      </c>
      <c r="M529" s="10">
        <v>61.49</v>
      </c>
      <c r="N529" s="10">
        <v>52.31</v>
      </c>
      <c r="O529" s="10">
        <v>52.61</v>
      </c>
      <c r="P529" s="10">
        <v>52.93</v>
      </c>
      <c r="Q529" s="10">
        <v>53.33</v>
      </c>
      <c r="R529" s="10">
        <v>53.75</v>
      </c>
      <c r="S529" s="10">
        <v>54.09</v>
      </c>
      <c r="T529" s="10">
        <v>54.33</v>
      </c>
      <c r="U529" s="10">
        <v>54.5</v>
      </c>
      <c r="V529" s="10">
        <v>54.6</v>
      </c>
      <c r="W529" s="10">
        <v>54.66</v>
      </c>
      <c r="X529" s="10">
        <v>54.69</v>
      </c>
      <c r="Y529" s="10">
        <v>54.7</v>
      </c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</row>
    <row r="530" spans="1:147" x14ac:dyDescent="0.3">
      <c r="A530" s="9">
        <f>DATE(2019, 1, 17)</f>
        <v>43482</v>
      </c>
      <c r="B530" s="10">
        <v>61.18</v>
      </c>
      <c r="C530" s="10">
        <v>61.16</v>
      </c>
      <c r="D530" s="10">
        <v>61.32</v>
      </c>
      <c r="E530" s="10">
        <v>61.44</v>
      </c>
      <c r="F530" s="10">
        <v>61.47</v>
      </c>
      <c r="G530" s="10">
        <v>61.48</v>
      </c>
      <c r="H530" s="10">
        <v>61.41</v>
      </c>
      <c r="I530" s="10">
        <v>61.34</v>
      </c>
      <c r="J530" s="10">
        <v>61.28</v>
      </c>
      <c r="K530" s="10">
        <v>61.2</v>
      </c>
      <c r="L530" s="10">
        <v>61.17</v>
      </c>
      <c r="M530" s="10">
        <v>61.14</v>
      </c>
      <c r="N530" s="10">
        <v>52.07</v>
      </c>
      <c r="O530" s="10">
        <v>52.36</v>
      </c>
      <c r="P530" s="10">
        <v>52.69</v>
      </c>
      <c r="Q530" s="10">
        <v>53.11</v>
      </c>
      <c r="R530" s="10">
        <v>53.55</v>
      </c>
      <c r="S530" s="10">
        <v>53.91</v>
      </c>
      <c r="T530" s="10">
        <v>54.15</v>
      </c>
      <c r="U530" s="10">
        <v>54.3</v>
      </c>
      <c r="V530" s="10">
        <v>54.39</v>
      </c>
      <c r="W530" s="10">
        <v>54.44</v>
      </c>
      <c r="X530" s="10">
        <v>54.45</v>
      </c>
      <c r="Y530" s="10">
        <v>54.43</v>
      </c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</row>
    <row r="531" spans="1:147" x14ac:dyDescent="0.3">
      <c r="A531" s="9">
        <f>DATE(2019, 1, 18)</f>
        <v>43483</v>
      </c>
      <c r="B531" s="10">
        <v>62.7</v>
      </c>
      <c r="C531" s="10">
        <v>62.59</v>
      </c>
      <c r="D531" s="10">
        <v>62.68</v>
      </c>
      <c r="E531" s="10">
        <v>62.77</v>
      </c>
      <c r="F531" s="10">
        <v>62.76</v>
      </c>
      <c r="G531" s="10">
        <v>62.74</v>
      </c>
      <c r="H531" s="10">
        <v>62.65</v>
      </c>
      <c r="I531" s="10">
        <v>62.56</v>
      </c>
      <c r="J531" s="10">
        <v>62.47</v>
      </c>
      <c r="K531" s="10">
        <v>62.36</v>
      </c>
      <c r="L531" s="10">
        <v>62.29</v>
      </c>
      <c r="M531" s="10">
        <v>62.22</v>
      </c>
      <c r="N531" s="10">
        <v>53.8</v>
      </c>
      <c r="O531" s="10">
        <v>54.04</v>
      </c>
      <c r="P531" s="10">
        <v>54.3</v>
      </c>
      <c r="Q531" s="10">
        <v>54.64</v>
      </c>
      <c r="R531" s="10">
        <v>54.99</v>
      </c>
      <c r="S531" s="10">
        <v>55.27</v>
      </c>
      <c r="T531" s="10">
        <v>55.43</v>
      </c>
      <c r="U531" s="10">
        <v>55.51</v>
      </c>
      <c r="V531" s="10">
        <v>55.53</v>
      </c>
      <c r="W531" s="10">
        <v>55.51</v>
      </c>
      <c r="X531" s="10">
        <v>55.45</v>
      </c>
      <c r="Y531" s="10">
        <v>55.37</v>
      </c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</row>
    <row r="532" spans="1:147" x14ac:dyDescent="0.3">
      <c r="A532" s="9">
        <f>DATE(2019, 1, 21)</f>
        <v>43486</v>
      </c>
      <c r="B532" s="10">
        <v>62.74</v>
      </c>
      <c r="C532" s="10">
        <v>62.57</v>
      </c>
      <c r="D532" s="10">
        <v>62.66</v>
      </c>
      <c r="E532" s="10">
        <v>62.74</v>
      </c>
      <c r="F532" s="10">
        <v>62.74</v>
      </c>
      <c r="G532" s="10">
        <v>62.73</v>
      </c>
      <c r="H532" s="10">
        <v>62.64</v>
      </c>
      <c r="I532" s="10">
        <v>62.56</v>
      </c>
      <c r="J532" s="10">
        <v>62.47</v>
      </c>
      <c r="K532" s="10">
        <v>62.36</v>
      </c>
      <c r="L532" s="10">
        <v>62.3</v>
      </c>
      <c r="M532" s="10">
        <v>62.24</v>
      </c>
      <c r="N532" s="10">
        <v>53.8</v>
      </c>
      <c r="O532" s="10">
        <v>54.04</v>
      </c>
      <c r="P532" s="10">
        <v>54.3</v>
      </c>
      <c r="Q532" s="10">
        <v>54.64</v>
      </c>
      <c r="R532" s="10">
        <v>54.99</v>
      </c>
      <c r="S532" s="10">
        <v>55.27</v>
      </c>
      <c r="T532" s="10">
        <v>55.43</v>
      </c>
      <c r="U532" s="10">
        <v>55.51</v>
      </c>
      <c r="V532" s="10">
        <v>55.53</v>
      </c>
      <c r="W532" s="10">
        <v>55.51</v>
      </c>
      <c r="X532" s="10">
        <v>55.45</v>
      </c>
      <c r="Y532" s="10">
        <v>55.37</v>
      </c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</row>
    <row r="533" spans="1:147" x14ac:dyDescent="0.3">
      <c r="A533" s="9">
        <f>DATE(2019, 1, 22)</f>
        <v>43487</v>
      </c>
      <c r="B533" s="10">
        <v>61.5</v>
      </c>
      <c r="C533" s="10">
        <v>61.38</v>
      </c>
      <c r="D533" s="10">
        <v>61.52</v>
      </c>
      <c r="E533" s="10">
        <v>61.64</v>
      </c>
      <c r="F533" s="10">
        <v>61.67</v>
      </c>
      <c r="G533" s="10">
        <v>61.69</v>
      </c>
      <c r="H533" s="10">
        <v>61.64</v>
      </c>
      <c r="I533" s="10">
        <v>61.6</v>
      </c>
      <c r="J533" s="10">
        <v>61.56</v>
      </c>
      <c r="K533" s="10">
        <v>61.48</v>
      </c>
      <c r="L533" s="10">
        <v>61.44</v>
      </c>
      <c r="M533" s="10">
        <v>61.41</v>
      </c>
      <c r="N533" s="10">
        <v>52.57</v>
      </c>
      <c r="O533" s="10">
        <v>53.01</v>
      </c>
      <c r="P533" s="10">
        <v>53.3</v>
      </c>
      <c r="Q533" s="10">
        <v>53.7</v>
      </c>
      <c r="R533" s="10">
        <v>54.1</v>
      </c>
      <c r="S533" s="10">
        <v>54.44</v>
      </c>
      <c r="T533" s="10">
        <v>54.67</v>
      </c>
      <c r="U533" s="10">
        <v>54.82</v>
      </c>
      <c r="V533" s="10">
        <v>54.9</v>
      </c>
      <c r="W533" s="10">
        <v>54.94</v>
      </c>
      <c r="X533" s="10">
        <v>54.96</v>
      </c>
      <c r="Y533" s="10">
        <v>54.94</v>
      </c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</row>
    <row r="534" spans="1:147" x14ac:dyDescent="0.3">
      <c r="A534" s="9">
        <f>DATE(2019, 1, 23)</f>
        <v>43488</v>
      </c>
      <c r="B534" s="10">
        <v>61.14</v>
      </c>
      <c r="C534" s="10">
        <v>61.03</v>
      </c>
      <c r="D534" s="10">
        <v>61.17</v>
      </c>
      <c r="E534" s="10">
        <v>61.3</v>
      </c>
      <c r="F534" s="10">
        <v>61.33</v>
      </c>
      <c r="G534" s="10">
        <v>61.36</v>
      </c>
      <c r="H534" s="10">
        <v>61.32</v>
      </c>
      <c r="I534" s="10">
        <v>61.29</v>
      </c>
      <c r="J534" s="10">
        <v>61.27</v>
      </c>
      <c r="K534" s="10">
        <v>61.21</v>
      </c>
      <c r="L534" s="10">
        <v>61.19</v>
      </c>
      <c r="M534" s="10">
        <v>61.18</v>
      </c>
      <c r="N534" s="10">
        <v>52.62</v>
      </c>
      <c r="O534" s="10">
        <v>52.92</v>
      </c>
      <c r="P534" s="10">
        <v>53.32</v>
      </c>
      <c r="Q534" s="10">
        <v>53.73</v>
      </c>
      <c r="R534" s="10">
        <v>54.09</v>
      </c>
      <c r="S534" s="10">
        <v>54.34</v>
      </c>
      <c r="T534" s="10">
        <v>54.5</v>
      </c>
      <c r="U534" s="10">
        <v>54.6</v>
      </c>
      <c r="V534" s="10">
        <v>54.67</v>
      </c>
      <c r="W534" s="10">
        <v>54.7</v>
      </c>
      <c r="X534" s="10">
        <v>54.7</v>
      </c>
      <c r="Y534" s="10">
        <v>54.69</v>
      </c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</row>
    <row r="535" spans="1:147" x14ac:dyDescent="0.3">
      <c r="A535" s="9">
        <f>DATE(2019, 1, 24)</f>
        <v>43489</v>
      </c>
      <c r="B535" s="10">
        <v>61.09</v>
      </c>
      <c r="C535" s="10">
        <v>61.16</v>
      </c>
      <c r="D535" s="10">
        <v>61.31</v>
      </c>
      <c r="E535" s="10">
        <v>61.43</v>
      </c>
      <c r="F535" s="10">
        <v>61.45</v>
      </c>
      <c r="G535" s="10">
        <v>61.48</v>
      </c>
      <c r="H535" s="10">
        <v>61.44</v>
      </c>
      <c r="I535" s="10">
        <v>61.41</v>
      </c>
      <c r="J535" s="10">
        <v>61.38</v>
      </c>
      <c r="K535" s="10">
        <v>61.32</v>
      </c>
      <c r="L535" s="10">
        <v>61.29</v>
      </c>
      <c r="M535" s="10">
        <v>61.27</v>
      </c>
      <c r="N535" s="10">
        <v>53.13</v>
      </c>
      <c r="O535" s="10">
        <v>53.42</v>
      </c>
      <c r="P535" s="10">
        <v>53.78</v>
      </c>
      <c r="Q535" s="10">
        <v>54.14</v>
      </c>
      <c r="R535" s="10">
        <v>54.45</v>
      </c>
      <c r="S535" s="10">
        <v>54.66</v>
      </c>
      <c r="T535" s="10">
        <v>54.78</v>
      </c>
      <c r="U535" s="10">
        <v>54.85</v>
      </c>
      <c r="V535" s="10">
        <v>54.88</v>
      </c>
      <c r="W535" s="10">
        <v>54.88</v>
      </c>
      <c r="X535" s="10">
        <v>54.85</v>
      </c>
      <c r="Y535" s="10">
        <v>54.82</v>
      </c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</row>
    <row r="536" spans="1:147" x14ac:dyDescent="0.3">
      <c r="A536" s="9">
        <f>DATE(2019, 1, 25)</f>
        <v>43490</v>
      </c>
      <c r="B536" s="10">
        <v>61.64</v>
      </c>
      <c r="C536" s="10">
        <v>61.59</v>
      </c>
      <c r="D536" s="10">
        <v>61.72</v>
      </c>
      <c r="E536" s="10">
        <v>61.82</v>
      </c>
      <c r="F536" s="10">
        <v>61.81</v>
      </c>
      <c r="G536" s="10">
        <v>61.81</v>
      </c>
      <c r="H536" s="10">
        <v>61.76</v>
      </c>
      <c r="I536" s="10">
        <v>61.7</v>
      </c>
      <c r="J536" s="10">
        <v>61.65</v>
      </c>
      <c r="K536" s="10">
        <v>61.58</v>
      </c>
      <c r="L536" s="10">
        <v>61.54</v>
      </c>
      <c r="M536" s="10">
        <v>61.51</v>
      </c>
      <c r="N536" s="10">
        <v>53.69</v>
      </c>
      <c r="O536" s="10">
        <v>53.98</v>
      </c>
      <c r="P536" s="10">
        <v>54.31</v>
      </c>
      <c r="Q536" s="10">
        <v>54.66</v>
      </c>
      <c r="R536" s="10">
        <v>54.96</v>
      </c>
      <c r="S536" s="10">
        <v>55.16</v>
      </c>
      <c r="T536" s="10">
        <v>55.27</v>
      </c>
      <c r="U536" s="10">
        <v>55.32</v>
      </c>
      <c r="V536" s="10">
        <v>55.32</v>
      </c>
      <c r="W536" s="10">
        <v>55.29</v>
      </c>
      <c r="X536" s="10">
        <v>55.24</v>
      </c>
      <c r="Y536" s="10">
        <v>55.19</v>
      </c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</row>
    <row r="537" spans="1:147" x14ac:dyDescent="0.3">
      <c r="A537" s="9">
        <f>DATE(2019, 1, 28)</f>
        <v>43493</v>
      </c>
      <c r="B537" s="10">
        <v>59.93</v>
      </c>
      <c r="C537" s="10">
        <v>59.81</v>
      </c>
      <c r="D537" s="10">
        <v>59.91</v>
      </c>
      <c r="E537" s="10">
        <v>60</v>
      </c>
      <c r="F537" s="10">
        <v>59.99</v>
      </c>
      <c r="G537" s="10">
        <v>59.99</v>
      </c>
      <c r="H537" s="10">
        <v>59.96</v>
      </c>
      <c r="I537" s="10">
        <v>59.93</v>
      </c>
      <c r="J537" s="10">
        <v>59.91</v>
      </c>
      <c r="K537" s="10">
        <v>59.87</v>
      </c>
      <c r="L537" s="10">
        <v>59.86</v>
      </c>
      <c r="M537" s="10">
        <v>59.86</v>
      </c>
      <c r="N537" s="10">
        <v>51.99</v>
      </c>
      <c r="O537" s="10">
        <v>52.29</v>
      </c>
      <c r="P537" s="10">
        <v>52.64</v>
      </c>
      <c r="Q537" s="10">
        <v>53.01</v>
      </c>
      <c r="R537" s="10">
        <v>53.35</v>
      </c>
      <c r="S537" s="10">
        <v>53.59</v>
      </c>
      <c r="T537" s="10">
        <v>53.75</v>
      </c>
      <c r="U537" s="10">
        <v>53.82</v>
      </c>
      <c r="V537" s="10">
        <v>53.85</v>
      </c>
      <c r="W537" s="10">
        <v>53.84</v>
      </c>
      <c r="X537" s="10">
        <v>53.82</v>
      </c>
      <c r="Y537" s="10">
        <v>53.8</v>
      </c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</row>
    <row r="538" spans="1:147" x14ac:dyDescent="0.3">
      <c r="A538" s="9">
        <f>DATE(2019, 1, 29)</f>
        <v>43494</v>
      </c>
      <c r="B538" s="10">
        <v>61.32</v>
      </c>
      <c r="C538" s="10">
        <v>61.2</v>
      </c>
      <c r="D538" s="10">
        <v>61.29</v>
      </c>
      <c r="E538" s="10">
        <v>61.36</v>
      </c>
      <c r="F538" s="10">
        <v>61.33</v>
      </c>
      <c r="G538" s="10">
        <v>61.31</v>
      </c>
      <c r="H538" s="10">
        <v>61.26</v>
      </c>
      <c r="I538" s="10">
        <v>61.21</v>
      </c>
      <c r="J538" s="10">
        <v>61.18</v>
      </c>
      <c r="K538" s="10">
        <v>61.12</v>
      </c>
      <c r="L538" s="10">
        <v>61.1</v>
      </c>
      <c r="M538" s="10">
        <v>61.08</v>
      </c>
      <c r="N538" s="10">
        <v>53.31</v>
      </c>
      <c r="O538" s="10">
        <v>53.6</v>
      </c>
      <c r="P538" s="10">
        <v>53.93</v>
      </c>
      <c r="Q538" s="10">
        <v>54.27</v>
      </c>
      <c r="R538" s="10">
        <v>54.58</v>
      </c>
      <c r="S538" s="10">
        <v>54.81</v>
      </c>
      <c r="T538" s="10">
        <v>54.95</v>
      </c>
      <c r="U538" s="10">
        <v>55</v>
      </c>
      <c r="V538" s="10">
        <v>55.01</v>
      </c>
      <c r="W538" s="10">
        <v>54.99</v>
      </c>
      <c r="X538" s="10">
        <v>54.95</v>
      </c>
      <c r="Y538" s="10">
        <v>54.9</v>
      </c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</row>
    <row r="539" spans="1:147" x14ac:dyDescent="0.3">
      <c r="A539" s="9">
        <f>DATE(2019, 1, 30)</f>
        <v>43495</v>
      </c>
      <c r="B539" s="10">
        <v>61.65</v>
      </c>
      <c r="C539" s="10">
        <v>61.54</v>
      </c>
      <c r="D539" s="10">
        <v>61.63</v>
      </c>
      <c r="E539" s="10">
        <v>61.7</v>
      </c>
      <c r="F539" s="10">
        <v>61.66</v>
      </c>
      <c r="G539" s="10">
        <v>61.63</v>
      </c>
      <c r="H539" s="10">
        <v>61.56</v>
      </c>
      <c r="I539" s="10">
        <v>61.49</v>
      </c>
      <c r="J539" s="10">
        <v>61.43</v>
      </c>
      <c r="K539" s="10">
        <v>61.34</v>
      </c>
      <c r="L539" s="10">
        <v>61.29</v>
      </c>
      <c r="M539" s="10">
        <v>61.25</v>
      </c>
      <c r="N539" s="10">
        <v>54.23</v>
      </c>
      <c r="O539" s="10">
        <v>54.47</v>
      </c>
      <c r="P539" s="10">
        <v>54.72</v>
      </c>
      <c r="Q539" s="10">
        <v>55</v>
      </c>
      <c r="R539" s="10">
        <v>55.25</v>
      </c>
      <c r="S539" s="10">
        <v>55.41</v>
      </c>
      <c r="T539" s="10">
        <v>55.48</v>
      </c>
      <c r="U539" s="10">
        <v>55.47</v>
      </c>
      <c r="V539" s="10">
        <v>55.42</v>
      </c>
      <c r="W539" s="10">
        <v>55.33</v>
      </c>
      <c r="X539" s="10">
        <v>55.23</v>
      </c>
      <c r="Y539" s="10">
        <v>55.13</v>
      </c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</row>
    <row r="540" spans="1:147" x14ac:dyDescent="0.3">
      <c r="A540" s="9">
        <f>DATE(2019, 1, 31)</f>
        <v>43496</v>
      </c>
      <c r="B540" s="10">
        <v>61.89</v>
      </c>
      <c r="C540" s="10">
        <v>60.84</v>
      </c>
      <c r="D540" s="10">
        <v>60.93</v>
      </c>
      <c r="E540" s="10">
        <v>61.02</v>
      </c>
      <c r="F540" s="10">
        <v>60.99</v>
      </c>
      <c r="G540" s="10">
        <v>60.96</v>
      </c>
      <c r="H540" s="10">
        <v>60.89</v>
      </c>
      <c r="I540" s="10">
        <v>60.82</v>
      </c>
      <c r="J540" s="10">
        <v>60.76</v>
      </c>
      <c r="K540" s="10">
        <v>60.68</v>
      </c>
      <c r="L540" s="10">
        <v>60.62</v>
      </c>
      <c r="M540" s="10">
        <v>60.57</v>
      </c>
      <c r="N540" s="10">
        <v>53.79</v>
      </c>
      <c r="O540" s="10">
        <v>54.04</v>
      </c>
      <c r="P540" s="10">
        <v>54.31</v>
      </c>
      <c r="Q540" s="10">
        <v>54.6</v>
      </c>
      <c r="R540" s="10">
        <v>54.86</v>
      </c>
      <c r="S540" s="10">
        <v>55.04</v>
      </c>
      <c r="T540" s="10">
        <v>55.12</v>
      </c>
      <c r="U540" s="10">
        <v>55.11</v>
      </c>
      <c r="V540" s="10">
        <v>55.05</v>
      </c>
      <c r="W540" s="10">
        <v>54.96</v>
      </c>
      <c r="X540" s="10">
        <v>54.84</v>
      </c>
      <c r="Y540" s="10">
        <v>54.71</v>
      </c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</row>
    <row r="541" spans="1:147" x14ac:dyDescent="0.3">
      <c r="A541" s="9">
        <f>DATE(2019, 2, 1)</f>
        <v>43497</v>
      </c>
      <c r="B541" s="10">
        <v>62.75</v>
      </c>
      <c r="C541" s="10">
        <v>62.79</v>
      </c>
      <c r="D541" s="10">
        <v>62.85</v>
      </c>
      <c r="E541" s="10">
        <v>62.8</v>
      </c>
      <c r="F541" s="10">
        <v>62.76</v>
      </c>
      <c r="G541" s="10">
        <v>62.67</v>
      </c>
      <c r="H541" s="10">
        <v>62.59</v>
      </c>
      <c r="I541" s="10">
        <v>62.51</v>
      </c>
      <c r="J541" s="10">
        <v>62.41</v>
      </c>
      <c r="K541" s="10">
        <v>62.33</v>
      </c>
      <c r="L541" s="10">
        <v>62.26</v>
      </c>
      <c r="M541" s="10">
        <v>62.19</v>
      </c>
      <c r="N541" s="10">
        <v>55.26</v>
      </c>
      <c r="O541" s="10">
        <v>55.55</v>
      </c>
      <c r="P541" s="10">
        <v>55.88</v>
      </c>
      <c r="Q541" s="10">
        <v>56.21</v>
      </c>
      <c r="R541" s="10">
        <v>56.5</v>
      </c>
      <c r="S541" s="10">
        <v>56.71</v>
      </c>
      <c r="T541" s="10">
        <v>56.81</v>
      </c>
      <c r="U541" s="10">
        <v>56.82</v>
      </c>
      <c r="V541" s="10">
        <v>56.76</v>
      </c>
      <c r="W541" s="10">
        <v>56.65</v>
      </c>
      <c r="X541" s="10">
        <v>56.5</v>
      </c>
      <c r="Y541" s="10">
        <v>56.34</v>
      </c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</row>
    <row r="542" spans="1:147" x14ac:dyDescent="0.3">
      <c r="A542" s="9">
        <f>DATE(2019, 2, 4)</f>
        <v>43500</v>
      </c>
      <c r="B542" s="10">
        <v>62.51</v>
      </c>
      <c r="C542" s="10">
        <v>62.58</v>
      </c>
      <c r="D542" s="10">
        <v>62.66</v>
      </c>
      <c r="E542" s="10">
        <v>62.62</v>
      </c>
      <c r="F542" s="10">
        <v>62.58</v>
      </c>
      <c r="G542" s="10">
        <v>62.49</v>
      </c>
      <c r="H542" s="10">
        <v>62.42</v>
      </c>
      <c r="I542" s="10">
        <v>62.35</v>
      </c>
      <c r="J542" s="10">
        <v>62.25</v>
      </c>
      <c r="K542" s="10">
        <v>62.18</v>
      </c>
      <c r="L542" s="10">
        <v>62.11</v>
      </c>
      <c r="M542" s="10">
        <v>62.05</v>
      </c>
      <c r="N542" s="10">
        <v>54.56</v>
      </c>
      <c r="O542" s="10">
        <v>54.89</v>
      </c>
      <c r="P542" s="10">
        <v>55.29</v>
      </c>
      <c r="Q542" s="10">
        <v>55.7</v>
      </c>
      <c r="R542" s="10">
        <v>56.05</v>
      </c>
      <c r="S542" s="10">
        <v>56.33</v>
      </c>
      <c r="T542" s="10">
        <v>56.51</v>
      </c>
      <c r="U542" s="10">
        <v>56.58</v>
      </c>
      <c r="V542" s="10">
        <v>56.58</v>
      </c>
      <c r="W542" s="10">
        <v>56.52</v>
      </c>
      <c r="X542" s="10">
        <v>56.43</v>
      </c>
      <c r="Y542" s="10">
        <v>56.32</v>
      </c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</row>
    <row r="543" spans="1:147" x14ac:dyDescent="0.3">
      <c r="A543" s="9">
        <f>DATE(2019, 2, 5)</f>
        <v>43501</v>
      </c>
      <c r="B543" s="10">
        <v>61.98</v>
      </c>
      <c r="C543" s="10">
        <v>62.07</v>
      </c>
      <c r="D543" s="10">
        <v>62.16</v>
      </c>
      <c r="E543" s="10">
        <v>62.13</v>
      </c>
      <c r="F543" s="10">
        <v>62.12</v>
      </c>
      <c r="G543" s="10">
        <v>62.05</v>
      </c>
      <c r="H543" s="10">
        <v>62</v>
      </c>
      <c r="I543" s="10">
        <v>61.95</v>
      </c>
      <c r="J543" s="10">
        <v>61.88</v>
      </c>
      <c r="K543" s="10">
        <v>61.83</v>
      </c>
      <c r="L543" s="10">
        <v>61.78</v>
      </c>
      <c r="M543" s="10">
        <v>61.74</v>
      </c>
      <c r="N543" s="10">
        <v>53.66</v>
      </c>
      <c r="O543" s="10">
        <v>54</v>
      </c>
      <c r="P543" s="10">
        <v>54.44</v>
      </c>
      <c r="Q543" s="10">
        <v>54.91</v>
      </c>
      <c r="R543" s="10">
        <v>55.33</v>
      </c>
      <c r="S543" s="10">
        <v>55.67</v>
      </c>
      <c r="T543" s="10">
        <v>55.93</v>
      </c>
      <c r="U543" s="10">
        <v>56.07</v>
      </c>
      <c r="V543" s="10">
        <v>56.17</v>
      </c>
      <c r="W543" s="10">
        <v>56.18</v>
      </c>
      <c r="X543" s="10">
        <v>56.16</v>
      </c>
      <c r="Y543" s="10">
        <v>56.1</v>
      </c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</row>
    <row r="544" spans="1:147" x14ac:dyDescent="0.3">
      <c r="A544" s="9">
        <f>DATE(2019, 2, 6)</f>
        <v>43502</v>
      </c>
      <c r="B544" s="10">
        <v>62.69</v>
      </c>
      <c r="C544" s="10">
        <v>62.74</v>
      </c>
      <c r="D544" s="10">
        <v>62.79</v>
      </c>
      <c r="E544" s="10">
        <v>62.74</v>
      </c>
      <c r="F544" s="10">
        <v>62.71</v>
      </c>
      <c r="G544" s="10">
        <v>62.63</v>
      </c>
      <c r="H544" s="10">
        <v>62.56</v>
      </c>
      <c r="I544" s="10">
        <v>62.51</v>
      </c>
      <c r="J544" s="10">
        <v>62.44</v>
      </c>
      <c r="K544" s="10">
        <v>62.38</v>
      </c>
      <c r="L544" s="10">
        <v>62.33</v>
      </c>
      <c r="M544" s="10">
        <v>62.29</v>
      </c>
      <c r="N544" s="10">
        <v>54.01</v>
      </c>
      <c r="O544" s="10">
        <v>54.34</v>
      </c>
      <c r="P544" s="10">
        <v>54.8</v>
      </c>
      <c r="Q544" s="10">
        <v>55.28</v>
      </c>
      <c r="R544" s="10">
        <v>55.71</v>
      </c>
      <c r="S544" s="10">
        <v>56.07</v>
      </c>
      <c r="T544" s="10">
        <v>56.32</v>
      </c>
      <c r="U544" s="10">
        <v>56.47</v>
      </c>
      <c r="V544" s="10">
        <v>56.55</v>
      </c>
      <c r="W544" s="10">
        <v>56.55</v>
      </c>
      <c r="X544" s="10">
        <v>56.52</v>
      </c>
      <c r="Y544" s="10">
        <v>56.47</v>
      </c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</row>
    <row r="545" spans="1:147" x14ac:dyDescent="0.3">
      <c r="A545" s="9">
        <f>DATE(2019, 2, 7)</f>
        <v>43503</v>
      </c>
      <c r="B545" s="10">
        <v>61.63</v>
      </c>
      <c r="C545" s="10">
        <v>61.63</v>
      </c>
      <c r="D545" s="10">
        <v>61.66</v>
      </c>
      <c r="E545" s="10">
        <v>61.6</v>
      </c>
      <c r="F545" s="10">
        <v>61.56</v>
      </c>
      <c r="G545" s="10">
        <v>61.48</v>
      </c>
      <c r="H545" s="10">
        <v>61.41</v>
      </c>
      <c r="I545" s="10">
        <v>61.36</v>
      </c>
      <c r="J545" s="10">
        <v>61.29</v>
      </c>
      <c r="K545" s="10">
        <v>61.24</v>
      </c>
      <c r="L545" s="10">
        <v>61.2</v>
      </c>
      <c r="M545" s="10">
        <v>61.18</v>
      </c>
      <c r="N545" s="10">
        <v>52.64</v>
      </c>
      <c r="O545" s="10">
        <v>53</v>
      </c>
      <c r="P545" s="10">
        <v>53.45</v>
      </c>
      <c r="Q545" s="10">
        <v>53.93</v>
      </c>
      <c r="R545" s="10">
        <v>54.37</v>
      </c>
      <c r="S545" s="10">
        <v>54.75</v>
      </c>
      <c r="T545" s="10">
        <v>55.02</v>
      </c>
      <c r="U545" s="10">
        <v>55.2</v>
      </c>
      <c r="V545" s="10">
        <v>55.31</v>
      </c>
      <c r="W545" s="10">
        <v>55.35</v>
      </c>
      <c r="X545" s="10">
        <v>55.36</v>
      </c>
      <c r="Y545" s="10">
        <v>55.34</v>
      </c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</row>
    <row r="546" spans="1:147" x14ac:dyDescent="0.3">
      <c r="A546" s="9">
        <f>DATE(2019, 2, 8)</f>
        <v>43504</v>
      </c>
      <c r="B546" s="10">
        <v>62.1</v>
      </c>
      <c r="C546" s="10">
        <v>62.03</v>
      </c>
      <c r="D546" s="10">
        <v>62.02</v>
      </c>
      <c r="E546" s="10">
        <v>61.93</v>
      </c>
      <c r="F546" s="10">
        <v>61.86</v>
      </c>
      <c r="G546" s="10">
        <v>61.76</v>
      </c>
      <c r="H546" s="10">
        <v>61.66</v>
      </c>
      <c r="I546" s="10">
        <v>61.59</v>
      </c>
      <c r="J546" s="10">
        <v>61.5</v>
      </c>
      <c r="K546" s="10">
        <v>61.44</v>
      </c>
      <c r="L546" s="10">
        <v>61.38</v>
      </c>
      <c r="M546" s="10">
        <v>61.34</v>
      </c>
      <c r="N546" s="10">
        <v>52.72</v>
      </c>
      <c r="O546" s="10">
        <v>53.09</v>
      </c>
      <c r="P546" s="10">
        <v>53.55</v>
      </c>
      <c r="Q546" s="10">
        <v>54.02</v>
      </c>
      <c r="R546" s="10">
        <v>54.45</v>
      </c>
      <c r="S546" s="10">
        <v>54.81</v>
      </c>
      <c r="T546" s="10">
        <v>55.07</v>
      </c>
      <c r="U546" s="10">
        <v>55.24</v>
      </c>
      <c r="V546" s="10">
        <v>55.34</v>
      </c>
      <c r="W546" s="10">
        <v>55.37</v>
      </c>
      <c r="X546" s="10">
        <v>55.37</v>
      </c>
      <c r="Y546" s="10">
        <v>55.35</v>
      </c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</row>
    <row r="547" spans="1:147" x14ac:dyDescent="0.3">
      <c r="A547" s="9">
        <f>DATE(2019, 2, 11)</f>
        <v>43507</v>
      </c>
      <c r="B547" s="10">
        <v>61.51</v>
      </c>
      <c r="C547" s="10">
        <v>61.52</v>
      </c>
      <c r="D547" s="10">
        <v>61.55</v>
      </c>
      <c r="E547" s="10">
        <v>61.47</v>
      </c>
      <c r="F547" s="10">
        <v>61.42</v>
      </c>
      <c r="G547" s="10">
        <v>61.34</v>
      </c>
      <c r="H547" s="10">
        <v>61.26</v>
      </c>
      <c r="I547" s="10">
        <v>61.2</v>
      </c>
      <c r="J547" s="10">
        <v>61.14</v>
      </c>
      <c r="K547" s="10">
        <v>61.09</v>
      </c>
      <c r="L547" s="10">
        <v>61.05</v>
      </c>
      <c r="M547" s="10">
        <v>61.02</v>
      </c>
      <c r="N547" s="10">
        <v>52.41</v>
      </c>
      <c r="O547" s="10">
        <v>52.78</v>
      </c>
      <c r="P547" s="10">
        <v>53.28</v>
      </c>
      <c r="Q547" s="10">
        <v>53.79</v>
      </c>
      <c r="R547" s="10">
        <v>54.24</v>
      </c>
      <c r="S547" s="10">
        <v>54.6</v>
      </c>
      <c r="T547" s="10">
        <v>54.87</v>
      </c>
      <c r="U547" s="10">
        <v>55.05</v>
      </c>
      <c r="V547" s="10">
        <v>55.16</v>
      </c>
      <c r="W547" s="10">
        <v>55.21</v>
      </c>
      <c r="X547" s="10">
        <v>55.22</v>
      </c>
      <c r="Y547" s="10">
        <v>55.21</v>
      </c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</row>
    <row r="548" spans="1:147" x14ac:dyDescent="0.3">
      <c r="A548" s="9">
        <f>DATE(2019, 2, 12)</f>
        <v>43508</v>
      </c>
      <c r="B548" s="10">
        <v>62.42</v>
      </c>
      <c r="C548" s="10">
        <v>62.4</v>
      </c>
      <c r="D548" s="10">
        <v>62.39</v>
      </c>
      <c r="E548" s="10">
        <v>62.29</v>
      </c>
      <c r="F548" s="10">
        <v>62.21</v>
      </c>
      <c r="G548" s="10">
        <v>62.11</v>
      </c>
      <c r="H548" s="10">
        <v>62</v>
      </c>
      <c r="I548" s="10">
        <v>61.92</v>
      </c>
      <c r="J548" s="10">
        <v>61.83</v>
      </c>
      <c r="K548" s="10">
        <v>61.76</v>
      </c>
      <c r="L548" s="10">
        <v>61.69</v>
      </c>
      <c r="M548" s="10">
        <v>61.64</v>
      </c>
      <c r="N548" s="10">
        <v>53.1</v>
      </c>
      <c r="O548" s="10">
        <v>53.47</v>
      </c>
      <c r="P548" s="10">
        <v>54</v>
      </c>
      <c r="Q548" s="10">
        <v>54.53</v>
      </c>
      <c r="R548" s="10">
        <v>54.98</v>
      </c>
      <c r="S548" s="10">
        <v>55.34</v>
      </c>
      <c r="T548" s="10">
        <v>55.6</v>
      </c>
      <c r="U548" s="10">
        <v>55.77</v>
      </c>
      <c r="V548" s="10">
        <v>55.87</v>
      </c>
      <c r="W548" s="10">
        <v>55.9</v>
      </c>
      <c r="X548" s="10">
        <v>55.89</v>
      </c>
      <c r="Y548" s="10">
        <v>55.86</v>
      </c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</row>
    <row r="549" spans="1:147" x14ac:dyDescent="0.3">
      <c r="A549" s="9">
        <f>DATE(2019, 2, 13)</f>
        <v>43509</v>
      </c>
      <c r="B549" s="10">
        <v>63.61</v>
      </c>
      <c r="C549" s="10">
        <v>63.58</v>
      </c>
      <c r="D549" s="10">
        <v>63.53</v>
      </c>
      <c r="E549" s="10">
        <v>63.39</v>
      </c>
      <c r="F549" s="10">
        <v>63.3</v>
      </c>
      <c r="G549" s="10">
        <v>63.18</v>
      </c>
      <c r="H549" s="10">
        <v>63.05</v>
      </c>
      <c r="I549" s="10">
        <v>62.95</v>
      </c>
      <c r="J549" s="10">
        <v>62.84</v>
      </c>
      <c r="K549" s="10">
        <v>62.74</v>
      </c>
      <c r="L549" s="10">
        <v>62.65</v>
      </c>
      <c r="M549" s="10">
        <v>62.57</v>
      </c>
      <c r="N549" s="10">
        <v>53.9</v>
      </c>
      <c r="O549" s="10">
        <v>54.31</v>
      </c>
      <c r="P549" s="10">
        <v>54.88</v>
      </c>
      <c r="Q549" s="10">
        <v>55.42</v>
      </c>
      <c r="R549" s="10">
        <v>55.89</v>
      </c>
      <c r="S549" s="10">
        <v>56.24</v>
      </c>
      <c r="T549" s="10">
        <v>56.49</v>
      </c>
      <c r="U549" s="10">
        <v>56.64</v>
      </c>
      <c r="V549" s="10">
        <v>56.71</v>
      </c>
      <c r="W549" s="10">
        <v>56.72</v>
      </c>
      <c r="X549" s="10">
        <v>56.7</v>
      </c>
      <c r="Y549" s="10">
        <v>56.65</v>
      </c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</row>
    <row r="550" spans="1:147" x14ac:dyDescent="0.3">
      <c r="A550" s="9">
        <f>DATE(2019, 2, 14)</f>
        <v>43510</v>
      </c>
      <c r="B550" s="10">
        <v>64.569999999999993</v>
      </c>
      <c r="C550" s="10">
        <v>64.52</v>
      </c>
      <c r="D550" s="10">
        <v>64.41</v>
      </c>
      <c r="E550" s="10">
        <v>64.239999999999995</v>
      </c>
      <c r="F550" s="10">
        <v>64.12</v>
      </c>
      <c r="G550" s="10">
        <v>64</v>
      </c>
      <c r="H550" s="10">
        <v>63.88</v>
      </c>
      <c r="I550" s="10">
        <v>63.78</v>
      </c>
      <c r="J550" s="10">
        <v>63.66</v>
      </c>
      <c r="K550" s="10">
        <v>63.55</v>
      </c>
      <c r="L550" s="10">
        <v>63.45</v>
      </c>
      <c r="M550" s="10">
        <v>63.37</v>
      </c>
      <c r="N550" s="10">
        <v>54.41</v>
      </c>
      <c r="O550" s="10">
        <v>54.79</v>
      </c>
      <c r="P550" s="10">
        <v>55.35</v>
      </c>
      <c r="Q550" s="10">
        <v>55.9</v>
      </c>
      <c r="R550" s="10">
        <v>56.37</v>
      </c>
      <c r="S550" s="10">
        <v>56.72</v>
      </c>
      <c r="T550" s="10">
        <v>56.96</v>
      </c>
      <c r="U550" s="10">
        <v>57.09</v>
      </c>
      <c r="V550" s="10">
        <v>57.16</v>
      </c>
      <c r="W550" s="10">
        <v>57.14</v>
      </c>
      <c r="X550" s="10">
        <v>57.09</v>
      </c>
      <c r="Y550" s="10">
        <v>57.02</v>
      </c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</row>
    <row r="551" spans="1:147" x14ac:dyDescent="0.3">
      <c r="A551" s="9">
        <f>DATE(2019, 2, 15)</f>
        <v>43511</v>
      </c>
      <c r="B551" s="10">
        <v>66.25</v>
      </c>
      <c r="C551" s="10">
        <v>66.22</v>
      </c>
      <c r="D551" s="10">
        <v>66.12</v>
      </c>
      <c r="E551" s="10">
        <v>65.959999999999994</v>
      </c>
      <c r="F551" s="10">
        <v>65.849999999999994</v>
      </c>
      <c r="G551" s="10">
        <v>65.72</v>
      </c>
      <c r="H551" s="10">
        <v>65.59</v>
      </c>
      <c r="I551" s="10">
        <v>65.48</v>
      </c>
      <c r="J551" s="10">
        <v>65.34</v>
      </c>
      <c r="K551" s="10">
        <v>65.22</v>
      </c>
      <c r="L551" s="10">
        <v>65.099999999999994</v>
      </c>
      <c r="M551" s="10">
        <v>64.989999999999995</v>
      </c>
      <c r="N551" s="10">
        <v>55.59</v>
      </c>
      <c r="O551" s="10">
        <v>55.98</v>
      </c>
      <c r="P551" s="10">
        <v>56.54</v>
      </c>
      <c r="Q551" s="10">
        <v>57.1</v>
      </c>
      <c r="R551" s="10">
        <v>57.59</v>
      </c>
      <c r="S551" s="10">
        <v>57.97</v>
      </c>
      <c r="T551" s="10">
        <v>58.24</v>
      </c>
      <c r="U551" s="10">
        <v>58.4</v>
      </c>
      <c r="V551" s="10">
        <v>58.48</v>
      </c>
      <c r="W551" s="10">
        <v>58.48</v>
      </c>
      <c r="X551" s="10">
        <v>58.43</v>
      </c>
      <c r="Y551" s="10">
        <v>58.35</v>
      </c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</row>
    <row r="552" spans="1:147" x14ac:dyDescent="0.3">
      <c r="A552" s="9">
        <f>DATE(2019, 2, 18)</f>
        <v>43514</v>
      </c>
      <c r="B552" s="10">
        <v>66.5</v>
      </c>
      <c r="C552" s="10">
        <v>66.5</v>
      </c>
      <c r="D552" s="10">
        <v>66.42</v>
      </c>
      <c r="E552" s="10">
        <v>66.28</v>
      </c>
      <c r="F552" s="10">
        <v>66.180000000000007</v>
      </c>
      <c r="G552" s="10">
        <v>66.06</v>
      </c>
      <c r="H552" s="10">
        <v>65.92</v>
      </c>
      <c r="I552" s="10">
        <v>65.8</v>
      </c>
      <c r="J552" s="10">
        <v>65.66</v>
      </c>
      <c r="K552" s="10">
        <v>65.540000000000006</v>
      </c>
      <c r="L552" s="10">
        <v>65.42</v>
      </c>
      <c r="M552" s="10">
        <v>65.3</v>
      </c>
      <c r="N552" s="10">
        <v>55.59</v>
      </c>
      <c r="O552" s="10">
        <v>55.98</v>
      </c>
      <c r="P552" s="10">
        <v>56.54</v>
      </c>
      <c r="Q552" s="10">
        <v>57.1</v>
      </c>
      <c r="R552" s="10">
        <v>57.59</v>
      </c>
      <c r="S552" s="10">
        <v>57.97</v>
      </c>
      <c r="T552" s="10">
        <v>58.24</v>
      </c>
      <c r="U552" s="10">
        <v>58.4</v>
      </c>
      <c r="V552" s="10">
        <v>58.48</v>
      </c>
      <c r="W552" s="10">
        <v>58.48</v>
      </c>
      <c r="X552" s="10">
        <v>58.43</v>
      </c>
      <c r="Y552" s="10">
        <v>58.35</v>
      </c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</row>
    <row r="553" spans="1:147" x14ac:dyDescent="0.3">
      <c r="A553" s="9">
        <f>DATE(2019, 2, 19)</f>
        <v>43515</v>
      </c>
      <c r="B553" s="10">
        <v>66.45</v>
      </c>
      <c r="C553" s="10">
        <v>66.47</v>
      </c>
      <c r="D553" s="10">
        <v>66.400000000000006</v>
      </c>
      <c r="E553" s="10">
        <v>66.25</v>
      </c>
      <c r="F553" s="10">
        <v>66.150000000000006</v>
      </c>
      <c r="G553" s="10">
        <v>66.040000000000006</v>
      </c>
      <c r="H553" s="10">
        <v>65.92</v>
      </c>
      <c r="I553" s="10">
        <v>65.81</v>
      </c>
      <c r="J553" s="10">
        <v>65.67</v>
      </c>
      <c r="K553" s="10">
        <v>65.56</v>
      </c>
      <c r="L553" s="10">
        <v>65.44</v>
      </c>
      <c r="M553" s="10">
        <v>65.319999999999993</v>
      </c>
      <c r="N553" s="10">
        <v>56.09</v>
      </c>
      <c r="O553" s="10">
        <v>56.45</v>
      </c>
      <c r="P553" s="10">
        <v>56.95</v>
      </c>
      <c r="Q553" s="10">
        <v>57.48</v>
      </c>
      <c r="R553" s="10">
        <v>57.96</v>
      </c>
      <c r="S553" s="10">
        <v>58.32</v>
      </c>
      <c r="T553" s="10">
        <v>58.57</v>
      </c>
      <c r="U553" s="10">
        <v>58.72</v>
      </c>
      <c r="V553" s="10">
        <v>58.78</v>
      </c>
      <c r="W553" s="10">
        <v>58.77</v>
      </c>
      <c r="X553" s="10">
        <v>58.71</v>
      </c>
      <c r="Y553" s="10">
        <v>58.62</v>
      </c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</row>
    <row r="554" spans="1:147" x14ac:dyDescent="0.3">
      <c r="A554" s="9">
        <f>DATE(2019, 2, 20)</f>
        <v>43516</v>
      </c>
      <c r="B554" s="10">
        <v>67.08</v>
      </c>
      <c r="C554" s="10">
        <v>67.13</v>
      </c>
      <c r="D554" s="10">
        <v>67.05</v>
      </c>
      <c r="E554" s="10">
        <v>66.88</v>
      </c>
      <c r="F554" s="10">
        <v>66.77</v>
      </c>
      <c r="G554" s="10">
        <v>66.650000000000006</v>
      </c>
      <c r="H554" s="10">
        <v>66.510000000000005</v>
      </c>
      <c r="I554" s="10">
        <v>66.37</v>
      </c>
      <c r="J554" s="10">
        <v>66.209999999999994</v>
      </c>
      <c r="K554" s="10">
        <v>66.069999999999993</v>
      </c>
      <c r="L554" s="10">
        <v>65.930000000000007</v>
      </c>
      <c r="M554" s="10">
        <v>65.8</v>
      </c>
      <c r="N554" s="10">
        <v>56.92</v>
      </c>
      <c r="O554" s="10">
        <v>57.16</v>
      </c>
      <c r="P554" s="10">
        <v>57.64</v>
      </c>
      <c r="Q554" s="10">
        <v>58.13</v>
      </c>
      <c r="R554" s="10">
        <v>58.57</v>
      </c>
      <c r="S554" s="10">
        <v>58.9</v>
      </c>
      <c r="T554" s="10">
        <v>59.1</v>
      </c>
      <c r="U554" s="10">
        <v>59.2</v>
      </c>
      <c r="V554" s="10">
        <v>59.23</v>
      </c>
      <c r="W554" s="10">
        <v>59.17</v>
      </c>
      <c r="X554" s="10">
        <v>59.09</v>
      </c>
      <c r="Y554" s="10">
        <v>58.98</v>
      </c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</row>
    <row r="555" spans="1:147" x14ac:dyDescent="0.3">
      <c r="A555" s="9">
        <f>DATE(2019, 2, 21)</f>
        <v>43517</v>
      </c>
      <c r="B555" s="10">
        <v>67.069999999999993</v>
      </c>
      <c r="C555" s="10">
        <v>67.19</v>
      </c>
      <c r="D555" s="10">
        <v>67.12</v>
      </c>
      <c r="E555" s="10">
        <v>66.95</v>
      </c>
      <c r="F555" s="10">
        <v>66.83</v>
      </c>
      <c r="G555" s="10">
        <v>66.709999999999994</v>
      </c>
      <c r="H555" s="10">
        <v>66.569999999999993</v>
      </c>
      <c r="I555" s="10">
        <v>66.430000000000007</v>
      </c>
      <c r="J555" s="10">
        <v>66.27</v>
      </c>
      <c r="K555" s="10">
        <v>66.13</v>
      </c>
      <c r="L555" s="10">
        <v>65.989999999999995</v>
      </c>
      <c r="M555" s="10">
        <v>65.849999999999994</v>
      </c>
      <c r="N555" s="10">
        <v>56.96</v>
      </c>
      <c r="O555" s="10">
        <v>57.46</v>
      </c>
      <c r="P555" s="10">
        <v>57.98</v>
      </c>
      <c r="Q555" s="10">
        <v>58.45</v>
      </c>
      <c r="R555" s="10">
        <v>58.81</v>
      </c>
      <c r="S555" s="10">
        <v>59.05</v>
      </c>
      <c r="T555" s="10">
        <v>59.18</v>
      </c>
      <c r="U555" s="10">
        <v>59.22</v>
      </c>
      <c r="V555" s="10">
        <v>59.17</v>
      </c>
      <c r="W555" s="10">
        <v>59.09</v>
      </c>
      <c r="X555" s="10">
        <v>58.98</v>
      </c>
      <c r="Y555" s="10">
        <v>58.84</v>
      </c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</row>
    <row r="556" spans="1:147" x14ac:dyDescent="0.3">
      <c r="A556" s="9">
        <f>DATE(2019, 2, 22)</f>
        <v>43518</v>
      </c>
      <c r="B556" s="10">
        <v>67.12</v>
      </c>
      <c r="C556" s="10">
        <v>67.25</v>
      </c>
      <c r="D556" s="10">
        <v>67.180000000000007</v>
      </c>
      <c r="E556" s="10">
        <v>67.010000000000005</v>
      </c>
      <c r="F556" s="10">
        <v>66.89</v>
      </c>
      <c r="G556" s="10">
        <v>66.77</v>
      </c>
      <c r="H556" s="10">
        <v>66.64</v>
      </c>
      <c r="I556" s="10">
        <v>66.510000000000005</v>
      </c>
      <c r="J556" s="10">
        <v>66.349999999999994</v>
      </c>
      <c r="K556" s="10">
        <v>66.209999999999994</v>
      </c>
      <c r="L556" s="10">
        <v>66.069999999999993</v>
      </c>
      <c r="M556" s="10">
        <v>65.930000000000007</v>
      </c>
      <c r="N556" s="10">
        <v>57.26</v>
      </c>
      <c r="O556" s="10">
        <v>57.75</v>
      </c>
      <c r="P556" s="10">
        <v>58.25</v>
      </c>
      <c r="Q556" s="10">
        <v>58.71</v>
      </c>
      <c r="R556" s="10">
        <v>59.08</v>
      </c>
      <c r="S556" s="10">
        <v>59.32</v>
      </c>
      <c r="T556" s="10">
        <v>59.44</v>
      </c>
      <c r="U556" s="10">
        <v>59.47</v>
      </c>
      <c r="V556" s="10">
        <v>59.4</v>
      </c>
      <c r="W556" s="10">
        <v>59.3</v>
      </c>
      <c r="X556" s="10">
        <v>59.17</v>
      </c>
      <c r="Y556" s="10">
        <v>59.02</v>
      </c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</row>
    <row r="557" spans="1:147" x14ac:dyDescent="0.3">
      <c r="A557" s="9">
        <f>DATE(2019, 2, 25)</f>
        <v>43521</v>
      </c>
      <c r="B557" s="10">
        <v>64.760000000000005</v>
      </c>
      <c r="C557" s="10">
        <v>64.91</v>
      </c>
      <c r="D557" s="10">
        <v>64.88</v>
      </c>
      <c r="E557" s="10">
        <v>64.75</v>
      </c>
      <c r="F557" s="10">
        <v>64.67</v>
      </c>
      <c r="G557" s="10">
        <v>64.599999999999994</v>
      </c>
      <c r="H557" s="10">
        <v>64.5</v>
      </c>
      <c r="I557" s="10">
        <v>64.41</v>
      </c>
      <c r="J557" s="10">
        <v>64.31</v>
      </c>
      <c r="K557" s="10">
        <v>64.209999999999994</v>
      </c>
      <c r="L557" s="10">
        <v>64.099999999999994</v>
      </c>
      <c r="M557" s="10">
        <v>64.010000000000005</v>
      </c>
      <c r="N557" s="10">
        <v>55.48</v>
      </c>
      <c r="O557" s="10">
        <v>55.92</v>
      </c>
      <c r="P557" s="10">
        <v>56.42</v>
      </c>
      <c r="Q557" s="10">
        <v>56.88</v>
      </c>
      <c r="R557" s="10">
        <v>57.26</v>
      </c>
      <c r="S557" s="10">
        <v>57.52</v>
      </c>
      <c r="T557" s="10">
        <v>57.67</v>
      </c>
      <c r="U557" s="10">
        <v>57.71</v>
      </c>
      <c r="V557" s="10">
        <v>57.68</v>
      </c>
      <c r="W557" s="10">
        <v>57.61</v>
      </c>
      <c r="X557" s="10">
        <v>57.51</v>
      </c>
      <c r="Y557" s="10">
        <v>57.39</v>
      </c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</row>
    <row r="558" spans="1:147" x14ac:dyDescent="0.3">
      <c r="A558" s="9">
        <f>DATE(2019, 2, 26)</f>
        <v>43522</v>
      </c>
      <c r="B558" s="10">
        <v>65.209999999999994</v>
      </c>
      <c r="C558" s="10">
        <v>65.36</v>
      </c>
      <c r="D558" s="10">
        <v>65.349999999999994</v>
      </c>
      <c r="E558" s="10">
        <v>65.239999999999995</v>
      </c>
      <c r="F558" s="10">
        <v>65.19</v>
      </c>
      <c r="G558" s="10">
        <v>65.13</v>
      </c>
      <c r="H558" s="10">
        <v>65.040000000000006</v>
      </c>
      <c r="I558" s="10">
        <v>64.95</v>
      </c>
      <c r="J558" s="10">
        <v>64.84</v>
      </c>
      <c r="K558" s="10">
        <v>64.739999999999995</v>
      </c>
      <c r="L558" s="10">
        <v>64.64</v>
      </c>
      <c r="M558" s="10">
        <v>64.540000000000006</v>
      </c>
      <c r="N558" s="10">
        <v>55.5</v>
      </c>
      <c r="O558" s="10">
        <v>55.97</v>
      </c>
      <c r="P558" s="10">
        <v>56.51</v>
      </c>
      <c r="Q558" s="10">
        <v>57.01</v>
      </c>
      <c r="R558" s="10">
        <v>57.42</v>
      </c>
      <c r="S558" s="10">
        <v>57.72</v>
      </c>
      <c r="T558" s="10">
        <v>57.89</v>
      </c>
      <c r="U558" s="10">
        <v>57.96</v>
      </c>
      <c r="V558" s="10">
        <v>57.98</v>
      </c>
      <c r="W558" s="10">
        <v>57.93</v>
      </c>
      <c r="X558" s="10">
        <v>57.84</v>
      </c>
      <c r="Y558" s="10">
        <v>57.74</v>
      </c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</row>
    <row r="559" spans="1:147" x14ac:dyDescent="0.3">
      <c r="A559" s="9">
        <f>DATE(2019, 2, 27)</f>
        <v>43523</v>
      </c>
      <c r="B559" s="10">
        <v>66.39</v>
      </c>
      <c r="C559" s="10">
        <v>66.58</v>
      </c>
      <c r="D559" s="10">
        <v>66.569999999999993</v>
      </c>
      <c r="E559" s="10">
        <v>66.45</v>
      </c>
      <c r="F559" s="10">
        <v>66.38</v>
      </c>
      <c r="G559" s="10">
        <v>66.290000000000006</v>
      </c>
      <c r="H559" s="10">
        <v>66.16</v>
      </c>
      <c r="I559" s="10">
        <v>66.02</v>
      </c>
      <c r="J559" s="10">
        <v>65.87</v>
      </c>
      <c r="K559" s="10">
        <v>65.739999999999995</v>
      </c>
      <c r="L559" s="10">
        <v>65.61</v>
      </c>
      <c r="M559" s="10">
        <v>65.48</v>
      </c>
      <c r="N559" s="10">
        <v>56.94</v>
      </c>
      <c r="O559" s="10">
        <v>57.37</v>
      </c>
      <c r="P559" s="10">
        <v>57.87</v>
      </c>
      <c r="Q559" s="10">
        <v>58.33</v>
      </c>
      <c r="R559" s="10">
        <v>58.7</v>
      </c>
      <c r="S559" s="10">
        <v>58.96</v>
      </c>
      <c r="T559" s="10">
        <v>59.1</v>
      </c>
      <c r="U559" s="10">
        <v>59.13</v>
      </c>
      <c r="V559" s="10">
        <v>59.08</v>
      </c>
      <c r="W559" s="10">
        <v>58.99</v>
      </c>
      <c r="X559" s="10">
        <v>58.88</v>
      </c>
      <c r="Y559" s="10">
        <v>58.74</v>
      </c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</row>
    <row r="560" spans="1:147" x14ac:dyDescent="0.3">
      <c r="A560" s="9">
        <f>DATE(2019, 2, 28)</f>
        <v>43524</v>
      </c>
      <c r="B560" s="10">
        <v>66.03</v>
      </c>
      <c r="C560" s="10">
        <v>66.31</v>
      </c>
      <c r="D560" s="10">
        <v>66.33</v>
      </c>
      <c r="E560" s="10">
        <v>66.23</v>
      </c>
      <c r="F560" s="10">
        <v>66.180000000000007</v>
      </c>
      <c r="G560" s="10">
        <v>66.09</v>
      </c>
      <c r="H560" s="10">
        <v>65.97</v>
      </c>
      <c r="I560" s="10">
        <v>65.86</v>
      </c>
      <c r="J560" s="10">
        <v>65.72</v>
      </c>
      <c r="K560" s="10">
        <v>65.599999999999994</v>
      </c>
      <c r="L560" s="10">
        <v>65.48</v>
      </c>
      <c r="M560" s="10">
        <v>65.349999999999994</v>
      </c>
      <c r="N560" s="10">
        <v>57.22</v>
      </c>
      <c r="O560" s="10">
        <v>57.61</v>
      </c>
      <c r="P560" s="10">
        <v>58.06</v>
      </c>
      <c r="Q560" s="10">
        <v>58.49</v>
      </c>
      <c r="R560" s="10">
        <v>58.83</v>
      </c>
      <c r="S560" s="10">
        <v>59.06</v>
      </c>
      <c r="T560" s="10">
        <v>59.17</v>
      </c>
      <c r="U560" s="10">
        <v>59.18</v>
      </c>
      <c r="V560" s="10">
        <v>59.13</v>
      </c>
      <c r="W560" s="10">
        <v>59.02</v>
      </c>
      <c r="X560" s="10">
        <v>58.88</v>
      </c>
      <c r="Y560" s="10">
        <v>58.72</v>
      </c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</row>
    <row r="561" spans="1:147" x14ac:dyDescent="0.3">
      <c r="A561" s="9">
        <f>DATE(2019, 3, 1)</f>
        <v>43525</v>
      </c>
      <c r="B561" s="10">
        <v>65.069999999999993</v>
      </c>
      <c r="C561" s="10">
        <v>65.11</v>
      </c>
      <c r="D561" s="10">
        <v>65.03</v>
      </c>
      <c r="E561" s="10">
        <v>65</v>
      </c>
      <c r="F561" s="10">
        <v>64.94</v>
      </c>
      <c r="G561" s="10">
        <v>64.86</v>
      </c>
      <c r="H561" s="10">
        <v>64.78</v>
      </c>
      <c r="I561" s="10">
        <v>64.67</v>
      </c>
      <c r="J561" s="10">
        <v>64.58</v>
      </c>
      <c r="K561" s="10">
        <v>64.48</v>
      </c>
      <c r="L561" s="10">
        <v>64.38</v>
      </c>
      <c r="M561" s="10">
        <v>64.27</v>
      </c>
      <c r="N561" s="10">
        <v>55.8</v>
      </c>
      <c r="O561" s="10">
        <v>56.19</v>
      </c>
      <c r="P561" s="10">
        <v>56.65</v>
      </c>
      <c r="Q561" s="10">
        <v>57.11</v>
      </c>
      <c r="R561" s="10">
        <v>57.49</v>
      </c>
      <c r="S561" s="10">
        <v>57.75</v>
      </c>
      <c r="T561" s="10">
        <v>57.9</v>
      </c>
      <c r="U561" s="10">
        <v>57.95</v>
      </c>
      <c r="V561" s="10">
        <v>57.95</v>
      </c>
      <c r="W561" s="10">
        <v>57.89</v>
      </c>
      <c r="X561" s="10">
        <v>57.79</v>
      </c>
      <c r="Y561" s="10">
        <v>57.66</v>
      </c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</row>
    <row r="562" spans="1:147" x14ac:dyDescent="0.3">
      <c r="A562" s="9">
        <f>DATE(2019, 3, 4)</f>
        <v>43528</v>
      </c>
      <c r="B562" s="10">
        <v>65.67</v>
      </c>
      <c r="C562" s="10">
        <v>65.739999999999995</v>
      </c>
      <c r="D562" s="10">
        <v>65.69</v>
      </c>
      <c r="E562" s="10">
        <v>65.67</v>
      </c>
      <c r="F562" s="10">
        <v>65.62</v>
      </c>
      <c r="G562" s="10">
        <v>65.569999999999993</v>
      </c>
      <c r="H562" s="10">
        <v>65.510000000000005</v>
      </c>
      <c r="I562" s="10">
        <v>65.41</v>
      </c>
      <c r="J562" s="10">
        <v>65.34</v>
      </c>
      <c r="K562" s="10">
        <v>65.25</v>
      </c>
      <c r="L562" s="10">
        <v>65.150000000000006</v>
      </c>
      <c r="M562" s="10">
        <v>65.040000000000006</v>
      </c>
      <c r="N562" s="10">
        <v>56.59</v>
      </c>
      <c r="O562" s="10">
        <v>56.97</v>
      </c>
      <c r="P562" s="10">
        <v>57.42</v>
      </c>
      <c r="Q562" s="10">
        <v>57.89</v>
      </c>
      <c r="R562" s="10">
        <v>58.28</v>
      </c>
      <c r="S562" s="10">
        <v>58.55</v>
      </c>
      <c r="T562" s="10">
        <v>58.71</v>
      </c>
      <c r="U562" s="10">
        <v>58.78</v>
      </c>
      <c r="V562" s="10">
        <v>58.78</v>
      </c>
      <c r="W562" s="10">
        <v>58.72</v>
      </c>
      <c r="X562" s="10">
        <v>58.63</v>
      </c>
      <c r="Y562" s="10">
        <v>58.51</v>
      </c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</row>
    <row r="563" spans="1:147" x14ac:dyDescent="0.3">
      <c r="A563" s="9">
        <f>DATE(2019, 3, 5)</f>
        <v>43529</v>
      </c>
      <c r="B563" s="10">
        <v>65.86</v>
      </c>
      <c r="C563" s="10">
        <v>65.92</v>
      </c>
      <c r="D563" s="10">
        <v>65.86</v>
      </c>
      <c r="E563" s="10">
        <v>65.819999999999993</v>
      </c>
      <c r="F563" s="10">
        <v>65.77</v>
      </c>
      <c r="G563" s="10">
        <v>65.7</v>
      </c>
      <c r="H563" s="10">
        <v>65.63</v>
      </c>
      <c r="I563" s="10">
        <v>65.540000000000006</v>
      </c>
      <c r="J563" s="10">
        <v>65.45</v>
      </c>
      <c r="K563" s="10">
        <v>65.36</v>
      </c>
      <c r="L563" s="10">
        <v>65.25</v>
      </c>
      <c r="M563" s="10">
        <v>65.150000000000006</v>
      </c>
      <c r="N563" s="10">
        <v>56.56</v>
      </c>
      <c r="O563" s="10">
        <v>56.94</v>
      </c>
      <c r="P563" s="10">
        <v>57.4</v>
      </c>
      <c r="Q563" s="10">
        <v>57.87</v>
      </c>
      <c r="R563" s="10">
        <v>58.26</v>
      </c>
      <c r="S563" s="10">
        <v>58.54</v>
      </c>
      <c r="T563" s="10">
        <v>58.7</v>
      </c>
      <c r="U563" s="10">
        <v>58.77</v>
      </c>
      <c r="V563" s="10">
        <v>58.78</v>
      </c>
      <c r="W563" s="10">
        <v>58.72</v>
      </c>
      <c r="X563" s="10">
        <v>58.63</v>
      </c>
      <c r="Y563" s="10">
        <v>58.51</v>
      </c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</row>
    <row r="564" spans="1:147" x14ac:dyDescent="0.3">
      <c r="A564" s="9">
        <f>DATE(2019, 3, 6)</f>
        <v>43530</v>
      </c>
      <c r="B564" s="10">
        <v>65.989999999999995</v>
      </c>
      <c r="C564" s="10">
        <v>65.97</v>
      </c>
      <c r="D564" s="10">
        <v>65.87</v>
      </c>
      <c r="E564" s="10">
        <v>65.8</v>
      </c>
      <c r="F564" s="10">
        <v>65.72</v>
      </c>
      <c r="G564" s="10">
        <v>65.64</v>
      </c>
      <c r="H564" s="10">
        <v>65.56</v>
      </c>
      <c r="I564" s="10">
        <v>65.459999999999994</v>
      </c>
      <c r="J564" s="10">
        <v>65.36</v>
      </c>
      <c r="K564" s="10">
        <v>65.260000000000005</v>
      </c>
      <c r="L564" s="10">
        <v>65.150000000000006</v>
      </c>
      <c r="M564" s="10">
        <v>65.03</v>
      </c>
      <c r="N564" s="10">
        <v>56.22</v>
      </c>
      <c r="O564" s="10">
        <v>56.62</v>
      </c>
      <c r="P564" s="10">
        <v>57.1</v>
      </c>
      <c r="Q564" s="10">
        <v>57.6</v>
      </c>
      <c r="R564" s="10">
        <v>58.02</v>
      </c>
      <c r="S564" s="10">
        <v>58.31</v>
      </c>
      <c r="T564" s="10">
        <v>58.49</v>
      </c>
      <c r="U564" s="10">
        <v>58.58</v>
      </c>
      <c r="V564" s="10">
        <v>58.61</v>
      </c>
      <c r="W564" s="10">
        <v>58.57</v>
      </c>
      <c r="X564" s="10">
        <v>58.5</v>
      </c>
      <c r="Y564" s="10">
        <v>58.4</v>
      </c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</row>
    <row r="565" spans="1:147" x14ac:dyDescent="0.3">
      <c r="A565" s="9">
        <f>DATE(2019, 3, 7)</f>
        <v>43531</v>
      </c>
      <c r="B565" s="10">
        <v>66.3</v>
      </c>
      <c r="C565" s="10">
        <v>66.260000000000005</v>
      </c>
      <c r="D565" s="10">
        <v>66.16</v>
      </c>
      <c r="E565" s="10">
        <v>66.069999999999993</v>
      </c>
      <c r="F565" s="10">
        <v>65.97</v>
      </c>
      <c r="G565" s="10">
        <v>65.88</v>
      </c>
      <c r="H565" s="10">
        <v>65.790000000000006</v>
      </c>
      <c r="I565" s="10">
        <v>65.680000000000007</v>
      </c>
      <c r="J565" s="10">
        <v>65.58</v>
      </c>
      <c r="K565" s="10">
        <v>65.48</v>
      </c>
      <c r="L565" s="10">
        <v>65.37</v>
      </c>
      <c r="M565" s="10">
        <v>65.239999999999995</v>
      </c>
      <c r="N565" s="10">
        <v>56.66</v>
      </c>
      <c r="O565" s="10">
        <v>57.03</v>
      </c>
      <c r="P565" s="10">
        <v>57.48</v>
      </c>
      <c r="Q565" s="10">
        <v>57.95</v>
      </c>
      <c r="R565" s="10">
        <v>58.34</v>
      </c>
      <c r="S565" s="10">
        <v>58.61</v>
      </c>
      <c r="T565" s="10">
        <v>58.78</v>
      </c>
      <c r="U565" s="10">
        <v>58.86</v>
      </c>
      <c r="V565" s="10">
        <v>58.87</v>
      </c>
      <c r="W565" s="10">
        <v>58.82</v>
      </c>
      <c r="X565" s="10">
        <v>58.74</v>
      </c>
      <c r="Y565" s="10">
        <v>58.63</v>
      </c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</row>
    <row r="566" spans="1:147" x14ac:dyDescent="0.3">
      <c r="A566" s="9">
        <f>DATE(2019, 3, 8)</f>
        <v>43532</v>
      </c>
      <c r="B566" s="10">
        <v>65.739999999999995</v>
      </c>
      <c r="C566" s="10">
        <v>65.66</v>
      </c>
      <c r="D566" s="10">
        <v>65.56</v>
      </c>
      <c r="E566" s="10">
        <v>65.48</v>
      </c>
      <c r="F566" s="10">
        <v>65.39</v>
      </c>
      <c r="G566" s="10">
        <v>65.31</v>
      </c>
      <c r="H566" s="10">
        <v>65.25</v>
      </c>
      <c r="I566" s="10">
        <v>65.16</v>
      </c>
      <c r="J566" s="10">
        <v>65.09</v>
      </c>
      <c r="K566" s="10">
        <v>65.010000000000005</v>
      </c>
      <c r="L566" s="10">
        <v>64.91</v>
      </c>
      <c r="M566" s="10">
        <v>64.790000000000006</v>
      </c>
      <c r="N566" s="10">
        <v>56.07</v>
      </c>
      <c r="O566" s="10">
        <v>56.43</v>
      </c>
      <c r="P566" s="10">
        <v>56.87</v>
      </c>
      <c r="Q566" s="10">
        <v>57.32</v>
      </c>
      <c r="R566" s="10">
        <v>57.68</v>
      </c>
      <c r="S566" s="10">
        <v>57.94</v>
      </c>
      <c r="T566" s="10">
        <v>58.1</v>
      </c>
      <c r="U566" s="10">
        <v>58.19</v>
      </c>
      <c r="V566" s="10">
        <v>58.22</v>
      </c>
      <c r="W566" s="10">
        <v>58.2</v>
      </c>
      <c r="X566" s="10">
        <v>58.15</v>
      </c>
      <c r="Y566" s="10">
        <v>58.07</v>
      </c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</row>
    <row r="567" spans="1:147" x14ac:dyDescent="0.3">
      <c r="A567" s="9">
        <f>DATE(2019, 3, 11)</f>
        <v>43535</v>
      </c>
      <c r="B567" s="10">
        <v>66.58</v>
      </c>
      <c r="C567" s="10">
        <v>66.48</v>
      </c>
      <c r="D567" s="10">
        <v>66.34</v>
      </c>
      <c r="E567" s="10">
        <v>66.22</v>
      </c>
      <c r="F567" s="10">
        <v>66.099999999999994</v>
      </c>
      <c r="G567" s="10">
        <v>66</v>
      </c>
      <c r="H567" s="10">
        <v>65.92</v>
      </c>
      <c r="I567" s="10">
        <v>65.81</v>
      </c>
      <c r="J567" s="10">
        <v>65.73</v>
      </c>
      <c r="K567" s="10">
        <v>65.62</v>
      </c>
      <c r="L567" s="10">
        <v>65.510000000000005</v>
      </c>
      <c r="M567" s="10">
        <v>65.39</v>
      </c>
      <c r="N567" s="10">
        <v>56.79</v>
      </c>
      <c r="O567" s="10">
        <v>57.12</v>
      </c>
      <c r="P567" s="10">
        <v>57.54</v>
      </c>
      <c r="Q567" s="10">
        <v>57.97</v>
      </c>
      <c r="R567" s="10">
        <v>58.31</v>
      </c>
      <c r="S567" s="10">
        <v>58.55</v>
      </c>
      <c r="T567" s="10">
        <v>58.7</v>
      </c>
      <c r="U567" s="10">
        <v>58.78</v>
      </c>
      <c r="V567" s="10">
        <v>58.8</v>
      </c>
      <c r="W567" s="10">
        <v>58.76</v>
      </c>
      <c r="X567" s="10">
        <v>58.69</v>
      </c>
      <c r="Y567" s="10">
        <v>58.6</v>
      </c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</row>
    <row r="568" spans="1:147" x14ac:dyDescent="0.3">
      <c r="A568" s="9">
        <f>DATE(2019, 3, 12)</f>
        <v>43536</v>
      </c>
      <c r="B568" s="10">
        <v>66.67</v>
      </c>
      <c r="C568" s="10">
        <v>66.58</v>
      </c>
      <c r="D568" s="10">
        <v>66.430000000000007</v>
      </c>
      <c r="E568" s="10">
        <v>66.31</v>
      </c>
      <c r="F568" s="10">
        <v>66.19</v>
      </c>
      <c r="G568" s="10">
        <v>66.09</v>
      </c>
      <c r="H568" s="10">
        <v>66</v>
      </c>
      <c r="I568" s="10">
        <v>65.89</v>
      </c>
      <c r="J568" s="10">
        <v>65.81</v>
      </c>
      <c r="K568" s="10">
        <v>65.7</v>
      </c>
      <c r="L568" s="10">
        <v>65.58</v>
      </c>
      <c r="M568" s="10">
        <v>65.459999999999994</v>
      </c>
      <c r="N568" s="10">
        <v>56.87</v>
      </c>
      <c r="O568" s="10">
        <v>57.2</v>
      </c>
      <c r="P568" s="10">
        <v>57.62</v>
      </c>
      <c r="Q568" s="10">
        <v>58.06</v>
      </c>
      <c r="R568" s="10">
        <v>58.4</v>
      </c>
      <c r="S568" s="10">
        <v>58.64</v>
      </c>
      <c r="T568" s="10">
        <v>58.78</v>
      </c>
      <c r="U568" s="10">
        <v>58.85</v>
      </c>
      <c r="V568" s="10">
        <v>58.87</v>
      </c>
      <c r="W568" s="10">
        <v>58.82</v>
      </c>
      <c r="X568" s="10">
        <v>58.74</v>
      </c>
      <c r="Y568" s="10">
        <v>58.63</v>
      </c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</row>
    <row r="569" spans="1:147" x14ac:dyDescent="0.3">
      <c r="A569" s="9">
        <f>DATE(2019, 3, 13)</f>
        <v>43537</v>
      </c>
      <c r="B569" s="10">
        <v>67.55</v>
      </c>
      <c r="C569" s="10">
        <v>67.459999999999994</v>
      </c>
      <c r="D569" s="10">
        <v>67.31</v>
      </c>
      <c r="E569" s="10">
        <v>67.180000000000007</v>
      </c>
      <c r="F569" s="10">
        <v>67.05</v>
      </c>
      <c r="G569" s="10">
        <v>66.94</v>
      </c>
      <c r="H569" s="10">
        <v>66.84</v>
      </c>
      <c r="I569" s="10">
        <v>66.72</v>
      </c>
      <c r="J569" s="10">
        <v>66.62</v>
      </c>
      <c r="K569" s="10">
        <v>66.510000000000005</v>
      </c>
      <c r="L569" s="10">
        <v>66.38</v>
      </c>
      <c r="M569" s="10">
        <v>66.23</v>
      </c>
      <c r="N569" s="10">
        <v>58.26</v>
      </c>
      <c r="O569" s="10">
        <v>58.59</v>
      </c>
      <c r="P569" s="10">
        <v>58.94</v>
      </c>
      <c r="Q569" s="10">
        <v>59.32</v>
      </c>
      <c r="R569" s="10">
        <v>59.62</v>
      </c>
      <c r="S569" s="10">
        <v>59.81</v>
      </c>
      <c r="T569" s="10">
        <v>59.91</v>
      </c>
      <c r="U569" s="10">
        <v>59.94</v>
      </c>
      <c r="V569" s="10">
        <v>59.92</v>
      </c>
      <c r="W569" s="10">
        <v>59.82</v>
      </c>
      <c r="X569" s="10">
        <v>59.7</v>
      </c>
      <c r="Y569" s="10">
        <v>59.54</v>
      </c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</row>
    <row r="570" spans="1:147" x14ac:dyDescent="0.3">
      <c r="A570" s="9">
        <f>DATE(2019, 3, 14)</f>
        <v>43538</v>
      </c>
      <c r="B570" s="10">
        <v>67.23</v>
      </c>
      <c r="C570" s="10">
        <v>67.13</v>
      </c>
      <c r="D570" s="10">
        <v>66.959999999999994</v>
      </c>
      <c r="E570" s="10">
        <v>66.83</v>
      </c>
      <c r="F570" s="10">
        <v>66.709999999999994</v>
      </c>
      <c r="G570" s="10">
        <v>66.59</v>
      </c>
      <c r="H570" s="10">
        <v>66.48</v>
      </c>
      <c r="I570" s="10">
        <v>66.34</v>
      </c>
      <c r="J570" s="10">
        <v>66.23</v>
      </c>
      <c r="K570" s="10">
        <v>66.099999999999994</v>
      </c>
      <c r="L570" s="10">
        <v>65.95</v>
      </c>
      <c r="M570" s="10">
        <v>65.8</v>
      </c>
      <c r="N570" s="10">
        <v>58.61</v>
      </c>
      <c r="O570" s="10">
        <v>58.91</v>
      </c>
      <c r="P570" s="10">
        <v>59.21</v>
      </c>
      <c r="Q570" s="10">
        <v>59.54</v>
      </c>
      <c r="R570" s="10">
        <v>59.81</v>
      </c>
      <c r="S570" s="10">
        <v>59.97</v>
      </c>
      <c r="T570" s="10">
        <v>60.03</v>
      </c>
      <c r="U570" s="10">
        <v>60.01</v>
      </c>
      <c r="V570" s="10">
        <v>59.94</v>
      </c>
      <c r="W570" s="10">
        <v>59.8</v>
      </c>
      <c r="X570" s="10">
        <v>59.64</v>
      </c>
      <c r="Y570" s="10">
        <v>59.44</v>
      </c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</row>
    <row r="571" spans="1:147" x14ac:dyDescent="0.3">
      <c r="A571" s="9">
        <f>DATE(2019, 3, 15)</f>
        <v>43539</v>
      </c>
      <c r="B571" s="10">
        <v>67.16</v>
      </c>
      <c r="C571" s="10">
        <v>67.040000000000006</v>
      </c>
      <c r="D571" s="10">
        <v>66.86</v>
      </c>
      <c r="E571" s="10">
        <v>66.7</v>
      </c>
      <c r="F571" s="10">
        <v>66.569999999999993</v>
      </c>
      <c r="G571" s="10">
        <v>66.44</v>
      </c>
      <c r="H571" s="10">
        <v>66.31</v>
      </c>
      <c r="I571" s="10">
        <v>66.16</v>
      </c>
      <c r="J571" s="10">
        <v>66.040000000000006</v>
      </c>
      <c r="K571" s="10">
        <v>65.92</v>
      </c>
      <c r="L571" s="10">
        <v>65.78</v>
      </c>
      <c r="M571" s="10">
        <v>65.63</v>
      </c>
      <c r="N571" s="10">
        <v>58.52</v>
      </c>
      <c r="O571" s="10">
        <v>58.82</v>
      </c>
      <c r="P571" s="10">
        <v>59.12</v>
      </c>
      <c r="Q571" s="10">
        <v>59.44</v>
      </c>
      <c r="R571" s="10">
        <v>59.72</v>
      </c>
      <c r="S571" s="10">
        <v>59.89</v>
      </c>
      <c r="T571" s="10">
        <v>59.95</v>
      </c>
      <c r="U571" s="10">
        <v>59.92</v>
      </c>
      <c r="V571" s="10">
        <v>59.84</v>
      </c>
      <c r="W571" s="10">
        <v>59.72</v>
      </c>
      <c r="X571" s="10">
        <v>59.57</v>
      </c>
      <c r="Y571" s="10">
        <v>59.38</v>
      </c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</row>
    <row r="572" spans="1:147" x14ac:dyDescent="0.3">
      <c r="A572" s="9">
        <f>DATE(2019, 3, 18)</f>
        <v>43542</v>
      </c>
      <c r="B572" s="10">
        <v>67.540000000000006</v>
      </c>
      <c r="C572" s="10">
        <v>67.36</v>
      </c>
      <c r="D572" s="10">
        <v>67.13</v>
      </c>
      <c r="E572" s="10">
        <v>66.959999999999994</v>
      </c>
      <c r="F572" s="10">
        <v>66.8</v>
      </c>
      <c r="G572" s="10">
        <v>66.650000000000006</v>
      </c>
      <c r="H572" s="10">
        <v>66.510000000000005</v>
      </c>
      <c r="I572" s="10">
        <v>66.349999999999994</v>
      </c>
      <c r="J572" s="10">
        <v>66.22</v>
      </c>
      <c r="K572" s="10">
        <v>66.069999999999993</v>
      </c>
      <c r="L572" s="10">
        <v>65.92</v>
      </c>
      <c r="M572" s="10">
        <v>65.760000000000005</v>
      </c>
      <c r="N572" s="10">
        <v>59.09</v>
      </c>
      <c r="O572" s="10">
        <v>59.38</v>
      </c>
      <c r="P572" s="10">
        <v>59.65</v>
      </c>
      <c r="Q572" s="10">
        <v>59.94</v>
      </c>
      <c r="R572" s="10">
        <v>60.18</v>
      </c>
      <c r="S572" s="10">
        <v>60.31</v>
      </c>
      <c r="T572" s="10">
        <v>60.33</v>
      </c>
      <c r="U572" s="10">
        <v>60.25</v>
      </c>
      <c r="V572" s="10">
        <v>60.13</v>
      </c>
      <c r="W572" s="10">
        <v>59.97</v>
      </c>
      <c r="X572" s="10">
        <v>59.78</v>
      </c>
      <c r="Y572" s="10">
        <v>59.56</v>
      </c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</row>
    <row r="573" spans="1:147" x14ac:dyDescent="0.3">
      <c r="A573" s="9">
        <f>DATE(2019, 3, 19)</f>
        <v>43543</v>
      </c>
      <c r="B573" s="10">
        <v>67.61</v>
      </c>
      <c r="C573" s="10">
        <v>67.42</v>
      </c>
      <c r="D573" s="10">
        <v>67.19</v>
      </c>
      <c r="E573" s="10">
        <v>67.02</v>
      </c>
      <c r="F573" s="10">
        <v>66.87</v>
      </c>
      <c r="G573" s="10">
        <v>66.72</v>
      </c>
      <c r="H573" s="10">
        <v>66.58</v>
      </c>
      <c r="I573" s="10">
        <v>66.41</v>
      </c>
      <c r="J573" s="10">
        <v>66.28</v>
      </c>
      <c r="K573" s="10">
        <v>66.13</v>
      </c>
      <c r="L573" s="10">
        <v>65.98</v>
      </c>
      <c r="M573" s="10">
        <v>65.819999999999993</v>
      </c>
      <c r="N573" s="10">
        <v>59.03</v>
      </c>
      <c r="O573" s="10">
        <v>59.29</v>
      </c>
      <c r="P573" s="10">
        <v>59.58</v>
      </c>
      <c r="Q573" s="10">
        <v>59.88</v>
      </c>
      <c r="R573" s="10">
        <v>60.13</v>
      </c>
      <c r="S573" s="10">
        <v>60.29</v>
      </c>
      <c r="T573" s="10">
        <v>60.33</v>
      </c>
      <c r="U573" s="10">
        <v>60.29</v>
      </c>
      <c r="V573" s="10">
        <v>60.19</v>
      </c>
      <c r="W573" s="10">
        <v>60.02</v>
      </c>
      <c r="X573" s="10">
        <v>59.85</v>
      </c>
      <c r="Y573" s="10">
        <v>59.65</v>
      </c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</row>
    <row r="574" spans="1:147" x14ac:dyDescent="0.3">
      <c r="A574" s="9">
        <f>DATE(2019, 3, 20)</f>
        <v>43544</v>
      </c>
      <c r="B574" s="10">
        <v>68.5</v>
      </c>
      <c r="C574" s="10">
        <v>68.27</v>
      </c>
      <c r="D574" s="10">
        <v>68</v>
      </c>
      <c r="E574" s="10">
        <v>67.790000000000006</v>
      </c>
      <c r="F574" s="10">
        <v>67.61</v>
      </c>
      <c r="G574" s="10">
        <v>67.44</v>
      </c>
      <c r="H574" s="10">
        <v>67.28</v>
      </c>
      <c r="I574" s="10">
        <v>67.099999999999994</v>
      </c>
      <c r="J574" s="10">
        <v>66.930000000000007</v>
      </c>
      <c r="K574" s="10">
        <v>66.77</v>
      </c>
      <c r="L574" s="10">
        <v>66.599999999999994</v>
      </c>
      <c r="M574" s="10">
        <v>66.430000000000007</v>
      </c>
      <c r="N574" s="10">
        <v>59.83</v>
      </c>
      <c r="O574" s="10">
        <v>60.23</v>
      </c>
      <c r="P574" s="10">
        <v>60.48</v>
      </c>
      <c r="Q574" s="10">
        <v>60.73</v>
      </c>
      <c r="R574" s="10">
        <v>60.94</v>
      </c>
      <c r="S574" s="10">
        <v>61.06</v>
      </c>
      <c r="T574" s="10">
        <v>61.08</v>
      </c>
      <c r="U574" s="10">
        <v>61</v>
      </c>
      <c r="V574" s="10">
        <v>60.87</v>
      </c>
      <c r="W574" s="10">
        <v>60.71</v>
      </c>
      <c r="X574" s="10">
        <v>60.5</v>
      </c>
      <c r="Y574" s="10">
        <v>60.27</v>
      </c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</row>
    <row r="575" spans="1:147" x14ac:dyDescent="0.3">
      <c r="A575" s="9">
        <f>DATE(2019, 3, 21)</f>
        <v>43545</v>
      </c>
      <c r="B575" s="10">
        <v>67.86</v>
      </c>
      <c r="C575" s="10">
        <v>67.67</v>
      </c>
      <c r="D575" s="10">
        <v>67.430000000000007</v>
      </c>
      <c r="E575" s="10">
        <v>67.22</v>
      </c>
      <c r="F575" s="10">
        <v>67.05</v>
      </c>
      <c r="G575" s="10">
        <v>66.89</v>
      </c>
      <c r="H575" s="10">
        <v>66.73</v>
      </c>
      <c r="I575" s="10">
        <v>66.56</v>
      </c>
      <c r="J575" s="10">
        <v>66.41</v>
      </c>
      <c r="K575" s="10">
        <v>66.25</v>
      </c>
      <c r="L575" s="10">
        <v>66.099999999999994</v>
      </c>
      <c r="M575" s="10">
        <v>65.94</v>
      </c>
      <c r="N575" s="10">
        <v>59.98</v>
      </c>
      <c r="O575" s="10">
        <v>60.2</v>
      </c>
      <c r="P575" s="10">
        <v>60.43</v>
      </c>
      <c r="Q575" s="10">
        <v>60.62</v>
      </c>
      <c r="R575" s="10">
        <v>60.73</v>
      </c>
      <c r="S575" s="10">
        <v>60.73</v>
      </c>
      <c r="T575" s="10">
        <v>60.65</v>
      </c>
      <c r="U575" s="10">
        <v>60.52</v>
      </c>
      <c r="V575" s="10">
        <v>60.34</v>
      </c>
      <c r="W575" s="10">
        <v>60.12</v>
      </c>
      <c r="X575" s="10">
        <v>59.89</v>
      </c>
      <c r="Y575" s="10">
        <v>59.66</v>
      </c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</row>
    <row r="576" spans="1:147" x14ac:dyDescent="0.3">
      <c r="A576" s="9">
        <f>DATE(2019, 3, 22)</f>
        <v>43546</v>
      </c>
      <c r="B576" s="10">
        <v>67.03</v>
      </c>
      <c r="C576" s="10">
        <v>66.75</v>
      </c>
      <c r="D576" s="10">
        <v>66.489999999999995</v>
      </c>
      <c r="E576" s="10">
        <v>66.28</v>
      </c>
      <c r="F576" s="10">
        <v>66.11</v>
      </c>
      <c r="G576" s="10">
        <v>65.959999999999994</v>
      </c>
      <c r="H576" s="10">
        <v>65.81</v>
      </c>
      <c r="I576" s="10">
        <v>65.650000000000006</v>
      </c>
      <c r="J576" s="10">
        <v>65.510000000000005</v>
      </c>
      <c r="K576" s="10">
        <v>65.36</v>
      </c>
      <c r="L576" s="10">
        <v>65.22</v>
      </c>
      <c r="M576" s="10">
        <v>65.069999999999993</v>
      </c>
      <c r="N576" s="10">
        <v>59.04</v>
      </c>
      <c r="O576" s="10">
        <v>59.29</v>
      </c>
      <c r="P576" s="10">
        <v>59.53</v>
      </c>
      <c r="Q576" s="10">
        <v>59.75</v>
      </c>
      <c r="R576" s="10">
        <v>59.89</v>
      </c>
      <c r="S576" s="10">
        <v>59.92</v>
      </c>
      <c r="T576" s="10">
        <v>59.85</v>
      </c>
      <c r="U576" s="10">
        <v>59.73</v>
      </c>
      <c r="V576" s="10">
        <v>59.57</v>
      </c>
      <c r="W576" s="10">
        <v>59.38</v>
      </c>
      <c r="X576" s="10">
        <v>59.16</v>
      </c>
      <c r="Y576" s="10">
        <v>58.95</v>
      </c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</row>
    <row r="577" spans="1:147" x14ac:dyDescent="0.3">
      <c r="A577" s="9">
        <f>DATE(2019, 3, 25)</f>
        <v>43549</v>
      </c>
      <c r="B577" s="10">
        <v>67.209999999999994</v>
      </c>
      <c r="C577" s="10">
        <v>66.81</v>
      </c>
      <c r="D577" s="10">
        <v>66.540000000000006</v>
      </c>
      <c r="E577" s="10">
        <v>66.319999999999993</v>
      </c>
      <c r="F577" s="10">
        <v>66.150000000000006</v>
      </c>
      <c r="G577" s="10">
        <v>66</v>
      </c>
      <c r="H577" s="10">
        <v>65.849999999999994</v>
      </c>
      <c r="I577" s="10">
        <v>65.680000000000007</v>
      </c>
      <c r="J577" s="10">
        <v>65.540000000000006</v>
      </c>
      <c r="K577" s="10">
        <v>65.39</v>
      </c>
      <c r="L577" s="10">
        <v>65.25</v>
      </c>
      <c r="M577" s="10">
        <v>65.099999999999994</v>
      </c>
      <c r="N577" s="10">
        <v>58.82</v>
      </c>
      <c r="O577" s="10">
        <v>59.08</v>
      </c>
      <c r="P577" s="10">
        <v>59.33</v>
      </c>
      <c r="Q577" s="10">
        <v>59.55</v>
      </c>
      <c r="R577" s="10">
        <v>59.71</v>
      </c>
      <c r="S577" s="10">
        <v>59.75</v>
      </c>
      <c r="T577" s="10">
        <v>59.72</v>
      </c>
      <c r="U577" s="10">
        <v>59.63</v>
      </c>
      <c r="V577" s="10">
        <v>59.5</v>
      </c>
      <c r="W577" s="10">
        <v>59.33</v>
      </c>
      <c r="X577" s="10">
        <v>59.13</v>
      </c>
      <c r="Y577" s="10">
        <v>58.93</v>
      </c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</row>
    <row r="578" spans="1:147" x14ac:dyDescent="0.3">
      <c r="A578" s="9">
        <f>DATE(2019, 3, 26)</f>
        <v>43550</v>
      </c>
      <c r="B578" s="10">
        <v>67.97</v>
      </c>
      <c r="C578" s="10">
        <v>67.430000000000007</v>
      </c>
      <c r="D578" s="10">
        <v>67.099999999999994</v>
      </c>
      <c r="E578" s="10">
        <v>66.849999999999994</v>
      </c>
      <c r="F578" s="10">
        <v>66.64</v>
      </c>
      <c r="G578" s="10">
        <v>66.459999999999994</v>
      </c>
      <c r="H578" s="10">
        <v>66.28</v>
      </c>
      <c r="I578" s="10">
        <v>66.08</v>
      </c>
      <c r="J578" s="10">
        <v>65.91</v>
      </c>
      <c r="K578" s="10">
        <v>65.739999999999995</v>
      </c>
      <c r="L578" s="10">
        <v>65.58</v>
      </c>
      <c r="M578" s="10">
        <v>65.42</v>
      </c>
      <c r="N578" s="10">
        <v>59.94</v>
      </c>
      <c r="O578" s="10">
        <v>60.1</v>
      </c>
      <c r="P578" s="10">
        <v>60.23</v>
      </c>
      <c r="Q578" s="10">
        <v>60.34</v>
      </c>
      <c r="R578" s="10">
        <v>60.39</v>
      </c>
      <c r="S578" s="10">
        <v>60.34</v>
      </c>
      <c r="T578" s="10">
        <v>60.24</v>
      </c>
      <c r="U578" s="10">
        <v>60.1</v>
      </c>
      <c r="V578" s="10">
        <v>59.92</v>
      </c>
      <c r="W578" s="10">
        <v>59.7</v>
      </c>
      <c r="X578" s="10">
        <v>59.46</v>
      </c>
      <c r="Y578" s="10">
        <v>59.22</v>
      </c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</row>
    <row r="579" spans="1:147" x14ac:dyDescent="0.3">
      <c r="A579" s="9">
        <f>DATE(2019, 3, 27)</f>
        <v>43551</v>
      </c>
      <c r="B579" s="10">
        <v>67.83</v>
      </c>
      <c r="C579" s="10">
        <v>67.239999999999995</v>
      </c>
      <c r="D579" s="10">
        <v>66.87</v>
      </c>
      <c r="E579" s="10">
        <v>66.62</v>
      </c>
      <c r="F579" s="10">
        <v>66.41</v>
      </c>
      <c r="G579" s="10">
        <v>66.22</v>
      </c>
      <c r="H579" s="10">
        <v>66.05</v>
      </c>
      <c r="I579" s="10">
        <v>65.86</v>
      </c>
      <c r="J579" s="10">
        <v>65.69</v>
      </c>
      <c r="K579" s="10">
        <v>65.52</v>
      </c>
      <c r="L579" s="10">
        <v>65.37</v>
      </c>
      <c r="M579" s="10">
        <v>65.209999999999994</v>
      </c>
      <c r="N579" s="10">
        <v>59.41</v>
      </c>
      <c r="O579" s="10">
        <v>59.61</v>
      </c>
      <c r="P579" s="10">
        <v>59.77</v>
      </c>
      <c r="Q579" s="10">
        <v>59.91</v>
      </c>
      <c r="R579" s="10">
        <v>59.98</v>
      </c>
      <c r="S579" s="10">
        <v>59.96</v>
      </c>
      <c r="T579" s="10">
        <v>59.88</v>
      </c>
      <c r="U579" s="10">
        <v>59.76</v>
      </c>
      <c r="V579" s="10">
        <v>59.6</v>
      </c>
      <c r="W579" s="10">
        <v>59.4</v>
      </c>
      <c r="X579" s="10">
        <v>59.18</v>
      </c>
      <c r="Y579" s="10">
        <v>58.94</v>
      </c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</row>
    <row r="580" spans="1:147" x14ac:dyDescent="0.3">
      <c r="A580" s="9">
        <f>DATE(2019, 3, 28)</f>
        <v>43552</v>
      </c>
      <c r="B580" s="10">
        <v>67.819999999999993</v>
      </c>
      <c r="C580" s="10">
        <v>67.099999999999994</v>
      </c>
      <c r="D580" s="10">
        <v>66.739999999999995</v>
      </c>
      <c r="E580" s="10">
        <v>66.47</v>
      </c>
      <c r="F580" s="10">
        <v>66.239999999999995</v>
      </c>
      <c r="G580" s="10">
        <v>66.03</v>
      </c>
      <c r="H580" s="10">
        <v>65.849999999999994</v>
      </c>
      <c r="I580" s="10">
        <v>65.66</v>
      </c>
      <c r="J580" s="10">
        <v>65.489999999999995</v>
      </c>
      <c r="K580" s="10">
        <v>65.33</v>
      </c>
      <c r="L580" s="10">
        <v>65.19</v>
      </c>
      <c r="M580" s="10">
        <v>65.040000000000006</v>
      </c>
      <c r="N580" s="10">
        <v>59.3</v>
      </c>
      <c r="O580" s="10">
        <v>59.48</v>
      </c>
      <c r="P580" s="10">
        <v>59.63</v>
      </c>
      <c r="Q580" s="10">
        <v>59.76</v>
      </c>
      <c r="R580" s="10">
        <v>59.84</v>
      </c>
      <c r="S580" s="10">
        <v>59.82</v>
      </c>
      <c r="T580" s="10">
        <v>59.75</v>
      </c>
      <c r="U580" s="10">
        <v>59.63</v>
      </c>
      <c r="V580" s="10">
        <v>59.49</v>
      </c>
      <c r="W580" s="10">
        <v>59.3</v>
      </c>
      <c r="X580" s="10">
        <v>59.09</v>
      </c>
      <c r="Y580" s="10">
        <v>58.88</v>
      </c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</row>
    <row r="581" spans="1:147" x14ac:dyDescent="0.3">
      <c r="A581" s="9">
        <f>DATE(2019, 3, 29)</f>
        <v>43553</v>
      </c>
      <c r="B581" s="10">
        <v>68.39</v>
      </c>
      <c r="C581" s="10">
        <v>67.58</v>
      </c>
      <c r="D581" s="10">
        <v>67.209999999999994</v>
      </c>
      <c r="E581" s="10">
        <v>66.94</v>
      </c>
      <c r="F581" s="10">
        <v>66.72</v>
      </c>
      <c r="G581" s="10">
        <v>66.510000000000005</v>
      </c>
      <c r="H581" s="10">
        <v>66.33</v>
      </c>
      <c r="I581" s="10">
        <v>66.13</v>
      </c>
      <c r="J581" s="10">
        <v>65.959999999999994</v>
      </c>
      <c r="K581" s="10">
        <v>65.790000000000006</v>
      </c>
      <c r="L581" s="10">
        <v>65.63</v>
      </c>
      <c r="M581" s="10">
        <v>65.47</v>
      </c>
      <c r="N581" s="10">
        <v>60.14</v>
      </c>
      <c r="O581" s="10">
        <v>60.28</v>
      </c>
      <c r="P581" s="10">
        <v>60.4</v>
      </c>
      <c r="Q581" s="10">
        <v>60.49</v>
      </c>
      <c r="R581" s="10">
        <v>60.53</v>
      </c>
      <c r="S581" s="10">
        <v>60.47</v>
      </c>
      <c r="T581" s="10">
        <v>60.37</v>
      </c>
      <c r="U581" s="10">
        <v>60.22</v>
      </c>
      <c r="V581" s="10">
        <v>60.02</v>
      </c>
      <c r="W581" s="10">
        <v>59.8</v>
      </c>
      <c r="X581" s="10">
        <v>59.56</v>
      </c>
      <c r="Y581" s="10">
        <v>59.32</v>
      </c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</row>
    <row r="582" spans="1:147" x14ac:dyDescent="0.3">
      <c r="A582" s="9">
        <f>DATE(2019, 4, 1)</f>
        <v>43556</v>
      </c>
      <c r="B582" s="10">
        <v>69.010000000000005</v>
      </c>
      <c r="C582" s="10">
        <v>68.59</v>
      </c>
      <c r="D582" s="10">
        <v>68.27</v>
      </c>
      <c r="E582" s="10">
        <v>68</v>
      </c>
      <c r="F582" s="10">
        <v>67.75</v>
      </c>
      <c r="G582" s="10">
        <v>67.53</v>
      </c>
      <c r="H582" s="10">
        <v>67.3</v>
      </c>
      <c r="I582" s="10">
        <v>67.09</v>
      </c>
      <c r="J582" s="10">
        <v>66.89</v>
      </c>
      <c r="K582" s="10">
        <v>66.7</v>
      </c>
      <c r="L582" s="10">
        <v>66.510000000000005</v>
      </c>
      <c r="M582" s="10">
        <v>66.319999999999993</v>
      </c>
      <c r="N582" s="10">
        <v>61.59</v>
      </c>
      <c r="O582" s="10">
        <v>61.71</v>
      </c>
      <c r="P582" s="10">
        <v>61.8</v>
      </c>
      <c r="Q582" s="10">
        <v>61.83</v>
      </c>
      <c r="R582" s="10">
        <v>61.78</v>
      </c>
      <c r="S582" s="10">
        <v>61.65</v>
      </c>
      <c r="T582" s="10">
        <v>61.48</v>
      </c>
      <c r="U582" s="10">
        <v>61.27</v>
      </c>
      <c r="V582" s="10">
        <v>61.03</v>
      </c>
      <c r="W582" s="10">
        <v>60.76</v>
      </c>
      <c r="X582" s="10">
        <v>60.47</v>
      </c>
      <c r="Y582" s="10">
        <v>60.19</v>
      </c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</row>
    <row r="583" spans="1:147" x14ac:dyDescent="0.3">
      <c r="A583" s="9">
        <f>DATE(2019, 4, 2)</f>
        <v>43557</v>
      </c>
      <c r="B583" s="10">
        <v>69.37</v>
      </c>
      <c r="C583" s="10">
        <v>68.930000000000007</v>
      </c>
      <c r="D583" s="10">
        <v>68.599999999999994</v>
      </c>
      <c r="E583" s="10">
        <v>68.3</v>
      </c>
      <c r="F583" s="10">
        <v>68.02</v>
      </c>
      <c r="G583" s="10">
        <v>67.78</v>
      </c>
      <c r="H583" s="10">
        <v>67.52</v>
      </c>
      <c r="I583" s="10">
        <v>67.28</v>
      </c>
      <c r="J583" s="10">
        <v>67.06</v>
      </c>
      <c r="K583" s="10">
        <v>66.86</v>
      </c>
      <c r="L583" s="10">
        <v>66.650000000000006</v>
      </c>
      <c r="M583" s="10">
        <v>66.44</v>
      </c>
      <c r="N583" s="10">
        <v>62.58</v>
      </c>
      <c r="O583" s="10">
        <v>62.61</v>
      </c>
      <c r="P583" s="10">
        <v>62.6</v>
      </c>
      <c r="Q583" s="10">
        <v>62.55</v>
      </c>
      <c r="R583" s="10">
        <v>62.45</v>
      </c>
      <c r="S583" s="10">
        <v>62.27</v>
      </c>
      <c r="T583" s="10">
        <v>62.04</v>
      </c>
      <c r="U583" s="10">
        <v>61.76</v>
      </c>
      <c r="V583" s="10">
        <v>61.45</v>
      </c>
      <c r="W583" s="10">
        <v>61.12</v>
      </c>
      <c r="X583" s="10">
        <v>60.78</v>
      </c>
      <c r="Y583" s="10">
        <v>60.46</v>
      </c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</row>
    <row r="584" spans="1:147" x14ac:dyDescent="0.3">
      <c r="A584" s="9">
        <f>DATE(2019, 4, 3)</f>
        <v>43558</v>
      </c>
      <c r="B584" s="10">
        <v>69.31</v>
      </c>
      <c r="C584" s="10">
        <v>68.91</v>
      </c>
      <c r="D584" s="10">
        <v>68.59</v>
      </c>
      <c r="E584" s="10">
        <v>68.28</v>
      </c>
      <c r="F584" s="10">
        <v>68</v>
      </c>
      <c r="G584" s="10">
        <v>67.75</v>
      </c>
      <c r="H584" s="10">
        <v>67.5</v>
      </c>
      <c r="I584" s="10">
        <v>67.260000000000005</v>
      </c>
      <c r="J584" s="10">
        <v>67.03</v>
      </c>
      <c r="K584" s="10">
        <v>66.83</v>
      </c>
      <c r="L584" s="10">
        <v>66.63</v>
      </c>
      <c r="M584" s="10">
        <v>66.42</v>
      </c>
      <c r="N584" s="10">
        <v>62.46</v>
      </c>
      <c r="O584" s="10">
        <v>62.52</v>
      </c>
      <c r="P584" s="10">
        <v>62.55</v>
      </c>
      <c r="Q584" s="10">
        <v>62.55</v>
      </c>
      <c r="R584" s="10">
        <v>62.48</v>
      </c>
      <c r="S584" s="10">
        <v>62.31</v>
      </c>
      <c r="T584" s="10">
        <v>62.08</v>
      </c>
      <c r="U584" s="10">
        <v>61.8</v>
      </c>
      <c r="V584" s="10">
        <v>61.49</v>
      </c>
      <c r="W584" s="10">
        <v>61.16</v>
      </c>
      <c r="X584" s="10">
        <v>60.83</v>
      </c>
      <c r="Y584" s="10">
        <v>60.52</v>
      </c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</row>
    <row r="585" spans="1:147" x14ac:dyDescent="0.3">
      <c r="A585" s="9">
        <f>DATE(2019, 4, 4)</f>
        <v>43559</v>
      </c>
      <c r="B585" s="10">
        <v>69.400000000000006</v>
      </c>
      <c r="C585" s="10">
        <v>69.02</v>
      </c>
      <c r="D585" s="10">
        <v>68.69</v>
      </c>
      <c r="E585" s="10">
        <v>68.37</v>
      </c>
      <c r="F585" s="10">
        <v>68.069999999999993</v>
      </c>
      <c r="G585" s="10">
        <v>67.81</v>
      </c>
      <c r="H585" s="10">
        <v>67.540000000000006</v>
      </c>
      <c r="I585" s="10">
        <v>67.28</v>
      </c>
      <c r="J585" s="10">
        <v>67.05</v>
      </c>
      <c r="K585" s="10">
        <v>66.83</v>
      </c>
      <c r="L585" s="10">
        <v>66.61</v>
      </c>
      <c r="M585" s="10">
        <v>66.39</v>
      </c>
      <c r="N585" s="10">
        <v>62.1</v>
      </c>
      <c r="O585" s="10">
        <v>62.19</v>
      </c>
      <c r="P585" s="10">
        <v>62.26</v>
      </c>
      <c r="Q585" s="10">
        <v>62.29</v>
      </c>
      <c r="R585" s="10">
        <v>62.26</v>
      </c>
      <c r="S585" s="10">
        <v>62.14</v>
      </c>
      <c r="T585" s="10">
        <v>61.96</v>
      </c>
      <c r="U585" s="10">
        <v>61.72</v>
      </c>
      <c r="V585" s="10">
        <v>61.44</v>
      </c>
      <c r="W585" s="10">
        <v>61.13</v>
      </c>
      <c r="X585" s="10">
        <v>60.81</v>
      </c>
      <c r="Y585" s="10">
        <v>60.49</v>
      </c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</row>
    <row r="586" spans="1:147" x14ac:dyDescent="0.3">
      <c r="A586" s="9">
        <f>DATE(2019, 4, 5)</f>
        <v>43560</v>
      </c>
      <c r="B586" s="10">
        <v>70.34</v>
      </c>
      <c r="C586" s="10">
        <v>69.930000000000007</v>
      </c>
      <c r="D586" s="10">
        <v>69.569999999999993</v>
      </c>
      <c r="E586" s="10">
        <v>69.209999999999994</v>
      </c>
      <c r="F586" s="10">
        <v>68.87</v>
      </c>
      <c r="G586" s="10">
        <v>68.58</v>
      </c>
      <c r="H586" s="10">
        <v>68.28</v>
      </c>
      <c r="I586" s="10">
        <v>67.989999999999995</v>
      </c>
      <c r="J586" s="10">
        <v>67.72</v>
      </c>
      <c r="K586" s="10">
        <v>67.47</v>
      </c>
      <c r="L586" s="10">
        <v>67.22</v>
      </c>
      <c r="M586" s="10">
        <v>66.959999999999994</v>
      </c>
      <c r="N586" s="10">
        <v>63.08</v>
      </c>
      <c r="O586" s="10">
        <v>63.15</v>
      </c>
      <c r="P586" s="10">
        <v>63.18</v>
      </c>
      <c r="Q586" s="10">
        <v>63.17</v>
      </c>
      <c r="R586" s="10">
        <v>63.07</v>
      </c>
      <c r="S586" s="10">
        <v>62.88</v>
      </c>
      <c r="T586" s="10">
        <v>62.64</v>
      </c>
      <c r="U586" s="10">
        <v>62.36</v>
      </c>
      <c r="V586" s="10">
        <v>62.04</v>
      </c>
      <c r="W586" s="10">
        <v>61.67</v>
      </c>
      <c r="X586" s="10">
        <v>61.31</v>
      </c>
      <c r="Y586" s="10">
        <v>60.95</v>
      </c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</row>
    <row r="587" spans="1:147" x14ac:dyDescent="0.3">
      <c r="A587" s="9">
        <f>DATE(2019, 4, 8)</f>
        <v>43563</v>
      </c>
      <c r="B587" s="10">
        <v>71.099999999999994</v>
      </c>
      <c r="C587" s="10">
        <v>70.61</v>
      </c>
      <c r="D587" s="10">
        <v>70.209999999999994</v>
      </c>
      <c r="E587" s="10">
        <v>69.83</v>
      </c>
      <c r="F587" s="10">
        <v>69.459999999999994</v>
      </c>
      <c r="G587" s="10">
        <v>69.14</v>
      </c>
      <c r="H587" s="10">
        <v>68.83</v>
      </c>
      <c r="I587" s="10">
        <v>68.52</v>
      </c>
      <c r="J587" s="10">
        <v>68.23</v>
      </c>
      <c r="K587" s="10">
        <v>67.94</v>
      </c>
      <c r="L587" s="10">
        <v>67.66</v>
      </c>
      <c r="M587" s="10">
        <v>67.37</v>
      </c>
      <c r="N587" s="10">
        <v>64.400000000000006</v>
      </c>
      <c r="O587" s="10">
        <v>64.33</v>
      </c>
      <c r="P587" s="10">
        <v>64.22</v>
      </c>
      <c r="Q587" s="10">
        <v>64.06</v>
      </c>
      <c r="R587" s="10">
        <v>63.85</v>
      </c>
      <c r="S587" s="10">
        <v>63.57</v>
      </c>
      <c r="T587" s="10">
        <v>63.24</v>
      </c>
      <c r="U587" s="10">
        <v>62.88</v>
      </c>
      <c r="V587" s="10">
        <v>62.49</v>
      </c>
      <c r="W587" s="10">
        <v>62.09</v>
      </c>
      <c r="X587" s="10">
        <v>61.69</v>
      </c>
      <c r="Y587" s="10">
        <v>61.29</v>
      </c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</row>
    <row r="588" spans="1:147" x14ac:dyDescent="0.3">
      <c r="A588" s="9">
        <f>DATE(2019, 4, 9)</f>
        <v>43564</v>
      </c>
      <c r="B588" s="10">
        <v>70.61</v>
      </c>
      <c r="C588" s="10">
        <v>70.16</v>
      </c>
      <c r="D588" s="10">
        <v>69.78</v>
      </c>
      <c r="E588" s="10">
        <v>69.41</v>
      </c>
      <c r="F588" s="10">
        <v>69.06</v>
      </c>
      <c r="G588" s="10">
        <v>68.77</v>
      </c>
      <c r="H588" s="10">
        <v>68.47</v>
      </c>
      <c r="I588" s="10">
        <v>68.17</v>
      </c>
      <c r="J588" s="10">
        <v>67.900000000000006</v>
      </c>
      <c r="K588" s="10">
        <v>67.64</v>
      </c>
      <c r="L588" s="10">
        <v>67.37</v>
      </c>
      <c r="M588" s="10">
        <v>67.099999999999994</v>
      </c>
      <c r="N588" s="10">
        <v>63.98</v>
      </c>
      <c r="O588" s="10">
        <v>63.96</v>
      </c>
      <c r="P588" s="10">
        <v>63.91</v>
      </c>
      <c r="Q588" s="10">
        <v>63.77</v>
      </c>
      <c r="R588" s="10">
        <v>63.56</v>
      </c>
      <c r="S588" s="10">
        <v>63.28</v>
      </c>
      <c r="T588" s="10">
        <v>62.96</v>
      </c>
      <c r="U588" s="10">
        <v>62.62</v>
      </c>
      <c r="V588" s="10">
        <v>62.26</v>
      </c>
      <c r="W588" s="10">
        <v>61.89</v>
      </c>
      <c r="X588" s="10">
        <v>61.5</v>
      </c>
      <c r="Y588" s="10">
        <v>61.13</v>
      </c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</row>
    <row r="589" spans="1:147" x14ac:dyDescent="0.3">
      <c r="A589" s="9">
        <f>DATE(2019, 4, 10)</f>
        <v>43565</v>
      </c>
      <c r="B589" s="10">
        <v>71.73</v>
      </c>
      <c r="C589" s="10">
        <v>71.3</v>
      </c>
      <c r="D589" s="10">
        <v>70.92</v>
      </c>
      <c r="E589" s="10">
        <v>70.540000000000006</v>
      </c>
      <c r="F589" s="10">
        <v>70.17</v>
      </c>
      <c r="G589" s="10">
        <v>69.86</v>
      </c>
      <c r="H589" s="10">
        <v>69.540000000000006</v>
      </c>
      <c r="I589" s="10">
        <v>69.209999999999994</v>
      </c>
      <c r="J589" s="10">
        <v>68.91</v>
      </c>
      <c r="K589" s="10">
        <v>68.63</v>
      </c>
      <c r="L589" s="10">
        <v>68.34</v>
      </c>
      <c r="M589" s="10">
        <v>68.05</v>
      </c>
      <c r="N589" s="10">
        <v>64.61</v>
      </c>
      <c r="O589" s="10">
        <v>64.650000000000006</v>
      </c>
      <c r="P589" s="10">
        <v>64.67</v>
      </c>
      <c r="Q589" s="10">
        <v>64.569999999999993</v>
      </c>
      <c r="R589" s="10">
        <v>64.38</v>
      </c>
      <c r="S589" s="10">
        <v>64.11</v>
      </c>
      <c r="T589" s="10">
        <v>63.8</v>
      </c>
      <c r="U589" s="10">
        <v>63.46</v>
      </c>
      <c r="V589" s="10">
        <v>63.09</v>
      </c>
      <c r="W589" s="10">
        <v>62.69</v>
      </c>
      <c r="X589" s="10">
        <v>62.29</v>
      </c>
      <c r="Y589" s="10">
        <v>61.89</v>
      </c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</row>
    <row r="590" spans="1:147" x14ac:dyDescent="0.3">
      <c r="A590" s="9">
        <f>DATE(2019, 4, 11)</f>
        <v>43566</v>
      </c>
      <c r="B590" s="10">
        <v>70.83</v>
      </c>
      <c r="C590" s="10">
        <v>70.400000000000006</v>
      </c>
      <c r="D590" s="10">
        <v>70.03</v>
      </c>
      <c r="E590" s="10">
        <v>69.69</v>
      </c>
      <c r="F590" s="10">
        <v>69.37</v>
      </c>
      <c r="G590" s="10">
        <v>69.099999999999994</v>
      </c>
      <c r="H590" s="10">
        <v>68.81</v>
      </c>
      <c r="I590" s="10">
        <v>68.52</v>
      </c>
      <c r="J590" s="10">
        <v>68.25</v>
      </c>
      <c r="K590" s="10">
        <v>68</v>
      </c>
      <c r="L590" s="10">
        <v>67.739999999999995</v>
      </c>
      <c r="M590" s="10">
        <v>67.47</v>
      </c>
      <c r="N590" s="10">
        <v>63.58</v>
      </c>
      <c r="O590" s="10">
        <v>63.67</v>
      </c>
      <c r="P590" s="10">
        <v>63.73</v>
      </c>
      <c r="Q590" s="10">
        <v>63.69</v>
      </c>
      <c r="R590" s="10">
        <v>63.58</v>
      </c>
      <c r="S590" s="10">
        <v>63.38</v>
      </c>
      <c r="T590" s="10">
        <v>63.13</v>
      </c>
      <c r="U590" s="10">
        <v>62.84</v>
      </c>
      <c r="V590" s="10">
        <v>62.51</v>
      </c>
      <c r="W590" s="10">
        <v>62.17</v>
      </c>
      <c r="X590" s="10">
        <v>61.8</v>
      </c>
      <c r="Y590" s="10">
        <v>61.44</v>
      </c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</row>
    <row r="591" spans="1:147" x14ac:dyDescent="0.3">
      <c r="A591" s="9">
        <f>DATE(2019, 4, 12)</f>
        <v>43567</v>
      </c>
      <c r="B591" s="10">
        <v>71.55</v>
      </c>
      <c r="C591" s="10">
        <v>71.06</v>
      </c>
      <c r="D591" s="10">
        <v>70.650000000000006</v>
      </c>
      <c r="E591" s="10">
        <v>70.28</v>
      </c>
      <c r="F591" s="10">
        <v>69.94</v>
      </c>
      <c r="G591" s="10">
        <v>69.66</v>
      </c>
      <c r="H591" s="10">
        <v>69.36</v>
      </c>
      <c r="I591" s="10">
        <v>69.06</v>
      </c>
      <c r="J591" s="10">
        <v>68.77</v>
      </c>
      <c r="K591" s="10">
        <v>68.5</v>
      </c>
      <c r="L591" s="10">
        <v>68.22</v>
      </c>
      <c r="M591" s="10">
        <v>67.95</v>
      </c>
      <c r="N591" s="10">
        <v>63.89</v>
      </c>
      <c r="O591" s="10">
        <v>64.02</v>
      </c>
      <c r="P591" s="10">
        <v>64.099999999999994</v>
      </c>
      <c r="Q591" s="10">
        <v>64.08</v>
      </c>
      <c r="R591" s="10">
        <v>63.96</v>
      </c>
      <c r="S591" s="10">
        <v>63.76</v>
      </c>
      <c r="T591" s="10">
        <v>63.51</v>
      </c>
      <c r="U591" s="10">
        <v>63.21</v>
      </c>
      <c r="V591" s="10">
        <v>62.87</v>
      </c>
      <c r="W591" s="10">
        <v>62.51</v>
      </c>
      <c r="X591" s="10">
        <v>62.15</v>
      </c>
      <c r="Y591" s="10">
        <v>61.78</v>
      </c>
      <c r="Z591" s="11">
        <v>69.989000000000004</v>
      </c>
      <c r="AA591" s="11">
        <v>69.802000000000007</v>
      </c>
      <c r="AB591" s="11">
        <v>69.242000000000004</v>
      </c>
      <c r="AC591" s="11">
        <v>68.665000000000006</v>
      </c>
      <c r="AD591" s="11">
        <v>68.247</v>
      </c>
      <c r="AE591" s="11">
        <v>67.855999999999995</v>
      </c>
      <c r="AF591" s="11">
        <v>67.447000000000003</v>
      </c>
      <c r="AG591" s="11">
        <v>67.046000000000006</v>
      </c>
      <c r="AH591" s="11">
        <v>66.623999999999995</v>
      </c>
      <c r="AI591" s="11">
        <v>66.257000000000005</v>
      </c>
      <c r="AJ591" s="11">
        <v>65.867000000000004</v>
      </c>
      <c r="AK591" s="11">
        <v>65.546999999999997</v>
      </c>
      <c r="AL591" s="11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</row>
    <row r="592" spans="1:147" x14ac:dyDescent="0.3">
      <c r="A592" s="9">
        <f>DATE(2019, 4, 15)</f>
        <v>43570</v>
      </c>
      <c r="B592" s="10">
        <v>71.180000000000007</v>
      </c>
      <c r="C592" s="10">
        <v>70.739999999999995</v>
      </c>
      <c r="D592" s="10">
        <v>70.36</v>
      </c>
      <c r="E592" s="10">
        <v>70.03</v>
      </c>
      <c r="F592" s="10">
        <v>69.739999999999995</v>
      </c>
      <c r="G592" s="10">
        <v>69.489999999999995</v>
      </c>
      <c r="H592" s="10">
        <v>69.22</v>
      </c>
      <c r="I592" s="10">
        <v>68.95</v>
      </c>
      <c r="J592" s="10">
        <v>68.69</v>
      </c>
      <c r="K592" s="10">
        <v>68.44</v>
      </c>
      <c r="L592" s="10">
        <v>68.19</v>
      </c>
      <c r="M592" s="10">
        <v>67.930000000000007</v>
      </c>
      <c r="N592" s="10">
        <v>63.4</v>
      </c>
      <c r="O592" s="10">
        <v>63.56</v>
      </c>
      <c r="P592" s="10">
        <v>63.67</v>
      </c>
      <c r="Q592" s="10">
        <v>63.7</v>
      </c>
      <c r="R592" s="10">
        <v>63.65</v>
      </c>
      <c r="S592" s="10">
        <v>63.51</v>
      </c>
      <c r="T592" s="10">
        <v>63.32</v>
      </c>
      <c r="U592" s="10">
        <v>63.06</v>
      </c>
      <c r="V592" s="10">
        <v>62.76</v>
      </c>
      <c r="W592" s="10">
        <v>62.42</v>
      </c>
      <c r="X592" s="10">
        <v>62.08</v>
      </c>
      <c r="Y592" s="10">
        <v>61.74</v>
      </c>
      <c r="Z592" s="11">
        <v>69.942999999999998</v>
      </c>
      <c r="AA592" s="11">
        <v>69.742999999999995</v>
      </c>
      <c r="AB592" s="11">
        <v>69.144000000000005</v>
      </c>
      <c r="AC592" s="11">
        <v>68.566999999999993</v>
      </c>
      <c r="AD592" s="11">
        <v>68.149000000000001</v>
      </c>
      <c r="AE592" s="11">
        <v>67.796999999999997</v>
      </c>
      <c r="AF592" s="11">
        <v>67.418000000000006</v>
      </c>
      <c r="AG592" s="11">
        <v>67.037999999999997</v>
      </c>
      <c r="AH592" s="11">
        <v>66.665999999999997</v>
      </c>
      <c r="AI592" s="11">
        <v>66.289000000000001</v>
      </c>
      <c r="AJ592" s="11">
        <v>65.966999999999999</v>
      </c>
      <c r="AK592" s="11">
        <v>65.658000000000001</v>
      </c>
      <c r="AL592" s="11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</row>
    <row r="593" spans="1:147" x14ac:dyDescent="0.3">
      <c r="A593" s="9">
        <f>DATE(2019, 4, 16)</f>
        <v>43571</v>
      </c>
      <c r="B593" s="10">
        <v>71.72</v>
      </c>
      <c r="C593" s="10">
        <v>71.209999999999994</v>
      </c>
      <c r="D593" s="10">
        <v>70.77</v>
      </c>
      <c r="E593" s="10">
        <v>70.41</v>
      </c>
      <c r="F593" s="10">
        <v>70.09</v>
      </c>
      <c r="G593" s="10">
        <v>69.81</v>
      </c>
      <c r="H593" s="10">
        <v>69.52</v>
      </c>
      <c r="I593" s="10">
        <v>69.239999999999995</v>
      </c>
      <c r="J593" s="10">
        <v>68.97</v>
      </c>
      <c r="K593" s="10">
        <v>68.709999999999994</v>
      </c>
      <c r="L593" s="10">
        <v>68.45</v>
      </c>
      <c r="M593" s="10">
        <v>68.180000000000007</v>
      </c>
      <c r="N593" s="10">
        <v>64.05</v>
      </c>
      <c r="O593" s="10">
        <v>64.19</v>
      </c>
      <c r="P593" s="10">
        <v>64.260000000000005</v>
      </c>
      <c r="Q593" s="10">
        <v>64.27</v>
      </c>
      <c r="R593" s="10">
        <v>64.180000000000007</v>
      </c>
      <c r="S593" s="10">
        <v>64</v>
      </c>
      <c r="T593" s="10">
        <v>63.76</v>
      </c>
      <c r="U593" s="10">
        <v>63.46</v>
      </c>
      <c r="V593" s="10">
        <v>63.13</v>
      </c>
      <c r="W593" s="10">
        <v>62.77</v>
      </c>
      <c r="X593" s="10">
        <v>62.39</v>
      </c>
      <c r="Y593" s="10">
        <v>62.02</v>
      </c>
      <c r="Z593" s="11">
        <v>70.239000000000004</v>
      </c>
      <c r="AA593" s="11">
        <v>70.381</v>
      </c>
      <c r="AB593" s="11">
        <v>69.682000000000002</v>
      </c>
      <c r="AC593" s="11">
        <v>69.066000000000003</v>
      </c>
      <c r="AD593" s="11">
        <v>68.626999999999995</v>
      </c>
      <c r="AE593" s="11">
        <v>68.266000000000005</v>
      </c>
      <c r="AF593" s="11">
        <v>67.878</v>
      </c>
      <c r="AG593" s="11">
        <v>67.486999999999995</v>
      </c>
      <c r="AH593" s="11">
        <v>67.105000000000004</v>
      </c>
      <c r="AI593" s="11">
        <v>66.727999999999994</v>
      </c>
      <c r="AJ593" s="11">
        <v>66.356999999999999</v>
      </c>
      <c r="AK593" s="11">
        <v>66.046999999999997</v>
      </c>
      <c r="AL593" s="11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</row>
    <row r="594" spans="1:147" x14ac:dyDescent="0.3">
      <c r="A594" s="9">
        <f>DATE(2019, 4, 17)</f>
        <v>43572</v>
      </c>
      <c r="B594" s="10">
        <v>71.62</v>
      </c>
      <c r="C594" s="10">
        <v>71.09</v>
      </c>
      <c r="D594" s="10">
        <v>70.64</v>
      </c>
      <c r="E594" s="10">
        <v>70.260000000000005</v>
      </c>
      <c r="F594" s="10">
        <v>69.930000000000007</v>
      </c>
      <c r="G594" s="10">
        <v>69.66</v>
      </c>
      <c r="H594" s="10">
        <v>69.39</v>
      </c>
      <c r="I594" s="10">
        <v>69.099999999999994</v>
      </c>
      <c r="J594" s="10">
        <v>68.84</v>
      </c>
      <c r="K594" s="10">
        <v>68.58</v>
      </c>
      <c r="L594" s="10">
        <v>68.319999999999993</v>
      </c>
      <c r="M594" s="10">
        <v>68.05</v>
      </c>
      <c r="N594" s="10">
        <v>63.76</v>
      </c>
      <c r="O594" s="10">
        <v>63.87</v>
      </c>
      <c r="P594" s="10">
        <v>63.94</v>
      </c>
      <c r="Q594" s="10">
        <v>63.97</v>
      </c>
      <c r="R594" s="10">
        <v>63.92</v>
      </c>
      <c r="S594" s="10">
        <v>63.78</v>
      </c>
      <c r="T594" s="10">
        <v>63.58</v>
      </c>
      <c r="U594" s="10">
        <v>63.31</v>
      </c>
      <c r="V594" s="10">
        <v>63.01</v>
      </c>
      <c r="W594" s="10">
        <v>62.67</v>
      </c>
      <c r="X594" s="10">
        <v>62.31</v>
      </c>
      <c r="Y594" s="10">
        <v>61.95</v>
      </c>
      <c r="Z594" s="11">
        <v>70.251999999999995</v>
      </c>
      <c r="AA594" s="11">
        <v>70.22</v>
      </c>
      <c r="AB594" s="11">
        <v>69.491</v>
      </c>
      <c r="AC594" s="11">
        <v>68.835999999999999</v>
      </c>
      <c r="AD594" s="11">
        <v>68.358000000000004</v>
      </c>
      <c r="AE594" s="11">
        <v>67.966999999999999</v>
      </c>
      <c r="AF594" s="11">
        <v>67.626999999999995</v>
      </c>
      <c r="AG594" s="11">
        <v>67.227999999999994</v>
      </c>
      <c r="AH594" s="11">
        <v>66.825000000000003</v>
      </c>
      <c r="AI594" s="11">
        <v>66.477999999999994</v>
      </c>
      <c r="AJ594" s="11">
        <v>66.106999999999999</v>
      </c>
      <c r="AK594" s="11">
        <v>65.736999999999995</v>
      </c>
      <c r="AL594" s="11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</row>
    <row r="595" spans="1:147" x14ac:dyDescent="0.3">
      <c r="A595" s="9">
        <f>DATE(2019, 4, 18)</f>
        <v>43573</v>
      </c>
      <c r="B595" s="10">
        <v>71.97</v>
      </c>
      <c r="C595" s="10">
        <v>71.430000000000007</v>
      </c>
      <c r="D595" s="10">
        <v>70.959999999999994</v>
      </c>
      <c r="E595" s="10">
        <v>70.55</v>
      </c>
      <c r="F595" s="10">
        <v>70.19</v>
      </c>
      <c r="G595" s="10">
        <v>69.89</v>
      </c>
      <c r="H595" s="10">
        <v>69.58</v>
      </c>
      <c r="I595" s="10">
        <v>69.27</v>
      </c>
      <c r="J595" s="10">
        <v>68.98</v>
      </c>
      <c r="K595" s="10">
        <v>68.7</v>
      </c>
      <c r="L595" s="10">
        <v>68.41</v>
      </c>
      <c r="M595" s="10">
        <v>68.13</v>
      </c>
      <c r="N595" s="10">
        <v>64</v>
      </c>
      <c r="O595" s="10">
        <v>64.069999999999993</v>
      </c>
      <c r="P595" s="10">
        <v>64.12</v>
      </c>
      <c r="Q595" s="10">
        <v>64.11</v>
      </c>
      <c r="R595" s="10">
        <v>64.010000000000005</v>
      </c>
      <c r="S595" s="10">
        <v>63.83</v>
      </c>
      <c r="T595" s="10">
        <v>63.58</v>
      </c>
      <c r="U595" s="10">
        <v>63.28</v>
      </c>
      <c r="V595" s="10">
        <v>62.94</v>
      </c>
      <c r="W595" s="10">
        <v>62.57</v>
      </c>
      <c r="X595" s="10">
        <v>62.17</v>
      </c>
      <c r="Y595" s="10">
        <v>61.78</v>
      </c>
      <c r="Z595" s="11">
        <v>70.346000000000004</v>
      </c>
      <c r="AA595" s="11">
        <v>70.489999999999995</v>
      </c>
      <c r="AB595" s="11">
        <v>69.77</v>
      </c>
      <c r="AC595" s="11">
        <v>69.093999999999994</v>
      </c>
      <c r="AD595" s="11">
        <v>68.626000000000005</v>
      </c>
      <c r="AE595" s="11">
        <v>68.224999999999994</v>
      </c>
      <c r="AF595" s="11">
        <v>67.816999999999993</v>
      </c>
      <c r="AG595" s="11">
        <v>67.426000000000002</v>
      </c>
      <c r="AH595" s="11">
        <v>67.022999999999996</v>
      </c>
      <c r="AI595" s="11">
        <v>66.626999999999995</v>
      </c>
      <c r="AJ595" s="11">
        <v>66.236000000000004</v>
      </c>
      <c r="AK595" s="11">
        <v>65.885999999999996</v>
      </c>
      <c r="AL595" s="11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</row>
    <row r="596" spans="1:147" x14ac:dyDescent="0.3">
      <c r="A596" s="9">
        <f>DATE(2019, 4, 22)</f>
        <v>43577</v>
      </c>
      <c r="B596" s="10">
        <v>74.040000000000006</v>
      </c>
      <c r="C596" s="10">
        <v>73.39</v>
      </c>
      <c r="D596" s="10">
        <v>72.81</v>
      </c>
      <c r="E596" s="10">
        <v>72.28</v>
      </c>
      <c r="F596" s="10">
        <v>71.8</v>
      </c>
      <c r="G596" s="10">
        <v>71.39</v>
      </c>
      <c r="H596" s="10">
        <v>70.97</v>
      </c>
      <c r="I596" s="10">
        <v>70.58</v>
      </c>
      <c r="J596" s="10">
        <v>70.2</v>
      </c>
      <c r="K596" s="10">
        <v>69.849999999999994</v>
      </c>
      <c r="L596" s="10">
        <v>69.5</v>
      </c>
      <c r="M596" s="10">
        <v>69.150000000000006</v>
      </c>
      <c r="N596" s="10">
        <v>65.7</v>
      </c>
      <c r="O596" s="10">
        <v>65.55</v>
      </c>
      <c r="P596" s="10">
        <v>65.510000000000005</v>
      </c>
      <c r="Q596" s="10">
        <v>65.37</v>
      </c>
      <c r="R596" s="10">
        <v>65.150000000000006</v>
      </c>
      <c r="S596" s="10">
        <v>64.87</v>
      </c>
      <c r="T596" s="10">
        <v>64.53</v>
      </c>
      <c r="U596" s="10">
        <v>64.14</v>
      </c>
      <c r="V596" s="10">
        <v>63.72</v>
      </c>
      <c r="W596" s="10">
        <v>63.29</v>
      </c>
      <c r="X596" s="10">
        <v>62.84</v>
      </c>
      <c r="Y596" s="10">
        <v>62.4</v>
      </c>
      <c r="Z596" s="11">
        <v>70.978999999999999</v>
      </c>
      <c r="AA596" s="11">
        <v>72.344999999999999</v>
      </c>
      <c r="AB596" s="11">
        <v>71.513999999999996</v>
      </c>
      <c r="AC596" s="11">
        <v>70.759</v>
      </c>
      <c r="AD596" s="11">
        <v>70.191000000000003</v>
      </c>
      <c r="AE596" s="11">
        <v>69.69</v>
      </c>
      <c r="AF596" s="11">
        <v>69.233000000000004</v>
      </c>
      <c r="AG596" s="11">
        <v>68.751999999999995</v>
      </c>
      <c r="AH596" s="11">
        <v>68.277000000000001</v>
      </c>
      <c r="AI596" s="11">
        <v>67.813999999999993</v>
      </c>
      <c r="AJ596" s="11">
        <v>67.382999999999996</v>
      </c>
      <c r="AK596" s="11">
        <v>66.944000000000003</v>
      </c>
      <c r="AL596" s="11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</row>
    <row r="597" spans="1:147" x14ac:dyDescent="0.3">
      <c r="A597" s="9">
        <f>DATE(2019, 4, 23)</f>
        <v>43578</v>
      </c>
      <c r="B597" s="10">
        <v>74.510000000000005</v>
      </c>
      <c r="C597" s="10">
        <v>73.89</v>
      </c>
      <c r="D597" s="10">
        <v>73.33</v>
      </c>
      <c r="E597" s="10">
        <v>72.8</v>
      </c>
      <c r="F597" s="10">
        <v>72.31</v>
      </c>
      <c r="G597" s="10">
        <v>71.900000000000006</v>
      </c>
      <c r="H597" s="10">
        <v>71.48</v>
      </c>
      <c r="I597" s="10">
        <v>71.08</v>
      </c>
      <c r="J597" s="10">
        <v>70.69</v>
      </c>
      <c r="K597" s="10">
        <v>70.319999999999993</v>
      </c>
      <c r="L597" s="10">
        <v>69.959999999999994</v>
      </c>
      <c r="M597" s="10">
        <v>69.599999999999994</v>
      </c>
      <c r="N597" s="10">
        <v>66.3</v>
      </c>
      <c r="O597" s="10">
        <v>66.239999999999995</v>
      </c>
      <c r="P597" s="10">
        <v>66.06</v>
      </c>
      <c r="Q597" s="10">
        <v>65.790000000000006</v>
      </c>
      <c r="R597" s="10">
        <v>65.47</v>
      </c>
      <c r="S597" s="10">
        <v>65.099999999999994</v>
      </c>
      <c r="T597" s="10">
        <v>64.680000000000007</v>
      </c>
      <c r="U597" s="10">
        <v>64.23</v>
      </c>
      <c r="V597" s="10">
        <v>63.78</v>
      </c>
      <c r="W597" s="10">
        <v>63.31</v>
      </c>
      <c r="X597" s="10">
        <v>62.86</v>
      </c>
      <c r="Y597" s="10">
        <v>62.43</v>
      </c>
      <c r="Z597" s="11">
        <v>71.221999999999994</v>
      </c>
      <c r="AA597" s="11">
        <v>72.876000000000005</v>
      </c>
      <c r="AB597" s="11">
        <v>72.063999999999993</v>
      </c>
      <c r="AC597" s="11">
        <v>71.299000000000007</v>
      </c>
      <c r="AD597" s="11">
        <v>70.741</v>
      </c>
      <c r="AE597" s="11">
        <v>70.25</v>
      </c>
      <c r="AF597" s="11">
        <v>69.763000000000005</v>
      </c>
      <c r="AG597" s="11">
        <v>69.281000000000006</v>
      </c>
      <c r="AH597" s="11">
        <v>68.784999999999997</v>
      </c>
      <c r="AI597" s="11">
        <v>68.284000000000006</v>
      </c>
      <c r="AJ597" s="11">
        <v>67.841999999999999</v>
      </c>
      <c r="AK597" s="11">
        <v>67.393000000000001</v>
      </c>
      <c r="AL597" s="11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</row>
    <row r="598" spans="1:147" x14ac:dyDescent="0.3">
      <c r="A598" s="9">
        <f>DATE(2019, 4, 24)</f>
        <v>43579</v>
      </c>
      <c r="B598" s="10">
        <v>74.569999999999993</v>
      </c>
      <c r="C598" s="10">
        <v>73.84</v>
      </c>
      <c r="D598" s="10">
        <v>73.260000000000005</v>
      </c>
      <c r="E598" s="10">
        <v>72.739999999999995</v>
      </c>
      <c r="F598" s="10">
        <v>72.260000000000005</v>
      </c>
      <c r="G598" s="10">
        <v>71.86</v>
      </c>
      <c r="H598" s="10">
        <v>71.45</v>
      </c>
      <c r="I598" s="10">
        <v>71.06</v>
      </c>
      <c r="J598" s="10">
        <v>70.680000000000007</v>
      </c>
      <c r="K598" s="10">
        <v>70.31</v>
      </c>
      <c r="L598" s="10">
        <v>69.95</v>
      </c>
      <c r="M598" s="10">
        <v>69.58</v>
      </c>
      <c r="N598" s="10">
        <v>65.89</v>
      </c>
      <c r="O598" s="10">
        <v>65.89</v>
      </c>
      <c r="P598" s="10">
        <v>65.77</v>
      </c>
      <c r="Q598" s="10">
        <v>65.55</v>
      </c>
      <c r="R598" s="10">
        <v>65.27</v>
      </c>
      <c r="S598" s="10">
        <v>64.930000000000007</v>
      </c>
      <c r="T598" s="10">
        <v>64.53</v>
      </c>
      <c r="U598" s="10">
        <v>64.11</v>
      </c>
      <c r="V598" s="10">
        <v>63.68</v>
      </c>
      <c r="W598" s="10">
        <v>63.24</v>
      </c>
      <c r="X598" s="10">
        <v>62.82</v>
      </c>
      <c r="Y598" s="10">
        <v>62.41</v>
      </c>
      <c r="Z598" s="11">
        <v>71.19</v>
      </c>
      <c r="AA598" s="11">
        <v>72.915000000000006</v>
      </c>
      <c r="AB598" s="11">
        <v>72.084000000000003</v>
      </c>
      <c r="AC598" s="11">
        <v>71.328999999999994</v>
      </c>
      <c r="AD598" s="11">
        <v>70.762</v>
      </c>
      <c r="AE598" s="11">
        <v>70.290000000000006</v>
      </c>
      <c r="AF598" s="11">
        <v>69.793000000000006</v>
      </c>
      <c r="AG598" s="11">
        <v>69.311999999999998</v>
      </c>
      <c r="AH598" s="11">
        <v>68.814999999999998</v>
      </c>
      <c r="AI598" s="11">
        <v>68.323999999999998</v>
      </c>
      <c r="AJ598" s="11">
        <v>67.872</v>
      </c>
      <c r="AK598" s="11">
        <v>67.412999999999997</v>
      </c>
      <c r="AL598" s="11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</row>
    <row r="599" spans="1:147" x14ac:dyDescent="0.3">
      <c r="A599" s="9">
        <f>DATE(2019, 4, 25)</f>
        <v>43580</v>
      </c>
      <c r="B599" s="10">
        <v>74.349999999999994</v>
      </c>
      <c r="C599" s="10">
        <v>73.63</v>
      </c>
      <c r="D599" s="10">
        <v>72.989999999999995</v>
      </c>
      <c r="E599" s="10">
        <v>72.430000000000007</v>
      </c>
      <c r="F599" s="10">
        <v>71.930000000000007</v>
      </c>
      <c r="G599" s="10">
        <v>71.52</v>
      </c>
      <c r="H599" s="10">
        <v>71.11</v>
      </c>
      <c r="I599" s="10">
        <v>70.72</v>
      </c>
      <c r="J599" s="10">
        <v>70.33</v>
      </c>
      <c r="K599" s="10">
        <v>69.959999999999994</v>
      </c>
      <c r="L599" s="10">
        <v>69.599999999999994</v>
      </c>
      <c r="M599" s="10">
        <v>69.23</v>
      </c>
      <c r="N599" s="10">
        <v>65.209999999999994</v>
      </c>
      <c r="O599" s="10">
        <v>65.28</v>
      </c>
      <c r="P599" s="10">
        <v>65.23</v>
      </c>
      <c r="Q599" s="10">
        <v>65.069999999999993</v>
      </c>
      <c r="R599" s="10">
        <v>64.849999999999994</v>
      </c>
      <c r="S599" s="10">
        <v>64.569999999999993</v>
      </c>
      <c r="T599" s="10">
        <v>64.209999999999994</v>
      </c>
      <c r="U599" s="10">
        <v>63.81</v>
      </c>
      <c r="V599" s="10">
        <v>63.41</v>
      </c>
      <c r="W599" s="10">
        <v>63</v>
      </c>
      <c r="X599" s="10">
        <v>62.59</v>
      </c>
      <c r="Y599" s="10">
        <v>62.19</v>
      </c>
      <c r="Z599" s="11">
        <v>71.218999999999994</v>
      </c>
      <c r="AA599" s="11">
        <v>72.841999999999999</v>
      </c>
      <c r="AB599" s="11">
        <v>71.932000000000002</v>
      </c>
      <c r="AC599" s="11">
        <v>71.087999999999994</v>
      </c>
      <c r="AD599" s="11">
        <v>70.460999999999999</v>
      </c>
      <c r="AE599" s="11">
        <v>69.95</v>
      </c>
      <c r="AF599" s="11">
        <v>69.442999999999998</v>
      </c>
      <c r="AG599" s="11">
        <v>68.941000000000003</v>
      </c>
      <c r="AH599" s="11">
        <v>68.435000000000002</v>
      </c>
      <c r="AI599" s="11">
        <v>67.974000000000004</v>
      </c>
      <c r="AJ599" s="11">
        <v>67.522000000000006</v>
      </c>
      <c r="AK599" s="11">
        <v>67.063000000000002</v>
      </c>
      <c r="AL599" s="11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</row>
    <row r="600" spans="1:147" x14ac:dyDescent="0.3">
      <c r="A600" s="9">
        <f>DATE(2019, 4, 26)</f>
        <v>43581</v>
      </c>
      <c r="B600" s="10">
        <v>72.150000000000006</v>
      </c>
      <c r="C600" s="10">
        <v>71.63</v>
      </c>
      <c r="D600" s="10">
        <v>71</v>
      </c>
      <c r="E600" s="10">
        <v>70.45</v>
      </c>
      <c r="F600" s="10">
        <v>69.95</v>
      </c>
      <c r="G600" s="10">
        <v>69.56</v>
      </c>
      <c r="H600" s="10">
        <v>69.16</v>
      </c>
      <c r="I600" s="10">
        <v>68.8</v>
      </c>
      <c r="J600" s="10">
        <v>68.45</v>
      </c>
      <c r="K600" s="10">
        <v>68.13</v>
      </c>
      <c r="L600" s="10">
        <v>67.81</v>
      </c>
      <c r="M600" s="10">
        <v>67.489999999999995</v>
      </c>
      <c r="N600" s="10">
        <v>63.3</v>
      </c>
      <c r="O600" s="10">
        <v>63.38</v>
      </c>
      <c r="P600" s="10">
        <v>63.36</v>
      </c>
      <c r="Q600" s="10">
        <v>63.23</v>
      </c>
      <c r="R600" s="10">
        <v>63.04</v>
      </c>
      <c r="S600" s="10">
        <v>62.8</v>
      </c>
      <c r="T600" s="10">
        <v>62.49</v>
      </c>
      <c r="U600" s="10">
        <v>62.14</v>
      </c>
      <c r="V600" s="10">
        <v>61.78</v>
      </c>
      <c r="W600" s="10">
        <v>61.41</v>
      </c>
      <c r="X600" s="10">
        <v>61.06</v>
      </c>
      <c r="Y600" s="10">
        <v>60.7</v>
      </c>
      <c r="Z600" s="11">
        <v>70.971999999999994</v>
      </c>
      <c r="AA600" s="11">
        <v>70.772999999999996</v>
      </c>
      <c r="AB600" s="11">
        <v>69.882999999999996</v>
      </c>
      <c r="AC600" s="11">
        <v>69.108000000000004</v>
      </c>
      <c r="AD600" s="11">
        <v>68.522000000000006</v>
      </c>
      <c r="AE600" s="11">
        <v>68.040999999999997</v>
      </c>
      <c r="AF600" s="11">
        <v>67.543999999999997</v>
      </c>
      <c r="AG600" s="11">
        <v>67.043000000000006</v>
      </c>
      <c r="AH600" s="11">
        <v>66.56</v>
      </c>
      <c r="AI600" s="11">
        <v>66.114999999999995</v>
      </c>
      <c r="AJ600" s="11">
        <v>65.703999999999994</v>
      </c>
      <c r="AK600" s="11">
        <v>65.305000000000007</v>
      </c>
      <c r="AL600" s="11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</row>
    <row r="601" spans="1:147" x14ac:dyDescent="0.3">
      <c r="A601" s="9">
        <f>DATE(2019, 4, 29)</f>
        <v>43584</v>
      </c>
      <c r="B601" s="10">
        <v>72.040000000000006</v>
      </c>
      <c r="C601" s="10">
        <v>71.540000000000006</v>
      </c>
      <c r="D601" s="10">
        <v>70.92</v>
      </c>
      <c r="E601" s="10">
        <v>70.39</v>
      </c>
      <c r="F601" s="10">
        <v>69.91</v>
      </c>
      <c r="G601" s="10">
        <v>69.540000000000006</v>
      </c>
      <c r="H601" s="10">
        <v>69.17</v>
      </c>
      <c r="I601" s="10">
        <v>68.81</v>
      </c>
      <c r="J601" s="10">
        <v>68.47</v>
      </c>
      <c r="K601" s="10">
        <v>68.150000000000006</v>
      </c>
      <c r="L601" s="10">
        <v>67.84</v>
      </c>
      <c r="M601" s="10">
        <v>67.53</v>
      </c>
      <c r="N601" s="10">
        <v>63.5</v>
      </c>
      <c r="O601" s="10">
        <v>63.57</v>
      </c>
      <c r="P601" s="10">
        <v>63.54</v>
      </c>
      <c r="Q601" s="10">
        <v>63.42</v>
      </c>
      <c r="R601" s="10">
        <v>63.23</v>
      </c>
      <c r="S601" s="10">
        <v>62.98</v>
      </c>
      <c r="T601" s="10">
        <v>62.67</v>
      </c>
      <c r="U601" s="10">
        <v>62.33</v>
      </c>
      <c r="V601" s="10">
        <v>61.96</v>
      </c>
      <c r="W601" s="10">
        <v>61.58</v>
      </c>
      <c r="X601" s="10">
        <v>61.21</v>
      </c>
      <c r="Y601" s="10">
        <v>60.86</v>
      </c>
      <c r="Z601" s="11">
        <v>70.935000000000002</v>
      </c>
      <c r="AA601" s="11">
        <v>70.923000000000002</v>
      </c>
      <c r="AB601" s="11">
        <v>69.994</v>
      </c>
      <c r="AC601" s="11">
        <v>69.149000000000001</v>
      </c>
      <c r="AD601" s="11">
        <v>68.543000000000006</v>
      </c>
      <c r="AE601" s="11">
        <v>68.052000000000007</v>
      </c>
      <c r="AF601" s="11">
        <v>67.563999999999993</v>
      </c>
      <c r="AG601" s="11">
        <v>67.073999999999998</v>
      </c>
      <c r="AH601" s="11">
        <v>66.58</v>
      </c>
      <c r="AI601" s="11">
        <v>66.135999999999996</v>
      </c>
      <c r="AJ601" s="11">
        <v>65.685000000000002</v>
      </c>
      <c r="AK601" s="11">
        <v>65.265000000000001</v>
      </c>
      <c r="AL601" s="11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</row>
    <row r="602" spans="1:147" x14ac:dyDescent="0.3">
      <c r="A602" s="9">
        <f>DATE(2019, 4, 30)</f>
        <v>43585</v>
      </c>
      <c r="B602" s="10">
        <v>72.8</v>
      </c>
      <c r="C602" s="10">
        <v>72.06</v>
      </c>
      <c r="D602" s="10">
        <v>71.45</v>
      </c>
      <c r="E602" s="10">
        <v>70.91</v>
      </c>
      <c r="F602" s="10">
        <v>70.42</v>
      </c>
      <c r="G602" s="10">
        <v>70.03</v>
      </c>
      <c r="H602" s="10">
        <v>69.64</v>
      </c>
      <c r="I602" s="10">
        <v>69.27</v>
      </c>
      <c r="J602" s="10">
        <v>68.92</v>
      </c>
      <c r="K602" s="10">
        <v>68.599999999999994</v>
      </c>
      <c r="L602" s="10">
        <v>68.28</v>
      </c>
      <c r="M602" s="10">
        <v>67.95</v>
      </c>
      <c r="N602" s="10">
        <v>63.91</v>
      </c>
      <c r="O602" s="10">
        <v>63.98</v>
      </c>
      <c r="P602" s="10">
        <v>63.97</v>
      </c>
      <c r="Q602" s="10">
        <v>63.84</v>
      </c>
      <c r="R602" s="10">
        <v>63.64</v>
      </c>
      <c r="S602" s="10">
        <v>63.38</v>
      </c>
      <c r="T602" s="10">
        <v>63.07</v>
      </c>
      <c r="U602" s="10">
        <v>62.72</v>
      </c>
      <c r="V602" s="10">
        <v>62.35</v>
      </c>
      <c r="W602" s="10">
        <v>61.97</v>
      </c>
      <c r="X602" s="10">
        <v>61.58</v>
      </c>
      <c r="Y602" s="10">
        <v>61.21</v>
      </c>
      <c r="Z602" s="11">
        <v>70.95</v>
      </c>
      <c r="AA602" s="11">
        <v>71.552999999999997</v>
      </c>
      <c r="AB602" s="11">
        <v>70.613</v>
      </c>
      <c r="AC602" s="11">
        <v>69.769000000000005</v>
      </c>
      <c r="AD602" s="11">
        <v>69.122</v>
      </c>
      <c r="AE602" s="11">
        <v>68.600999999999999</v>
      </c>
      <c r="AF602" s="11">
        <v>68.084000000000003</v>
      </c>
      <c r="AG602" s="11">
        <v>67.569999999999993</v>
      </c>
      <c r="AH602" s="11">
        <v>67.072999999999993</v>
      </c>
      <c r="AI602" s="11">
        <v>66.605000000000004</v>
      </c>
      <c r="AJ602" s="11">
        <v>66.164000000000001</v>
      </c>
      <c r="AK602" s="11">
        <v>65.734999999999999</v>
      </c>
      <c r="AL602" s="11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</row>
    <row r="603" spans="1:147" x14ac:dyDescent="0.3">
      <c r="A603" s="9">
        <f>DATE(2019, 5, 1)</f>
        <v>43586</v>
      </c>
      <c r="B603" s="10">
        <v>72.180000000000007</v>
      </c>
      <c r="C603" s="10">
        <v>71.5</v>
      </c>
      <c r="D603" s="10">
        <v>70.95</v>
      </c>
      <c r="E603" s="10">
        <v>70.44</v>
      </c>
      <c r="F603" s="10">
        <v>70.03</v>
      </c>
      <c r="G603" s="10">
        <v>69.62</v>
      </c>
      <c r="H603" s="10">
        <v>69.25</v>
      </c>
      <c r="I603" s="10">
        <v>68.91</v>
      </c>
      <c r="J603" s="10">
        <v>68.59</v>
      </c>
      <c r="K603" s="10">
        <v>68.28</v>
      </c>
      <c r="L603" s="10">
        <v>67.959999999999994</v>
      </c>
      <c r="M603" s="10">
        <v>67.63</v>
      </c>
      <c r="N603" s="10">
        <v>63.6</v>
      </c>
      <c r="O603" s="10">
        <v>63.69</v>
      </c>
      <c r="P603" s="10">
        <v>63.71</v>
      </c>
      <c r="Q603" s="10">
        <v>63.62</v>
      </c>
      <c r="R603" s="10">
        <v>63.44</v>
      </c>
      <c r="S603" s="10">
        <v>63.2</v>
      </c>
      <c r="T603" s="10">
        <v>62.92</v>
      </c>
      <c r="U603" s="10">
        <v>62.59</v>
      </c>
      <c r="V603" s="10">
        <v>62.24</v>
      </c>
      <c r="W603" s="10">
        <v>61.87</v>
      </c>
      <c r="X603" s="10">
        <v>61.5</v>
      </c>
      <c r="Y603" s="10">
        <v>61.14</v>
      </c>
      <c r="Z603" s="11">
        <v>70.95</v>
      </c>
      <c r="AA603" s="11">
        <v>71.653000000000006</v>
      </c>
      <c r="AB603" s="11">
        <v>70.683000000000007</v>
      </c>
      <c r="AC603" s="11">
        <v>69.837999999999994</v>
      </c>
      <c r="AD603" s="11">
        <v>69.161000000000001</v>
      </c>
      <c r="AE603" s="11">
        <v>68.63</v>
      </c>
      <c r="AF603" s="11">
        <v>68.093999999999994</v>
      </c>
      <c r="AG603" s="11">
        <v>67.554000000000002</v>
      </c>
      <c r="AH603" s="11">
        <v>67.06</v>
      </c>
      <c r="AI603" s="11">
        <v>66.596000000000004</v>
      </c>
      <c r="AJ603" s="11">
        <v>66.164000000000001</v>
      </c>
      <c r="AK603" s="11">
        <v>65.745000000000005</v>
      </c>
      <c r="AL603" s="11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</row>
    <row r="604" spans="1:147" x14ac:dyDescent="0.3">
      <c r="A604" s="9">
        <f>DATE(2019, 5, 2)</f>
        <v>43587</v>
      </c>
      <c r="B604" s="10">
        <v>70.75</v>
      </c>
      <c r="C604" s="10">
        <v>70.02</v>
      </c>
      <c r="D604" s="10">
        <v>69.430000000000007</v>
      </c>
      <c r="E604" s="10">
        <v>68.91</v>
      </c>
      <c r="F604" s="10">
        <v>68.48</v>
      </c>
      <c r="G604" s="10">
        <v>68.069999999999993</v>
      </c>
      <c r="H604" s="10">
        <v>67.7</v>
      </c>
      <c r="I604" s="10">
        <v>67.36</v>
      </c>
      <c r="J604" s="10">
        <v>67.06</v>
      </c>
      <c r="K604" s="10">
        <v>66.77</v>
      </c>
      <c r="L604" s="10">
        <v>66.47</v>
      </c>
      <c r="M604" s="10">
        <v>66.16</v>
      </c>
      <c r="N604" s="10">
        <v>61.81</v>
      </c>
      <c r="O604" s="10">
        <v>61.9</v>
      </c>
      <c r="P604" s="10">
        <v>61.94</v>
      </c>
      <c r="Q604" s="10">
        <v>61.89</v>
      </c>
      <c r="R604" s="10">
        <v>61.76</v>
      </c>
      <c r="S604" s="10">
        <v>61.57</v>
      </c>
      <c r="T604" s="10">
        <v>61.33</v>
      </c>
      <c r="U604" s="10">
        <v>61.04</v>
      </c>
      <c r="V604" s="10">
        <v>60.72</v>
      </c>
      <c r="W604" s="10">
        <v>60.37</v>
      </c>
      <c r="X604" s="10">
        <v>60.02</v>
      </c>
      <c r="Y604" s="10">
        <v>59.67</v>
      </c>
      <c r="Z604" s="11">
        <v>70.602999999999994</v>
      </c>
      <c r="AA604" s="11">
        <v>69.391000000000005</v>
      </c>
      <c r="AB604" s="11">
        <v>68.367000000000004</v>
      </c>
      <c r="AC604" s="11">
        <v>67.680000000000007</v>
      </c>
      <c r="AD604" s="11">
        <v>67.12</v>
      </c>
      <c r="AE604" s="11">
        <v>66.573999999999998</v>
      </c>
      <c r="AF604" s="11">
        <v>66.054000000000002</v>
      </c>
      <c r="AG604" s="11">
        <v>65.540999999999997</v>
      </c>
      <c r="AH604" s="11">
        <v>65.076999999999998</v>
      </c>
      <c r="AI604" s="11">
        <v>64.635000000000005</v>
      </c>
      <c r="AJ604" s="11">
        <v>64.195999999999998</v>
      </c>
      <c r="AK604" s="11">
        <v>63.816000000000003</v>
      </c>
      <c r="AL604" s="11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</row>
    <row r="605" spans="1:147" x14ac:dyDescent="0.3">
      <c r="A605" s="9">
        <f>DATE(2019, 5, 3)</f>
        <v>43588</v>
      </c>
      <c r="B605" s="10">
        <v>70.849999999999994</v>
      </c>
      <c r="C605" s="10">
        <v>70.03</v>
      </c>
      <c r="D605" s="10">
        <v>69.37</v>
      </c>
      <c r="E605" s="10">
        <v>68.819999999999993</v>
      </c>
      <c r="F605" s="10">
        <v>68.39</v>
      </c>
      <c r="G605" s="10">
        <v>67.98</v>
      </c>
      <c r="H605" s="10">
        <v>67.61</v>
      </c>
      <c r="I605" s="10">
        <v>67.27</v>
      </c>
      <c r="J605" s="10">
        <v>66.959999999999994</v>
      </c>
      <c r="K605" s="10">
        <v>66.67</v>
      </c>
      <c r="L605" s="10">
        <v>66.36</v>
      </c>
      <c r="M605" s="10">
        <v>66.040000000000006</v>
      </c>
      <c r="N605" s="10">
        <v>61.94</v>
      </c>
      <c r="O605" s="10">
        <v>62.04</v>
      </c>
      <c r="P605" s="10">
        <v>62.07</v>
      </c>
      <c r="Q605" s="10">
        <v>62.01</v>
      </c>
      <c r="R605" s="10">
        <v>61.86</v>
      </c>
      <c r="S605" s="10">
        <v>61.64</v>
      </c>
      <c r="T605" s="10">
        <v>61.38</v>
      </c>
      <c r="U605" s="10">
        <v>61.07</v>
      </c>
      <c r="V605" s="10">
        <v>60.74</v>
      </c>
      <c r="W605" s="10">
        <v>60.4</v>
      </c>
      <c r="X605" s="10">
        <v>60.05</v>
      </c>
      <c r="Y605" s="10">
        <v>59.7</v>
      </c>
      <c r="Z605" s="11">
        <v>70.308999999999997</v>
      </c>
      <c r="AA605" s="11">
        <v>69.167000000000002</v>
      </c>
      <c r="AB605" s="11">
        <v>68.135999999999996</v>
      </c>
      <c r="AC605" s="11">
        <v>67.44</v>
      </c>
      <c r="AD605" s="11">
        <v>66.87</v>
      </c>
      <c r="AE605" s="11">
        <v>66.364000000000004</v>
      </c>
      <c r="AF605" s="11">
        <v>65.834000000000003</v>
      </c>
      <c r="AG605" s="11">
        <v>65.33</v>
      </c>
      <c r="AH605" s="11">
        <v>64.837000000000003</v>
      </c>
      <c r="AI605" s="11">
        <v>64.364999999999995</v>
      </c>
      <c r="AJ605" s="11">
        <v>63.965000000000003</v>
      </c>
      <c r="AK605" s="11">
        <v>63.587000000000003</v>
      </c>
      <c r="AL605" s="11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</row>
    <row r="606" spans="1:147" x14ac:dyDescent="0.3">
      <c r="A606" s="9">
        <f>DATE(2019, 5, 6)</f>
        <v>43591</v>
      </c>
      <c r="B606" s="10">
        <v>71.239999999999995</v>
      </c>
      <c r="C606" s="10">
        <v>70.37</v>
      </c>
      <c r="D606" s="10">
        <v>69.680000000000007</v>
      </c>
      <c r="E606" s="10">
        <v>69.12</v>
      </c>
      <c r="F606" s="10">
        <v>68.680000000000007</v>
      </c>
      <c r="G606" s="10">
        <v>68.27</v>
      </c>
      <c r="H606" s="10">
        <v>67.91</v>
      </c>
      <c r="I606" s="10">
        <v>67.58</v>
      </c>
      <c r="J606" s="10">
        <v>67.27</v>
      </c>
      <c r="K606" s="10">
        <v>66.989999999999995</v>
      </c>
      <c r="L606" s="10">
        <v>66.69</v>
      </c>
      <c r="M606" s="10">
        <v>66.38</v>
      </c>
      <c r="N606" s="10">
        <v>62.25</v>
      </c>
      <c r="O606" s="10">
        <v>62.37</v>
      </c>
      <c r="P606" s="10">
        <v>62.42</v>
      </c>
      <c r="Q606" s="10">
        <v>62.35</v>
      </c>
      <c r="R606" s="10">
        <v>62.2</v>
      </c>
      <c r="S606" s="10">
        <v>61.99</v>
      </c>
      <c r="T606" s="10">
        <v>61.72</v>
      </c>
      <c r="U606" s="10">
        <v>61.42</v>
      </c>
      <c r="V606" s="10">
        <v>61.09</v>
      </c>
      <c r="W606" s="10">
        <v>60.75</v>
      </c>
      <c r="X606" s="10">
        <v>60.41</v>
      </c>
      <c r="Y606" s="10">
        <v>60.08</v>
      </c>
      <c r="Z606" s="11">
        <v>70.472999999999999</v>
      </c>
      <c r="AA606" s="11">
        <v>69.415999999999997</v>
      </c>
      <c r="AB606" s="11">
        <v>68.325999999999993</v>
      </c>
      <c r="AC606" s="11">
        <v>67.61</v>
      </c>
      <c r="AD606" s="11">
        <v>67.040000000000006</v>
      </c>
      <c r="AE606" s="11">
        <v>66.534000000000006</v>
      </c>
      <c r="AF606" s="11">
        <v>66.034000000000006</v>
      </c>
      <c r="AG606" s="11">
        <v>65.53</v>
      </c>
      <c r="AH606" s="11">
        <v>65.037000000000006</v>
      </c>
      <c r="AI606" s="11">
        <v>64.594999999999999</v>
      </c>
      <c r="AJ606" s="11">
        <v>64.225999999999999</v>
      </c>
      <c r="AK606" s="11">
        <v>63.866999999999997</v>
      </c>
      <c r="AL606" s="11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</row>
    <row r="607" spans="1:147" x14ac:dyDescent="0.3">
      <c r="A607" s="9">
        <f>DATE(2019, 5, 7)</f>
        <v>43592</v>
      </c>
      <c r="B607" s="10">
        <v>69.88</v>
      </c>
      <c r="C607" s="10">
        <v>69.069999999999993</v>
      </c>
      <c r="D607" s="10">
        <v>68.42</v>
      </c>
      <c r="E607" s="10">
        <v>67.89</v>
      </c>
      <c r="F607" s="10">
        <v>67.48</v>
      </c>
      <c r="G607" s="10">
        <v>67.11</v>
      </c>
      <c r="H607" s="10">
        <v>66.77</v>
      </c>
      <c r="I607" s="10">
        <v>66.45</v>
      </c>
      <c r="J607" s="10">
        <v>66.16</v>
      </c>
      <c r="K607" s="10">
        <v>65.89</v>
      </c>
      <c r="L607" s="10">
        <v>65.61</v>
      </c>
      <c r="M607" s="10">
        <v>65.319999999999993</v>
      </c>
      <c r="N607" s="10">
        <v>61.4</v>
      </c>
      <c r="O607" s="10">
        <v>61.51</v>
      </c>
      <c r="P607" s="10">
        <v>61.54</v>
      </c>
      <c r="Q607" s="10">
        <v>61.47</v>
      </c>
      <c r="R607" s="10">
        <v>61.3</v>
      </c>
      <c r="S607" s="10">
        <v>61.06</v>
      </c>
      <c r="T607" s="10">
        <v>60.79</v>
      </c>
      <c r="U607" s="10">
        <v>60.48</v>
      </c>
      <c r="V607" s="10">
        <v>60.15</v>
      </c>
      <c r="W607" s="10">
        <v>59.82</v>
      </c>
      <c r="X607" s="10">
        <v>59.47</v>
      </c>
      <c r="Y607" s="10">
        <v>59.14</v>
      </c>
      <c r="Z607" s="11">
        <v>69.272000000000006</v>
      </c>
      <c r="AA607" s="11">
        <v>67.947999999999993</v>
      </c>
      <c r="AB607" s="11">
        <v>66.927000000000007</v>
      </c>
      <c r="AC607" s="11">
        <v>66.271000000000001</v>
      </c>
      <c r="AD607" s="11">
        <v>65.772000000000006</v>
      </c>
      <c r="AE607" s="11">
        <v>65.295000000000002</v>
      </c>
      <c r="AF607" s="11">
        <v>64.814999999999998</v>
      </c>
      <c r="AG607" s="11">
        <v>64.341999999999999</v>
      </c>
      <c r="AH607" s="11">
        <v>63.868000000000002</v>
      </c>
      <c r="AI607" s="11">
        <v>63.436</v>
      </c>
      <c r="AJ607" s="11">
        <v>63.087000000000003</v>
      </c>
      <c r="AK607" s="11">
        <v>62.747999999999998</v>
      </c>
      <c r="AL607" s="11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</row>
    <row r="608" spans="1:147" x14ac:dyDescent="0.3">
      <c r="A608" s="9">
        <f>DATE(2019, 5, 8)</f>
        <v>43593</v>
      </c>
      <c r="B608" s="10">
        <v>70.37</v>
      </c>
      <c r="C608" s="10">
        <v>69.62</v>
      </c>
      <c r="D608" s="10">
        <v>69.02</v>
      </c>
      <c r="E608" s="10">
        <v>68.53</v>
      </c>
      <c r="F608" s="10">
        <v>68.16</v>
      </c>
      <c r="G608" s="10">
        <v>67.81</v>
      </c>
      <c r="H608" s="10">
        <v>67.489999999999995</v>
      </c>
      <c r="I608" s="10">
        <v>67.19</v>
      </c>
      <c r="J608" s="10">
        <v>66.91</v>
      </c>
      <c r="K608" s="10">
        <v>66.650000000000006</v>
      </c>
      <c r="L608" s="10">
        <v>66.38</v>
      </c>
      <c r="M608" s="10">
        <v>66.08</v>
      </c>
      <c r="N608" s="10">
        <v>62.12</v>
      </c>
      <c r="O608" s="10">
        <v>62.22</v>
      </c>
      <c r="P608" s="10">
        <v>62.25</v>
      </c>
      <c r="Q608" s="10">
        <v>62.19</v>
      </c>
      <c r="R608" s="10">
        <v>62.04</v>
      </c>
      <c r="S608" s="10">
        <v>61.82</v>
      </c>
      <c r="T608" s="10">
        <v>61.55</v>
      </c>
      <c r="U608" s="10">
        <v>61.24</v>
      </c>
      <c r="V608" s="10">
        <v>60.91</v>
      </c>
      <c r="W608" s="10">
        <v>60.55</v>
      </c>
      <c r="X608" s="10">
        <v>60.2</v>
      </c>
      <c r="Y608" s="10">
        <v>59.86</v>
      </c>
      <c r="Z608" s="11">
        <v>69.602999999999994</v>
      </c>
      <c r="AA608" s="11">
        <v>68.33</v>
      </c>
      <c r="AB608" s="11">
        <v>67.338999999999999</v>
      </c>
      <c r="AC608" s="11">
        <v>66.733000000000004</v>
      </c>
      <c r="AD608" s="11">
        <v>66.263000000000005</v>
      </c>
      <c r="AE608" s="11">
        <v>65.796000000000006</v>
      </c>
      <c r="AF608" s="11">
        <v>65.346000000000004</v>
      </c>
      <c r="AG608" s="11">
        <v>64.923000000000002</v>
      </c>
      <c r="AH608" s="11">
        <v>64.507999999999996</v>
      </c>
      <c r="AI608" s="11">
        <v>64.087000000000003</v>
      </c>
      <c r="AJ608" s="11">
        <v>63.725999999999999</v>
      </c>
      <c r="AK608" s="11">
        <v>63.378</v>
      </c>
      <c r="AL608" s="11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</row>
    <row r="609" spans="1:147" x14ac:dyDescent="0.3">
      <c r="A609" s="9">
        <f>DATE(2019, 5, 9)</f>
        <v>43594</v>
      </c>
      <c r="B609" s="10">
        <v>70.39</v>
      </c>
      <c r="C609" s="10">
        <v>69.48</v>
      </c>
      <c r="D609" s="10">
        <v>68.790000000000006</v>
      </c>
      <c r="E609" s="10">
        <v>68.23</v>
      </c>
      <c r="F609" s="10">
        <v>67.81</v>
      </c>
      <c r="G609" s="10">
        <v>67.430000000000007</v>
      </c>
      <c r="H609" s="10">
        <v>67.08</v>
      </c>
      <c r="I609" s="10">
        <v>66.760000000000005</v>
      </c>
      <c r="J609" s="10">
        <v>66.47</v>
      </c>
      <c r="K609" s="10">
        <v>66.2</v>
      </c>
      <c r="L609" s="10">
        <v>65.92</v>
      </c>
      <c r="M609" s="10">
        <v>65.61</v>
      </c>
      <c r="N609" s="10">
        <v>61.7</v>
      </c>
      <c r="O609" s="10">
        <v>61.81</v>
      </c>
      <c r="P609" s="10">
        <v>61.86</v>
      </c>
      <c r="Q609" s="10">
        <v>61.82</v>
      </c>
      <c r="R609" s="10">
        <v>61.69</v>
      </c>
      <c r="S609" s="10">
        <v>61.49</v>
      </c>
      <c r="T609" s="10">
        <v>61.24</v>
      </c>
      <c r="U609" s="10">
        <v>60.95</v>
      </c>
      <c r="V609" s="10">
        <v>60.62</v>
      </c>
      <c r="W609" s="10">
        <v>60.28</v>
      </c>
      <c r="X609" s="10">
        <v>59.94</v>
      </c>
      <c r="Y609" s="10">
        <v>59.6</v>
      </c>
      <c r="Z609" s="11">
        <v>69.683000000000007</v>
      </c>
      <c r="AA609" s="11">
        <v>68.406000000000006</v>
      </c>
      <c r="AB609" s="11">
        <v>67.325999999999993</v>
      </c>
      <c r="AC609" s="11">
        <v>66.590999999999994</v>
      </c>
      <c r="AD609" s="11">
        <v>66.091999999999999</v>
      </c>
      <c r="AE609" s="11">
        <v>65.625</v>
      </c>
      <c r="AF609" s="11">
        <v>65.165000000000006</v>
      </c>
      <c r="AG609" s="11">
        <v>64.701999999999998</v>
      </c>
      <c r="AH609" s="11">
        <v>64.257999999999996</v>
      </c>
      <c r="AI609" s="11">
        <v>63.845999999999997</v>
      </c>
      <c r="AJ609" s="11">
        <v>63.496000000000002</v>
      </c>
      <c r="AK609" s="11">
        <v>63.148000000000003</v>
      </c>
      <c r="AL609" s="11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</row>
    <row r="610" spans="1:147" x14ac:dyDescent="0.3">
      <c r="A610" s="9">
        <f>DATE(2019, 5, 10)</f>
        <v>43595</v>
      </c>
      <c r="B610" s="10">
        <v>70.62</v>
      </c>
      <c r="C610" s="10">
        <v>69.64</v>
      </c>
      <c r="D610" s="10">
        <v>68.88</v>
      </c>
      <c r="E610" s="10">
        <v>68.27</v>
      </c>
      <c r="F610" s="10">
        <v>67.83</v>
      </c>
      <c r="G610" s="10">
        <v>67.430000000000007</v>
      </c>
      <c r="H610" s="10">
        <v>67.069999999999993</v>
      </c>
      <c r="I610" s="10">
        <v>66.739999999999995</v>
      </c>
      <c r="J610" s="10">
        <v>66.44</v>
      </c>
      <c r="K610" s="10">
        <v>66.16</v>
      </c>
      <c r="L610" s="10">
        <v>65.87</v>
      </c>
      <c r="M610" s="10">
        <v>65.56</v>
      </c>
      <c r="N610" s="10">
        <v>61.66</v>
      </c>
      <c r="O610" s="10">
        <v>61.8</v>
      </c>
      <c r="P610" s="10">
        <v>61.86</v>
      </c>
      <c r="Q610" s="10">
        <v>61.83</v>
      </c>
      <c r="R610" s="10">
        <v>61.7</v>
      </c>
      <c r="S610" s="10">
        <v>61.49</v>
      </c>
      <c r="T610" s="10">
        <v>61.23</v>
      </c>
      <c r="U610" s="10">
        <v>60.93</v>
      </c>
      <c r="V610" s="10">
        <v>60.59</v>
      </c>
      <c r="W610" s="10">
        <v>60.25</v>
      </c>
      <c r="X610" s="10">
        <v>59.9</v>
      </c>
      <c r="Y610" s="10">
        <v>59.56</v>
      </c>
      <c r="Z610" s="11">
        <v>69.843000000000004</v>
      </c>
      <c r="AA610" s="11">
        <v>68.512</v>
      </c>
      <c r="AB610" s="11">
        <v>67.363</v>
      </c>
      <c r="AC610" s="11">
        <v>66.61</v>
      </c>
      <c r="AD610" s="11">
        <v>66.090999999999994</v>
      </c>
      <c r="AE610" s="11">
        <v>65.584000000000003</v>
      </c>
      <c r="AF610" s="11">
        <v>65.084000000000003</v>
      </c>
      <c r="AG610" s="11">
        <v>64.590999999999994</v>
      </c>
      <c r="AH610" s="11">
        <v>64.147000000000006</v>
      </c>
      <c r="AI610" s="11">
        <v>63.725999999999999</v>
      </c>
      <c r="AJ610" s="11">
        <v>63.375999999999998</v>
      </c>
      <c r="AK610" s="11">
        <v>63.027000000000001</v>
      </c>
      <c r="AL610" s="11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</row>
    <row r="611" spans="1:147" x14ac:dyDescent="0.3">
      <c r="A611" s="9">
        <f>DATE(2019, 5, 13)</f>
        <v>43598</v>
      </c>
      <c r="B611" s="10">
        <v>70.23</v>
      </c>
      <c r="C611" s="10">
        <v>69.31</v>
      </c>
      <c r="D611" s="10">
        <v>68.58</v>
      </c>
      <c r="E611" s="10">
        <v>68</v>
      </c>
      <c r="F611" s="10">
        <v>67.569999999999993</v>
      </c>
      <c r="G611" s="10">
        <v>67.17</v>
      </c>
      <c r="H611" s="10">
        <v>66.81</v>
      </c>
      <c r="I611" s="10">
        <v>66.48</v>
      </c>
      <c r="J611" s="10">
        <v>66.17</v>
      </c>
      <c r="K611" s="10">
        <v>65.89</v>
      </c>
      <c r="L611" s="10">
        <v>65.599999999999994</v>
      </c>
      <c r="M611" s="10">
        <v>65.290000000000006</v>
      </c>
      <c r="N611" s="10">
        <v>61.04</v>
      </c>
      <c r="O611" s="10">
        <v>61.21</v>
      </c>
      <c r="P611" s="10">
        <v>61.3</v>
      </c>
      <c r="Q611" s="10">
        <v>61.3</v>
      </c>
      <c r="R611" s="10">
        <v>61.2</v>
      </c>
      <c r="S611" s="10">
        <v>61.02</v>
      </c>
      <c r="T611" s="10">
        <v>60.79</v>
      </c>
      <c r="U611" s="10">
        <v>60.51</v>
      </c>
      <c r="V611" s="10">
        <v>60.19</v>
      </c>
      <c r="W611" s="10">
        <v>59.85</v>
      </c>
      <c r="X611" s="10">
        <v>59.51</v>
      </c>
      <c r="Y611" s="10">
        <v>59.17</v>
      </c>
      <c r="Z611" s="11">
        <v>69.823999999999998</v>
      </c>
      <c r="AA611" s="11">
        <v>68.244</v>
      </c>
      <c r="AB611" s="11">
        <v>67.055000000000007</v>
      </c>
      <c r="AC611" s="11">
        <v>66.28</v>
      </c>
      <c r="AD611" s="11">
        <v>65.781000000000006</v>
      </c>
      <c r="AE611" s="11">
        <v>65.274000000000001</v>
      </c>
      <c r="AF611" s="11">
        <v>64.774000000000001</v>
      </c>
      <c r="AG611" s="11">
        <v>64.3</v>
      </c>
      <c r="AH611" s="11">
        <v>63.896999999999998</v>
      </c>
      <c r="AI611" s="11">
        <v>63.475999999999999</v>
      </c>
      <c r="AJ611" s="11">
        <v>63.085999999999999</v>
      </c>
      <c r="AK611" s="11">
        <v>62.737000000000002</v>
      </c>
      <c r="AL611" s="11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</row>
    <row r="612" spans="1:147" x14ac:dyDescent="0.3">
      <c r="A612" s="9">
        <f>DATE(2019, 5, 14)</f>
        <v>43599</v>
      </c>
      <c r="B612" s="10">
        <v>71.239999999999995</v>
      </c>
      <c r="C612" s="10">
        <v>70.31</v>
      </c>
      <c r="D612" s="10">
        <v>69.56</v>
      </c>
      <c r="E612" s="10">
        <v>68.94</v>
      </c>
      <c r="F612" s="10">
        <v>68.48</v>
      </c>
      <c r="G612" s="10">
        <v>68.05</v>
      </c>
      <c r="H612" s="10">
        <v>67.67</v>
      </c>
      <c r="I612" s="10">
        <v>67.319999999999993</v>
      </c>
      <c r="J612" s="10">
        <v>67</v>
      </c>
      <c r="K612" s="10">
        <v>66.7</v>
      </c>
      <c r="L612" s="10">
        <v>66.400000000000006</v>
      </c>
      <c r="M612" s="10">
        <v>66.069999999999993</v>
      </c>
      <c r="N612" s="10">
        <v>61.78</v>
      </c>
      <c r="O612" s="10">
        <v>61.96</v>
      </c>
      <c r="P612" s="10">
        <v>62.08</v>
      </c>
      <c r="Q612" s="10">
        <v>62.1</v>
      </c>
      <c r="R612" s="10">
        <v>62.03</v>
      </c>
      <c r="S612" s="10">
        <v>61.87</v>
      </c>
      <c r="T612" s="10">
        <v>61.65</v>
      </c>
      <c r="U612" s="10">
        <v>61.37</v>
      </c>
      <c r="V612" s="10">
        <v>61.04</v>
      </c>
      <c r="W612" s="10">
        <v>60.69</v>
      </c>
      <c r="X612" s="10">
        <v>60.33</v>
      </c>
      <c r="Y612" s="10">
        <v>59.97</v>
      </c>
      <c r="Z612" s="11">
        <v>70.405000000000001</v>
      </c>
      <c r="AA612" s="11">
        <v>69.272999999999996</v>
      </c>
      <c r="AB612" s="11">
        <v>68.033000000000001</v>
      </c>
      <c r="AC612" s="11">
        <v>67.228999999999999</v>
      </c>
      <c r="AD612" s="11">
        <v>66.709999999999994</v>
      </c>
      <c r="AE612" s="11">
        <v>66.212999999999994</v>
      </c>
      <c r="AF612" s="11">
        <v>65.712999999999994</v>
      </c>
      <c r="AG612" s="11">
        <v>65.22</v>
      </c>
      <c r="AH612" s="11">
        <v>64.775999999999996</v>
      </c>
      <c r="AI612" s="11">
        <v>64.344999999999999</v>
      </c>
      <c r="AJ612" s="11">
        <v>63.945</v>
      </c>
      <c r="AK612" s="11">
        <v>63.587000000000003</v>
      </c>
      <c r="AL612" s="11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</row>
    <row r="613" spans="1:147" x14ac:dyDescent="0.3">
      <c r="A613" s="9">
        <f>DATE(2019, 5, 15)</f>
        <v>43600</v>
      </c>
      <c r="B613" s="10">
        <v>71.77</v>
      </c>
      <c r="C613" s="10">
        <v>70.900000000000006</v>
      </c>
      <c r="D613" s="10">
        <v>70.16</v>
      </c>
      <c r="E613" s="10">
        <v>69.55</v>
      </c>
      <c r="F613" s="10">
        <v>69.08</v>
      </c>
      <c r="G613" s="10">
        <v>68.650000000000006</v>
      </c>
      <c r="H613" s="10">
        <v>68.260000000000005</v>
      </c>
      <c r="I613" s="10">
        <v>67.900000000000006</v>
      </c>
      <c r="J613" s="10">
        <v>67.569999999999993</v>
      </c>
      <c r="K613" s="10">
        <v>67.25</v>
      </c>
      <c r="L613" s="10">
        <v>66.94</v>
      </c>
      <c r="M613" s="10">
        <v>66.61</v>
      </c>
      <c r="N613" s="10">
        <v>62.02</v>
      </c>
      <c r="O613" s="10">
        <v>62.24</v>
      </c>
      <c r="P613" s="10">
        <v>62.39</v>
      </c>
      <c r="Q613" s="10">
        <v>62.45</v>
      </c>
      <c r="R613" s="10">
        <v>62.41</v>
      </c>
      <c r="S613" s="10">
        <v>62.28</v>
      </c>
      <c r="T613" s="10">
        <v>62.08</v>
      </c>
      <c r="U613" s="10">
        <v>61.82</v>
      </c>
      <c r="V613" s="10">
        <v>61.51</v>
      </c>
      <c r="W613" s="10">
        <v>61.16</v>
      </c>
      <c r="X613" s="10">
        <v>60.79</v>
      </c>
      <c r="Y613" s="10">
        <v>60.41</v>
      </c>
      <c r="Z613" s="11">
        <v>70.721999999999994</v>
      </c>
      <c r="AA613" s="11">
        <v>69.852999999999994</v>
      </c>
      <c r="AB613" s="11">
        <v>68.653000000000006</v>
      </c>
      <c r="AC613" s="11">
        <v>67.838999999999999</v>
      </c>
      <c r="AD613" s="11">
        <v>67.31</v>
      </c>
      <c r="AE613" s="11">
        <v>66.793000000000006</v>
      </c>
      <c r="AF613" s="11">
        <v>66.283000000000001</v>
      </c>
      <c r="AG613" s="11">
        <v>65.778999999999996</v>
      </c>
      <c r="AH613" s="11">
        <v>65.295000000000002</v>
      </c>
      <c r="AI613" s="11">
        <v>64.864999999999995</v>
      </c>
      <c r="AJ613" s="11">
        <v>64.454999999999998</v>
      </c>
      <c r="AK613" s="11">
        <v>64.076999999999998</v>
      </c>
      <c r="AL613" s="11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</row>
    <row r="614" spans="1:147" x14ac:dyDescent="0.3">
      <c r="A614" s="9">
        <f>DATE(2019, 5, 16)</f>
        <v>43601</v>
      </c>
      <c r="B614" s="10">
        <v>72.62</v>
      </c>
      <c r="C614" s="10">
        <v>71.7</v>
      </c>
      <c r="D614" s="10">
        <v>70.89</v>
      </c>
      <c r="E614" s="10">
        <v>70.25</v>
      </c>
      <c r="F614" s="10">
        <v>69.75</v>
      </c>
      <c r="G614" s="10">
        <v>69.31</v>
      </c>
      <c r="H614" s="10">
        <v>68.89</v>
      </c>
      <c r="I614" s="10">
        <v>68.5</v>
      </c>
      <c r="J614" s="10">
        <v>68.150000000000006</v>
      </c>
      <c r="K614" s="10">
        <v>67.819999999999993</v>
      </c>
      <c r="L614" s="10">
        <v>67.48</v>
      </c>
      <c r="M614" s="10">
        <v>67.12</v>
      </c>
      <c r="N614" s="10">
        <v>62.87</v>
      </c>
      <c r="O614" s="10">
        <v>63.06</v>
      </c>
      <c r="P614" s="10">
        <v>63.17</v>
      </c>
      <c r="Q614" s="10">
        <v>63.19</v>
      </c>
      <c r="R614" s="10">
        <v>63.1</v>
      </c>
      <c r="S614" s="10">
        <v>62.94</v>
      </c>
      <c r="T614" s="10">
        <v>62.72</v>
      </c>
      <c r="U614" s="10">
        <v>62.43</v>
      </c>
      <c r="V614" s="10">
        <v>62.1</v>
      </c>
      <c r="W614" s="10">
        <v>61.71</v>
      </c>
      <c r="X614" s="10">
        <v>61.31</v>
      </c>
      <c r="Y614" s="10">
        <v>60.9</v>
      </c>
      <c r="Z614" s="11">
        <v>71.222999999999999</v>
      </c>
      <c r="AA614" s="11">
        <v>70.760000000000005</v>
      </c>
      <c r="AB614" s="11">
        <v>69.531999999999996</v>
      </c>
      <c r="AC614" s="11">
        <v>68.667000000000002</v>
      </c>
      <c r="AD614" s="11">
        <v>68.069000000000003</v>
      </c>
      <c r="AE614" s="11">
        <v>67.552000000000007</v>
      </c>
      <c r="AF614" s="11">
        <v>67.040999999999997</v>
      </c>
      <c r="AG614" s="11">
        <v>66.486999999999995</v>
      </c>
      <c r="AH614" s="11">
        <v>65.974999999999994</v>
      </c>
      <c r="AI614" s="11">
        <v>65.533000000000001</v>
      </c>
      <c r="AJ614" s="11">
        <v>65.093999999999994</v>
      </c>
      <c r="AK614" s="11">
        <v>64.685000000000002</v>
      </c>
      <c r="AL614" s="11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</row>
    <row r="615" spans="1:147" x14ac:dyDescent="0.3">
      <c r="A615" s="9">
        <f>DATE(2019, 5, 17)</f>
        <v>43602</v>
      </c>
      <c r="B615" s="10">
        <v>72.209999999999994</v>
      </c>
      <c r="C615" s="10">
        <v>71.260000000000005</v>
      </c>
      <c r="D615" s="10">
        <v>70.44</v>
      </c>
      <c r="E615" s="10">
        <v>69.81</v>
      </c>
      <c r="F615" s="10">
        <v>69.33</v>
      </c>
      <c r="G615" s="10">
        <v>68.91</v>
      </c>
      <c r="H615" s="10">
        <v>68.52</v>
      </c>
      <c r="I615" s="10">
        <v>68.14</v>
      </c>
      <c r="J615" s="10">
        <v>67.790000000000006</v>
      </c>
      <c r="K615" s="10">
        <v>67.459999999999994</v>
      </c>
      <c r="L615" s="10">
        <v>67.12</v>
      </c>
      <c r="M615" s="10">
        <v>66.760000000000005</v>
      </c>
      <c r="N615" s="10">
        <v>62.76</v>
      </c>
      <c r="O615" s="10">
        <v>62.92</v>
      </c>
      <c r="P615" s="10">
        <v>62.99</v>
      </c>
      <c r="Q615" s="10">
        <v>62.98</v>
      </c>
      <c r="R615" s="10">
        <v>62.86</v>
      </c>
      <c r="S615" s="10">
        <v>62.66</v>
      </c>
      <c r="T615" s="10">
        <v>62.39</v>
      </c>
      <c r="U615" s="10">
        <v>62.07</v>
      </c>
      <c r="V615" s="10">
        <v>61.72</v>
      </c>
      <c r="W615" s="10">
        <v>61.34</v>
      </c>
      <c r="X615" s="10">
        <v>60.94</v>
      </c>
      <c r="Y615" s="10">
        <v>60.54</v>
      </c>
      <c r="Z615" s="11">
        <v>71.019000000000005</v>
      </c>
      <c r="AA615" s="11">
        <v>70.259</v>
      </c>
      <c r="AB615" s="11">
        <v>69.102999999999994</v>
      </c>
      <c r="AC615" s="11">
        <v>68.278000000000006</v>
      </c>
      <c r="AD615" s="11">
        <v>67.7</v>
      </c>
      <c r="AE615" s="11">
        <v>67.192999999999998</v>
      </c>
      <c r="AF615" s="11">
        <v>66.682000000000002</v>
      </c>
      <c r="AG615" s="11">
        <v>66.167000000000002</v>
      </c>
      <c r="AH615" s="11">
        <v>65.655000000000001</v>
      </c>
      <c r="AI615" s="11">
        <v>65.183000000000007</v>
      </c>
      <c r="AJ615" s="11">
        <v>64.733999999999995</v>
      </c>
      <c r="AK615" s="11">
        <v>64.325000000000003</v>
      </c>
      <c r="AL615" s="11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</row>
    <row r="616" spans="1:147" x14ac:dyDescent="0.3">
      <c r="A616" s="9">
        <f>DATE(2019, 5, 20)</f>
        <v>43605</v>
      </c>
      <c r="B616" s="10">
        <v>71.97</v>
      </c>
      <c r="C616" s="10">
        <v>71.16</v>
      </c>
      <c r="D616" s="10">
        <v>70.38</v>
      </c>
      <c r="E616" s="10">
        <v>69.78</v>
      </c>
      <c r="F616" s="10">
        <v>69.33</v>
      </c>
      <c r="G616" s="10">
        <v>68.94</v>
      </c>
      <c r="H616" s="10">
        <v>68.569999999999993</v>
      </c>
      <c r="I616" s="10">
        <v>68.23</v>
      </c>
      <c r="J616" s="10">
        <v>67.900000000000006</v>
      </c>
      <c r="K616" s="10">
        <v>67.59</v>
      </c>
      <c r="L616" s="10">
        <v>67.27</v>
      </c>
      <c r="M616" s="10">
        <v>66.92</v>
      </c>
      <c r="N616" s="10">
        <v>63.1</v>
      </c>
      <c r="O616" s="10">
        <v>63.21</v>
      </c>
      <c r="P616" s="10">
        <v>63.26</v>
      </c>
      <c r="Q616" s="10">
        <v>63.23</v>
      </c>
      <c r="R616" s="10">
        <v>63.11</v>
      </c>
      <c r="S616" s="10">
        <v>62.91</v>
      </c>
      <c r="T616" s="10">
        <v>62.65</v>
      </c>
      <c r="U616" s="10">
        <v>62.33</v>
      </c>
      <c r="V616" s="10">
        <v>61.98</v>
      </c>
      <c r="W616" s="10">
        <v>61.61</v>
      </c>
      <c r="X616" s="10">
        <v>61.22</v>
      </c>
      <c r="Y616" s="10">
        <v>60.84</v>
      </c>
      <c r="Z616" s="11">
        <v>70.929000000000002</v>
      </c>
      <c r="AA616" s="11">
        <v>70.051000000000002</v>
      </c>
      <c r="AB616" s="11">
        <v>68.944000000000003</v>
      </c>
      <c r="AC616" s="11">
        <v>68.16</v>
      </c>
      <c r="AD616" s="11">
        <v>67.600999999999999</v>
      </c>
      <c r="AE616" s="11">
        <v>67.123999999999995</v>
      </c>
      <c r="AF616" s="11">
        <v>66.623999999999995</v>
      </c>
      <c r="AG616" s="11">
        <v>66.138999999999996</v>
      </c>
      <c r="AH616" s="11">
        <v>65.715999999999994</v>
      </c>
      <c r="AI616" s="11">
        <v>65.293999999999997</v>
      </c>
      <c r="AJ616" s="11">
        <v>64.884</v>
      </c>
      <c r="AK616" s="11">
        <v>64.486000000000004</v>
      </c>
      <c r="AL616" s="11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</row>
    <row r="617" spans="1:147" x14ac:dyDescent="0.3">
      <c r="A617" s="9">
        <f>DATE(2019, 5, 21)</f>
        <v>43606</v>
      </c>
      <c r="B617" s="10">
        <v>72.180000000000007</v>
      </c>
      <c r="C617" s="10">
        <v>71.31</v>
      </c>
      <c r="D617" s="10">
        <v>70.510000000000005</v>
      </c>
      <c r="E617" s="10">
        <v>69.900000000000006</v>
      </c>
      <c r="F617" s="10">
        <v>69.45</v>
      </c>
      <c r="G617" s="10">
        <v>69.06</v>
      </c>
      <c r="H617" s="10">
        <v>68.7</v>
      </c>
      <c r="I617" s="10">
        <v>68.349999999999994</v>
      </c>
      <c r="J617" s="10">
        <v>68.02</v>
      </c>
      <c r="K617" s="10">
        <v>67.709999999999994</v>
      </c>
      <c r="L617" s="10">
        <v>67.39</v>
      </c>
      <c r="M617" s="10">
        <v>67.06</v>
      </c>
      <c r="N617" s="10">
        <v>62.99</v>
      </c>
      <c r="O617" s="10">
        <v>63.13</v>
      </c>
      <c r="P617" s="10">
        <v>63.21</v>
      </c>
      <c r="Q617" s="10">
        <v>63.19</v>
      </c>
      <c r="R617" s="10">
        <v>63.07</v>
      </c>
      <c r="S617" s="10">
        <v>62.88</v>
      </c>
      <c r="T617" s="10">
        <v>62.62</v>
      </c>
      <c r="U617" s="10">
        <v>62.32</v>
      </c>
      <c r="V617" s="10">
        <v>61.98</v>
      </c>
      <c r="W617" s="10">
        <v>61.64</v>
      </c>
      <c r="X617" s="10">
        <v>61.28</v>
      </c>
      <c r="Y617" s="10">
        <v>60.93</v>
      </c>
      <c r="Z617" s="11">
        <v>70.957999999999998</v>
      </c>
      <c r="AA617" s="11">
        <v>70.14</v>
      </c>
      <c r="AB617" s="11">
        <v>69.043000000000006</v>
      </c>
      <c r="AC617" s="11">
        <v>68.3</v>
      </c>
      <c r="AD617" s="11">
        <v>67.741</v>
      </c>
      <c r="AE617" s="11">
        <v>67.263999999999996</v>
      </c>
      <c r="AF617" s="11">
        <v>66.793000000000006</v>
      </c>
      <c r="AG617" s="11">
        <v>66.338999999999999</v>
      </c>
      <c r="AH617" s="11">
        <v>65.885999999999996</v>
      </c>
      <c r="AI617" s="11">
        <v>65.433999999999997</v>
      </c>
      <c r="AJ617" s="11">
        <v>64.995000000000005</v>
      </c>
      <c r="AK617" s="11">
        <v>64.614999999999995</v>
      </c>
      <c r="AL617" s="11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</row>
    <row r="618" spans="1:147" x14ac:dyDescent="0.3">
      <c r="A618" s="9">
        <f>DATE(2019, 5, 22)</f>
        <v>43607</v>
      </c>
      <c r="B618" s="10">
        <v>70.989999999999995</v>
      </c>
      <c r="C618" s="10">
        <v>69.989999999999995</v>
      </c>
      <c r="D618" s="10">
        <v>69.13</v>
      </c>
      <c r="E618" s="10">
        <v>68.47</v>
      </c>
      <c r="F618" s="10">
        <v>68</v>
      </c>
      <c r="G618" s="10">
        <v>67.63</v>
      </c>
      <c r="H618" s="10">
        <v>67.27</v>
      </c>
      <c r="I618" s="10">
        <v>66.95</v>
      </c>
      <c r="J618" s="10">
        <v>66.64</v>
      </c>
      <c r="K618" s="10">
        <v>66.34</v>
      </c>
      <c r="L618" s="10">
        <v>66.040000000000006</v>
      </c>
      <c r="M618" s="10">
        <v>65.739999999999995</v>
      </c>
      <c r="N618" s="10">
        <v>61.42</v>
      </c>
      <c r="O618" s="10">
        <v>61.5</v>
      </c>
      <c r="P618" s="10">
        <v>61.48</v>
      </c>
      <c r="Q618" s="10">
        <v>61.37</v>
      </c>
      <c r="R618" s="10">
        <v>61.2</v>
      </c>
      <c r="S618" s="10">
        <v>60.97</v>
      </c>
      <c r="T618" s="10">
        <v>60.68</v>
      </c>
      <c r="U618" s="10">
        <v>60.37</v>
      </c>
      <c r="V618" s="10">
        <v>60.06</v>
      </c>
      <c r="W618" s="10">
        <v>59.74</v>
      </c>
      <c r="X618" s="10">
        <v>59.43</v>
      </c>
      <c r="Y618" s="10">
        <v>59.12</v>
      </c>
      <c r="Z618" s="11">
        <v>70.465000000000003</v>
      </c>
      <c r="AA618" s="11">
        <v>68.697000000000003</v>
      </c>
      <c r="AB618" s="11">
        <v>67.551000000000002</v>
      </c>
      <c r="AC618" s="11">
        <v>66.808999999999997</v>
      </c>
      <c r="AD618" s="11">
        <v>66.251999999999995</v>
      </c>
      <c r="AE618" s="11">
        <v>65.784000000000006</v>
      </c>
      <c r="AF618" s="11">
        <v>65.314999999999998</v>
      </c>
      <c r="AG618" s="11">
        <v>64.87</v>
      </c>
      <c r="AH618" s="11">
        <v>64.445999999999998</v>
      </c>
      <c r="AI618" s="11">
        <v>64.015000000000001</v>
      </c>
      <c r="AJ618" s="11">
        <v>63.595999999999997</v>
      </c>
      <c r="AK618" s="11">
        <v>63.216000000000001</v>
      </c>
      <c r="AL618" s="11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</row>
    <row r="619" spans="1:147" x14ac:dyDescent="0.3">
      <c r="A619" s="9">
        <f>DATE(2019, 5, 23)</f>
        <v>43608</v>
      </c>
      <c r="B619" s="10">
        <v>67.760000000000005</v>
      </c>
      <c r="C619" s="10">
        <v>66.5</v>
      </c>
      <c r="D619" s="10">
        <v>65.56</v>
      </c>
      <c r="E619" s="10">
        <v>64.89</v>
      </c>
      <c r="F619" s="10">
        <v>64.42</v>
      </c>
      <c r="G619" s="10">
        <v>64.069999999999993</v>
      </c>
      <c r="H619" s="10">
        <v>63.75</v>
      </c>
      <c r="I619" s="10">
        <v>63.45</v>
      </c>
      <c r="J619" s="10">
        <v>63.19</v>
      </c>
      <c r="K619" s="10">
        <v>62.96</v>
      </c>
      <c r="L619" s="10">
        <v>62.73</v>
      </c>
      <c r="M619" s="10">
        <v>62.49</v>
      </c>
      <c r="N619" s="10">
        <v>57.91</v>
      </c>
      <c r="O619" s="10">
        <v>57.99</v>
      </c>
      <c r="P619" s="10">
        <v>57.99</v>
      </c>
      <c r="Q619" s="10">
        <v>57.91</v>
      </c>
      <c r="R619" s="10">
        <v>57.77</v>
      </c>
      <c r="S619" s="10">
        <v>57.57</v>
      </c>
      <c r="T619" s="10">
        <v>57.34</v>
      </c>
      <c r="U619" s="10">
        <v>57.08</v>
      </c>
      <c r="V619" s="10">
        <v>56.82</v>
      </c>
      <c r="W619" s="10">
        <v>56.55</v>
      </c>
      <c r="X619" s="10">
        <v>56.3</v>
      </c>
      <c r="Y619" s="10">
        <v>56.04</v>
      </c>
      <c r="Z619" s="11">
        <v>69.236000000000004</v>
      </c>
      <c r="AA619" s="11">
        <v>64.760999999999996</v>
      </c>
      <c r="AB619" s="11">
        <v>63.780999999999999</v>
      </c>
      <c r="AC619" s="11">
        <v>63.069000000000003</v>
      </c>
      <c r="AD619" s="11">
        <v>62.582999999999998</v>
      </c>
      <c r="AE619" s="11">
        <v>62.155999999999999</v>
      </c>
      <c r="AF619" s="11">
        <v>61.735999999999997</v>
      </c>
      <c r="AG619" s="11">
        <v>61.305</v>
      </c>
      <c r="AH619" s="11">
        <v>60.9</v>
      </c>
      <c r="AI619" s="11">
        <v>60.539000000000001</v>
      </c>
      <c r="AJ619" s="11">
        <v>60.189</v>
      </c>
      <c r="AK619" s="11">
        <v>59.869</v>
      </c>
      <c r="AL619" s="11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</row>
    <row r="620" spans="1:147" x14ac:dyDescent="0.3">
      <c r="A620" s="9">
        <f>DATE(2019, 5, 24)</f>
        <v>43609</v>
      </c>
      <c r="B620" s="10">
        <v>68.69</v>
      </c>
      <c r="C620" s="10">
        <v>67.47</v>
      </c>
      <c r="D620" s="10">
        <v>66.52</v>
      </c>
      <c r="E620" s="10">
        <v>65.83</v>
      </c>
      <c r="F620" s="10">
        <v>65.38</v>
      </c>
      <c r="G620" s="10">
        <v>65.03</v>
      </c>
      <c r="H620" s="10">
        <v>64.72</v>
      </c>
      <c r="I620" s="10">
        <v>64.44</v>
      </c>
      <c r="J620" s="10">
        <v>64.2</v>
      </c>
      <c r="K620" s="10">
        <v>63.98</v>
      </c>
      <c r="L620" s="10">
        <v>63.76</v>
      </c>
      <c r="M620" s="10">
        <v>63.53</v>
      </c>
      <c r="N620" s="10">
        <v>58.63</v>
      </c>
      <c r="O620" s="10">
        <v>58.71</v>
      </c>
      <c r="P620" s="10">
        <v>58.73</v>
      </c>
      <c r="Q620" s="10">
        <v>58.66</v>
      </c>
      <c r="R620" s="10">
        <v>58.53</v>
      </c>
      <c r="S620" s="10">
        <v>58.35</v>
      </c>
      <c r="T620" s="10">
        <v>58.13</v>
      </c>
      <c r="U620" s="10">
        <v>57.89</v>
      </c>
      <c r="V620" s="10">
        <v>57.65</v>
      </c>
      <c r="W620" s="10">
        <v>57.4</v>
      </c>
      <c r="X620" s="10">
        <v>57.16</v>
      </c>
      <c r="Y620" s="10">
        <v>56.93</v>
      </c>
      <c r="Z620" s="11">
        <v>69.424999999999997</v>
      </c>
      <c r="AA620" s="11">
        <v>65.683000000000007</v>
      </c>
      <c r="AB620" s="11">
        <v>64.64</v>
      </c>
      <c r="AC620" s="11">
        <v>63.96</v>
      </c>
      <c r="AD620" s="11">
        <v>63.453000000000003</v>
      </c>
      <c r="AE620" s="11">
        <v>63.046999999999997</v>
      </c>
      <c r="AF620" s="11">
        <v>62.646999999999998</v>
      </c>
      <c r="AG620" s="11">
        <v>62.237000000000002</v>
      </c>
      <c r="AH620" s="11">
        <v>61.88</v>
      </c>
      <c r="AI620" s="11">
        <v>61.558999999999997</v>
      </c>
      <c r="AJ620" s="11">
        <v>61.24</v>
      </c>
      <c r="AK620" s="11">
        <v>60.969000000000001</v>
      </c>
      <c r="AL620" s="11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</row>
    <row r="621" spans="1:147" x14ac:dyDescent="0.3">
      <c r="A621" s="9">
        <f>DATE(2019, 5, 27)</f>
        <v>43612</v>
      </c>
      <c r="B621" s="10">
        <v>70.11</v>
      </c>
      <c r="C621" s="10">
        <v>68.77</v>
      </c>
      <c r="D621" s="10">
        <v>67.8</v>
      </c>
      <c r="E621" s="10">
        <v>67.09</v>
      </c>
      <c r="F621" s="10">
        <v>66.63</v>
      </c>
      <c r="G621" s="10">
        <v>66.28</v>
      </c>
      <c r="H621" s="10">
        <v>65.959999999999994</v>
      </c>
      <c r="I621" s="10">
        <v>65.67</v>
      </c>
      <c r="J621" s="10">
        <v>65.42</v>
      </c>
      <c r="K621" s="10">
        <v>65.19</v>
      </c>
      <c r="L621" s="10">
        <v>64.97</v>
      </c>
      <c r="M621" s="10">
        <v>64.73</v>
      </c>
      <c r="N621" s="10">
        <v>58.63</v>
      </c>
      <c r="O621" s="10">
        <v>58.71</v>
      </c>
      <c r="P621" s="10">
        <v>58.73</v>
      </c>
      <c r="Q621" s="10">
        <v>58.66</v>
      </c>
      <c r="R621" s="10">
        <v>58.53</v>
      </c>
      <c r="S621" s="10">
        <v>58.35</v>
      </c>
      <c r="T621" s="10">
        <v>58.13</v>
      </c>
      <c r="U621" s="10">
        <v>57.89</v>
      </c>
      <c r="V621" s="10">
        <v>57.65</v>
      </c>
      <c r="W621" s="10">
        <v>57.4</v>
      </c>
      <c r="X621" s="10">
        <v>57.16</v>
      </c>
      <c r="Y621" s="10">
        <v>56.93</v>
      </c>
      <c r="Z621" s="11">
        <v>69.757999999999996</v>
      </c>
      <c r="AA621" s="11">
        <v>67.081999999999994</v>
      </c>
      <c r="AB621" s="11">
        <v>65.938999999999993</v>
      </c>
      <c r="AC621" s="11">
        <v>65.218999999999994</v>
      </c>
      <c r="AD621" s="11">
        <v>64.673000000000002</v>
      </c>
      <c r="AE621" s="11">
        <v>64.225999999999999</v>
      </c>
      <c r="AF621" s="11">
        <v>63.826000000000001</v>
      </c>
      <c r="AG621" s="11">
        <v>63.445999999999998</v>
      </c>
      <c r="AH621" s="11">
        <v>63.09</v>
      </c>
      <c r="AI621" s="11">
        <v>62.768999999999998</v>
      </c>
      <c r="AJ621" s="11">
        <v>62.448999999999998</v>
      </c>
      <c r="AK621" s="11">
        <v>62.148000000000003</v>
      </c>
      <c r="AL621" s="11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</row>
    <row r="622" spans="1:147" x14ac:dyDescent="0.3">
      <c r="A622" s="9">
        <f>DATE(2019, 5, 28)</f>
        <v>43613</v>
      </c>
      <c r="B622" s="10">
        <v>70.11</v>
      </c>
      <c r="C622" s="10">
        <v>68.67</v>
      </c>
      <c r="D622" s="10">
        <v>67.73</v>
      </c>
      <c r="E622" s="10">
        <v>67.05</v>
      </c>
      <c r="F622" s="10">
        <v>66.63</v>
      </c>
      <c r="G622" s="10">
        <v>66.3</v>
      </c>
      <c r="H622" s="10">
        <v>66</v>
      </c>
      <c r="I622" s="10">
        <v>65.72</v>
      </c>
      <c r="J622" s="10">
        <v>65.47</v>
      </c>
      <c r="K622" s="10">
        <v>65.23</v>
      </c>
      <c r="L622" s="10">
        <v>64.989999999999995</v>
      </c>
      <c r="M622" s="10">
        <v>64.739999999999995</v>
      </c>
      <c r="N622" s="10">
        <v>59.14</v>
      </c>
      <c r="O622" s="10">
        <v>59.35</v>
      </c>
      <c r="P622" s="10">
        <v>59.45</v>
      </c>
      <c r="Q622" s="10">
        <v>59.45</v>
      </c>
      <c r="R622" s="10">
        <v>59.36</v>
      </c>
      <c r="S622" s="10">
        <v>59.2</v>
      </c>
      <c r="T622" s="10">
        <v>59</v>
      </c>
      <c r="U622" s="10">
        <v>58.76</v>
      </c>
      <c r="V622" s="10">
        <v>58.52</v>
      </c>
      <c r="W622" s="10">
        <v>58.27</v>
      </c>
      <c r="X622" s="10">
        <v>58.02</v>
      </c>
      <c r="Y622" s="10">
        <v>57.77</v>
      </c>
      <c r="Z622" s="11">
        <v>69.677999999999997</v>
      </c>
      <c r="AA622" s="11">
        <v>67.113</v>
      </c>
      <c r="AB622" s="11">
        <v>65.88</v>
      </c>
      <c r="AC622" s="11">
        <v>65.200999999999993</v>
      </c>
      <c r="AD622" s="11">
        <v>64.694000000000003</v>
      </c>
      <c r="AE622" s="11">
        <v>64.277000000000001</v>
      </c>
      <c r="AF622" s="11">
        <v>63.877000000000002</v>
      </c>
      <c r="AG622" s="11">
        <v>63.475999999999999</v>
      </c>
      <c r="AH622" s="11">
        <v>63.109000000000002</v>
      </c>
      <c r="AI622" s="11">
        <v>62.768000000000001</v>
      </c>
      <c r="AJ622" s="11">
        <v>62.439</v>
      </c>
      <c r="AK622" s="11">
        <v>62.148000000000003</v>
      </c>
      <c r="AL622" s="11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</row>
    <row r="623" spans="1:147" x14ac:dyDescent="0.3">
      <c r="A623" s="9">
        <f>DATE(2019, 5, 29)</f>
        <v>43614</v>
      </c>
      <c r="B623" s="10">
        <v>69.45</v>
      </c>
      <c r="C623" s="10">
        <v>67.87</v>
      </c>
      <c r="D623" s="10">
        <v>66.98</v>
      </c>
      <c r="E623" s="10">
        <v>66.37</v>
      </c>
      <c r="F623" s="10">
        <v>65.98</v>
      </c>
      <c r="G623" s="10">
        <v>65.680000000000007</v>
      </c>
      <c r="H623" s="10">
        <v>65.41</v>
      </c>
      <c r="I623" s="10">
        <v>65.150000000000006</v>
      </c>
      <c r="J623" s="10">
        <v>64.91</v>
      </c>
      <c r="K623" s="10">
        <v>64.69</v>
      </c>
      <c r="L623" s="10">
        <v>64.47</v>
      </c>
      <c r="M623" s="10">
        <v>64.239999999999995</v>
      </c>
      <c r="N623" s="10">
        <v>58.81</v>
      </c>
      <c r="O623" s="10">
        <v>58.95</v>
      </c>
      <c r="P623" s="10">
        <v>58.99</v>
      </c>
      <c r="Q623" s="10">
        <v>58.94</v>
      </c>
      <c r="R623" s="10">
        <v>58.83</v>
      </c>
      <c r="S623" s="10">
        <v>58.66</v>
      </c>
      <c r="T623" s="10">
        <v>58.45</v>
      </c>
      <c r="U623" s="10">
        <v>58.22</v>
      </c>
      <c r="V623" s="10">
        <v>57.98</v>
      </c>
      <c r="W623" s="10">
        <v>57.74</v>
      </c>
      <c r="X623" s="10">
        <v>57.5</v>
      </c>
      <c r="Y623" s="10">
        <v>57.27</v>
      </c>
      <c r="Z623" s="11">
        <v>69.548000000000002</v>
      </c>
      <c r="AA623" s="11">
        <v>66.396000000000001</v>
      </c>
      <c r="AB623" s="11">
        <v>65.113</v>
      </c>
      <c r="AC623" s="11">
        <v>64.522000000000006</v>
      </c>
      <c r="AD623" s="11">
        <v>64.036000000000001</v>
      </c>
      <c r="AE623" s="11">
        <v>63.648000000000003</v>
      </c>
      <c r="AF623" s="11">
        <v>63.207999999999998</v>
      </c>
      <c r="AG623" s="11">
        <v>62.817</v>
      </c>
      <c r="AH623" s="11">
        <v>62.48</v>
      </c>
      <c r="AI623" s="11">
        <v>62.158999999999999</v>
      </c>
      <c r="AJ623" s="11">
        <v>61.85</v>
      </c>
      <c r="AK623" s="11">
        <v>61.588999999999999</v>
      </c>
      <c r="AL623" s="11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</row>
    <row r="624" spans="1:147" x14ac:dyDescent="0.3">
      <c r="A624" s="9">
        <f>DATE(2019, 5, 30)</f>
        <v>43615</v>
      </c>
      <c r="B624" s="10">
        <v>66.87</v>
      </c>
      <c r="C624" s="10">
        <v>65.33</v>
      </c>
      <c r="D624" s="10">
        <v>64.53</v>
      </c>
      <c r="E624" s="10">
        <v>64.03</v>
      </c>
      <c r="F624" s="10">
        <v>63.69</v>
      </c>
      <c r="G624" s="10">
        <v>63.42</v>
      </c>
      <c r="H624" s="10">
        <v>63.18</v>
      </c>
      <c r="I624" s="10">
        <v>62.96</v>
      </c>
      <c r="J624" s="10">
        <v>62.77</v>
      </c>
      <c r="K624" s="10">
        <v>62.59</v>
      </c>
      <c r="L624" s="10">
        <v>62.4</v>
      </c>
      <c r="M624" s="10">
        <v>62.21</v>
      </c>
      <c r="N624" s="10">
        <v>56.59</v>
      </c>
      <c r="O624" s="10">
        <v>56.74</v>
      </c>
      <c r="P624" s="10">
        <v>56.81</v>
      </c>
      <c r="Q624" s="10">
        <v>56.78</v>
      </c>
      <c r="R624" s="10">
        <v>56.68</v>
      </c>
      <c r="S624" s="10">
        <v>56.53</v>
      </c>
      <c r="T624" s="10">
        <v>56.36</v>
      </c>
      <c r="U624" s="10">
        <v>56.16</v>
      </c>
      <c r="V624" s="10">
        <v>55.95</v>
      </c>
      <c r="W624" s="10">
        <v>55.73</v>
      </c>
      <c r="X624" s="10">
        <v>55.51</v>
      </c>
      <c r="Y624" s="10">
        <v>55.31</v>
      </c>
      <c r="Z624" s="11">
        <v>69.418999999999997</v>
      </c>
      <c r="AA624" s="11">
        <v>64.004999999999995</v>
      </c>
      <c r="AB624" s="11">
        <v>62.747</v>
      </c>
      <c r="AC624" s="11">
        <v>62.125999999999998</v>
      </c>
      <c r="AD624" s="11">
        <v>61.585000000000001</v>
      </c>
      <c r="AE624" s="11">
        <v>61.204000000000001</v>
      </c>
      <c r="AF624" s="11">
        <v>60.853000000000002</v>
      </c>
      <c r="AG624" s="11">
        <v>60.482999999999997</v>
      </c>
      <c r="AH624" s="11">
        <v>60.19</v>
      </c>
      <c r="AI624" s="11">
        <v>59.920999999999999</v>
      </c>
      <c r="AJ624" s="11">
        <v>59.640999999999998</v>
      </c>
      <c r="AK624" s="11">
        <v>59.430999999999997</v>
      </c>
      <c r="AL624" s="11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</row>
    <row r="625" spans="1:147" x14ac:dyDescent="0.3">
      <c r="A625" s="9">
        <f>DATE(2019, 5, 31)</f>
        <v>43616</v>
      </c>
      <c r="B625" s="10">
        <v>64.489999999999995</v>
      </c>
      <c r="C625" s="10">
        <v>61.99</v>
      </c>
      <c r="D625" s="10">
        <v>61.16</v>
      </c>
      <c r="E625" s="10">
        <v>60.67</v>
      </c>
      <c r="F625" s="10">
        <v>60.38</v>
      </c>
      <c r="G625" s="10">
        <v>60.15</v>
      </c>
      <c r="H625" s="10">
        <v>59.97</v>
      </c>
      <c r="I625" s="10">
        <v>59.8</v>
      </c>
      <c r="J625" s="10">
        <v>59.65</v>
      </c>
      <c r="K625" s="10">
        <v>59.53</v>
      </c>
      <c r="L625" s="10">
        <v>59.4</v>
      </c>
      <c r="M625" s="10">
        <v>59.27</v>
      </c>
      <c r="N625" s="10">
        <v>53.5</v>
      </c>
      <c r="O625" s="10">
        <v>53.64</v>
      </c>
      <c r="P625" s="10">
        <v>53.73</v>
      </c>
      <c r="Q625" s="10">
        <v>53.72</v>
      </c>
      <c r="R625" s="10">
        <v>53.66</v>
      </c>
      <c r="S625" s="10">
        <v>53.55</v>
      </c>
      <c r="T625" s="10">
        <v>53.41</v>
      </c>
      <c r="U625" s="10">
        <v>53.25</v>
      </c>
      <c r="V625" s="10">
        <v>53.07</v>
      </c>
      <c r="W625" s="10">
        <v>52.9</v>
      </c>
      <c r="X625" s="10">
        <v>52.73</v>
      </c>
      <c r="Y625" s="10">
        <v>52.58</v>
      </c>
      <c r="Z625" s="11">
        <v>69.375</v>
      </c>
      <c r="AA625" s="11">
        <v>60.999000000000002</v>
      </c>
      <c r="AB625" s="11">
        <v>59.698999999999998</v>
      </c>
      <c r="AC625" s="11">
        <v>59.017000000000003</v>
      </c>
      <c r="AD625" s="11">
        <v>58.459000000000003</v>
      </c>
      <c r="AE625" s="11">
        <v>58.061999999999998</v>
      </c>
      <c r="AF625" s="11">
        <v>57.712000000000003</v>
      </c>
      <c r="AG625" s="11">
        <v>57.375999999999998</v>
      </c>
      <c r="AH625" s="11">
        <v>57.085000000000001</v>
      </c>
      <c r="AI625" s="11">
        <v>56.884</v>
      </c>
      <c r="AJ625" s="11">
        <v>56.704000000000001</v>
      </c>
      <c r="AK625" s="11">
        <v>56.543999999999997</v>
      </c>
      <c r="AL625" s="11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</row>
    <row r="626" spans="1:147" x14ac:dyDescent="0.3">
      <c r="A626" s="9">
        <f>DATE(2019, 6, 3)</f>
        <v>43619</v>
      </c>
      <c r="B626" s="10">
        <v>61.28</v>
      </c>
      <c r="C626" s="10">
        <v>60.46</v>
      </c>
      <c r="D626" s="10">
        <v>59.99</v>
      </c>
      <c r="E626" s="10">
        <v>59.75</v>
      </c>
      <c r="F626" s="10">
        <v>59.57</v>
      </c>
      <c r="G626" s="10">
        <v>59.43</v>
      </c>
      <c r="H626" s="10">
        <v>59.31</v>
      </c>
      <c r="I626" s="10">
        <v>59.2</v>
      </c>
      <c r="J626" s="10">
        <v>59.11</v>
      </c>
      <c r="K626" s="10">
        <v>59.01</v>
      </c>
      <c r="L626" s="10">
        <v>58.92</v>
      </c>
      <c r="M626" s="10">
        <v>58.82</v>
      </c>
      <c r="N626" s="10">
        <v>53.25</v>
      </c>
      <c r="O626" s="10">
        <v>53.38</v>
      </c>
      <c r="P626" s="10">
        <v>53.45</v>
      </c>
      <c r="Q626" s="10">
        <v>53.44</v>
      </c>
      <c r="R626" s="10">
        <v>53.39</v>
      </c>
      <c r="S626" s="10">
        <v>53.29</v>
      </c>
      <c r="T626" s="10">
        <v>53.16</v>
      </c>
      <c r="U626" s="10">
        <v>53.01</v>
      </c>
      <c r="V626" s="10">
        <v>52.85</v>
      </c>
      <c r="W626" s="10">
        <v>52.7</v>
      </c>
      <c r="X626" s="10">
        <v>52.56</v>
      </c>
      <c r="Y626" s="10">
        <v>52.43</v>
      </c>
      <c r="Z626" s="11">
        <v>69.375</v>
      </c>
      <c r="AA626" s="11">
        <v>60.235999999999997</v>
      </c>
      <c r="AB626" s="11">
        <v>59.08</v>
      </c>
      <c r="AC626" s="11">
        <v>58.348999999999997</v>
      </c>
      <c r="AD626" s="11">
        <v>57.811</v>
      </c>
      <c r="AE626" s="11">
        <v>57.473999999999997</v>
      </c>
      <c r="AF626" s="11">
        <v>57.143999999999998</v>
      </c>
      <c r="AG626" s="11">
        <v>56.81</v>
      </c>
      <c r="AH626" s="11">
        <v>56.595999999999997</v>
      </c>
      <c r="AI626" s="11">
        <v>56.414999999999999</v>
      </c>
      <c r="AJ626" s="11">
        <v>56.246000000000002</v>
      </c>
      <c r="AK626" s="11">
        <v>56.104999999999997</v>
      </c>
      <c r="AL626" s="11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</row>
    <row r="627" spans="1:147" x14ac:dyDescent="0.3">
      <c r="A627" s="9">
        <f>DATE(2019, 6, 4)</f>
        <v>43620</v>
      </c>
      <c r="B627" s="10">
        <v>61.97</v>
      </c>
      <c r="C627" s="10">
        <v>61.08</v>
      </c>
      <c r="D627" s="10">
        <v>60.51</v>
      </c>
      <c r="E627" s="10">
        <v>60.2</v>
      </c>
      <c r="F627" s="10">
        <v>59.97</v>
      </c>
      <c r="G627" s="10">
        <v>59.78</v>
      </c>
      <c r="H627" s="10">
        <v>59.63</v>
      </c>
      <c r="I627" s="10">
        <v>59.49</v>
      </c>
      <c r="J627" s="10">
        <v>59.38</v>
      </c>
      <c r="K627" s="10">
        <v>59.27</v>
      </c>
      <c r="L627" s="10">
        <v>59.15</v>
      </c>
      <c r="M627" s="10">
        <v>59.03</v>
      </c>
      <c r="N627" s="10">
        <v>53.48</v>
      </c>
      <c r="O627" s="10">
        <v>53.63</v>
      </c>
      <c r="P627" s="10">
        <v>53.71</v>
      </c>
      <c r="Q627" s="10">
        <v>53.71</v>
      </c>
      <c r="R627" s="10">
        <v>53.66</v>
      </c>
      <c r="S627" s="10">
        <v>53.56</v>
      </c>
      <c r="T627" s="10">
        <v>53.41</v>
      </c>
      <c r="U627" s="10">
        <v>53.24</v>
      </c>
      <c r="V627" s="10">
        <v>53.07</v>
      </c>
      <c r="W627" s="10">
        <v>52.92</v>
      </c>
      <c r="X627" s="10">
        <v>52.76</v>
      </c>
      <c r="Y627" s="10">
        <v>52.64</v>
      </c>
      <c r="Z627" s="11">
        <v>60.677999999999997</v>
      </c>
      <c r="AA627" s="11">
        <v>59.484999999999999</v>
      </c>
      <c r="AB627" s="11">
        <v>58.835999999999999</v>
      </c>
      <c r="AC627" s="11">
        <v>58.289000000000001</v>
      </c>
      <c r="AD627" s="11">
        <v>57.862000000000002</v>
      </c>
      <c r="AE627" s="11">
        <v>57.503</v>
      </c>
      <c r="AF627" s="11">
        <v>57.177</v>
      </c>
      <c r="AG627" s="11">
        <v>56.935000000000002</v>
      </c>
      <c r="AH627" s="11">
        <v>56.734999999999999</v>
      </c>
      <c r="AI627" s="11">
        <v>56.555</v>
      </c>
      <c r="AJ627" s="11">
        <v>56.384</v>
      </c>
      <c r="AK627" s="11">
        <v>56.225999999999999</v>
      </c>
      <c r="AL627" s="11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</row>
    <row r="628" spans="1:147" x14ac:dyDescent="0.3">
      <c r="A628" s="9">
        <f>DATE(2019, 6, 5)</f>
        <v>43621</v>
      </c>
      <c r="B628" s="10">
        <v>60.63</v>
      </c>
      <c r="C628" s="10">
        <v>59.53</v>
      </c>
      <c r="D628" s="10">
        <v>58.87</v>
      </c>
      <c r="E628" s="10">
        <v>58.52</v>
      </c>
      <c r="F628" s="10">
        <v>58.28</v>
      </c>
      <c r="G628" s="10">
        <v>58.08</v>
      </c>
      <c r="H628" s="10">
        <v>57.91</v>
      </c>
      <c r="I628" s="10">
        <v>57.77</v>
      </c>
      <c r="J628" s="10">
        <v>57.68</v>
      </c>
      <c r="K628" s="10">
        <v>57.58</v>
      </c>
      <c r="L628" s="10">
        <v>57.47</v>
      </c>
      <c r="M628" s="10">
        <v>57.36</v>
      </c>
      <c r="N628" s="10">
        <v>51.68</v>
      </c>
      <c r="O628" s="10">
        <v>51.83</v>
      </c>
      <c r="P628" s="10">
        <v>51.91</v>
      </c>
      <c r="Q628" s="10">
        <v>51.91</v>
      </c>
      <c r="R628" s="10">
        <v>51.87</v>
      </c>
      <c r="S628" s="10">
        <v>51.78</v>
      </c>
      <c r="T628" s="10">
        <v>51.66</v>
      </c>
      <c r="U628" s="10">
        <v>51.5</v>
      </c>
      <c r="V628" s="10">
        <v>51.36</v>
      </c>
      <c r="W628" s="10">
        <v>51.23</v>
      </c>
      <c r="X628" s="10">
        <v>51.1</v>
      </c>
      <c r="Y628" s="10">
        <v>50.99</v>
      </c>
      <c r="Z628" s="11">
        <v>58.956000000000003</v>
      </c>
      <c r="AA628" s="11">
        <v>57.651000000000003</v>
      </c>
      <c r="AB628" s="11">
        <v>57.014000000000003</v>
      </c>
      <c r="AC628" s="11">
        <v>56.488999999999997</v>
      </c>
      <c r="AD628" s="11">
        <v>56.091000000000001</v>
      </c>
      <c r="AE628" s="11">
        <v>55.752000000000002</v>
      </c>
      <c r="AF628" s="11">
        <v>55.417000000000002</v>
      </c>
      <c r="AG628" s="11">
        <v>55.176000000000002</v>
      </c>
      <c r="AH628" s="11">
        <v>55.024999999999999</v>
      </c>
      <c r="AI628" s="11">
        <v>54.884999999999998</v>
      </c>
      <c r="AJ628" s="11">
        <v>54.765000000000001</v>
      </c>
      <c r="AK628" s="11">
        <v>54.646000000000001</v>
      </c>
      <c r="AL628" s="11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</row>
    <row r="629" spans="1:147" x14ac:dyDescent="0.3">
      <c r="A629" s="9">
        <f>DATE(2019, 6, 6)</f>
        <v>43622</v>
      </c>
      <c r="B629" s="10">
        <v>61.67</v>
      </c>
      <c r="C629" s="10">
        <v>60.52</v>
      </c>
      <c r="D629" s="10">
        <v>59.82</v>
      </c>
      <c r="E629" s="10">
        <v>59.43</v>
      </c>
      <c r="F629" s="10">
        <v>59.17</v>
      </c>
      <c r="G629" s="10">
        <v>58.96</v>
      </c>
      <c r="H629" s="10">
        <v>58.79</v>
      </c>
      <c r="I629" s="10">
        <v>58.64</v>
      </c>
      <c r="J629" s="10">
        <v>58.54</v>
      </c>
      <c r="K629" s="10">
        <v>58.44</v>
      </c>
      <c r="L629" s="10">
        <v>58.34</v>
      </c>
      <c r="M629" s="10">
        <v>58.23</v>
      </c>
      <c r="N629" s="10">
        <v>52.59</v>
      </c>
      <c r="O629" s="10">
        <v>52.73</v>
      </c>
      <c r="P629" s="10">
        <v>52.83</v>
      </c>
      <c r="Q629" s="10">
        <v>52.8</v>
      </c>
      <c r="R629" s="10">
        <v>52.73</v>
      </c>
      <c r="S629" s="10">
        <v>52.63</v>
      </c>
      <c r="T629" s="10">
        <v>52.49</v>
      </c>
      <c r="U629" s="10">
        <v>52.35</v>
      </c>
      <c r="V629" s="10">
        <v>52.21</v>
      </c>
      <c r="W629" s="10">
        <v>52.08</v>
      </c>
      <c r="X629" s="10">
        <v>51.96</v>
      </c>
      <c r="Y629" s="10">
        <v>51.85</v>
      </c>
      <c r="Z629" s="11">
        <v>59.917000000000002</v>
      </c>
      <c r="AA629" s="11">
        <v>58.71</v>
      </c>
      <c r="AB629" s="11">
        <v>58.061999999999998</v>
      </c>
      <c r="AC629" s="11">
        <v>57.527999999999999</v>
      </c>
      <c r="AD629" s="11">
        <v>57.091000000000001</v>
      </c>
      <c r="AE629" s="11">
        <v>56.712000000000003</v>
      </c>
      <c r="AF629" s="11">
        <v>56.405999999999999</v>
      </c>
      <c r="AG629" s="11">
        <v>56.155000000000001</v>
      </c>
      <c r="AH629" s="11">
        <v>55.994999999999997</v>
      </c>
      <c r="AI629" s="11">
        <v>55.835000000000001</v>
      </c>
      <c r="AJ629" s="11">
        <v>55.695</v>
      </c>
      <c r="AK629" s="11">
        <v>55.566000000000003</v>
      </c>
      <c r="AL629" s="11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</row>
    <row r="630" spans="1:147" x14ac:dyDescent="0.3">
      <c r="A630" s="9">
        <f>DATE(2019, 6, 7)</f>
        <v>43623</v>
      </c>
      <c r="B630" s="10">
        <v>63.29</v>
      </c>
      <c r="C630" s="10">
        <v>62.18</v>
      </c>
      <c r="D630" s="10">
        <v>61.5</v>
      </c>
      <c r="E630" s="10">
        <v>61.12</v>
      </c>
      <c r="F630" s="10">
        <v>60.85</v>
      </c>
      <c r="G630" s="10">
        <v>60.62</v>
      </c>
      <c r="H630" s="10">
        <v>60.41</v>
      </c>
      <c r="I630" s="10">
        <v>60.23</v>
      </c>
      <c r="J630" s="10">
        <v>60.09</v>
      </c>
      <c r="K630" s="10">
        <v>59.95</v>
      </c>
      <c r="L630" s="10">
        <v>59.81</v>
      </c>
      <c r="M630" s="10">
        <v>59.66</v>
      </c>
      <c r="N630" s="10">
        <v>53.99</v>
      </c>
      <c r="O630" s="10">
        <v>54.16</v>
      </c>
      <c r="P630" s="10">
        <v>54.27</v>
      </c>
      <c r="Q630" s="10">
        <v>54.25</v>
      </c>
      <c r="R630" s="10">
        <v>54.19</v>
      </c>
      <c r="S630" s="10">
        <v>54.1</v>
      </c>
      <c r="T630" s="10">
        <v>53.96</v>
      </c>
      <c r="U630" s="10">
        <v>53.8</v>
      </c>
      <c r="V630" s="10">
        <v>53.63</v>
      </c>
      <c r="W630" s="10">
        <v>53.46</v>
      </c>
      <c r="X630" s="10">
        <v>53.3</v>
      </c>
      <c r="Y630" s="10">
        <v>53.15</v>
      </c>
      <c r="Z630" s="11">
        <v>61.286000000000001</v>
      </c>
      <c r="AA630" s="11">
        <v>60.33</v>
      </c>
      <c r="AB630" s="11">
        <v>59.692999999999998</v>
      </c>
      <c r="AC630" s="11">
        <v>59.137</v>
      </c>
      <c r="AD630" s="11">
        <v>58.69</v>
      </c>
      <c r="AE630" s="11">
        <v>58.31</v>
      </c>
      <c r="AF630" s="11">
        <v>57.972999999999999</v>
      </c>
      <c r="AG630" s="11">
        <v>57.713999999999999</v>
      </c>
      <c r="AH630" s="11">
        <v>57.503</v>
      </c>
      <c r="AI630" s="11">
        <v>57.314</v>
      </c>
      <c r="AJ630" s="11">
        <v>57.183</v>
      </c>
      <c r="AK630" s="11">
        <v>57.045000000000002</v>
      </c>
      <c r="AL630" s="11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</row>
    <row r="631" spans="1:147" x14ac:dyDescent="0.3">
      <c r="A631" s="9">
        <f>DATE(2019, 6, 10)</f>
        <v>43626</v>
      </c>
      <c r="B631" s="10">
        <v>62.29</v>
      </c>
      <c r="C631" s="10">
        <v>61.34</v>
      </c>
      <c r="D631" s="10">
        <v>60.79</v>
      </c>
      <c r="E631" s="10">
        <v>60.5</v>
      </c>
      <c r="F631" s="10">
        <v>60.3</v>
      </c>
      <c r="G631" s="10">
        <v>60.12</v>
      </c>
      <c r="H631" s="10">
        <v>59.96</v>
      </c>
      <c r="I631" s="10">
        <v>59.83</v>
      </c>
      <c r="J631" s="10">
        <v>59.73</v>
      </c>
      <c r="K631" s="10">
        <v>59.63</v>
      </c>
      <c r="L631" s="10">
        <v>59.54</v>
      </c>
      <c r="M631" s="10">
        <v>59.42</v>
      </c>
      <c r="N631" s="10">
        <v>53.26</v>
      </c>
      <c r="O631" s="10">
        <v>53.48</v>
      </c>
      <c r="P631" s="10">
        <v>53.62</v>
      </c>
      <c r="Q631" s="10">
        <v>53.64</v>
      </c>
      <c r="R631" s="10">
        <v>53.63</v>
      </c>
      <c r="S631" s="10">
        <v>53.58</v>
      </c>
      <c r="T631" s="10">
        <v>53.49</v>
      </c>
      <c r="U631" s="10">
        <v>53.38</v>
      </c>
      <c r="V631" s="10">
        <v>53.25</v>
      </c>
      <c r="W631" s="10">
        <v>53.13</v>
      </c>
      <c r="X631" s="10">
        <v>53.01</v>
      </c>
      <c r="Y631" s="10">
        <v>52.89</v>
      </c>
      <c r="Z631" s="11">
        <v>60.761000000000003</v>
      </c>
      <c r="AA631" s="11">
        <v>59.606000000000002</v>
      </c>
      <c r="AB631" s="11">
        <v>59.036999999999999</v>
      </c>
      <c r="AC631" s="11">
        <v>58.55</v>
      </c>
      <c r="AD631" s="11">
        <v>58.152000000000001</v>
      </c>
      <c r="AE631" s="11">
        <v>57.792000000000002</v>
      </c>
      <c r="AF631" s="11">
        <v>57.488</v>
      </c>
      <c r="AG631" s="11">
        <v>57.244999999999997</v>
      </c>
      <c r="AH631" s="11">
        <v>57.085000000000001</v>
      </c>
      <c r="AI631" s="11">
        <v>56.975999999999999</v>
      </c>
      <c r="AJ631" s="11">
        <v>56.884</v>
      </c>
      <c r="AK631" s="11">
        <v>56.776000000000003</v>
      </c>
      <c r="AL631" s="11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</row>
    <row r="632" spans="1:147" x14ac:dyDescent="0.3">
      <c r="A632" s="9">
        <f>DATE(2019, 6, 11)</f>
        <v>43627</v>
      </c>
      <c r="B632" s="10">
        <v>62.29</v>
      </c>
      <c r="C632" s="10">
        <v>61.45</v>
      </c>
      <c r="D632" s="10">
        <v>60.95</v>
      </c>
      <c r="E632" s="10">
        <v>60.69</v>
      </c>
      <c r="F632" s="10">
        <v>60.51</v>
      </c>
      <c r="G632" s="10">
        <v>60.36</v>
      </c>
      <c r="H632" s="10">
        <v>60.22</v>
      </c>
      <c r="I632" s="10">
        <v>60.1</v>
      </c>
      <c r="J632" s="10">
        <v>60.02</v>
      </c>
      <c r="K632" s="10">
        <v>59.94</v>
      </c>
      <c r="L632" s="10">
        <v>59.85</v>
      </c>
      <c r="M632" s="10">
        <v>59.74</v>
      </c>
      <c r="N632" s="10">
        <v>53.27</v>
      </c>
      <c r="O632" s="10">
        <v>53.52</v>
      </c>
      <c r="P632" s="10">
        <v>53.68</v>
      </c>
      <c r="Q632" s="10">
        <v>53.74</v>
      </c>
      <c r="R632" s="10">
        <v>53.76</v>
      </c>
      <c r="S632" s="10">
        <v>53.75</v>
      </c>
      <c r="T632" s="10">
        <v>53.7</v>
      </c>
      <c r="U632" s="10">
        <v>53.62</v>
      </c>
      <c r="V632" s="10">
        <v>53.52</v>
      </c>
      <c r="W632" s="10">
        <v>53.41</v>
      </c>
      <c r="X632" s="10">
        <v>53.3</v>
      </c>
      <c r="Y632" s="10">
        <v>53.2</v>
      </c>
      <c r="Z632" s="11">
        <v>60.9</v>
      </c>
      <c r="AA632" s="11">
        <v>59.798000000000002</v>
      </c>
      <c r="AB632" s="11">
        <v>59.247999999999998</v>
      </c>
      <c r="AC632" s="11">
        <v>58.811</v>
      </c>
      <c r="AD632" s="11">
        <v>58.423000000000002</v>
      </c>
      <c r="AE632" s="11">
        <v>58.103000000000002</v>
      </c>
      <c r="AF632" s="11">
        <v>57.829000000000001</v>
      </c>
      <c r="AG632" s="11">
        <v>57.636000000000003</v>
      </c>
      <c r="AH632" s="11">
        <v>57.475999999999999</v>
      </c>
      <c r="AI632" s="11">
        <v>57.335999999999999</v>
      </c>
      <c r="AJ632" s="11">
        <v>57.244999999999997</v>
      </c>
      <c r="AK632" s="11">
        <v>57.146000000000001</v>
      </c>
      <c r="AL632" s="11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</row>
    <row r="633" spans="1:147" x14ac:dyDescent="0.3">
      <c r="A633" s="9">
        <f>DATE(2019, 6, 12)</f>
        <v>43628</v>
      </c>
      <c r="B633" s="10">
        <v>59.97</v>
      </c>
      <c r="C633" s="10">
        <v>59.19</v>
      </c>
      <c r="D633" s="10">
        <v>58.74</v>
      </c>
      <c r="E633" s="10">
        <v>58.49</v>
      </c>
      <c r="F633" s="10">
        <v>58.33</v>
      </c>
      <c r="G633" s="10">
        <v>58.22</v>
      </c>
      <c r="H633" s="10">
        <v>58.13</v>
      </c>
      <c r="I633" s="10">
        <v>58.06</v>
      </c>
      <c r="J633" s="10">
        <v>58.01</v>
      </c>
      <c r="K633" s="10">
        <v>57.96</v>
      </c>
      <c r="L633" s="10">
        <v>57.9</v>
      </c>
      <c r="M633" s="10">
        <v>57.83</v>
      </c>
      <c r="N633" s="10">
        <v>51.14</v>
      </c>
      <c r="O633" s="10">
        <v>51.37</v>
      </c>
      <c r="P633" s="10">
        <v>51.54</v>
      </c>
      <c r="Q633" s="10">
        <v>51.62</v>
      </c>
      <c r="R633" s="10">
        <v>51.67</v>
      </c>
      <c r="S633" s="10">
        <v>51.69</v>
      </c>
      <c r="T633" s="10">
        <v>51.67</v>
      </c>
      <c r="U633" s="10">
        <v>51.62</v>
      </c>
      <c r="V633" s="10">
        <v>51.54</v>
      </c>
      <c r="W633" s="10">
        <v>51.47</v>
      </c>
      <c r="X633" s="10">
        <v>51.39</v>
      </c>
      <c r="Y633" s="10">
        <v>51.32</v>
      </c>
      <c r="Z633" s="11">
        <v>59.44</v>
      </c>
      <c r="AA633" s="11">
        <v>57.58</v>
      </c>
      <c r="AB633" s="11">
        <v>57.018999999999998</v>
      </c>
      <c r="AC633" s="11">
        <v>56.582000000000001</v>
      </c>
      <c r="AD633" s="11">
        <v>56.234999999999999</v>
      </c>
      <c r="AE633" s="11">
        <v>55.945999999999998</v>
      </c>
      <c r="AF633" s="11">
        <v>55.673000000000002</v>
      </c>
      <c r="AG633" s="11">
        <v>55.518000000000001</v>
      </c>
      <c r="AH633" s="11">
        <v>55.408000000000001</v>
      </c>
      <c r="AI633" s="11">
        <v>55.326999999999998</v>
      </c>
      <c r="AJ633" s="11">
        <v>55.247</v>
      </c>
      <c r="AK633" s="11">
        <v>55.188000000000002</v>
      </c>
      <c r="AL633" s="11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</row>
    <row r="634" spans="1:147" x14ac:dyDescent="0.3">
      <c r="A634" s="9">
        <f>DATE(2019, 6, 13)</f>
        <v>43629</v>
      </c>
      <c r="B634" s="10">
        <v>61.31</v>
      </c>
      <c r="C634" s="10">
        <v>60.45</v>
      </c>
      <c r="D634" s="10">
        <v>59.97</v>
      </c>
      <c r="E634" s="10">
        <v>59.7</v>
      </c>
      <c r="F634" s="10">
        <v>59.51</v>
      </c>
      <c r="G634" s="10">
        <v>59.36</v>
      </c>
      <c r="H634" s="10">
        <v>59.24</v>
      </c>
      <c r="I634" s="10">
        <v>59.14</v>
      </c>
      <c r="J634" s="10">
        <v>59.06</v>
      </c>
      <c r="K634" s="10">
        <v>58.98</v>
      </c>
      <c r="L634" s="10">
        <v>58.89</v>
      </c>
      <c r="M634" s="10">
        <v>58.79</v>
      </c>
      <c r="N634" s="10">
        <v>52.28</v>
      </c>
      <c r="O634" s="10">
        <v>52.54</v>
      </c>
      <c r="P634" s="10">
        <v>52.72</v>
      </c>
      <c r="Q634" s="10">
        <v>52.78</v>
      </c>
      <c r="R634" s="10">
        <v>52.82</v>
      </c>
      <c r="S634" s="10">
        <v>52.81</v>
      </c>
      <c r="T634" s="10">
        <v>52.76</v>
      </c>
      <c r="U634" s="10">
        <v>52.67</v>
      </c>
      <c r="V634" s="10">
        <v>52.57</v>
      </c>
      <c r="W634" s="10">
        <v>52.48</v>
      </c>
      <c r="X634" s="10">
        <v>52.36</v>
      </c>
      <c r="Y634" s="10">
        <v>52.28</v>
      </c>
      <c r="Z634" s="11">
        <v>60.223999999999997</v>
      </c>
      <c r="AA634" s="11">
        <v>58.768999999999998</v>
      </c>
      <c r="AB634" s="11">
        <v>58.177999999999997</v>
      </c>
      <c r="AC634" s="11">
        <v>57.710999999999999</v>
      </c>
      <c r="AD634" s="11">
        <v>57.363</v>
      </c>
      <c r="AE634" s="11">
        <v>57.054000000000002</v>
      </c>
      <c r="AF634" s="11">
        <v>56.77</v>
      </c>
      <c r="AG634" s="11">
        <v>56.616</v>
      </c>
      <c r="AH634" s="11">
        <v>56.475999999999999</v>
      </c>
      <c r="AI634" s="11">
        <v>56.375999999999998</v>
      </c>
      <c r="AJ634" s="11">
        <v>56.284999999999997</v>
      </c>
      <c r="AK634" s="11">
        <v>56.177</v>
      </c>
      <c r="AL634" s="11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</row>
    <row r="635" spans="1:147" x14ac:dyDescent="0.3">
      <c r="A635" s="9">
        <f>DATE(2019, 6, 14)</f>
        <v>43630</v>
      </c>
      <c r="B635" s="10">
        <v>62.01</v>
      </c>
      <c r="C635" s="10">
        <v>61.01</v>
      </c>
      <c r="D635" s="10">
        <v>60.47</v>
      </c>
      <c r="E635" s="10">
        <v>60.14</v>
      </c>
      <c r="F635" s="10">
        <v>59.9</v>
      </c>
      <c r="G635" s="10">
        <v>59.7</v>
      </c>
      <c r="H635" s="10">
        <v>59.55</v>
      </c>
      <c r="I635" s="10">
        <v>59.41</v>
      </c>
      <c r="J635" s="10">
        <v>59.31</v>
      </c>
      <c r="K635" s="10">
        <v>59.2</v>
      </c>
      <c r="L635" s="10">
        <v>59.09</v>
      </c>
      <c r="M635" s="10">
        <v>58.98</v>
      </c>
      <c r="N635" s="10">
        <v>52.51</v>
      </c>
      <c r="O635" s="10">
        <v>52.77</v>
      </c>
      <c r="P635" s="10">
        <v>52.95</v>
      </c>
      <c r="Q635" s="10">
        <v>53</v>
      </c>
      <c r="R635" s="10">
        <v>53.01</v>
      </c>
      <c r="S635" s="10">
        <v>52.98</v>
      </c>
      <c r="T635" s="10">
        <v>52.9</v>
      </c>
      <c r="U635" s="10">
        <v>52.79</v>
      </c>
      <c r="V635" s="10">
        <v>52.66</v>
      </c>
      <c r="W635" s="10">
        <v>52.54</v>
      </c>
      <c r="X635" s="10">
        <v>52.43</v>
      </c>
      <c r="Y635" s="10">
        <v>52.32</v>
      </c>
      <c r="Z635" s="11">
        <v>60.484999999999999</v>
      </c>
      <c r="AA635" s="11">
        <v>59.226999999999997</v>
      </c>
      <c r="AB635" s="11">
        <v>58.594999999999999</v>
      </c>
      <c r="AC635" s="11">
        <v>58.079000000000001</v>
      </c>
      <c r="AD635" s="11">
        <v>57.701000000000001</v>
      </c>
      <c r="AE635" s="11">
        <v>57.363</v>
      </c>
      <c r="AF635" s="11">
        <v>57.106999999999999</v>
      </c>
      <c r="AG635" s="11">
        <v>56.905000000000001</v>
      </c>
      <c r="AH635" s="11">
        <v>56.725000000000001</v>
      </c>
      <c r="AI635" s="11">
        <v>56.564999999999998</v>
      </c>
      <c r="AJ635" s="11">
        <v>56.465000000000003</v>
      </c>
      <c r="AK635" s="11">
        <v>56.356000000000002</v>
      </c>
      <c r="AL635" s="11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</row>
    <row r="636" spans="1:147" x14ac:dyDescent="0.3">
      <c r="A636" s="9">
        <f>DATE(2019, 6, 17)</f>
        <v>43633</v>
      </c>
      <c r="B636" s="10">
        <v>60.94</v>
      </c>
      <c r="C636" s="10">
        <v>59.99</v>
      </c>
      <c r="D636" s="10">
        <v>59.53</v>
      </c>
      <c r="E636" s="10">
        <v>59.25</v>
      </c>
      <c r="F636" s="10">
        <v>59.06</v>
      </c>
      <c r="G636" s="10">
        <v>58.91</v>
      </c>
      <c r="H636" s="10">
        <v>58.79</v>
      </c>
      <c r="I636" s="10">
        <v>58.69</v>
      </c>
      <c r="J636" s="10">
        <v>58.62</v>
      </c>
      <c r="K636" s="10">
        <v>58.54</v>
      </c>
      <c r="L636" s="10">
        <v>58.46</v>
      </c>
      <c r="M636" s="10">
        <v>58.38</v>
      </c>
      <c r="N636" s="10">
        <v>51.93</v>
      </c>
      <c r="O636" s="10">
        <v>52.17</v>
      </c>
      <c r="P636" s="10">
        <v>52.31</v>
      </c>
      <c r="Q636" s="10">
        <v>52.35</v>
      </c>
      <c r="R636" s="10">
        <v>52.37</v>
      </c>
      <c r="S636" s="10">
        <v>52.36</v>
      </c>
      <c r="T636" s="10">
        <v>52.3</v>
      </c>
      <c r="U636" s="10">
        <v>52.2</v>
      </c>
      <c r="V636" s="10">
        <v>52.09</v>
      </c>
      <c r="W636" s="10">
        <v>51.99</v>
      </c>
      <c r="X636" s="10">
        <v>51.89</v>
      </c>
      <c r="Y636" s="10">
        <v>51.8</v>
      </c>
      <c r="Z636" s="11">
        <v>60.127000000000002</v>
      </c>
      <c r="AA636" s="11">
        <v>58.25</v>
      </c>
      <c r="AB636" s="11">
        <v>57.606999999999999</v>
      </c>
      <c r="AC636" s="11">
        <v>57.151000000000003</v>
      </c>
      <c r="AD636" s="11">
        <v>56.817999999999998</v>
      </c>
      <c r="AE636" s="11">
        <v>56.509</v>
      </c>
      <c r="AF636" s="11">
        <v>56.238999999999997</v>
      </c>
      <c r="AG636" s="11">
        <v>56.087000000000003</v>
      </c>
      <c r="AH636" s="11">
        <v>55.956000000000003</v>
      </c>
      <c r="AI636" s="11">
        <v>55.886000000000003</v>
      </c>
      <c r="AJ636" s="11">
        <v>55.816000000000003</v>
      </c>
      <c r="AK636" s="11">
        <v>55.737000000000002</v>
      </c>
      <c r="AL636" s="11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</row>
    <row r="637" spans="1:147" x14ac:dyDescent="0.3">
      <c r="A637" s="9">
        <f>DATE(2019, 6, 18)</f>
        <v>43634</v>
      </c>
      <c r="B637" s="10">
        <v>62.14</v>
      </c>
      <c r="C637" s="10">
        <v>61.33</v>
      </c>
      <c r="D637" s="10">
        <v>60.92</v>
      </c>
      <c r="E637" s="10">
        <v>60.65</v>
      </c>
      <c r="F637" s="10">
        <v>60.45</v>
      </c>
      <c r="G637" s="10">
        <v>60.29</v>
      </c>
      <c r="H637" s="10">
        <v>60.16</v>
      </c>
      <c r="I637" s="10">
        <v>60.04</v>
      </c>
      <c r="J637" s="10">
        <v>59.94</v>
      </c>
      <c r="K637" s="10">
        <v>59.85</v>
      </c>
      <c r="L637" s="10">
        <v>59.75</v>
      </c>
      <c r="M637" s="10">
        <v>59.65</v>
      </c>
      <c r="N637" s="10">
        <v>53.9</v>
      </c>
      <c r="O637" s="10">
        <v>54.11</v>
      </c>
      <c r="P637" s="10">
        <v>54.19</v>
      </c>
      <c r="Q637" s="10">
        <v>54.14</v>
      </c>
      <c r="R637" s="10">
        <v>54.08</v>
      </c>
      <c r="S637" s="10">
        <v>54</v>
      </c>
      <c r="T637" s="10">
        <v>53.87</v>
      </c>
      <c r="U637" s="10">
        <v>53.71</v>
      </c>
      <c r="V637" s="10">
        <v>53.56</v>
      </c>
      <c r="W637" s="10">
        <v>53.42</v>
      </c>
      <c r="X637" s="10">
        <v>53.29</v>
      </c>
      <c r="Y637" s="10">
        <v>53.18</v>
      </c>
      <c r="Z637" s="11">
        <v>60.786999999999999</v>
      </c>
      <c r="AA637" s="11">
        <v>59.591999999999999</v>
      </c>
      <c r="AB637" s="11">
        <v>58.957999999999998</v>
      </c>
      <c r="AC637" s="11">
        <v>58.49</v>
      </c>
      <c r="AD637" s="11">
        <v>58.152999999999999</v>
      </c>
      <c r="AE637" s="11">
        <v>57.863999999999997</v>
      </c>
      <c r="AF637" s="11">
        <v>57.588999999999999</v>
      </c>
      <c r="AG637" s="11">
        <v>57.414999999999999</v>
      </c>
      <c r="AH637" s="11">
        <v>57.276000000000003</v>
      </c>
      <c r="AI637" s="11">
        <v>57.174999999999997</v>
      </c>
      <c r="AJ637" s="11">
        <v>57.104999999999997</v>
      </c>
      <c r="AK637" s="11">
        <v>57.026000000000003</v>
      </c>
      <c r="AL637" s="11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</row>
    <row r="638" spans="1:147" x14ac:dyDescent="0.3">
      <c r="A638" s="9">
        <f>DATE(2019, 6, 19)</f>
        <v>43635</v>
      </c>
      <c r="B638" s="10">
        <v>61.82</v>
      </c>
      <c r="C638" s="10">
        <v>61.04</v>
      </c>
      <c r="D638" s="10">
        <v>60.64</v>
      </c>
      <c r="E638" s="10">
        <v>60.37</v>
      </c>
      <c r="F638" s="10">
        <v>60.17</v>
      </c>
      <c r="G638" s="10">
        <v>60.01</v>
      </c>
      <c r="H638" s="10">
        <v>59.88</v>
      </c>
      <c r="I638" s="10">
        <v>59.76</v>
      </c>
      <c r="J638" s="10">
        <v>59.67</v>
      </c>
      <c r="K638" s="10">
        <v>59.57</v>
      </c>
      <c r="L638" s="10">
        <v>59.47</v>
      </c>
      <c r="M638" s="10">
        <v>59.37</v>
      </c>
      <c r="N638" s="10">
        <v>53.76</v>
      </c>
      <c r="O638" s="10">
        <v>53.97</v>
      </c>
      <c r="P638" s="10">
        <v>54.03</v>
      </c>
      <c r="Q638" s="10">
        <v>53.99</v>
      </c>
      <c r="R638" s="10">
        <v>53.93</v>
      </c>
      <c r="S638" s="10">
        <v>53.83</v>
      </c>
      <c r="T638" s="10">
        <v>53.69</v>
      </c>
      <c r="U638" s="10">
        <v>53.53</v>
      </c>
      <c r="V638" s="10">
        <v>53.38</v>
      </c>
      <c r="W638" s="10">
        <v>53.23</v>
      </c>
      <c r="X638" s="10">
        <v>53.09</v>
      </c>
      <c r="Y638" s="10">
        <v>52.97</v>
      </c>
      <c r="Z638" s="11">
        <v>60.656999999999996</v>
      </c>
      <c r="AA638" s="11">
        <v>59.402999999999999</v>
      </c>
      <c r="AB638" s="11">
        <v>58.738</v>
      </c>
      <c r="AC638" s="11">
        <v>58.25</v>
      </c>
      <c r="AD638" s="11">
        <v>57.893000000000001</v>
      </c>
      <c r="AE638" s="11">
        <v>57.594000000000001</v>
      </c>
      <c r="AF638" s="11">
        <v>57.329000000000001</v>
      </c>
      <c r="AG638" s="11">
        <v>57.136000000000003</v>
      </c>
      <c r="AH638" s="11">
        <v>57.024999999999999</v>
      </c>
      <c r="AI638" s="11">
        <v>56.965000000000003</v>
      </c>
      <c r="AJ638" s="11">
        <v>56.895000000000003</v>
      </c>
      <c r="AK638" s="11">
        <v>56.816000000000003</v>
      </c>
      <c r="AL638" s="11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</row>
    <row r="639" spans="1:147" x14ac:dyDescent="0.3">
      <c r="A639" s="9">
        <f>DATE(2019, 6, 20)</f>
        <v>43636</v>
      </c>
      <c r="B639" s="10">
        <v>64.45</v>
      </c>
      <c r="C639" s="10">
        <v>63.76</v>
      </c>
      <c r="D639" s="10">
        <v>63.35</v>
      </c>
      <c r="E639" s="10">
        <v>63.05</v>
      </c>
      <c r="F639" s="10">
        <v>62.81</v>
      </c>
      <c r="G639" s="10">
        <v>62.61</v>
      </c>
      <c r="H639" s="10">
        <v>62.42</v>
      </c>
      <c r="I639" s="10">
        <v>62.25</v>
      </c>
      <c r="J639" s="10">
        <v>62.1</v>
      </c>
      <c r="K639" s="10">
        <v>61.95</v>
      </c>
      <c r="L639" s="10">
        <v>61.81</v>
      </c>
      <c r="M639" s="10">
        <v>61.66</v>
      </c>
      <c r="N639" s="10">
        <v>56.65</v>
      </c>
      <c r="O639" s="10">
        <v>57.07</v>
      </c>
      <c r="P639" s="10">
        <v>57.13</v>
      </c>
      <c r="Q639" s="10">
        <v>57.05</v>
      </c>
      <c r="R639" s="10">
        <v>56.89</v>
      </c>
      <c r="S639" s="10">
        <v>56.7</v>
      </c>
      <c r="T639" s="10">
        <v>56.47</v>
      </c>
      <c r="U639" s="10">
        <v>56.23</v>
      </c>
      <c r="V639" s="10">
        <v>55.98</v>
      </c>
      <c r="W639" s="10">
        <v>55.76</v>
      </c>
      <c r="X639" s="10">
        <v>55.55</v>
      </c>
      <c r="Y639" s="10">
        <v>55.37</v>
      </c>
      <c r="Z639" s="11">
        <v>61.628999999999998</v>
      </c>
      <c r="AA639" s="11">
        <v>62.231999999999999</v>
      </c>
      <c r="AB639" s="11">
        <v>61.545999999999999</v>
      </c>
      <c r="AC639" s="11">
        <v>61.009</v>
      </c>
      <c r="AD639" s="11">
        <v>60.591000000000001</v>
      </c>
      <c r="AE639" s="11">
        <v>60.191000000000003</v>
      </c>
      <c r="AF639" s="11">
        <v>59.853999999999999</v>
      </c>
      <c r="AG639" s="11">
        <v>59.622999999999998</v>
      </c>
      <c r="AH639" s="11">
        <v>59.453000000000003</v>
      </c>
      <c r="AI639" s="11">
        <v>59.334000000000003</v>
      </c>
      <c r="AJ639" s="11">
        <v>59.222999999999999</v>
      </c>
      <c r="AK639" s="11">
        <v>59.094000000000001</v>
      </c>
      <c r="AL639" s="11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</row>
    <row r="640" spans="1:147" x14ac:dyDescent="0.3">
      <c r="A640" s="9">
        <f>DATE(2019, 6, 21)</f>
        <v>43637</v>
      </c>
      <c r="B640" s="10">
        <v>65.2</v>
      </c>
      <c r="C640" s="10">
        <v>64.45</v>
      </c>
      <c r="D640" s="10">
        <v>64</v>
      </c>
      <c r="E640" s="10">
        <v>63.67</v>
      </c>
      <c r="F640" s="10">
        <v>63.4</v>
      </c>
      <c r="G640" s="10">
        <v>63.18</v>
      </c>
      <c r="H640" s="10">
        <v>62.96</v>
      </c>
      <c r="I640" s="10">
        <v>62.75</v>
      </c>
      <c r="J640" s="10">
        <v>62.56</v>
      </c>
      <c r="K640" s="10">
        <v>62.37</v>
      </c>
      <c r="L640" s="10">
        <v>62.19</v>
      </c>
      <c r="M640" s="10">
        <v>62.01</v>
      </c>
      <c r="N640" s="10">
        <v>57.43</v>
      </c>
      <c r="O640" s="10">
        <v>57.5</v>
      </c>
      <c r="P640" s="10">
        <v>57.42</v>
      </c>
      <c r="Q640" s="10">
        <v>57.25</v>
      </c>
      <c r="R640" s="10">
        <v>57.04</v>
      </c>
      <c r="S640" s="10">
        <v>56.79</v>
      </c>
      <c r="T640" s="10">
        <v>56.52</v>
      </c>
      <c r="U640" s="10">
        <v>56.25</v>
      </c>
      <c r="V640" s="10">
        <v>55.99</v>
      </c>
      <c r="W640" s="10">
        <v>55.76</v>
      </c>
      <c r="X640" s="10">
        <v>55.55</v>
      </c>
      <c r="Y640" s="10">
        <v>55.33</v>
      </c>
      <c r="Z640" s="11">
        <v>61.795999999999999</v>
      </c>
      <c r="AA640" s="11">
        <v>62.77</v>
      </c>
      <c r="AB640" s="11">
        <v>62.174999999999997</v>
      </c>
      <c r="AC640" s="11">
        <v>61.627000000000002</v>
      </c>
      <c r="AD640" s="11">
        <v>61.15</v>
      </c>
      <c r="AE640" s="11">
        <v>60.74</v>
      </c>
      <c r="AF640" s="11">
        <v>60.41</v>
      </c>
      <c r="AG640" s="11">
        <v>60.121000000000002</v>
      </c>
      <c r="AH640" s="11">
        <v>59.911000000000001</v>
      </c>
      <c r="AI640" s="11">
        <v>59.731999999999999</v>
      </c>
      <c r="AJ640" s="11">
        <v>59.600999999999999</v>
      </c>
      <c r="AK640" s="11">
        <v>59.453000000000003</v>
      </c>
      <c r="AL640" s="11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</row>
    <row r="641" spans="1:147" x14ac:dyDescent="0.3">
      <c r="A641" s="9">
        <f>DATE(2019, 6, 24)</f>
        <v>43640</v>
      </c>
      <c r="B641" s="10">
        <v>64.86</v>
      </c>
      <c r="C641" s="10">
        <v>64.180000000000007</v>
      </c>
      <c r="D641" s="10">
        <v>63.81</v>
      </c>
      <c r="E641" s="10">
        <v>63.55</v>
      </c>
      <c r="F641" s="10">
        <v>63.33</v>
      </c>
      <c r="G641" s="10">
        <v>63.15</v>
      </c>
      <c r="H641" s="10">
        <v>62.96</v>
      </c>
      <c r="I641" s="10">
        <v>62.76</v>
      </c>
      <c r="J641" s="10">
        <v>62.59</v>
      </c>
      <c r="K641" s="10">
        <v>62.4</v>
      </c>
      <c r="L641" s="10">
        <v>62.21</v>
      </c>
      <c r="M641" s="10">
        <v>62.03</v>
      </c>
      <c r="N641" s="10">
        <v>57.9</v>
      </c>
      <c r="O641" s="10">
        <v>57.93</v>
      </c>
      <c r="P641" s="10">
        <v>57.82</v>
      </c>
      <c r="Q641" s="10">
        <v>57.64</v>
      </c>
      <c r="R641" s="10">
        <v>57.41</v>
      </c>
      <c r="S641" s="10">
        <v>57.15</v>
      </c>
      <c r="T641" s="10">
        <v>56.87</v>
      </c>
      <c r="U641" s="10">
        <v>56.58</v>
      </c>
      <c r="V641" s="10">
        <v>56.32</v>
      </c>
      <c r="W641" s="10">
        <v>56.07</v>
      </c>
      <c r="X641" s="10">
        <v>55.84</v>
      </c>
      <c r="Y641" s="10">
        <v>55.62</v>
      </c>
      <c r="Z641" s="11">
        <v>61.665999999999997</v>
      </c>
      <c r="AA641" s="11">
        <v>62.384</v>
      </c>
      <c r="AB641" s="11">
        <v>61.868000000000002</v>
      </c>
      <c r="AC641" s="11">
        <v>61.43</v>
      </c>
      <c r="AD641" s="11">
        <v>61.021999999999998</v>
      </c>
      <c r="AE641" s="11">
        <v>60.631</v>
      </c>
      <c r="AF641" s="11">
        <v>60.331000000000003</v>
      </c>
      <c r="AG641" s="11">
        <v>60.101999999999997</v>
      </c>
      <c r="AH641" s="11">
        <v>59.920999999999999</v>
      </c>
      <c r="AI641" s="11">
        <v>59.761000000000003</v>
      </c>
      <c r="AJ641" s="11">
        <v>59.600999999999999</v>
      </c>
      <c r="AK641" s="11">
        <v>59.433</v>
      </c>
      <c r="AL641" s="11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</row>
    <row r="642" spans="1:147" x14ac:dyDescent="0.3">
      <c r="A642" s="9">
        <f>DATE(2019, 6, 25)</f>
        <v>43641</v>
      </c>
      <c r="B642" s="10">
        <v>65.05</v>
      </c>
      <c r="C642" s="10">
        <v>64.28</v>
      </c>
      <c r="D642" s="10">
        <v>63.91</v>
      </c>
      <c r="E642" s="10">
        <v>63.66</v>
      </c>
      <c r="F642" s="10">
        <v>63.44</v>
      </c>
      <c r="G642" s="10">
        <v>63.26</v>
      </c>
      <c r="H642" s="10">
        <v>63.08</v>
      </c>
      <c r="I642" s="10">
        <v>62.89</v>
      </c>
      <c r="J642" s="10">
        <v>62.72</v>
      </c>
      <c r="K642" s="10">
        <v>62.54</v>
      </c>
      <c r="L642" s="10">
        <v>62.36</v>
      </c>
      <c r="M642" s="10">
        <v>62.19</v>
      </c>
      <c r="N642" s="10">
        <v>57.83</v>
      </c>
      <c r="O642" s="10">
        <v>57.89</v>
      </c>
      <c r="P642" s="10">
        <v>57.8</v>
      </c>
      <c r="Q642" s="10">
        <v>57.66</v>
      </c>
      <c r="R642" s="10">
        <v>57.47</v>
      </c>
      <c r="S642" s="10">
        <v>57.24</v>
      </c>
      <c r="T642" s="10">
        <v>56.99</v>
      </c>
      <c r="U642" s="10">
        <v>56.73</v>
      </c>
      <c r="V642" s="10">
        <v>56.49</v>
      </c>
      <c r="W642" s="10">
        <v>56.26</v>
      </c>
      <c r="X642" s="10">
        <v>56.06</v>
      </c>
      <c r="Y642" s="10">
        <v>55.85</v>
      </c>
      <c r="Z642" s="11">
        <v>61.634</v>
      </c>
      <c r="AA642" s="11">
        <v>62.514000000000003</v>
      </c>
      <c r="AB642" s="11">
        <v>61.969000000000001</v>
      </c>
      <c r="AC642" s="11">
        <v>61.55</v>
      </c>
      <c r="AD642" s="11">
        <v>61.152000000000001</v>
      </c>
      <c r="AE642" s="11">
        <v>60.771000000000001</v>
      </c>
      <c r="AF642" s="11">
        <v>60.472000000000001</v>
      </c>
      <c r="AG642" s="11">
        <v>60.231999999999999</v>
      </c>
      <c r="AH642" s="11">
        <v>60.051000000000002</v>
      </c>
      <c r="AI642" s="11">
        <v>59.902000000000001</v>
      </c>
      <c r="AJ642" s="11">
        <v>59.752000000000002</v>
      </c>
      <c r="AK642" s="11">
        <v>59.594000000000001</v>
      </c>
      <c r="AL642" s="11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</row>
    <row r="643" spans="1:147" x14ac:dyDescent="0.3">
      <c r="A643" s="9">
        <f>DATE(2019, 6, 26)</f>
        <v>43642</v>
      </c>
      <c r="B643" s="10">
        <v>66.489999999999995</v>
      </c>
      <c r="C643" s="10">
        <v>65.69</v>
      </c>
      <c r="D643" s="10">
        <v>65.290000000000006</v>
      </c>
      <c r="E643" s="10">
        <v>65.010000000000005</v>
      </c>
      <c r="F643" s="10">
        <v>64.75</v>
      </c>
      <c r="G643" s="10">
        <v>64.52</v>
      </c>
      <c r="H643" s="10">
        <v>64.31</v>
      </c>
      <c r="I643" s="10">
        <v>64.09</v>
      </c>
      <c r="J643" s="10">
        <v>63.88</v>
      </c>
      <c r="K643" s="10">
        <v>63.66</v>
      </c>
      <c r="L643" s="10">
        <v>63.45</v>
      </c>
      <c r="M643" s="10">
        <v>63.24</v>
      </c>
      <c r="N643" s="10">
        <v>59.38</v>
      </c>
      <c r="O643" s="10">
        <v>59.43</v>
      </c>
      <c r="P643" s="10">
        <v>59.31</v>
      </c>
      <c r="Q643" s="10">
        <v>59.14</v>
      </c>
      <c r="R643" s="10">
        <v>58.91</v>
      </c>
      <c r="S643" s="10">
        <v>58.64</v>
      </c>
      <c r="T643" s="10">
        <v>58.34</v>
      </c>
      <c r="U643" s="10">
        <v>58.02</v>
      </c>
      <c r="V643" s="10">
        <v>57.72</v>
      </c>
      <c r="W643" s="10">
        <v>57.43</v>
      </c>
      <c r="X643" s="10">
        <v>57.17</v>
      </c>
      <c r="Y643" s="10">
        <v>56.9</v>
      </c>
      <c r="Z643" s="11">
        <v>61.804000000000002</v>
      </c>
      <c r="AA643" s="11">
        <v>63.933</v>
      </c>
      <c r="AB643" s="11">
        <v>63.356999999999999</v>
      </c>
      <c r="AC643" s="11">
        <v>62.908000000000001</v>
      </c>
      <c r="AD643" s="11">
        <v>62.46</v>
      </c>
      <c r="AE643" s="11">
        <v>62.03</v>
      </c>
      <c r="AF643" s="11">
        <v>61.719000000000001</v>
      </c>
      <c r="AG643" s="11">
        <v>61.43</v>
      </c>
      <c r="AH643" s="11">
        <v>61.209000000000003</v>
      </c>
      <c r="AI643" s="11">
        <v>61.02</v>
      </c>
      <c r="AJ643" s="11">
        <v>60.84</v>
      </c>
      <c r="AK643" s="11">
        <v>60.640999999999998</v>
      </c>
      <c r="AL643" s="11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</row>
    <row r="644" spans="1:147" x14ac:dyDescent="0.3">
      <c r="A644" s="9">
        <f>DATE(2019, 6, 27)</f>
        <v>43643</v>
      </c>
      <c r="B644" s="10">
        <v>66.55</v>
      </c>
      <c r="C644" s="10">
        <v>65.67</v>
      </c>
      <c r="D644" s="10">
        <v>65.27</v>
      </c>
      <c r="E644" s="10">
        <v>64.98</v>
      </c>
      <c r="F644" s="10">
        <v>64.69</v>
      </c>
      <c r="G644" s="10">
        <v>64.45</v>
      </c>
      <c r="H644" s="10">
        <v>64.239999999999995</v>
      </c>
      <c r="I644" s="10">
        <v>64.02</v>
      </c>
      <c r="J644" s="10">
        <v>63.8</v>
      </c>
      <c r="K644" s="10">
        <v>63.58</v>
      </c>
      <c r="L644" s="10">
        <v>63.37</v>
      </c>
      <c r="M644" s="10">
        <v>63.16</v>
      </c>
      <c r="N644" s="10">
        <v>59.43</v>
      </c>
      <c r="O644" s="10">
        <v>59.49</v>
      </c>
      <c r="P644" s="10">
        <v>59.38</v>
      </c>
      <c r="Q644" s="10">
        <v>59.19</v>
      </c>
      <c r="R644" s="10">
        <v>58.95</v>
      </c>
      <c r="S644" s="10">
        <v>58.67</v>
      </c>
      <c r="T644" s="10">
        <v>58.36</v>
      </c>
      <c r="U644" s="10">
        <v>58.04</v>
      </c>
      <c r="V644" s="10">
        <v>57.72</v>
      </c>
      <c r="W644" s="10">
        <v>57.42</v>
      </c>
      <c r="X644" s="10">
        <v>57.14</v>
      </c>
      <c r="Y644" s="10">
        <v>56.86</v>
      </c>
      <c r="Z644" s="11">
        <v>61.762999999999998</v>
      </c>
      <c r="AA644" s="11">
        <v>64.013000000000005</v>
      </c>
      <c r="AB644" s="11">
        <v>63.406999999999996</v>
      </c>
      <c r="AC644" s="11">
        <v>62.905999999999999</v>
      </c>
      <c r="AD644" s="11">
        <v>62.44</v>
      </c>
      <c r="AE644" s="11">
        <v>62.04</v>
      </c>
      <c r="AF644" s="11">
        <v>61.709000000000003</v>
      </c>
      <c r="AG644" s="11">
        <v>61.44</v>
      </c>
      <c r="AH644" s="11">
        <v>61.198999999999998</v>
      </c>
      <c r="AI644" s="11">
        <v>61.01</v>
      </c>
      <c r="AJ644" s="11">
        <v>60.83</v>
      </c>
      <c r="AK644" s="11">
        <v>60.631</v>
      </c>
      <c r="AL644" s="11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</row>
    <row r="645" spans="1:147" x14ac:dyDescent="0.3">
      <c r="A645" s="9">
        <f>DATE(2019, 6, 28)</f>
        <v>43644</v>
      </c>
      <c r="B645" s="10">
        <v>66.55</v>
      </c>
      <c r="C645" s="10">
        <v>64.739999999999995</v>
      </c>
      <c r="D645" s="10">
        <v>64.349999999999994</v>
      </c>
      <c r="E645" s="10">
        <v>64.069999999999993</v>
      </c>
      <c r="F645" s="10">
        <v>63.8</v>
      </c>
      <c r="G645" s="10">
        <v>63.56</v>
      </c>
      <c r="H645" s="10">
        <v>63.36</v>
      </c>
      <c r="I645" s="10">
        <v>63.16</v>
      </c>
      <c r="J645" s="10">
        <v>62.96</v>
      </c>
      <c r="K645" s="10">
        <v>62.75</v>
      </c>
      <c r="L645" s="10">
        <v>62.55</v>
      </c>
      <c r="M645" s="10">
        <v>62.36</v>
      </c>
      <c r="N645" s="10">
        <v>58.47</v>
      </c>
      <c r="O645" s="10">
        <v>58.52</v>
      </c>
      <c r="P645" s="10">
        <v>58.4</v>
      </c>
      <c r="Q645" s="10">
        <v>58.22</v>
      </c>
      <c r="R645" s="10">
        <v>57.98</v>
      </c>
      <c r="S645" s="10">
        <v>57.71</v>
      </c>
      <c r="T645" s="10">
        <v>57.42</v>
      </c>
      <c r="U645" s="10">
        <v>57.12</v>
      </c>
      <c r="V645" s="10">
        <v>56.82</v>
      </c>
      <c r="W645" s="10">
        <v>56.53</v>
      </c>
      <c r="X645" s="10">
        <v>56.26</v>
      </c>
      <c r="Y645" s="10">
        <v>55.99</v>
      </c>
      <c r="Z645" s="11">
        <v>61.759</v>
      </c>
      <c r="AA645" s="11">
        <v>62.823</v>
      </c>
      <c r="AB645" s="11">
        <v>62.387</v>
      </c>
      <c r="AC645" s="11">
        <v>61.966999999999999</v>
      </c>
      <c r="AD645" s="11">
        <v>61.54</v>
      </c>
      <c r="AE645" s="11">
        <v>61.13</v>
      </c>
      <c r="AF645" s="11">
        <v>60.801000000000002</v>
      </c>
      <c r="AG645" s="11">
        <v>60.561</v>
      </c>
      <c r="AH645" s="11">
        <v>60.36</v>
      </c>
      <c r="AI645" s="11">
        <v>60.170999999999999</v>
      </c>
      <c r="AJ645" s="11">
        <v>60.011000000000003</v>
      </c>
      <c r="AK645" s="11">
        <v>59.831000000000003</v>
      </c>
      <c r="AL645" s="11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</row>
    <row r="646" spans="1:147" x14ac:dyDescent="0.3">
      <c r="A646" s="9">
        <f>DATE(2019, 7, 1)</f>
        <v>43647</v>
      </c>
      <c r="B646" s="10">
        <v>65.06</v>
      </c>
      <c r="C646" s="10">
        <v>64.760000000000005</v>
      </c>
      <c r="D646" s="10">
        <v>64.53</v>
      </c>
      <c r="E646" s="10">
        <v>64.290000000000006</v>
      </c>
      <c r="F646" s="10">
        <v>64.08</v>
      </c>
      <c r="G646" s="10">
        <v>63.88</v>
      </c>
      <c r="H646" s="10">
        <v>63.68</v>
      </c>
      <c r="I646" s="10">
        <v>63.48</v>
      </c>
      <c r="J646" s="10">
        <v>63.28</v>
      </c>
      <c r="K646" s="10">
        <v>63.07</v>
      </c>
      <c r="L646" s="10">
        <v>62.87</v>
      </c>
      <c r="M646" s="10">
        <v>62.69</v>
      </c>
      <c r="N646" s="10">
        <v>59.09</v>
      </c>
      <c r="O646" s="10">
        <v>59.14</v>
      </c>
      <c r="P646" s="10">
        <v>59.01</v>
      </c>
      <c r="Q646" s="10">
        <v>58.83</v>
      </c>
      <c r="R646" s="10">
        <v>58.6</v>
      </c>
      <c r="S646" s="10">
        <v>58.32</v>
      </c>
      <c r="T646" s="10">
        <v>58.03</v>
      </c>
      <c r="U646" s="10">
        <v>57.73</v>
      </c>
      <c r="V646" s="10">
        <v>57.43</v>
      </c>
      <c r="W646" s="10">
        <v>57.14</v>
      </c>
      <c r="X646" s="10">
        <v>56.88</v>
      </c>
      <c r="Y646" s="10">
        <v>56.6</v>
      </c>
      <c r="Z646" s="11">
        <v>61.759</v>
      </c>
      <c r="AA646" s="11">
        <v>63.389000000000003</v>
      </c>
      <c r="AB646" s="11">
        <v>62.88</v>
      </c>
      <c r="AC646" s="11">
        <v>62.459000000000003</v>
      </c>
      <c r="AD646" s="11">
        <v>62.030999999999999</v>
      </c>
      <c r="AE646" s="11">
        <v>61.63</v>
      </c>
      <c r="AF646" s="11">
        <v>61.280999999999999</v>
      </c>
      <c r="AG646" s="11">
        <v>61.051000000000002</v>
      </c>
      <c r="AH646" s="11">
        <v>60.87</v>
      </c>
      <c r="AI646" s="11">
        <v>60.69</v>
      </c>
      <c r="AJ646" s="11">
        <v>60.51</v>
      </c>
      <c r="AK646" s="11">
        <v>60.341000000000001</v>
      </c>
      <c r="AL646" s="11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</row>
    <row r="647" spans="1:147" x14ac:dyDescent="0.3">
      <c r="A647" s="9">
        <f>DATE(2019, 7, 2)</f>
        <v>43648</v>
      </c>
      <c r="B647" s="10">
        <v>62.4</v>
      </c>
      <c r="C647" s="10">
        <v>62.16</v>
      </c>
      <c r="D647" s="10">
        <v>61.97</v>
      </c>
      <c r="E647" s="10">
        <v>61.77</v>
      </c>
      <c r="F647" s="10">
        <v>61.61</v>
      </c>
      <c r="G647" s="10">
        <v>61.44</v>
      </c>
      <c r="H647" s="10">
        <v>61.27</v>
      </c>
      <c r="I647" s="10">
        <v>61.11</v>
      </c>
      <c r="J647" s="10">
        <v>60.94</v>
      </c>
      <c r="K647" s="10">
        <v>60.77</v>
      </c>
      <c r="L647" s="10">
        <v>60.61</v>
      </c>
      <c r="M647" s="10">
        <v>60.47</v>
      </c>
      <c r="N647" s="10">
        <v>56.25</v>
      </c>
      <c r="O647" s="10">
        <v>56.34</v>
      </c>
      <c r="P647" s="10">
        <v>56.28</v>
      </c>
      <c r="Q647" s="10">
        <v>56.18</v>
      </c>
      <c r="R647" s="10">
        <v>56.03</v>
      </c>
      <c r="S647" s="10">
        <v>55.83</v>
      </c>
      <c r="T647" s="10">
        <v>55.6</v>
      </c>
      <c r="U647" s="10">
        <v>55.36</v>
      </c>
      <c r="V647" s="10">
        <v>55.12</v>
      </c>
      <c r="W647" s="10">
        <v>54.89</v>
      </c>
      <c r="X647" s="10">
        <v>54.67</v>
      </c>
      <c r="Y647" s="10">
        <v>54.44</v>
      </c>
      <c r="Z647" s="11">
        <v>61.000999999999998</v>
      </c>
      <c r="AA647" s="11">
        <v>60.280999999999999</v>
      </c>
      <c r="AB647" s="11">
        <v>59.91</v>
      </c>
      <c r="AC647" s="11">
        <v>59.523000000000003</v>
      </c>
      <c r="AD647" s="11">
        <v>59.161999999999999</v>
      </c>
      <c r="AE647" s="11">
        <v>58.834000000000003</v>
      </c>
      <c r="AF647" s="11">
        <v>58.622999999999998</v>
      </c>
      <c r="AG647" s="11">
        <v>58.451999999999998</v>
      </c>
      <c r="AH647" s="11">
        <v>58.281999999999996</v>
      </c>
      <c r="AI647" s="11">
        <v>58.161999999999999</v>
      </c>
      <c r="AJ647" s="11">
        <v>58.033000000000001</v>
      </c>
      <c r="AK647" s="11">
        <v>57.912999999999997</v>
      </c>
      <c r="AL647" s="11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</row>
    <row r="648" spans="1:147" x14ac:dyDescent="0.3">
      <c r="A648" s="9">
        <f>DATE(2019, 7, 3)</f>
        <v>43649</v>
      </c>
      <c r="B648" s="10">
        <v>63.82</v>
      </c>
      <c r="C648" s="10">
        <v>63.51</v>
      </c>
      <c r="D648" s="10">
        <v>63.29</v>
      </c>
      <c r="E648" s="10">
        <v>63.07</v>
      </c>
      <c r="F648" s="10">
        <v>62.89</v>
      </c>
      <c r="G648" s="10">
        <v>62.71</v>
      </c>
      <c r="H648" s="10">
        <v>62.53</v>
      </c>
      <c r="I648" s="10">
        <v>62.35</v>
      </c>
      <c r="J648" s="10">
        <v>62.16</v>
      </c>
      <c r="K648" s="10">
        <v>61.99</v>
      </c>
      <c r="L648" s="10">
        <v>61.82</v>
      </c>
      <c r="M648" s="10">
        <v>61.67</v>
      </c>
      <c r="N648" s="10">
        <v>57.34</v>
      </c>
      <c r="O648" s="10">
        <v>57.44</v>
      </c>
      <c r="P648" s="10">
        <v>57.43</v>
      </c>
      <c r="Q648" s="10">
        <v>57.37</v>
      </c>
      <c r="R648" s="10">
        <v>57.26</v>
      </c>
      <c r="S648" s="10">
        <v>57.09</v>
      </c>
      <c r="T648" s="10">
        <v>56.89</v>
      </c>
      <c r="U648" s="10">
        <v>56.67</v>
      </c>
      <c r="V648" s="10">
        <v>56.44</v>
      </c>
      <c r="W648" s="10">
        <v>56.21</v>
      </c>
      <c r="X648" s="10">
        <v>55.99</v>
      </c>
      <c r="Y648" s="10">
        <v>55.76</v>
      </c>
      <c r="Z648" s="11">
        <v>62.146000000000001</v>
      </c>
      <c r="AA648" s="11">
        <v>61.62</v>
      </c>
      <c r="AB648" s="11">
        <v>61.23</v>
      </c>
      <c r="AC648" s="11">
        <v>60.841999999999999</v>
      </c>
      <c r="AD648" s="11">
        <v>60.470999999999997</v>
      </c>
      <c r="AE648" s="11">
        <v>60.122999999999998</v>
      </c>
      <c r="AF648" s="11">
        <v>59.892000000000003</v>
      </c>
      <c r="AG648" s="11">
        <v>59.701000000000001</v>
      </c>
      <c r="AH648" s="11">
        <v>59.531999999999996</v>
      </c>
      <c r="AI648" s="11">
        <v>59.381999999999998</v>
      </c>
      <c r="AJ648" s="11">
        <v>59.232999999999997</v>
      </c>
      <c r="AK648" s="11">
        <v>59.103000000000002</v>
      </c>
      <c r="AL648" s="11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</row>
    <row r="649" spans="1:147" x14ac:dyDescent="0.3">
      <c r="A649" s="9">
        <f>DATE(2019, 7, 4)</f>
        <v>43650</v>
      </c>
      <c r="B649" s="10">
        <v>63.3</v>
      </c>
      <c r="C649" s="10">
        <v>62.95</v>
      </c>
      <c r="D649" s="10">
        <v>62.69</v>
      </c>
      <c r="E649" s="10">
        <v>62.46</v>
      </c>
      <c r="F649" s="10">
        <v>62.26</v>
      </c>
      <c r="G649" s="10">
        <v>62.08</v>
      </c>
      <c r="H649" s="10">
        <v>61.91</v>
      </c>
      <c r="I649" s="10">
        <v>61.75</v>
      </c>
      <c r="J649" s="10">
        <v>61.58</v>
      </c>
      <c r="K649" s="10">
        <v>61.42</v>
      </c>
      <c r="L649" s="10">
        <v>61.26</v>
      </c>
      <c r="M649" s="10">
        <v>61.12</v>
      </c>
      <c r="N649" s="10">
        <v>57.34</v>
      </c>
      <c r="O649" s="10">
        <v>57.44</v>
      </c>
      <c r="P649" s="10">
        <v>57.43</v>
      </c>
      <c r="Q649" s="10">
        <v>57.37</v>
      </c>
      <c r="R649" s="10">
        <v>57.26</v>
      </c>
      <c r="S649" s="10">
        <v>57.09</v>
      </c>
      <c r="T649" s="10">
        <v>56.89</v>
      </c>
      <c r="U649" s="10">
        <v>56.67</v>
      </c>
      <c r="V649" s="10">
        <v>56.44</v>
      </c>
      <c r="W649" s="10">
        <v>56.21</v>
      </c>
      <c r="X649" s="10">
        <v>55.99</v>
      </c>
      <c r="Y649" s="10">
        <v>55.76</v>
      </c>
      <c r="Z649" s="11">
        <v>61.677</v>
      </c>
      <c r="AA649" s="11">
        <v>61.018000000000001</v>
      </c>
      <c r="AB649" s="11">
        <v>60.598999999999997</v>
      </c>
      <c r="AC649" s="11">
        <v>60.191000000000003</v>
      </c>
      <c r="AD649" s="11">
        <v>59.801000000000002</v>
      </c>
      <c r="AE649" s="11">
        <v>59.454000000000001</v>
      </c>
      <c r="AF649" s="11">
        <v>59.232999999999997</v>
      </c>
      <c r="AG649" s="11">
        <v>59.072000000000003</v>
      </c>
      <c r="AH649" s="11">
        <v>58.912999999999997</v>
      </c>
      <c r="AI649" s="11">
        <v>58.771999999999998</v>
      </c>
      <c r="AJ649" s="11">
        <v>58.643000000000001</v>
      </c>
      <c r="AK649" s="11">
        <v>58.523000000000003</v>
      </c>
      <c r="AL649" s="11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</row>
    <row r="650" spans="1:147" x14ac:dyDescent="0.3">
      <c r="A650" s="9">
        <f>DATE(2019, 7, 5)</f>
        <v>43651</v>
      </c>
      <c r="B650" s="10">
        <v>64.23</v>
      </c>
      <c r="C650" s="10">
        <v>63.84</v>
      </c>
      <c r="D650" s="10">
        <v>63.54</v>
      </c>
      <c r="E650" s="10">
        <v>63.27</v>
      </c>
      <c r="F650" s="10">
        <v>63.04</v>
      </c>
      <c r="G650" s="10">
        <v>62.83</v>
      </c>
      <c r="H650" s="10">
        <v>62.64</v>
      </c>
      <c r="I650" s="10">
        <v>62.45</v>
      </c>
      <c r="J650" s="10">
        <v>62.25</v>
      </c>
      <c r="K650" s="10">
        <v>62.07</v>
      </c>
      <c r="L650" s="10">
        <v>61.87</v>
      </c>
      <c r="M650" s="10">
        <v>61.71</v>
      </c>
      <c r="N650" s="10">
        <v>57.51</v>
      </c>
      <c r="O650" s="10">
        <v>57.59</v>
      </c>
      <c r="P650" s="10">
        <v>57.56</v>
      </c>
      <c r="Q650" s="10">
        <v>57.48</v>
      </c>
      <c r="R650" s="10">
        <v>57.35</v>
      </c>
      <c r="S650" s="10">
        <v>57.17</v>
      </c>
      <c r="T650" s="10">
        <v>56.95</v>
      </c>
      <c r="U650" s="10">
        <v>56.71</v>
      </c>
      <c r="V650" s="10">
        <v>56.47</v>
      </c>
      <c r="W650" s="10">
        <v>56.21</v>
      </c>
      <c r="X650" s="10">
        <v>55.98</v>
      </c>
      <c r="Y650" s="10">
        <v>55.74</v>
      </c>
      <c r="Z650" s="11">
        <v>62.636000000000003</v>
      </c>
      <c r="AA650" s="11">
        <v>62.045999999999999</v>
      </c>
      <c r="AB650" s="11">
        <v>61.506999999999998</v>
      </c>
      <c r="AC650" s="11">
        <v>61.02</v>
      </c>
      <c r="AD650" s="11">
        <v>60.58</v>
      </c>
      <c r="AE650" s="11">
        <v>60.212000000000003</v>
      </c>
      <c r="AF650" s="11">
        <v>59.951000000000001</v>
      </c>
      <c r="AG650" s="11">
        <v>59.77</v>
      </c>
      <c r="AH650" s="11">
        <v>59.591999999999999</v>
      </c>
      <c r="AI650" s="11">
        <v>59.42</v>
      </c>
      <c r="AJ650" s="11">
        <v>59.241999999999997</v>
      </c>
      <c r="AK650" s="11">
        <v>59.101999999999997</v>
      </c>
      <c r="AL650" s="11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</row>
    <row r="651" spans="1:147" x14ac:dyDescent="0.3">
      <c r="A651" s="9">
        <f>DATE(2019, 7, 8)</f>
        <v>43654</v>
      </c>
      <c r="B651" s="10">
        <v>64.11</v>
      </c>
      <c r="C651" s="10">
        <v>63.82</v>
      </c>
      <c r="D651" s="10">
        <v>63.54</v>
      </c>
      <c r="E651" s="10">
        <v>63.29</v>
      </c>
      <c r="F651" s="10">
        <v>63.07</v>
      </c>
      <c r="G651" s="10">
        <v>62.88</v>
      </c>
      <c r="H651" s="10">
        <v>62.69</v>
      </c>
      <c r="I651" s="10">
        <v>62.51</v>
      </c>
      <c r="J651" s="10">
        <v>62.32</v>
      </c>
      <c r="K651" s="10">
        <v>62.15</v>
      </c>
      <c r="L651" s="10">
        <v>61.97</v>
      </c>
      <c r="M651" s="10">
        <v>61.81</v>
      </c>
      <c r="N651" s="10">
        <v>57.66</v>
      </c>
      <c r="O651" s="10">
        <v>57.76</v>
      </c>
      <c r="P651" s="10">
        <v>57.73</v>
      </c>
      <c r="Q651" s="10">
        <v>57.65</v>
      </c>
      <c r="R651" s="10">
        <v>57.51</v>
      </c>
      <c r="S651" s="10">
        <v>57.32</v>
      </c>
      <c r="T651" s="10">
        <v>57.1</v>
      </c>
      <c r="U651" s="10">
        <v>56.87</v>
      </c>
      <c r="V651" s="10">
        <v>56.63</v>
      </c>
      <c r="W651" s="10">
        <v>56.39</v>
      </c>
      <c r="X651" s="10">
        <v>56.16</v>
      </c>
      <c r="Y651" s="10">
        <v>55.93</v>
      </c>
      <c r="Z651" s="11">
        <v>62.802999999999997</v>
      </c>
      <c r="AA651" s="11">
        <v>62.146999999999998</v>
      </c>
      <c r="AB651" s="11">
        <v>61.537999999999997</v>
      </c>
      <c r="AC651" s="11">
        <v>61.05</v>
      </c>
      <c r="AD651" s="11">
        <v>60.591000000000001</v>
      </c>
      <c r="AE651" s="11">
        <v>60.241999999999997</v>
      </c>
      <c r="AF651" s="11">
        <v>59.991999999999997</v>
      </c>
      <c r="AG651" s="11">
        <v>59.820999999999998</v>
      </c>
      <c r="AH651" s="11">
        <v>59.652000000000001</v>
      </c>
      <c r="AI651" s="11">
        <v>59.491</v>
      </c>
      <c r="AJ651" s="11">
        <v>59.332000000000001</v>
      </c>
      <c r="AK651" s="11">
        <v>59.173000000000002</v>
      </c>
      <c r="AL651" s="11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</row>
    <row r="652" spans="1:147" x14ac:dyDescent="0.3">
      <c r="A652" s="9">
        <f>DATE(2019, 7, 9)</f>
        <v>43655</v>
      </c>
      <c r="B652" s="10">
        <v>64.16</v>
      </c>
      <c r="C652" s="10">
        <v>63.93</v>
      </c>
      <c r="D652" s="10">
        <v>63.68</v>
      </c>
      <c r="E652" s="10">
        <v>63.45</v>
      </c>
      <c r="F652" s="10">
        <v>63.24</v>
      </c>
      <c r="G652" s="10">
        <v>63.07</v>
      </c>
      <c r="H652" s="10">
        <v>62.92</v>
      </c>
      <c r="I652" s="10">
        <v>62.76</v>
      </c>
      <c r="J652" s="10">
        <v>62.59</v>
      </c>
      <c r="K652" s="10">
        <v>62.43</v>
      </c>
      <c r="L652" s="10">
        <v>62.27</v>
      </c>
      <c r="M652" s="10">
        <v>62.13</v>
      </c>
      <c r="N652" s="10">
        <v>57.83</v>
      </c>
      <c r="O652" s="10">
        <v>57.94</v>
      </c>
      <c r="P652" s="10">
        <v>57.91</v>
      </c>
      <c r="Q652" s="10">
        <v>57.85</v>
      </c>
      <c r="R652" s="10">
        <v>57.71</v>
      </c>
      <c r="S652" s="10">
        <v>57.52</v>
      </c>
      <c r="T652" s="10">
        <v>57.32</v>
      </c>
      <c r="U652" s="10">
        <v>57.11</v>
      </c>
      <c r="V652" s="10">
        <v>56.88</v>
      </c>
      <c r="W652" s="10">
        <v>56.66</v>
      </c>
      <c r="X652" s="10">
        <v>56.43</v>
      </c>
      <c r="Y652" s="10">
        <v>56.21</v>
      </c>
      <c r="Z652" s="11">
        <v>62.786000000000001</v>
      </c>
      <c r="AA652" s="11">
        <v>62.219000000000001</v>
      </c>
      <c r="AB652" s="11">
        <v>61.679000000000002</v>
      </c>
      <c r="AC652" s="11">
        <v>61.201000000000001</v>
      </c>
      <c r="AD652" s="11">
        <v>60.741999999999997</v>
      </c>
      <c r="AE652" s="11">
        <v>60.426000000000002</v>
      </c>
      <c r="AF652" s="11">
        <v>60.183</v>
      </c>
      <c r="AG652" s="11">
        <v>60.052</v>
      </c>
      <c r="AH652" s="11">
        <v>59.912999999999997</v>
      </c>
      <c r="AI652" s="11">
        <v>59.781999999999996</v>
      </c>
      <c r="AJ652" s="11">
        <v>59.643000000000001</v>
      </c>
      <c r="AK652" s="11">
        <v>59.512999999999998</v>
      </c>
      <c r="AL652" s="11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</row>
    <row r="653" spans="1:147" x14ac:dyDescent="0.3">
      <c r="A653" s="9">
        <f>DATE(2019, 7, 10)</f>
        <v>43656</v>
      </c>
      <c r="B653" s="10">
        <v>67.010000000000005</v>
      </c>
      <c r="C653" s="10">
        <v>66.69</v>
      </c>
      <c r="D653" s="10">
        <v>66.37</v>
      </c>
      <c r="E653" s="10">
        <v>66.069999999999993</v>
      </c>
      <c r="F653" s="10">
        <v>65.790000000000006</v>
      </c>
      <c r="G653" s="10">
        <v>65.55</v>
      </c>
      <c r="H653" s="10">
        <v>65.319999999999993</v>
      </c>
      <c r="I653" s="10">
        <v>65.099999999999994</v>
      </c>
      <c r="J653" s="10">
        <v>64.87</v>
      </c>
      <c r="K653" s="10">
        <v>64.64</v>
      </c>
      <c r="L653" s="10">
        <v>64.42</v>
      </c>
      <c r="M653" s="10">
        <v>64.22</v>
      </c>
      <c r="N653" s="10">
        <v>60.43</v>
      </c>
      <c r="O653" s="10">
        <v>60.52</v>
      </c>
      <c r="P653" s="10">
        <v>60.46</v>
      </c>
      <c r="Q653" s="10">
        <v>60.34</v>
      </c>
      <c r="R653" s="10">
        <v>60.14</v>
      </c>
      <c r="S653" s="10">
        <v>59.89</v>
      </c>
      <c r="T653" s="10">
        <v>59.62</v>
      </c>
      <c r="U653" s="10">
        <v>59.34</v>
      </c>
      <c r="V653" s="10">
        <v>59.04</v>
      </c>
      <c r="W653" s="10">
        <v>58.76</v>
      </c>
      <c r="X653" s="10">
        <v>58.47</v>
      </c>
      <c r="Y653" s="10">
        <v>58.18</v>
      </c>
      <c r="Z653" s="11">
        <v>64.593000000000004</v>
      </c>
      <c r="AA653" s="11">
        <v>64.885000000000005</v>
      </c>
      <c r="AB653" s="11">
        <v>64.325999999999993</v>
      </c>
      <c r="AC653" s="11">
        <v>63.776000000000003</v>
      </c>
      <c r="AD653" s="11">
        <v>63.225999999999999</v>
      </c>
      <c r="AE653" s="11">
        <v>62.856000000000002</v>
      </c>
      <c r="AF653" s="11">
        <v>62.576000000000001</v>
      </c>
      <c r="AG653" s="11">
        <v>62.319000000000003</v>
      </c>
      <c r="AH653" s="11">
        <v>62.11</v>
      </c>
      <c r="AI653" s="11">
        <v>61.9</v>
      </c>
      <c r="AJ653" s="11">
        <v>61.74</v>
      </c>
      <c r="AK653" s="11">
        <v>61.56</v>
      </c>
      <c r="AL653" s="11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</row>
    <row r="654" spans="1:147" x14ac:dyDescent="0.3">
      <c r="A654" s="9">
        <f>DATE(2019, 7, 11)</f>
        <v>43657</v>
      </c>
      <c r="B654" s="10">
        <v>66.52</v>
      </c>
      <c r="C654" s="10">
        <v>66.22</v>
      </c>
      <c r="D654" s="10">
        <v>65.900000000000006</v>
      </c>
      <c r="E654" s="10">
        <v>65.599999999999994</v>
      </c>
      <c r="F654" s="10">
        <v>65.319999999999993</v>
      </c>
      <c r="G654" s="10">
        <v>65.069999999999993</v>
      </c>
      <c r="H654" s="10">
        <v>64.849999999999994</v>
      </c>
      <c r="I654" s="10">
        <v>64.64</v>
      </c>
      <c r="J654" s="10">
        <v>64.41</v>
      </c>
      <c r="K654" s="10">
        <v>64.209999999999994</v>
      </c>
      <c r="L654" s="10">
        <v>63.99</v>
      </c>
      <c r="M654" s="10">
        <v>63.79</v>
      </c>
      <c r="N654" s="10">
        <v>60.2</v>
      </c>
      <c r="O654" s="10">
        <v>60.28</v>
      </c>
      <c r="P654" s="10">
        <v>60.23</v>
      </c>
      <c r="Q654" s="10">
        <v>60.11</v>
      </c>
      <c r="R654" s="10">
        <v>59.91</v>
      </c>
      <c r="S654" s="10">
        <v>59.65</v>
      </c>
      <c r="T654" s="10">
        <v>59.36</v>
      </c>
      <c r="U654" s="10">
        <v>59.06</v>
      </c>
      <c r="V654" s="10">
        <v>58.75</v>
      </c>
      <c r="W654" s="10">
        <v>58.46</v>
      </c>
      <c r="X654" s="10">
        <v>58.16</v>
      </c>
      <c r="Y654" s="10">
        <v>57.86</v>
      </c>
      <c r="Z654" s="11">
        <v>64.352999999999994</v>
      </c>
      <c r="AA654" s="11">
        <v>64.454999999999998</v>
      </c>
      <c r="AB654" s="11">
        <v>63.845999999999997</v>
      </c>
      <c r="AC654" s="11">
        <v>63.268000000000001</v>
      </c>
      <c r="AD654" s="11">
        <v>62.698</v>
      </c>
      <c r="AE654" s="11">
        <v>62.308999999999997</v>
      </c>
      <c r="AF654" s="11">
        <v>62.01</v>
      </c>
      <c r="AG654" s="11">
        <v>61.779000000000003</v>
      </c>
      <c r="AH654" s="11">
        <v>61.581000000000003</v>
      </c>
      <c r="AI654" s="11">
        <v>61.39</v>
      </c>
      <c r="AJ654" s="11">
        <v>61.2</v>
      </c>
      <c r="AK654" s="11">
        <v>61.02</v>
      </c>
      <c r="AL654" s="11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</row>
    <row r="655" spans="1:147" x14ac:dyDescent="0.3">
      <c r="A655" s="9">
        <f>DATE(2019, 7, 12)</f>
        <v>43658</v>
      </c>
      <c r="B655" s="10">
        <v>66.72</v>
      </c>
      <c r="C655" s="10">
        <v>66.34</v>
      </c>
      <c r="D655" s="10">
        <v>65.98</v>
      </c>
      <c r="E655" s="10">
        <v>65.650000000000006</v>
      </c>
      <c r="F655" s="10">
        <v>65.349999999999994</v>
      </c>
      <c r="G655" s="10">
        <v>65.09</v>
      </c>
      <c r="H655" s="10">
        <v>64.86</v>
      </c>
      <c r="I655" s="10">
        <v>64.63</v>
      </c>
      <c r="J655" s="10">
        <v>64.400000000000006</v>
      </c>
      <c r="K655" s="10">
        <v>64.180000000000007</v>
      </c>
      <c r="L655" s="10">
        <v>63.95</v>
      </c>
      <c r="M655" s="10">
        <v>63.74</v>
      </c>
      <c r="N655" s="10">
        <v>60.21</v>
      </c>
      <c r="O655" s="10">
        <v>60.3</v>
      </c>
      <c r="P655" s="10">
        <v>60.27</v>
      </c>
      <c r="Q655" s="10">
        <v>60.15</v>
      </c>
      <c r="R655" s="10">
        <v>59.96</v>
      </c>
      <c r="S655" s="10">
        <v>59.7</v>
      </c>
      <c r="T655" s="10">
        <v>59.41</v>
      </c>
      <c r="U655" s="10">
        <v>59.12</v>
      </c>
      <c r="V655" s="10">
        <v>58.81</v>
      </c>
      <c r="W655" s="10">
        <v>58.51</v>
      </c>
      <c r="X655" s="10">
        <v>58.2</v>
      </c>
      <c r="Y655" s="10">
        <v>57.89</v>
      </c>
      <c r="Z655" s="11">
        <v>64.501999999999995</v>
      </c>
      <c r="AA655" s="11">
        <v>64.534000000000006</v>
      </c>
      <c r="AB655" s="11">
        <v>63.904000000000003</v>
      </c>
      <c r="AC655" s="11">
        <v>63.296999999999997</v>
      </c>
      <c r="AD655" s="11">
        <v>62.707999999999998</v>
      </c>
      <c r="AE655" s="11">
        <v>62.298000000000002</v>
      </c>
      <c r="AF655" s="11">
        <v>61.98</v>
      </c>
      <c r="AG655" s="11">
        <v>61.719000000000001</v>
      </c>
      <c r="AH655" s="11">
        <v>61.47</v>
      </c>
      <c r="AI655" s="11">
        <v>61.268999999999998</v>
      </c>
      <c r="AJ655" s="11">
        <v>61.09</v>
      </c>
      <c r="AK655" s="11">
        <v>60.92</v>
      </c>
      <c r="AL655" s="11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</row>
    <row r="656" spans="1:147" x14ac:dyDescent="0.3">
      <c r="A656" s="9">
        <f>DATE(2019, 7, 15)</f>
        <v>43661</v>
      </c>
      <c r="B656" s="10">
        <v>66.48</v>
      </c>
      <c r="C656" s="10">
        <v>65.92</v>
      </c>
      <c r="D656" s="10">
        <v>65.48</v>
      </c>
      <c r="E656" s="10">
        <v>65.09</v>
      </c>
      <c r="F656" s="10">
        <v>64.77</v>
      </c>
      <c r="G656" s="10">
        <v>64.489999999999995</v>
      </c>
      <c r="H656" s="10">
        <v>64.25</v>
      </c>
      <c r="I656" s="10">
        <v>64.02</v>
      </c>
      <c r="J656" s="10">
        <v>63.78</v>
      </c>
      <c r="K656" s="10">
        <v>63.55</v>
      </c>
      <c r="L656" s="10">
        <v>63.31</v>
      </c>
      <c r="M656" s="10">
        <v>63.1</v>
      </c>
      <c r="N656" s="10">
        <v>59.58</v>
      </c>
      <c r="O656" s="10">
        <v>59.68</v>
      </c>
      <c r="P656" s="10">
        <v>59.64</v>
      </c>
      <c r="Q656" s="10">
        <v>59.52</v>
      </c>
      <c r="R656" s="10">
        <v>59.33</v>
      </c>
      <c r="S656" s="10">
        <v>59.07</v>
      </c>
      <c r="T656" s="10">
        <v>58.77</v>
      </c>
      <c r="U656" s="10">
        <v>58.46</v>
      </c>
      <c r="V656" s="10">
        <v>58.15</v>
      </c>
      <c r="W656" s="10">
        <v>57.85</v>
      </c>
      <c r="X656" s="10">
        <v>57.54</v>
      </c>
      <c r="Y656" s="10">
        <v>57.23</v>
      </c>
      <c r="Z656" s="11">
        <v>64.247</v>
      </c>
      <c r="AA656" s="11">
        <v>64</v>
      </c>
      <c r="AB656" s="11">
        <v>63.331000000000003</v>
      </c>
      <c r="AC656" s="11">
        <v>62.636000000000003</v>
      </c>
      <c r="AD656" s="11">
        <v>62.006999999999998</v>
      </c>
      <c r="AE656" s="11">
        <v>61.567</v>
      </c>
      <c r="AF656" s="11">
        <v>61.28</v>
      </c>
      <c r="AG656" s="11">
        <v>61.008000000000003</v>
      </c>
      <c r="AH656" s="11">
        <v>60.75</v>
      </c>
      <c r="AI656" s="11">
        <v>60.588999999999999</v>
      </c>
      <c r="AJ656" s="11">
        <v>60.42</v>
      </c>
      <c r="AK656" s="11">
        <v>60.25</v>
      </c>
      <c r="AL656" s="11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</row>
    <row r="657" spans="1:147" x14ac:dyDescent="0.3">
      <c r="A657" s="9">
        <f>DATE(2019, 7, 16)</f>
        <v>43662</v>
      </c>
      <c r="B657" s="10">
        <v>64.349999999999994</v>
      </c>
      <c r="C657" s="10">
        <v>63.84</v>
      </c>
      <c r="D657" s="10">
        <v>63.42</v>
      </c>
      <c r="E657" s="10">
        <v>63.05</v>
      </c>
      <c r="F657" s="10">
        <v>62.75</v>
      </c>
      <c r="G657" s="10">
        <v>62.5</v>
      </c>
      <c r="H657" s="10">
        <v>62.29</v>
      </c>
      <c r="I657" s="10">
        <v>62.08</v>
      </c>
      <c r="J657" s="10">
        <v>61.86</v>
      </c>
      <c r="K657" s="10">
        <v>61.66</v>
      </c>
      <c r="L657" s="10">
        <v>61.44</v>
      </c>
      <c r="M657" s="10">
        <v>61.25</v>
      </c>
      <c r="N657" s="10">
        <v>57.62</v>
      </c>
      <c r="O657" s="10">
        <v>57.74</v>
      </c>
      <c r="P657" s="10">
        <v>57.71</v>
      </c>
      <c r="Q657" s="10">
        <v>57.61</v>
      </c>
      <c r="R657" s="10">
        <v>57.43</v>
      </c>
      <c r="S657" s="10">
        <v>57.19</v>
      </c>
      <c r="T657" s="10">
        <v>56.91</v>
      </c>
      <c r="U657" s="10">
        <v>56.62</v>
      </c>
      <c r="V657" s="10">
        <v>56.33</v>
      </c>
      <c r="W657" s="10">
        <v>56.04</v>
      </c>
      <c r="X657" s="10">
        <v>55.75</v>
      </c>
      <c r="Y657" s="10">
        <v>55.46</v>
      </c>
      <c r="Z657" s="11">
        <v>63.119</v>
      </c>
      <c r="AA657" s="11">
        <v>61.970999999999997</v>
      </c>
      <c r="AB657" s="11">
        <v>61.302</v>
      </c>
      <c r="AC657" s="11">
        <v>60.597000000000001</v>
      </c>
      <c r="AD657" s="11">
        <v>59.908000000000001</v>
      </c>
      <c r="AE657" s="11">
        <v>59.45</v>
      </c>
      <c r="AF657" s="11">
        <v>59.14</v>
      </c>
      <c r="AG657" s="11">
        <v>58.878999999999998</v>
      </c>
      <c r="AH657" s="11">
        <v>58.680999999999997</v>
      </c>
      <c r="AI657" s="11">
        <v>58.53</v>
      </c>
      <c r="AJ657" s="11">
        <v>58.371000000000002</v>
      </c>
      <c r="AK657" s="11">
        <v>58.220999999999997</v>
      </c>
      <c r="AL657" s="11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</row>
    <row r="658" spans="1:147" x14ac:dyDescent="0.3">
      <c r="A658" s="9">
        <f>DATE(2019, 7, 17)</f>
        <v>43663</v>
      </c>
      <c r="B658" s="10">
        <v>63.66</v>
      </c>
      <c r="C658" s="10">
        <v>63.19</v>
      </c>
      <c r="D658" s="10">
        <v>62.8</v>
      </c>
      <c r="E658" s="10">
        <v>62.46</v>
      </c>
      <c r="F658" s="10">
        <v>62.18</v>
      </c>
      <c r="G658" s="10">
        <v>61.95</v>
      </c>
      <c r="H658" s="10">
        <v>61.75</v>
      </c>
      <c r="I658" s="10">
        <v>61.56</v>
      </c>
      <c r="J658" s="10">
        <v>61.35</v>
      </c>
      <c r="K658" s="10">
        <v>61.15</v>
      </c>
      <c r="L658" s="10">
        <v>60.94</v>
      </c>
      <c r="M658" s="10">
        <v>60.76</v>
      </c>
      <c r="N658" s="10">
        <v>56.78</v>
      </c>
      <c r="O658" s="10">
        <v>56.92</v>
      </c>
      <c r="P658" s="10">
        <v>56.95</v>
      </c>
      <c r="Q658" s="10">
        <v>56.93</v>
      </c>
      <c r="R658" s="10">
        <v>56.8</v>
      </c>
      <c r="S658" s="10">
        <v>56.62</v>
      </c>
      <c r="T658" s="10">
        <v>56.39</v>
      </c>
      <c r="U658" s="10">
        <v>56.12</v>
      </c>
      <c r="V658" s="10">
        <v>55.87</v>
      </c>
      <c r="W658" s="10">
        <v>55.59</v>
      </c>
      <c r="X658" s="10">
        <v>55.34</v>
      </c>
      <c r="Y658" s="10">
        <v>55.09</v>
      </c>
      <c r="Z658" s="11">
        <v>62.938000000000002</v>
      </c>
      <c r="AA658" s="11">
        <v>61.402000000000001</v>
      </c>
      <c r="AB658" s="11">
        <v>60.783999999999999</v>
      </c>
      <c r="AC658" s="11">
        <v>59.978000000000002</v>
      </c>
      <c r="AD658" s="11">
        <v>59.168999999999997</v>
      </c>
      <c r="AE658" s="11">
        <v>58.661000000000001</v>
      </c>
      <c r="AF658" s="11">
        <v>58.350999999999999</v>
      </c>
      <c r="AG658" s="11">
        <v>58.1</v>
      </c>
      <c r="AH658" s="11">
        <v>57.890999999999998</v>
      </c>
      <c r="AI658" s="11">
        <v>57.75</v>
      </c>
      <c r="AJ658" s="11">
        <v>57.610999999999997</v>
      </c>
      <c r="AK658" s="11">
        <v>57.481000000000002</v>
      </c>
      <c r="AL658" s="11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</row>
    <row r="659" spans="1:147" x14ac:dyDescent="0.3">
      <c r="A659" s="9">
        <f>DATE(2019, 7, 18)</f>
        <v>43664</v>
      </c>
      <c r="B659" s="10">
        <v>61.93</v>
      </c>
      <c r="C659" s="10">
        <v>61.59</v>
      </c>
      <c r="D659" s="10">
        <v>61.31</v>
      </c>
      <c r="E659" s="10">
        <v>61.05</v>
      </c>
      <c r="F659" s="10">
        <v>60.83</v>
      </c>
      <c r="G659" s="10">
        <v>60.66</v>
      </c>
      <c r="H659" s="10">
        <v>60.51</v>
      </c>
      <c r="I659" s="10">
        <v>60.35</v>
      </c>
      <c r="J659" s="10">
        <v>60.17</v>
      </c>
      <c r="K659" s="10">
        <v>59.99</v>
      </c>
      <c r="L659" s="10">
        <v>59.8</v>
      </c>
      <c r="M659" s="10">
        <v>59.64</v>
      </c>
      <c r="N659" s="10">
        <v>55.3</v>
      </c>
      <c r="O659" s="10">
        <v>55.42</v>
      </c>
      <c r="P659" s="10">
        <v>55.44</v>
      </c>
      <c r="Q659" s="10">
        <v>55.43</v>
      </c>
      <c r="R659" s="10">
        <v>55.36</v>
      </c>
      <c r="S659" s="10">
        <v>55.22</v>
      </c>
      <c r="T659" s="10">
        <v>55.03</v>
      </c>
      <c r="U659" s="10">
        <v>54.8</v>
      </c>
      <c r="V659" s="10">
        <v>54.56</v>
      </c>
      <c r="W659" s="10">
        <v>54.33</v>
      </c>
      <c r="X659" s="10">
        <v>54.1</v>
      </c>
      <c r="Y659" s="10">
        <v>53.87</v>
      </c>
      <c r="Z659" s="11">
        <v>62.37</v>
      </c>
      <c r="AA659" s="11">
        <v>59.966999999999999</v>
      </c>
      <c r="AB659" s="11">
        <v>59.338000000000001</v>
      </c>
      <c r="AC659" s="11">
        <v>58.54</v>
      </c>
      <c r="AD659" s="11">
        <v>57.781999999999996</v>
      </c>
      <c r="AE659" s="11">
        <v>57.235999999999997</v>
      </c>
      <c r="AF659" s="11">
        <v>56.923000000000002</v>
      </c>
      <c r="AG659" s="11">
        <v>56.720999999999997</v>
      </c>
      <c r="AH659" s="11">
        <v>56.542000000000002</v>
      </c>
      <c r="AI659" s="11">
        <v>56.420999999999999</v>
      </c>
      <c r="AJ659" s="11">
        <v>56.302</v>
      </c>
      <c r="AK659" s="11">
        <v>56.182000000000002</v>
      </c>
      <c r="AL659" s="11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</row>
    <row r="660" spans="1:147" x14ac:dyDescent="0.3">
      <c r="A660" s="9">
        <f>DATE(2019, 7, 19)</f>
        <v>43665</v>
      </c>
      <c r="B660" s="10">
        <v>62.47</v>
      </c>
      <c r="C660" s="10">
        <v>62.28</v>
      </c>
      <c r="D660" s="10">
        <v>62.03</v>
      </c>
      <c r="E660" s="10">
        <v>61.79</v>
      </c>
      <c r="F660" s="10">
        <v>61.58</v>
      </c>
      <c r="G660" s="10">
        <v>61.42</v>
      </c>
      <c r="H660" s="10">
        <v>61.28</v>
      </c>
      <c r="I660" s="10">
        <v>61.12</v>
      </c>
      <c r="J660" s="10">
        <v>60.95</v>
      </c>
      <c r="K660" s="10">
        <v>60.78</v>
      </c>
      <c r="L660" s="10">
        <v>60.6</v>
      </c>
      <c r="M660" s="10">
        <v>60.45</v>
      </c>
      <c r="N660" s="10">
        <v>55.63</v>
      </c>
      <c r="O660" s="10">
        <v>55.76</v>
      </c>
      <c r="P660" s="10">
        <v>55.82</v>
      </c>
      <c r="Q660" s="10">
        <v>55.86</v>
      </c>
      <c r="R660" s="10">
        <v>55.83</v>
      </c>
      <c r="S660" s="10">
        <v>55.72</v>
      </c>
      <c r="T660" s="10">
        <v>55.56</v>
      </c>
      <c r="U660" s="10">
        <v>55.37</v>
      </c>
      <c r="V660" s="10">
        <v>55.15</v>
      </c>
      <c r="W660" s="10">
        <v>54.93</v>
      </c>
      <c r="X660" s="10">
        <v>54.72</v>
      </c>
      <c r="Y660" s="10">
        <v>54.5</v>
      </c>
      <c r="Z660" s="11">
        <v>62.695999999999998</v>
      </c>
      <c r="AA660" s="11">
        <v>60.649000000000001</v>
      </c>
      <c r="AB660" s="11">
        <v>60.088999999999999</v>
      </c>
      <c r="AC660" s="11">
        <v>59.360999999999997</v>
      </c>
      <c r="AD660" s="11">
        <v>58.612000000000002</v>
      </c>
      <c r="AE660" s="11">
        <v>58.097000000000001</v>
      </c>
      <c r="AF660" s="11">
        <v>57.753</v>
      </c>
      <c r="AG660" s="11">
        <v>57.552</v>
      </c>
      <c r="AH660" s="11">
        <v>57.411999999999999</v>
      </c>
      <c r="AI660" s="11">
        <v>57.290999999999997</v>
      </c>
      <c r="AJ660" s="11">
        <v>57.173000000000002</v>
      </c>
      <c r="AK660" s="11">
        <v>57.072000000000003</v>
      </c>
      <c r="AL660" s="11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</row>
    <row r="661" spans="1:147" x14ac:dyDescent="0.3">
      <c r="A661" s="9">
        <f>DATE(2019, 7, 22)</f>
        <v>43668</v>
      </c>
      <c r="B661" s="10">
        <v>63.26</v>
      </c>
      <c r="C661" s="10">
        <v>63.03</v>
      </c>
      <c r="D661" s="10">
        <v>62.72</v>
      </c>
      <c r="E661" s="10">
        <v>62.41</v>
      </c>
      <c r="F661" s="10">
        <v>62.15</v>
      </c>
      <c r="G661" s="10">
        <v>61.96</v>
      </c>
      <c r="H661" s="10">
        <v>61.79</v>
      </c>
      <c r="I661" s="10">
        <v>61.61</v>
      </c>
      <c r="J661" s="10">
        <v>61.42</v>
      </c>
      <c r="K661" s="10">
        <v>61.24</v>
      </c>
      <c r="L661" s="10">
        <v>61.05</v>
      </c>
      <c r="M661" s="10">
        <v>60.88</v>
      </c>
      <c r="N661" s="10">
        <v>56.22</v>
      </c>
      <c r="O661" s="10">
        <v>56.22</v>
      </c>
      <c r="P661" s="10">
        <v>56.29</v>
      </c>
      <c r="Q661" s="10">
        <v>56.33</v>
      </c>
      <c r="R661" s="10">
        <v>56.3</v>
      </c>
      <c r="S661" s="10">
        <v>56.18</v>
      </c>
      <c r="T661" s="10">
        <v>56</v>
      </c>
      <c r="U661" s="10">
        <v>55.79</v>
      </c>
      <c r="V661" s="10">
        <v>55.56</v>
      </c>
      <c r="W661" s="10">
        <v>55.34</v>
      </c>
      <c r="X661" s="10">
        <v>55.13</v>
      </c>
      <c r="Y661" s="10">
        <v>54.91</v>
      </c>
      <c r="Z661" s="11">
        <v>62.935000000000002</v>
      </c>
      <c r="AA661" s="11">
        <v>61.295999999999999</v>
      </c>
      <c r="AB661" s="11">
        <v>60.744999999999997</v>
      </c>
      <c r="AC661" s="11">
        <v>60.018999999999998</v>
      </c>
      <c r="AD661" s="11">
        <v>59.290999999999997</v>
      </c>
      <c r="AE661" s="11">
        <v>58.753999999999998</v>
      </c>
      <c r="AF661" s="11">
        <v>58.392000000000003</v>
      </c>
      <c r="AG661" s="11">
        <v>58.110999999999997</v>
      </c>
      <c r="AH661" s="11">
        <v>57.872</v>
      </c>
      <c r="AI661" s="11">
        <v>57.731000000000002</v>
      </c>
      <c r="AJ661" s="11">
        <v>57.601999999999997</v>
      </c>
      <c r="AK661" s="11">
        <v>57.502000000000002</v>
      </c>
      <c r="AL661" s="11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</row>
    <row r="662" spans="1:147" x14ac:dyDescent="0.3">
      <c r="A662" s="9">
        <f>DATE(2019, 7, 23)</f>
        <v>43669</v>
      </c>
      <c r="B662" s="10">
        <v>63.83</v>
      </c>
      <c r="C662" s="10">
        <v>63.75</v>
      </c>
      <c r="D662" s="10">
        <v>63.43</v>
      </c>
      <c r="E662" s="10">
        <v>63.09</v>
      </c>
      <c r="F662" s="10">
        <v>62.79</v>
      </c>
      <c r="G662" s="10">
        <v>62.57</v>
      </c>
      <c r="H662" s="10">
        <v>62.38</v>
      </c>
      <c r="I662" s="10">
        <v>62.17</v>
      </c>
      <c r="J662" s="10">
        <v>61.96</v>
      </c>
      <c r="K662" s="10">
        <v>61.74</v>
      </c>
      <c r="L662" s="10">
        <v>61.53</v>
      </c>
      <c r="M662" s="10">
        <v>61.33</v>
      </c>
      <c r="N662" s="10">
        <v>56.77</v>
      </c>
      <c r="O662" s="10">
        <v>56.85</v>
      </c>
      <c r="P662" s="10">
        <v>56.89</v>
      </c>
      <c r="Q662" s="10">
        <v>56.85</v>
      </c>
      <c r="R662" s="10">
        <v>56.73</v>
      </c>
      <c r="S662" s="10">
        <v>56.54</v>
      </c>
      <c r="T662" s="10">
        <v>56.29</v>
      </c>
      <c r="U662" s="10">
        <v>56.04</v>
      </c>
      <c r="V662" s="10">
        <v>55.78</v>
      </c>
      <c r="W662" s="10">
        <v>55.54</v>
      </c>
      <c r="X662" s="10">
        <v>55.29</v>
      </c>
      <c r="Y662" s="10">
        <v>55.06</v>
      </c>
      <c r="Z662" s="11">
        <v>63.113</v>
      </c>
      <c r="AA662" s="11">
        <v>61.954999999999998</v>
      </c>
      <c r="AB662" s="11">
        <v>61.433999999999997</v>
      </c>
      <c r="AC662" s="11">
        <v>60.707000000000001</v>
      </c>
      <c r="AD662" s="11">
        <v>59.99</v>
      </c>
      <c r="AE662" s="11">
        <v>59.472000000000001</v>
      </c>
      <c r="AF662" s="11">
        <v>59.1</v>
      </c>
      <c r="AG662" s="11">
        <v>58.9</v>
      </c>
      <c r="AH662" s="11">
        <v>58.7</v>
      </c>
      <c r="AI662" s="11">
        <v>58.5</v>
      </c>
      <c r="AJ662" s="11">
        <v>58.32</v>
      </c>
      <c r="AK662" s="11">
        <v>58.15</v>
      </c>
      <c r="AL662" s="11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</row>
    <row r="663" spans="1:147" x14ac:dyDescent="0.3">
      <c r="A663" s="9">
        <f>DATE(2019, 7, 24)</f>
        <v>43670</v>
      </c>
      <c r="B663" s="10">
        <v>63.18</v>
      </c>
      <c r="C663" s="10">
        <v>63.08</v>
      </c>
      <c r="D663" s="10">
        <v>62.74</v>
      </c>
      <c r="E663" s="10">
        <v>62.39</v>
      </c>
      <c r="F663" s="10">
        <v>62.1</v>
      </c>
      <c r="G663" s="10">
        <v>61.92</v>
      </c>
      <c r="H663" s="10">
        <v>61.77</v>
      </c>
      <c r="I663" s="10">
        <v>61.59</v>
      </c>
      <c r="J663" s="10">
        <v>61.39</v>
      </c>
      <c r="K663" s="10">
        <v>61.19</v>
      </c>
      <c r="L663" s="10">
        <v>60.98</v>
      </c>
      <c r="M663" s="10">
        <v>60.79</v>
      </c>
      <c r="N663" s="10">
        <v>55.88</v>
      </c>
      <c r="O663" s="10">
        <v>56</v>
      </c>
      <c r="P663" s="10">
        <v>56.07</v>
      </c>
      <c r="Q663" s="10">
        <v>56.05</v>
      </c>
      <c r="R663" s="10">
        <v>55.96</v>
      </c>
      <c r="S663" s="10">
        <v>55.79</v>
      </c>
      <c r="T663" s="10">
        <v>55.58</v>
      </c>
      <c r="U663" s="10">
        <v>55.35</v>
      </c>
      <c r="V663" s="10">
        <v>55.11</v>
      </c>
      <c r="W663" s="10">
        <v>54.86</v>
      </c>
      <c r="X663" s="10">
        <v>54.63</v>
      </c>
      <c r="Y663" s="10">
        <v>54.42</v>
      </c>
      <c r="Z663" s="11">
        <v>63.040999999999997</v>
      </c>
      <c r="AA663" s="11">
        <v>61.575000000000003</v>
      </c>
      <c r="AB663" s="11">
        <v>61.033000000000001</v>
      </c>
      <c r="AC663" s="11">
        <v>60.296999999999997</v>
      </c>
      <c r="AD663" s="11">
        <v>59.600999999999999</v>
      </c>
      <c r="AE663" s="11">
        <v>59.085999999999999</v>
      </c>
      <c r="AF663" s="11">
        <v>58.712000000000003</v>
      </c>
      <c r="AG663" s="11">
        <v>58.48</v>
      </c>
      <c r="AH663" s="11">
        <v>58.290999999999997</v>
      </c>
      <c r="AI663" s="11">
        <v>58.13</v>
      </c>
      <c r="AJ663" s="11">
        <v>57.951000000000001</v>
      </c>
      <c r="AK663" s="11">
        <v>57.79</v>
      </c>
      <c r="AL663" s="11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</row>
    <row r="664" spans="1:147" x14ac:dyDescent="0.3">
      <c r="A664" s="9">
        <f>DATE(2019, 7, 25)</f>
        <v>43671</v>
      </c>
      <c r="B664" s="10">
        <v>63.39</v>
      </c>
      <c r="C664" s="10">
        <v>63.26</v>
      </c>
      <c r="D664" s="10">
        <v>62.88</v>
      </c>
      <c r="E664" s="10">
        <v>62.49</v>
      </c>
      <c r="F664" s="10">
        <v>62.17</v>
      </c>
      <c r="G664" s="10">
        <v>61.98</v>
      </c>
      <c r="H664" s="10">
        <v>61.82</v>
      </c>
      <c r="I664" s="10">
        <v>61.65</v>
      </c>
      <c r="J664" s="10">
        <v>61.47</v>
      </c>
      <c r="K664" s="10">
        <v>61.28</v>
      </c>
      <c r="L664" s="10">
        <v>61.08</v>
      </c>
      <c r="M664" s="10">
        <v>60.89</v>
      </c>
      <c r="N664" s="10">
        <v>56.02</v>
      </c>
      <c r="O664" s="10">
        <v>56.16</v>
      </c>
      <c r="P664" s="10">
        <v>56.26</v>
      </c>
      <c r="Q664" s="10">
        <v>56.27</v>
      </c>
      <c r="R664" s="10">
        <v>56.2</v>
      </c>
      <c r="S664" s="10">
        <v>56.04</v>
      </c>
      <c r="T664" s="10">
        <v>55.84</v>
      </c>
      <c r="U664" s="10">
        <v>55.6</v>
      </c>
      <c r="V664" s="10">
        <v>55.38</v>
      </c>
      <c r="W664" s="10">
        <v>55.13</v>
      </c>
      <c r="X664" s="10">
        <v>54.9</v>
      </c>
      <c r="Y664" s="10">
        <v>54.68</v>
      </c>
      <c r="Z664" s="11">
        <v>63.151000000000003</v>
      </c>
      <c r="AA664" s="11">
        <v>61.942999999999998</v>
      </c>
      <c r="AB664" s="11">
        <v>61.280999999999999</v>
      </c>
      <c r="AC664" s="11">
        <v>60.515999999999998</v>
      </c>
      <c r="AD664" s="11">
        <v>59.771000000000001</v>
      </c>
      <c r="AE664" s="11">
        <v>59.225000000000001</v>
      </c>
      <c r="AF664" s="11">
        <v>58.832000000000001</v>
      </c>
      <c r="AG664" s="11">
        <v>58.640999999999998</v>
      </c>
      <c r="AH664" s="11">
        <v>58.470999999999997</v>
      </c>
      <c r="AI664" s="11">
        <v>58.3</v>
      </c>
      <c r="AJ664" s="11">
        <v>58.121000000000002</v>
      </c>
      <c r="AK664" s="11">
        <v>57.951000000000001</v>
      </c>
      <c r="AL664" s="11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</row>
    <row r="665" spans="1:147" x14ac:dyDescent="0.3">
      <c r="A665" s="9">
        <f>DATE(2019, 7, 26)</f>
        <v>43672</v>
      </c>
      <c r="B665" s="10">
        <v>63.46</v>
      </c>
      <c r="C665" s="10">
        <v>63.37</v>
      </c>
      <c r="D665" s="10">
        <v>62.95</v>
      </c>
      <c r="E665" s="10">
        <v>62.54</v>
      </c>
      <c r="F665" s="10">
        <v>62.22</v>
      </c>
      <c r="G665" s="10">
        <v>62.03</v>
      </c>
      <c r="H665" s="10">
        <v>61.88</v>
      </c>
      <c r="I665" s="10">
        <v>61.71</v>
      </c>
      <c r="J665" s="10">
        <v>61.54</v>
      </c>
      <c r="K665" s="10">
        <v>61.36</v>
      </c>
      <c r="L665" s="10">
        <v>61.17</v>
      </c>
      <c r="M665" s="10">
        <v>60.99</v>
      </c>
      <c r="N665" s="10">
        <v>56.2</v>
      </c>
      <c r="O665" s="10">
        <v>56.33</v>
      </c>
      <c r="P665" s="10">
        <v>56.42</v>
      </c>
      <c r="Q665" s="10">
        <v>56.43</v>
      </c>
      <c r="R665" s="10">
        <v>56.36</v>
      </c>
      <c r="S665" s="10">
        <v>56.21</v>
      </c>
      <c r="T665" s="10">
        <v>56.03</v>
      </c>
      <c r="U665" s="10">
        <v>55.81</v>
      </c>
      <c r="V665" s="10">
        <v>55.59</v>
      </c>
      <c r="W665" s="10">
        <v>55.36</v>
      </c>
      <c r="X665" s="10">
        <v>55.14</v>
      </c>
      <c r="Y665" s="10">
        <v>54.94</v>
      </c>
      <c r="Z665" s="11">
        <v>63.151000000000003</v>
      </c>
      <c r="AA665" s="11">
        <v>61.981000000000002</v>
      </c>
      <c r="AB665" s="11">
        <v>61.28</v>
      </c>
      <c r="AC665" s="11">
        <v>60.496000000000002</v>
      </c>
      <c r="AD665" s="11">
        <v>59.750999999999998</v>
      </c>
      <c r="AE665" s="11">
        <v>59.216000000000001</v>
      </c>
      <c r="AF665" s="11">
        <v>58.841999999999999</v>
      </c>
      <c r="AG665" s="11">
        <v>58.671999999999997</v>
      </c>
      <c r="AH665" s="11">
        <v>58.512</v>
      </c>
      <c r="AI665" s="11">
        <v>58.371000000000002</v>
      </c>
      <c r="AJ665" s="11">
        <v>58.231000000000002</v>
      </c>
      <c r="AK665" s="11">
        <v>58.082000000000001</v>
      </c>
      <c r="AL665" s="11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</row>
    <row r="666" spans="1:147" x14ac:dyDescent="0.3">
      <c r="A666" s="9">
        <f>DATE(2019, 7, 29)</f>
        <v>43675</v>
      </c>
      <c r="B666" s="10">
        <v>63.71</v>
      </c>
      <c r="C666" s="10">
        <v>63.62</v>
      </c>
      <c r="D666" s="10">
        <v>63.2</v>
      </c>
      <c r="E666" s="10">
        <v>62.79</v>
      </c>
      <c r="F666" s="10">
        <v>62.45</v>
      </c>
      <c r="G666" s="10">
        <v>62.24</v>
      </c>
      <c r="H666" s="10">
        <v>62.07</v>
      </c>
      <c r="I666" s="10">
        <v>61.87</v>
      </c>
      <c r="J666" s="10">
        <v>61.66</v>
      </c>
      <c r="K666" s="10">
        <v>61.44</v>
      </c>
      <c r="L666" s="10">
        <v>61.22</v>
      </c>
      <c r="M666" s="10">
        <v>61</v>
      </c>
      <c r="N666" s="10">
        <v>56.87</v>
      </c>
      <c r="O666" s="10">
        <v>56.96</v>
      </c>
      <c r="P666" s="10">
        <v>57.01</v>
      </c>
      <c r="Q666" s="10">
        <v>56.97</v>
      </c>
      <c r="R666" s="10">
        <v>56.85</v>
      </c>
      <c r="S666" s="10">
        <v>56.67</v>
      </c>
      <c r="T666" s="10">
        <v>56.45</v>
      </c>
      <c r="U666" s="10">
        <v>56.2</v>
      </c>
      <c r="V666" s="10">
        <v>55.93</v>
      </c>
      <c r="W666" s="10">
        <v>55.67</v>
      </c>
      <c r="X666" s="10">
        <v>55.4</v>
      </c>
      <c r="Y666" s="10">
        <v>55.16</v>
      </c>
      <c r="Z666" s="11">
        <v>63.165999999999997</v>
      </c>
      <c r="AA666" s="11">
        <v>62.191000000000003</v>
      </c>
      <c r="AB666" s="11">
        <v>61.53</v>
      </c>
      <c r="AC666" s="11">
        <v>60.744999999999997</v>
      </c>
      <c r="AD666" s="11">
        <v>59.99</v>
      </c>
      <c r="AE666" s="11">
        <v>59.414000000000001</v>
      </c>
      <c r="AF666" s="11">
        <v>59.000999999999998</v>
      </c>
      <c r="AG666" s="11">
        <v>58.8</v>
      </c>
      <c r="AH666" s="11">
        <v>58.62</v>
      </c>
      <c r="AI666" s="11">
        <v>58.45</v>
      </c>
      <c r="AJ666" s="11">
        <v>58.28</v>
      </c>
      <c r="AK666" s="11">
        <v>58.11</v>
      </c>
      <c r="AL666" s="11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</row>
    <row r="667" spans="1:147" x14ac:dyDescent="0.3">
      <c r="A667" s="9">
        <f>DATE(2019, 7, 30)</f>
        <v>43676</v>
      </c>
      <c r="B667" s="10">
        <v>64.72</v>
      </c>
      <c r="C667" s="10">
        <v>64.63</v>
      </c>
      <c r="D667" s="10">
        <v>64.180000000000007</v>
      </c>
      <c r="E667" s="10">
        <v>63.74</v>
      </c>
      <c r="F667" s="10">
        <v>63.36</v>
      </c>
      <c r="G667" s="10">
        <v>63.11</v>
      </c>
      <c r="H667" s="10">
        <v>62.89</v>
      </c>
      <c r="I667" s="10">
        <v>62.66</v>
      </c>
      <c r="J667" s="10">
        <v>62.42</v>
      </c>
      <c r="K667" s="10">
        <v>62.18</v>
      </c>
      <c r="L667" s="10">
        <v>61.93</v>
      </c>
      <c r="M667" s="10">
        <v>61.69</v>
      </c>
      <c r="N667" s="10">
        <v>58.05</v>
      </c>
      <c r="O667" s="10">
        <v>58.11</v>
      </c>
      <c r="P667" s="10">
        <v>58.11</v>
      </c>
      <c r="Q667" s="10">
        <v>58</v>
      </c>
      <c r="R667" s="10">
        <v>57.82</v>
      </c>
      <c r="S667" s="10">
        <v>57.58</v>
      </c>
      <c r="T667" s="10">
        <v>57.31</v>
      </c>
      <c r="U667" s="10">
        <v>57.02</v>
      </c>
      <c r="V667" s="10">
        <v>56.72</v>
      </c>
      <c r="W667" s="10">
        <v>56.41</v>
      </c>
      <c r="X667" s="10">
        <v>56.1</v>
      </c>
      <c r="Y667" s="10">
        <v>55.81</v>
      </c>
      <c r="Z667" s="11">
        <v>63.201999999999998</v>
      </c>
      <c r="AA667" s="11">
        <v>63.14</v>
      </c>
      <c r="AB667" s="11">
        <v>62.418999999999997</v>
      </c>
      <c r="AC667" s="11">
        <v>61.613</v>
      </c>
      <c r="AD667" s="11">
        <v>60.808</v>
      </c>
      <c r="AE667" s="11">
        <v>60.198999999999998</v>
      </c>
      <c r="AF667" s="11">
        <v>59.77</v>
      </c>
      <c r="AG667" s="11">
        <v>59.567999999999998</v>
      </c>
      <c r="AH667" s="11">
        <v>59.369</v>
      </c>
      <c r="AI667" s="11">
        <v>59.177999999999997</v>
      </c>
      <c r="AJ667" s="11">
        <v>58.978999999999999</v>
      </c>
      <c r="AK667" s="11">
        <v>58.798999999999999</v>
      </c>
      <c r="AL667" s="11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</row>
    <row r="668" spans="1:147" x14ac:dyDescent="0.3">
      <c r="A668" s="9">
        <f>DATE(2019, 7, 31)</f>
        <v>43677</v>
      </c>
      <c r="B668" s="10">
        <v>65.17</v>
      </c>
      <c r="C668" s="10">
        <v>65.05</v>
      </c>
      <c r="D668" s="10">
        <v>64.55</v>
      </c>
      <c r="E668" s="10">
        <v>64.08</v>
      </c>
      <c r="F668" s="10">
        <v>63.69</v>
      </c>
      <c r="G668" s="10">
        <v>63.44</v>
      </c>
      <c r="H668" s="10">
        <v>63.22</v>
      </c>
      <c r="I668" s="10">
        <v>62.97</v>
      </c>
      <c r="J668" s="10">
        <v>62.72</v>
      </c>
      <c r="K668" s="10">
        <v>62.46</v>
      </c>
      <c r="L668" s="10">
        <v>62.2</v>
      </c>
      <c r="M668" s="10">
        <v>61.95</v>
      </c>
      <c r="N668" s="10">
        <v>58.58</v>
      </c>
      <c r="O668" s="10">
        <v>58.63</v>
      </c>
      <c r="P668" s="10">
        <v>58.61</v>
      </c>
      <c r="Q668" s="10">
        <v>58.5</v>
      </c>
      <c r="R668" s="10">
        <v>58.32</v>
      </c>
      <c r="S668" s="10">
        <v>58.08</v>
      </c>
      <c r="T668" s="10">
        <v>57.78</v>
      </c>
      <c r="U668" s="10">
        <v>57.47</v>
      </c>
      <c r="V668" s="10">
        <v>57.15</v>
      </c>
      <c r="W668" s="10">
        <v>56.82</v>
      </c>
      <c r="X668" s="10">
        <v>56.49</v>
      </c>
      <c r="Y668" s="10">
        <v>56.19</v>
      </c>
      <c r="Z668" s="11">
        <v>63.253999999999998</v>
      </c>
      <c r="AA668" s="11">
        <v>63.637</v>
      </c>
      <c r="AB668" s="11">
        <v>62.828000000000003</v>
      </c>
      <c r="AC668" s="11">
        <v>61.953000000000003</v>
      </c>
      <c r="AD668" s="11">
        <v>61.128</v>
      </c>
      <c r="AE668" s="11">
        <v>60.459000000000003</v>
      </c>
      <c r="AF668" s="11">
        <v>59.999000000000002</v>
      </c>
      <c r="AG668" s="11">
        <v>59.758000000000003</v>
      </c>
      <c r="AH668" s="11">
        <v>59.567999999999998</v>
      </c>
      <c r="AI668" s="11">
        <v>59.378</v>
      </c>
      <c r="AJ668" s="11">
        <v>59.188000000000002</v>
      </c>
      <c r="AK668" s="11">
        <v>58.999000000000002</v>
      </c>
      <c r="AL668" s="11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</row>
    <row r="669" spans="1:147" x14ac:dyDescent="0.3">
      <c r="A669" s="9">
        <f>DATE(2019, 8, 1)</f>
        <v>43678</v>
      </c>
      <c r="B669" s="10">
        <v>60.5</v>
      </c>
      <c r="C669" s="10">
        <v>59.96</v>
      </c>
      <c r="D669" s="10">
        <v>59.49</v>
      </c>
      <c r="E669" s="10">
        <v>59.13</v>
      </c>
      <c r="F669" s="10">
        <v>58.93</v>
      </c>
      <c r="G669" s="10">
        <v>58.78</v>
      </c>
      <c r="H669" s="10">
        <v>58.6</v>
      </c>
      <c r="I669" s="10">
        <v>58.41</v>
      </c>
      <c r="J669" s="10">
        <v>58.23</v>
      </c>
      <c r="K669" s="10">
        <v>58.03</v>
      </c>
      <c r="L669" s="10">
        <v>57.85</v>
      </c>
      <c r="M669" s="10">
        <v>57.68</v>
      </c>
      <c r="N669" s="10">
        <v>53.95</v>
      </c>
      <c r="O669" s="10">
        <v>54.01</v>
      </c>
      <c r="P669" s="10">
        <v>54.03</v>
      </c>
      <c r="Q669" s="10">
        <v>53.95</v>
      </c>
      <c r="R669" s="10">
        <v>53.81</v>
      </c>
      <c r="S669" s="10">
        <v>53.63</v>
      </c>
      <c r="T669" s="10">
        <v>53.42</v>
      </c>
      <c r="U669" s="10">
        <v>53.2</v>
      </c>
      <c r="V669" s="10">
        <v>52.96</v>
      </c>
      <c r="W669" s="10">
        <v>52.73</v>
      </c>
      <c r="X669" s="10">
        <v>52.5</v>
      </c>
      <c r="Y669" s="10">
        <v>52.28</v>
      </c>
      <c r="Z669" s="11">
        <v>63.253999999999998</v>
      </c>
      <c r="AA669" s="11">
        <v>59.198999999999998</v>
      </c>
      <c r="AB669" s="11">
        <v>58.408000000000001</v>
      </c>
      <c r="AC669" s="11">
        <v>57.494</v>
      </c>
      <c r="AD669" s="11">
        <v>56.71</v>
      </c>
      <c r="AE669" s="11">
        <v>56.076000000000001</v>
      </c>
      <c r="AF669" s="11">
        <v>55.636000000000003</v>
      </c>
      <c r="AG669" s="11">
        <v>55.460999999999999</v>
      </c>
      <c r="AH669" s="11">
        <v>55.292000000000002</v>
      </c>
      <c r="AI669" s="11">
        <v>55.22</v>
      </c>
      <c r="AJ669" s="11">
        <v>55.151000000000003</v>
      </c>
      <c r="AK669" s="11">
        <v>55.042000000000002</v>
      </c>
      <c r="AL669" s="11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</row>
    <row r="670" spans="1:147" x14ac:dyDescent="0.3">
      <c r="A670" s="9">
        <f>DATE(2019, 8, 2)</f>
        <v>43679</v>
      </c>
      <c r="B670" s="10">
        <v>61.89</v>
      </c>
      <c r="C670" s="10">
        <v>61.32</v>
      </c>
      <c r="D670" s="10">
        <v>60.8</v>
      </c>
      <c r="E670" s="10">
        <v>60.46</v>
      </c>
      <c r="F670" s="10">
        <v>60.28</v>
      </c>
      <c r="G670" s="10">
        <v>60.14</v>
      </c>
      <c r="H670" s="10">
        <v>59.98</v>
      </c>
      <c r="I670" s="10">
        <v>59.8</v>
      </c>
      <c r="J670" s="10">
        <v>59.63</v>
      </c>
      <c r="K670" s="10">
        <v>59.45</v>
      </c>
      <c r="L670" s="10">
        <v>59.27</v>
      </c>
      <c r="M670" s="10">
        <v>59.09</v>
      </c>
      <c r="N670" s="10">
        <v>55.66</v>
      </c>
      <c r="O670" s="10">
        <v>55.67</v>
      </c>
      <c r="P670" s="10">
        <v>55.66</v>
      </c>
      <c r="Q670" s="10">
        <v>55.56</v>
      </c>
      <c r="R670" s="10">
        <v>55.41</v>
      </c>
      <c r="S670" s="10">
        <v>55.22</v>
      </c>
      <c r="T670" s="10">
        <v>55</v>
      </c>
      <c r="U670" s="10">
        <v>54.77</v>
      </c>
      <c r="V670" s="10">
        <v>54.54</v>
      </c>
      <c r="W670" s="10">
        <v>54.31</v>
      </c>
      <c r="X670" s="10">
        <v>54.08</v>
      </c>
      <c r="Y670" s="10">
        <v>53.86</v>
      </c>
      <c r="Z670" s="11">
        <v>60.667999999999999</v>
      </c>
      <c r="AA670" s="11">
        <v>59.674999999999997</v>
      </c>
      <c r="AB670" s="11">
        <v>58.784999999999997</v>
      </c>
      <c r="AC670" s="11">
        <v>58.021000000000001</v>
      </c>
      <c r="AD670" s="11">
        <v>57.406999999999996</v>
      </c>
      <c r="AE670" s="11">
        <v>56.972999999999999</v>
      </c>
      <c r="AF670" s="11">
        <v>56.790999999999997</v>
      </c>
      <c r="AG670" s="11">
        <v>56.652000000000001</v>
      </c>
      <c r="AH670" s="11">
        <v>56.540999999999997</v>
      </c>
      <c r="AI670" s="11">
        <v>56.451000000000001</v>
      </c>
      <c r="AJ670" s="11">
        <v>56.351999999999997</v>
      </c>
      <c r="AK670" s="11">
        <v>56.262</v>
      </c>
      <c r="AL670" s="11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</row>
    <row r="671" spans="1:147" x14ac:dyDescent="0.3">
      <c r="A671" s="9">
        <f>DATE(2019, 8, 5)</f>
        <v>43682</v>
      </c>
      <c r="B671" s="10">
        <v>59.81</v>
      </c>
      <c r="C671" s="10">
        <v>59.35</v>
      </c>
      <c r="D671" s="10">
        <v>58.93</v>
      </c>
      <c r="E671" s="10">
        <v>58.68</v>
      </c>
      <c r="F671" s="10">
        <v>58.56</v>
      </c>
      <c r="G671" s="10">
        <v>58.47</v>
      </c>
      <c r="H671" s="10">
        <v>58.37</v>
      </c>
      <c r="I671" s="10">
        <v>58.24</v>
      </c>
      <c r="J671" s="10">
        <v>58.12</v>
      </c>
      <c r="K671" s="10">
        <v>57.99</v>
      </c>
      <c r="L671" s="10">
        <v>57.87</v>
      </c>
      <c r="M671" s="10">
        <v>57.75</v>
      </c>
      <c r="N671" s="10">
        <v>54.69</v>
      </c>
      <c r="O671" s="10">
        <v>54.58</v>
      </c>
      <c r="P671" s="10">
        <v>54.45</v>
      </c>
      <c r="Q671" s="10">
        <v>54.3</v>
      </c>
      <c r="R671" s="10">
        <v>54.1</v>
      </c>
      <c r="S671" s="10">
        <v>53.89</v>
      </c>
      <c r="T671" s="10">
        <v>53.68</v>
      </c>
      <c r="U671" s="10">
        <v>53.47</v>
      </c>
      <c r="V671" s="10">
        <v>53.27</v>
      </c>
      <c r="W671" s="10">
        <v>53.07</v>
      </c>
      <c r="X671" s="10">
        <v>52.87</v>
      </c>
      <c r="Y671" s="10">
        <v>52.69</v>
      </c>
      <c r="Z671" s="11">
        <v>59.003</v>
      </c>
      <c r="AA671" s="11">
        <v>57.75</v>
      </c>
      <c r="AB671" s="11">
        <v>56.929000000000002</v>
      </c>
      <c r="AC671" s="11">
        <v>56.244</v>
      </c>
      <c r="AD671" s="11">
        <v>55.670999999999999</v>
      </c>
      <c r="AE671" s="11">
        <v>55.344999999999999</v>
      </c>
      <c r="AF671" s="11">
        <v>55.173999999999999</v>
      </c>
      <c r="AG671" s="11">
        <v>55.085000000000001</v>
      </c>
      <c r="AH671" s="11">
        <v>55.003999999999998</v>
      </c>
      <c r="AI671" s="11">
        <v>54.914000000000001</v>
      </c>
      <c r="AJ671" s="11">
        <v>54.825000000000003</v>
      </c>
      <c r="AK671" s="11">
        <v>54.734999999999999</v>
      </c>
      <c r="AL671" s="11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</row>
    <row r="672" spans="1:147" x14ac:dyDescent="0.3">
      <c r="A672" s="9">
        <f>DATE(2019, 8, 6)</f>
        <v>43683</v>
      </c>
      <c r="B672" s="10">
        <v>58.94</v>
      </c>
      <c r="C672" s="10">
        <v>58.53</v>
      </c>
      <c r="D672" s="10">
        <v>58.14</v>
      </c>
      <c r="E672" s="10">
        <v>57.91</v>
      </c>
      <c r="F672" s="10">
        <v>57.82</v>
      </c>
      <c r="G672" s="10">
        <v>57.76</v>
      </c>
      <c r="H672" s="10">
        <v>57.67</v>
      </c>
      <c r="I672" s="10">
        <v>57.57</v>
      </c>
      <c r="J672" s="10">
        <v>57.46</v>
      </c>
      <c r="K672" s="10">
        <v>57.35</v>
      </c>
      <c r="L672" s="10">
        <v>57.24</v>
      </c>
      <c r="M672" s="10">
        <v>57.13</v>
      </c>
      <c r="N672" s="10">
        <v>53.63</v>
      </c>
      <c r="O672" s="10">
        <v>53.59</v>
      </c>
      <c r="P672" s="10">
        <v>53.53</v>
      </c>
      <c r="Q672" s="10">
        <v>53.42</v>
      </c>
      <c r="R672" s="10">
        <v>53.26</v>
      </c>
      <c r="S672" s="10">
        <v>53.08</v>
      </c>
      <c r="T672" s="10">
        <v>52.89</v>
      </c>
      <c r="U672" s="10">
        <v>52.71</v>
      </c>
      <c r="V672" s="10">
        <v>52.53</v>
      </c>
      <c r="W672" s="10">
        <v>52.34</v>
      </c>
      <c r="X672" s="10">
        <v>52.17</v>
      </c>
      <c r="Y672" s="10">
        <v>52</v>
      </c>
      <c r="Z672" s="11">
        <v>58.335000000000001</v>
      </c>
      <c r="AA672" s="11">
        <v>56.941000000000003</v>
      </c>
      <c r="AB672" s="11">
        <v>56.14</v>
      </c>
      <c r="AC672" s="11">
        <v>55.515999999999998</v>
      </c>
      <c r="AD672" s="11">
        <v>54.994</v>
      </c>
      <c r="AE672" s="11">
        <v>54.695999999999998</v>
      </c>
      <c r="AF672" s="11">
        <v>54.594999999999999</v>
      </c>
      <c r="AG672" s="11">
        <v>54.524999999999999</v>
      </c>
      <c r="AH672" s="11">
        <v>54.454999999999998</v>
      </c>
      <c r="AI672" s="11">
        <v>54.384999999999998</v>
      </c>
      <c r="AJ672" s="11">
        <v>54.284999999999997</v>
      </c>
      <c r="AK672" s="11">
        <v>54.235999999999997</v>
      </c>
      <c r="AL672" s="11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</row>
    <row r="673" spans="1:147" x14ac:dyDescent="0.3">
      <c r="A673" s="9">
        <f>DATE(2019, 8, 7)</f>
        <v>43684</v>
      </c>
      <c r="B673" s="10">
        <v>56.23</v>
      </c>
      <c r="C673" s="10">
        <v>55.93</v>
      </c>
      <c r="D673" s="10">
        <v>55.63</v>
      </c>
      <c r="E673" s="10">
        <v>55.45</v>
      </c>
      <c r="F673" s="10">
        <v>55.39</v>
      </c>
      <c r="G673" s="10">
        <v>55.35</v>
      </c>
      <c r="H673" s="10">
        <v>55.31</v>
      </c>
      <c r="I673" s="10">
        <v>55.25</v>
      </c>
      <c r="J673" s="10">
        <v>55.19</v>
      </c>
      <c r="K673" s="10">
        <v>55.14</v>
      </c>
      <c r="L673" s="10">
        <v>55.09</v>
      </c>
      <c r="M673" s="10">
        <v>55.03</v>
      </c>
      <c r="N673" s="10">
        <v>51.09</v>
      </c>
      <c r="O673" s="10">
        <v>51.03</v>
      </c>
      <c r="P673" s="10">
        <v>50.95</v>
      </c>
      <c r="Q673" s="10">
        <v>50.86</v>
      </c>
      <c r="R673" s="10">
        <v>50.73</v>
      </c>
      <c r="S673" s="10">
        <v>50.59</v>
      </c>
      <c r="T673" s="10">
        <v>50.45</v>
      </c>
      <c r="U673" s="10">
        <v>50.32</v>
      </c>
      <c r="V673" s="10">
        <v>50.18</v>
      </c>
      <c r="W673" s="10">
        <v>50.04</v>
      </c>
      <c r="X673" s="10">
        <v>49.91</v>
      </c>
      <c r="Y673" s="10">
        <v>49.81</v>
      </c>
      <c r="Z673" s="11">
        <v>56.579000000000001</v>
      </c>
      <c r="AA673" s="11">
        <v>54.655999999999999</v>
      </c>
      <c r="AB673" s="11">
        <v>53.862000000000002</v>
      </c>
      <c r="AC673" s="11">
        <v>53.267000000000003</v>
      </c>
      <c r="AD673" s="11">
        <v>52.776000000000003</v>
      </c>
      <c r="AE673" s="11">
        <v>52.508000000000003</v>
      </c>
      <c r="AF673" s="11">
        <v>52.406999999999996</v>
      </c>
      <c r="AG673" s="11">
        <v>52.366999999999997</v>
      </c>
      <c r="AH673" s="11">
        <v>52.317999999999998</v>
      </c>
      <c r="AI673" s="11">
        <v>52.277999999999999</v>
      </c>
      <c r="AJ673" s="11">
        <v>52.256999999999998</v>
      </c>
      <c r="AK673" s="11">
        <v>52.268000000000001</v>
      </c>
      <c r="AL673" s="11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</row>
    <row r="674" spans="1:147" x14ac:dyDescent="0.3">
      <c r="A674" s="9">
        <f>DATE(2019, 8, 8)</f>
        <v>43685</v>
      </c>
      <c r="B674" s="10">
        <v>57.38</v>
      </c>
      <c r="C674" s="10">
        <v>57.04</v>
      </c>
      <c r="D674" s="10">
        <v>56.67</v>
      </c>
      <c r="E674" s="10">
        <v>56.41</v>
      </c>
      <c r="F674" s="10">
        <v>56.29</v>
      </c>
      <c r="G674" s="10">
        <v>56.21</v>
      </c>
      <c r="H674" s="10">
        <v>56.12</v>
      </c>
      <c r="I674" s="10">
        <v>56.03</v>
      </c>
      <c r="J674" s="10">
        <v>55.95</v>
      </c>
      <c r="K674" s="10">
        <v>55.87</v>
      </c>
      <c r="L674" s="10">
        <v>55.8</v>
      </c>
      <c r="M674" s="10">
        <v>55.72</v>
      </c>
      <c r="N674" s="10">
        <v>52.54</v>
      </c>
      <c r="O674" s="10">
        <v>52.46</v>
      </c>
      <c r="P674" s="10">
        <v>52.29</v>
      </c>
      <c r="Q674" s="10">
        <v>52.1</v>
      </c>
      <c r="R674" s="10">
        <v>51.88</v>
      </c>
      <c r="S674" s="10">
        <v>51.64</v>
      </c>
      <c r="T674" s="10">
        <v>51.44</v>
      </c>
      <c r="U674" s="10">
        <v>51.24</v>
      </c>
      <c r="V674" s="10">
        <v>51.05</v>
      </c>
      <c r="W674" s="10">
        <v>50.87</v>
      </c>
      <c r="X674" s="10">
        <v>50.71</v>
      </c>
      <c r="Y674" s="10">
        <v>50.57</v>
      </c>
      <c r="Z674" s="11">
        <v>57.573999999999998</v>
      </c>
      <c r="AA674" s="11">
        <v>55.892000000000003</v>
      </c>
      <c r="AB674" s="11">
        <v>54.999000000000002</v>
      </c>
      <c r="AC674" s="11">
        <v>54.344000000000001</v>
      </c>
      <c r="AD674" s="11">
        <v>53.792000000000002</v>
      </c>
      <c r="AE674" s="11">
        <v>53.475999999999999</v>
      </c>
      <c r="AF674" s="11">
        <v>53.345999999999997</v>
      </c>
      <c r="AG674" s="11">
        <v>53.295999999999999</v>
      </c>
      <c r="AH674" s="11">
        <v>53.235999999999997</v>
      </c>
      <c r="AI674" s="11">
        <v>53.177</v>
      </c>
      <c r="AJ674" s="11">
        <v>53.125999999999998</v>
      </c>
      <c r="AK674" s="11">
        <v>53.087000000000003</v>
      </c>
      <c r="AL674" s="11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</row>
    <row r="675" spans="1:147" x14ac:dyDescent="0.3">
      <c r="A675" s="9">
        <f>DATE(2019, 8, 9)</f>
        <v>43686</v>
      </c>
      <c r="B675" s="10">
        <v>58.53</v>
      </c>
      <c r="C675" s="10">
        <v>58.19</v>
      </c>
      <c r="D675" s="10">
        <v>57.81</v>
      </c>
      <c r="E675" s="10">
        <v>57.53</v>
      </c>
      <c r="F675" s="10">
        <v>57.38</v>
      </c>
      <c r="G675" s="10">
        <v>57.28</v>
      </c>
      <c r="H675" s="10">
        <v>57.17</v>
      </c>
      <c r="I675" s="10">
        <v>57.05</v>
      </c>
      <c r="J675" s="10">
        <v>56.94</v>
      </c>
      <c r="K675" s="10">
        <v>56.83</v>
      </c>
      <c r="L675" s="10">
        <v>56.74</v>
      </c>
      <c r="M675" s="10">
        <v>56.64</v>
      </c>
      <c r="N675" s="10">
        <v>54.5</v>
      </c>
      <c r="O675" s="10">
        <v>54.37</v>
      </c>
      <c r="P675" s="10">
        <v>54.09</v>
      </c>
      <c r="Q675" s="10">
        <v>53.78</v>
      </c>
      <c r="R675" s="10">
        <v>53.46</v>
      </c>
      <c r="S675" s="10">
        <v>53.16</v>
      </c>
      <c r="T675" s="10">
        <v>52.88</v>
      </c>
      <c r="U675" s="10">
        <v>52.64</v>
      </c>
      <c r="V675" s="10">
        <v>52.41</v>
      </c>
      <c r="W675" s="10">
        <v>52.2</v>
      </c>
      <c r="X675" s="10">
        <v>52</v>
      </c>
      <c r="Y675" s="10">
        <v>51.83</v>
      </c>
      <c r="Z675" s="11">
        <v>58.337000000000003</v>
      </c>
      <c r="AA675" s="11">
        <v>56.981999999999999</v>
      </c>
      <c r="AB675" s="11">
        <v>56.118000000000002</v>
      </c>
      <c r="AC675" s="11">
        <v>55.423000000000002</v>
      </c>
      <c r="AD675" s="11">
        <v>54.81</v>
      </c>
      <c r="AE675" s="11">
        <v>54.465000000000003</v>
      </c>
      <c r="AF675" s="11">
        <v>54.334000000000003</v>
      </c>
      <c r="AG675" s="11">
        <v>54.265000000000001</v>
      </c>
      <c r="AH675" s="11">
        <v>54.204999999999998</v>
      </c>
      <c r="AI675" s="11">
        <v>54.136000000000003</v>
      </c>
      <c r="AJ675" s="11">
        <v>54.064999999999998</v>
      </c>
      <c r="AK675" s="11">
        <v>54.006</v>
      </c>
      <c r="AL675" s="11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</row>
    <row r="676" spans="1:147" x14ac:dyDescent="0.3">
      <c r="A676" s="9">
        <f>DATE(2019, 8, 12)</f>
        <v>43689</v>
      </c>
      <c r="B676" s="10">
        <v>58.57</v>
      </c>
      <c r="C676" s="10">
        <v>58.3</v>
      </c>
      <c r="D676" s="10">
        <v>57.93</v>
      </c>
      <c r="E676" s="10">
        <v>57.65</v>
      </c>
      <c r="F676" s="10">
        <v>57.49</v>
      </c>
      <c r="G676" s="10">
        <v>57.39</v>
      </c>
      <c r="H676" s="10">
        <v>57.28</v>
      </c>
      <c r="I676" s="10">
        <v>57.15</v>
      </c>
      <c r="J676" s="10">
        <v>57.02</v>
      </c>
      <c r="K676" s="10">
        <v>56.9</v>
      </c>
      <c r="L676" s="10">
        <v>56.8</v>
      </c>
      <c r="M676" s="10">
        <v>56.69</v>
      </c>
      <c r="N676" s="10">
        <v>54.93</v>
      </c>
      <c r="O676" s="10">
        <v>54.85</v>
      </c>
      <c r="P676" s="10">
        <v>54.54</v>
      </c>
      <c r="Q676" s="10">
        <v>54.19</v>
      </c>
      <c r="R676" s="10">
        <v>53.83</v>
      </c>
      <c r="S676" s="10">
        <v>53.49</v>
      </c>
      <c r="T676" s="10">
        <v>53.19</v>
      </c>
      <c r="U676" s="10">
        <v>52.92</v>
      </c>
      <c r="V676" s="10">
        <v>52.67</v>
      </c>
      <c r="W676" s="10">
        <v>52.43</v>
      </c>
      <c r="X676" s="10">
        <v>52.2</v>
      </c>
      <c r="Y676" s="10">
        <v>52</v>
      </c>
      <c r="Z676" s="11">
        <v>58.357999999999997</v>
      </c>
      <c r="AA676" s="11">
        <v>57.012</v>
      </c>
      <c r="AB676" s="11">
        <v>56.158000000000001</v>
      </c>
      <c r="AC676" s="11">
        <v>55.512</v>
      </c>
      <c r="AD676" s="11">
        <v>54.92</v>
      </c>
      <c r="AE676" s="11">
        <v>54.575000000000003</v>
      </c>
      <c r="AF676" s="11">
        <v>54.414000000000001</v>
      </c>
      <c r="AG676" s="11">
        <v>54.314</v>
      </c>
      <c r="AH676" s="11">
        <v>54.223999999999997</v>
      </c>
      <c r="AI676" s="11">
        <v>54.134999999999998</v>
      </c>
      <c r="AJ676" s="11">
        <v>54.055</v>
      </c>
      <c r="AK676" s="11">
        <v>53.984999999999999</v>
      </c>
      <c r="AL676" s="11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</row>
    <row r="677" spans="1:147" x14ac:dyDescent="0.3">
      <c r="A677" s="9">
        <f>DATE(2019, 8, 13)</f>
        <v>43690</v>
      </c>
      <c r="B677" s="10">
        <v>61.3</v>
      </c>
      <c r="C677" s="10">
        <v>60.92</v>
      </c>
      <c r="D677" s="10">
        <v>60.48</v>
      </c>
      <c r="E677" s="10">
        <v>60.15</v>
      </c>
      <c r="F677" s="10">
        <v>59.97</v>
      </c>
      <c r="G677" s="10">
        <v>59.83</v>
      </c>
      <c r="H677" s="10">
        <v>59.7</v>
      </c>
      <c r="I677" s="10">
        <v>59.56</v>
      </c>
      <c r="J677" s="10">
        <v>59.41</v>
      </c>
      <c r="K677" s="10">
        <v>59.26</v>
      </c>
      <c r="L677" s="10">
        <v>59.13</v>
      </c>
      <c r="M677" s="10">
        <v>58.99</v>
      </c>
      <c r="N677" s="10">
        <v>57.1</v>
      </c>
      <c r="O677" s="10">
        <v>57.1</v>
      </c>
      <c r="P677" s="10">
        <v>56.87</v>
      </c>
      <c r="Q677" s="10">
        <v>56.54</v>
      </c>
      <c r="R677" s="10">
        <v>56.19</v>
      </c>
      <c r="S677" s="10">
        <v>55.86</v>
      </c>
      <c r="T677" s="10">
        <v>55.55</v>
      </c>
      <c r="U677" s="10">
        <v>55.26</v>
      </c>
      <c r="V677" s="10">
        <v>54.98</v>
      </c>
      <c r="W677" s="10">
        <v>54.71</v>
      </c>
      <c r="X677" s="10">
        <v>54.46</v>
      </c>
      <c r="Y677" s="10">
        <v>54.23</v>
      </c>
      <c r="Z677" s="11">
        <v>59.875</v>
      </c>
      <c r="AA677" s="11">
        <v>59.399000000000001</v>
      </c>
      <c r="AB677" s="11">
        <v>58.518999999999998</v>
      </c>
      <c r="AC677" s="11">
        <v>57.780999999999999</v>
      </c>
      <c r="AD677" s="11">
        <v>57.177</v>
      </c>
      <c r="AE677" s="11">
        <v>56.823999999999998</v>
      </c>
      <c r="AF677" s="11">
        <v>56.692999999999998</v>
      </c>
      <c r="AG677" s="11">
        <v>56.613</v>
      </c>
      <c r="AH677" s="11">
        <v>56.533000000000001</v>
      </c>
      <c r="AI677" s="11">
        <v>56.433999999999997</v>
      </c>
      <c r="AJ677" s="11">
        <v>56.344000000000001</v>
      </c>
      <c r="AK677" s="11">
        <v>56.234000000000002</v>
      </c>
      <c r="AL677" s="11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</row>
    <row r="678" spans="1:147" x14ac:dyDescent="0.3">
      <c r="A678" s="9">
        <f>DATE(2019, 8, 14)</f>
        <v>43691</v>
      </c>
      <c r="B678" s="10">
        <v>59.48</v>
      </c>
      <c r="C678" s="10">
        <v>59.07</v>
      </c>
      <c r="D678" s="10">
        <v>58.64</v>
      </c>
      <c r="E678" s="10">
        <v>58.32</v>
      </c>
      <c r="F678" s="10">
        <v>58.15</v>
      </c>
      <c r="G678" s="10">
        <v>58.04</v>
      </c>
      <c r="H678" s="10">
        <v>57.94</v>
      </c>
      <c r="I678" s="10">
        <v>57.82</v>
      </c>
      <c r="J678" s="10">
        <v>57.71</v>
      </c>
      <c r="K678" s="10">
        <v>57.59</v>
      </c>
      <c r="L678" s="10">
        <v>57.47</v>
      </c>
      <c r="M678" s="10">
        <v>57.35</v>
      </c>
      <c r="N678" s="10">
        <v>55.23</v>
      </c>
      <c r="O678" s="10">
        <v>55.25</v>
      </c>
      <c r="P678" s="10">
        <v>54.99</v>
      </c>
      <c r="Q678" s="10">
        <v>54.66</v>
      </c>
      <c r="R678" s="10">
        <v>54.33</v>
      </c>
      <c r="S678" s="10">
        <v>54.03</v>
      </c>
      <c r="T678" s="10">
        <v>53.78</v>
      </c>
      <c r="U678" s="10">
        <v>53.55</v>
      </c>
      <c r="V678" s="10">
        <v>53.31</v>
      </c>
      <c r="W678" s="10">
        <v>53.09</v>
      </c>
      <c r="X678" s="10">
        <v>52.88</v>
      </c>
      <c r="Y678" s="10">
        <v>52.68</v>
      </c>
      <c r="Z678" s="11">
        <v>58.747</v>
      </c>
      <c r="AA678" s="11">
        <v>57.56</v>
      </c>
      <c r="AB678" s="11">
        <v>56.735999999999997</v>
      </c>
      <c r="AC678" s="11">
        <v>56.012</v>
      </c>
      <c r="AD678" s="11">
        <v>55.43</v>
      </c>
      <c r="AE678" s="11">
        <v>55.094999999999999</v>
      </c>
      <c r="AF678" s="11">
        <v>54.963999999999999</v>
      </c>
      <c r="AG678" s="11">
        <v>54.905000000000001</v>
      </c>
      <c r="AH678" s="11">
        <v>54.853999999999999</v>
      </c>
      <c r="AI678" s="11">
        <v>54.774000000000001</v>
      </c>
      <c r="AJ678" s="11">
        <v>54.695</v>
      </c>
      <c r="AK678" s="11">
        <v>54.615000000000002</v>
      </c>
      <c r="AL678" s="11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</row>
    <row r="679" spans="1:147" x14ac:dyDescent="0.3">
      <c r="A679" s="9">
        <f>DATE(2019, 8, 15)</f>
        <v>43692</v>
      </c>
      <c r="B679" s="10">
        <v>58.23</v>
      </c>
      <c r="C679" s="10">
        <v>57.79</v>
      </c>
      <c r="D679" s="10">
        <v>57.34</v>
      </c>
      <c r="E679" s="10">
        <v>57.01</v>
      </c>
      <c r="F679" s="10">
        <v>56.84</v>
      </c>
      <c r="G679" s="10">
        <v>56.75</v>
      </c>
      <c r="H679" s="10">
        <v>56.67</v>
      </c>
      <c r="I679" s="10">
        <v>56.58</v>
      </c>
      <c r="J679" s="10">
        <v>56.48</v>
      </c>
      <c r="K679" s="10">
        <v>56.37</v>
      </c>
      <c r="L679" s="10">
        <v>56.28</v>
      </c>
      <c r="M679" s="10">
        <v>56.18</v>
      </c>
      <c r="N679" s="10">
        <v>54.47</v>
      </c>
      <c r="O679" s="10">
        <v>54.42</v>
      </c>
      <c r="P679" s="10">
        <v>54.09</v>
      </c>
      <c r="Q679" s="10">
        <v>53.71</v>
      </c>
      <c r="R679" s="10">
        <v>53.33</v>
      </c>
      <c r="S679" s="10">
        <v>52.99</v>
      </c>
      <c r="T679" s="10">
        <v>52.73</v>
      </c>
      <c r="U679" s="10">
        <v>52.5</v>
      </c>
      <c r="V679" s="10">
        <v>52.28</v>
      </c>
      <c r="W679" s="10">
        <v>52.07</v>
      </c>
      <c r="X679" s="10">
        <v>51.87</v>
      </c>
      <c r="Y679" s="10">
        <v>51.68</v>
      </c>
      <c r="Z679" s="11">
        <v>58.113</v>
      </c>
      <c r="AA679" s="11">
        <v>56.389000000000003</v>
      </c>
      <c r="AB679" s="11">
        <v>55.506</v>
      </c>
      <c r="AC679" s="11">
        <v>54.752000000000002</v>
      </c>
      <c r="AD679" s="11">
        <v>54.140999999999998</v>
      </c>
      <c r="AE679" s="11">
        <v>53.795999999999999</v>
      </c>
      <c r="AF679" s="11">
        <v>53.665999999999997</v>
      </c>
      <c r="AG679" s="11">
        <v>53.594999999999999</v>
      </c>
      <c r="AH679" s="11">
        <v>53.555</v>
      </c>
      <c r="AI679" s="11">
        <v>53.506</v>
      </c>
      <c r="AJ679" s="11">
        <v>53.454999999999998</v>
      </c>
      <c r="AK679" s="11">
        <v>53.396000000000001</v>
      </c>
      <c r="AL679" s="11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</row>
    <row r="680" spans="1:147" x14ac:dyDescent="0.3">
      <c r="A680" s="9">
        <f>DATE(2019, 8, 16)</f>
        <v>43693</v>
      </c>
      <c r="B680" s="10">
        <v>58.64</v>
      </c>
      <c r="C680" s="10">
        <v>58.16</v>
      </c>
      <c r="D680" s="10">
        <v>57.67</v>
      </c>
      <c r="E680" s="10">
        <v>57.32</v>
      </c>
      <c r="F680" s="10">
        <v>57.11</v>
      </c>
      <c r="G680" s="10">
        <v>56.99</v>
      </c>
      <c r="H680" s="10">
        <v>56.88</v>
      </c>
      <c r="I680" s="10">
        <v>56.76</v>
      </c>
      <c r="J680" s="10">
        <v>56.66</v>
      </c>
      <c r="K680" s="10">
        <v>56.54</v>
      </c>
      <c r="L680" s="10">
        <v>56.43</v>
      </c>
      <c r="M680" s="10">
        <v>56.31</v>
      </c>
      <c r="N680" s="10">
        <v>54.87</v>
      </c>
      <c r="O680" s="10">
        <v>54.81</v>
      </c>
      <c r="P680" s="10">
        <v>54.42</v>
      </c>
      <c r="Q680" s="10">
        <v>53.99</v>
      </c>
      <c r="R680" s="10">
        <v>53.56</v>
      </c>
      <c r="S680" s="10">
        <v>53.19</v>
      </c>
      <c r="T680" s="10">
        <v>52.9</v>
      </c>
      <c r="U680" s="10">
        <v>52.65</v>
      </c>
      <c r="V680" s="10">
        <v>52.41</v>
      </c>
      <c r="W680" s="10">
        <v>52.2</v>
      </c>
      <c r="X680" s="10">
        <v>52</v>
      </c>
      <c r="Y680" s="10">
        <v>51.8</v>
      </c>
      <c r="Z680" s="11">
        <v>58.351999999999997</v>
      </c>
      <c r="AA680" s="11">
        <v>56.826999999999998</v>
      </c>
      <c r="AB680" s="11">
        <v>55.854999999999997</v>
      </c>
      <c r="AC680" s="11">
        <v>55.05</v>
      </c>
      <c r="AD680" s="11">
        <v>54.369</v>
      </c>
      <c r="AE680" s="11">
        <v>54.015000000000001</v>
      </c>
      <c r="AF680" s="11">
        <v>53.863999999999997</v>
      </c>
      <c r="AG680" s="11">
        <v>53.784999999999997</v>
      </c>
      <c r="AH680" s="11">
        <v>53.723999999999997</v>
      </c>
      <c r="AI680" s="11">
        <v>53.645000000000003</v>
      </c>
      <c r="AJ680" s="11">
        <v>53.575000000000003</v>
      </c>
      <c r="AK680" s="11">
        <v>53.505000000000003</v>
      </c>
      <c r="AL680" s="11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</row>
    <row r="681" spans="1:147" x14ac:dyDescent="0.3">
      <c r="A681" s="9">
        <f>DATE(2019, 8, 19)</f>
        <v>43696</v>
      </c>
      <c r="B681" s="10">
        <v>59.74</v>
      </c>
      <c r="C681" s="10">
        <v>59.22</v>
      </c>
      <c r="D681" s="10">
        <v>58.7</v>
      </c>
      <c r="E681" s="10">
        <v>58.32</v>
      </c>
      <c r="F681" s="10">
        <v>58.09</v>
      </c>
      <c r="G681" s="10">
        <v>57.95</v>
      </c>
      <c r="H681" s="10">
        <v>57.81</v>
      </c>
      <c r="I681" s="10">
        <v>57.66</v>
      </c>
      <c r="J681" s="10">
        <v>57.53</v>
      </c>
      <c r="K681" s="10">
        <v>57.39</v>
      </c>
      <c r="L681" s="10">
        <v>57.26</v>
      </c>
      <c r="M681" s="10">
        <v>57.12</v>
      </c>
      <c r="N681" s="10">
        <v>56.21</v>
      </c>
      <c r="O681" s="10">
        <v>56.14</v>
      </c>
      <c r="P681" s="10">
        <v>55.71</v>
      </c>
      <c r="Q681" s="10">
        <v>55.21</v>
      </c>
      <c r="R681" s="10">
        <v>54.71</v>
      </c>
      <c r="S681" s="10">
        <v>54.28</v>
      </c>
      <c r="T681" s="10">
        <v>53.93</v>
      </c>
      <c r="U681" s="10">
        <v>53.63</v>
      </c>
      <c r="V681" s="10">
        <v>53.36</v>
      </c>
      <c r="W681" s="10">
        <v>53.11</v>
      </c>
      <c r="X681" s="10">
        <v>52.88</v>
      </c>
      <c r="Y681" s="10">
        <v>52.66</v>
      </c>
      <c r="Z681" s="11">
        <v>58.962000000000003</v>
      </c>
      <c r="AA681" s="11">
        <v>58.104999999999997</v>
      </c>
      <c r="AB681" s="11">
        <v>57.023000000000003</v>
      </c>
      <c r="AC681" s="11">
        <v>56.158999999999999</v>
      </c>
      <c r="AD681" s="11">
        <v>55.396999999999998</v>
      </c>
      <c r="AE681" s="11">
        <v>54.994</v>
      </c>
      <c r="AF681" s="11">
        <v>54.743000000000002</v>
      </c>
      <c r="AG681" s="11">
        <v>54.573999999999998</v>
      </c>
      <c r="AH681" s="11">
        <v>54.493000000000002</v>
      </c>
      <c r="AI681" s="11">
        <v>54.404000000000003</v>
      </c>
      <c r="AJ681" s="11">
        <v>54.323999999999998</v>
      </c>
      <c r="AK681" s="11">
        <v>54.234000000000002</v>
      </c>
      <c r="AL681" s="11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</row>
    <row r="682" spans="1:147" x14ac:dyDescent="0.3">
      <c r="A682" s="9">
        <f>DATE(2019, 8, 20)</f>
        <v>43697</v>
      </c>
      <c r="B682" s="10">
        <v>60.03</v>
      </c>
      <c r="C682" s="10">
        <v>59.58</v>
      </c>
      <c r="D682" s="10">
        <v>59.08</v>
      </c>
      <c r="E682" s="10">
        <v>58.69</v>
      </c>
      <c r="F682" s="10">
        <v>58.45</v>
      </c>
      <c r="G682" s="10">
        <v>58.3</v>
      </c>
      <c r="H682" s="10">
        <v>58.16</v>
      </c>
      <c r="I682" s="10">
        <v>58</v>
      </c>
      <c r="J682" s="10">
        <v>57.87</v>
      </c>
      <c r="K682" s="10">
        <v>57.72</v>
      </c>
      <c r="L682" s="10">
        <v>57.58</v>
      </c>
      <c r="M682" s="10">
        <v>57.44</v>
      </c>
      <c r="N682" s="10">
        <v>56.34</v>
      </c>
      <c r="O682" s="10">
        <v>56.13</v>
      </c>
      <c r="P682" s="10">
        <v>55.8</v>
      </c>
      <c r="Q682" s="10">
        <v>55.34</v>
      </c>
      <c r="R682" s="10">
        <v>54.88</v>
      </c>
      <c r="S682" s="10">
        <v>54.47</v>
      </c>
      <c r="T682" s="10">
        <v>54.12</v>
      </c>
      <c r="U682" s="10">
        <v>53.82</v>
      </c>
      <c r="V682" s="10">
        <v>53.55</v>
      </c>
      <c r="W682" s="10">
        <v>53.32</v>
      </c>
      <c r="X682" s="10">
        <v>53.08</v>
      </c>
      <c r="Y682" s="10">
        <v>52.85</v>
      </c>
      <c r="Z682" s="11">
        <v>59.162999999999997</v>
      </c>
      <c r="AA682" s="11">
        <v>58.636000000000003</v>
      </c>
      <c r="AB682" s="11">
        <v>57.613</v>
      </c>
      <c r="AC682" s="11">
        <v>56.728999999999999</v>
      </c>
      <c r="AD682" s="11">
        <v>55.956000000000003</v>
      </c>
      <c r="AE682" s="11">
        <v>55.494</v>
      </c>
      <c r="AF682" s="11">
        <v>55.241999999999997</v>
      </c>
      <c r="AG682" s="11">
        <v>55.094000000000001</v>
      </c>
      <c r="AH682" s="11">
        <v>54.953000000000003</v>
      </c>
      <c r="AI682" s="11">
        <v>54.832999999999998</v>
      </c>
      <c r="AJ682" s="11">
        <v>54.704000000000001</v>
      </c>
      <c r="AK682" s="11">
        <v>54.603999999999999</v>
      </c>
      <c r="AL682" s="11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</row>
    <row r="683" spans="1:147" x14ac:dyDescent="0.3">
      <c r="A683" s="9">
        <f>DATE(2019, 8, 21)</f>
        <v>43698</v>
      </c>
      <c r="B683" s="10">
        <v>60.3</v>
      </c>
      <c r="C683" s="10">
        <v>59.86</v>
      </c>
      <c r="D683" s="10">
        <v>59.33</v>
      </c>
      <c r="E683" s="10">
        <v>58.92</v>
      </c>
      <c r="F683" s="10">
        <v>58.67</v>
      </c>
      <c r="G683" s="10">
        <v>58.5</v>
      </c>
      <c r="H683" s="10">
        <v>58.35</v>
      </c>
      <c r="I683" s="10">
        <v>58.19</v>
      </c>
      <c r="J683" s="10">
        <v>58.05</v>
      </c>
      <c r="K683" s="10">
        <v>57.9</v>
      </c>
      <c r="L683" s="10">
        <v>57.76</v>
      </c>
      <c r="M683" s="10">
        <v>57.62</v>
      </c>
      <c r="N683" s="10">
        <v>55.68</v>
      </c>
      <c r="O683" s="10">
        <v>55.49</v>
      </c>
      <c r="P683" s="10">
        <v>55.18</v>
      </c>
      <c r="Q683" s="10">
        <v>54.82</v>
      </c>
      <c r="R683" s="10">
        <v>54.47</v>
      </c>
      <c r="S683" s="10">
        <v>54.17</v>
      </c>
      <c r="T683" s="10">
        <v>53.89</v>
      </c>
      <c r="U683" s="10">
        <v>53.64</v>
      </c>
      <c r="V683" s="10">
        <v>53.4</v>
      </c>
      <c r="W683" s="10">
        <v>53.16</v>
      </c>
      <c r="X683" s="10">
        <v>52.94</v>
      </c>
      <c r="Y683" s="10">
        <v>52.74</v>
      </c>
      <c r="Z683" s="11">
        <v>59.4</v>
      </c>
      <c r="AA683" s="11">
        <v>59.155000000000001</v>
      </c>
      <c r="AB683" s="11">
        <v>58.112000000000002</v>
      </c>
      <c r="AC683" s="11">
        <v>57.207999999999998</v>
      </c>
      <c r="AD683" s="11">
        <v>56.384</v>
      </c>
      <c r="AE683" s="11">
        <v>55.853000000000002</v>
      </c>
      <c r="AF683" s="11">
        <v>55.521999999999998</v>
      </c>
      <c r="AG683" s="11">
        <v>55.344000000000001</v>
      </c>
      <c r="AH683" s="11">
        <v>55.213000000000001</v>
      </c>
      <c r="AI683" s="11">
        <v>55.082999999999998</v>
      </c>
      <c r="AJ683" s="11">
        <v>54.973999999999997</v>
      </c>
      <c r="AK683" s="11">
        <v>54.872999999999998</v>
      </c>
      <c r="AL683" s="11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</row>
    <row r="684" spans="1:147" x14ac:dyDescent="0.3">
      <c r="A684" s="9">
        <f>DATE(2019, 8, 22)</f>
        <v>43699</v>
      </c>
      <c r="B684" s="10">
        <v>59.92</v>
      </c>
      <c r="C684" s="10">
        <v>59.5</v>
      </c>
      <c r="D684" s="10">
        <v>58.95</v>
      </c>
      <c r="E684" s="10">
        <v>58.53</v>
      </c>
      <c r="F684" s="10">
        <v>58.28</v>
      </c>
      <c r="G684" s="10">
        <v>58.12</v>
      </c>
      <c r="H684" s="10">
        <v>57.99</v>
      </c>
      <c r="I684" s="10">
        <v>57.85</v>
      </c>
      <c r="J684" s="10">
        <v>57.72</v>
      </c>
      <c r="K684" s="10">
        <v>57.58</v>
      </c>
      <c r="L684" s="10">
        <v>57.46</v>
      </c>
      <c r="M684" s="10">
        <v>57.33</v>
      </c>
      <c r="N684" s="10">
        <v>55.35</v>
      </c>
      <c r="O684" s="10">
        <v>55.16</v>
      </c>
      <c r="P684" s="10">
        <v>54.87</v>
      </c>
      <c r="Q684" s="10">
        <v>54.52</v>
      </c>
      <c r="R684" s="10">
        <v>54.18</v>
      </c>
      <c r="S684" s="10">
        <v>53.87</v>
      </c>
      <c r="T684" s="10">
        <v>53.6</v>
      </c>
      <c r="U684" s="10">
        <v>53.34</v>
      </c>
      <c r="V684" s="10">
        <v>53.11</v>
      </c>
      <c r="W684" s="10">
        <v>52.87</v>
      </c>
      <c r="X684" s="10">
        <v>52.66</v>
      </c>
      <c r="Y684" s="10">
        <v>52.46</v>
      </c>
      <c r="Z684" s="11">
        <v>59.277000000000001</v>
      </c>
      <c r="AA684" s="11">
        <v>58.683999999999997</v>
      </c>
      <c r="AB684" s="11">
        <v>57.661999999999999</v>
      </c>
      <c r="AC684" s="11">
        <v>56.777999999999999</v>
      </c>
      <c r="AD684" s="11">
        <v>56.005000000000003</v>
      </c>
      <c r="AE684" s="11">
        <v>55.473999999999997</v>
      </c>
      <c r="AF684" s="11">
        <v>55.162999999999997</v>
      </c>
      <c r="AG684" s="11">
        <v>55.033999999999999</v>
      </c>
      <c r="AH684" s="11">
        <v>54.923000000000002</v>
      </c>
      <c r="AI684" s="11">
        <v>54.804000000000002</v>
      </c>
      <c r="AJ684" s="11">
        <v>54.683999999999997</v>
      </c>
      <c r="AK684" s="11">
        <v>54.573999999999998</v>
      </c>
      <c r="AL684" s="11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</row>
    <row r="685" spans="1:147" x14ac:dyDescent="0.3">
      <c r="A685" s="9">
        <f>DATE(2019, 8, 23)</f>
        <v>43700</v>
      </c>
      <c r="B685" s="10">
        <v>59.34</v>
      </c>
      <c r="C685" s="10">
        <v>58.8</v>
      </c>
      <c r="D685" s="10">
        <v>58.16</v>
      </c>
      <c r="E685" s="10">
        <v>57.73</v>
      </c>
      <c r="F685" s="10">
        <v>57.47</v>
      </c>
      <c r="G685" s="10">
        <v>57.31</v>
      </c>
      <c r="H685" s="10">
        <v>57.18</v>
      </c>
      <c r="I685" s="10">
        <v>57.06</v>
      </c>
      <c r="J685" s="10">
        <v>56.94</v>
      </c>
      <c r="K685" s="10">
        <v>56.82</v>
      </c>
      <c r="L685" s="10">
        <v>56.72</v>
      </c>
      <c r="M685" s="10">
        <v>56.6</v>
      </c>
      <c r="N685" s="10">
        <v>54.17</v>
      </c>
      <c r="O685" s="10">
        <v>54.02</v>
      </c>
      <c r="P685" s="10">
        <v>53.74</v>
      </c>
      <c r="Q685" s="10">
        <v>53.41</v>
      </c>
      <c r="R685" s="10">
        <v>53.09</v>
      </c>
      <c r="S685" s="10">
        <v>52.82</v>
      </c>
      <c r="T685" s="10">
        <v>52.58</v>
      </c>
      <c r="U685" s="10">
        <v>52.34</v>
      </c>
      <c r="V685" s="10">
        <v>52.13</v>
      </c>
      <c r="W685" s="10">
        <v>51.93</v>
      </c>
      <c r="X685" s="10">
        <v>51.75</v>
      </c>
      <c r="Y685" s="10">
        <v>51.58</v>
      </c>
      <c r="Z685" s="11">
        <v>59.036999999999999</v>
      </c>
      <c r="AA685" s="11">
        <v>57.74</v>
      </c>
      <c r="AB685" s="11">
        <v>56.691000000000003</v>
      </c>
      <c r="AC685" s="11">
        <v>55.878</v>
      </c>
      <c r="AD685" s="11">
        <v>55.115000000000002</v>
      </c>
      <c r="AE685" s="11">
        <v>54.624000000000002</v>
      </c>
      <c r="AF685" s="11">
        <v>54.353999999999999</v>
      </c>
      <c r="AG685" s="11">
        <v>54.244999999999997</v>
      </c>
      <c r="AH685" s="11">
        <v>54.134</v>
      </c>
      <c r="AI685" s="11">
        <v>54.015000000000001</v>
      </c>
      <c r="AJ685" s="11">
        <v>53.914999999999999</v>
      </c>
      <c r="AK685" s="11">
        <v>53.814999999999998</v>
      </c>
      <c r="AL685" s="11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</row>
    <row r="686" spans="1:147" x14ac:dyDescent="0.3">
      <c r="A686" s="9">
        <f>DATE(2019, 8, 26)</f>
        <v>43703</v>
      </c>
      <c r="B686" s="10">
        <v>58.7</v>
      </c>
      <c r="C686" s="10">
        <v>58.12</v>
      </c>
      <c r="D686" s="10">
        <v>57.48</v>
      </c>
      <c r="E686" s="10">
        <v>57.04</v>
      </c>
      <c r="F686" s="10">
        <v>56.79</v>
      </c>
      <c r="G686" s="10">
        <v>56.64</v>
      </c>
      <c r="H686" s="10">
        <v>56.52</v>
      </c>
      <c r="I686" s="10">
        <v>56.42</v>
      </c>
      <c r="J686" s="10">
        <v>56.32</v>
      </c>
      <c r="K686" s="10">
        <v>56.23</v>
      </c>
      <c r="L686" s="10">
        <v>56.15</v>
      </c>
      <c r="M686" s="10">
        <v>56.06</v>
      </c>
      <c r="N686" s="10">
        <v>53.64</v>
      </c>
      <c r="O686" s="10">
        <v>53.5</v>
      </c>
      <c r="P686" s="10">
        <v>53.24</v>
      </c>
      <c r="Q686" s="10">
        <v>52.91</v>
      </c>
      <c r="R686" s="10">
        <v>52.6</v>
      </c>
      <c r="S686" s="10">
        <v>52.34</v>
      </c>
      <c r="T686" s="10">
        <v>52.1</v>
      </c>
      <c r="U686" s="10">
        <v>51.88</v>
      </c>
      <c r="V686" s="10">
        <v>51.68</v>
      </c>
      <c r="W686" s="10">
        <v>51.49</v>
      </c>
      <c r="X686" s="10">
        <v>51.32</v>
      </c>
      <c r="Y686" s="10">
        <v>51.17</v>
      </c>
      <c r="Z686" s="11">
        <v>58.886000000000003</v>
      </c>
      <c r="AA686" s="11">
        <v>57</v>
      </c>
      <c r="AB686" s="11">
        <v>55.981000000000002</v>
      </c>
      <c r="AC686" s="11">
        <v>55.170999999999999</v>
      </c>
      <c r="AD686" s="11">
        <v>54.441000000000003</v>
      </c>
      <c r="AE686" s="11">
        <v>53.945</v>
      </c>
      <c r="AF686" s="11">
        <v>53.685000000000002</v>
      </c>
      <c r="AG686" s="11">
        <v>53.575000000000003</v>
      </c>
      <c r="AH686" s="11">
        <v>53.475999999999999</v>
      </c>
      <c r="AI686" s="11">
        <v>53.386000000000003</v>
      </c>
      <c r="AJ686" s="11">
        <v>53.295999999999999</v>
      </c>
      <c r="AK686" s="11">
        <v>53.216000000000001</v>
      </c>
      <c r="AL686" s="11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</row>
    <row r="687" spans="1:147" x14ac:dyDescent="0.3">
      <c r="A687" s="9">
        <f>DATE(2019, 8, 27)</f>
        <v>43704</v>
      </c>
      <c r="B687" s="10">
        <v>59.51</v>
      </c>
      <c r="C687" s="10">
        <v>59.03</v>
      </c>
      <c r="D687" s="10">
        <v>58.4</v>
      </c>
      <c r="E687" s="10">
        <v>57.98</v>
      </c>
      <c r="F687" s="10">
        <v>57.72</v>
      </c>
      <c r="G687" s="10">
        <v>57.56</v>
      </c>
      <c r="H687" s="10">
        <v>57.43</v>
      </c>
      <c r="I687" s="10">
        <v>57.31</v>
      </c>
      <c r="J687" s="10">
        <v>57.19</v>
      </c>
      <c r="K687" s="10">
        <v>57.07</v>
      </c>
      <c r="L687" s="10">
        <v>56.98</v>
      </c>
      <c r="M687" s="10">
        <v>56.87</v>
      </c>
      <c r="N687" s="10">
        <v>54.93</v>
      </c>
      <c r="O687" s="10">
        <v>54.77</v>
      </c>
      <c r="P687" s="10">
        <v>54.46</v>
      </c>
      <c r="Q687" s="10">
        <v>54.09</v>
      </c>
      <c r="R687" s="10">
        <v>53.75</v>
      </c>
      <c r="S687" s="10">
        <v>53.46</v>
      </c>
      <c r="T687" s="10">
        <v>53.2</v>
      </c>
      <c r="U687" s="10">
        <v>52.96</v>
      </c>
      <c r="V687" s="10">
        <v>52.74</v>
      </c>
      <c r="W687" s="10">
        <v>52.53</v>
      </c>
      <c r="X687" s="10">
        <v>52.34</v>
      </c>
      <c r="Y687" s="10">
        <v>52.17</v>
      </c>
      <c r="Z687" s="11">
        <v>59.030999999999999</v>
      </c>
      <c r="AA687" s="11">
        <v>58.11</v>
      </c>
      <c r="AB687" s="11">
        <v>57.101999999999997</v>
      </c>
      <c r="AC687" s="11">
        <v>56.277999999999999</v>
      </c>
      <c r="AD687" s="11">
        <v>55.555</v>
      </c>
      <c r="AE687" s="11">
        <v>55.084000000000003</v>
      </c>
      <c r="AF687" s="11">
        <v>54.783999999999999</v>
      </c>
      <c r="AG687" s="11">
        <v>54.664999999999999</v>
      </c>
      <c r="AH687" s="11">
        <v>54.543999999999997</v>
      </c>
      <c r="AI687" s="11">
        <v>54.426000000000002</v>
      </c>
      <c r="AJ687" s="11">
        <v>54.325000000000003</v>
      </c>
      <c r="AK687" s="11">
        <v>54.204999999999998</v>
      </c>
      <c r="AL687" s="11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</row>
    <row r="688" spans="1:147" x14ac:dyDescent="0.3">
      <c r="A688" s="9">
        <f>DATE(2019, 8, 28)</f>
        <v>43705</v>
      </c>
      <c r="B688" s="10">
        <v>60.49</v>
      </c>
      <c r="C688" s="10">
        <v>59.93</v>
      </c>
      <c r="D688" s="10">
        <v>59.23</v>
      </c>
      <c r="E688" s="10">
        <v>58.75</v>
      </c>
      <c r="F688" s="10">
        <v>58.47</v>
      </c>
      <c r="G688" s="10">
        <v>58.28</v>
      </c>
      <c r="H688" s="10">
        <v>58.12</v>
      </c>
      <c r="I688" s="10">
        <v>57.97</v>
      </c>
      <c r="J688" s="10">
        <v>57.82</v>
      </c>
      <c r="K688" s="10">
        <v>57.68</v>
      </c>
      <c r="L688" s="10">
        <v>57.55</v>
      </c>
      <c r="M688" s="10">
        <v>57.42</v>
      </c>
      <c r="N688" s="10">
        <v>55.78</v>
      </c>
      <c r="O688" s="10">
        <v>55.6</v>
      </c>
      <c r="P688" s="10">
        <v>55.26</v>
      </c>
      <c r="Q688" s="10">
        <v>54.86</v>
      </c>
      <c r="R688" s="10">
        <v>54.5</v>
      </c>
      <c r="S688" s="10">
        <v>54.2</v>
      </c>
      <c r="T688" s="10">
        <v>53.92</v>
      </c>
      <c r="U688" s="10">
        <v>53.65</v>
      </c>
      <c r="V688" s="10">
        <v>53.4</v>
      </c>
      <c r="W688" s="10">
        <v>53.16</v>
      </c>
      <c r="X688" s="10">
        <v>52.94</v>
      </c>
      <c r="Y688" s="10">
        <v>52.74</v>
      </c>
      <c r="Z688" s="11">
        <v>59.091000000000001</v>
      </c>
      <c r="AA688" s="11">
        <v>58.767000000000003</v>
      </c>
      <c r="AB688" s="11">
        <v>57.768999999999998</v>
      </c>
      <c r="AC688" s="11">
        <v>56.976999999999997</v>
      </c>
      <c r="AD688" s="11">
        <v>56.252000000000002</v>
      </c>
      <c r="AE688" s="11">
        <v>55.753</v>
      </c>
      <c r="AF688" s="11">
        <v>55.433</v>
      </c>
      <c r="AG688" s="11">
        <v>55.292999999999999</v>
      </c>
      <c r="AH688" s="11">
        <v>55.192999999999998</v>
      </c>
      <c r="AI688" s="11">
        <v>55.064</v>
      </c>
      <c r="AJ688" s="11">
        <v>54.923999999999999</v>
      </c>
      <c r="AK688" s="11">
        <v>54.793999999999997</v>
      </c>
      <c r="AL688" s="11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</row>
    <row r="689" spans="1:147" x14ac:dyDescent="0.3">
      <c r="A689" s="9">
        <f>DATE(2019, 8, 29)</f>
        <v>43706</v>
      </c>
      <c r="B689" s="10">
        <v>61.08</v>
      </c>
      <c r="C689" s="10">
        <v>60.49</v>
      </c>
      <c r="D689" s="10">
        <v>59.78</v>
      </c>
      <c r="E689" s="10">
        <v>59.28</v>
      </c>
      <c r="F689" s="10">
        <v>58.98</v>
      </c>
      <c r="G689" s="10">
        <v>58.78</v>
      </c>
      <c r="H689" s="10">
        <v>58.6</v>
      </c>
      <c r="I689" s="10">
        <v>58.42</v>
      </c>
      <c r="J689" s="10">
        <v>58.25</v>
      </c>
      <c r="K689" s="10">
        <v>58.09</v>
      </c>
      <c r="L689" s="10">
        <v>57.94</v>
      </c>
      <c r="M689" s="10">
        <v>57.79</v>
      </c>
      <c r="N689" s="10">
        <v>56.71</v>
      </c>
      <c r="O689" s="10">
        <v>56.45</v>
      </c>
      <c r="P689" s="10">
        <v>56.05</v>
      </c>
      <c r="Q689" s="10">
        <v>55.61</v>
      </c>
      <c r="R689" s="10">
        <v>55.19</v>
      </c>
      <c r="S689" s="10">
        <v>54.8</v>
      </c>
      <c r="T689" s="10">
        <v>54.45</v>
      </c>
      <c r="U689" s="10">
        <v>54.13</v>
      </c>
      <c r="V689" s="10">
        <v>53.83</v>
      </c>
      <c r="W689" s="10">
        <v>53.55</v>
      </c>
      <c r="X689" s="10">
        <v>53.3</v>
      </c>
      <c r="Y689" s="10">
        <v>53.08</v>
      </c>
      <c r="Z689" s="11">
        <v>59.118000000000002</v>
      </c>
      <c r="AA689" s="11">
        <v>59.345999999999997</v>
      </c>
      <c r="AB689" s="11">
        <v>58.328000000000003</v>
      </c>
      <c r="AC689" s="11">
        <v>57.526000000000003</v>
      </c>
      <c r="AD689" s="11">
        <v>56.790999999999997</v>
      </c>
      <c r="AE689" s="11">
        <v>56.252000000000002</v>
      </c>
      <c r="AF689" s="11">
        <v>55.930999999999997</v>
      </c>
      <c r="AG689" s="11">
        <v>55.692</v>
      </c>
      <c r="AH689" s="11">
        <v>55.552</v>
      </c>
      <c r="AI689" s="11">
        <v>55.412999999999997</v>
      </c>
      <c r="AJ689" s="11">
        <v>55.273000000000003</v>
      </c>
      <c r="AK689" s="11">
        <v>55.133000000000003</v>
      </c>
      <c r="AL689" s="11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</row>
    <row r="690" spans="1:147" x14ac:dyDescent="0.3">
      <c r="A690" s="9">
        <f>DATE(2019, 8, 30)</f>
        <v>43707</v>
      </c>
      <c r="B690" s="10">
        <v>60.43</v>
      </c>
      <c r="C690" s="10">
        <v>59.25</v>
      </c>
      <c r="D690" s="10">
        <v>58.46</v>
      </c>
      <c r="E690" s="10">
        <v>57.92</v>
      </c>
      <c r="F690" s="10">
        <v>57.61</v>
      </c>
      <c r="G690" s="10">
        <v>57.41</v>
      </c>
      <c r="H690" s="10">
        <v>57.24</v>
      </c>
      <c r="I690" s="10">
        <v>57.09</v>
      </c>
      <c r="J690" s="10">
        <v>56.93</v>
      </c>
      <c r="K690" s="10">
        <v>56.79</v>
      </c>
      <c r="L690" s="10">
        <v>56.66</v>
      </c>
      <c r="M690" s="10">
        <v>56.53</v>
      </c>
      <c r="N690" s="10">
        <v>55.1</v>
      </c>
      <c r="O690" s="10">
        <v>54.89</v>
      </c>
      <c r="P690" s="10">
        <v>54.56</v>
      </c>
      <c r="Q690" s="10">
        <v>54.16</v>
      </c>
      <c r="R690" s="10">
        <v>53.78</v>
      </c>
      <c r="S690" s="10">
        <v>53.43</v>
      </c>
      <c r="T690" s="10">
        <v>53.1</v>
      </c>
      <c r="U690" s="10">
        <v>52.79</v>
      </c>
      <c r="V690" s="10">
        <v>52.5</v>
      </c>
      <c r="W690" s="10">
        <v>52.23</v>
      </c>
      <c r="X690" s="10">
        <v>51.99</v>
      </c>
      <c r="Y690" s="10">
        <v>51.78</v>
      </c>
      <c r="Z690" s="11">
        <v>59.106000000000002</v>
      </c>
      <c r="AA690" s="11">
        <v>58.072000000000003</v>
      </c>
      <c r="AB690" s="11">
        <v>56.997</v>
      </c>
      <c r="AC690" s="11">
        <v>56.185000000000002</v>
      </c>
      <c r="AD690" s="11">
        <v>55.441000000000003</v>
      </c>
      <c r="AE690" s="11">
        <v>54.902000000000001</v>
      </c>
      <c r="AF690" s="11">
        <v>54.552999999999997</v>
      </c>
      <c r="AG690" s="11">
        <v>54.393000000000001</v>
      </c>
      <c r="AH690" s="11">
        <v>54.273000000000003</v>
      </c>
      <c r="AI690" s="11">
        <v>54.154000000000003</v>
      </c>
      <c r="AJ690" s="11">
        <v>54.033999999999999</v>
      </c>
      <c r="AK690" s="11">
        <v>53.904000000000003</v>
      </c>
      <c r="AL690" s="11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</row>
    <row r="691" spans="1:147" x14ac:dyDescent="0.3">
      <c r="A691" s="9">
        <f>DATE(2019, 9, 2)</f>
        <v>43710</v>
      </c>
      <c r="B691" s="10">
        <v>58.66</v>
      </c>
      <c r="C691" s="10">
        <v>57.86</v>
      </c>
      <c r="D691" s="10">
        <v>57.31</v>
      </c>
      <c r="E691" s="10">
        <v>57</v>
      </c>
      <c r="F691" s="10">
        <v>56.8</v>
      </c>
      <c r="G691" s="10">
        <v>56.65</v>
      </c>
      <c r="H691" s="10">
        <v>56.53</v>
      </c>
      <c r="I691" s="10">
        <v>56.41</v>
      </c>
      <c r="J691" s="10">
        <v>56.3</v>
      </c>
      <c r="K691" s="10">
        <v>56.2</v>
      </c>
      <c r="L691" s="10">
        <v>56.1</v>
      </c>
      <c r="M691" s="10">
        <v>56</v>
      </c>
      <c r="N691" s="10">
        <v>55.1</v>
      </c>
      <c r="O691" s="10">
        <v>54.89</v>
      </c>
      <c r="P691" s="10">
        <v>54.56</v>
      </c>
      <c r="Q691" s="10">
        <v>54.16</v>
      </c>
      <c r="R691" s="10">
        <v>53.78</v>
      </c>
      <c r="S691" s="10">
        <v>53.43</v>
      </c>
      <c r="T691" s="10">
        <v>53.1</v>
      </c>
      <c r="U691" s="10">
        <v>52.79</v>
      </c>
      <c r="V691" s="10">
        <v>52.5</v>
      </c>
      <c r="W691" s="10">
        <v>52.23</v>
      </c>
      <c r="X691" s="10">
        <v>51.99</v>
      </c>
      <c r="Y691" s="10">
        <v>51.78</v>
      </c>
      <c r="Z691" s="11">
        <v>59.106000000000002</v>
      </c>
      <c r="AA691" s="11">
        <v>57.32</v>
      </c>
      <c r="AB691" s="11">
        <v>56.375999999999998</v>
      </c>
      <c r="AC691" s="11">
        <v>55.594999999999999</v>
      </c>
      <c r="AD691" s="11">
        <v>54.841000000000001</v>
      </c>
      <c r="AE691" s="11">
        <v>54.323</v>
      </c>
      <c r="AF691" s="11">
        <v>53.963999999999999</v>
      </c>
      <c r="AG691" s="11">
        <v>53.825000000000003</v>
      </c>
      <c r="AH691" s="11">
        <v>53.715000000000003</v>
      </c>
      <c r="AI691" s="11">
        <v>53.604999999999997</v>
      </c>
      <c r="AJ691" s="11">
        <v>53.505000000000003</v>
      </c>
      <c r="AK691" s="11">
        <v>53.405999999999999</v>
      </c>
      <c r="AL691" s="11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</row>
    <row r="692" spans="1:147" x14ac:dyDescent="0.3">
      <c r="A692" s="9">
        <f>DATE(2019, 9, 3)</f>
        <v>43711</v>
      </c>
      <c r="B692" s="10">
        <v>58.26</v>
      </c>
      <c r="C692" s="10">
        <v>57.47</v>
      </c>
      <c r="D692" s="10">
        <v>56.94</v>
      </c>
      <c r="E692" s="10">
        <v>56.64</v>
      </c>
      <c r="F692" s="10">
        <v>56.45</v>
      </c>
      <c r="G692" s="10">
        <v>56.32</v>
      </c>
      <c r="H692" s="10">
        <v>56.21</v>
      </c>
      <c r="I692" s="10">
        <v>56.09</v>
      </c>
      <c r="J692" s="10">
        <v>55.99</v>
      </c>
      <c r="K692" s="10">
        <v>55.92</v>
      </c>
      <c r="L692" s="10">
        <v>55.84</v>
      </c>
      <c r="M692" s="10">
        <v>55.74</v>
      </c>
      <c r="N692" s="10">
        <v>53.94</v>
      </c>
      <c r="O692" s="10">
        <v>53.76</v>
      </c>
      <c r="P692" s="10">
        <v>53.48</v>
      </c>
      <c r="Q692" s="10">
        <v>53.13</v>
      </c>
      <c r="R692" s="10">
        <v>52.82</v>
      </c>
      <c r="S692" s="10">
        <v>52.52</v>
      </c>
      <c r="T692" s="10">
        <v>52.24</v>
      </c>
      <c r="U692" s="10">
        <v>51.98</v>
      </c>
      <c r="V692" s="10">
        <v>51.74</v>
      </c>
      <c r="W692" s="10">
        <v>51.49</v>
      </c>
      <c r="X692" s="10">
        <v>51.31</v>
      </c>
      <c r="Y692" s="10">
        <v>51.12</v>
      </c>
      <c r="Z692" s="11">
        <v>56.664999999999999</v>
      </c>
      <c r="AA692" s="11">
        <v>55.786999999999999</v>
      </c>
      <c r="AB692" s="11">
        <v>55.055999999999997</v>
      </c>
      <c r="AC692" s="11">
        <v>54.372</v>
      </c>
      <c r="AD692" s="11">
        <v>53.884</v>
      </c>
      <c r="AE692" s="11">
        <v>53.594999999999999</v>
      </c>
      <c r="AF692" s="11">
        <v>53.465000000000003</v>
      </c>
      <c r="AG692" s="11">
        <v>53.365000000000002</v>
      </c>
      <c r="AH692" s="11">
        <v>53.267000000000003</v>
      </c>
      <c r="AI692" s="11">
        <v>53.195999999999998</v>
      </c>
      <c r="AJ692" s="11">
        <v>53.116</v>
      </c>
      <c r="AK692" s="11">
        <v>53.021000000000001</v>
      </c>
      <c r="AL692" s="11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</row>
    <row r="693" spans="1:147" x14ac:dyDescent="0.3">
      <c r="A693" s="9">
        <f>DATE(2019, 9, 4)</f>
        <v>43712</v>
      </c>
      <c r="B693" s="10">
        <v>60.7</v>
      </c>
      <c r="C693" s="10">
        <v>59.83</v>
      </c>
      <c r="D693" s="10">
        <v>59.27</v>
      </c>
      <c r="E693" s="10">
        <v>58.95</v>
      </c>
      <c r="F693" s="10">
        <v>58.74</v>
      </c>
      <c r="G693" s="10">
        <v>58.57</v>
      </c>
      <c r="H693" s="10">
        <v>58.42</v>
      </c>
      <c r="I693" s="10">
        <v>58.27</v>
      </c>
      <c r="J693" s="10">
        <v>58.13</v>
      </c>
      <c r="K693" s="10">
        <v>58.02</v>
      </c>
      <c r="L693" s="10">
        <v>57.91</v>
      </c>
      <c r="M693" s="10">
        <v>57.78</v>
      </c>
      <c r="N693" s="10">
        <v>56.26</v>
      </c>
      <c r="O693" s="10">
        <v>56.1</v>
      </c>
      <c r="P693" s="10">
        <v>55.8</v>
      </c>
      <c r="Q693" s="10">
        <v>55.43</v>
      </c>
      <c r="R693" s="10">
        <v>55.08</v>
      </c>
      <c r="S693" s="10">
        <v>54.75</v>
      </c>
      <c r="T693" s="10">
        <v>54.43</v>
      </c>
      <c r="U693" s="10">
        <v>54.12</v>
      </c>
      <c r="V693" s="10">
        <v>53.84</v>
      </c>
      <c r="W693" s="10">
        <v>53.58</v>
      </c>
      <c r="X693" s="10">
        <v>53.35</v>
      </c>
      <c r="Y693" s="10">
        <v>53.13</v>
      </c>
      <c r="Z693" s="11">
        <v>58.423999999999999</v>
      </c>
      <c r="AA693" s="11">
        <v>57.905999999999999</v>
      </c>
      <c r="AB693" s="11">
        <v>57.185000000000002</v>
      </c>
      <c r="AC693" s="11">
        <v>56.44</v>
      </c>
      <c r="AD693" s="11">
        <v>55.942</v>
      </c>
      <c r="AE693" s="11">
        <v>55.633000000000003</v>
      </c>
      <c r="AF693" s="11">
        <v>55.493000000000002</v>
      </c>
      <c r="AG693" s="11">
        <v>55.372999999999998</v>
      </c>
      <c r="AH693" s="11">
        <v>55.265000000000001</v>
      </c>
      <c r="AI693" s="11">
        <v>55.164999999999999</v>
      </c>
      <c r="AJ693" s="11">
        <v>55.064</v>
      </c>
      <c r="AK693" s="11">
        <v>54.947000000000003</v>
      </c>
      <c r="AL693" s="11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</row>
    <row r="694" spans="1:147" x14ac:dyDescent="0.3">
      <c r="A694" s="9">
        <f>DATE(2019, 9, 5)</f>
        <v>43713</v>
      </c>
      <c r="B694" s="10">
        <v>60.95</v>
      </c>
      <c r="C694" s="10">
        <v>60.04</v>
      </c>
      <c r="D694" s="10">
        <v>59.46</v>
      </c>
      <c r="E694" s="10">
        <v>59.13</v>
      </c>
      <c r="F694" s="10">
        <v>58.91</v>
      </c>
      <c r="G694" s="10">
        <v>58.72</v>
      </c>
      <c r="H694" s="10">
        <v>58.55</v>
      </c>
      <c r="I694" s="10">
        <v>58.38</v>
      </c>
      <c r="J694" s="10">
        <v>58.23</v>
      </c>
      <c r="K694" s="10">
        <v>58.11</v>
      </c>
      <c r="L694" s="10">
        <v>57.99</v>
      </c>
      <c r="M694" s="10">
        <v>57.85</v>
      </c>
      <c r="N694" s="10">
        <v>56.3</v>
      </c>
      <c r="O694" s="10">
        <v>56.16</v>
      </c>
      <c r="P694" s="10">
        <v>55.88</v>
      </c>
      <c r="Q694" s="10">
        <v>55.53</v>
      </c>
      <c r="R694" s="10">
        <v>55.16</v>
      </c>
      <c r="S694" s="10">
        <v>54.8</v>
      </c>
      <c r="T694" s="10">
        <v>54.46</v>
      </c>
      <c r="U694" s="10">
        <v>54.15</v>
      </c>
      <c r="V694" s="10">
        <v>53.84</v>
      </c>
      <c r="W694" s="10">
        <v>53.57</v>
      </c>
      <c r="X694" s="10">
        <v>53.34</v>
      </c>
      <c r="Y694" s="10">
        <v>53.11</v>
      </c>
      <c r="Z694" s="11">
        <v>58.698</v>
      </c>
      <c r="AA694" s="11">
        <v>58.265000000000001</v>
      </c>
      <c r="AB694" s="11">
        <v>57.473999999999997</v>
      </c>
      <c r="AC694" s="11">
        <v>56.679000000000002</v>
      </c>
      <c r="AD694" s="11">
        <v>56.131</v>
      </c>
      <c r="AE694" s="11">
        <v>55.771999999999998</v>
      </c>
      <c r="AF694" s="11">
        <v>55.631999999999998</v>
      </c>
      <c r="AG694" s="11">
        <v>55.503</v>
      </c>
      <c r="AH694" s="11">
        <v>55.393999999999998</v>
      </c>
      <c r="AI694" s="11">
        <v>55.284999999999997</v>
      </c>
      <c r="AJ694" s="11">
        <v>55.154000000000003</v>
      </c>
      <c r="AK694" s="11">
        <v>55.018000000000001</v>
      </c>
      <c r="AL694" s="11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</row>
    <row r="695" spans="1:147" x14ac:dyDescent="0.3">
      <c r="A695" s="9">
        <f>DATE(2019, 9, 6)</f>
        <v>43714</v>
      </c>
      <c r="B695" s="10">
        <v>61.54</v>
      </c>
      <c r="C695" s="10">
        <v>60.57</v>
      </c>
      <c r="D695" s="10">
        <v>59.94</v>
      </c>
      <c r="E695" s="10">
        <v>59.55</v>
      </c>
      <c r="F695" s="10">
        <v>59.29</v>
      </c>
      <c r="G695" s="10">
        <v>59.07</v>
      </c>
      <c r="H695" s="10">
        <v>58.88</v>
      </c>
      <c r="I695" s="10">
        <v>58.68</v>
      </c>
      <c r="J695" s="10">
        <v>58.51</v>
      </c>
      <c r="K695" s="10">
        <v>58.38</v>
      </c>
      <c r="L695" s="10">
        <v>58.24</v>
      </c>
      <c r="M695" s="10">
        <v>58.1</v>
      </c>
      <c r="N695" s="10">
        <v>56.52</v>
      </c>
      <c r="O695" s="10">
        <v>56.43</v>
      </c>
      <c r="P695" s="10">
        <v>56.17</v>
      </c>
      <c r="Q695" s="10">
        <v>55.82</v>
      </c>
      <c r="R695" s="10">
        <v>55.46</v>
      </c>
      <c r="S695" s="10">
        <v>55.1</v>
      </c>
      <c r="T695" s="10">
        <v>54.74</v>
      </c>
      <c r="U695" s="10">
        <v>54.42</v>
      </c>
      <c r="V695" s="10">
        <v>54.12</v>
      </c>
      <c r="W695" s="10">
        <v>53.84</v>
      </c>
      <c r="X695" s="10">
        <v>53.59</v>
      </c>
      <c r="Y695" s="10">
        <v>53.37</v>
      </c>
      <c r="Z695" s="11">
        <v>59.323999999999998</v>
      </c>
      <c r="AA695" s="11">
        <v>58.902999999999999</v>
      </c>
      <c r="AB695" s="11">
        <v>57.970999999999997</v>
      </c>
      <c r="AC695" s="11">
        <v>57.134999999999998</v>
      </c>
      <c r="AD695" s="11">
        <v>56.52</v>
      </c>
      <c r="AE695" s="11">
        <v>56.140999999999998</v>
      </c>
      <c r="AF695" s="11">
        <v>55.970999999999997</v>
      </c>
      <c r="AG695" s="11">
        <v>55.811999999999998</v>
      </c>
      <c r="AH695" s="11">
        <v>55.683999999999997</v>
      </c>
      <c r="AI695" s="11">
        <v>55.564</v>
      </c>
      <c r="AJ695" s="11">
        <v>55.433999999999997</v>
      </c>
      <c r="AK695" s="11">
        <v>55.296999999999997</v>
      </c>
      <c r="AL695" s="11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</row>
    <row r="696" spans="1:147" x14ac:dyDescent="0.3">
      <c r="A696" s="9">
        <f>DATE(2019, 9, 9)</f>
        <v>43717</v>
      </c>
      <c r="B696" s="10">
        <v>62.59</v>
      </c>
      <c r="C696" s="10">
        <v>61.63</v>
      </c>
      <c r="D696" s="10">
        <v>61.01</v>
      </c>
      <c r="E696" s="10">
        <v>60.59</v>
      </c>
      <c r="F696" s="10">
        <v>60.28</v>
      </c>
      <c r="G696" s="10">
        <v>60.02</v>
      </c>
      <c r="H696" s="10">
        <v>59.79</v>
      </c>
      <c r="I696" s="10">
        <v>59.55</v>
      </c>
      <c r="J696" s="10">
        <v>59.35</v>
      </c>
      <c r="K696" s="10">
        <v>59.18</v>
      </c>
      <c r="L696" s="10">
        <v>59</v>
      </c>
      <c r="M696" s="10">
        <v>58.82</v>
      </c>
      <c r="N696" s="10">
        <v>57.85</v>
      </c>
      <c r="O696" s="10">
        <v>57.73</v>
      </c>
      <c r="P696" s="10">
        <v>57.43</v>
      </c>
      <c r="Q696" s="10">
        <v>57.03</v>
      </c>
      <c r="R696" s="10">
        <v>56.6</v>
      </c>
      <c r="S696" s="10">
        <v>56.18</v>
      </c>
      <c r="T696" s="10">
        <v>55.78</v>
      </c>
      <c r="U696" s="10">
        <v>55.41</v>
      </c>
      <c r="V696" s="10">
        <v>55.06</v>
      </c>
      <c r="W696" s="10">
        <v>54.72</v>
      </c>
      <c r="X696" s="10">
        <v>54.43</v>
      </c>
      <c r="Y696" s="10">
        <v>54.15</v>
      </c>
      <c r="Z696" s="11">
        <v>60.222999999999999</v>
      </c>
      <c r="AA696" s="11">
        <v>59.972999999999999</v>
      </c>
      <c r="AB696" s="11">
        <v>58.96</v>
      </c>
      <c r="AC696" s="11">
        <v>58.1</v>
      </c>
      <c r="AD696" s="11">
        <v>57.438000000000002</v>
      </c>
      <c r="AE696" s="11">
        <v>57.058999999999997</v>
      </c>
      <c r="AF696" s="11">
        <v>56.878999999999998</v>
      </c>
      <c r="AG696" s="11">
        <v>56.7</v>
      </c>
      <c r="AH696" s="11">
        <v>56.542000000000002</v>
      </c>
      <c r="AI696" s="11">
        <v>56.402000000000001</v>
      </c>
      <c r="AJ696" s="11">
        <v>56.222000000000001</v>
      </c>
      <c r="AK696" s="11">
        <v>56.033999999999999</v>
      </c>
      <c r="AL696" s="11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</row>
    <row r="697" spans="1:147" x14ac:dyDescent="0.3">
      <c r="A697" s="9">
        <f>DATE(2019, 9, 10)</f>
        <v>43718</v>
      </c>
      <c r="B697" s="10">
        <v>62.38</v>
      </c>
      <c r="C697" s="10">
        <v>61.44</v>
      </c>
      <c r="D697" s="10">
        <v>60.84</v>
      </c>
      <c r="E697" s="10">
        <v>60.44</v>
      </c>
      <c r="F697" s="10">
        <v>60.15</v>
      </c>
      <c r="G697" s="10">
        <v>59.91</v>
      </c>
      <c r="H697" s="10">
        <v>59.7</v>
      </c>
      <c r="I697" s="10">
        <v>59.48</v>
      </c>
      <c r="J697" s="10">
        <v>59.3</v>
      </c>
      <c r="K697" s="10">
        <v>59.15</v>
      </c>
      <c r="L697" s="10">
        <v>59</v>
      </c>
      <c r="M697" s="10">
        <v>58.83</v>
      </c>
      <c r="N697" s="10">
        <v>57.4</v>
      </c>
      <c r="O697" s="10">
        <v>57.29</v>
      </c>
      <c r="P697" s="10">
        <v>57</v>
      </c>
      <c r="Q697" s="10">
        <v>56.6</v>
      </c>
      <c r="R697" s="10">
        <v>56.18</v>
      </c>
      <c r="S697" s="10">
        <v>55.78</v>
      </c>
      <c r="T697" s="10">
        <v>55.38</v>
      </c>
      <c r="U697" s="10">
        <v>55.02</v>
      </c>
      <c r="V697" s="10">
        <v>54.68</v>
      </c>
      <c r="W697" s="10">
        <v>54.36</v>
      </c>
      <c r="X697" s="10">
        <v>54.08</v>
      </c>
      <c r="Y697" s="10">
        <v>53.82</v>
      </c>
      <c r="Z697" s="11">
        <v>59.773000000000003</v>
      </c>
      <c r="AA697" s="11">
        <v>59.463999999999999</v>
      </c>
      <c r="AB697" s="11">
        <v>58.621000000000002</v>
      </c>
      <c r="AC697" s="11">
        <v>57.781999999999996</v>
      </c>
      <c r="AD697" s="11">
        <v>57.139000000000003</v>
      </c>
      <c r="AE697" s="11">
        <v>56.76</v>
      </c>
      <c r="AF697" s="11">
        <v>56.61</v>
      </c>
      <c r="AG697" s="11">
        <v>56.451000000000001</v>
      </c>
      <c r="AH697" s="11">
        <v>56.313000000000002</v>
      </c>
      <c r="AI697" s="11">
        <v>56.203000000000003</v>
      </c>
      <c r="AJ697" s="11">
        <v>56.073</v>
      </c>
      <c r="AK697" s="11">
        <v>55.915999999999997</v>
      </c>
      <c r="AL697" s="11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</row>
    <row r="698" spans="1:147" x14ac:dyDescent="0.3">
      <c r="A698" s="9">
        <f>DATE(2019, 9, 11)</f>
        <v>43719</v>
      </c>
      <c r="B698" s="10">
        <v>60.81</v>
      </c>
      <c r="C698" s="10">
        <v>59.94</v>
      </c>
      <c r="D698" s="10">
        <v>59.38</v>
      </c>
      <c r="E698" s="10">
        <v>59.02</v>
      </c>
      <c r="F698" s="10">
        <v>58.78</v>
      </c>
      <c r="G698" s="10">
        <v>58.6</v>
      </c>
      <c r="H698" s="10">
        <v>58.44</v>
      </c>
      <c r="I698" s="10">
        <v>58.27</v>
      </c>
      <c r="J698" s="10">
        <v>58.13</v>
      </c>
      <c r="K698" s="10">
        <v>58.01</v>
      </c>
      <c r="L698" s="10">
        <v>57.89</v>
      </c>
      <c r="M698" s="10">
        <v>57.76</v>
      </c>
      <c r="N698" s="10">
        <v>55.75</v>
      </c>
      <c r="O698" s="10">
        <v>55.67</v>
      </c>
      <c r="P698" s="10">
        <v>55.44</v>
      </c>
      <c r="Q698" s="10">
        <v>55.12</v>
      </c>
      <c r="R698" s="10">
        <v>54.78</v>
      </c>
      <c r="S698" s="10">
        <v>54.45</v>
      </c>
      <c r="T698" s="10">
        <v>54.12</v>
      </c>
      <c r="U698" s="10">
        <v>53.83</v>
      </c>
      <c r="V698" s="10">
        <v>53.54</v>
      </c>
      <c r="W698" s="10">
        <v>53.27</v>
      </c>
      <c r="X698" s="10">
        <v>53.02</v>
      </c>
      <c r="Y698" s="10">
        <v>52.8</v>
      </c>
      <c r="Z698" s="11">
        <v>58.91</v>
      </c>
      <c r="AA698" s="11">
        <v>58.015999999999998</v>
      </c>
      <c r="AB698" s="11">
        <v>57.133000000000003</v>
      </c>
      <c r="AC698" s="11">
        <v>56.387</v>
      </c>
      <c r="AD698" s="11">
        <v>55.731999999999999</v>
      </c>
      <c r="AE698" s="11">
        <v>55.402000000000001</v>
      </c>
      <c r="AF698" s="11">
        <v>55.241999999999997</v>
      </c>
      <c r="AG698" s="11">
        <v>55.073</v>
      </c>
      <c r="AH698" s="11">
        <v>55.014000000000003</v>
      </c>
      <c r="AI698" s="11">
        <v>54.935000000000002</v>
      </c>
      <c r="AJ698" s="11">
        <v>54.863999999999997</v>
      </c>
      <c r="AK698" s="11">
        <v>54.758000000000003</v>
      </c>
      <c r="AL698" s="11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</row>
    <row r="699" spans="1:147" x14ac:dyDescent="0.3">
      <c r="A699" s="9">
        <f>DATE(2019, 9, 12)</f>
        <v>43720</v>
      </c>
      <c r="B699" s="10">
        <v>60.38</v>
      </c>
      <c r="C699" s="10">
        <v>59.46</v>
      </c>
      <c r="D699" s="10">
        <v>58.87</v>
      </c>
      <c r="E699" s="10">
        <v>58.5</v>
      </c>
      <c r="F699" s="10">
        <v>58.24</v>
      </c>
      <c r="G699" s="10">
        <v>58.07</v>
      </c>
      <c r="H699" s="10">
        <v>57.93</v>
      </c>
      <c r="I699" s="10">
        <v>57.77</v>
      </c>
      <c r="J699" s="10">
        <v>57.65</v>
      </c>
      <c r="K699" s="10">
        <v>57.55</v>
      </c>
      <c r="L699" s="10">
        <v>57.45</v>
      </c>
      <c r="M699" s="10">
        <v>57.32</v>
      </c>
      <c r="N699" s="10">
        <v>55.09</v>
      </c>
      <c r="O699" s="10">
        <v>55.05</v>
      </c>
      <c r="P699" s="10">
        <v>54.86</v>
      </c>
      <c r="Q699" s="10">
        <v>54.57</v>
      </c>
      <c r="R699" s="10">
        <v>54.26</v>
      </c>
      <c r="S699" s="10">
        <v>53.96</v>
      </c>
      <c r="T699" s="10">
        <v>53.67</v>
      </c>
      <c r="U699" s="10">
        <v>53.39</v>
      </c>
      <c r="V699" s="10">
        <v>53.12</v>
      </c>
      <c r="W699" s="10">
        <v>52.86</v>
      </c>
      <c r="X699" s="10">
        <v>52.62</v>
      </c>
      <c r="Y699" s="10">
        <v>52.41</v>
      </c>
      <c r="Z699" s="11">
        <v>58.706000000000003</v>
      </c>
      <c r="AA699" s="11">
        <v>57.573999999999998</v>
      </c>
      <c r="AB699" s="11">
        <v>56.752000000000002</v>
      </c>
      <c r="AC699" s="11">
        <v>55.935000000000002</v>
      </c>
      <c r="AD699" s="11">
        <v>55.241999999999997</v>
      </c>
      <c r="AE699" s="11">
        <v>54.982999999999997</v>
      </c>
      <c r="AF699" s="11">
        <v>54.872999999999998</v>
      </c>
      <c r="AG699" s="11">
        <v>54.753999999999998</v>
      </c>
      <c r="AH699" s="11">
        <v>54.645000000000003</v>
      </c>
      <c r="AI699" s="11">
        <v>54.545000000000002</v>
      </c>
      <c r="AJ699" s="11">
        <v>54.454000000000001</v>
      </c>
      <c r="AK699" s="11">
        <v>54.36</v>
      </c>
      <c r="AL699" s="11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</row>
    <row r="700" spans="1:147" x14ac:dyDescent="0.3">
      <c r="A700" s="9">
        <f>DATE(2019, 9, 13)</f>
        <v>43721</v>
      </c>
      <c r="B700" s="10">
        <v>60.22</v>
      </c>
      <c r="C700" s="10">
        <v>59.25</v>
      </c>
      <c r="D700" s="10">
        <v>58.61</v>
      </c>
      <c r="E700" s="10">
        <v>58.18</v>
      </c>
      <c r="F700" s="10">
        <v>57.88</v>
      </c>
      <c r="G700" s="10">
        <v>57.68</v>
      </c>
      <c r="H700" s="10">
        <v>57.52</v>
      </c>
      <c r="I700" s="10">
        <v>57.36</v>
      </c>
      <c r="J700" s="10">
        <v>57.23</v>
      </c>
      <c r="K700" s="10">
        <v>57.12</v>
      </c>
      <c r="L700" s="10">
        <v>57.01</v>
      </c>
      <c r="M700" s="10">
        <v>56.88</v>
      </c>
      <c r="N700" s="10">
        <v>54.85</v>
      </c>
      <c r="O700" s="10">
        <v>54.8</v>
      </c>
      <c r="P700" s="10">
        <v>54.59</v>
      </c>
      <c r="Q700" s="10">
        <v>54.27</v>
      </c>
      <c r="R700" s="10">
        <v>53.94</v>
      </c>
      <c r="S700" s="10">
        <v>53.61</v>
      </c>
      <c r="T700" s="10">
        <v>53.29</v>
      </c>
      <c r="U700" s="10">
        <v>53</v>
      </c>
      <c r="V700" s="10">
        <v>52.72</v>
      </c>
      <c r="W700" s="10">
        <v>52.45</v>
      </c>
      <c r="X700" s="10">
        <v>52.21</v>
      </c>
      <c r="Y700" s="10">
        <v>51.99</v>
      </c>
      <c r="Z700" s="11">
        <v>58.597999999999999</v>
      </c>
      <c r="AA700" s="11">
        <v>57.372</v>
      </c>
      <c r="AB700" s="11">
        <v>56.42</v>
      </c>
      <c r="AC700" s="11">
        <v>55.540999999999997</v>
      </c>
      <c r="AD700" s="11">
        <v>54.85</v>
      </c>
      <c r="AE700" s="11">
        <v>54.531999999999996</v>
      </c>
      <c r="AF700" s="11">
        <v>54.402999999999999</v>
      </c>
      <c r="AG700" s="11">
        <v>54.283999999999999</v>
      </c>
      <c r="AH700" s="11">
        <v>54.174999999999997</v>
      </c>
      <c r="AI700" s="11">
        <v>54.075000000000003</v>
      </c>
      <c r="AJ700" s="11">
        <v>53.973999999999997</v>
      </c>
      <c r="AK700" s="11">
        <v>53.87</v>
      </c>
      <c r="AL700" s="11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</row>
    <row r="701" spans="1:147" x14ac:dyDescent="0.3">
      <c r="A701" s="9">
        <f>DATE(2019, 9, 16)</f>
        <v>43724</v>
      </c>
      <c r="B701" s="10">
        <v>69.02</v>
      </c>
      <c r="C701" s="10">
        <v>67.680000000000007</v>
      </c>
      <c r="D701" s="10">
        <v>66.55</v>
      </c>
      <c r="E701" s="10">
        <v>65.59</v>
      </c>
      <c r="F701" s="10">
        <v>64.78</v>
      </c>
      <c r="G701" s="10">
        <v>64.069999999999993</v>
      </c>
      <c r="H701" s="10">
        <v>63.45</v>
      </c>
      <c r="I701" s="10">
        <v>62.88</v>
      </c>
      <c r="J701" s="10">
        <v>62.39</v>
      </c>
      <c r="K701" s="10">
        <v>61.97</v>
      </c>
      <c r="L701" s="10">
        <v>61.58</v>
      </c>
      <c r="M701" s="10">
        <v>61.17</v>
      </c>
      <c r="N701" s="10">
        <v>62.9</v>
      </c>
      <c r="O701" s="10">
        <v>62.67</v>
      </c>
      <c r="P701" s="10">
        <v>62.02</v>
      </c>
      <c r="Q701" s="10">
        <v>61.13</v>
      </c>
      <c r="R701" s="10">
        <v>60.22</v>
      </c>
      <c r="S701" s="10">
        <v>59.31</v>
      </c>
      <c r="T701" s="10">
        <v>58.45</v>
      </c>
      <c r="U701" s="10">
        <v>57.68</v>
      </c>
      <c r="V701" s="10">
        <v>56.99</v>
      </c>
      <c r="W701" s="10">
        <v>56.36</v>
      </c>
      <c r="X701" s="10">
        <v>55.79</v>
      </c>
      <c r="Y701" s="10">
        <v>55.31</v>
      </c>
      <c r="Z701" s="11">
        <v>63.118000000000002</v>
      </c>
      <c r="AA701" s="11">
        <v>66.090999999999994</v>
      </c>
      <c r="AB701" s="11">
        <v>64.683999999999997</v>
      </c>
      <c r="AC701" s="11">
        <v>63.273000000000003</v>
      </c>
      <c r="AD701" s="11">
        <v>62.158000000000001</v>
      </c>
      <c r="AE701" s="11">
        <v>61.399000000000001</v>
      </c>
      <c r="AF701" s="11">
        <v>60.774000000000001</v>
      </c>
      <c r="AG701" s="11">
        <v>60.216999999999999</v>
      </c>
      <c r="AH701" s="11">
        <v>59.77</v>
      </c>
      <c r="AI701" s="11">
        <v>59.362000000000002</v>
      </c>
      <c r="AJ701" s="11">
        <v>58.892000000000003</v>
      </c>
      <c r="AK701" s="11">
        <v>58.475000000000001</v>
      </c>
      <c r="AL701" s="11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</row>
    <row r="702" spans="1:147" x14ac:dyDescent="0.3">
      <c r="A702" s="9">
        <f>DATE(2019, 9, 17)</f>
        <v>43725</v>
      </c>
      <c r="B702" s="10">
        <v>64.55</v>
      </c>
      <c r="C702" s="10">
        <v>63.56</v>
      </c>
      <c r="D702" s="10">
        <v>62.7</v>
      </c>
      <c r="E702" s="10">
        <v>62.04</v>
      </c>
      <c r="F702" s="10">
        <v>61.54</v>
      </c>
      <c r="G702" s="10">
        <v>61.11</v>
      </c>
      <c r="H702" s="10">
        <v>60.74</v>
      </c>
      <c r="I702" s="10">
        <v>60.39</v>
      </c>
      <c r="J702" s="10">
        <v>60.1</v>
      </c>
      <c r="K702" s="10">
        <v>59.86</v>
      </c>
      <c r="L702" s="10">
        <v>59.63</v>
      </c>
      <c r="M702" s="10">
        <v>59.39</v>
      </c>
      <c r="N702" s="10">
        <v>59.34</v>
      </c>
      <c r="O702" s="10">
        <v>59.1</v>
      </c>
      <c r="P702" s="10">
        <v>58.57</v>
      </c>
      <c r="Q702" s="10">
        <v>57.92</v>
      </c>
      <c r="R702" s="10">
        <v>57.28</v>
      </c>
      <c r="S702" s="10">
        <v>56.62</v>
      </c>
      <c r="T702" s="10">
        <v>56.03</v>
      </c>
      <c r="U702" s="10">
        <v>55.49</v>
      </c>
      <c r="V702" s="10">
        <v>55</v>
      </c>
      <c r="W702" s="10">
        <v>54.56</v>
      </c>
      <c r="X702" s="10">
        <v>54.16</v>
      </c>
      <c r="Y702" s="10">
        <v>53.83</v>
      </c>
      <c r="Z702" s="11">
        <v>61.392000000000003</v>
      </c>
      <c r="AA702" s="11">
        <v>61.972999999999999</v>
      </c>
      <c r="AB702" s="11">
        <v>60.749000000000002</v>
      </c>
      <c r="AC702" s="11">
        <v>59.622</v>
      </c>
      <c r="AD702" s="11">
        <v>58.79</v>
      </c>
      <c r="AE702" s="11">
        <v>58.381999999999998</v>
      </c>
      <c r="AF702" s="11">
        <v>57.984000000000002</v>
      </c>
      <c r="AG702" s="11">
        <v>57.706000000000003</v>
      </c>
      <c r="AH702" s="11">
        <v>57.439</v>
      </c>
      <c r="AI702" s="11">
        <v>57.18</v>
      </c>
      <c r="AJ702" s="11">
        <v>56.93</v>
      </c>
      <c r="AK702" s="11">
        <v>56.689</v>
      </c>
      <c r="AL702" s="11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</row>
    <row r="703" spans="1:147" x14ac:dyDescent="0.3">
      <c r="A703" s="9">
        <f>DATE(2019, 9, 18)</f>
        <v>43726</v>
      </c>
      <c r="B703" s="10">
        <v>63.6</v>
      </c>
      <c r="C703" s="10">
        <v>62.66</v>
      </c>
      <c r="D703" s="10">
        <v>61.8</v>
      </c>
      <c r="E703" s="10">
        <v>61.18</v>
      </c>
      <c r="F703" s="10">
        <v>60.71</v>
      </c>
      <c r="G703" s="10">
        <v>60.32</v>
      </c>
      <c r="H703" s="10">
        <v>59.99</v>
      </c>
      <c r="I703" s="10">
        <v>59.67</v>
      </c>
      <c r="J703" s="10">
        <v>59.39</v>
      </c>
      <c r="K703" s="10">
        <v>59.14</v>
      </c>
      <c r="L703" s="10">
        <v>58.9</v>
      </c>
      <c r="M703" s="10">
        <v>58.65</v>
      </c>
      <c r="N703" s="10">
        <v>58.11</v>
      </c>
      <c r="O703" s="10">
        <v>58.04</v>
      </c>
      <c r="P703" s="10">
        <v>57.62</v>
      </c>
      <c r="Q703" s="10">
        <v>57.08</v>
      </c>
      <c r="R703" s="10">
        <v>56.56</v>
      </c>
      <c r="S703" s="10">
        <v>56.05</v>
      </c>
      <c r="T703" s="10">
        <v>55.54</v>
      </c>
      <c r="U703" s="10">
        <v>55.03</v>
      </c>
      <c r="V703" s="10">
        <v>54.55</v>
      </c>
      <c r="W703" s="10">
        <v>54.12</v>
      </c>
      <c r="X703" s="10">
        <v>53.71</v>
      </c>
      <c r="Y703" s="10">
        <v>53.35</v>
      </c>
      <c r="Z703" s="11">
        <v>61.170999999999999</v>
      </c>
      <c r="AA703" s="11">
        <v>61.343000000000004</v>
      </c>
      <c r="AB703" s="11">
        <v>60.03</v>
      </c>
      <c r="AC703" s="11">
        <v>58.844999999999999</v>
      </c>
      <c r="AD703" s="11">
        <v>58.031999999999996</v>
      </c>
      <c r="AE703" s="11">
        <v>57.584000000000003</v>
      </c>
      <c r="AF703" s="11">
        <v>57.225000000000001</v>
      </c>
      <c r="AG703" s="11">
        <v>56.966999999999999</v>
      </c>
      <c r="AH703" s="11">
        <v>56.758000000000003</v>
      </c>
      <c r="AI703" s="11">
        <v>56.529000000000003</v>
      </c>
      <c r="AJ703" s="11">
        <v>56.298999999999999</v>
      </c>
      <c r="AK703" s="11">
        <v>56.067</v>
      </c>
      <c r="AL703" s="11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</row>
    <row r="704" spans="1:147" x14ac:dyDescent="0.3">
      <c r="A704" s="9">
        <f>DATE(2019, 9, 19)</f>
        <v>43727</v>
      </c>
      <c r="B704" s="10">
        <v>64.400000000000006</v>
      </c>
      <c r="C704" s="10">
        <v>63.33</v>
      </c>
      <c r="D704" s="10">
        <v>62.39</v>
      </c>
      <c r="E704" s="10">
        <v>61.72</v>
      </c>
      <c r="F704" s="10">
        <v>61.23</v>
      </c>
      <c r="G704" s="10">
        <v>60.81</v>
      </c>
      <c r="H704" s="10">
        <v>60.44</v>
      </c>
      <c r="I704" s="10">
        <v>60.08</v>
      </c>
      <c r="J704" s="10">
        <v>59.76</v>
      </c>
      <c r="K704" s="10">
        <v>59.47</v>
      </c>
      <c r="L704" s="10">
        <v>59.2</v>
      </c>
      <c r="M704" s="10">
        <v>58.92</v>
      </c>
      <c r="N704" s="10">
        <v>58.13</v>
      </c>
      <c r="O704" s="10">
        <v>58.19</v>
      </c>
      <c r="P704" s="10">
        <v>57.91</v>
      </c>
      <c r="Q704" s="10">
        <v>57.43</v>
      </c>
      <c r="R704" s="10">
        <v>56.91</v>
      </c>
      <c r="S704" s="10">
        <v>56.37</v>
      </c>
      <c r="T704" s="10">
        <v>55.85</v>
      </c>
      <c r="U704" s="10">
        <v>55.34</v>
      </c>
      <c r="V704" s="10">
        <v>54.84</v>
      </c>
      <c r="W704" s="10">
        <v>54.36</v>
      </c>
      <c r="X704" s="10">
        <v>53.93</v>
      </c>
      <c r="Y704" s="10">
        <v>53.55</v>
      </c>
      <c r="Z704" s="11">
        <v>61.685000000000002</v>
      </c>
      <c r="AA704" s="11">
        <v>62.639000000000003</v>
      </c>
      <c r="AB704" s="11">
        <v>61.107999999999997</v>
      </c>
      <c r="AC704" s="11">
        <v>59.753</v>
      </c>
      <c r="AD704" s="11">
        <v>58.820999999999998</v>
      </c>
      <c r="AE704" s="11">
        <v>58.341999999999999</v>
      </c>
      <c r="AF704" s="11">
        <v>57.914000000000001</v>
      </c>
      <c r="AG704" s="11">
        <v>57.674999999999997</v>
      </c>
      <c r="AH704" s="11">
        <v>57.426000000000002</v>
      </c>
      <c r="AI704" s="11">
        <v>57.177999999999997</v>
      </c>
      <c r="AJ704" s="11">
        <v>56.917999999999999</v>
      </c>
      <c r="AK704" s="11">
        <v>56.664999999999999</v>
      </c>
      <c r="AL704" s="11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</row>
    <row r="705" spans="1:147" x14ac:dyDescent="0.3">
      <c r="A705" s="9">
        <f>DATE(2019, 9, 20)</f>
        <v>43728</v>
      </c>
      <c r="B705" s="10">
        <v>64.28</v>
      </c>
      <c r="C705" s="10">
        <v>63.2</v>
      </c>
      <c r="D705" s="10">
        <v>62.2</v>
      </c>
      <c r="E705" s="10">
        <v>61.52</v>
      </c>
      <c r="F705" s="10">
        <v>61.02</v>
      </c>
      <c r="G705" s="10">
        <v>60.62</v>
      </c>
      <c r="H705" s="10">
        <v>60.27</v>
      </c>
      <c r="I705" s="10">
        <v>59.94</v>
      </c>
      <c r="J705" s="10">
        <v>59.64</v>
      </c>
      <c r="K705" s="10">
        <v>59.38</v>
      </c>
      <c r="L705" s="10">
        <v>59.12</v>
      </c>
      <c r="M705" s="10">
        <v>58.86</v>
      </c>
      <c r="N705" s="10">
        <v>58.09</v>
      </c>
      <c r="O705" s="10">
        <v>58.09</v>
      </c>
      <c r="P705" s="10">
        <v>57.84</v>
      </c>
      <c r="Q705" s="10">
        <v>57.39</v>
      </c>
      <c r="R705" s="10">
        <v>56.9</v>
      </c>
      <c r="S705" s="10">
        <v>56.38</v>
      </c>
      <c r="T705" s="10">
        <v>55.84</v>
      </c>
      <c r="U705" s="10">
        <v>55.31</v>
      </c>
      <c r="V705" s="10">
        <v>54.8</v>
      </c>
      <c r="W705" s="10">
        <v>54.32</v>
      </c>
      <c r="X705" s="10">
        <v>53.89</v>
      </c>
      <c r="Y705" s="10">
        <v>53.52</v>
      </c>
      <c r="Z705" s="11">
        <v>61.506</v>
      </c>
      <c r="AA705" s="11">
        <v>62.226999999999997</v>
      </c>
      <c r="AB705" s="11">
        <v>60.698</v>
      </c>
      <c r="AC705" s="11">
        <v>59.402000000000001</v>
      </c>
      <c r="AD705" s="11">
        <v>58.472000000000001</v>
      </c>
      <c r="AE705" s="11">
        <v>58.063000000000002</v>
      </c>
      <c r="AF705" s="11">
        <v>57.664999999999999</v>
      </c>
      <c r="AG705" s="11">
        <v>57.386000000000003</v>
      </c>
      <c r="AH705" s="11">
        <v>57.106999999999999</v>
      </c>
      <c r="AI705" s="11">
        <v>56.878</v>
      </c>
      <c r="AJ705" s="11">
        <v>56.649000000000001</v>
      </c>
      <c r="AK705" s="11">
        <v>56.427</v>
      </c>
      <c r="AL705" s="11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</row>
    <row r="706" spans="1:147" x14ac:dyDescent="0.3">
      <c r="A706" s="9">
        <f>DATE(2019, 9, 23)</f>
        <v>43731</v>
      </c>
      <c r="B706" s="10">
        <v>64.77</v>
      </c>
      <c r="C706" s="10">
        <v>63.73</v>
      </c>
      <c r="D706" s="10">
        <v>62.69</v>
      </c>
      <c r="E706" s="10">
        <v>61.97</v>
      </c>
      <c r="F706" s="10">
        <v>61.45</v>
      </c>
      <c r="G706" s="10">
        <v>61.06</v>
      </c>
      <c r="H706" s="10">
        <v>60.74</v>
      </c>
      <c r="I706" s="10">
        <v>60.44</v>
      </c>
      <c r="J706" s="10">
        <v>60.17</v>
      </c>
      <c r="K706" s="10">
        <v>59.93</v>
      </c>
      <c r="L706" s="10">
        <v>59.7</v>
      </c>
      <c r="M706" s="10">
        <v>59.46</v>
      </c>
      <c r="N706" s="10">
        <v>58.64</v>
      </c>
      <c r="O706" s="10">
        <v>58.42</v>
      </c>
      <c r="P706" s="10">
        <v>57.96</v>
      </c>
      <c r="Q706" s="10">
        <v>57.45</v>
      </c>
      <c r="R706" s="10">
        <v>56.93</v>
      </c>
      <c r="S706" s="10">
        <v>56.42</v>
      </c>
      <c r="T706" s="10">
        <v>55.92</v>
      </c>
      <c r="U706" s="10">
        <v>55.44</v>
      </c>
      <c r="V706" s="10">
        <v>54.99</v>
      </c>
      <c r="W706" s="10">
        <v>54.59</v>
      </c>
      <c r="X706" s="10">
        <v>54.25</v>
      </c>
      <c r="Y706" s="10">
        <v>53.96</v>
      </c>
      <c r="Z706" s="11">
        <v>61.64</v>
      </c>
      <c r="AA706" s="11">
        <v>62.585000000000001</v>
      </c>
      <c r="AB706" s="11">
        <v>61.095999999999997</v>
      </c>
      <c r="AC706" s="11">
        <v>59.79</v>
      </c>
      <c r="AD706" s="11">
        <v>58.832000000000001</v>
      </c>
      <c r="AE706" s="11">
        <v>58.393999999999998</v>
      </c>
      <c r="AF706" s="11">
        <v>58.045999999999999</v>
      </c>
      <c r="AG706" s="11">
        <v>57.826999999999998</v>
      </c>
      <c r="AH706" s="11">
        <v>57.609000000000002</v>
      </c>
      <c r="AI706" s="11">
        <v>57.41</v>
      </c>
      <c r="AJ706" s="11">
        <v>57.21</v>
      </c>
      <c r="AK706" s="11">
        <v>56.999000000000002</v>
      </c>
      <c r="AL706" s="11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</row>
    <row r="707" spans="1:147" x14ac:dyDescent="0.3">
      <c r="A707" s="9">
        <f>DATE(2019, 9, 24)</f>
        <v>43732</v>
      </c>
      <c r="B707" s="10">
        <v>63.1</v>
      </c>
      <c r="C707" s="10">
        <v>62.12</v>
      </c>
      <c r="D707" s="10">
        <v>61.16</v>
      </c>
      <c r="E707" s="10">
        <v>60.49</v>
      </c>
      <c r="F707" s="10">
        <v>60.03</v>
      </c>
      <c r="G707" s="10">
        <v>59.68</v>
      </c>
      <c r="H707" s="10">
        <v>59.39</v>
      </c>
      <c r="I707" s="10">
        <v>59.12</v>
      </c>
      <c r="J707" s="10">
        <v>58.88</v>
      </c>
      <c r="K707" s="10">
        <v>58.7</v>
      </c>
      <c r="L707" s="10">
        <v>58.52</v>
      </c>
      <c r="M707" s="10">
        <v>58.32</v>
      </c>
      <c r="N707" s="10">
        <v>57.29</v>
      </c>
      <c r="O707" s="10">
        <v>57.08</v>
      </c>
      <c r="P707" s="10">
        <v>56.63</v>
      </c>
      <c r="Q707" s="10">
        <v>56.14</v>
      </c>
      <c r="R707" s="10">
        <v>55.64</v>
      </c>
      <c r="S707" s="10">
        <v>55.14</v>
      </c>
      <c r="T707" s="10">
        <v>54.68</v>
      </c>
      <c r="U707" s="10">
        <v>54.24</v>
      </c>
      <c r="V707" s="10">
        <v>53.82</v>
      </c>
      <c r="W707" s="10">
        <v>53.46</v>
      </c>
      <c r="X707" s="10">
        <v>53.16</v>
      </c>
      <c r="Y707" s="10">
        <v>52.91</v>
      </c>
      <c r="Z707" s="11">
        <v>61.581000000000003</v>
      </c>
      <c r="AA707" s="11">
        <v>60.927999999999997</v>
      </c>
      <c r="AB707" s="11">
        <v>59.508000000000003</v>
      </c>
      <c r="AC707" s="11">
        <v>58.235999999999997</v>
      </c>
      <c r="AD707" s="11">
        <v>57.283999999999999</v>
      </c>
      <c r="AE707" s="11">
        <v>56.866</v>
      </c>
      <c r="AF707" s="11">
        <v>56.567999999999998</v>
      </c>
      <c r="AG707" s="11">
        <v>56.389000000000003</v>
      </c>
      <c r="AH707" s="11">
        <v>56.210999999999999</v>
      </c>
      <c r="AI707" s="11">
        <v>56.042000000000002</v>
      </c>
      <c r="AJ707" s="11">
        <v>55.871000000000002</v>
      </c>
      <c r="AK707" s="11">
        <v>55.704000000000001</v>
      </c>
      <c r="AL707" s="11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</row>
    <row r="708" spans="1:147" x14ac:dyDescent="0.3">
      <c r="A708" s="9">
        <f>DATE(2019, 9, 25)</f>
        <v>43733</v>
      </c>
      <c r="B708" s="10">
        <v>62.39</v>
      </c>
      <c r="C708" s="10">
        <v>61.43</v>
      </c>
      <c r="D708" s="10">
        <v>60.53</v>
      </c>
      <c r="E708" s="10">
        <v>59.88</v>
      </c>
      <c r="F708" s="10">
        <v>59.43</v>
      </c>
      <c r="G708" s="10">
        <v>59.07</v>
      </c>
      <c r="H708" s="10">
        <v>58.78</v>
      </c>
      <c r="I708" s="10">
        <v>58.51</v>
      </c>
      <c r="J708" s="10">
        <v>58.28</v>
      </c>
      <c r="K708" s="10">
        <v>58.1</v>
      </c>
      <c r="L708" s="10">
        <v>57.93</v>
      </c>
      <c r="M708" s="10">
        <v>57.74</v>
      </c>
      <c r="N708" s="10">
        <v>56.49</v>
      </c>
      <c r="O708" s="10">
        <v>56.32</v>
      </c>
      <c r="P708" s="10">
        <v>55.93</v>
      </c>
      <c r="Q708" s="10">
        <v>55.47</v>
      </c>
      <c r="R708" s="10">
        <v>55</v>
      </c>
      <c r="S708" s="10">
        <v>54.54</v>
      </c>
      <c r="T708" s="10">
        <v>54.11</v>
      </c>
      <c r="U708" s="10">
        <v>53.69</v>
      </c>
      <c r="V708" s="10">
        <v>53.3</v>
      </c>
      <c r="W708" s="10">
        <v>52.96</v>
      </c>
      <c r="X708" s="10">
        <v>52.66</v>
      </c>
      <c r="Y708" s="10">
        <v>52.43</v>
      </c>
      <c r="Z708" s="11">
        <v>61.161999999999999</v>
      </c>
      <c r="AA708" s="11">
        <v>60.290999999999997</v>
      </c>
      <c r="AB708" s="11">
        <v>58.889000000000003</v>
      </c>
      <c r="AC708" s="11">
        <v>57.656999999999996</v>
      </c>
      <c r="AD708" s="11">
        <v>56.683999999999997</v>
      </c>
      <c r="AE708" s="11">
        <v>56.265999999999998</v>
      </c>
      <c r="AF708" s="11">
        <v>55.927999999999997</v>
      </c>
      <c r="AG708" s="11">
        <v>55.728999999999999</v>
      </c>
      <c r="AH708" s="11">
        <v>55.540999999999997</v>
      </c>
      <c r="AI708" s="11">
        <v>55.392000000000003</v>
      </c>
      <c r="AJ708" s="11">
        <v>55.252000000000002</v>
      </c>
      <c r="AK708" s="11">
        <v>55.115000000000002</v>
      </c>
      <c r="AL708" s="11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</row>
    <row r="709" spans="1:147" x14ac:dyDescent="0.3">
      <c r="A709" s="9">
        <f>DATE(2019, 9, 26)</f>
        <v>43734</v>
      </c>
      <c r="B709" s="10">
        <v>62.74</v>
      </c>
      <c r="C709" s="10">
        <v>61.74</v>
      </c>
      <c r="D709" s="10">
        <v>60.86</v>
      </c>
      <c r="E709" s="10">
        <v>60.21</v>
      </c>
      <c r="F709" s="10">
        <v>59.72</v>
      </c>
      <c r="G709" s="10">
        <v>59.31</v>
      </c>
      <c r="H709" s="10">
        <v>58.98</v>
      </c>
      <c r="I709" s="10">
        <v>58.69</v>
      </c>
      <c r="J709" s="10">
        <v>58.43</v>
      </c>
      <c r="K709" s="10">
        <v>58.23</v>
      </c>
      <c r="L709" s="10">
        <v>58.05</v>
      </c>
      <c r="M709" s="10">
        <v>57.86</v>
      </c>
      <c r="N709" s="10">
        <v>56.41</v>
      </c>
      <c r="O709" s="10">
        <v>56.28</v>
      </c>
      <c r="P709" s="10">
        <v>55.9</v>
      </c>
      <c r="Q709" s="10">
        <v>55.45</v>
      </c>
      <c r="R709" s="10">
        <v>54.95</v>
      </c>
      <c r="S709" s="10">
        <v>54.45</v>
      </c>
      <c r="T709" s="10">
        <v>53.99</v>
      </c>
      <c r="U709" s="10">
        <v>53.56</v>
      </c>
      <c r="V709" s="10">
        <v>53.15</v>
      </c>
      <c r="W709" s="10">
        <v>52.81</v>
      </c>
      <c r="X709" s="10">
        <v>52.53</v>
      </c>
      <c r="Y709" s="10">
        <v>52.3</v>
      </c>
      <c r="Z709" s="11">
        <v>61.170999999999999</v>
      </c>
      <c r="AA709" s="11">
        <v>60.682000000000002</v>
      </c>
      <c r="AB709" s="11">
        <v>59.268999999999998</v>
      </c>
      <c r="AC709" s="11">
        <v>58.042999999999999</v>
      </c>
      <c r="AD709" s="11">
        <v>57.011000000000003</v>
      </c>
      <c r="AE709" s="11">
        <v>56.543999999999997</v>
      </c>
      <c r="AF709" s="11">
        <v>56.127000000000002</v>
      </c>
      <c r="AG709" s="11">
        <v>55.887999999999998</v>
      </c>
      <c r="AH709" s="11">
        <v>55.69</v>
      </c>
      <c r="AI709" s="11">
        <v>55.512</v>
      </c>
      <c r="AJ709" s="11">
        <v>55.351999999999997</v>
      </c>
      <c r="AK709" s="11">
        <v>55.204999999999998</v>
      </c>
      <c r="AL709" s="11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</row>
    <row r="710" spans="1:147" x14ac:dyDescent="0.3">
      <c r="A710" s="9">
        <f>DATE(2019, 9, 27)</f>
        <v>43735</v>
      </c>
      <c r="B710" s="10">
        <v>61.91</v>
      </c>
      <c r="C710" s="10">
        <v>61.04</v>
      </c>
      <c r="D710" s="10">
        <v>60.19</v>
      </c>
      <c r="E710" s="10">
        <v>59.55</v>
      </c>
      <c r="F710" s="10">
        <v>59.08</v>
      </c>
      <c r="G710" s="10">
        <v>58.7</v>
      </c>
      <c r="H710" s="10">
        <v>58.39</v>
      </c>
      <c r="I710" s="10">
        <v>58.12</v>
      </c>
      <c r="J710" s="10">
        <v>57.89</v>
      </c>
      <c r="K710" s="10">
        <v>57.71</v>
      </c>
      <c r="L710" s="10">
        <v>57.54</v>
      </c>
      <c r="M710" s="10">
        <v>57.36</v>
      </c>
      <c r="N710" s="10">
        <v>55.91</v>
      </c>
      <c r="O710" s="10">
        <v>55.79</v>
      </c>
      <c r="P710" s="10">
        <v>55.43</v>
      </c>
      <c r="Q710" s="10">
        <v>54.98</v>
      </c>
      <c r="R710" s="10">
        <v>54.49</v>
      </c>
      <c r="S710" s="10">
        <v>54</v>
      </c>
      <c r="T710" s="10">
        <v>53.56</v>
      </c>
      <c r="U710" s="10">
        <v>53.14</v>
      </c>
      <c r="V710" s="10">
        <v>52.76</v>
      </c>
      <c r="W710" s="10">
        <v>52.43</v>
      </c>
      <c r="X710" s="10">
        <v>52.16</v>
      </c>
      <c r="Y710" s="10">
        <v>51.95</v>
      </c>
      <c r="Z710" s="11">
        <v>61.137</v>
      </c>
      <c r="AA710" s="11">
        <v>59.872999999999998</v>
      </c>
      <c r="AB710" s="11">
        <v>58.55</v>
      </c>
      <c r="AC710" s="11">
        <v>57.335000000000001</v>
      </c>
      <c r="AD710" s="11">
        <v>56.332999999999998</v>
      </c>
      <c r="AE710" s="11">
        <v>55.844999999999999</v>
      </c>
      <c r="AF710" s="11">
        <v>55.497999999999998</v>
      </c>
      <c r="AG710" s="11">
        <v>55.279000000000003</v>
      </c>
      <c r="AH710" s="11">
        <v>55.110999999999997</v>
      </c>
      <c r="AI710" s="11">
        <v>54.962000000000003</v>
      </c>
      <c r="AJ710" s="11">
        <v>54.822000000000003</v>
      </c>
      <c r="AK710" s="11">
        <v>54.683999999999997</v>
      </c>
      <c r="AL710" s="11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</row>
    <row r="711" spans="1:147" x14ac:dyDescent="0.3">
      <c r="A711" s="9">
        <f>DATE(2019, 9, 30)</f>
        <v>43738</v>
      </c>
      <c r="B711" s="10">
        <v>60.78</v>
      </c>
      <c r="C711" s="10">
        <v>59.25</v>
      </c>
      <c r="D711" s="10">
        <v>58.48</v>
      </c>
      <c r="E711" s="10">
        <v>57.94</v>
      </c>
      <c r="F711" s="10">
        <v>57.56</v>
      </c>
      <c r="G711" s="10">
        <v>57.26</v>
      </c>
      <c r="H711" s="10">
        <v>57.03</v>
      </c>
      <c r="I711" s="10">
        <v>56.83</v>
      </c>
      <c r="J711" s="10">
        <v>56.64</v>
      </c>
      <c r="K711" s="10">
        <v>56.5</v>
      </c>
      <c r="L711" s="10">
        <v>56.36</v>
      </c>
      <c r="M711" s="10">
        <v>56.21</v>
      </c>
      <c r="N711" s="10">
        <v>54.07</v>
      </c>
      <c r="O711" s="10">
        <v>53.98</v>
      </c>
      <c r="P711" s="10">
        <v>53.7</v>
      </c>
      <c r="Q711" s="10">
        <v>53.32</v>
      </c>
      <c r="R711" s="10">
        <v>52.9</v>
      </c>
      <c r="S711" s="10">
        <v>52.49</v>
      </c>
      <c r="T711" s="10">
        <v>52.12</v>
      </c>
      <c r="U711" s="10">
        <v>51.77</v>
      </c>
      <c r="V711" s="10">
        <v>51.45</v>
      </c>
      <c r="W711" s="10">
        <v>51.17</v>
      </c>
      <c r="X711" s="10">
        <v>50.94</v>
      </c>
      <c r="Y711" s="10">
        <v>50.76</v>
      </c>
      <c r="Z711" s="11">
        <v>61.115000000000002</v>
      </c>
      <c r="AA711" s="11">
        <v>58.057000000000002</v>
      </c>
      <c r="AB711" s="11">
        <v>56.793999999999997</v>
      </c>
      <c r="AC711" s="11">
        <v>55.723999999999997</v>
      </c>
      <c r="AD711" s="11">
        <v>54.793999999999997</v>
      </c>
      <c r="AE711" s="11">
        <v>54.344000000000001</v>
      </c>
      <c r="AF711" s="11">
        <v>54.043999999999997</v>
      </c>
      <c r="AG711" s="11">
        <v>53.893999999999998</v>
      </c>
      <c r="AH711" s="11">
        <v>53.744</v>
      </c>
      <c r="AI711" s="11">
        <v>53.673999999999999</v>
      </c>
      <c r="AJ711" s="11">
        <v>53.593000000000004</v>
      </c>
      <c r="AK711" s="11">
        <v>53.518000000000001</v>
      </c>
      <c r="AL711" s="11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</row>
    <row r="712" spans="1:147" x14ac:dyDescent="0.3">
      <c r="A712" s="9">
        <f>DATE(2019, 10, 1)</f>
        <v>43739</v>
      </c>
      <c r="B712" s="10">
        <v>58.89</v>
      </c>
      <c r="C712" s="10">
        <v>58.17</v>
      </c>
      <c r="D712" s="10">
        <v>57.68</v>
      </c>
      <c r="E712" s="10">
        <v>57.35</v>
      </c>
      <c r="F712" s="10">
        <v>57.1</v>
      </c>
      <c r="G712" s="10">
        <v>56.91</v>
      </c>
      <c r="H712" s="10">
        <v>56.74</v>
      </c>
      <c r="I712" s="10">
        <v>56.56</v>
      </c>
      <c r="J712" s="10">
        <v>56.43</v>
      </c>
      <c r="K712" s="10">
        <v>56.3</v>
      </c>
      <c r="L712" s="10">
        <v>56.16</v>
      </c>
      <c r="M712" s="10">
        <v>56.04</v>
      </c>
      <c r="N712" s="10">
        <v>53.62</v>
      </c>
      <c r="O712" s="10">
        <v>53.5</v>
      </c>
      <c r="P712" s="10">
        <v>53.24</v>
      </c>
      <c r="Q712" s="10">
        <v>52.91</v>
      </c>
      <c r="R712" s="10">
        <v>52.54</v>
      </c>
      <c r="S712" s="10">
        <v>52.15</v>
      </c>
      <c r="T712" s="10">
        <v>51.81</v>
      </c>
      <c r="U712" s="10">
        <v>51.5</v>
      </c>
      <c r="V712" s="10">
        <v>51.22</v>
      </c>
      <c r="W712" s="10">
        <v>50.97</v>
      </c>
      <c r="X712" s="10">
        <v>50.77</v>
      </c>
      <c r="Y712" s="10">
        <v>50.61</v>
      </c>
      <c r="Z712" s="11">
        <v>61.115000000000002</v>
      </c>
      <c r="AA712" s="11">
        <v>58.262</v>
      </c>
      <c r="AB712" s="11">
        <v>56.847000000000001</v>
      </c>
      <c r="AC712" s="11">
        <v>55.731999999999999</v>
      </c>
      <c r="AD712" s="11">
        <v>54.762</v>
      </c>
      <c r="AE712" s="11">
        <v>54.302</v>
      </c>
      <c r="AF712" s="11">
        <v>53.972000000000001</v>
      </c>
      <c r="AG712" s="11">
        <v>53.831000000000003</v>
      </c>
      <c r="AH712" s="11">
        <v>53.704000000000001</v>
      </c>
      <c r="AI712" s="11">
        <v>53.658999999999999</v>
      </c>
      <c r="AJ712" s="11">
        <v>53.564</v>
      </c>
      <c r="AK712" s="11">
        <v>53.478999999999999</v>
      </c>
      <c r="AL712" s="11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</row>
    <row r="713" spans="1:147" x14ac:dyDescent="0.3">
      <c r="A713" s="9">
        <f>DATE(2019, 10, 2)</f>
        <v>43740</v>
      </c>
      <c r="B713" s="10">
        <v>57.69</v>
      </c>
      <c r="C713" s="10">
        <v>57.04</v>
      </c>
      <c r="D713" s="10">
        <v>56.6</v>
      </c>
      <c r="E713" s="10">
        <v>56.33</v>
      </c>
      <c r="F713" s="10">
        <v>56.14</v>
      </c>
      <c r="G713" s="10">
        <v>56.01</v>
      </c>
      <c r="H713" s="10">
        <v>55.88</v>
      </c>
      <c r="I713" s="10">
        <v>55.74</v>
      </c>
      <c r="J713" s="10">
        <v>55.65</v>
      </c>
      <c r="K713" s="10">
        <v>55.56</v>
      </c>
      <c r="L713" s="10">
        <v>55.46</v>
      </c>
      <c r="M713" s="10">
        <v>55.38</v>
      </c>
      <c r="N713" s="10">
        <v>52.64</v>
      </c>
      <c r="O713" s="10">
        <v>52.51</v>
      </c>
      <c r="P713" s="10">
        <v>52.25</v>
      </c>
      <c r="Q713" s="10">
        <v>51.95</v>
      </c>
      <c r="R713" s="10">
        <v>51.63</v>
      </c>
      <c r="S713" s="10">
        <v>51.31</v>
      </c>
      <c r="T713" s="10">
        <v>51.02</v>
      </c>
      <c r="U713" s="10">
        <v>50.75</v>
      </c>
      <c r="V713" s="10">
        <v>50.51</v>
      </c>
      <c r="W713" s="10">
        <v>50.3</v>
      </c>
      <c r="X713" s="10">
        <v>50.13</v>
      </c>
      <c r="Y713" s="10">
        <v>49.99</v>
      </c>
      <c r="Z713" s="11">
        <v>57.392000000000003</v>
      </c>
      <c r="AA713" s="11">
        <v>55.838999999999999</v>
      </c>
      <c r="AB713" s="11">
        <v>54.753999999999998</v>
      </c>
      <c r="AC713" s="11">
        <v>53.801000000000002</v>
      </c>
      <c r="AD713" s="11">
        <v>53.353999999999999</v>
      </c>
      <c r="AE713" s="11">
        <v>53.043999999999997</v>
      </c>
      <c r="AF713" s="11">
        <v>52.923999999999999</v>
      </c>
      <c r="AG713" s="11">
        <v>52.814</v>
      </c>
      <c r="AH713" s="11">
        <v>52.725999999999999</v>
      </c>
      <c r="AI713" s="11">
        <v>52.765999999999998</v>
      </c>
      <c r="AJ713" s="11">
        <v>52.811999999999998</v>
      </c>
      <c r="AK713" s="11">
        <v>52.774999999999999</v>
      </c>
      <c r="AL713" s="11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</row>
    <row r="714" spans="1:147" x14ac:dyDescent="0.3">
      <c r="A714" s="9">
        <f>DATE(2019, 10, 3)</f>
        <v>43741</v>
      </c>
      <c r="B714" s="10">
        <v>57.71</v>
      </c>
      <c r="C714" s="10">
        <v>57.06</v>
      </c>
      <c r="D714" s="10">
        <v>56.57</v>
      </c>
      <c r="E714" s="10">
        <v>56.24</v>
      </c>
      <c r="F714" s="10">
        <v>56</v>
      </c>
      <c r="G714" s="10">
        <v>55.82</v>
      </c>
      <c r="H714" s="10">
        <v>55.66</v>
      </c>
      <c r="I714" s="10">
        <v>55.5</v>
      </c>
      <c r="J714" s="10">
        <v>55.39</v>
      </c>
      <c r="K714" s="10">
        <v>55.3</v>
      </c>
      <c r="L714" s="10">
        <v>55.2</v>
      </c>
      <c r="M714" s="10">
        <v>55.11</v>
      </c>
      <c r="N714" s="10">
        <v>52.45</v>
      </c>
      <c r="O714" s="10">
        <v>52.36</v>
      </c>
      <c r="P714" s="10">
        <v>52.16</v>
      </c>
      <c r="Q714" s="10">
        <v>51.89</v>
      </c>
      <c r="R714" s="10">
        <v>51.59</v>
      </c>
      <c r="S714" s="10">
        <v>51.27</v>
      </c>
      <c r="T714" s="10">
        <v>50.97</v>
      </c>
      <c r="U714" s="10">
        <v>50.69</v>
      </c>
      <c r="V714" s="10">
        <v>50.42</v>
      </c>
      <c r="W714" s="10">
        <v>50.21</v>
      </c>
      <c r="X714" s="10">
        <v>50.02</v>
      </c>
      <c r="Y714" s="10">
        <v>49.87</v>
      </c>
      <c r="Z714" s="11">
        <v>57.441000000000003</v>
      </c>
      <c r="AA714" s="11">
        <v>55.786999999999999</v>
      </c>
      <c r="AB714" s="11">
        <v>54.709000000000003</v>
      </c>
      <c r="AC714" s="11">
        <v>53.738999999999997</v>
      </c>
      <c r="AD714" s="11">
        <v>53.271000000000001</v>
      </c>
      <c r="AE714" s="11">
        <v>52.933</v>
      </c>
      <c r="AF714" s="11">
        <v>52.781999999999996</v>
      </c>
      <c r="AG714" s="11">
        <v>52.664999999999999</v>
      </c>
      <c r="AH714" s="11">
        <v>52.595999999999997</v>
      </c>
      <c r="AI714" s="11">
        <v>52.545999999999999</v>
      </c>
      <c r="AJ714" s="11">
        <v>52.481000000000002</v>
      </c>
      <c r="AK714" s="11">
        <v>52.395000000000003</v>
      </c>
      <c r="AL714" s="11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</row>
    <row r="715" spans="1:147" x14ac:dyDescent="0.3">
      <c r="A715" s="9">
        <f>DATE(2019, 10, 4)</f>
        <v>43742</v>
      </c>
      <c r="B715" s="10">
        <v>58.37</v>
      </c>
      <c r="C715" s="10">
        <v>57.74</v>
      </c>
      <c r="D715" s="10">
        <v>57.23</v>
      </c>
      <c r="E715" s="10">
        <v>56.89</v>
      </c>
      <c r="F715" s="10">
        <v>56.64</v>
      </c>
      <c r="G715" s="10">
        <v>56.44</v>
      </c>
      <c r="H715" s="10">
        <v>56.26</v>
      </c>
      <c r="I715" s="10">
        <v>56.09</v>
      </c>
      <c r="J715" s="10">
        <v>55.98</v>
      </c>
      <c r="K715" s="10">
        <v>55.89</v>
      </c>
      <c r="L715" s="10">
        <v>55.77</v>
      </c>
      <c r="M715" s="10">
        <v>55.68</v>
      </c>
      <c r="N715" s="10">
        <v>52.81</v>
      </c>
      <c r="O715" s="10">
        <v>52.74</v>
      </c>
      <c r="P715" s="10">
        <v>52.56</v>
      </c>
      <c r="Q715" s="10">
        <v>52.33</v>
      </c>
      <c r="R715" s="10">
        <v>52.07</v>
      </c>
      <c r="S715" s="10">
        <v>51.76</v>
      </c>
      <c r="T715" s="10">
        <v>51.46</v>
      </c>
      <c r="U715" s="10">
        <v>51.17</v>
      </c>
      <c r="V715" s="10">
        <v>50.9</v>
      </c>
      <c r="W715" s="10">
        <v>50.67</v>
      </c>
      <c r="X715" s="10">
        <v>50.48</v>
      </c>
      <c r="Y715" s="10">
        <v>50.34</v>
      </c>
      <c r="Z715" s="11">
        <v>58.243000000000002</v>
      </c>
      <c r="AA715" s="11">
        <v>56.676000000000002</v>
      </c>
      <c r="AB715" s="11">
        <v>55.518000000000001</v>
      </c>
      <c r="AC715" s="11">
        <v>54.529000000000003</v>
      </c>
      <c r="AD715" s="11">
        <v>53.99</v>
      </c>
      <c r="AE715" s="11">
        <v>53.642000000000003</v>
      </c>
      <c r="AF715" s="11">
        <v>53.472000000000001</v>
      </c>
      <c r="AG715" s="11">
        <v>53.295000000000002</v>
      </c>
      <c r="AH715" s="11">
        <v>53.155999999999999</v>
      </c>
      <c r="AI715" s="11">
        <v>53.115000000000002</v>
      </c>
      <c r="AJ715" s="11">
        <v>53.021000000000001</v>
      </c>
      <c r="AK715" s="11">
        <v>52.954999999999998</v>
      </c>
      <c r="AL715" s="11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</row>
    <row r="716" spans="1:147" x14ac:dyDescent="0.3">
      <c r="A716" s="9">
        <f>DATE(2019, 10, 7)</f>
        <v>43745</v>
      </c>
      <c r="B716" s="10">
        <v>58.35</v>
      </c>
      <c r="C716" s="10">
        <v>57.82</v>
      </c>
      <c r="D716" s="10">
        <v>57.32</v>
      </c>
      <c r="E716" s="10">
        <v>56.98</v>
      </c>
      <c r="F716" s="10">
        <v>56.74</v>
      </c>
      <c r="G716" s="10">
        <v>56.54</v>
      </c>
      <c r="H716" s="10">
        <v>56.36</v>
      </c>
      <c r="I716" s="10">
        <v>56.19</v>
      </c>
      <c r="J716" s="10">
        <v>56.08</v>
      </c>
      <c r="K716" s="10">
        <v>55.97</v>
      </c>
      <c r="L716" s="10">
        <v>55.85</v>
      </c>
      <c r="M716" s="10">
        <v>55.75</v>
      </c>
      <c r="N716" s="10">
        <v>52.75</v>
      </c>
      <c r="O716" s="10">
        <v>52.71</v>
      </c>
      <c r="P716" s="10">
        <v>52.57</v>
      </c>
      <c r="Q716" s="10">
        <v>52.37</v>
      </c>
      <c r="R716" s="10">
        <v>52.15</v>
      </c>
      <c r="S716" s="10">
        <v>51.89</v>
      </c>
      <c r="T716" s="10">
        <v>51.63</v>
      </c>
      <c r="U716" s="10">
        <v>51.35</v>
      </c>
      <c r="V716" s="10">
        <v>51.09</v>
      </c>
      <c r="W716" s="10">
        <v>50.86</v>
      </c>
      <c r="X716" s="10">
        <v>50.66</v>
      </c>
      <c r="Y716" s="10">
        <v>50.51</v>
      </c>
      <c r="Z716" s="11">
        <v>58.15</v>
      </c>
      <c r="AA716" s="11">
        <v>56.744</v>
      </c>
      <c r="AB716" s="11">
        <v>55.607999999999997</v>
      </c>
      <c r="AC716" s="11">
        <v>54.649000000000001</v>
      </c>
      <c r="AD716" s="11">
        <v>54.15</v>
      </c>
      <c r="AE716" s="11">
        <v>53.802</v>
      </c>
      <c r="AF716" s="11">
        <v>53.601999999999997</v>
      </c>
      <c r="AG716" s="11">
        <v>53.465000000000003</v>
      </c>
      <c r="AH716" s="11">
        <v>53.365000000000002</v>
      </c>
      <c r="AI716" s="11">
        <v>53.314999999999998</v>
      </c>
      <c r="AJ716" s="11">
        <v>53.21</v>
      </c>
      <c r="AK716" s="11">
        <v>53.134999999999998</v>
      </c>
      <c r="AL716" s="11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</row>
    <row r="717" spans="1:147" x14ac:dyDescent="0.3">
      <c r="A717" s="9">
        <f>DATE(2019, 10, 8)</f>
        <v>43746</v>
      </c>
      <c r="B717" s="10">
        <v>58.24</v>
      </c>
      <c r="C717" s="10">
        <v>57.76</v>
      </c>
      <c r="D717" s="10">
        <v>57.29</v>
      </c>
      <c r="E717" s="10">
        <v>56.97</v>
      </c>
      <c r="F717" s="10">
        <v>56.75</v>
      </c>
      <c r="G717" s="10">
        <v>56.56</v>
      </c>
      <c r="H717" s="10">
        <v>56.38</v>
      </c>
      <c r="I717" s="10">
        <v>56.23</v>
      </c>
      <c r="J717" s="10">
        <v>56.12</v>
      </c>
      <c r="K717" s="10">
        <v>56.02</v>
      </c>
      <c r="L717" s="10">
        <v>55.91</v>
      </c>
      <c r="M717" s="10">
        <v>55.82</v>
      </c>
      <c r="N717" s="10">
        <v>52.63</v>
      </c>
      <c r="O717" s="10">
        <v>52.62</v>
      </c>
      <c r="P717" s="10">
        <v>52.49</v>
      </c>
      <c r="Q717" s="10">
        <v>52.29</v>
      </c>
      <c r="R717" s="10">
        <v>52.11</v>
      </c>
      <c r="S717" s="10">
        <v>51.9</v>
      </c>
      <c r="T717" s="10">
        <v>51.69</v>
      </c>
      <c r="U717" s="10">
        <v>51.46</v>
      </c>
      <c r="V717" s="10">
        <v>51.23</v>
      </c>
      <c r="W717" s="10">
        <v>51.01</v>
      </c>
      <c r="X717" s="10">
        <v>50.82</v>
      </c>
      <c r="Y717" s="10">
        <v>50.68</v>
      </c>
      <c r="Z717" s="11">
        <v>57.951999999999998</v>
      </c>
      <c r="AA717" s="11">
        <v>56.488</v>
      </c>
      <c r="AB717" s="11">
        <v>55.44</v>
      </c>
      <c r="AC717" s="11">
        <v>54.6</v>
      </c>
      <c r="AD717" s="11">
        <v>54.151000000000003</v>
      </c>
      <c r="AE717" s="11">
        <v>53.822000000000003</v>
      </c>
      <c r="AF717" s="11">
        <v>53.662999999999997</v>
      </c>
      <c r="AG717" s="11">
        <v>53.524999999999999</v>
      </c>
      <c r="AH717" s="11">
        <v>53.424999999999997</v>
      </c>
      <c r="AI717" s="11">
        <v>53.354999999999997</v>
      </c>
      <c r="AJ717" s="11">
        <v>53.301000000000002</v>
      </c>
      <c r="AK717" s="11">
        <v>53.234999999999999</v>
      </c>
      <c r="AL717" s="11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</row>
    <row r="718" spans="1:147" x14ac:dyDescent="0.3">
      <c r="A718" s="9">
        <f>DATE(2019, 10, 9)</f>
        <v>43747</v>
      </c>
      <c r="B718" s="10">
        <v>58.32</v>
      </c>
      <c r="C718" s="10">
        <v>57.84</v>
      </c>
      <c r="D718" s="10">
        <v>57.33</v>
      </c>
      <c r="E718" s="10">
        <v>56.99</v>
      </c>
      <c r="F718" s="10">
        <v>56.76</v>
      </c>
      <c r="G718" s="10">
        <v>56.58</v>
      </c>
      <c r="H718" s="10">
        <v>56.41</v>
      </c>
      <c r="I718" s="10">
        <v>56.26</v>
      </c>
      <c r="J718" s="10">
        <v>56.14</v>
      </c>
      <c r="K718" s="10">
        <v>56.03</v>
      </c>
      <c r="L718" s="10">
        <v>55.91</v>
      </c>
      <c r="M718" s="10">
        <v>55.82</v>
      </c>
      <c r="N718" s="10">
        <v>52.59</v>
      </c>
      <c r="O718" s="10">
        <v>52.61</v>
      </c>
      <c r="P718" s="10">
        <v>52.48</v>
      </c>
      <c r="Q718" s="10">
        <v>52.29</v>
      </c>
      <c r="R718" s="10">
        <v>52.12</v>
      </c>
      <c r="S718" s="10">
        <v>51.92</v>
      </c>
      <c r="T718" s="10">
        <v>51.72</v>
      </c>
      <c r="U718" s="10">
        <v>51.5</v>
      </c>
      <c r="V718" s="10">
        <v>51.27</v>
      </c>
      <c r="W718" s="10">
        <v>51.04</v>
      </c>
      <c r="X718" s="10">
        <v>50.85</v>
      </c>
      <c r="Y718" s="10">
        <v>50.7</v>
      </c>
      <c r="Z718" s="11">
        <v>57.997999999999998</v>
      </c>
      <c r="AA718" s="11">
        <v>56.426000000000002</v>
      </c>
      <c r="AB718" s="11">
        <v>55.408000000000001</v>
      </c>
      <c r="AC718" s="11">
        <v>54.58</v>
      </c>
      <c r="AD718" s="11">
        <v>54.121000000000002</v>
      </c>
      <c r="AE718" s="11">
        <v>53.811999999999998</v>
      </c>
      <c r="AF718" s="11">
        <v>53.683</v>
      </c>
      <c r="AG718" s="11">
        <v>53.564</v>
      </c>
      <c r="AH718" s="11">
        <v>53.454999999999998</v>
      </c>
      <c r="AI718" s="11">
        <v>53.395000000000003</v>
      </c>
      <c r="AJ718" s="11">
        <v>53.271000000000001</v>
      </c>
      <c r="AK718" s="11">
        <v>53.204999999999998</v>
      </c>
      <c r="AL718" s="11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</row>
    <row r="719" spans="1:147" x14ac:dyDescent="0.3">
      <c r="A719" s="9">
        <f>DATE(2019, 10, 10)</f>
        <v>43748</v>
      </c>
      <c r="B719" s="10">
        <v>59.1</v>
      </c>
      <c r="C719" s="10">
        <v>58.65</v>
      </c>
      <c r="D719" s="10">
        <v>58.14</v>
      </c>
      <c r="E719" s="10">
        <v>57.79</v>
      </c>
      <c r="F719" s="10">
        <v>57.54</v>
      </c>
      <c r="G719" s="10">
        <v>57.33</v>
      </c>
      <c r="H719" s="10">
        <v>57.14</v>
      </c>
      <c r="I719" s="10">
        <v>56.96</v>
      </c>
      <c r="J719" s="10">
        <v>56.81</v>
      </c>
      <c r="K719" s="10">
        <v>56.67</v>
      </c>
      <c r="L719" s="10">
        <v>56.53</v>
      </c>
      <c r="M719" s="10">
        <v>56.41</v>
      </c>
      <c r="N719" s="10">
        <v>53.55</v>
      </c>
      <c r="O719" s="10">
        <v>53.56</v>
      </c>
      <c r="P719" s="10">
        <v>53.41</v>
      </c>
      <c r="Q719" s="10">
        <v>53.19</v>
      </c>
      <c r="R719" s="10">
        <v>52.97</v>
      </c>
      <c r="S719" s="10">
        <v>52.74</v>
      </c>
      <c r="T719" s="10">
        <v>52.5</v>
      </c>
      <c r="U719" s="10">
        <v>52.26</v>
      </c>
      <c r="V719" s="10">
        <v>52</v>
      </c>
      <c r="W719" s="10">
        <v>51.75</v>
      </c>
      <c r="X719" s="10">
        <v>51.53</v>
      </c>
      <c r="Y719" s="10">
        <v>51.35</v>
      </c>
      <c r="Z719" s="11">
        <v>58.67</v>
      </c>
      <c r="AA719" s="11">
        <v>57.496000000000002</v>
      </c>
      <c r="AB719" s="11">
        <v>56.396999999999998</v>
      </c>
      <c r="AC719" s="11">
        <v>55.529000000000003</v>
      </c>
      <c r="AD719" s="11">
        <v>55.05</v>
      </c>
      <c r="AE719" s="11">
        <v>54.710999999999999</v>
      </c>
      <c r="AF719" s="11">
        <v>54.530999999999999</v>
      </c>
      <c r="AG719" s="11">
        <v>54.363</v>
      </c>
      <c r="AH719" s="11">
        <v>54.244</v>
      </c>
      <c r="AI719" s="11">
        <v>54.134</v>
      </c>
      <c r="AJ719" s="11">
        <v>54.018999999999998</v>
      </c>
      <c r="AK719" s="11">
        <v>53.904000000000003</v>
      </c>
      <c r="AL719" s="11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</row>
    <row r="720" spans="1:147" x14ac:dyDescent="0.3">
      <c r="A720" s="9">
        <f>DATE(2019, 10, 11)</f>
        <v>43749</v>
      </c>
      <c r="B720" s="10">
        <v>60.51</v>
      </c>
      <c r="C720" s="10">
        <v>60.12</v>
      </c>
      <c r="D720" s="10">
        <v>59.6</v>
      </c>
      <c r="E720" s="10">
        <v>59.23</v>
      </c>
      <c r="F720" s="10">
        <v>58.95</v>
      </c>
      <c r="G720" s="10">
        <v>58.71</v>
      </c>
      <c r="H720" s="10">
        <v>58.49</v>
      </c>
      <c r="I720" s="10">
        <v>58.29</v>
      </c>
      <c r="J720" s="10">
        <v>58.12</v>
      </c>
      <c r="K720" s="10">
        <v>57.97</v>
      </c>
      <c r="L720" s="10">
        <v>57.8</v>
      </c>
      <c r="M720" s="10">
        <v>57.64</v>
      </c>
      <c r="N720" s="10">
        <v>54.7</v>
      </c>
      <c r="O720" s="10">
        <v>54.78</v>
      </c>
      <c r="P720" s="10">
        <v>54.72</v>
      </c>
      <c r="Q720" s="10">
        <v>54.54</v>
      </c>
      <c r="R720" s="10">
        <v>54.34</v>
      </c>
      <c r="S720" s="10">
        <v>54.1</v>
      </c>
      <c r="T720" s="10">
        <v>53.88</v>
      </c>
      <c r="U720" s="10">
        <v>53.63</v>
      </c>
      <c r="V720" s="10">
        <v>53.37</v>
      </c>
      <c r="W720" s="10">
        <v>53.11</v>
      </c>
      <c r="X720" s="10">
        <v>52.89</v>
      </c>
      <c r="Y720" s="10">
        <v>52.67</v>
      </c>
      <c r="Z720" s="11">
        <v>59.598999999999997</v>
      </c>
      <c r="AA720" s="11">
        <v>59.155000000000001</v>
      </c>
      <c r="AB720" s="11">
        <v>58.075000000000003</v>
      </c>
      <c r="AC720" s="11">
        <v>57.186999999999998</v>
      </c>
      <c r="AD720" s="11">
        <v>56.640999999999998</v>
      </c>
      <c r="AE720" s="11">
        <v>56.280999999999999</v>
      </c>
      <c r="AF720" s="11">
        <v>55.98</v>
      </c>
      <c r="AG720" s="11">
        <v>55.792000000000002</v>
      </c>
      <c r="AH720" s="11">
        <v>55.643000000000001</v>
      </c>
      <c r="AI720" s="11">
        <v>55.493000000000002</v>
      </c>
      <c r="AJ720" s="11">
        <v>55.325000000000003</v>
      </c>
      <c r="AK720" s="11">
        <v>55.171999999999997</v>
      </c>
      <c r="AL720" s="11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</row>
    <row r="721" spans="1:147" x14ac:dyDescent="0.3">
      <c r="A721" s="9">
        <f>DATE(2019, 10, 14)</f>
        <v>43752</v>
      </c>
      <c r="B721" s="10">
        <v>59.35</v>
      </c>
      <c r="C721" s="10">
        <v>59.12</v>
      </c>
      <c r="D721" s="10">
        <v>58.72</v>
      </c>
      <c r="E721" s="10">
        <v>58.42</v>
      </c>
      <c r="F721" s="10">
        <v>58.18</v>
      </c>
      <c r="G721" s="10">
        <v>57.98</v>
      </c>
      <c r="H721" s="10">
        <v>57.79</v>
      </c>
      <c r="I721" s="10">
        <v>57.61</v>
      </c>
      <c r="J721" s="10">
        <v>57.47</v>
      </c>
      <c r="K721" s="10">
        <v>57.34</v>
      </c>
      <c r="L721" s="10">
        <v>57.2</v>
      </c>
      <c r="M721" s="10">
        <v>57.07</v>
      </c>
      <c r="N721" s="10">
        <v>53.59</v>
      </c>
      <c r="O721" s="10">
        <v>53.65</v>
      </c>
      <c r="P721" s="10">
        <v>53.66</v>
      </c>
      <c r="Q721" s="10">
        <v>53.58</v>
      </c>
      <c r="R721" s="10">
        <v>53.45</v>
      </c>
      <c r="S721" s="10">
        <v>53.27</v>
      </c>
      <c r="T721" s="10">
        <v>53.08</v>
      </c>
      <c r="U721" s="10">
        <v>52.87</v>
      </c>
      <c r="V721" s="10">
        <v>52.66</v>
      </c>
      <c r="W721" s="10">
        <v>52.44</v>
      </c>
      <c r="X721" s="10">
        <v>52.22</v>
      </c>
      <c r="Y721" s="10">
        <v>52.05</v>
      </c>
      <c r="Z721" s="11">
        <v>59.122999999999998</v>
      </c>
      <c r="AA721" s="11">
        <v>58.180999999999997</v>
      </c>
      <c r="AB721" s="11">
        <v>57.210999999999999</v>
      </c>
      <c r="AC721" s="11">
        <v>56.418999999999997</v>
      </c>
      <c r="AD721" s="11">
        <v>55.95</v>
      </c>
      <c r="AE721" s="11">
        <v>55.621000000000002</v>
      </c>
      <c r="AF721" s="11">
        <v>55.371000000000002</v>
      </c>
      <c r="AG721" s="11">
        <v>55.213000000000001</v>
      </c>
      <c r="AH721" s="11">
        <v>55.064</v>
      </c>
      <c r="AI721" s="11">
        <v>54.923999999999999</v>
      </c>
      <c r="AJ721" s="11">
        <v>54.758000000000003</v>
      </c>
      <c r="AK721" s="11">
        <v>54.634</v>
      </c>
      <c r="AL721" s="11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</row>
    <row r="722" spans="1:147" x14ac:dyDescent="0.3">
      <c r="A722" s="9">
        <f>DATE(2019, 10, 15)</f>
        <v>43753</v>
      </c>
      <c r="B722" s="10">
        <v>58.74</v>
      </c>
      <c r="C722" s="10">
        <v>58.54</v>
      </c>
      <c r="D722" s="10">
        <v>58.11</v>
      </c>
      <c r="E722" s="10">
        <v>57.79</v>
      </c>
      <c r="F722" s="10">
        <v>57.53</v>
      </c>
      <c r="G722" s="10">
        <v>57.31</v>
      </c>
      <c r="H722" s="10">
        <v>57.1</v>
      </c>
      <c r="I722" s="10">
        <v>56.92</v>
      </c>
      <c r="J722" s="10">
        <v>56.77</v>
      </c>
      <c r="K722" s="10">
        <v>56.65</v>
      </c>
      <c r="L722" s="10">
        <v>56.5</v>
      </c>
      <c r="M722" s="10">
        <v>56.38</v>
      </c>
      <c r="N722" s="10">
        <v>52.81</v>
      </c>
      <c r="O722" s="10">
        <v>52.88</v>
      </c>
      <c r="P722" s="10">
        <v>52.91</v>
      </c>
      <c r="Q722" s="10">
        <v>52.81</v>
      </c>
      <c r="R722" s="10">
        <v>52.66</v>
      </c>
      <c r="S722" s="10">
        <v>52.47</v>
      </c>
      <c r="T722" s="10">
        <v>52.27</v>
      </c>
      <c r="U722" s="10">
        <v>52.07</v>
      </c>
      <c r="V722" s="10">
        <v>51.86</v>
      </c>
      <c r="W722" s="10">
        <v>51.64</v>
      </c>
      <c r="X722" s="10">
        <v>51.43</v>
      </c>
      <c r="Y722" s="10">
        <v>51.26</v>
      </c>
      <c r="Z722" s="11">
        <v>58.67</v>
      </c>
      <c r="AA722" s="11">
        <v>57.25</v>
      </c>
      <c r="AB722" s="11">
        <v>56.28</v>
      </c>
      <c r="AC722" s="11">
        <v>55.508000000000003</v>
      </c>
      <c r="AD722" s="11">
        <v>55.039000000000001</v>
      </c>
      <c r="AE722" s="11">
        <v>54.72</v>
      </c>
      <c r="AF722" s="11">
        <v>54.511000000000003</v>
      </c>
      <c r="AG722" s="11">
        <v>54.353000000000002</v>
      </c>
      <c r="AH722" s="11">
        <v>54.225000000000001</v>
      </c>
      <c r="AI722" s="11">
        <v>54.122999999999998</v>
      </c>
      <c r="AJ722" s="11">
        <v>54.009</v>
      </c>
      <c r="AK722" s="11">
        <v>53.904000000000003</v>
      </c>
      <c r="AL722" s="11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</row>
    <row r="723" spans="1:147" x14ac:dyDescent="0.3">
      <c r="A723" s="9">
        <f>DATE(2019, 10, 16)</f>
        <v>43754</v>
      </c>
      <c r="B723" s="10">
        <v>59.42</v>
      </c>
      <c r="C723" s="10">
        <v>59.16</v>
      </c>
      <c r="D723" s="10">
        <v>58.68</v>
      </c>
      <c r="E723" s="10">
        <v>58.32</v>
      </c>
      <c r="F723" s="10">
        <v>58.04</v>
      </c>
      <c r="G723" s="10">
        <v>57.81</v>
      </c>
      <c r="H723" s="10">
        <v>57.59</v>
      </c>
      <c r="I723" s="10">
        <v>57.4</v>
      </c>
      <c r="J723" s="10">
        <v>57.24</v>
      </c>
      <c r="K723" s="10">
        <v>57.1</v>
      </c>
      <c r="L723" s="10">
        <v>56.94</v>
      </c>
      <c r="M723" s="10">
        <v>56.8</v>
      </c>
      <c r="N723" s="10">
        <v>53.36</v>
      </c>
      <c r="O723" s="10">
        <v>53.45</v>
      </c>
      <c r="P723" s="10">
        <v>53.47</v>
      </c>
      <c r="Q723" s="10">
        <v>53.36</v>
      </c>
      <c r="R723" s="10">
        <v>53.19</v>
      </c>
      <c r="S723" s="10">
        <v>52.97</v>
      </c>
      <c r="T723" s="10">
        <v>52.75</v>
      </c>
      <c r="U723" s="10">
        <v>52.51</v>
      </c>
      <c r="V723" s="10">
        <v>52.26</v>
      </c>
      <c r="W723" s="10">
        <v>52.02</v>
      </c>
      <c r="X723" s="10">
        <v>51.81</v>
      </c>
      <c r="Y723" s="10">
        <v>51.63</v>
      </c>
      <c r="Z723" s="11">
        <v>58.97</v>
      </c>
      <c r="AA723" s="11">
        <v>57.807000000000002</v>
      </c>
      <c r="AB723" s="11">
        <v>56.856000000000002</v>
      </c>
      <c r="AC723" s="11">
        <v>56.057000000000002</v>
      </c>
      <c r="AD723" s="11">
        <v>55.539000000000001</v>
      </c>
      <c r="AE723" s="11">
        <v>55.2</v>
      </c>
      <c r="AF723" s="11">
        <v>55.000999999999998</v>
      </c>
      <c r="AG723" s="11">
        <v>54.831000000000003</v>
      </c>
      <c r="AH723" s="11">
        <v>54.683999999999997</v>
      </c>
      <c r="AI723" s="11">
        <v>54.552999999999997</v>
      </c>
      <c r="AJ723" s="11">
        <v>54.417000000000002</v>
      </c>
      <c r="AK723" s="11">
        <v>54.292999999999999</v>
      </c>
      <c r="AL723" s="11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</row>
    <row r="724" spans="1:147" x14ac:dyDescent="0.3">
      <c r="A724" s="9">
        <f>DATE(2019, 10, 17)</f>
        <v>43755</v>
      </c>
      <c r="B724" s="10">
        <v>59.91</v>
      </c>
      <c r="C724" s="10">
        <v>59.46</v>
      </c>
      <c r="D724" s="10">
        <v>58.87</v>
      </c>
      <c r="E724" s="10">
        <v>58.43</v>
      </c>
      <c r="F724" s="10">
        <v>58.1</v>
      </c>
      <c r="G724" s="10">
        <v>57.84</v>
      </c>
      <c r="H724" s="10">
        <v>57.59</v>
      </c>
      <c r="I724" s="10">
        <v>57.38</v>
      </c>
      <c r="J724" s="10">
        <v>57.22</v>
      </c>
      <c r="K724" s="10">
        <v>57.07</v>
      </c>
      <c r="L724" s="10">
        <v>56.9</v>
      </c>
      <c r="M724" s="10">
        <v>56.77</v>
      </c>
      <c r="N724" s="10">
        <v>53.93</v>
      </c>
      <c r="O724" s="10">
        <v>54.03</v>
      </c>
      <c r="P724" s="10">
        <v>54.01</v>
      </c>
      <c r="Q724" s="10">
        <v>53.86</v>
      </c>
      <c r="R724" s="10">
        <v>53.63</v>
      </c>
      <c r="S724" s="10">
        <v>53.36</v>
      </c>
      <c r="T724" s="10">
        <v>53.08</v>
      </c>
      <c r="U724" s="10">
        <v>52.79</v>
      </c>
      <c r="V724" s="10">
        <v>52.5</v>
      </c>
      <c r="W724" s="10">
        <v>52.22</v>
      </c>
      <c r="X724" s="10">
        <v>51.99</v>
      </c>
      <c r="Y724" s="10">
        <v>51.78</v>
      </c>
      <c r="Z724" s="11">
        <v>59.139000000000003</v>
      </c>
      <c r="AA724" s="11">
        <v>58.152000000000001</v>
      </c>
      <c r="AB724" s="11">
        <v>57.137999999999998</v>
      </c>
      <c r="AC724" s="11">
        <v>56.25</v>
      </c>
      <c r="AD724" s="11">
        <v>55.7</v>
      </c>
      <c r="AE724" s="11">
        <v>55.34</v>
      </c>
      <c r="AF724" s="11">
        <v>55.08</v>
      </c>
      <c r="AG724" s="11">
        <v>54.892000000000003</v>
      </c>
      <c r="AH724" s="11">
        <v>54.743000000000002</v>
      </c>
      <c r="AI724" s="11">
        <v>54.603000000000002</v>
      </c>
      <c r="AJ724" s="11">
        <v>54.438000000000002</v>
      </c>
      <c r="AK724" s="11">
        <v>54.313000000000002</v>
      </c>
      <c r="AL724" s="11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</row>
    <row r="725" spans="1:147" x14ac:dyDescent="0.3">
      <c r="A725" s="9">
        <f>DATE(2019, 10, 18)</f>
        <v>43756</v>
      </c>
      <c r="B725" s="10">
        <v>59.42</v>
      </c>
      <c r="C725" s="10">
        <v>59.09</v>
      </c>
      <c r="D725" s="10">
        <v>58.53</v>
      </c>
      <c r="E725" s="10">
        <v>58.11</v>
      </c>
      <c r="F725" s="10">
        <v>57.79</v>
      </c>
      <c r="G725" s="10">
        <v>57.52</v>
      </c>
      <c r="H725" s="10">
        <v>57.27</v>
      </c>
      <c r="I725" s="10">
        <v>57.07</v>
      </c>
      <c r="J725" s="10">
        <v>56.91</v>
      </c>
      <c r="K725" s="10">
        <v>56.76</v>
      </c>
      <c r="L725" s="10">
        <v>56.6</v>
      </c>
      <c r="M725" s="10">
        <v>56.47</v>
      </c>
      <c r="N725" s="10">
        <v>53.78</v>
      </c>
      <c r="O725" s="10">
        <v>53.87</v>
      </c>
      <c r="P725" s="10">
        <v>53.82</v>
      </c>
      <c r="Q725" s="10">
        <v>53.62</v>
      </c>
      <c r="R725" s="10">
        <v>53.37</v>
      </c>
      <c r="S725" s="10">
        <v>53.08</v>
      </c>
      <c r="T725" s="10">
        <v>52.8</v>
      </c>
      <c r="U725" s="10">
        <v>52.52</v>
      </c>
      <c r="V725" s="10">
        <v>52.23</v>
      </c>
      <c r="W725" s="10">
        <v>51.96</v>
      </c>
      <c r="X725" s="10">
        <v>51.73</v>
      </c>
      <c r="Y725" s="10">
        <v>51.55</v>
      </c>
      <c r="Z725" s="11">
        <v>59.003999999999998</v>
      </c>
      <c r="AA725" s="11">
        <v>57.853000000000002</v>
      </c>
      <c r="AB725" s="11">
        <v>56.82</v>
      </c>
      <c r="AC725" s="11">
        <v>55.914999999999999</v>
      </c>
      <c r="AD725" s="11">
        <v>55.341999999999999</v>
      </c>
      <c r="AE725" s="11">
        <v>54.999000000000002</v>
      </c>
      <c r="AF725" s="11">
        <v>54.79</v>
      </c>
      <c r="AG725" s="11">
        <v>54.612000000000002</v>
      </c>
      <c r="AH725" s="11">
        <v>54.448999999999998</v>
      </c>
      <c r="AI725" s="11">
        <v>54.302999999999997</v>
      </c>
      <c r="AJ725" s="11">
        <v>54.128</v>
      </c>
      <c r="AK725" s="11">
        <v>54.003999999999998</v>
      </c>
      <c r="AL725" s="11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</row>
    <row r="726" spans="1:147" x14ac:dyDescent="0.3">
      <c r="A726" s="9">
        <f>DATE(2019, 10, 21)</f>
        <v>43759</v>
      </c>
      <c r="B726" s="10">
        <v>58.96</v>
      </c>
      <c r="C726" s="10">
        <v>58.68</v>
      </c>
      <c r="D726" s="10">
        <v>58.2</v>
      </c>
      <c r="E726" s="10">
        <v>57.83</v>
      </c>
      <c r="F726" s="10">
        <v>57.54</v>
      </c>
      <c r="G726" s="10">
        <v>57.3</v>
      </c>
      <c r="H726" s="10">
        <v>57.08</v>
      </c>
      <c r="I726" s="10">
        <v>56.9</v>
      </c>
      <c r="J726" s="10">
        <v>56.76</v>
      </c>
      <c r="K726" s="10">
        <v>56.63</v>
      </c>
      <c r="L726" s="10">
        <v>56.48</v>
      </c>
      <c r="M726" s="10">
        <v>56.36</v>
      </c>
      <c r="N726" s="10">
        <v>53.31</v>
      </c>
      <c r="O726" s="10">
        <v>53.51</v>
      </c>
      <c r="P726" s="10">
        <v>53.54</v>
      </c>
      <c r="Q726" s="10">
        <v>53.41</v>
      </c>
      <c r="R726" s="10">
        <v>53.18</v>
      </c>
      <c r="S726" s="10">
        <v>52.94</v>
      </c>
      <c r="T726" s="10">
        <v>52.7</v>
      </c>
      <c r="U726" s="10">
        <v>52.44</v>
      </c>
      <c r="V726" s="10">
        <v>52.17</v>
      </c>
      <c r="W726" s="10">
        <v>51.92</v>
      </c>
      <c r="X726" s="10">
        <v>51.71</v>
      </c>
      <c r="Y726" s="10">
        <v>51.55</v>
      </c>
      <c r="Z726" s="11">
        <v>58.869</v>
      </c>
      <c r="AA726" s="11">
        <v>57.447000000000003</v>
      </c>
      <c r="AB726" s="11">
        <v>56.465000000000003</v>
      </c>
      <c r="AC726" s="11">
        <v>55.606999999999999</v>
      </c>
      <c r="AD726" s="11">
        <v>55.058</v>
      </c>
      <c r="AE726" s="11">
        <v>54.73</v>
      </c>
      <c r="AF726" s="11">
        <v>54.530999999999999</v>
      </c>
      <c r="AG726" s="11">
        <v>54.383000000000003</v>
      </c>
      <c r="AH726" s="11">
        <v>54.264000000000003</v>
      </c>
      <c r="AI726" s="11">
        <v>54.143000000000001</v>
      </c>
      <c r="AJ726" s="11">
        <v>54.009</v>
      </c>
      <c r="AK726" s="11">
        <v>53.895000000000003</v>
      </c>
      <c r="AL726" s="11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</row>
    <row r="727" spans="1:147" x14ac:dyDescent="0.3">
      <c r="A727" s="9">
        <f>DATE(2019, 10, 22)</f>
        <v>43760</v>
      </c>
      <c r="B727" s="10">
        <v>59.7</v>
      </c>
      <c r="C727" s="10">
        <v>59.44</v>
      </c>
      <c r="D727" s="10">
        <v>58.93</v>
      </c>
      <c r="E727" s="10">
        <v>58.52</v>
      </c>
      <c r="F727" s="10">
        <v>58.18</v>
      </c>
      <c r="G727" s="10">
        <v>57.91</v>
      </c>
      <c r="H727" s="10">
        <v>57.65</v>
      </c>
      <c r="I727" s="10">
        <v>57.44</v>
      </c>
      <c r="J727" s="10">
        <v>57.27</v>
      </c>
      <c r="K727" s="10">
        <v>57.11</v>
      </c>
      <c r="L727" s="10">
        <v>56.94</v>
      </c>
      <c r="M727" s="10">
        <v>56.8</v>
      </c>
      <c r="N727" s="10">
        <v>54.16</v>
      </c>
      <c r="O727" s="10">
        <v>54.48</v>
      </c>
      <c r="P727" s="10">
        <v>54.5</v>
      </c>
      <c r="Q727" s="10">
        <v>54.34</v>
      </c>
      <c r="R727" s="10">
        <v>54.07</v>
      </c>
      <c r="S727" s="10">
        <v>53.77</v>
      </c>
      <c r="T727" s="10">
        <v>53.46</v>
      </c>
      <c r="U727" s="10">
        <v>53.13</v>
      </c>
      <c r="V727" s="10">
        <v>52.82</v>
      </c>
      <c r="W727" s="10">
        <v>52.52</v>
      </c>
      <c r="X727" s="10">
        <v>52.27</v>
      </c>
      <c r="Y727" s="10">
        <v>52.08</v>
      </c>
      <c r="Z727" s="11">
        <v>59.023000000000003</v>
      </c>
      <c r="AA727" s="11">
        <v>58.045999999999999</v>
      </c>
      <c r="AB727" s="11">
        <v>57.05</v>
      </c>
      <c r="AC727" s="11">
        <v>56.185000000000002</v>
      </c>
      <c r="AD727" s="11">
        <v>55.616999999999997</v>
      </c>
      <c r="AE727" s="11">
        <v>55.277999999999999</v>
      </c>
      <c r="AF727" s="11">
        <v>55.02</v>
      </c>
      <c r="AG727" s="11">
        <v>54.822000000000003</v>
      </c>
      <c r="AH727" s="11">
        <v>54.643000000000001</v>
      </c>
      <c r="AI727" s="11">
        <v>54.503</v>
      </c>
      <c r="AJ727" s="11">
        <v>54.377000000000002</v>
      </c>
      <c r="AK727" s="11">
        <v>54.243000000000002</v>
      </c>
      <c r="AL727" s="11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</row>
    <row r="728" spans="1:147" x14ac:dyDescent="0.3">
      <c r="A728" s="9">
        <f>DATE(2019, 10, 23)</f>
        <v>43761</v>
      </c>
      <c r="B728" s="10">
        <v>61.17</v>
      </c>
      <c r="C728" s="10">
        <v>60.87</v>
      </c>
      <c r="D728" s="10">
        <v>60.34</v>
      </c>
      <c r="E728" s="10">
        <v>59.88</v>
      </c>
      <c r="F728" s="10">
        <v>59.49</v>
      </c>
      <c r="G728" s="10">
        <v>59.18</v>
      </c>
      <c r="H728" s="10">
        <v>58.88</v>
      </c>
      <c r="I728" s="10">
        <v>58.62</v>
      </c>
      <c r="J728" s="10">
        <v>58.42</v>
      </c>
      <c r="K728" s="10">
        <v>58.23</v>
      </c>
      <c r="L728" s="10">
        <v>58.03</v>
      </c>
      <c r="M728" s="10">
        <v>57.86</v>
      </c>
      <c r="N728" s="10">
        <v>55.97</v>
      </c>
      <c r="O728" s="10">
        <v>55.99</v>
      </c>
      <c r="P728" s="10">
        <v>55.82</v>
      </c>
      <c r="Q728" s="10">
        <v>55.52</v>
      </c>
      <c r="R728" s="10">
        <v>55.15</v>
      </c>
      <c r="S728" s="10">
        <v>54.77</v>
      </c>
      <c r="T728" s="10">
        <v>54.38</v>
      </c>
      <c r="U728" s="10">
        <v>54.01</v>
      </c>
      <c r="V728" s="10">
        <v>53.68</v>
      </c>
      <c r="W728" s="10">
        <v>53.39</v>
      </c>
      <c r="X728" s="10">
        <v>53.15</v>
      </c>
      <c r="Y728" s="10">
        <v>52.96</v>
      </c>
      <c r="Z728" s="11">
        <v>59.448</v>
      </c>
      <c r="AA728" s="11">
        <v>59.475000000000001</v>
      </c>
      <c r="AB728" s="11">
        <v>58.445999999999998</v>
      </c>
      <c r="AC728" s="11">
        <v>57.561999999999998</v>
      </c>
      <c r="AD728" s="11">
        <v>56.984999999999999</v>
      </c>
      <c r="AE728" s="11">
        <v>56.625999999999998</v>
      </c>
      <c r="AF728" s="11">
        <v>56.338000000000001</v>
      </c>
      <c r="AG728" s="11">
        <v>56.1</v>
      </c>
      <c r="AH728" s="11">
        <v>55.871000000000002</v>
      </c>
      <c r="AI728" s="11">
        <v>55.670999999999999</v>
      </c>
      <c r="AJ728" s="11">
        <v>55.463999999999999</v>
      </c>
      <c r="AK728" s="11">
        <v>55.271999999999998</v>
      </c>
      <c r="AL728" s="11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</row>
    <row r="729" spans="1:147" x14ac:dyDescent="0.3">
      <c r="A729" s="9">
        <f>DATE(2019, 10, 24)</f>
        <v>43762</v>
      </c>
      <c r="B729" s="10">
        <v>61.67</v>
      </c>
      <c r="C729" s="10">
        <v>61.39</v>
      </c>
      <c r="D729" s="10">
        <v>60.83</v>
      </c>
      <c r="E729" s="10">
        <v>60.34</v>
      </c>
      <c r="F729" s="10">
        <v>59.92</v>
      </c>
      <c r="G729" s="10">
        <v>59.58</v>
      </c>
      <c r="H729" s="10">
        <v>59.26</v>
      </c>
      <c r="I729" s="10">
        <v>58.98</v>
      </c>
      <c r="J729" s="10">
        <v>58.77</v>
      </c>
      <c r="K729" s="10">
        <v>58.57</v>
      </c>
      <c r="L729" s="10">
        <v>58.37</v>
      </c>
      <c r="M729" s="10">
        <v>58.2</v>
      </c>
      <c r="N729" s="10">
        <v>56.23</v>
      </c>
      <c r="O729" s="10">
        <v>56.27</v>
      </c>
      <c r="P729" s="10">
        <v>56.13</v>
      </c>
      <c r="Q729" s="10">
        <v>55.85</v>
      </c>
      <c r="R729" s="10">
        <v>55.48</v>
      </c>
      <c r="S729" s="10">
        <v>55.09</v>
      </c>
      <c r="T729" s="10">
        <v>54.68</v>
      </c>
      <c r="U729" s="10">
        <v>54.3</v>
      </c>
      <c r="V729" s="10">
        <v>53.94</v>
      </c>
      <c r="W729" s="10">
        <v>53.63</v>
      </c>
      <c r="X729" s="10">
        <v>53.38</v>
      </c>
      <c r="Y729" s="10">
        <v>53.18</v>
      </c>
      <c r="Z729" s="11">
        <v>59.491999999999997</v>
      </c>
      <c r="AA729" s="11">
        <v>59.960999999999999</v>
      </c>
      <c r="AB729" s="11">
        <v>58.872999999999998</v>
      </c>
      <c r="AC729" s="11">
        <v>57.960999999999999</v>
      </c>
      <c r="AD729" s="11">
        <v>57.343000000000004</v>
      </c>
      <c r="AE729" s="11">
        <v>56.975000000000001</v>
      </c>
      <c r="AF729" s="11">
        <v>56.627000000000002</v>
      </c>
      <c r="AG729" s="11">
        <v>56.35</v>
      </c>
      <c r="AH729" s="11">
        <v>56.140999999999998</v>
      </c>
      <c r="AI729" s="11">
        <v>55.951000000000001</v>
      </c>
      <c r="AJ729" s="11">
        <v>55.764000000000003</v>
      </c>
      <c r="AK729" s="11">
        <v>55.591999999999999</v>
      </c>
      <c r="AL729" s="11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</row>
    <row r="730" spans="1:147" x14ac:dyDescent="0.3">
      <c r="A730" s="9">
        <f>DATE(2019, 10, 25)</f>
        <v>43763</v>
      </c>
      <c r="B730" s="10">
        <v>62.02</v>
      </c>
      <c r="C730" s="10">
        <v>61.73</v>
      </c>
      <c r="D730" s="10">
        <v>61.2</v>
      </c>
      <c r="E730" s="10">
        <v>60.73</v>
      </c>
      <c r="F730" s="10">
        <v>60.32</v>
      </c>
      <c r="G730" s="10">
        <v>59.97</v>
      </c>
      <c r="H730" s="10">
        <v>59.64</v>
      </c>
      <c r="I730" s="10">
        <v>59.37</v>
      </c>
      <c r="J730" s="10">
        <v>59.15</v>
      </c>
      <c r="K730" s="10">
        <v>58.94</v>
      </c>
      <c r="L730" s="10">
        <v>58.73</v>
      </c>
      <c r="M730" s="10">
        <v>58.54</v>
      </c>
      <c r="N730" s="10">
        <v>56.66</v>
      </c>
      <c r="O730" s="10">
        <v>56.71</v>
      </c>
      <c r="P730" s="10">
        <v>56.59</v>
      </c>
      <c r="Q730" s="10">
        <v>56.32</v>
      </c>
      <c r="R730" s="10">
        <v>55.95</v>
      </c>
      <c r="S730" s="10">
        <v>55.55</v>
      </c>
      <c r="T730" s="10">
        <v>55.15</v>
      </c>
      <c r="U730" s="10">
        <v>54.75</v>
      </c>
      <c r="V730" s="10">
        <v>54.39</v>
      </c>
      <c r="W730" s="10">
        <v>54.08</v>
      </c>
      <c r="X730" s="10">
        <v>53.82</v>
      </c>
      <c r="Y730" s="10">
        <v>53.61</v>
      </c>
      <c r="Z730" s="11">
        <v>59.515999999999998</v>
      </c>
      <c r="AA730" s="11">
        <v>60.414999999999999</v>
      </c>
      <c r="AB730" s="11">
        <v>59.215000000000003</v>
      </c>
      <c r="AC730" s="11">
        <v>58.290999999999997</v>
      </c>
      <c r="AD730" s="11">
        <v>57.670999999999999</v>
      </c>
      <c r="AE730" s="11">
        <v>57.284999999999997</v>
      </c>
      <c r="AF730" s="11">
        <v>56.947000000000003</v>
      </c>
      <c r="AG730" s="11">
        <v>56.7</v>
      </c>
      <c r="AH730" s="11">
        <v>56.49</v>
      </c>
      <c r="AI730" s="11">
        <v>56.271000000000001</v>
      </c>
      <c r="AJ730" s="11">
        <v>56.061999999999998</v>
      </c>
      <c r="AK730" s="11">
        <v>55.881</v>
      </c>
      <c r="AL730" s="11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</row>
    <row r="731" spans="1:147" x14ac:dyDescent="0.3">
      <c r="A731" s="9">
        <f>DATE(2019, 10, 28)</f>
        <v>43766</v>
      </c>
      <c r="B731" s="10">
        <v>61.57</v>
      </c>
      <c r="C731" s="10">
        <v>61.25</v>
      </c>
      <c r="D731" s="10">
        <v>60.71</v>
      </c>
      <c r="E731" s="10">
        <v>60.26</v>
      </c>
      <c r="F731" s="10">
        <v>59.86</v>
      </c>
      <c r="G731" s="10">
        <v>59.52</v>
      </c>
      <c r="H731" s="10">
        <v>59.21</v>
      </c>
      <c r="I731" s="10">
        <v>58.95</v>
      </c>
      <c r="J731" s="10">
        <v>58.74</v>
      </c>
      <c r="K731" s="10">
        <v>58.53</v>
      </c>
      <c r="L731" s="10">
        <v>58.32</v>
      </c>
      <c r="M731" s="10">
        <v>58.15</v>
      </c>
      <c r="N731" s="10">
        <v>55.81</v>
      </c>
      <c r="O731" s="10">
        <v>55.9</v>
      </c>
      <c r="P731" s="10">
        <v>55.83</v>
      </c>
      <c r="Q731" s="10">
        <v>55.63</v>
      </c>
      <c r="R731" s="10">
        <v>55.34</v>
      </c>
      <c r="S731" s="10">
        <v>55.01</v>
      </c>
      <c r="T731" s="10">
        <v>54.64</v>
      </c>
      <c r="U731" s="10">
        <v>54.28</v>
      </c>
      <c r="V731" s="10">
        <v>53.93</v>
      </c>
      <c r="W731" s="10">
        <v>53.63</v>
      </c>
      <c r="X731" s="10">
        <v>53.38</v>
      </c>
      <c r="Y731" s="10">
        <v>53.18</v>
      </c>
      <c r="Z731" s="11">
        <v>59.445999999999998</v>
      </c>
      <c r="AA731" s="11">
        <v>59.904000000000003</v>
      </c>
      <c r="AB731" s="11">
        <v>58.697000000000003</v>
      </c>
      <c r="AC731" s="11">
        <v>57.777000000000001</v>
      </c>
      <c r="AD731" s="11">
        <v>57.155999999999999</v>
      </c>
      <c r="AE731" s="11">
        <v>56.795999999999999</v>
      </c>
      <c r="AF731" s="11">
        <v>56.518000000000001</v>
      </c>
      <c r="AG731" s="11">
        <v>56.28</v>
      </c>
      <c r="AH731" s="11">
        <v>56.08</v>
      </c>
      <c r="AI731" s="11">
        <v>55.860999999999997</v>
      </c>
      <c r="AJ731" s="11">
        <v>55.654000000000003</v>
      </c>
      <c r="AK731" s="11">
        <v>55.491</v>
      </c>
      <c r="AL731" s="11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</row>
    <row r="732" spans="1:147" x14ac:dyDescent="0.3">
      <c r="A732" s="9">
        <f>DATE(2019, 10, 29)</f>
        <v>43767</v>
      </c>
      <c r="B732" s="10">
        <v>61.59</v>
      </c>
      <c r="C732" s="10">
        <v>61.23</v>
      </c>
      <c r="D732" s="10">
        <v>60.64</v>
      </c>
      <c r="E732" s="10">
        <v>60.17</v>
      </c>
      <c r="F732" s="10">
        <v>59.77</v>
      </c>
      <c r="G732" s="10">
        <v>59.44</v>
      </c>
      <c r="H732" s="10">
        <v>59.14</v>
      </c>
      <c r="I732" s="10">
        <v>58.88</v>
      </c>
      <c r="J732" s="10">
        <v>58.66</v>
      </c>
      <c r="K732" s="10">
        <v>58.46</v>
      </c>
      <c r="L732" s="10">
        <v>58.26</v>
      </c>
      <c r="M732" s="10">
        <v>58.09</v>
      </c>
      <c r="N732" s="10">
        <v>55.54</v>
      </c>
      <c r="O732" s="10">
        <v>55.68</v>
      </c>
      <c r="P732" s="10">
        <v>55.64</v>
      </c>
      <c r="Q732" s="10">
        <v>55.47</v>
      </c>
      <c r="R732" s="10">
        <v>55.2</v>
      </c>
      <c r="S732" s="10">
        <v>54.89</v>
      </c>
      <c r="T732" s="10">
        <v>54.54</v>
      </c>
      <c r="U732" s="10">
        <v>54.16</v>
      </c>
      <c r="V732" s="10">
        <v>53.86</v>
      </c>
      <c r="W732" s="10">
        <v>53.56</v>
      </c>
      <c r="X732" s="10">
        <v>53.32</v>
      </c>
      <c r="Y732" s="10">
        <v>53.12</v>
      </c>
      <c r="Z732" s="11">
        <v>59.381999999999998</v>
      </c>
      <c r="AA732" s="11">
        <v>60.012</v>
      </c>
      <c r="AB732" s="11">
        <v>58.755000000000003</v>
      </c>
      <c r="AC732" s="11">
        <v>57.796999999999997</v>
      </c>
      <c r="AD732" s="11">
        <v>57.151000000000003</v>
      </c>
      <c r="AE732" s="11">
        <v>56.756</v>
      </c>
      <c r="AF732" s="11">
        <v>56.478000000000002</v>
      </c>
      <c r="AG732" s="11">
        <v>56.25</v>
      </c>
      <c r="AH732" s="11">
        <v>56.030999999999999</v>
      </c>
      <c r="AI732" s="11">
        <v>55.820999999999998</v>
      </c>
      <c r="AJ732" s="11">
        <v>55.613999999999997</v>
      </c>
      <c r="AK732" s="11">
        <v>55.432000000000002</v>
      </c>
      <c r="AL732" s="11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</row>
    <row r="733" spans="1:147" x14ac:dyDescent="0.3">
      <c r="A733" s="9">
        <f>DATE(2019, 10, 30)</f>
        <v>43768</v>
      </c>
      <c r="B733" s="10">
        <v>60.61</v>
      </c>
      <c r="C733" s="10">
        <v>60.24</v>
      </c>
      <c r="D733" s="10">
        <v>59.57</v>
      </c>
      <c r="E733" s="10">
        <v>59.04</v>
      </c>
      <c r="F733" s="10">
        <v>58.62</v>
      </c>
      <c r="G733" s="10">
        <v>58.29</v>
      </c>
      <c r="H733" s="10">
        <v>57.99</v>
      </c>
      <c r="I733" s="10">
        <v>57.72</v>
      </c>
      <c r="J733" s="10">
        <v>57.5</v>
      </c>
      <c r="K733" s="10">
        <v>57.3</v>
      </c>
      <c r="L733" s="10">
        <v>57.1</v>
      </c>
      <c r="M733" s="10">
        <v>56.93</v>
      </c>
      <c r="N733" s="10">
        <v>55.06</v>
      </c>
      <c r="O733" s="10">
        <v>55.1</v>
      </c>
      <c r="P733" s="10">
        <v>54.94</v>
      </c>
      <c r="Q733" s="10">
        <v>54.66</v>
      </c>
      <c r="R733" s="10">
        <v>54.32</v>
      </c>
      <c r="S733" s="10">
        <v>53.95</v>
      </c>
      <c r="T733" s="10">
        <v>53.56</v>
      </c>
      <c r="U733" s="10">
        <v>53.18</v>
      </c>
      <c r="V733" s="10">
        <v>52.82</v>
      </c>
      <c r="W733" s="10">
        <v>52.51</v>
      </c>
      <c r="X733" s="10">
        <v>52.25</v>
      </c>
      <c r="Y733" s="10">
        <v>52.05</v>
      </c>
      <c r="Z733" s="11">
        <v>59.337000000000003</v>
      </c>
      <c r="AA733" s="11">
        <v>59.018000000000001</v>
      </c>
      <c r="AB733" s="11">
        <v>57.719000000000001</v>
      </c>
      <c r="AC733" s="11">
        <v>56.720999999999997</v>
      </c>
      <c r="AD733" s="11">
        <v>56.033999999999999</v>
      </c>
      <c r="AE733" s="11">
        <v>55.616</v>
      </c>
      <c r="AF733" s="11">
        <v>55.326999999999998</v>
      </c>
      <c r="AG733" s="11">
        <v>55.09</v>
      </c>
      <c r="AH733" s="11">
        <v>54.871000000000002</v>
      </c>
      <c r="AI733" s="11">
        <v>54.661000000000001</v>
      </c>
      <c r="AJ733" s="11">
        <v>54.454000000000001</v>
      </c>
      <c r="AK733" s="11">
        <v>54.271999999999998</v>
      </c>
      <c r="AL733" s="11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</row>
    <row r="734" spans="1:147" x14ac:dyDescent="0.3">
      <c r="A734" s="9">
        <f>DATE(2019, 10, 31)</f>
        <v>43769</v>
      </c>
      <c r="B734" s="10">
        <v>60.23</v>
      </c>
      <c r="C734" s="10">
        <v>59.62</v>
      </c>
      <c r="D734" s="10">
        <v>58.91</v>
      </c>
      <c r="E734" s="10">
        <v>58.34</v>
      </c>
      <c r="F734" s="10">
        <v>57.91</v>
      </c>
      <c r="G734" s="10">
        <v>57.58</v>
      </c>
      <c r="H734" s="10">
        <v>57.3</v>
      </c>
      <c r="I734" s="10">
        <v>57.04</v>
      </c>
      <c r="J734" s="10">
        <v>56.82</v>
      </c>
      <c r="K734" s="10">
        <v>56.63</v>
      </c>
      <c r="L734" s="10">
        <v>56.45</v>
      </c>
      <c r="M734" s="10">
        <v>56.3</v>
      </c>
      <c r="N734" s="10">
        <v>54.18</v>
      </c>
      <c r="O734" s="10">
        <v>54.25</v>
      </c>
      <c r="P734" s="10">
        <v>54.16</v>
      </c>
      <c r="Q734" s="10">
        <v>53.92</v>
      </c>
      <c r="R734" s="10">
        <v>53.63</v>
      </c>
      <c r="S734" s="10">
        <v>53.31</v>
      </c>
      <c r="T734" s="10">
        <v>52.96</v>
      </c>
      <c r="U734" s="10">
        <v>52.61</v>
      </c>
      <c r="V734" s="10">
        <v>52.29</v>
      </c>
      <c r="W734" s="10">
        <v>52.02</v>
      </c>
      <c r="X734" s="10">
        <v>51.77</v>
      </c>
      <c r="Y734" s="10">
        <v>51.59</v>
      </c>
      <c r="Z734" s="11">
        <v>59.369</v>
      </c>
      <c r="AA734" s="11">
        <v>58.445999999999998</v>
      </c>
      <c r="AB734" s="11">
        <v>57.110999999999997</v>
      </c>
      <c r="AC734" s="11">
        <v>56.1</v>
      </c>
      <c r="AD734" s="11">
        <v>55.393999999999998</v>
      </c>
      <c r="AE734" s="11">
        <v>54.957000000000001</v>
      </c>
      <c r="AF734" s="11">
        <v>54.637999999999998</v>
      </c>
      <c r="AG734" s="11">
        <v>54.37</v>
      </c>
      <c r="AH734" s="11">
        <v>54.131</v>
      </c>
      <c r="AI734" s="11">
        <v>53.917000000000002</v>
      </c>
      <c r="AJ734" s="11">
        <v>53.776000000000003</v>
      </c>
      <c r="AK734" s="11">
        <v>53.633000000000003</v>
      </c>
      <c r="AL734" s="11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</row>
    <row r="735" spans="1:147" x14ac:dyDescent="0.3">
      <c r="A735" s="9">
        <f>DATE(2019, 11, 1)</f>
        <v>43770</v>
      </c>
      <c r="B735" s="10">
        <v>61.69</v>
      </c>
      <c r="C735" s="10">
        <v>60.97</v>
      </c>
      <c r="D735" s="10">
        <v>60.38</v>
      </c>
      <c r="E735" s="10">
        <v>59.94</v>
      </c>
      <c r="F735" s="10">
        <v>59.6</v>
      </c>
      <c r="G735" s="10">
        <v>59.3</v>
      </c>
      <c r="H735" s="10">
        <v>59.02</v>
      </c>
      <c r="I735" s="10">
        <v>58.79</v>
      </c>
      <c r="J735" s="10">
        <v>58.58</v>
      </c>
      <c r="K735" s="10">
        <v>58.38</v>
      </c>
      <c r="L735" s="10">
        <v>58.21</v>
      </c>
      <c r="M735" s="10">
        <v>58.03</v>
      </c>
      <c r="N735" s="10">
        <v>56.2</v>
      </c>
      <c r="O735" s="10">
        <v>56.27</v>
      </c>
      <c r="P735" s="10">
        <v>56.15</v>
      </c>
      <c r="Q735" s="10">
        <v>55.86</v>
      </c>
      <c r="R735" s="10">
        <v>55.54</v>
      </c>
      <c r="S735" s="10">
        <v>55.2</v>
      </c>
      <c r="T735" s="10">
        <v>54.84</v>
      </c>
      <c r="U735" s="10">
        <v>54.48</v>
      </c>
      <c r="V735" s="10">
        <v>54.14</v>
      </c>
      <c r="W735" s="10">
        <v>53.85</v>
      </c>
      <c r="X735" s="10">
        <v>53.59</v>
      </c>
      <c r="Y735" s="10">
        <v>53.39</v>
      </c>
      <c r="Z735" s="11">
        <v>59.369</v>
      </c>
      <c r="AA735" s="11">
        <v>60.551000000000002</v>
      </c>
      <c r="AB735" s="11">
        <v>59.194000000000003</v>
      </c>
      <c r="AC735" s="11">
        <v>58.191000000000003</v>
      </c>
      <c r="AD735" s="11">
        <v>57.463000000000001</v>
      </c>
      <c r="AE735" s="11">
        <v>56.985999999999997</v>
      </c>
      <c r="AF735" s="11">
        <v>56.655000000000001</v>
      </c>
      <c r="AG735" s="11">
        <v>56.37</v>
      </c>
      <c r="AH735" s="11">
        <v>56.121000000000002</v>
      </c>
      <c r="AI735" s="11">
        <v>55.881</v>
      </c>
      <c r="AJ735" s="11">
        <v>55.704000000000001</v>
      </c>
      <c r="AK735" s="11">
        <v>55.531999999999996</v>
      </c>
      <c r="AL735" s="11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</row>
    <row r="736" spans="1:147" x14ac:dyDescent="0.3">
      <c r="A736" s="9">
        <f>DATE(2019, 11, 4)</f>
        <v>43773</v>
      </c>
      <c r="B736" s="10">
        <v>62.13</v>
      </c>
      <c r="C736" s="10">
        <v>61.35</v>
      </c>
      <c r="D736" s="10">
        <v>60.71</v>
      </c>
      <c r="E736" s="10">
        <v>60.25</v>
      </c>
      <c r="F736" s="10">
        <v>59.89</v>
      </c>
      <c r="G736" s="10">
        <v>59.57</v>
      </c>
      <c r="H736" s="10">
        <v>59.27</v>
      </c>
      <c r="I736" s="10">
        <v>59.03</v>
      </c>
      <c r="J736" s="10">
        <v>58.8</v>
      </c>
      <c r="K736" s="10">
        <v>58.58</v>
      </c>
      <c r="L736" s="10">
        <v>58.39</v>
      </c>
      <c r="M736" s="10">
        <v>58.2</v>
      </c>
      <c r="N736" s="10">
        <v>56.54</v>
      </c>
      <c r="O736" s="10">
        <v>56.6</v>
      </c>
      <c r="P736" s="10">
        <v>56.47</v>
      </c>
      <c r="Q736" s="10">
        <v>56.18</v>
      </c>
      <c r="R736" s="10">
        <v>55.83</v>
      </c>
      <c r="S736" s="10">
        <v>55.45</v>
      </c>
      <c r="T736" s="10">
        <v>55.05</v>
      </c>
      <c r="U736" s="10">
        <v>54.66</v>
      </c>
      <c r="V736" s="10">
        <v>54.28</v>
      </c>
      <c r="W736" s="10">
        <v>53.96</v>
      </c>
      <c r="X736" s="10">
        <v>53.68</v>
      </c>
      <c r="Y736" s="10">
        <v>53.44</v>
      </c>
      <c r="Z736" s="11">
        <v>60.865000000000002</v>
      </c>
      <c r="AA736" s="11">
        <v>59.537999999999997</v>
      </c>
      <c r="AB736" s="11">
        <v>58.478999999999999</v>
      </c>
      <c r="AC736" s="11">
        <v>57.741999999999997</v>
      </c>
      <c r="AD736" s="11">
        <v>57.223999999999997</v>
      </c>
      <c r="AE736" s="11">
        <v>56.875999999999998</v>
      </c>
      <c r="AF736" s="11">
        <v>56.62</v>
      </c>
      <c r="AG736" s="11">
        <v>56.360999999999997</v>
      </c>
      <c r="AH736" s="11">
        <v>56.1</v>
      </c>
      <c r="AI736" s="11">
        <v>55.902000000000001</v>
      </c>
      <c r="AJ736" s="11">
        <v>55.710999999999999</v>
      </c>
      <c r="AK736" s="11">
        <v>55.534999999999997</v>
      </c>
      <c r="AL736" s="11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</row>
    <row r="737" spans="1:147" x14ac:dyDescent="0.3">
      <c r="A737" s="9">
        <f>DATE(2019, 11, 5)</f>
        <v>43774</v>
      </c>
      <c r="B737" s="10">
        <v>62.96</v>
      </c>
      <c r="C737" s="10">
        <v>62.13</v>
      </c>
      <c r="D737" s="10">
        <v>61.46</v>
      </c>
      <c r="E737" s="10">
        <v>60.96</v>
      </c>
      <c r="F737" s="10">
        <v>60.56</v>
      </c>
      <c r="G737" s="10">
        <v>60.21</v>
      </c>
      <c r="H737" s="10">
        <v>59.89</v>
      </c>
      <c r="I737" s="10">
        <v>59.62</v>
      </c>
      <c r="J737" s="10">
        <v>59.37</v>
      </c>
      <c r="K737" s="10">
        <v>59.13</v>
      </c>
      <c r="L737" s="10">
        <v>58.93</v>
      </c>
      <c r="M737" s="10">
        <v>58.72</v>
      </c>
      <c r="N737" s="10">
        <v>57.23</v>
      </c>
      <c r="O737" s="10">
        <v>57.29</v>
      </c>
      <c r="P737" s="10">
        <v>57.15</v>
      </c>
      <c r="Q737" s="10">
        <v>56.84</v>
      </c>
      <c r="R737" s="10">
        <v>56.45</v>
      </c>
      <c r="S737" s="10">
        <v>56.03</v>
      </c>
      <c r="T737" s="10">
        <v>55.59</v>
      </c>
      <c r="U737" s="10">
        <v>55.16</v>
      </c>
      <c r="V737" s="10">
        <v>54.77</v>
      </c>
      <c r="W737" s="10">
        <v>54.42</v>
      </c>
      <c r="X737" s="10">
        <v>54.12</v>
      </c>
      <c r="Y737" s="10">
        <v>53.88</v>
      </c>
      <c r="Z737" s="11">
        <v>61.53</v>
      </c>
      <c r="AA737" s="11">
        <v>60.286000000000001</v>
      </c>
      <c r="AB737" s="11">
        <v>59.097000000000001</v>
      </c>
      <c r="AC737" s="11">
        <v>58.3</v>
      </c>
      <c r="AD737" s="11">
        <v>57.774000000000001</v>
      </c>
      <c r="AE737" s="11">
        <v>57.395000000000003</v>
      </c>
      <c r="AF737" s="11">
        <v>57.137</v>
      </c>
      <c r="AG737" s="11">
        <v>56.869</v>
      </c>
      <c r="AH737" s="11">
        <v>56.6</v>
      </c>
      <c r="AI737" s="11">
        <v>56.350999999999999</v>
      </c>
      <c r="AJ737" s="11">
        <v>56.13</v>
      </c>
      <c r="AK737" s="11">
        <v>55.914000000000001</v>
      </c>
      <c r="AL737" s="11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</row>
    <row r="738" spans="1:147" x14ac:dyDescent="0.3">
      <c r="A738" s="9">
        <f>DATE(2019, 11, 6)</f>
        <v>43775</v>
      </c>
      <c r="B738" s="10">
        <v>61.74</v>
      </c>
      <c r="C738" s="10">
        <v>60.89</v>
      </c>
      <c r="D738" s="10">
        <v>60.19</v>
      </c>
      <c r="E738" s="10">
        <v>59.66</v>
      </c>
      <c r="F738" s="10">
        <v>59.25</v>
      </c>
      <c r="G738" s="10">
        <v>58.89</v>
      </c>
      <c r="H738" s="10">
        <v>58.58</v>
      </c>
      <c r="I738" s="10">
        <v>58.32</v>
      </c>
      <c r="J738" s="10">
        <v>58.09</v>
      </c>
      <c r="K738" s="10">
        <v>57.86</v>
      </c>
      <c r="L738" s="10">
        <v>57.68</v>
      </c>
      <c r="M738" s="10">
        <v>57.48</v>
      </c>
      <c r="N738" s="10">
        <v>56.35</v>
      </c>
      <c r="O738" s="10">
        <v>56.38</v>
      </c>
      <c r="P738" s="10">
        <v>56.2</v>
      </c>
      <c r="Q738" s="10">
        <v>55.84</v>
      </c>
      <c r="R738" s="10">
        <v>55.41</v>
      </c>
      <c r="S738" s="10">
        <v>54.96</v>
      </c>
      <c r="T738" s="10">
        <v>54.52</v>
      </c>
      <c r="U738" s="10">
        <v>54.07</v>
      </c>
      <c r="V738" s="10">
        <v>53.66</v>
      </c>
      <c r="W738" s="10">
        <v>53.31</v>
      </c>
      <c r="X738" s="10">
        <v>53.03</v>
      </c>
      <c r="Y738" s="10">
        <v>52.81</v>
      </c>
      <c r="Z738" s="11">
        <v>60.537999999999997</v>
      </c>
      <c r="AA738" s="11">
        <v>59.063000000000002</v>
      </c>
      <c r="AB738" s="11">
        <v>57.896000000000001</v>
      </c>
      <c r="AC738" s="11">
        <v>57.08</v>
      </c>
      <c r="AD738" s="11">
        <v>56.53</v>
      </c>
      <c r="AE738" s="11">
        <v>56.134999999999998</v>
      </c>
      <c r="AF738" s="11">
        <v>55.838000000000001</v>
      </c>
      <c r="AG738" s="11">
        <v>55.56</v>
      </c>
      <c r="AH738" s="11">
        <v>55.31</v>
      </c>
      <c r="AI738" s="11">
        <v>55.082999999999998</v>
      </c>
      <c r="AJ738" s="11">
        <v>54.850999999999999</v>
      </c>
      <c r="AK738" s="11">
        <v>54.664000000000001</v>
      </c>
      <c r="AL738" s="11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</row>
    <row r="739" spans="1:147" x14ac:dyDescent="0.3">
      <c r="A739" s="9">
        <f>DATE(2019, 11, 7)</f>
        <v>43776</v>
      </c>
      <c r="B739" s="10">
        <v>62.29</v>
      </c>
      <c r="C739" s="10">
        <v>61.41</v>
      </c>
      <c r="D739" s="10">
        <v>60.7</v>
      </c>
      <c r="E739" s="10">
        <v>60.17</v>
      </c>
      <c r="F739" s="10">
        <v>59.78</v>
      </c>
      <c r="G739" s="10">
        <v>59.43</v>
      </c>
      <c r="H739" s="10">
        <v>59.11</v>
      </c>
      <c r="I739" s="10">
        <v>58.85</v>
      </c>
      <c r="J739" s="10">
        <v>58.61</v>
      </c>
      <c r="K739" s="10">
        <v>58.37</v>
      </c>
      <c r="L739" s="10">
        <v>58.18</v>
      </c>
      <c r="M739" s="10">
        <v>57.97</v>
      </c>
      <c r="N739" s="10">
        <v>57.15</v>
      </c>
      <c r="O739" s="10">
        <v>57.15</v>
      </c>
      <c r="P739" s="10">
        <v>56.93</v>
      </c>
      <c r="Q739" s="10">
        <v>56.54</v>
      </c>
      <c r="R739" s="10">
        <v>56.12</v>
      </c>
      <c r="S739" s="10">
        <v>55.67</v>
      </c>
      <c r="T739" s="10">
        <v>55.21</v>
      </c>
      <c r="U739" s="10">
        <v>54.76</v>
      </c>
      <c r="V739" s="10">
        <v>54.34</v>
      </c>
      <c r="W739" s="10">
        <v>53.97</v>
      </c>
      <c r="X739" s="10">
        <v>53.66</v>
      </c>
      <c r="Y739" s="10">
        <v>53.41</v>
      </c>
      <c r="Z739" s="11">
        <v>61.12</v>
      </c>
      <c r="AA739" s="11">
        <v>59.779000000000003</v>
      </c>
      <c r="AB739" s="11">
        <v>58.521999999999998</v>
      </c>
      <c r="AC739" s="11">
        <v>57.69</v>
      </c>
      <c r="AD739" s="11">
        <v>57.1</v>
      </c>
      <c r="AE739" s="11">
        <v>56.668999999999997</v>
      </c>
      <c r="AF739" s="11">
        <v>56.366999999999997</v>
      </c>
      <c r="AG739" s="11">
        <v>56.078000000000003</v>
      </c>
      <c r="AH739" s="11">
        <v>55.872999999999998</v>
      </c>
      <c r="AI739" s="11">
        <v>55.634999999999998</v>
      </c>
      <c r="AJ739" s="11">
        <v>55.402999999999999</v>
      </c>
      <c r="AK739" s="11">
        <v>55.234000000000002</v>
      </c>
      <c r="AL739" s="11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</row>
    <row r="740" spans="1:147" x14ac:dyDescent="0.3">
      <c r="A740" s="9">
        <f>DATE(2019, 11, 8)</f>
        <v>43777</v>
      </c>
      <c r="B740" s="10">
        <v>62.51</v>
      </c>
      <c r="C740" s="10">
        <v>61.62</v>
      </c>
      <c r="D740" s="10">
        <v>60.91</v>
      </c>
      <c r="E740" s="10">
        <v>60.39</v>
      </c>
      <c r="F740" s="10">
        <v>60.03</v>
      </c>
      <c r="G740" s="10">
        <v>59.71</v>
      </c>
      <c r="H740" s="10">
        <v>59.41</v>
      </c>
      <c r="I740" s="10">
        <v>59.16</v>
      </c>
      <c r="J740" s="10">
        <v>58.92</v>
      </c>
      <c r="K740" s="10">
        <v>58.69</v>
      </c>
      <c r="L740" s="10">
        <v>58.49</v>
      </c>
      <c r="M740" s="10">
        <v>58.28</v>
      </c>
      <c r="N740" s="10">
        <v>57.24</v>
      </c>
      <c r="O740" s="10">
        <v>57.26</v>
      </c>
      <c r="P740" s="10">
        <v>57.1</v>
      </c>
      <c r="Q740" s="10">
        <v>56.77</v>
      </c>
      <c r="R740" s="10">
        <v>56.4</v>
      </c>
      <c r="S740" s="10">
        <v>55.99</v>
      </c>
      <c r="T740" s="10">
        <v>55.55</v>
      </c>
      <c r="U740" s="10">
        <v>55.12</v>
      </c>
      <c r="V740" s="10">
        <v>54.7</v>
      </c>
      <c r="W740" s="10">
        <v>54.33</v>
      </c>
      <c r="X740" s="10">
        <v>54.02</v>
      </c>
      <c r="Y740" s="10">
        <v>53.79</v>
      </c>
      <c r="Z740" s="11">
        <v>61.353000000000002</v>
      </c>
      <c r="AA740" s="11">
        <v>60.112000000000002</v>
      </c>
      <c r="AB740" s="11">
        <v>58.816000000000003</v>
      </c>
      <c r="AC740" s="11">
        <v>57.962000000000003</v>
      </c>
      <c r="AD740" s="11">
        <v>57.375</v>
      </c>
      <c r="AE740" s="11">
        <v>56.956000000000003</v>
      </c>
      <c r="AF740" s="11">
        <v>56.648000000000003</v>
      </c>
      <c r="AG740" s="11">
        <v>56.359000000000002</v>
      </c>
      <c r="AH740" s="11">
        <v>56.13</v>
      </c>
      <c r="AI740" s="11">
        <v>55.911000000000001</v>
      </c>
      <c r="AJ740" s="11">
        <v>55.72</v>
      </c>
      <c r="AK740" s="11">
        <v>55.524000000000001</v>
      </c>
      <c r="AL740" s="11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</row>
    <row r="741" spans="1:147" x14ac:dyDescent="0.3">
      <c r="A741" s="9">
        <f>DATE(2019, 11, 11)</f>
        <v>43780</v>
      </c>
      <c r="B741" s="10">
        <v>62.18</v>
      </c>
      <c r="C741" s="10">
        <v>61.3</v>
      </c>
      <c r="D741" s="10">
        <v>60.6</v>
      </c>
      <c r="E741" s="10">
        <v>60.1</v>
      </c>
      <c r="F741" s="10">
        <v>59.75</v>
      </c>
      <c r="G741" s="10">
        <v>59.45</v>
      </c>
      <c r="H741" s="10">
        <v>59.17</v>
      </c>
      <c r="I741" s="10">
        <v>58.94</v>
      </c>
      <c r="J741" s="10">
        <v>58.71</v>
      </c>
      <c r="K741" s="10">
        <v>58.49</v>
      </c>
      <c r="L741" s="10">
        <v>58.31</v>
      </c>
      <c r="M741" s="10">
        <v>58.11</v>
      </c>
      <c r="N741" s="10">
        <v>56.86</v>
      </c>
      <c r="O741" s="10">
        <v>56.9</v>
      </c>
      <c r="P741" s="10">
        <v>56.77</v>
      </c>
      <c r="Q741" s="10">
        <v>56.49</v>
      </c>
      <c r="R741" s="10">
        <v>56.16</v>
      </c>
      <c r="S741" s="10">
        <v>55.78</v>
      </c>
      <c r="T741" s="10">
        <v>55.37</v>
      </c>
      <c r="U741" s="10">
        <v>54.95</v>
      </c>
      <c r="V741" s="10">
        <v>54.55</v>
      </c>
      <c r="W741" s="10">
        <v>54.2</v>
      </c>
      <c r="X741" s="10">
        <v>53.91</v>
      </c>
      <c r="Y741" s="10">
        <v>53.67</v>
      </c>
      <c r="Z741" s="11">
        <v>61.237000000000002</v>
      </c>
      <c r="AA741" s="11">
        <v>59.972999999999999</v>
      </c>
      <c r="AB741" s="11">
        <v>58.655000000000001</v>
      </c>
      <c r="AC741" s="11">
        <v>57.761000000000003</v>
      </c>
      <c r="AD741" s="11">
        <v>57.198</v>
      </c>
      <c r="AE741" s="11">
        <v>56.795999999999999</v>
      </c>
      <c r="AF741" s="11">
        <v>56.514000000000003</v>
      </c>
      <c r="AG741" s="11">
        <v>56.223999999999997</v>
      </c>
      <c r="AH741" s="11">
        <v>56</v>
      </c>
      <c r="AI741" s="11">
        <v>55.802999999999997</v>
      </c>
      <c r="AJ741" s="11">
        <v>55.610999999999997</v>
      </c>
      <c r="AK741" s="11">
        <v>55.414000000000001</v>
      </c>
      <c r="AL741" s="11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</row>
    <row r="742" spans="1:147" x14ac:dyDescent="0.3">
      <c r="A742" s="9">
        <f>DATE(2019, 11, 12)</f>
        <v>43781</v>
      </c>
      <c r="B742" s="10">
        <v>62.06</v>
      </c>
      <c r="C742" s="10">
        <v>61.24</v>
      </c>
      <c r="D742" s="10">
        <v>60.6</v>
      </c>
      <c r="E742" s="10">
        <v>60.16</v>
      </c>
      <c r="F742" s="10">
        <v>59.84</v>
      </c>
      <c r="G742" s="10">
        <v>59.55</v>
      </c>
      <c r="H742" s="10">
        <v>59.28</v>
      </c>
      <c r="I742" s="10">
        <v>59.05</v>
      </c>
      <c r="J742" s="10">
        <v>58.84</v>
      </c>
      <c r="K742" s="10">
        <v>58.63</v>
      </c>
      <c r="L742" s="10">
        <v>58.45</v>
      </c>
      <c r="M742" s="10">
        <v>58.26</v>
      </c>
      <c r="N742" s="10">
        <v>56.8</v>
      </c>
      <c r="O742" s="10">
        <v>56.85</v>
      </c>
      <c r="P742" s="10">
        <v>56.74</v>
      </c>
      <c r="Q742" s="10">
        <v>56.48</v>
      </c>
      <c r="R742" s="10">
        <v>56.18</v>
      </c>
      <c r="S742" s="10">
        <v>55.84</v>
      </c>
      <c r="T742" s="10">
        <v>55.45</v>
      </c>
      <c r="U742" s="10">
        <v>55.05</v>
      </c>
      <c r="V742" s="10">
        <v>54.66</v>
      </c>
      <c r="W742" s="10">
        <v>54.3</v>
      </c>
      <c r="X742" s="10">
        <v>54.01</v>
      </c>
      <c r="Y742" s="10">
        <v>53.77</v>
      </c>
      <c r="Z742" s="11">
        <v>61.311</v>
      </c>
      <c r="AA742" s="11">
        <v>60.043999999999997</v>
      </c>
      <c r="AB742" s="11">
        <v>58.774999999999999</v>
      </c>
      <c r="AC742" s="11">
        <v>57.981000000000002</v>
      </c>
      <c r="AD742" s="11">
        <v>57.39</v>
      </c>
      <c r="AE742" s="11">
        <v>56.975000000000001</v>
      </c>
      <c r="AF742" s="11">
        <v>56.656999999999996</v>
      </c>
      <c r="AG742" s="11">
        <v>56.338000000000001</v>
      </c>
      <c r="AH742" s="11">
        <v>56.125999999999998</v>
      </c>
      <c r="AI742" s="11">
        <v>55.923999999999999</v>
      </c>
      <c r="AJ742" s="11">
        <v>55.780999999999999</v>
      </c>
      <c r="AK742" s="11">
        <v>55.62</v>
      </c>
      <c r="AL742" s="11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</row>
    <row r="743" spans="1:147" x14ac:dyDescent="0.3">
      <c r="A743" s="9">
        <f>DATE(2019, 11, 13)</f>
        <v>43782</v>
      </c>
      <c r="B743" s="10">
        <v>62.37</v>
      </c>
      <c r="C743" s="10">
        <v>61.54</v>
      </c>
      <c r="D743" s="10">
        <v>60.89</v>
      </c>
      <c r="E743" s="10">
        <v>60.43</v>
      </c>
      <c r="F743" s="10">
        <v>60.11</v>
      </c>
      <c r="G743" s="10">
        <v>59.82</v>
      </c>
      <c r="H743" s="10">
        <v>59.54</v>
      </c>
      <c r="I743" s="10">
        <v>59.31</v>
      </c>
      <c r="J743" s="10">
        <v>59.1</v>
      </c>
      <c r="K743" s="10">
        <v>58.88</v>
      </c>
      <c r="L743" s="10">
        <v>58.7</v>
      </c>
      <c r="M743" s="10">
        <v>58.52</v>
      </c>
      <c r="N743" s="10">
        <v>57.12</v>
      </c>
      <c r="O743" s="10">
        <v>57.2</v>
      </c>
      <c r="P743" s="10">
        <v>57.09</v>
      </c>
      <c r="Q743" s="10">
        <v>56.82</v>
      </c>
      <c r="R743" s="10">
        <v>56.49</v>
      </c>
      <c r="S743" s="10">
        <v>56.13</v>
      </c>
      <c r="T743" s="10">
        <v>55.73</v>
      </c>
      <c r="U743" s="10">
        <v>55.32</v>
      </c>
      <c r="V743" s="10">
        <v>54.92</v>
      </c>
      <c r="W743" s="10">
        <v>54.55</v>
      </c>
      <c r="X743" s="10">
        <v>54.24</v>
      </c>
      <c r="Y743" s="10">
        <v>53.99</v>
      </c>
      <c r="Z743" s="11">
        <v>61.445999999999998</v>
      </c>
      <c r="AA743" s="11">
        <v>60.287999999999997</v>
      </c>
      <c r="AB743" s="11">
        <v>59.079000000000001</v>
      </c>
      <c r="AC743" s="11">
        <v>58.279000000000003</v>
      </c>
      <c r="AD743" s="11">
        <v>57.69</v>
      </c>
      <c r="AE743" s="11">
        <v>57.277000000000001</v>
      </c>
      <c r="AF743" s="11">
        <v>56.959000000000003</v>
      </c>
      <c r="AG743" s="11">
        <v>56.65</v>
      </c>
      <c r="AH743" s="11">
        <v>56.41</v>
      </c>
      <c r="AI743" s="11">
        <v>56.216000000000001</v>
      </c>
      <c r="AJ743" s="11">
        <v>56.052</v>
      </c>
      <c r="AK743" s="11">
        <v>55.865000000000002</v>
      </c>
      <c r="AL743" s="11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</row>
    <row r="744" spans="1:147" x14ac:dyDescent="0.3">
      <c r="A744" s="9">
        <f>DATE(2019, 11, 14)</f>
        <v>43783</v>
      </c>
      <c r="B744" s="10">
        <v>62.28</v>
      </c>
      <c r="C744" s="10">
        <v>61.41</v>
      </c>
      <c r="D744" s="10">
        <v>60.75</v>
      </c>
      <c r="E744" s="10">
        <v>60.28</v>
      </c>
      <c r="F744" s="10">
        <v>59.95</v>
      </c>
      <c r="G744" s="10">
        <v>59.64</v>
      </c>
      <c r="H744" s="10">
        <v>59.34</v>
      </c>
      <c r="I744" s="10">
        <v>59.09</v>
      </c>
      <c r="J744" s="10">
        <v>58.87</v>
      </c>
      <c r="K744" s="10">
        <v>58.64</v>
      </c>
      <c r="L744" s="10">
        <v>58.46</v>
      </c>
      <c r="M744" s="10">
        <v>58.26</v>
      </c>
      <c r="N744" s="10">
        <v>56.77</v>
      </c>
      <c r="O744" s="10">
        <v>56.88</v>
      </c>
      <c r="P744" s="10">
        <v>56.77</v>
      </c>
      <c r="Q744" s="10">
        <v>56.48</v>
      </c>
      <c r="R744" s="10">
        <v>56.14</v>
      </c>
      <c r="S744" s="10">
        <v>55.78</v>
      </c>
      <c r="T744" s="10">
        <v>55.38</v>
      </c>
      <c r="U744" s="10">
        <v>54.96</v>
      </c>
      <c r="V744" s="10">
        <v>54.54</v>
      </c>
      <c r="W744" s="10">
        <v>54.16</v>
      </c>
      <c r="X744" s="10">
        <v>53.84</v>
      </c>
      <c r="Y744" s="10">
        <v>53.58</v>
      </c>
      <c r="Z744" s="11">
        <v>61.514000000000003</v>
      </c>
      <c r="AA744" s="11">
        <v>60.113</v>
      </c>
      <c r="AB744" s="11">
        <v>58.902000000000001</v>
      </c>
      <c r="AC744" s="11">
        <v>58.06</v>
      </c>
      <c r="AD744" s="11">
        <v>57.448999999999998</v>
      </c>
      <c r="AE744" s="11">
        <v>57.026000000000003</v>
      </c>
      <c r="AF744" s="11">
        <v>56.694000000000003</v>
      </c>
      <c r="AG744" s="11">
        <v>56.372999999999998</v>
      </c>
      <c r="AH744" s="11">
        <v>56.131999999999998</v>
      </c>
      <c r="AI744" s="11">
        <v>55.954999999999998</v>
      </c>
      <c r="AJ744" s="11">
        <v>55.756</v>
      </c>
      <c r="AK744" s="11">
        <v>55.558999999999997</v>
      </c>
      <c r="AL744" s="11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</row>
    <row r="745" spans="1:147" x14ac:dyDescent="0.3">
      <c r="A745" s="9">
        <f>DATE(2019, 11, 15)</f>
        <v>43784</v>
      </c>
      <c r="B745" s="10">
        <v>63.3</v>
      </c>
      <c r="C745" s="10">
        <v>62.4</v>
      </c>
      <c r="D745" s="10">
        <v>61.71</v>
      </c>
      <c r="E745" s="10">
        <v>61.21</v>
      </c>
      <c r="F745" s="10">
        <v>60.82</v>
      </c>
      <c r="G745" s="10">
        <v>60.46</v>
      </c>
      <c r="H745" s="10">
        <v>60.12</v>
      </c>
      <c r="I745" s="10">
        <v>59.83</v>
      </c>
      <c r="J745" s="10">
        <v>59.58</v>
      </c>
      <c r="K745" s="10">
        <v>59.33</v>
      </c>
      <c r="L745" s="10">
        <v>59.13</v>
      </c>
      <c r="M745" s="10">
        <v>58.91</v>
      </c>
      <c r="N745" s="10">
        <v>57.72</v>
      </c>
      <c r="O745" s="10">
        <v>57.83</v>
      </c>
      <c r="P745" s="10">
        <v>57.69</v>
      </c>
      <c r="Q745" s="10">
        <v>57.37</v>
      </c>
      <c r="R745" s="10">
        <v>56.98</v>
      </c>
      <c r="S745" s="10">
        <v>56.57</v>
      </c>
      <c r="T745" s="10">
        <v>56.13</v>
      </c>
      <c r="U745" s="10">
        <v>55.67</v>
      </c>
      <c r="V745" s="10">
        <v>55.22</v>
      </c>
      <c r="W745" s="10">
        <v>54.81</v>
      </c>
      <c r="X745" s="10">
        <v>54.47</v>
      </c>
      <c r="Y745" s="10">
        <v>54.19</v>
      </c>
      <c r="Z745" s="11">
        <v>61.956000000000003</v>
      </c>
      <c r="AA745" s="11">
        <v>61.033999999999999</v>
      </c>
      <c r="AB745" s="11">
        <v>59.807000000000002</v>
      </c>
      <c r="AC745" s="11">
        <v>58.970999999999997</v>
      </c>
      <c r="AD745" s="11">
        <v>58.344000000000001</v>
      </c>
      <c r="AE745" s="11">
        <v>57.893999999999998</v>
      </c>
      <c r="AF745" s="11">
        <v>57.526000000000003</v>
      </c>
      <c r="AG745" s="11">
        <v>57.168999999999997</v>
      </c>
      <c r="AH745" s="11">
        <v>56.878999999999998</v>
      </c>
      <c r="AI745" s="11">
        <v>56.643000000000001</v>
      </c>
      <c r="AJ745" s="11">
        <v>56.424999999999997</v>
      </c>
      <c r="AK745" s="11">
        <v>56.207999999999998</v>
      </c>
      <c r="AL745" s="11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</row>
    <row r="746" spans="1:147" x14ac:dyDescent="0.3">
      <c r="A746" s="9">
        <f>DATE(2019, 11, 18)</f>
        <v>43787</v>
      </c>
      <c r="B746" s="10">
        <v>62.44</v>
      </c>
      <c r="C746" s="10">
        <v>61.53</v>
      </c>
      <c r="D746" s="10">
        <v>60.83</v>
      </c>
      <c r="E746" s="10">
        <v>60.33</v>
      </c>
      <c r="F746" s="10">
        <v>59.96</v>
      </c>
      <c r="G746" s="10">
        <v>59.62</v>
      </c>
      <c r="H746" s="10">
        <v>59.3</v>
      </c>
      <c r="I746" s="10">
        <v>59.03</v>
      </c>
      <c r="J746" s="10">
        <v>58.8</v>
      </c>
      <c r="K746" s="10">
        <v>58.56</v>
      </c>
      <c r="L746" s="10">
        <v>58.37</v>
      </c>
      <c r="M746" s="10">
        <v>58.17</v>
      </c>
      <c r="N746" s="10">
        <v>57.05</v>
      </c>
      <c r="O746" s="10">
        <v>57.14</v>
      </c>
      <c r="P746" s="10">
        <v>57</v>
      </c>
      <c r="Q746" s="10">
        <v>56.67</v>
      </c>
      <c r="R746" s="10">
        <v>56.29</v>
      </c>
      <c r="S746" s="10">
        <v>55.88</v>
      </c>
      <c r="T746" s="10">
        <v>55.46</v>
      </c>
      <c r="U746" s="10">
        <v>55.02</v>
      </c>
      <c r="V746" s="10">
        <v>54.6</v>
      </c>
      <c r="W746" s="10">
        <v>54.21</v>
      </c>
      <c r="X746" s="10">
        <v>53.88</v>
      </c>
      <c r="Y746" s="10">
        <v>53.62</v>
      </c>
      <c r="Z746" s="11">
        <v>61.588000000000001</v>
      </c>
      <c r="AA746" s="11">
        <v>60.192999999999998</v>
      </c>
      <c r="AB746" s="11">
        <v>58.936999999999998</v>
      </c>
      <c r="AC746" s="11">
        <v>58.082000000000001</v>
      </c>
      <c r="AD746" s="11">
        <v>57.454999999999998</v>
      </c>
      <c r="AE746" s="11">
        <v>57.005000000000003</v>
      </c>
      <c r="AF746" s="11">
        <v>56.656999999999996</v>
      </c>
      <c r="AG746" s="11">
        <v>56.31</v>
      </c>
      <c r="AH746" s="11">
        <v>56.08</v>
      </c>
      <c r="AI746" s="11">
        <v>55.832000000000001</v>
      </c>
      <c r="AJ746" s="11">
        <v>55.621000000000002</v>
      </c>
      <c r="AK746" s="11">
        <v>55.444000000000003</v>
      </c>
      <c r="AL746" s="11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</row>
    <row r="747" spans="1:147" x14ac:dyDescent="0.3">
      <c r="A747" s="9">
        <f>DATE(2019, 11, 19)</f>
        <v>43788</v>
      </c>
      <c r="B747" s="10">
        <v>60.91</v>
      </c>
      <c r="C747" s="10">
        <v>60.02</v>
      </c>
      <c r="D747" s="10">
        <v>59.34</v>
      </c>
      <c r="E747" s="10">
        <v>58.87</v>
      </c>
      <c r="F747" s="10">
        <v>58.54</v>
      </c>
      <c r="G747" s="10">
        <v>58.25</v>
      </c>
      <c r="H747" s="10">
        <v>57.97</v>
      </c>
      <c r="I747" s="10">
        <v>57.74</v>
      </c>
      <c r="J747" s="10">
        <v>57.55</v>
      </c>
      <c r="K747" s="10">
        <v>57.35</v>
      </c>
      <c r="L747" s="10">
        <v>57.2</v>
      </c>
      <c r="M747" s="10">
        <v>57.03</v>
      </c>
      <c r="N747" s="10">
        <v>55.21</v>
      </c>
      <c r="O747" s="10">
        <v>55.35</v>
      </c>
      <c r="P747" s="10">
        <v>55.26</v>
      </c>
      <c r="Q747" s="10">
        <v>55</v>
      </c>
      <c r="R747" s="10">
        <v>54.69</v>
      </c>
      <c r="S747" s="10">
        <v>54.36</v>
      </c>
      <c r="T747" s="10">
        <v>53.99</v>
      </c>
      <c r="U747" s="10">
        <v>53.62</v>
      </c>
      <c r="V747" s="10">
        <v>53.26</v>
      </c>
      <c r="W747" s="10">
        <v>52.94</v>
      </c>
      <c r="X747" s="10">
        <v>52.67</v>
      </c>
      <c r="Y747" s="10">
        <v>52.45</v>
      </c>
      <c r="Z747" s="11">
        <v>61.115000000000002</v>
      </c>
      <c r="AA747" s="11">
        <v>59.005000000000003</v>
      </c>
      <c r="AB747" s="11">
        <v>57.668999999999997</v>
      </c>
      <c r="AC747" s="11">
        <v>56.783999999999999</v>
      </c>
      <c r="AD747" s="11">
        <v>56.156999999999996</v>
      </c>
      <c r="AE747" s="11">
        <v>55.737000000000002</v>
      </c>
      <c r="AF747" s="11">
        <v>55.396999999999998</v>
      </c>
      <c r="AG747" s="11">
        <v>55.057000000000002</v>
      </c>
      <c r="AH747" s="11">
        <v>54.826999999999998</v>
      </c>
      <c r="AI747" s="11">
        <v>54.646000000000001</v>
      </c>
      <c r="AJ747" s="11">
        <v>54.475999999999999</v>
      </c>
      <c r="AK747" s="11">
        <v>54.316000000000003</v>
      </c>
      <c r="AL747" s="11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</row>
    <row r="748" spans="1:147" x14ac:dyDescent="0.3">
      <c r="A748" s="9">
        <f>DATE(2019, 11, 20)</f>
        <v>43789</v>
      </c>
      <c r="B748" s="10">
        <v>62.4</v>
      </c>
      <c r="C748" s="10">
        <v>61.47</v>
      </c>
      <c r="D748" s="10">
        <v>60.78</v>
      </c>
      <c r="E748" s="10">
        <v>60.29</v>
      </c>
      <c r="F748" s="10">
        <v>59.94</v>
      </c>
      <c r="G748" s="10">
        <v>59.62</v>
      </c>
      <c r="H748" s="10">
        <v>59.31</v>
      </c>
      <c r="I748" s="10">
        <v>59.05</v>
      </c>
      <c r="J748" s="10">
        <v>58.82</v>
      </c>
      <c r="K748" s="10">
        <v>58.6</v>
      </c>
      <c r="L748" s="10">
        <v>58.42</v>
      </c>
      <c r="M748" s="10">
        <v>58.23</v>
      </c>
      <c r="N748" s="10">
        <v>57.11</v>
      </c>
      <c r="O748" s="10">
        <v>57.01</v>
      </c>
      <c r="P748" s="10">
        <v>56.88</v>
      </c>
      <c r="Q748" s="10">
        <v>56.58</v>
      </c>
      <c r="R748" s="10">
        <v>56.23</v>
      </c>
      <c r="S748" s="10">
        <v>55.84</v>
      </c>
      <c r="T748" s="10">
        <v>55.43</v>
      </c>
      <c r="U748" s="10">
        <v>55.02</v>
      </c>
      <c r="V748" s="10">
        <v>54.62</v>
      </c>
      <c r="W748" s="10">
        <v>54.29</v>
      </c>
      <c r="X748" s="10">
        <v>53.99</v>
      </c>
      <c r="Y748" s="10">
        <v>53.75</v>
      </c>
      <c r="Z748" s="11">
        <v>61.618000000000002</v>
      </c>
      <c r="AA748" s="11">
        <v>60.594000000000001</v>
      </c>
      <c r="AB748" s="11">
        <v>59.167999999999999</v>
      </c>
      <c r="AC748" s="11">
        <v>58.253</v>
      </c>
      <c r="AD748" s="11">
        <v>57.573</v>
      </c>
      <c r="AE748" s="11">
        <v>57.133000000000003</v>
      </c>
      <c r="AF748" s="11">
        <v>56.768000000000001</v>
      </c>
      <c r="AG748" s="11">
        <v>56.4</v>
      </c>
      <c r="AH748" s="11">
        <v>56.13</v>
      </c>
      <c r="AI748" s="11">
        <v>55.902999999999999</v>
      </c>
      <c r="AJ748" s="11">
        <v>55.731000000000002</v>
      </c>
      <c r="AK748" s="11">
        <v>55.554000000000002</v>
      </c>
      <c r="AL748" s="11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</row>
    <row r="749" spans="1:147" x14ac:dyDescent="0.3">
      <c r="A749" s="9">
        <f>DATE(2019, 11, 21)</f>
        <v>43790</v>
      </c>
      <c r="B749" s="10">
        <v>63.97</v>
      </c>
      <c r="C749" s="10">
        <v>62.94</v>
      </c>
      <c r="D749" s="10">
        <v>62.19</v>
      </c>
      <c r="E749" s="10">
        <v>61.66</v>
      </c>
      <c r="F749" s="10">
        <v>61.26</v>
      </c>
      <c r="G749" s="10">
        <v>60.89</v>
      </c>
      <c r="H749" s="10">
        <v>60.54</v>
      </c>
      <c r="I749" s="10">
        <v>60.24</v>
      </c>
      <c r="J749" s="10">
        <v>59.98</v>
      </c>
      <c r="K749" s="10">
        <v>59.72</v>
      </c>
      <c r="L749" s="10">
        <v>59.5</v>
      </c>
      <c r="M749" s="10">
        <v>59.27</v>
      </c>
      <c r="N749" s="10">
        <v>58.58</v>
      </c>
      <c r="O749" s="10">
        <v>58.41</v>
      </c>
      <c r="P749" s="10">
        <v>58.02</v>
      </c>
      <c r="Q749" s="10">
        <v>57.58</v>
      </c>
      <c r="R749" s="10">
        <v>57.12</v>
      </c>
      <c r="S749" s="10">
        <v>56.64</v>
      </c>
      <c r="T749" s="10">
        <v>56.16</v>
      </c>
      <c r="U749" s="10">
        <v>55.71</v>
      </c>
      <c r="V749" s="10">
        <v>55.31</v>
      </c>
      <c r="W749" s="10">
        <v>54.98</v>
      </c>
      <c r="X749" s="10">
        <v>54.7</v>
      </c>
      <c r="Y749" s="10">
        <v>54.46</v>
      </c>
      <c r="Z749" s="11">
        <v>62.073999999999998</v>
      </c>
      <c r="AA749" s="11">
        <v>62.279000000000003</v>
      </c>
      <c r="AB749" s="11">
        <v>60.866</v>
      </c>
      <c r="AC749" s="11">
        <v>59.93</v>
      </c>
      <c r="AD749" s="11">
        <v>59.203000000000003</v>
      </c>
      <c r="AE749" s="11">
        <v>58.683</v>
      </c>
      <c r="AF749" s="11">
        <v>58.256</v>
      </c>
      <c r="AG749" s="11">
        <v>57.828000000000003</v>
      </c>
      <c r="AH749" s="11">
        <v>57.499000000000002</v>
      </c>
      <c r="AI749" s="11">
        <v>57.219000000000001</v>
      </c>
      <c r="AJ749" s="11">
        <v>56.94</v>
      </c>
      <c r="AK749" s="11">
        <v>56.682000000000002</v>
      </c>
      <c r="AL749" s="11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</row>
    <row r="750" spans="1:147" x14ac:dyDescent="0.3">
      <c r="A750" s="9">
        <f>DATE(2019, 11, 22)</f>
        <v>43791</v>
      </c>
      <c r="B750" s="10">
        <v>63.39</v>
      </c>
      <c r="C750" s="10">
        <v>62.37</v>
      </c>
      <c r="D750" s="10">
        <v>61.63</v>
      </c>
      <c r="E750" s="10">
        <v>61.13</v>
      </c>
      <c r="F750" s="10">
        <v>60.73</v>
      </c>
      <c r="G750" s="10">
        <v>60.37</v>
      </c>
      <c r="H750" s="10">
        <v>60.03</v>
      </c>
      <c r="I750" s="10">
        <v>59.74</v>
      </c>
      <c r="J750" s="10">
        <v>59.49</v>
      </c>
      <c r="K750" s="10">
        <v>59.25</v>
      </c>
      <c r="L750" s="10">
        <v>59.03</v>
      </c>
      <c r="M750" s="10">
        <v>58.81</v>
      </c>
      <c r="N750" s="10">
        <v>57.77</v>
      </c>
      <c r="O750" s="10">
        <v>57.66</v>
      </c>
      <c r="P750" s="10">
        <v>57.35</v>
      </c>
      <c r="Q750" s="10">
        <v>56.98</v>
      </c>
      <c r="R750" s="10">
        <v>56.57</v>
      </c>
      <c r="S750" s="10">
        <v>56.12</v>
      </c>
      <c r="T750" s="10">
        <v>55.67</v>
      </c>
      <c r="U750" s="10">
        <v>55.25</v>
      </c>
      <c r="V750" s="10">
        <v>54.86</v>
      </c>
      <c r="W750" s="10">
        <v>54.54</v>
      </c>
      <c r="X750" s="10">
        <v>54.28</v>
      </c>
      <c r="Y750" s="10">
        <v>54.06</v>
      </c>
      <c r="Z750" s="11">
        <v>61.970999999999997</v>
      </c>
      <c r="AA750" s="11">
        <v>61.83</v>
      </c>
      <c r="AB750" s="11">
        <v>60.406999999999996</v>
      </c>
      <c r="AC750" s="11">
        <v>59.47</v>
      </c>
      <c r="AD750" s="11">
        <v>58.734000000000002</v>
      </c>
      <c r="AE750" s="11">
        <v>58.213999999999999</v>
      </c>
      <c r="AF750" s="11">
        <v>57.786000000000001</v>
      </c>
      <c r="AG750" s="11">
        <v>57.408999999999999</v>
      </c>
      <c r="AH750" s="11">
        <v>57.06</v>
      </c>
      <c r="AI750" s="11">
        <v>56.759</v>
      </c>
      <c r="AJ750" s="11">
        <v>56.49</v>
      </c>
      <c r="AK750" s="11">
        <v>56.253</v>
      </c>
      <c r="AL750" s="11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</row>
    <row r="751" spans="1:147" x14ac:dyDescent="0.3">
      <c r="A751" s="9">
        <f>DATE(2019, 11, 25)</f>
        <v>43794</v>
      </c>
      <c r="B751" s="10">
        <v>63.65</v>
      </c>
      <c r="C751" s="10">
        <v>62.62</v>
      </c>
      <c r="D751" s="10">
        <v>61.93</v>
      </c>
      <c r="E751" s="10">
        <v>61.44</v>
      </c>
      <c r="F751" s="10">
        <v>61.04</v>
      </c>
      <c r="G751" s="10">
        <v>60.67</v>
      </c>
      <c r="H751" s="10">
        <v>60.31</v>
      </c>
      <c r="I751" s="10">
        <v>60.01</v>
      </c>
      <c r="J751" s="10">
        <v>59.75</v>
      </c>
      <c r="K751" s="10">
        <v>59.49</v>
      </c>
      <c r="L751" s="10">
        <v>59.26</v>
      </c>
      <c r="M751" s="10">
        <v>59.01</v>
      </c>
      <c r="N751" s="10">
        <v>58.01</v>
      </c>
      <c r="O751" s="10">
        <v>57.91</v>
      </c>
      <c r="P751" s="10">
        <v>57.63</v>
      </c>
      <c r="Q751" s="10">
        <v>57.28</v>
      </c>
      <c r="R751" s="10">
        <v>56.88</v>
      </c>
      <c r="S751" s="10">
        <v>56.44</v>
      </c>
      <c r="T751" s="10">
        <v>55.98</v>
      </c>
      <c r="U751" s="10">
        <v>55.54</v>
      </c>
      <c r="V751" s="10">
        <v>55.15</v>
      </c>
      <c r="W751" s="10">
        <v>54.82</v>
      </c>
      <c r="X751" s="10">
        <v>54.55</v>
      </c>
      <c r="Y751" s="10">
        <v>54.31</v>
      </c>
      <c r="Z751" s="11">
        <v>61.948999999999998</v>
      </c>
      <c r="AA751" s="11">
        <v>61.863999999999997</v>
      </c>
      <c r="AB751" s="11">
        <v>60.527999999999999</v>
      </c>
      <c r="AC751" s="11">
        <v>59.67</v>
      </c>
      <c r="AD751" s="11">
        <v>58.92</v>
      </c>
      <c r="AE751" s="11">
        <v>58.402999999999999</v>
      </c>
      <c r="AF751" s="11">
        <v>57.966000000000001</v>
      </c>
      <c r="AG751" s="11">
        <v>57.537999999999997</v>
      </c>
      <c r="AH751" s="11">
        <v>57.238</v>
      </c>
      <c r="AI751" s="11">
        <v>56.938000000000002</v>
      </c>
      <c r="AJ751" s="11">
        <v>56.628999999999998</v>
      </c>
      <c r="AK751" s="11">
        <v>56.351999999999997</v>
      </c>
      <c r="AL751" s="11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</row>
    <row r="752" spans="1:147" x14ac:dyDescent="0.3">
      <c r="A752" s="9">
        <f>DATE(2019, 11, 26)</f>
        <v>43795</v>
      </c>
      <c r="B752" s="10">
        <v>64.27</v>
      </c>
      <c r="C752" s="10">
        <v>63.21</v>
      </c>
      <c r="D752" s="10">
        <v>62.51</v>
      </c>
      <c r="E752" s="10">
        <v>62</v>
      </c>
      <c r="F752" s="10">
        <v>61.59</v>
      </c>
      <c r="G752" s="10">
        <v>61.21</v>
      </c>
      <c r="H752" s="10">
        <v>60.84</v>
      </c>
      <c r="I752" s="10">
        <v>60.53</v>
      </c>
      <c r="J752" s="10">
        <v>60.27</v>
      </c>
      <c r="K752" s="10">
        <v>60</v>
      </c>
      <c r="L752" s="10">
        <v>59.76</v>
      </c>
      <c r="M752" s="10">
        <v>59.51</v>
      </c>
      <c r="N752" s="10">
        <v>58.41</v>
      </c>
      <c r="O752" s="10">
        <v>58.32</v>
      </c>
      <c r="P752" s="10">
        <v>58.06</v>
      </c>
      <c r="Q752" s="10">
        <v>57.71</v>
      </c>
      <c r="R752" s="10">
        <v>57.32</v>
      </c>
      <c r="S752" s="10">
        <v>56.87</v>
      </c>
      <c r="T752" s="10">
        <v>56.4</v>
      </c>
      <c r="U752" s="10">
        <v>55.96</v>
      </c>
      <c r="V752" s="10">
        <v>55.56</v>
      </c>
      <c r="W752" s="10">
        <v>55.23</v>
      </c>
      <c r="X752" s="10">
        <v>54.95</v>
      </c>
      <c r="Y752" s="10">
        <v>54.71</v>
      </c>
      <c r="Z752" s="11">
        <v>62.012</v>
      </c>
      <c r="AA752" s="11">
        <v>62.332999999999998</v>
      </c>
      <c r="AB752" s="11">
        <v>61.046999999999997</v>
      </c>
      <c r="AC752" s="11">
        <v>60.23</v>
      </c>
      <c r="AD752" s="11">
        <v>59.533000000000001</v>
      </c>
      <c r="AE752" s="11">
        <v>58.991999999999997</v>
      </c>
      <c r="AF752" s="11">
        <v>58.515000000000001</v>
      </c>
      <c r="AG752" s="11">
        <v>58.088000000000001</v>
      </c>
      <c r="AH752" s="11">
        <v>57.728000000000002</v>
      </c>
      <c r="AI752" s="11">
        <v>57.427</v>
      </c>
      <c r="AJ752" s="11">
        <v>57.149000000000001</v>
      </c>
      <c r="AK752" s="11">
        <v>56.881999999999998</v>
      </c>
      <c r="AL752" s="11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</row>
    <row r="753" spans="1:147" x14ac:dyDescent="0.3">
      <c r="A753" s="9">
        <f>DATE(2019, 11, 27)</f>
        <v>43796</v>
      </c>
      <c r="B753" s="10">
        <v>64.06</v>
      </c>
      <c r="C753" s="10">
        <v>63.01</v>
      </c>
      <c r="D753" s="10">
        <v>62.3</v>
      </c>
      <c r="E753" s="10">
        <v>61.78</v>
      </c>
      <c r="F753" s="10">
        <v>61.36</v>
      </c>
      <c r="G753" s="10">
        <v>60.97</v>
      </c>
      <c r="H753" s="10">
        <v>60.59</v>
      </c>
      <c r="I753" s="10">
        <v>60.28</v>
      </c>
      <c r="J753" s="10">
        <v>60.02</v>
      </c>
      <c r="K753" s="10">
        <v>59.76</v>
      </c>
      <c r="L753" s="10">
        <v>59.52</v>
      </c>
      <c r="M753" s="10">
        <v>59.26</v>
      </c>
      <c r="N753" s="10">
        <v>58.11</v>
      </c>
      <c r="O753" s="10">
        <v>58.05</v>
      </c>
      <c r="P753" s="10">
        <v>57.85</v>
      </c>
      <c r="Q753" s="10">
        <v>57.54</v>
      </c>
      <c r="R753" s="10">
        <v>57.19</v>
      </c>
      <c r="S753" s="10">
        <v>56.77</v>
      </c>
      <c r="T753" s="10">
        <v>56.33</v>
      </c>
      <c r="U753" s="10">
        <v>55.91</v>
      </c>
      <c r="V753" s="10">
        <v>55.52</v>
      </c>
      <c r="W753" s="10">
        <v>55.2</v>
      </c>
      <c r="X753" s="10">
        <v>54.93</v>
      </c>
      <c r="Y753" s="10">
        <v>54.69</v>
      </c>
      <c r="Z753" s="11">
        <v>61.945999999999998</v>
      </c>
      <c r="AA753" s="11">
        <v>62.262</v>
      </c>
      <c r="AB753" s="11">
        <v>60.915999999999997</v>
      </c>
      <c r="AC753" s="11">
        <v>60.058999999999997</v>
      </c>
      <c r="AD753" s="11">
        <v>59.362000000000002</v>
      </c>
      <c r="AE753" s="11">
        <v>58.802</v>
      </c>
      <c r="AF753" s="11">
        <v>58.344999999999999</v>
      </c>
      <c r="AG753" s="11">
        <v>57.917999999999999</v>
      </c>
      <c r="AH753" s="11">
        <v>57.539000000000001</v>
      </c>
      <c r="AI753" s="11">
        <v>57.207000000000001</v>
      </c>
      <c r="AJ753" s="11">
        <v>56.908000000000001</v>
      </c>
      <c r="AK753" s="11">
        <v>56.610999999999997</v>
      </c>
      <c r="AL753" s="11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</row>
    <row r="754" spans="1:147" x14ac:dyDescent="0.3">
      <c r="A754" s="9">
        <f>DATE(2019, 11, 28)</f>
        <v>43797</v>
      </c>
      <c r="B754" s="10">
        <v>63.87</v>
      </c>
      <c r="C754" s="10">
        <v>63.27</v>
      </c>
      <c r="D754" s="10">
        <v>62.61</v>
      </c>
      <c r="E754" s="10">
        <v>62.1</v>
      </c>
      <c r="F754" s="10">
        <v>61.69</v>
      </c>
      <c r="G754" s="10">
        <v>61.31</v>
      </c>
      <c r="H754" s="10">
        <v>60.93</v>
      </c>
      <c r="I754" s="10">
        <v>60.62</v>
      </c>
      <c r="J754" s="10">
        <v>60.36</v>
      </c>
      <c r="K754" s="10">
        <v>60.1</v>
      </c>
      <c r="L754" s="10">
        <v>59.86</v>
      </c>
      <c r="M754" s="10">
        <v>59.61</v>
      </c>
      <c r="N754" s="10">
        <v>58.11</v>
      </c>
      <c r="O754" s="10">
        <v>58.05</v>
      </c>
      <c r="P754" s="10">
        <v>57.85</v>
      </c>
      <c r="Q754" s="10">
        <v>57.54</v>
      </c>
      <c r="R754" s="10">
        <v>57.19</v>
      </c>
      <c r="S754" s="10">
        <v>56.77</v>
      </c>
      <c r="T754" s="10">
        <v>56.33</v>
      </c>
      <c r="U754" s="10">
        <v>55.91</v>
      </c>
      <c r="V754" s="10">
        <v>55.52</v>
      </c>
      <c r="W754" s="10">
        <v>55.2</v>
      </c>
      <c r="X754" s="10">
        <v>54.93</v>
      </c>
      <c r="Y754" s="10">
        <v>54.69</v>
      </c>
      <c r="Z754" s="11">
        <v>61.975999999999999</v>
      </c>
      <c r="AA754" s="11">
        <v>62.716999999999999</v>
      </c>
      <c r="AB754" s="11">
        <v>61.366999999999997</v>
      </c>
      <c r="AC754" s="11">
        <v>60.52</v>
      </c>
      <c r="AD754" s="11">
        <v>59.823</v>
      </c>
      <c r="AE754" s="11">
        <v>59.302</v>
      </c>
      <c r="AF754" s="11">
        <v>58.835000000000001</v>
      </c>
      <c r="AG754" s="11">
        <v>58.378</v>
      </c>
      <c r="AH754" s="11">
        <v>57.999000000000002</v>
      </c>
      <c r="AI754" s="11">
        <v>57.667000000000002</v>
      </c>
      <c r="AJ754" s="11">
        <v>57.348999999999997</v>
      </c>
      <c r="AK754" s="11">
        <v>57.072000000000003</v>
      </c>
      <c r="AL754" s="11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</row>
    <row r="755" spans="1:147" x14ac:dyDescent="0.3">
      <c r="A755" s="9">
        <f>DATE(2019, 11, 29)</f>
        <v>43798</v>
      </c>
      <c r="B755" s="10">
        <v>62.43</v>
      </c>
      <c r="C755" s="10">
        <v>60.49</v>
      </c>
      <c r="D755" s="10">
        <v>59.85</v>
      </c>
      <c r="E755" s="10">
        <v>59.35</v>
      </c>
      <c r="F755" s="10">
        <v>58.95</v>
      </c>
      <c r="G755" s="10">
        <v>58.57</v>
      </c>
      <c r="H755" s="10">
        <v>58.19</v>
      </c>
      <c r="I755" s="10">
        <v>57.88</v>
      </c>
      <c r="J755" s="10">
        <v>57.63</v>
      </c>
      <c r="K755" s="10">
        <v>57.38</v>
      </c>
      <c r="L755" s="10">
        <v>57.16</v>
      </c>
      <c r="M755" s="10">
        <v>56.93</v>
      </c>
      <c r="N755" s="10">
        <v>55.17</v>
      </c>
      <c r="O755" s="10">
        <v>55.14</v>
      </c>
      <c r="P755" s="10">
        <v>54.98</v>
      </c>
      <c r="Q755" s="10">
        <v>54.74</v>
      </c>
      <c r="R755" s="10">
        <v>54.45</v>
      </c>
      <c r="S755" s="10">
        <v>54.1</v>
      </c>
      <c r="T755" s="10">
        <v>53.73</v>
      </c>
      <c r="U755" s="10">
        <v>53.38</v>
      </c>
      <c r="V755" s="10">
        <v>53.05</v>
      </c>
      <c r="W755" s="10">
        <v>52.77</v>
      </c>
      <c r="X755" s="10">
        <v>52.53</v>
      </c>
      <c r="Y755" s="10">
        <v>52.31</v>
      </c>
      <c r="Z755" s="11">
        <v>61.973999999999997</v>
      </c>
      <c r="AA755" s="11">
        <v>59.859000000000002</v>
      </c>
      <c r="AB755" s="11">
        <v>58.506999999999998</v>
      </c>
      <c r="AC755" s="11">
        <v>57.68</v>
      </c>
      <c r="AD755" s="11">
        <v>56.972999999999999</v>
      </c>
      <c r="AE755" s="11">
        <v>56.472000000000001</v>
      </c>
      <c r="AF755" s="11">
        <v>56.024999999999999</v>
      </c>
      <c r="AG755" s="11">
        <v>55.588999999999999</v>
      </c>
      <c r="AH755" s="11">
        <v>55.259</v>
      </c>
      <c r="AI755" s="11">
        <v>54.959000000000003</v>
      </c>
      <c r="AJ755" s="11">
        <v>54.7</v>
      </c>
      <c r="AK755" s="11">
        <v>54.453000000000003</v>
      </c>
      <c r="AL755" s="11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</row>
    <row r="756" spans="1:147" x14ac:dyDescent="0.3">
      <c r="A756" s="9">
        <f>DATE(2019, 12, 2)</f>
        <v>43801</v>
      </c>
      <c r="B756" s="10">
        <v>60.92</v>
      </c>
      <c r="C756" s="10">
        <v>60.23</v>
      </c>
      <c r="D756" s="10">
        <v>59.74</v>
      </c>
      <c r="E756" s="10">
        <v>59.35</v>
      </c>
      <c r="F756" s="10">
        <v>58.99</v>
      </c>
      <c r="G756" s="10">
        <v>58.63</v>
      </c>
      <c r="H756" s="10">
        <v>58.35</v>
      </c>
      <c r="I756" s="10">
        <v>58.13</v>
      </c>
      <c r="J756" s="10">
        <v>57.9</v>
      </c>
      <c r="K756" s="10">
        <v>57.7</v>
      </c>
      <c r="L756" s="10">
        <v>57.5</v>
      </c>
      <c r="M756" s="10">
        <v>57.35</v>
      </c>
      <c r="N756" s="10">
        <v>55.96</v>
      </c>
      <c r="O756" s="10">
        <v>55.91</v>
      </c>
      <c r="P756" s="10">
        <v>55.74</v>
      </c>
      <c r="Q756" s="10">
        <v>55.47</v>
      </c>
      <c r="R756" s="10">
        <v>55.17</v>
      </c>
      <c r="S756" s="10">
        <v>54.84</v>
      </c>
      <c r="T756" s="10">
        <v>54.5</v>
      </c>
      <c r="U756" s="10">
        <v>54.16</v>
      </c>
      <c r="V756" s="10">
        <v>53.85</v>
      </c>
      <c r="W756" s="10">
        <v>53.57</v>
      </c>
      <c r="X756" s="10">
        <v>53.33</v>
      </c>
      <c r="Y756" s="10">
        <v>53.12</v>
      </c>
      <c r="Z756" s="11">
        <v>61.973999999999997</v>
      </c>
      <c r="AA756" s="11">
        <v>60.445999999999998</v>
      </c>
      <c r="AB756" s="11">
        <v>59.027999999999999</v>
      </c>
      <c r="AC756" s="11">
        <v>58.191000000000003</v>
      </c>
      <c r="AD756" s="11">
        <v>57.494</v>
      </c>
      <c r="AE756" s="11">
        <v>56.972999999999999</v>
      </c>
      <c r="AF756" s="11">
        <v>56.506999999999998</v>
      </c>
      <c r="AG756" s="11">
        <v>56.06</v>
      </c>
      <c r="AH756" s="11">
        <v>55.74</v>
      </c>
      <c r="AI756" s="11">
        <v>55.411000000000001</v>
      </c>
      <c r="AJ756" s="11">
        <v>55.140999999999998</v>
      </c>
      <c r="AK756" s="11">
        <v>54.942999999999998</v>
      </c>
      <c r="AL756" s="11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</row>
    <row r="757" spans="1:147" x14ac:dyDescent="0.3">
      <c r="A757" s="9">
        <f>DATE(2019, 12, 3)</f>
        <v>43802</v>
      </c>
      <c r="B757" s="10">
        <v>60.82</v>
      </c>
      <c r="C757" s="10">
        <v>60.11</v>
      </c>
      <c r="D757" s="10">
        <v>59.61</v>
      </c>
      <c r="E757" s="10">
        <v>59.23</v>
      </c>
      <c r="F757" s="10">
        <v>58.87</v>
      </c>
      <c r="G757" s="10">
        <v>58.52</v>
      </c>
      <c r="H757" s="10">
        <v>58.24</v>
      </c>
      <c r="I757" s="10">
        <v>58.02</v>
      </c>
      <c r="J757" s="10">
        <v>57.8</v>
      </c>
      <c r="K757" s="10">
        <v>57.61</v>
      </c>
      <c r="L757" s="10">
        <v>57.42</v>
      </c>
      <c r="M757" s="10">
        <v>57.28</v>
      </c>
      <c r="N757" s="10">
        <v>56.1</v>
      </c>
      <c r="O757" s="10">
        <v>56.03</v>
      </c>
      <c r="P757" s="10">
        <v>55.82</v>
      </c>
      <c r="Q757" s="10">
        <v>55.52</v>
      </c>
      <c r="R757" s="10">
        <v>55.19</v>
      </c>
      <c r="S757" s="10">
        <v>54.86</v>
      </c>
      <c r="T757" s="10">
        <v>54.51</v>
      </c>
      <c r="U757" s="10">
        <v>54.17</v>
      </c>
      <c r="V757" s="10">
        <v>53.85</v>
      </c>
      <c r="W757" s="10">
        <v>53.58</v>
      </c>
      <c r="X757" s="10">
        <v>53.35</v>
      </c>
      <c r="Y757" s="10">
        <v>53.14</v>
      </c>
      <c r="Z757" s="11">
        <v>60.557000000000002</v>
      </c>
      <c r="AA757" s="11">
        <v>59.070999999999998</v>
      </c>
      <c r="AB757" s="11">
        <v>58.189</v>
      </c>
      <c r="AC757" s="11">
        <v>57.509</v>
      </c>
      <c r="AD757" s="11">
        <v>56.978999999999999</v>
      </c>
      <c r="AE757" s="11">
        <v>56.518000000000001</v>
      </c>
      <c r="AF757" s="11">
        <v>56.066000000000003</v>
      </c>
      <c r="AG757" s="11">
        <v>55.703000000000003</v>
      </c>
      <c r="AH757" s="11">
        <v>55.381999999999998</v>
      </c>
      <c r="AI757" s="11">
        <v>55.140999999999998</v>
      </c>
      <c r="AJ757" s="11">
        <v>54.945999999999998</v>
      </c>
      <c r="AK757" s="11">
        <v>54.755000000000003</v>
      </c>
      <c r="AL757" s="11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</row>
    <row r="758" spans="1:147" x14ac:dyDescent="0.3">
      <c r="A758" s="9">
        <f>DATE(2019, 12, 4)</f>
        <v>43803</v>
      </c>
      <c r="B758" s="10">
        <v>63</v>
      </c>
      <c r="C758" s="10">
        <v>62.2</v>
      </c>
      <c r="D758" s="10">
        <v>61.6</v>
      </c>
      <c r="E758" s="10">
        <v>61.15</v>
      </c>
      <c r="F758" s="10">
        <v>60.74</v>
      </c>
      <c r="G758" s="10">
        <v>60.33</v>
      </c>
      <c r="H758" s="10">
        <v>59.99</v>
      </c>
      <c r="I758" s="10">
        <v>59.72</v>
      </c>
      <c r="J758" s="10">
        <v>59.46</v>
      </c>
      <c r="K758" s="10">
        <v>59.23</v>
      </c>
      <c r="L758" s="10">
        <v>58.99</v>
      </c>
      <c r="M758" s="10">
        <v>58.81</v>
      </c>
      <c r="N758" s="10">
        <v>58.43</v>
      </c>
      <c r="O758" s="10">
        <v>58.34</v>
      </c>
      <c r="P758" s="10">
        <v>58.04</v>
      </c>
      <c r="Q758" s="10">
        <v>57.64</v>
      </c>
      <c r="R758" s="10">
        <v>57.21</v>
      </c>
      <c r="S758" s="10">
        <v>56.77</v>
      </c>
      <c r="T758" s="10">
        <v>56.32</v>
      </c>
      <c r="U758" s="10">
        <v>55.89</v>
      </c>
      <c r="V758" s="10">
        <v>55.5</v>
      </c>
      <c r="W758" s="10">
        <v>55.14</v>
      </c>
      <c r="X758" s="10">
        <v>54.85</v>
      </c>
      <c r="Y758" s="10">
        <v>54.6</v>
      </c>
      <c r="Z758" s="11">
        <v>62.481000000000002</v>
      </c>
      <c r="AA758" s="11">
        <v>61.243000000000002</v>
      </c>
      <c r="AB758" s="11">
        <v>60.258000000000003</v>
      </c>
      <c r="AC758" s="11">
        <v>59.521000000000001</v>
      </c>
      <c r="AD758" s="11">
        <v>58.94</v>
      </c>
      <c r="AE758" s="11">
        <v>58.433999999999997</v>
      </c>
      <c r="AF758" s="11">
        <v>57.968000000000004</v>
      </c>
      <c r="AG758" s="11">
        <v>57.548999999999999</v>
      </c>
      <c r="AH758" s="11">
        <v>57.188000000000002</v>
      </c>
      <c r="AI758" s="11">
        <v>56.859000000000002</v>
      </c>
      <c r="AJ758" s="11">
        <v>56.582000000000001</v>
      </c>
      <c r="AK758" s="11">
        <v>56.332999999999998</v>
      </c>
      <c r="AL758" s="11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</row>
    <row r="759" spans="1:147" x14ac:dyDescent="0.3">
      <c r="A759" s="9">
        <f>DATE(2019, 12, 5)</f>
        <v>43804</v>
      </c>
      <c r="B759" s="10">
        <v>63.39</v>
      </c>
      <c r="C759" s="10">
        <v>62.48</v>
      </c>
      <c r="D759" s="10">
        <v>61.79</v>
      </c>
      <c r="E759" s="10">
        <v>61.31</v>
      </c>
      <c r="F759" s="10">
        <v>60.9</v>
      </c>
      <c r="G759" s="10">
        <v>60.49</v>
      </c>
      <c r="H759" s="10">
        <v>60.14</v>
      </c>
      <c r="I759" s="10">
        <v>59.86</v>
      </c>
      <c r="J759" s="10">
        <v>59.58</v>
      </c>
      <c r="K759" s="10">
        <v>59.34</v>
      </c>
      <c r="L759" s="10">
        <v>59.09</v>
      </c>
      <c r="M759" s="10">
        <v>58.9</v>
      </c>
      <c r="N759" s="10">
        <v>58.43</v>
      </c>
      <c r="O759" s="10">
        <v>58.34</v>
      </c>
      <c r="P759" s="10">
        <v>58.06</v>
      </c>
      <c r="Q759" s="10">
        <v>57.68</v>
      </c>
      <c r="R759" s="10">
        <v>57.26</v>
      </c>
      <c r="S759" s="10">
        <v>56.82</v>
      </c>
      <c r="T759" s="10">
        <v>56.36</v>
      </c>
      <c r="U759" s="10">
        <v>55.92</v>
      </c>
      <c r="V759" s="10">
        <v>55.5</v>
      </c>
      <c r="W759" s="10">
        <v>55.15</v>
      </c>
      <c r="X759" s="10">
        <v>54.85</v>
      </c>
      <c r="Y759" s="10">
        <v>54.58</v>
      </c>
      <c r="Z759" s="11">
        <v>62.816000000000003</v>
      </c>
      <c r="AA759" s="11">
        <v>61.628999999999998</v>
      </c>
      <c r="AB759" s="11">
        <v>60.576000000000001</v>
      </c>
      <c r="AC759" s="11">
        <v>59.780999999999999</v>
      </c>
      <c r="AD759" s="11">
        <v>59.16</v>
      </c>
      <c r="AE759" s="11">
        <v>58.643000000000001</v>
      </c>
      <c r="AF759" s="11">
        <v>58.127000000000002</v>
      </c>
      <c r="AG759" s="11">
        <v>57.728000000000002</v>
      </c>
      <c r="AH759" s="11">
        <v>57.377000000000002</v>
      </c>
      <c r="AI759" s="11">
        <v>57.029000000000003</v>
      </c>
      <c r="AJ759" s="11">
        <v>56.731000000000002</v>
      </c>
      <c r="AK759" s="11">
        <v>56.511000000000003</v>
      </c>
      <c r="AL759" s="11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</row>
    <row r="760" spans="1:147" x14ac:dyDescent="0.3">
      <c r="A760" s="9">
        <f>DATE(2019, 12, 6)</f>
        <v>43805</v>
      </c>
      <c r="B760" s="10">
        <v>64.39</v>
      </c>
      <c r="C760" s="10">
        <v>63.39</v>
      </c>
      <c r="D760" s="10">
        <v>62.62</v>
      </c>
      <c r="E760" s="10">
        <v>62.08</v>
      </c>
      <c r="F760" s="10">
        <v>61.62</v>
      </c>
      <c r="G760" s="10">
        <v>61.15</v>
      </c>
      <c r="H760" s="10">
        <v>60.75</v>
      </c>
      <c r="I760" s="10">
        <v>60.42</v>
      </c>
      <c r="J760" s="10">
        <v>60.09</v>
      </c>
      <c r="K760" s="10">
        <v>59.79</v>
      </c>
      <c r="L760" s="10">
        <v>59.5</v>
      </c>
      <c r="M760" s="10">
        <v>59.26</v>
      </c>
      <c r="N760" s="10">
        <v>59.2</v>
      </c>
      <c r="O760" s="10">
        <v>59.1</v>
      </c>
      <c r="P760" s="10">
        <v>58.78</v>
      </c>
      <c r="Q760" s="10">
        <v>58.37</v>
      </c>
      <c r="R760" s="10">
        <v>57.92</v>
      </c>
      <c r="S760" s="10">
        <v>57.43</v>
      </c>
      <c r="T760" s="10">
        <v>56.93</v>
      </c>
      <c r="U760" s="10">
        <v>56.44</v>
      </c>
      <c r="V760" s="10">
        <v>55.98</v>
      </c>
      <c r="W760" s="10">
        <v>55.58</v>
      </c>
      <c r="X760" s="10">
        <v>55.23</v>
      </c>
      <c r="Y760" s="10">
        <v>54.92</v>
      </c>
      <c r="Z760" s="11">
        <v>63.415999999999997</v>
      </c>
      <c r="AA760" s="11">
        <v>62.375</v>
      </c>
      <c r="AB760" s="11">
        <v>61.243000000000002</v>
      </c>
      <c r="AC760" s="11">
        <v>60.439</v>
      </c>
      <c r="AD760" s="11">
        <v>59.817999999999998</v>
      </c>
      <c r="AE760" s="11">
        <v>59.280999999999999</v>
      </c>
      <c r="AF760" s="11">
        <v>58.774999999999999</v>
      </c>
      <c r="AG760" s="11">
        <v>58.276000000000003</v>
      </c>
      <c r="AH760" s="11">
        <v>57.850999999999999</v>
      </c>
      <c r="AI760" s="11">
        <v>57.427</v>
      </c>
      <c r="AJ760" s="11">
        <v>57.079000000000001</v>
      </c>
      <c r="AK760" s="11">
        <v>56.8</v>
      </c>
      <c r="AL760" s="11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</row>
    <row r="761" spans="1:147" x14ac:dyDescent="0.3">
      <c r="A761" s="9">
        <f>DATE(2019, 12, 9)</f>
        <v>43808</v>
      </c>
      <c r="B761" s="10">
        <v>64.25</v>
      </c>
      <c r="C761" s="10">
        <v>63.28</v>
      </c>
      <c r="D761" s="10">
        <v>62.54</v>
      </c>
      <c r="E761" s="10">
        <v>62.02</v>
      </c>
      <c r="F761" s="10">
        <v>61.58</v>
      </c>
      <c r="G761" s="10">
        <v>61.13</v>
      </c>
      <c r="H761" s="10">
        <v>60.74</v>
      </c>
      <c r="I761" s="10">
        <v>60.43</v>
      </c>
      <c r="J761" s="10">
        <v>60.11</v>
      </c>
      <c r="K761" s="10">
        <v>59.83</v>
      </c>
      <c r="L761" s="10">
        <v>59.55</v>
      </c>
      <c r="M761" s="10">
        <v>59.32</v>
      </c>
      <c r="N761" s="10">
        <v>59.02</v>
      </c>
      <c r="O761" s="10">
        <v>58.92</v>
      </c>
      <c r="P761" s="10">
        <v>58.64</v>
      </c>
      <c r="Q761" s="10">
        <v>58.28</v>
      </c>
      <c r="R761" s="10">
        <v>57.88</v>
      </c>
      <c r="S761" s="10">
        <v>57.43</v>
      </c>
      <c r="T761" s="10">
        <v>56.95</v>
      </c>
      <c r="U761" s="10">
        <v>56.48</v>
      </c>
      <c r="V761" s="10">
        <v>56.05</v>
      </c>
      <c r="W761" s="10">
        <v>55.66</v>
      </c>
      <c r="X761" s="10">
        <v>55.32</v>
      </c>
      <c r="Y761" s="10">
        <v>55</v>
      </c>
      <c r="Z761" s="11">
        <v>63.448</v>
      </c>
      <c r="AA761" s="11">
        <v>62.536000000000001</v>
      </c>
      <c r="AB761" s="11">
        <v>61.374000000000002</v>
      </c>
      <c r="AC761" s="11">
        <v>60.57</v>
      </c>
      <c r="AD761" s="11">
        <v>59.923999999999999</v>
      </c>
      <c r="AE761" s="11">
        <v>59.356999999999999</v>
      </c>
      <c r="AF761" s="11">
        <v>58.832999999999998</v>
      </c>
      <c r="AG761" s="11">
        <v>58.405999999999999</v>
      </c>
      <c r="AH761" s="11">
        <v>58.012999999999998</v>
      </c>
      <c r="AI761" s="11">
        <v>57.616999999999997</v>
      </c>
      <c r="AJ761" s="11">
        <v>57.23</v>
      </c>
      <c r="AK761" s="11">
        <v>56.91</v>
      </c>
      <c r="AL761" s="11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</row>
    <row r="762" spans="1:147" x14ac:dyDescent="0.3">
      <c r="A762" s="9">
        <f>DATE(2019, 12, 10)</f>
        <v>43809</v>
      </c>
      <c r="B762" s="10">
        <v>64.34</v>
      </c>
      <c r="C762" s="10">
        <v>63.46</v>
      </c>
      <c r="D762" s="10">
        <v>62.76</v>
      </c>
      <c r="E762" s="10">
        <v>62.28</v>
      </c>
      <c r="F762" s="10">
        <v>61.86</v>
      </c>
      <c r="G762" s="10">
        <v>61.42</v>
      </c>
      <c r="H762" s="10">
        <v>61.04</v>
      </c>
      <c r="I762" s="10">
        <v>60.74</v>
      </c>
      <c r="J762" s="10">
        <v>60.42</v>
      </c>
      <c r="K762" s="10">
        <v>60.14</v>
      </c>
      <c r="L762" s="10">
        <v>59.85</v>
      </c>
      <c r="M762" s="10">
        <v>59.61</v>
      </c>
      <c r="N762" s="10">
        <v>59.24</v>
      </c>
      <c r="O762" s="10">
        <v>59.14</v>
      </c>
      <c r="P762" s="10">
        <v>58.88</v>
      </c>
      <c r="Q762" s="10">
        <v>58.53</v>
      </c>
      <c r="R762" s="10">
        <v>58.15</v>
      </c>
      <c r="S762" s="10">
        <v>57.72</v>
      </c>
      <c r="T762" s="10">
        <v>57.27</v>
      </c>
      <c r="U762" s="10">
        <v>56.84</v>
      </c>
      <c r="V762" s="10">
        <v>56.44</v>
      </c>
      <c r="W762" s="10">
        <v>56.07</v>
      </c>
      <c r="X762" s="10">
        <v>55.74</v>
      </c>
      <c r="Y762" s="10">
        <v>55.42</v>
      </c>
      <c r="Z762" s="11">
        <v>63.46</v>
      </c>
      <c r="AA762" s="11">
        <v>62.648000000000003</v>
      </c>
      <c r="AB762" s="11">
        <v>61.515999999999998</v>
      </c>
      <c r="AC762" s="11">
        <v>60.756</v>
      </c>
      <c r="AD762" s="11">
        <v>60.149000000000001</v>
      </c>
      <c r="AE762" s="11">
        <v>59.601999999999997</v>
      </c>
      <c r="AF762" s="11">
        <v>59.085999999999999</v>
      </c>
      <c r="AG762" s="11">
        <v>58.655999999999999</v>
      </c>
      <c r="AH762" s="11">
        <v>58.243000000000002</v>
      </c>
      <c r="AI762" s="11">
        <v>57.856999999999999</v>
      </c>
      <c r="AJ762" s="11">
        <v>57.509</v>
      </c>
      <c r="AK762" s="11">
        <v>57.18</v>
      </c>
      <c r="AL762" s="11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</row>
    <row r="763" spans="1:147" x14ac:dyDescent="0.3">
      <c r="A763" s="9">
        <f>DATE(2019, 12, 11)</f>
        <v>43810</v>
      </c>
      <c r="B763" s="10">
        <v>63.72</v>
      </c>
      <c r="C763" s="10">
        <v>62.82</v>
      </c>
      <c r="D763" s="10">
        <v>62.1</v>
      </c>
      <c r="E763" s="10">
        <v>61.61</v>
      </c>
      <c r="F763" s="10">
        <v>61.19</v>
      </c>
      <c r="G763" s="10">
        <v>60.75</v>
      </c>
      <c r="H763" s="10">
        <v>60.38</v>
      </c>
      <c r="I763" s="10">
        <v>60.09</v>
      </c>
      <c r="J763" s="10">
        <v>59.8</v>
      </c>
      <c r="K763" s="10">
        <v>59.53</v>
      </c>
      <c r="L763" s="10">
        <v>59.27</v>
      </c>
      <c r="M763" s="10">
        <v>59.05</v>
      </c>
      <c r="N763" s="10">
        <v>58.76</v>
      </c>
      <c r="O763" s="10">
        <v>58.65</v>
      </c>
      <c r="P763" s="10">
        <v>58.36</v>
      </c>
      <c r="Q763" s="10">
        <v>57.98</v>
      </c>
      <c r="R763" s="10">
        <v>57.58</v>
      </c>
      <c r="S763" s="10">
        <v>57.15</v>
      </c>
      <c r="T763" s="10">
        <v>56.71</v>
      </c>
      <c r="U763" s="10">
        <v>56.28</v>
      </c>
      <c r="V763" s="10">
        <v>55.89</v>
      </c>
      <c r="W763" s="10">
        <v>55.52</v>
      </c>
      <c r="X763" s="10">
        <v>55.19</v>
      </c>
      <c r="Y763" s="10">
        <v>54.89</v>
      </c>
      <c r="Z763" s="11">
        <v>63.122999999999998</v>
      </c>
      <c r="AA763" s="11">
        <v>61.966999999999999</v>
      </c>
      <c r="AB763" s="11">
        <v>60.835999999999999</v>
      </c>
      <c r="AC763" s="11">
        <v>60.070999999999998</v>
      </c>
      <c r="AD763" s="11">
        <v>59.439</v>
      </c>
      <c r="AE763" s="11">
        <v>58.902000000000001</v>
      </c>
      <c r="AF763" s="11">
        <v>58.377000000000002</v>
      </c>
      <c r="AG763" s="11">
        <v>57.936999999999998</v>
      </c>
      <c r="AH763" s="11">
        <v>57.533999999999999</v>
      </c>
      <c r="AI763" s="11">
        <v>57.198</v>
      </c>
      <c r="AJ763" s="11">
        <v>56.87</v>
      </c>
      <c r="AK763" s="11">
        <v>56.551000000000002</v>
      </c>
      <c r="AL763" s="11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</row>
    <row r="764" spans="1:147" x14ac:dyDescent="0.3">
      <c r="A764" s="9">
        <f>DATE(2019, 12, 12)</f>
        <v>43811</v>
      </c>
      <c r="B764" s="10">
        <v>64.2</v>
      </c>
      <c r="C764" s="10">
        <v>63.28</v>
      </c>
      <c r="D764" s="10">
        <v>62.55</v>
      </c>
      <c r="E764" s="10">
        <v>62.05</v>
      </c>
      <c r="F764" s="10">
        <v>61.61</v>
      </c>
      <c r="G764" s="10">
        <v>61.14</v>
      </c>
      <c r="H764" s="10">
        <v>60.76</v>
      </c>
      <c r="I764" s="10">
        <v>60.47</v>
      </c>
      <c r="J764" s="10">
        <v>60.17</v>
      </c>
      <c r="K764" s="10">
        <v>59.91</v>
      </c>
      <c r="L764" s="10">
        <v>59.65</v>
      </c>
      <c r="M764" s="10">
        <v>59.42</v>
      </c>
      <c r="N764" s="10">
        <v>59.18</v>
      </c>
      <c r="O764" s="10">
        <v>59.06</v>
      </c>
      <c r="P764" s="10">
        <v>58.76</v>
      </c>
      <c r="Q764" s="10">
        <v>58.36</v>
      </c>
      <c r="R764" s="10">
        <v>57.95</v>
      </c>
      <c r="S764" s="10">
        <v>57.53</v>
      </c>
      <c r="T764" s="10">
        <v>57.09</v>
      </c>
      <c r="U764" s="10">
        <v>56.67</v>
      </c>
      <c r="V764" s="10">
        <v>56.27</v>
      </c>
      <c r="W764" s="10">
        <v>55.91</v>
      </c>
      <c r="X764" s="10">
        <v>55.59</v>
      </c>
      <c r="Y764" s="10">
        <v>55.28</v>
      </c>
      <c r="Z764" s="11">
        <v>63.499000000000002</v>
      </c>
      <c r="AA764" s="11">
        <v>62.557000000000002</v>
      </c>
      <c r="AB764" s="11">
        <v>61.395000000000003</v>
      </c>
      <c r="AC764" s="11">
        <v>60.570999999999998</v>
      </c>
      <c r="AD764" s="11">
        <v>59.868000000000002</v>
      </c>
      <c r="AE764" s="11">
        <v>59.218000000000004</v>
      </c>
      <c r="AF764" s="11">
        <v>58.622</v>
      </c>
      <c r="AG764" s="11">
        <v>58.197000000000003</v>
      </c>
      <c r="AH764" s="11">
        <v>57.825000000000003</v>
      </c>
      <c r="AI764" s="11">
        <v>57.478000000000002</v>
      </c>
      <c r="AJ764" s="11">
        <v>57.18</v>
      </c>
      <c r="AK764" s="11">
        <v>56.88</v>
      </c>
      <c r="AL764" s="11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</row>
    <row r="765" spans="1:147" x14ac:dyDescent="0.3">
      <c r="A765" s="9">
        <f>DATE(2019, 12, 13)</f>
        <v>43812</v>
      </c>
      <c r="B765" s="10">
        <v>65.22</v>
      </c>
      <c r="C765" s="10">
        <v>64.25</v>
      </c>
      <c r="D765" s="10">
        <v>63.51</v>
      </c>
      <c r="E765" s="10">
        <v>62.98</v>
      </c>
      <c r="F765" s="10">
        <v>62.48</v>
      </c>
      <c r="G765" s="10">
        <v>61.97</v>
      </c>
      <c r="H765" s="10">
        <v>61.53</v>
      </c>
      <c r="I765" s="10">
        <v>61.19</v>
      </c>
      <c r="J765" s="10">
        <v>60.86</v>
      </c>
      <c r="K765" s="10">
        <v>60.57</v>
      </c>
      <c r="L765" s="10">
        <v>60.28</v>
      </c>
      <c r="M765" s="10">
        <v>60.03</v>
      </c>
      <c r="N765" s="10">
        <v>60.07</v>
      </c>
      <c r="O765" s="10">
        <v>59.98</v>
      </c>
      <c r="P765" s="10">
        <v>59.67</v>
      </c>
      <c r="Q765" s="10">
        <v>59.26</v>
      </c>
      <c r="R765" s="10">
        <v>58.8</v>
      </c>
      <c r="S765" s="10">
        <v>58.33</v>
      </c>
      <c r="T765" s="10">
        <v>57.83</v>
      </c>
      <c r="U765" s="10">
        <v>57.35</v>
      </c>
      <c r="V765" s="10">
        <v>56.91</v>
      </c>
      <c r="W765" s="10">
        <v>56.51</v>
      </c>
      <c r="X765" s="10">
        <v>56.13</v>
      </c>
      <c r="Y765" s="10">
        <v>55.8</v>
      </c>
      <c r="Z765" s="11">
        <v>64.167000000000002</v>
      </c>
      <c r="AA765" s="11">
        <v>63.720999999999997</v>
      </c>
      <c r="AB765" s="11">
        <v>62.524999999999999</v>
      </c>
      <c r="AC765" s="11">
        <v>61.646999999999998</v>
      </c>
      <c r="AD765" s="11">
        <v>60.86</v>
      </c>
      <c r="AE765" s="11">
        <v>60.158999999999999</v>
      </c>
      <c r="AF765" s="11">
        <v>59.494999999999997</v>
      </c>
      <c r="AG765" s="11">
        <v>59.015999999999998</v>
      </c>
      <c r="AH765" s="11">
        <v>58.582000000000001</v>
      </c>
      <c r="AI765" s="11">
        <v>58.177</v>
      </c>
      <c r="AJ765" s="11">
        <v>57.808999999999997</v>
      </c>
      <c r="AK765" s="11">
        <v>57.488</v>
      </c>
      <c r="AL765" s="11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</row>
    <row r="766" spans="1:147" x14ac:dyDescent="0.3">
      <c r="A766" s="9">
        <f>DATE(2019, 12, 16)</f>
        <v>43815</v>
      </c>
      <c r="B766" s="10">
        <v>65.34</v>
      </c>
      <c r="C766" s="10">
        <v>64.41</v>
      </c>
      <c r="D766" s="10">
        <v>63.71</v>
      </c>
      <c r="E766" s="10">
        <v>63.19</v>
      </c>
      <c r="F766" s="10">
        <v>62.7</v>
      </c>
      <c r="G766" s="10">
        <v>62.19</v>
      </c>
      <c r="H766" s="10">
        <v>61.76</v>
      </c>
      <c r="I766" s="10">
        <v>61.43</v>
      </c>
      <c r="J766" s="10">
        <v>61.1</v>
      </c>
      <c r="K766" s="10">
        <v>60.8</v>
      </c>
      <c r="L766" s="10">
        <v>60.5</v>
      </c>
      <c r="M766" s="10">
        <v>60.25</v>
      </c>
      <c r="N766" s="10">
        <v>60.21</v>
      </c>
      <c r="O766" s="10">
        <v>60.14</v>
      </c>
      <c r="P766" s="10">
        <v>59.85</v>
      </c>
      <c r="Q766" s="10">
        <v>59.46</v>
      </c>
      <c r="R766" s="10">
        <v>59.02</v>
      </c>
      <c r="S766" s="10">
        <v>58.56</v>
      </c>
      <c r="T766" s="10">
        <v>58.08</v>
      </c>
      <c r="U766" s="10">
        <v>57.6</v>
      </c>
      <c r="V766" s="10">
        <v>57.15</v>
      </c>
      <c r="W766" s="10">
        <v>56.74</v>
      </c>
      <c r="X766" s="10">
        <v>56.37</v>
      </c>
      <c r="Y766" s="10">
        <v>56.02</v>
      </c>
      <c r="Z766" s="11">
        <v>64.296999999999997</v>
      </c>
      <c r="AA766" s="11">
        <v>63.948</v>
      </c>
      <c r="AB766" s="11">
        <v>62.744</v>
      </c>
      <c r="AC766" s="11">
        <v>61.887999999999998</v>
      </c>
      <c r="AD766" s="11">
        <v>61.066000000000003</v>
      </c>
      <c r="AE766" s="11">
        <v>60.41</v>
      </c>
      <c r="AF766" s="11">
        <v>59.795000000000002</v>
      </c>
      <c r="AG766" s="11">
        <v>59.316000000000003</v>
      </c>
      <c r="AH766" s="11">
        <v>58.860999999999997</v>
      </c>
      <c r="AI766" s="11">
        <v>58.445999999999998</v>
      </c>
      <c r="AJ766" s="11">
        <v>58.069000000000003</v>
      </c>
      <c r="AK766" s="11">
        <v>57.749000000000002</v>
      </c>
      <c r="AL766" s="11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</row>
    <row r="767" spans="1:147" x14ac:dyDescent="0.3">
      <c r="A767" s="9">
        <f>DATE(2019, 12, 17)</f>
        <v>43816</v>
      </c>
      <c r="B767" s="10">
        <v>66.099999999999994</v>
      </c>
      <c r="C767" s="10">
        <v>65.150000000000006</v>
      </c>
      <c r="D767" s="10">
        <v>64.41</v>
      </c>
      <c r="E767" s="10">
        <v>63.86</v>
      </c>
      <c r="F767" s="10">
        <v>63.33</v>
      </c>
      <c r="G767" s="10">
        <v>62.77</v>
      </c>
      <c r="H767" s="10">
        <v>62.29</v>
      </c>
      <c r="I767" s="10">
        <v>61.91</v>
      </c>
      <c r="J767" s="10">
        <v>61.53</v>
      </c>
      <c r="K767" s="10">
        <v>61.19</v>
      </c>
      <c r="L767" s="10">
        <v>60.87</v>
      </c>
      <c r="M767" s="10">
        <v>60.57</v>
      </c>
      <c r="N767" s="10">
        <v>60.94</v>
      </c>
      <c r="O767" s="10">
        <v>60.87</v>
      </c>
      <c r="P767" s="10">
        <v>60.53</v>
      </c>
      <c r="Q767" s="10">
        <v>60.09</v>
      </c>
      <c r="R767" s="10">
        <v>59.6</v>
      </c>
      <c r="S767" s="10">
        <v>59.09</v>
      </c>
      <c r="T767" s="10">
        <v>58.56</v>
      </c>
      <c r="U767" s="10">
        <v>58.02</v>
      </c>
      <c r="V767" s="10">
        <v>57.53</v>
      </c>
      <c r="W767" s="10">
        <v>57.08</v>
      </c>
      <c r="X767" s="10">
        <v>56.68</v>
      </c>
      <c r="Y767" s="10">
        <v>56.3</v>
      </c>
      <c r="Z767" s="11">
        <v>64.543000000000006</v>
      </c>
      <c r="AA767" s="11">
        <v>64.465999999999994</v>
      </c>
      <c r="AB767" s="11">
        <v>63.347999999999999</v>
      </c>
      <c r="AC767" s="11">
        <v>62.500999999999998</v>
      </c>
      <c r="AD767" s="11">
        <v>61.692999999999998</v>
      </c>
      <c r="AE767" s="11">
        <v>60.987000000000002</v>
      </c>
      <c r="AF767" s="11">
        <v>60.308999999999997</v>
      </c>
      <c r="AG767" s="11">
        <v>59.783000000000001</v>
      </c>
      <c r="AH767" s="11">
        <v>59.277999999999999</v>
      </c>
      <c r="AI767" s="11">
        <v>58.825000000000003</v>
      </c>
      <c r="AJ767" s="11">
        <v>58.405999999999999</v>
      </c>
      <c r="AK767" s="11">
        <v>58.017000000000003</v>
      </c>
      <c r="AL767" s="11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</row>
    <row r="768" spans="1:147" x14ac:dyDescent="0.3">
      <c r="A768" s="9">
        <f>DATE(2019, 12, 18)</f>
        <v>43817</v>
      </c>
      <c r="B768" s="10">
        <v>66.17</v>
      </c>
      <c r="C768" s="10">
        <v>65.23</v>
      </c>
      <c r="D768" s="10">
        <v>64.489999999999995</v>
      </c>
      <c r="E768" s="10">
        <v>63.93</v>
      </c>
      <c r="F768" s="10">
        <v>63.4</v>
      </c>
      <c r="G768" s="10">
        <v>62.82</v>
      </c>
      <c r="H768" s="10">
        <v>62.33</v>
      </c>
      <c r="I768" s="10">
        <v>61.93</v>
      </c>
      <c r="J768" s="10">
        <v>61.54</v>
      </c>
      <c r="K768" s="10">
        <v>61.19</v>
      </c>
      <c r="L768" s="10">
        <v>60.85</v>
      </c>
      <c r="M768" s="10">
        <v>60.54</v>
      </c>
      <c r="N768" s="10">
        <v>60.93</v>
      </c>
      <c r="O768" s="10">
        <v>60.85</v>
      </c>
      <c r="P768" s="10">
        <v>60.56</v>
      </c>
      <c r="Q768" s="10">
        <v>60.15</v>
      </c>
      <c r="R768" s="10">
        <v>59.69</v>
      </c>
      <c r="S768" s="10">
        <v>59.18</v>
      </c>
      <c r="T768" s="10">
        <v>58.63</v>
      </c>
      <c r="U768" s="10">
        <v>58.08</v>
      </c>
      <c r="V768" s="10">
        <v>57.56</v>
      </c>
      <c r="W768" s="10">
        <v>57.1</v>
      </c>
      <c r="X768" s="10">
        <v>56.69</v>
      </c>
      <c r="Y768" s="10">
        <v>56.3</v>
      </c>
      <c r="Z768" s="11">
        <v>64.539000000000001</v>
      </c>
      <c r="AA768" s="11">
        <v>64.486000000000004</v>
      </c>
      <c r="AB768" s="11">
        <v>63.372</v>
      </c>
      <c r="AC768" s="11">
        <v>62.526000000000003</v>
      </c>
      <c r="AD768" s="11">
        <v>61.722000000000001</v>
      </c>
      <c r="AE768" s="11">
        <v>61.027000000000001</v>
      </c>
      <c r="AF768" s="11">
        <v>60.381999999999998</v>
      </c>
      <c r="AG768" s="11">
        <v>59.872999999999998</v>
      </c>
      <c r="AH768" s="11">
        <v>59.366999999999997</v>
      </c>
      <c r="AI768" s="11">
        <v>58.865000000000002</v>
      </c>
      <c r="AJ768" s="11">
        <v>58.366</v>
      </c>
      <c r="AK768" s="11">
        <v>57.975999999999999</v>
      </c>
      <c r="AL768" s="11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</row>
    <row r="769" spans="1:147" x14ac:dyDescent="0.3">
      <c r="A769" s="9">
        <f>DATE(2019, 12, 19)</f>
        <v>43818</v>
      </c>
      <c r="B769" s="10">
        <v>66.540000000000006</v>
      </c>
      <c r="C769" s="10">
        <v>65.59</v>
      </c>
      <c r="D769" s="10">
        <v>64.84</v>
      </c>
      <c r="E769" s="10">
        <v>64.25</v>
      </c>
      <c r="F769" s="10">
        <v>63.68</v>
      </c>
      <c r="G769" s="10">
        <v>63.07</v>
      </c>
      <c r="H769" s="10">
        <v>62.54</v>
      </c>
      <c r="I769" s="10">
        <v>62.12</v>
      </c>
      <c r="J769" s="10">
        <v>61.69</v>
      </c>
      <c r="K769" s="10">
        <v>61.3</v>
      </c>
      <c r="L769" s="10">
        <v>60.93</v>
      </c>
      <c r="M769" s="10">
        <v>60.59</v>
      </c>
      <c r="N769" s="10">
        <v>61.22</v>
      </c>
      <c r="O769" s="10">
        <v>61.18</v>
      </c>
      <c r="P769" s="10">
        <v>60.88</v>
      </c>
      <c r="Q769" s="10">
        <v>60.46</v>
      </c>
      <c r="R769" s="10">
        <v>59.97</v>
      </c>
      <c r="S769" s="10">
        <v>59.43</v>
      </c>
      <c r="T769" s="10">
        <v>58.85</v>
      </c>
      <c r="U769" s="10">
        <v>58.27</v>
      </c>
      <c r="V769" s="10">
        <v>57.73</v>
      </c>
      <c r="W769" s="10">
        <v>57.24</v>
      </c>
      <c r="X769" s="10">
        <v>56.8</v>
      </c>
      <c r="Y769" s="10">
        <v>56.39</v>
      </c>
      <c r="Z769" s="11">
        <v>64.766999999999996</v>
      </c>
      <c r="AA769" s="11">
        <v>65.055999999999997</v>
      </c>
      <c r="AB769" s="11">
        <v>63.920999999999999</v>
      </c>
      <c r="AC769" s="11">
        <v>63.043999999999997</v>
      </c>
      <c r="AD769" s="11">
        <v>62.220999999999997</v>
      </c>
      <c r="AE769" s="11">
        <v>61.515000000000001</v>
      </c>
      <c r="AF769" s="11">
        <v>60.820999999999998</v>
      </c>
      <c r="AG769" s="11">
        <v>60.231000000000002</v>
      </c>
      <c r="AH769" s="11">
        <v>59.692999999999998</v>
      </c>
      <c r="AI769" s="11">
        <v>59.183</v>
      </c>
      <c r="AJ769" s="11">
        <v>58.685000000000002</v>
      </c>
      <c r="AK769" s="11">
        <v>58.255000000000003</v>
      </c>
      <c r="AL769" s="11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</row>
    <row r="770" spans="1:147" x14ac:dyDescent="0.3">
      <c r="A770" s="9">
        <f>DATE(2019, 12, 20)</f>
        <v>43819</v>
      </c>
      <c r="B770" s="10">
        <v>66.14</v>
      </c>
      <c r="C770" s="10">
        <v>65.2</v>
      </c>
      <c r="D770" s="10">
        <v>64.510000000000005</v>
      </c>
      <c r="E770" s="10">
        <v>63.96</v>
      </c>
      <c r="F770" s="10">
        <v>63.42</v>
      </c>
      <c r="G770" s="10">
        <v>62.84</v>
      </c>
      <c r="H770" s="10">
        <v>62.34</v>
      </c>
      <c r="I770" s="10">
        <v>61.94</v>
      </c>
      <c r="J770" s="10">
        <v>61.53</v>
      </c>
      <c r="K770" s="10">
        <v>61.17</v>
      </c>
      <c r="L770" s="10">
        <v>60.81</v>
      </c>
      <c r="M770" s="10">
        <v>60.49</v>
      </c>
      <c r="N770" s="10">
        <v>60.44</v>
      </c>
      <c r="O770" s="10">
        <v>60.25</v>
      </c>
      <c r="P770" s="10">
        <v>59.95</v>
      </c>
      <c r="Q770" s="10">
        <v>59.55</v>
      </c>
      <c r="R770" s="10">
        <v>59.07</v>
      </c>
      <c r="S770" s="10">
        <v>58.54</v>
      </c>
      <c r="T770" s="10">
        <v>58</v>
      </c>
      <c r="U770" s="10">
        <v>57.49</v>
      </c>
      <c r="V770" s="10">
        <v>57.03</v>
      </c>
      <c r="W770" s="10">
        <v>56.61</v>
      </c>
      <c r="X770" s="10">
        <v>56.23</v>
      </c>
      <c r="Y770" s="10">
        <v>55.83</v>
      </c>
      <c r="Z770" s="11">
        <v>64.677999999999997</v>
      </c>
      <c r="AA770" s="11">
        <v>64.698999999999998</v>
      </c>
      <c r="AB770" s="11">
        <v>63.633000000000003</v>
      </c>
      <c r="AC770" s="11">
        <v>62.784999999999997</v>
      </c>
      <c r="AD770" s="11">
        <v>61.951999999999998</v>
      </c>
      <c r="AE770" s="11">
        <v>61.276000000000003</v>
      </c>
      <c r="AF770" s="11">
        <v>60.642000000000003</v>
      </c>
      <c r="AG770" s="11">
        <v>60.052</v>
      </c>
      <c r="AH770" s="11">
        <v>59.496000000000002</v>
      </c>
      <c r="AI770" s="11">
        <v>59.033999999999999</v>
      </c>
      <c r="AJ770" s="11">
        <v>58.585000000000001</v>
      </c>
      <c r="AK770" s="11">
        <v>58.155000000000001</v>
      </c>
      <c r="AL770" s="11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</row>
    <row r="771" spans="1:147" x14ac:dyDescent="0.3">
      <c r="A771" s="9">
        <f>DATE(2019, 12, 23)</f>
        <v>43822</v>
      </c>
      <c r="B771" s="10">
        <v>66.39</v>
      </c>
      <c r="C771" s="10">
        <v>65.42</v>
      </c>
      <c r="D771" s="10">
        <v>64.73</v>
      </c>
      <c r="E771" s="10">
        <v>64.16</v>
      </c>
      <c r="F771" s="10">
        <v>63.61</v>
      </c>
      <c r="G771" s="10">
        <v>63.03</v>
      </c>
      <c r="H771" s="10">
        <v>62.54</v>
      </c>
      <c r="I771" s="10">
        <v>62.14</v>
      </c>
      <c r="J771" s="10">
        <v>61.72</v>
      </c>
      <c r="K771" s="10">
        <v>61.35</v>
      </c>
      <c r="L771" s="10">
        <v>60.99</v>
      </c>
      <c r="M771" s="10">
        <v>60.66</v>
      </c>
      <c r="N771" s="10">
        <v>60.52</v>
      </c>
      <c r="O771" s="10">
        <v>60.35</v>
      </c>
      <c r="P771" s="10">
        <v>60.07</v>
      </c>
      <c r="Q771" s="10">
        <v>59.68</v>
      </c>
      <c r="R771" s="10">
        <v>59.2</v>
      </c>
      <c r="S771" s="10">
        <v>58.67</v>
      </c>
      <c r="T771" s="10">
        <v>58.14</v>
      </c>
      <c r="U771" s="10">
        <v>57.63</v>
      </c>
      <c r="V771" s="10">
        <v>57.18</v>
      </c>
      <c r="W771" s="10">
        <v>56.77</v>
      </c>
      <c r="X771" s="10">
        <v>56.39</v>
      </c>
      <c r="Y771" s="10">
        <v>55.99</v>
      </c>
      <c r="Z771" s="11">
        <v>64.707999999999998</v>
      </c>
      <c r="AA771" s="11">
        <v>64.948999999999998</v>
      </c>
      <c r="AB771" s="11">
        <v>63.942</v>
      </c>
      <c r="AC771" s="11">
        <v>63.104999999999997</v>
      </c>
      <c r="AD771" s="11">
        <v>62.262</v>
      </c>
      <c r="AE771" s="11">
        <v>61.587000000000003</v>
      </c>
      <c r="AF771" s="11">
        <v>60.942</v>
      </c>
      <c r="AG771" s="11">
        <v>60.322000000000003</v>
      </c>
      <c r="AH771" s="11">
        <v>59.734999999999999</v>
      </c>
      <c r="AI771" s="11">
        <v>59.253999999999998</v>
      </c>
      <c r="AJ771" s="11">
        <v>58.784999999999997</v>
      </c>
      <c r="AK771" s="11">
        <v>58.365000000000002</v>
      </c>
      <c r="AL771" s="11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</row>
    <row r="772" spans="1:147" x14ac:dyDescent="0.3">
      <c r="A772" s="9">
        <f>DATE(2019, 12, 24)</f>
        <v>43823</v>
      </c>
      <c r="B772" s="10">
        <v>67.2</v>
      </c>
      <c r="C772" s="10">
        <v>66.16</v>
      </c>
      <c r="D772" s="10">
        <v>65.459999999999994</v>
      </c>
      <c r="E772" s="10">
        <v>64.88</v>
      </c>
      <c r="F772" s="10">
        <v>64.31</v>
      </c>
      <c r="G772" s="10">
        <v>63.72</v>
      </c>
      <c r="H772" s="10">
        <v>63.21</v>
      </c>
      <c r="I772" s="10">
        <v>62.78</v>
      </c>
      <c r="J772" s="10">
        <v>62.34</v>
      </c>
      <c r="K772" s="10">
        <v>61.95</v>
      </c>
      <c r="L772" s="10">
        <v>61.56</v>
      </c>
      <c r="M772" s="10">
        <v>61.22</v>
      </c>
      <c r="N772" s="10">
        <v>61.11</v>
      </c>
      <c r="O772" s="10">
        <v>60.94</v>
      </c>
      <c r="P772" s="10">
        <v>60.65</v>
      </c>
      <c r="Q772" s="10">
        <v>60.26</v>
      </c>
      <c r="R772" s="10">
        <v>59.78</v>
      </c>
      <c r="S772" s="10">
        <v>59.24</v>
      </c>
      <c r="T772" s="10">
        <v>58.68</v>
      </c>
      <c r="U772" s="10">
        <v>58.16</v>
      </c>
      <c r="V772" s="10">
        <v>57.68</v>
      </c>
      <c r="W772" s="10">
        <v>57.25</v>
      </c>
      <c r="X772" s="10">
        <v>56.85</v>
      </c>
      <c r="Y772" s="10">
        <v>56.44</v>
      </c>
      <c r="Z772" s="11">
        <v>64.846000000000004</v>
      </c>
      <c r="AA772" s="11">
        <v>65.707999999999998</v>
      </c>
      <c r="AB772" s="11">
        <v>64.710999999999999</v>
      </c>
      <c r="AC772" s="11">
        <v>63.834000000000003</v>
      </c>
      <c r="AD772" s="11">
        <v>62.991999999999997</v>
      </c>
      <c r="AE772" s="11">
        <v>62.256</v>
      </c>
      <c r="AF772" s="11">
        <v>61.61</v>
      </c>
      <c r="AG772" s="11">
        <v>60.991</v>
      </c>
      <c r="AH772" s="11">
        <v>60.423000000000002</v>
      </c>
      <c r="AI772" s="11">
        <v>59.911999999999999</v>
      </c>
      <c r="AJ772" s="11">
        <v>59.445</v>
      </c>
      <c r="AK772" s="11">
        <v>59.003999999999998</v>
      </c>
      <c r="AL772" s="11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</row>
    <row r="773" spans="1:147" x14ac:dyDescent="0.3">
      <c r="A773" s="9">
        <f>DATE(2019, 12, 26)</f>
        <v>43825</v>
      </c>
      <c r="B773" s="10">
        <v>67.92</v>
      </c>
      <c r="C773" s="10">
        <v>66.760000000000005</v>
      </c>
      <c r="D773" s="10">
        <v>66.05</v>
      </c>
      <c r="E773" s="10">
        <v>65.45</v>
      </c>
      <c r="F773" s="10">
        <v>64.86</v>
      </c>
      <c r="G773" s="10">
        <v>64.25</v>
      </c>
      <c r="H773" s="10">
        <v>63.71</v>
      </c>
      <c r="I773" s="10">
        <v>63.26</v>
      </c>
      <c r="J773" s="10">
        <v>62.8</v>
      </c>
      <c r="K773" s="10">
        <v>62.37</v>
      </c>
      <c r="L773" s="10">
        <v>61.94</v>
      </c>
      <c r="M773" s="10">
        <v>61.57</v>
      </c>
      <c r="N773" s="10">
        <v>61.68</v>
      </c>
      <c r="O773" s="10">
        <v>61.48</v>
      </c>
      <c r="P773" s="10">
        <v>61.16</v>
      </c>
      <c r="Q773" s="10">
        <v>60.73</v>
      </c>
      <c r="R773" s="10">
        <v>60.21</v>
      </c>
      <c r="S773" s="10">
        <v>59.63</v>
      </c>
      <c r="T773" s="10">
        <v>59.05</v>
      </c>
      <c r="U773" s="10">
        <v>58.48</v>
      </c>
      <c r="V773" s="10">
        <v>57.97</v>
      </c>
      <c r="W773" s="10">
        <v>57.52</v>
      </c>
      <c r="X773" s="10">
        <v>57.09</v>
      </c>
      <c r="Y773" s="10">
        <v>56.66</v>
      </c>
      <c r="Z773" s="11">
        <v>64.921999999999997</v>
      </c>
      <c r="AA773" s="11">
        <v>66.218000000000004</v>
      </c>
      <c r="AB773" s="11">
        <v>65.27</v>
      </c>
      <c r="AC773" s="11">
        <v>64.433000000000007</v>
      </c>
      <c r="AD773" s="11">
        <v>63.591000000000001</v>
      </c>
      <c r="AE773" s="11">
        <v>62.823999999999998</v>
      </c>
      <c r="AF773" s="11">
        <v>62.11</v>
      </c>
      <c r="AG773" s="11">
        <v>61.47</v>
      </c>
      <c r="AH773" s="11">
        <v>60.878999999999998</v>
      </c>
      <c r="AI773" s="11">
        <v>60.33</v>
      </c>
      <c r="AJ773" s="11">
        <v>59.823</v>
      </c>
      <c r="AK773" s="11">
        <v>59.353000000000002</v>
      </c>
      <c r="AL773" s="11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</row>
    <row r="774" spans="1:147" x14ac:dyDescent="0.3">
      <c r="A774" s="9">
        <f>DATE(2019, 12, 27)</f>
        <v>43826</v>
      </c>
      <c r="B774" s="10">
        <v>68.16</v>
      </c>
      <c r="C774" s="10">
        <v>66.87</v>
      </c>
      <c r="D774" s="10">
        <v>66.14</v>
      </c>
      <c r="E774" s="10">
        <v>65.52</v>
      </c>
      <c r="F774" s="10">
        <v>64.930000000000007</v>
      </c>
      <c r="G774" s="10">
        <v>64.319999999999993</v>
      </c>
      <c r="H774" s="10">
        <v>63.78</v>
      </c>
      <c r="I774" s="10">
        <v>63.34</v>
      </c>
      <c r="J774" s="10">
        <v>62.88</v>
      </c>
      <c r="K774" s="10">
        <v>62.47</v>
      </c>
      <c r="L774" s="10">
        <v>62.06</v>
      </c>
      <c r="M774" s="10">
        <v>61.69</v>
      </c>
      <c r="N774" s="10">
        <v>61.72</v>
      </c>
      <c r="O774" s="10">
        <v>61.53</v>
      </c>
      <c r="P774" s="10">
        <v>61.21</v>
      </c>
      <c r="Q774" s="10">
        <v>60.79</v>
      </c>
      <c r="R774" s="10">
        <v>60.28</v>
      </c>
      <c r="S774" s="10">
        <v>59.7</v>
      </c>
      <c r="T774" s="10">
        <v>59.13</v>
      </c>
      <c r="U774" s="10">
        <v>58.58</v>
      </c>
      <c r="V774" s="10">
        <v>58.08</v>
      </c>
      <c r="W774" s="10">
        <v>57.63</v>
      </c>
      <c r="X774" s="10">
        <v>57.21</v>
      </c>
      <c r="Y774" s="10">
        <v>56.78</v>
      </c>
      <c r="Z774" s="11">
        <v>64.914000000000001</v>
      </c>
      <c r="AA774" s="11">
        <v>66.126999999999995</v>
      </c>
      <c r="AB774" s="11">
        <v>65.228999999999999</v>
      </c>
      <c r="AC774" s="11">
        <v>64.403000000000006</v>
      </c>
      <c r="AD774" s="11">
        <v>63.610999999999997</v>
      </c>
      <c r="AE774" s="11">
        <v>62.884</v>
      </c>
      <c r="AF774" s="11">
        <v>62.21</v>
      </c>
      <c r="AG774" s="11">
        <v>61.58</v>
      </c>
      <c r="AH774" s="11">
        <v>61.011000000000003</v>
      </c>
      <c r="AI774" s="11">
        <v>60.470999999999997</v>
      </c>
      <c r="AJ774" s="11">
        <v>60.003</v>
      </c>
      <c r="AK774" s="11">
        <v>59.563000000000002</v>
      </c>
      <c r="AL774" s="11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</row>
    <row r="775" spans="1:147" x14ac:dyDescent="0.3">
      <c r="A775" s="9">
        <f>DATE(2019, 12, 30)</f>
        <v>43829</v>
      </c>
      <c r="B775" s="10">
        <v>68.44</v>
      </c>
      <c r="C775" s="10">
        <v>66.67</v>
      </c>
      <c r="D775" s="10">
        <v>65.989999999999995</v>
      </c>
      <c r="E775" s="10">
        <v>65.38</v>
      </c>
      <c r="F775" s="10">
        <v>64.78</v>
      </c>
      <c r="G775" s="10">
        <v>64.17</v>
      </c>
      <c r="H775" s="10">
        <v>63.63</v>
      </c>
      <c r="I775" s="10">
        <v>63.18</v>
      </c>
      <c r="J775" s="10">
        <v>62.72</v>
      </c>
      <c r="K775" s="10">
        <v>62.3</v>
      </c>
      <c r="L775" s="10">
        <v>61.89</v>
      </c>
      <c r="M775" s="10">
        <v>61.53</v>
      </c>
      <c r="N775" s="10">
        <v>61.68</v>
      </c>
      <c r="O775" s="10">
        <v>61.44</v>
      </c>
      <c r="P775" s="10">
        <v>61.1</v>
      </c>
      <c r="Q775" s="10">
        <v>60.66</v>
      </c>
      <c r="R775" s="10">
        <v>60.14</v>
      </c>
      <c r="S775" s="10">
        <v>59.57</v>
      </c>
      <c r="T775" s="10">
        <v>58.98</v>
      </c>
      <c r="U775" s="10">
        <v>58.44</v>
      </c>
      <c r="V775" s="10">
        <v>57.94</v>
      </c>
      <c r="W775" s="10">
        <v>57.48</v>
      </c>
      <c r="X775" s="10">
        <v>57.05</v>
      </c>
      <c r="Y775" s="10">
        <v>56.62</v>
      </c>
      <c r="Z775" s="11">
        <v>64.897000000000006</v>
      </c>
      <c r="AA775" s="11">
        <v>65.799000000000007</v>
      </c>
      <c r="AB775" s="11">
        <v>64.918000000000006</v>
      </c>
      <c r="AC775" s="11">
        <v>64.105999999999995</v>
      </c>
      <c r="AD775" s="11">
        <v>63.304000000000002</v>
      </c>
      <c r="AE775" s="11">
        <v>62.584000000000003</v>
      </c>
      <c r="AF775" s="11">
        <v>61.96</v>
      </c>
      <c r="AG775" s="11">
        <v>61.36</v>
      </c>
      <c r="AH775" s="11">
        <v>60.79</v>
      </c>
      <c r="AI775" s="11">
        <v>60.250999999999998</v>
      </c>
      <c r="AJ775" s="11">
        <v>59.793999999999997</v>
      </c>
      <c r="AK775" s="11">
        <v>59.384</v>
      </c>
      <c r="AL775" s="11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</row>
    <row r="776" spans="1:147" x14ac:dyDescent="0.3">
      <c r="A776" s="9">
        <f>DATE(2019, 12, 31)</f>
        <v>43830</v>
      </c>
      <c r="B776" s="10">
        <v>66</v>
      </c>
      <c r="C776" s="10">
        <v>65.290000000000006</v>
      </c>
      <c r="D776" s="10">
        <v>64.680000000000007</v>
      </c>
      <c r="E776" s="10">
        <v>64.08</v>
      </c>
      <c r="F776" s="10">
        <v>63.46</v>
      </c>
      <c r="G776" s="10">
        <v>62.93</v>
      </c>
      <c r="H776" s="10">
        <v>62.48</v>
      </c>
      <c r="I776" s="10">
        <v>62.03</v>
      </c>
      <c r="J776" s="10">
        <v>61.62</v>
      </c>
      <c r="K776" s="10">
        <v>61.22</v>
      </c>
      <c r="L776" s="10">
        <v>60.87</v>
      </c>
      <c r="M776" s="10">
        <v>60.53</v>
      </c>
      <c r="N776" s="10">
        <v>61.06</v>
      </c>
      <c r="O776" s="10">
        <v>60.77</v>
      </c>
      <c r="P776" s="10">
        <v>60.41</v>
      </c>
      <c r="Q776" s="10">
        <v>59.97</v>
      </c>
      <c r="R776" s="10">
        <v>59.44</v>
      </c>
      <c r="S776" s="10">
        <v>58.87</v>
      </c>
      <c r="T776" s="10">
        <v>58.31</v>
      </c>
      <c r="U776" s="10">
        <v>57.77</v>
      </c>
      <c r="V776" s="10">
        <v>57.29</v>
      </c>
      <c r="W776" s="10">
        <v>56.85</v>
      </c>
      <c r="X776" s="10">
        <v>56.44</v>
      </c>
      <c r="Y776" s="10">
        <v>56.03</v>
      </c>
      <c r="Z776" s="11">
        <v>64.888999999999996</v>
      </c>
      <c r="AA776" s="11">
        <v>64.988</v>
      </c>
      <c r="AB776" s="11">
        <v>64.069999999999993</v>
      </c>
      <c r="AC776" s="11">
        <v>63.253</v>
      </c>
      <c r="AD776" s="11">
        <v>62.44</v>
      </c>
      <c r="AE776" s="11">
        <v>61.734999999999999</v>
      </c>
      <c r="AF776" s="11">
        <v>61.13</v>
      </c>
      <c r="AG776" s="11">
        <v>60.56</v>
      </c>
      <c r="AH776" s="11">
        <v>60.011000000000003</v>
      </c>
      <c r="AI776" s="11">
        <v>59.502000000000002</v>
      </c>
      <c r="AJ776" s="11">
        <v>59.033999999999999</v>
      </c>
      <c r="AK776" s="11">
        <v>58.613999999999997</v>
      </c>
      <c r="AL776" s="11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</row>
    <row r="777" spans="1:147" x14ac:dyDescent="0.3">
      <c r="A777" s="9">
        <f>DATE(2020, 1, 2)</f>
        <v>43832</v>
      </c>
      <c r="B777" s="10">
        <v>66.25</v>
      </c>
      <c r="C777" s="10">
        <v>65.56</v>
      </c>
      <c r="D777" s="10">
        <v>64.97</v>
      </c>
      <c r="E777" s="10">
        <v>64.400000000000006</v>
      </c>
      <c r="F777" s="10">
        <v>63.81</v>
      </c>
      <c r="G777" s="10">
        <v>63.29</v>
      </c>
      <c r="H777" s="10">
        <v>62.85</v>
      </c>
      <c r="I777" s="10">
        <v>62.41</v>
      </c>
      <c r="J777" s="10">
        <v>62.01</v>
      </c>
      <c r="K777" s="10">
        <v>61.61</v>
      </c>
      <c r="L777" s="10">
        <v>61.27</v>
      </c>
      <c r="M777" s="10">
        <v>60.94</v>
      </c>
      <c r="N777" s="10">
        <v>61.18</v>
      </c>
      <c r="O777" s="10">
        <v>60.95</v>
      </c>
      <c r="P777" s="10">
        <v>60.64</v>
      </c>
      <c r="Q777" s="10">
        <v>60.24</v>
      </c>
      <c r="R777" s="10">
        <v>59.77</v>
      </c>
      <c r="S777" s="10">
        <v>59.25</v>
      </c>
      <c r="T777" s="10">
        <v>58.72</v>
      </c>
      <c r="U777" s="10">
        <v>58.21</v>
      </c>
      <c r="V777" s="10">
        <v>57.74</v>
      </c>
      <c r="W777" s="10">
        <v>57.31</v>
      </c>
      <c r="X777" s="10">
        <v>56.9</v>
      </c>
      <c r="Y777" s="10">
        <v>56.49</v>
      </c>
      <c r="Z777" s="11">
        <v>64.888999999999996</v>
      </c>
      <c r="AA777" s="11">
        <v>65.546999999999997</v>
      </c>
      <c r="AB777" s="11">
        <v>64.570999999999998</v>
      </c>
      <c r="AC777" s="11">
        <v>63.734000000000002</v>
      </c>
      <c r="AD777" s="11">
        <v>62.911999999999999</v>
      </c>
      <c r="AE777" s="11">
        <v>62.204999999999998</v>
      </c>
      <c r="AF777" s="11">
        <v>61.6</v>
      </c>
      <c r="AG777" s="11">
        <v>61.040999999999997</v>
      </c>
      <c r="AH777" s="11">
        <v>60.491999999999997</v>
      </c>
      <c r="AI777" s="11">
        <v>59.991999999999997</v>
      </c>
      <c r="AJ777" s="11">
        <v>59.515000000000001</v>
      </c>
      <c r="AK777" s="11">
        <v>59.084000000000003</v>
      </c>
      <c r="AL777" s="11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</row>
    <row r="778" spans="1:147" x14ac:dyDescent="0.3">
      <c r="A778" s="9">
        <f>DATE(2020, 1, 3)</f>
        <v>43833</v>
      </c>
      <c r="B778" s="10">
        <v>68.599999999999994</v>
      </c>
      <c r="C778" s="10">
        <v>67.760000000000005</v>
      </c>
      <c r="D778" s="10">
        <v>67.05</v>
      </c>
      <c r="E778" s="10">
        <v>66.38</v>
      </c>
      <c r="F778" s="10">
        <v>65.66</v>
      </c>
      <c r="G778" s="10">
        <v>65.02</v>
      </c>
      <c r="H778" s="10">
        <v>64.45</v>
      </c>
      <c r="I778" s="10">
        <v>63.89</v>
      </c>
      <c r="J778" s="10">
        <v>63.35</v>
      </c>
      <c r="K778" s="10">
        <v>62.83</v>
      </c>
      <c r="L778" s="10">
        <v>62.38</v>
      </c>
      <c r="M778" s="10">
        <v>61.95</v>
      </c>
      <c r="N778" s="10">
        <v>63.05</v>
      </c>
      <c r="O778" s="10">
        <v>62.82</v>
      </c>
      <c r="P778" s="10">
        <v>62.48</v>
      </c>
      <c r="Q778" s="10">
        <v>62.02</v>
      </c>
      <c r="R778" s="10">
        <v>61.46</v>
      </c>
      <c r="S778" s="10">
        <v>60.83</v>
      </c>
      <c r="T778" s="10">
        <v>60.18</v>
      </c>
      <c r="U778" s="10">
        <v>59.55</v>
      </c>
      <c r="V778" s="10">
        <v>58.98</v>
      </c>
      <c r="W778" s="10">
        <v>58.46</v>
      </c>
      <c r="X778" s="10">
        <v>57.97</v>
      </c>
      <c r="Y778" s="10">
        <v>57.48</v>
      </c>
      <c r="Z778" s="11">
        <v>67.893000000000001</v>
      </c>
      <c r="AA778" s="11">
        <v>66.965000000000003</v>
      </c>
      <c r="AB778" s="11">
        <v>65.989999999999995</v>
      </c>
      <c r="AC778" s="11">
        <v>65.036000000000001</v>
      </c>
      <c r="AD778" s="11">
        <v>64.23</v>
      </c>
      <c r="AE778" s="11">
        <v>63.514000000000003</v>
      </c>
      <c r="AF778" s="11">
        <v>62.835999999999999</v>
      </c>
      <c r="AG778" s="11">
        <v>62.168999999999997</v>
      </c>
      <c r="AH778" s="11">
        <v>61.536000000000001</v>
      </c>
      <c r="AI778" s="11">
        <v>60.95</v>
      </c>
      <c r="AJ778" s="11">
        <v>60.4</v>
      </c>
      <c r="AK778" s="11">
        <v>59.905999999999999</v>
      </c>
      <c r="AL778" s="11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</row>
    <row r="779" spans="1:147" x14ac:dyDescent="0.3">
      <c r="A779" s="9">
        <f>DATE(2020, 1, 6)</f>
        <v>43836</v>
      </c>
      <c r="B779" s="10">
        <v>68.91</v>
      </c>
      <c r="C779" s="10">
        <v>68.069999999999993</v>
      </c>
      <c r="D779" s="10">
        <v>67.319999999999993</v>
      </c>
      <c r="E779" s="10">
        <v>66.61</v>
      </c>
      <c r="F779" s="10">
        <v>65.86</v>
      </c>
      <c r="G779" s="10">
        <v>65.2</v>
      </c>
      <c r="H779" s="10">
        <v>64.63</v>
      </c>
      <c r="I779" s="10">
        <v>64.06</v>
      </c>
      <c r="J779" s="10">
        <v>63.53</v>
      </c>
      <c r="K779" s="10">
        <v>63</v>
      </c>
      <c r="L779" s="10">
        <v>62.54</v>
      </c>
      <c r="M779" s="10">
        <v>62.11</v>
      </c>
      <c r="N779" s="10">
        <v>63.27</v>
      </c>
      <c r="O779" s="10">
        <v>63.04</v>
      </c>
      <c r="P779" s="10">
        <v>62.69</v>
      </c>
      <c r="Q779" s="10">
        <v>62.23</v>
      </c>
      <c r="R779" s="10">
        <v>61.68</v>
      </c>
      <c r="S779" s="10">
        <v>61.06</v>
      </c>
      <c r="T779" s="10">
        <v>60.42</v>
      </c>
      <c r="U779" s="10">
        <v>59.79</v>
      </c>
      <c r="V779" s="10">
        <v>59.21</v>
      </c>
      <c r="W779" s="10">
        <v>58.68</v>
      </c>
      <c r="X779" s="10">
        <v>58.18</v>
      </c>
      <c r="Y779" s="10">
        <v>57.68</v>
      </c>
      <c r="Z779" s="11">
        <v>68.430000000000007</v>
      </c>
      <c r="AA779" s="11">
        <v>67.462999999999994</v>
      </c>
      <c r="AB779" s="11">
        <v>66.474999999999994</v>
      </c>
      <c r="AC779" s="11">
        <v>65.483999999999995</v>
      </c>
      <c r="AD779" s="11">
        <v>64.629000000000005</v>
      </c>
      <c r="AE779" s="11">
        <v>63.884</v>
      </c>
      <c r="AF779" s="11">
        <v>63.174999999999997</v>
      </c>
      <c r="AG779" s="11">
        <v>62.53</v>
      </c>
      <c r="AH779" s="11">
        <v>61.936</v>
      </c>
      <c r="AI779" s="11">
        <v>61.348999999999997</v>
      </c>
      <c r="AJ779" s="11">
        <v>60.79</v>
      </c>
      <c r="AK779" s="11">
        <v>60.295999999999999</v>
      </c>
      <c r="AL779" s="11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</row>
    <row r="780" spans="1:147" x14ac:dyDescent="0.3">
      <c r="A780" s="9">
        <f>DATE(2020, 1, 7)</f>
        <v>43837</v>
      </c>
      <c r="B780" s="10">
        <v>68.27</v>
      </c>
      <c r="C780" s="10">
        <v>67.569999999999993</v>
      </c>
      <c r="D780" s="10">
        <v>66.87</v>
      </c>
      <c r="E780" s="10">
        <v>66.19</v>
      </c>
      <c r="F780" s="10">
        <v>65.48</v>
      </c>
      <c r="G780" s="10">
        <v>64.86</v>
      </c>
      <c r="H780" s="10">
        <v>64.33</v>
      </c>
      <c r="I780" s="10">
        <v>63.79</v>
      </c>
      <c r="J780" s="10">
        <v>63.3</v>
      </c>
      <c r="K780" s="10">
        <v>62.81</v>
      </c>
      <c r="L780" s="10">
        <v>62.39</v>
      </c>
      <c r="M780" s="10">
        <v>62</v>
      </c>
      <c r="N780" s="10">
        <v>62.7</v>
      </c>
      <c r="O780" s="10">
        <v>62.51</v>
      </c>
      <c r="P780" s="10">
        <v>62.21</v>
      </c>
      <c r="Q780" s="10">
        <v>61.81</v>
      </c>
      <c r="R780" s="10">
        <v>61.32</v>
      </c>
      <c r="S780" s="10">
        <v>60.76</v>
      </c>
      <c r="T780" s="10">
        <v>60.18</v>
      </c>
      <c r="U780" s="10">
        <v>59.61</v>
      </c>
      <c r="V780" s="10">
        <v>59.04</v>
      </c>
      <c r="W780" s="10">
        <v>58.55</v>
      </c>
      <c r="X780" s="10">
        <v>58.07</v>
      </c>
      <c r="Y780" s="10">
        <v>57.59</v>
      </c>
      <c r="Z780" s="11">
        <v>68.031000000000006</v>
      </c>
      <c r="AA780" s="11">
        <v>66.915000000000006</v>
      </c>
      <c r="AB780" s="11">
        <v>65.989000000000004</v>
      </c>
      <c r="AC780" s="11">
        <v>65.055999999999997</v>
      </c>
      <c r="AD780" s="11">
        <v>64.239999999999995</v>
      </c>
      <c r="AE780" s="11">
        <v>63.526000000000003</v>
      </c>
      <c r="AF780" s="11">
        <v>62.887</v>
      </c>
      <c r="AG780" s="11">
        <v>62.283000000000001</v>
      </c>
      <c r="AH780" s="11">
        <v>61.707999999999998</v>
      </c>
      <c r="AI780" s="11">
        <v>61.140999999999998</v>
      </c>
      <c r="AJ780" s="11">
        <v>60.610999999999997</v>
      </c>
      <c r="AK780" s="11">
        <v>60.149000000000001</v>
      </c>
      <c r="AL780" s="11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</row>
    <row r="781" spans="1:147" x14ac:dyDescent="0.3">
      <c r="A781" s="9">
        <f>DATE(2020, 1, 8)</f>
        <v>43838</v>
      </c>
      <c r="B781" s="10">
        <v>65.44</v>
      </c>
      <c r="C781" s="10">
        <v>64.790000000000006</v>
      </c>
      <c r="D781" s="10">
        <v>64.14</v>
      </c>
      <c r="E781" s="10">
        <v>63.5</v>
      </c>
      <c r="F781" s="10">
        <v>62.83</v>
      </c>
      <c r="G781" s="10">
        <v>62.25</v>
      </c>
      <c r="H781" s="10">
        <v>61.77</v>
      </c>
      <c r="I781" s="10">
        <v>61.3</v>
      </c>
      <c r="J781" s="10">
        <v>60.88</v>
      </c>
      <c r="K781" s="10">
        <v>60.48</v>
      </c>
      <c r="L781" s="10">
        <v>60.14</v>
      </c>
      <c r="M781" s="10">
        <v>59.83</v>
      </c>
      <c r="N781" s="10">
        <v>59.61</v>
      </c>
      <c r="O781" s="10">
        <v>59.46</v>
      </c>
      <c r="P781" s="10">
        <v>59.23</v>
      </c>
      <c r="Q781" s="10">
        <v>58.92</v>
      </c>
      <c r="R781" s="10">
        <v>58.52</v>
      </c>
      <c r="S781" s="10">
        <v>58.05</v>
      </c>
      <c r="T781" s="10">
        <v>57.54</v>
      </c>
      <c r="U781" s="10">
        <v>57.04</v>
      </c>
      <c r="V781" s="10">
        <v>56.57</v>
      </c>
      <c r="W781" s="10">
        <v>56.15</v>
      </c>
      <c r="X781" s="10">
        <v>55.75</v>
      </c>
      <c r="Y781" s="10">
        <v>55.35</v>
      </c>
      <c r="Z781" s="11">
        <v>65.546999999999997</v>
      </c>
      <c r="AA781" s="11">
        <v>64.570999999999998</v>
      </c>
      <c r="AB781" s="11">
        <v>63.734000000000002</v>
      </c>
      <c r="AC781" s="11">
        <v>62.911999999999999</v>
      </c>
      <c r="AD781" s="11">
        <v>62.204999999999998</v>
      </c>
      <c r="AE781" s="11">
        <v>61.6</v>
      </c>
      <c r="AF781" s="11">
        <v>61.040999999999997</v>
      </c>
      <c r="AG781" s="11">
        <v>60.491999999999997</v>
      </c>
      <c r="AH781" s="11">
        <v>59.991999999999997</v>
      </c>
      <c r="AI781" s="11">
        <v>59.515000000000001</v>
      </c>
      <c r="AJ781" s="11">
        <v>59.084000000000003</v>
      </c>
      <c r="AK781" s="11">
        <v>58.692999999999998</v>
      </c>
      <c r="AL781" s="11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</row>
    <row r="782" spans="1:147" x14ac:dyDescent="0.3">
      <c r="A782" s="9">
        <f>DATE(2020, 1, 9)</f>
        <v>43839</v>
      </c>
      <c r="B782" s="10">
        <v>65.37</v>
      </c>
      <c r="C782" s="10">
        <v>64.66</v>
      </c>
      <c r="D782" s="10">
        <v>64.02</v>
      </c>
      <c r="E782" s="10">
        <v>63.41</v>
      </c>
      <c r="F782" s="10">
        <v>62.77</v>
      </c>
      <c r="G782" s="10">
        <v>62.22</v>
      </c>
      <c r="H782" s="10">
        <v>61.77</v>
      </c>
      <c r="I782" s="10">
        <v>61.33</v>
      </c>
      <c r="J782" s="10">
        <v>60.94</v>
      </c>
      <c r="K782" s="10">
        <v>60.56</v>
      </c>
      <c r="L782" s="10">
        <v>60.24</v>
      </c>
      <c r="M782" s="10">
        <v>59.95</v>
      </c>
      <c r="N782" s="10">
        <v>59.56</v>
      </c>
      <c r="O782" s="10">
        <v>59.44</v>
      </c>
      <c r="P782" s="10">
        <v>59.25</v>
      </c>
      <c r="Q782" s="10">
        <v>58.99</v>
      </c>
      <c r="R782" s="10">
        <v>58.63</v>
      </c>
      <c r="S782" s="10">
        <v>58.19</v>
      </c>
      <c r="T782" s="10">
        <v>57.7</v>
      </c>
      <c r="U782" s="10">
        <v>57.2</v>
      </c>
      <c r="V782" s="10">
        <v>56.74</v>
      </c>
      <c r="W782" s="10">
        <v>56.32</v>
      </c>
      <c r="X782" s="10">
        <v>55.93</v>
      </c>
      <c r="Y782" s="10">
        <v>55.54</v>
      </c>
      <c r="Z782" s="11">
        <v>66.236000000000004</v>
      </c>
      <c r="AA782" s="11">
        <v>64.308000000000007</v>
      </c>
      <c r="AB782" s="11">
        <v>63.372</v>
      </c>
      <c r="AC782" s="11">
        <v>62.49</v>
      </c>
      <c r="AD782" s="11">
        <v>61.664000000000001</v>
      </c>
      <c r="AE782" s="11">
        <v>60.94</v>
      </c>
      <c r="AF782" s="11">
        <v>60.320999999999998</v>
      </c>
      <c r="AG782" s="11">
        <v>59.802999999999997</v>
      </c>
      <c r="AH782" s="11">
        <v>59.313000000000002</v>
      </c>
      <c r="AI782" s="11">
        <v>58.884999999999998</v>
      </c>
      <c r="AJ782" s="11">
        <v>58.456000000000003</v>
      </c>
      <c r="AK782" s="11">
        <v>58.046999999999997</v>
      </c>
      <c r="AL782" s="11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</row>
    <row r="783" spans="1:147" x14ac:dyDescent="0.3">
      <c r="A783" s="9">
        <f>DATE(2020, 1, 10)</f>
        <v>43840</v>
      </c>
      <c r="B783" s="10">
        <v>64.98</v>
      </c>
      <c r="C783" s="10">
        <v>64.25</v>
      </c>
      <c r="D783" s="10">
        <v>63.63</v>
      </c>
      <c r="E783" s="10">
        <v>63.02</v>
      </c>
      <c r="F783" s="10">
        <v>62.39</v>
      </c>
      <c r="G783" s="10">
        <v>61.86</v>
      </c>
      <c r="H783" s="10">
        <v>61.44</v>
      </c>
      <c r="I783" s="10">
        <v>61.02</v>
      </c>
      <c r="J783" s="10">
        <v>60.65</v>
      </c>
      <c r="K783" s="10">
        <v>60.3</v>
      </c>
      <c r="L783" s="10">
        <v>60.01</v>
      </c>
      <c r="M783" s="10">
        <v>59.74</v>
      </c>
      <c r="N783" s="10">
        <v>59.04</v>
      </c>
      <c r="O783" s="10">
        <v>58.99</v>
      </c>
      <c r="P783" s="10">
        <v>58.85</v>
      </c>
      <c r="Q783" s="10">
        <v>58.63</v>
      </c>
      <c r="R783" s="10">
        <v>58.32</v>
      </c>
      <c r="S783" s="10">
        <v>57.92</v>
      </c>
      <c r="T783" s="10">
        <v>57.47</v>
      </c>
      <c r="U783" s="10">
        <v>57</v>
      </c>
      <c r="V783" s="10">
        <v>56.54</v>
      </c>
      <c r="W783" s="10">
        <v>56.13</v>
      </c>
      <c r="X783" s="10">
        <v>55.74</v>
      </c>
      <c r="Y783" s="10">
        <v>55.36</v>
      </c>
      <c r="Z783" s="11">
        <v>66.162999999999997</v>
      </c>
      <c r="AA783" s="11">
        <v>64.067999999999998</v>
      </c>
      <c r="AB783" s="11">
        <v>63.091999999999999</v>
      </c>
      <c r="AC783" s="11">
        <v>62.16</v>
      </c>
      <c r="AD783" s="11">
        <v>61.314999999999998</v>
      </c>
      <c r="AE783" s="11">
        <v>60.591000000000001</v>
      </c>
      <c r="AF783" s="11">
        <v>59.962000000000003</v>
      </c>
      <c r="AG783" s="11">
        <v>59.465000000000003</v>
      </c>
      <c r="AH783" s="11">
        <v>58.994</v>
      </c>
      <c r="AI783" s="11">
        <v>58.576999999999998</v>
      </c>
      <c r="AJ783" s="11">
        <v>58.167000000000002</v>
      </c>
      <c r="AK783" s="11">
        <v>57.768000000000001</v>
      </c>
      <c r="AL783" s="11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</row>
    <row r="784" spans="1:147" x14ac:dyDescent="0.3">
      <c r="A784" s="9">
        <f>DATE(2020, 1, 13)</f>
        <v>43843</v>
      </c>
      <c r="B784" s="10">
        <v>64.2</v>
      </c>
      <c r="C784" s="10">
        <v>63.48</v>
      </c>
      <c r="D784" s="10">
        <v>62.89</v>
      </c>
      <c r="E784" s="10">
        <v>62.31</v>
      </c>
      <c r="F784" s="10">
        <v>61.71</v>
      </c>
      <c r="G784" s="10">
        <v>61.2</v>
      </c>
      <c r="H784" s="10">
        <v>60.79</v>
      </c>
      <c r="I784" s="10">
        <v>60.38</v>
      </c>
      <c r="J784" s="10">
        <v>60.04</v>
      </c>
      <c r="K784" s="10">
        <v>59.72</v>
      </c>
      <c r="L784" s="10">
        <v>59.44</v>
      </c>
      <c r="M784" s="10">
        <v>59.2</v>
      </c>
      <c r="N784" s="10">
        <v>58.08</v>
      </c>
      <c r="O784" s="10">
        <v>58.08</v>
      </c>
      <c r="P784" s="10">
        <v>57.99</v>
      </c>
      <c r="Q784" s="10">
        <v>57.82</v>
      </c>
      <c r="R784" s="10">
        <v>57.56</v>
      </c>
      <c r="S784" s="10">
        <v>57.22</v>
      </c>
      <c r="T784" s="10">
        <v>56.8</v>
      </c>
      <c r="U784" s="10">
        <v>56.36</v>
      </c>
      <c r="V784" s="10">
        <v>55.94</v>
      </c>
      <c r="W784" s="10">
        <v>55.55</v>
      </c>
      <c r="X784" s="10">
        <v>55.19</v>
      </c>
      <c r="Y784" s="10">
        <v>54.83</v>
      </c>
      <c r="Z784" s="11">
        <v>65.697000000000003</v>
      </c>
      <c r="AA784" s="11">
        <v>63.311</v>
      </c>
      <c r="AB784" s="11">
        <v>62.393999999999998</v>
      </c>
      <c r="AC784" s="11">
        <v>61.491</v>
      </c>
      <c r="AD784" s="11">
        <v>60.676000000000002</v>
      </c>
      <c r="AE784" s="11">
        <v>59.970999999999997</v>
      </c>
      <c r="AF784" s="11">
        <v>59.362000000000002</v>
      </c>
      <c r="AG784" s="11">
        <v>58.878</v>
      </c>
      <c r="AH784" s="11">
        <v>58.435000000000002</v>
      </c>
      <c r="AI784" s="11">
        <v>58.027000000000001</v>
      </c>
      <c r="AJ784" s="11">
        <v>57.628999999999998</v>
      </c>
      <c r="AK784" s="11">
        <v>57.24</v>
      </c>
      <c r="AL784" s="11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</row>
    <row r="785" spans="1:147" x14ac:dyDescent="0.3">
      <c r="A785" s="9">
        <f>DATE(2020, 1, 14)</f>
        <v>43844</v>
      </c>
      <c r="B785" s="10">
        <v>64.489999999999995</v>
      </c>
      <c r="C785" s="10">
        <v>63.71</v>
      </c>
      <c r="D785" s="10">
        <v>63.1</v>
      </c>
      <c r="E785" s="10">
        <v>62.53</v>
      </c>
      <c r="F785" s="10">
        <v>61.93</v>
      </c>
      <c r="G785" s="10">
        <v>61.42</v>
      </c>
      <c r="H785" s="10">
        <v>61.01</v>
      </c>
      <c r="I785" s="10">
        <v>60.6</v>
      </c>
      <c r="J785" s="10">
        <v>60.24</v>
      </c>
      <c r="K785" s="10">
        <v>59.91</v>
      </c>
      <c r="L785" s="10">
        <v>59.63</v>
      </c>
      <c r="M785" s="10">
        <v>59.38</v>
      </c>
      <c r="N785" s="10">
        <v>58.23</v>
      </c>
      <c r="O785" s="10">
        <v>58.26</v>
      </c>
      <c r="P785" s="10">
        <v>58.19</v>
      </c>
      <c r="Q785" s="10">
        <v>58.02</v>
      </c>
      <c r="R785" s="10">
        <v>57.76</v>
      </c>
      <c r="S785" s="10">
        <v>57.41</v>
      </c>
      <c r="T785" s="10">
        <v>56.99</v>
      </c>
      <c r="U785" s="10">
        <v>56.55</v>
      </c>
      <c r="V785" s="10">
        <v>56.12</v>
      </c>
      <c r="W785" s="10">
        <v>55.74</v>
      </c>
      <c r="X785" s="10">
        <v>55.38</v>
      </c>
      <c r="Y785" s="10">
        <v>55.02</v>
      </c>
      <c r="Z785" s="11">
        <v>65.864000000000004</v>
      </c>
      <c r="AA785" s="11">
        <v>63.5</v>
      </c>
      <c r="AB785" s="11">
        <v>62.613999999999997</v>
      </c>
      <c r="AC785" s="11">
        <v>61.731000000000002</v>
      </c>
      <c r="AD785" s="11">
        <v>60.905999999999999</v>
      </c>
      <c r="AE785" s="11">
        <v>60.191000000000003</v>
      </c>
      <c r="AF785" s="11">
        <v>59.561999999999998</v>
      </c>
      <c r="AG785" s="11">
        <v>59.106000000000002</v>
      </c>
      <c r="AH785" s="11">
        <v>58.664999999999999</v>
      </c>
      <c r="AI785" s="11">
        <v>58.216999999999999</v>
      </c>
      <c r="AJ785" s="11">
        <v>57.798000000000002</v>
      </c>
      <c r="AK785" s="11">
        <v>57.41</v>
      </c>
      <c r="AL785" s="11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</row>
    <row r="786" spans="1:147" x14ac:dyDescent="0.3">
      <c r="A786" s="9">
        <f>DATE(2020, 1, 15)</f>
        <v>43845</v>
      </c>
      <c r="B786" s="10">
        <v>64</v>
      </c>
      <c r="C786" s="10">
        <v>63.21</v>
      </c>
      <c r="D786" s="10">
        <v>62.6</v>
      </c>
      <c r="E786" s="10">
        <v>62.04</v>
      </c>
      <c r="F786" s="10">
        <v>61.45</v>
      </c>
      <c r="G786" s="10">
        <v>60.96</v>
      </c>
      <c r="H786" s="10">
        <v>60.57</v>
      </c>
      <c r="I786" s="10">
        <v>60.16</v>
      </c>
      <c r="J786" s="10">
        <v>59.83</v>
      </c>
      <c r="K786" s="10">
        <v>59.52</v>
      </c>
      <c r="L786" s="10">
        <v>59.25</v>
      </c>
      <c r="M786" s="10">
        <v>59.01</v>
      </c>
      <c r="N786" s="10">
        <v>57.81</v>
      </c>
      <c r="O786" s="10">
        <v>57.84</v>
      </c>
      <c r="P786" s="10">
        <v>57.77</v>
      </c>
      <c r="Q786" s="10">
        <v>57.58</v>
      </c>
      <c r="R786" s="10">
        <v>57.3</v>
      </c>
      <c r="S786" s="10">
        <v>56.94</v>
      </c>
      <c r="T786" s="10">
        <v>56.52</v>
      </c>
      <c r="U786" s="10">
        <v>56.09</v>
      </c>
      <c r="V786" s="10">
        <v>55.68</v>
      </c>
      <c r="W786" s="10">
        <v>55.31</v>
      </c>
      <c r="X786" s="10">
        <v>54.98</v>
      </c>
      <c r="Y786" s="10">
        <v>54.64</v>
      </c>
      <c r="Z786" s="11">
        <v>65.450999999999993</v>
      </c>
      <c r="AA786" s="11">
        <v>62.85</v>
      </c>
      <c r="AB786" s="11">
        <v>62.034999999999997</v>
      </c>
      <c r="AC786" s="11">
        <v>61.212000000000003</v>
      </c>
      <c r="AD786" s="11">
        <v>60.417000000000002</v>
      </c>
      <c r="AE786" s="11">
        <v>59.722000000000001</v>
      </c>
      <c r="AF786" s="11">
        <v>59.131999999999998</v>
      </c>
      <c r="AG786" s="11">
        <v>58.679000000000002</v>
      </c>
      <c r="AH786" s="11">
        <v>58.235999999999997</v>
      </c>
      <c r="AI786" s="11">
        <v>57.808</v>
      </c>
      <c r="AJ786" s="11">
        <v>57.418999999999997</v>
      </c>
      <c r="AK786" s="11">
        <v>57.040999999999997</v>
      </c>
      <c r="AL786" s="11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</row>
    <row r="787" spans="1:147" x14ac:dyDescent="0.3">
      <c r="A787" s="9">
        <f>DATE(2020, 1, 16)</f>
        <v>43846</v>
      </c>
      <c r="B787" s="10">
        <v>64.62</v>
      </c>
      <c r="C787" s="10">
        <v>63.81</v>
      </c>
      <c r="D787" s="10">
        <v>63.17</v>
      </c>
      <c r="E787" s="10">
        <v>62.57</v>
      </c>
      <c r="F787" s="10">
        <v>61.94</v>
      </c>
      <c r="G787" s="10">
        <v>61.42</v>
      </c>
      <c r="H787" s="10">
        <v>60.99</v>
      </c>
      <c r="I787" s="10">
        <v>60.56</v>
      </c>
      <c r="J787" s="10">
        <v>60.21</v>
      </c>
      <c r="K787" s="10">
        <v>59.87</v>
      </c>
      <c r="L787" s="10">
        <v>59.58</v>
      </c>
      <c r="M787" s="10">
        <v>59.32</v>
      </c>
      <c r="N787" s="10">
        <v>58.52</v>
      </c>
      <c r="O787" s="10">
        <v>58.53</v>
      </c>
      <c r="P787" s="10">
        <v>58.43</v>
      </c>
      <c r="Q787" s="10">
        <v>58.21</v>
      </c>
      <c r="R787" s="10">
        <v>57.88</v>
      </c>
      <c r="S787" s="10">
        <v>57.46</v>
      </c>
      <c r="T787" s="10">
        <v>56.99</v>
      </c>
      <c r="U787" s="10">
        <v>56.53</v>
      </c>
      <c r="V787" s="10">
        <v>56.09</v>
      </c>
      <c r="W787" s="10">
        <v>55.7</v>
      </c>
      <c r="X787" s="10">
        <v>55.35</v>
      </c>
      <c r="Y787" s="10">
        <v>54.99</v>
      </c>
      <c r="Z787" s="11">
        <v>65.790999999999997</v>
      </c>
      <c r="AA787" s="11">
        <v>63.317999999999998</v>
      </c>
      <c r="AB787" s="11">
        <v>62.533000000000001</v>
      </c>
      <c r="AC787" s="11">
        <v>61.7</v>
      </c>
      <c r="AD787" s="11">
        <v>60.884999999999998</v>
      </c>
      <c r="AE787" s="11">
        <v>60.15</v>
      </c>
      <c r="AF787" s="11">
        <v>59.530999999999999</v>
      </c>
      <c r="AG787" s="11">
        <v>59.057000000000002</v>
      </c>
      <c r="AH787" s="11">
        <v>58.594999999999999</v>
      </c>
      <c r="AI787" s="11">
        <v>58.137</v>
      </c>
      <c r="AJ787" s="11">
        <v>57.718000000000004</v>
      </c>
      <c r="AK787" s="11">
        <v>57.33</v>
      </c>
      <c r="AL787" s="11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</row>
    <row r="788" spans="1:147" x14ac:dyDescent="0.3">
      <c r="A788" s="9">
        <f>DATE(2020, 1, 17)</f>
        <v>43847</v>
      </c>
      <c r="B788" s="10">
        <v>64.849999999999994</v>
      </c>
      <c r="C788" s="10">
        <v>64.03</v>
      </c>
      <c r="D788" s="10">
        <v>63.32</v>
      </c>
      <c r="E788" s="10">
        <v>62.65</v>
      </c>
      <c r="F788" s="10">
        <v>61.97</v>
      </c>
      <c r="G788" s="10">
        <v>61.43</v>
      </c>
      <c r="H788" s="10">
        <v>60.99</v>
      </c>
      <c r="I788" s="10">
        <v>60.55</v>
      </c>
      <c r="J788" s="10">
        <v>60.19</v>
      </c>
      <c r="K788" s="10">
        <v>59.85</v>
      </c>
      <c r="L788" s="10">
        <v>59.55</v>
      </c>
      <c r="M788" s="10">
        <v>59.29</v>
      </c>
      <c r="N788" s="10">
        <v>58.54</v>
      </c>
      <c r="O788" s="10">
        <v>58.58</v>
      </c>
      <c r="P788" s="10">
        <v>58.51</v>
      </c>
      <c r="Q788" s="10">
        <v>58.3</v>
      </c>
      <c r="R788" s="10">
        <v>57.96</v>
      </c>
      <c r="S788" s="10">
        <v>57.54</v>
      </c>
      <c r="T788" s="10">
        <v>57.06</v>
      </c>
      <c r="U788" s="10">
        <v>56.59</v>
      </c>
      <c r="V788" s="10">
        <v>56.14</v>
      </c>
      <c r="W788" s="10">
        <v>55.73</v>
      </c>
      <c r="X788" s="10">
        <v>55.35</v>
      </c>
      <c r="Y788" s="10">
        <v>55</v>
      </c>
      <c r="Z788" s="11">
        <v>65.861000000000004</v>
      </c>
      <c r="AA788" s="11">
        <v>63.408000000000001</v>
      </c>
      <c r="AB788" s="11">
        <v>62.58</v>
      </c>
      <c r="AC788" s="11">
        <v>61.731999999999999</v>
      </c>
      <c r="AD788" s="11">
        <v>60.904000000000003</v>
      </c>
      <c r="AE788" s="11">
        <v>60.16</v>
      </c>
      <c r="AF788" s="11">
        <v>59.500999999999998</v>
      </c>
      <c r="AG788" s="11">
        <v>59.015999999999998</v>
      </c>
      <c r="AH788" s="11">
        <v>58.555</v>
      </c>
      <c r="AI788" s="11">
        <v>58.106000000000002</v>
      </c>
      <c r="AJ788" s="11">
        <v>57.677999999999997</v>
      </c>
      <c r="AK788" s="11">
        <v>57.289000000000001</v>
      </c>
      <c r="AL788" s="11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</row>
    <row r="789" spans="1:147" x14ac:dyDescent="0.3">
      <c r="A789" s="9">
        <f>DATE(2020, 1, 20)</f>
        <v>43850</v>
      </c>
      <c r="B789" s="10">
        <v>65.2</v>
      </c>
      <c r="C789" s="10">
        <v>64.34</v>
      </c>
      <c r="D789" s="10">
        <v>63.6</v>
      </c>
      <c r="E789" s="10">
        <v>62.9</v>
      </c>
      <c r="F789" s="10">
        <v>62.2</v>
      </c>
      <c r="G789" s="10">
        <v>61.64</v>
      </c>
      <c r="H789" s="10">
        <v>61.19</v>
      </c>
      <c r="I789" s="10">
        <v>60.75</v>
      </c>
      <c r="J789" s="10">
        <v>60.39</v>
      </c>
      <c r="K789" s="10">
        <v>60.05</v>
      </c>
      <c r="L789" s="10">
        <v>59.75</v>
      </c>
      <c r="M789" s="10">
        <v>59.49</v>
      </c>
      <c r="N789" s="10">
        <v>58.54</v>
      </c>
      <c r="O789" s="10">
        <v>58.58</v>
      </c>
      <c r="P789" s="10">
        <v>58.51</v>
      </c>
      <c r="Q789" s="10">
        <v>58.3</v>
      </c>
      <c r="R789" s="10">
        <v>57.96</v>
      </c>
      <c r="S789" s="10">
        <v>57.54</v>
      </c>
      <c r="T789" s="10">
        <v>57.06</v>
      </c>
      <c r="U789" s="10">
        <v>56.59</v>
      </c>
      <c r="V789" s="10">
        <v>56.14</v>
      </c>
      <c r="W789" s="10">
        <v>55.73</v>
      </c>
      <c r="X789" s="10">
        <v>55.35</v>
      </c>
      <c r="Y789" s="10">
        <v>55</v>
      </c>
      <c r="Z789" s="11">
        <v>65.838999999999999</v>
      </c>
      <c r="AA789" s="11">
        <v>63.613</v>
      </c>
      <c r="AB789" s="11">
        <v>62.808</v>
      </c>
      <c r="AC789" s="11">
        <v>61.976999999999997</v>
      </c>
      <c r="AD789" s="11">
        <v>61.152999999999999</v>
      </c>
      <c r="AE789" s="11">
        <v>60.41</v>
      </c>
      <c r="AF789" s="11">
        <v>59.750999999999998</v>
      </c>
      <c r="AG789" s="11">
        <v>59.256</v>
      </c>
      <c r="AH789" s="11">
        <v>58.784999999999997</v>
      </c>
      <c r="AI789" s="11">
        <v>58.345999999999997</v>
      </c>
      <c r="AJ789" s="11">
        <v>57.917999999999999</v>
      </c>
      <c r="AK789" s="11">
        <v>57.518999999999998</v>
      </c>
      <c r="AL789" s="11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</row>
    <row r="790" spans="1:147" x14ac:dyDescent="0.3">
      <c r="A790" s="9">
        <f>DATE(2020, 1, 21)</f>
        <v>43851</v>
      </c>
      <c r="B790" s="10">
        <v>64.59</v>
      </c>
      <c r="C790" s="10">
        <v>63.83</v>
      </c>
      <c r="D790" s="10">
        <v>63.13</v>
      </c>
      <c r="E790" s="10">
        <v>62.47</v>
      </c>
      <c r="F790" s="10">
        <v>61.8</v>
      </c>
      <c r="G790" s="10">
        <v>61.27</v>
      </c>
      <c r="H790" s="10">
        <v>60.88</v>
      </c>
      <c r="I790" s="10">
        <v>60.48</v>
      </c>
      <c r="J790" s="10">
        <v>60.17</v>
      </c>
      <c r="K790" s="10">
        <v>59.88</v>
      </c>
      <c r="L790" s="10">
        <v>59.62</v>
      </c>
      <c r="M790" s="10">
        <v>59.4</v>
      </c>
      <c r="N790" s="10">
        <v>58.34</v>
      </c>
      <c r="O790" s="10">
        <v>58.38</v>
      </c>
      <c r="P790" s="10">
        <v>58.34</v>
      </c>
      <c r="Q790" s="10">
        <v>58.16</v>
      </c>
      <c r="R790" s="10">
        <v>57.85</v>
      </c>
      <c r="S790" s="10">
        <v>57.47</v>
      </c>
      <c r="T790" s="10">
        <v>57.05</v>
      </c>
      <c r="U790" s="10">
        <v>56.61</v>
      </c>
      <c r="V790" s="10">
        <v>56.19</v>
      </c>
      <c r="W790" s="10">
        <v>55.8</v>
      </c>
      <c r="X790" s="10">
        <v>55.44</v>
      </c>
      <c r="Y790" s="10">
        <v>55.1</v>
      </c>
      <c r="Z790" s="11">
        <v>65.63</v>
      </c>
      <c r="AA790" s="11">
        <v>63.234999999999999</v>
      </c>
      <c r="AB790" s="11">
        <v>62.43</v>
      </c>
      <c r="AC790" s="11">
        <v>61.618000000000002</v>
      </c>
      <c r="AD790" s="11">
        <v>60.805</v>
      </c>
      <c r="AE790" s="11">
        <v>60.061999999999998</v>
      </c>
      <c r="AF790" s="11">
        <v>59.442999999999998</v>
      </c>
      <c r="AG790" s="11">
        <v>58.97</v>
      </c>
      <c r="AH790" s="11">
        <v>58.546999999999997</v>
      </c>
      <c r="AI790" s="11">
        <v>58.188000000000002</v>
      </c>
      <c r="AJ790" s="11">
        <v>57.8</v>
      </c>
      <c r="AK790" s="11">
        <v>57.433</v>
      </c>
      <c r="AL790" s="11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</row>
    <row r="791" spans="1:147" x14ac:dyDescent="0.3">
      <c r="A791" s="9">
        <f>DATE(2020, 1, 22)</f>
        <v>43852</v>
      </c>
      <c r="B791" s="10">
        <v>63.21</v>
      </c>
      <c r="C791" s="10">
        <v>62.45</v>
      </c>
      <c r="D791" s="10">
        <v>61.77</v>
      </c>
      <c r="E791" s="10">
        <v>61.13</v>
      </c>
      <c r="F791" s="10">
        <v>60.48</v>
      </c>
      <c r="G791" s="10">
        <v>59.99</v>
      </c>
      <c r="H791" s="10">
        <v>59.63</v>
      </c>
      <c r="I791" s="10">
        <v>59.26</v>
      </c>
      <c r="J791" s="10">
        <v>58.98</v>
      </c>
      <c r="K791" s="10">
        <v>58.73</v>
      </c>
      <c r="L791" s="10">
        <v>58.51</v>
      </c>
      <c r="M791" s="10">
        <v>58.33</v>
      </c>
      <c r="N791" s="10">
        <v>56.74</v>
      </c>
      <c r="O791" s="10">
        <v>56.76</v>
      </c>
      <c r="P791" s="10">
        <v>56.66</v>
      </c>
      <c r="Q791" s="10">
        <v>56.43</v>
      </c>
      <c r="R791" s="10">
        <v>56.09</v>
      </c>
      <c r="S791" s="10">
        <v>55.71</v>
      </c>
      <c r="T791" s="10">
        <v>55.31</v>
      </c>
      <c r="U791" s="10">
        <v>54.92</v>
      </c>
      <c r="V791" s="10">
        <v>54.57</v>
      </c>
      <c r="W791" s="10">
        <v>54.26</v>
      </c>
      <c r="X791" s="10">
        <v>53.96</v>
      </c>
      <c r="Y791" s="10">
        <v>53.68</v>
      </c>
      <c r="Z791" s="11">
        <v>65.260999999999996</v>
      </c>
      <c r="AA791" s="11">
        <v>62.076000000000001</v>
      </c>
      <c r="AB791" s="11">
        <v>61.261000000000003</v>
      </c>
      <c r="AC791" s="11">
        <v>60.448999999999998</v>
      </c>
      <c r="AD791" s="11">
        <v>59.646999999999998</v>
      </c>
      <c r="AE791" s="11">
        <v>58.923999999999999</v>
      </c>
      <c r="AF791" s="11">
        <v>58.334000000000003</v>
      </c>
      <c r="AG791" s="11">
        <v>57.893000000000001</v>
      </c>
      <c r="AH791" s="11">
        <v>57.459000000000003</v>
      </c>
      <c r="AI791" s="11">
        <v>57.1</v>
      </c>
      <c r="AJ791" s="11">
        <v>56.761000000000003</v>
      </c>
      <c r="AK791" s="11">
        <v>56.435000000000002</v>
      </c>
      <c r="AL791" s="11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</row>
    <row r="792" spans="1:147" x14ac:dyDescent="0.3">
      <c r="A792" s="9">
        <f>DATE(2020, 1, 23)</f>
        <v>43853</v>
      </c>
      <c r="B792" s="10">
        <v>62.04</v>
      </c>
      <c r="C792" s="10">
        <v>61.28</v>
      </c>
      <c r="D792" s="10">
        <v>60.61</v>
      </c>
      <c r="E792" s="10">
        <v>59.99</v>
      </c>
      <c r="F792" s="10">
        <v>59.35</v>
      </c>
      <c r="G792" s="10">
        <v>58.87</v>
      </c>
      <c r="H792" s="10">
        <v>58.51</v>
      </c>
      <c r="I792" s="10">
        <v>58.14</v>
      </c>
      <c r="J792" s="10">
        <v>57.86</v>
      </c>
      <c r="K792" s="10">
        <v>57.61</v>
      </c>
      <c r="L792" s="10">
        <v>57.39</v>
      </c>
      <c r="M792" s="10">
        <v>57.21</v>
      </c>
      <c r="N792" s="10">
        <v>55.59</v>
      </c>
      <c r="O792" s="10">
        <v>55.61</v>
      </c>
      <c r="P792" s="10">
        <v>55.54</v>
      </c>
      <c r="Q792" s="10">
        <v>55.34</v>
      </c>
      <c r="R792" s="10">
        <v>55.04</v>
      </c>
      <c r="S792" s="10">
        <v>54.67</v>
      </c>
      <c r="T792" s="10">
        <v>54.27</v>
      </c>
      <c r="U792" s="10">
        <v>53.88</v>
      </c>
      <c r="V792" s="10">
        <v>53.53</v>
      </c>
      <c r="W792" s="10">
        <v>53.21</v>
      </c>
      <c r="X792" s="10">
        <v>52.9</v>
      </c>
      <c r="Y792" s="10">
        <v>52.63</v>
      </c>
      <c r="Z792" s="11">
        <v>64.921000000000006</v>
      </c>
      <c r="AA792" s="11">
        <v>60.747</v>
      </c>
      <c r="AB792" s="11">
        <v>59.911999999999999</v>
      </c>
      <c r="AC792" s="11">
        <v>59.09</v>
      </c>
      <c r="AD792" s="11">
        <v>58.296999999999997</v>
      </c>
      <c r="AE792" s="11">
        <v>57.584000000000003</v>
      </c>
      <c r="AF792" s="11">
        <v>56.984000000000002</v>
      </c>
      <c r="AG792" s="11">
        <v>56.582999999999998</v>
      </c>
      <c r="AH792" s="11">
        <v>56.209000000000003</v>
      </c>
      <c r="AI792" s="11">
        <v>55.85</v>
      </c>
      <c r="AJ792" s="11">
        <v>55.511000000000003</v>
      </c>
      <c r="AK792" s="11">
        <v>55.185000000000002</v>
      </c>
      <c r="AL792" s="11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</row>
    <row r="793" spans="1:147" x14ac:dyDescent="0.3">
      <c r="A793" s="9">
        <f>DATE(2020, 1, 24)</f>
        <v>43854</v>
      </c>
      <c r="B793" s="10">
        <v>60.69</v>
      </c>
      <c r="C793" s="10">
        <v>59.89</v>
      </c>
      <c r="D793" s="10">
        <v>59.19</v>
      </c>
      <c r="E793" s="10">
        <v>58.58</v>
      </c>
      <c r="F793" s="10">
        <v>57.96</v>
      </c>
      <c r="G793" s="10">
        <v>57.51</v>
      </c>
      <c r="H793" s="10">
        <v>57.17</v>
      </c>
      <c r="I793" s="10">
        <v>56.81</v>
      </c>
      <c r="J793" s="10">
        <v>56.54</v>
      </c>
      <c r="K793" s="10">
        <v>56.29</v>
      </c>
      <c r="L793" s="10">
        <v>56.09</v>
      </c>
      <c r="M793" s="10">
        <v>55.92</v>
      </c>
      <c r="N793" s="10">
        <v>54.19</v>
      </c>
      <c r="O793" s="10">
        <v>54.2</v>
      </c>
      <c r="P793" s="10">
        <v>54.12</v>
      </c>
      <c r="Q793" s="10">
        <v>53.91</v>
      </c>
      <c r="R793" s="10">
        <v>53.61</v>
      </c>
      <c r="S793" s="10">
        <v>53.24</v>
      </c>
      <c r="T793" s="10">
        <v>52.85</v>
      </c>
      <c r="U793" s="10">
        <v>52.48</v>
      </c>
      <c r="V793" s="10">
        <v>52.15</v>
      </c>
      <c r="W793" s="10">
        <v>51.85</v>
      </c>
      <c r="X793" s="10">
        <v>51.56</v>
      </c>
      <c r="Y793" s="10">
        <v>51.31</v>
      </c>
      <c r="Z793" s="11">
        <v>64.650000000000006</v>
      </c>
      <c r="AA793" s="11">
        <v>59.265000000000001</v>
      </c>
      <c r="AB793" s="11">
        <v>58.432000000000002</v>
      </c>
      <c r="AC793" s="11">
        <v>57.62</v>
      </c>
      <c r="AD793" s="11">
        <v>56.848999999999997</v>
      </c>
      <c r="AE793" s="11">
        <v>56.164999999999999</v>
      </c>
      <c r="AF793" s="11">
        <v>55.594000000000001</v>
      </c>
      <c r="AG793" s="11">
        <v>55.204000000000001</v>
      </c>
      <c r="AH793" s="11">
        <v>54.838999999999999</v>
      </c>
      <c r="AI793" s="11">
        <v>54.481000000000002</v>
      </c>
      <c r="AJ793" s="11">
        <v>54.161999999999999</v>
      </c>
      <c r="AK793" s="11">
        <v>53.845999999999997</v>
      </c>
      <c r="AL793" s="11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</row>
    <row r="794" spans="1:147" x14ac:dyDescent="0.3">
      <c r="A794" s="9">
        <f>DATE(2020, 1, 27)</f>
        <v>43857</v>
      </c>
      <c r="B794" s="10">
        <v>59.32</v>
      </c>
      <c r="C794" s="10">
        <v>58.58</v>
      </c>
      <c r="D794" s="10">
        <v>58</v>
      </c>
      <c r="E794" s="10">
        <v>57.51</v>
      </c>
      <c r="F794" s="10">
        <v>56.99</v>
      </c>
      <c r="G794" s="10">
        <v>56.62</v>
      </c>
      <c r="H794" s="10">
        <v>56.33</v>
      </c>
      <c r="I794" s="10">
        <v>56.02</v>
      </c>
      <c r="J794" s="10">
        <v>55.79</v>
      </c>
      <c r="K794" s="10">
        <v>55.57</v>
      </c>
      <c r="L794" s="10">
        <v>55.41</v>
      </c>
      <c r="M794" s="10">
        <v>55.28</v>
      </c>
      <c r="N794" s="10">
        <v>53.14</v>
      </c>
      <c r="O794" s="10">
        <v>53.18</v>
      </c>
      <c r="P794" s="10">
        <v>53.13</v>
      </c>
      <c r="Q794" s="10">
        <v>52.97</v>
      </c>
      <c r="R794" s="10">
        <v>52.73</v>
      </c>
      <c r="S794" s="10">
        <v>52.44</v>
      </c>
      <c r="T794" s="10">
        <v>52.11</v>
      </c>
      <c r="U794" s="10">
        <v>51.8</v>
      </c>
      <c r="V794" s="10">
        <v>51.53</v>
      </c>
      <c r="W794" s="10">
        <v>51.27</v>
      </c>
      <c r="X794" s="10">
        <v>51.05</v>
      </c>
      <c r="Y794" s="10">
        <v>50.84</v>
      </c>
      <c r="Z794" s="11">
        <v>64.403999999999996</v>
      </c>
      <c r="AA794" s="11">
        <v>57.970999999999997</v>
      </c>
      <c r="AB794" s="11">
        <v>57.17</v>
      </c>
      <c r="AC794" s="11">
        <v>56.445</v>
      </c>
      <c r="AD794" s="11">
        <v>55.741999999999997</v>
      </c>
      <c r="AE794" s="11">
        <v>55.106999999999999</v>
      </c>
      <c r="AF794" s="11">
        <v>54.627000000000002</v>
      </c>
      <c r="AG794" s="11">
        <v>54.317</v>
      </c>
      <c r="AH794" s="11">
        <v>54</v>
      </c>
      <c r="AI794" s="11">
        <v>53.743000000000002</v>
      </c>
      <c r="AJ794" s="11">
        <v>53.494</v>
      </c>
      <c r="AK794" s="11">
        <v>53.21</v>
      </c>
      <c r="AL794" s="11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</row>
    <row r="795" spans="1:147" x14ac:dyDescent="0.3">
      <c r="A795" s="9">
        <f>DATE(2020, 1, 28)</f>
        <v>43858</v>
      </c>
      <c r="B795" s="10">
        <v>59.51</v>
      </c>
      <c r="C795" s="10">
        <v>58.81</v>
      </c>
      <c r="D795" s="10">
        <v>58.26</v>
      </c>
      <c r="E795" s="10">
        <v>57.79</v>
      </c>
      <c r="F795" s="10">
        <v>57.28</v>
      </c>
      <c r="G795" s="10">
        <v>56.91</v>
      </c>
      <c r="H795" s="10">
        <v>56.63</v>
      </c>
      <c r="I795" s="10">
        <v>56.33</v>
      </c>
      <c r="J795" s="10">
        <v>56.1</v>
      </c>
      <c r="K795" s="10">
        <v>55.87</v>
      </c>
      <c r="L795" s="10">
        <v>55.69</v>
      </c>
      <c r="M795" s="10">
        <v>55.55</v>
      </c>
      <c r="N795" s="10">
        <v>53.48</v>
      </c>
      <c r="O795" s="10">
        <v>53.52</v>
      </c>
      <c r="P795" s="10">
        <v>53.48</v>
      </c>
      <c r="Q795" s="10">
        <v>53.33</v>
      </c>
      <c r="R795" s="10">
        <v>53.08</v>
      </c>
      <c r="S795" s="10">
        <v>52.78</v>
      </c>
      <c r="T795" s="10">
        <v>52.45</v>
      </c>
      <c r="U795" s="10">
        <v>52.12</v>
      </c>
      <c r="V795" s="10">
        <v>51.83</v>
      </c>
      <c r="W795" s="10">
        <v>51.58</v>
      </c>
      <c r="X795" s="10">
        <v>51.33</v>
      </c>
      <c r="Y795" s="10">
        <v>51.11</v>
      </c>
      <c r="Z795" s="11">
        <v>64.361999999999995</v>
      </c>
      <c r="AA795" s="11">
        <v>57.893000000000001</v>
      </c>
      <c r="AB795" s="11">
        <v>57.238999999999997</v>
      </c>
      <c r="AC795" s="11">
        <v>56.585999999999999</v>
      </c>
      <c r="AD795" s="11">
        <v>55.951999999999998</v>
      </c>
      <c r="AE795" s="11">
        <v>55.377000000000002</v>
      </c>
      <c r="AF795" s="11">
        <v>54.917000000000002</v>
      </c>
      <c r="AG795" s="11">
        <v>54.597999999999999</v>
      </c>
      <c r="AH795" s="11">
        <v>54.32</v>
      </c>
      <c r="AI795" s="11">
        <v>54.052</v>
      </c>
      <c r="AJ795" s="11">
        <v>53.802999999999997</v>
      </c>
      <c r="AK795" s="11">
        <v>53.558999999999997</v>
      </c>
      <c r="AL795" s="11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</row>
    <row r="796" spans="1:147" x14ac:dyDescent="0.3">
      <c r="A796" s="9">
        <f>DATE(2020, 1, 29)</f>
        <v>43859</v>
      </c>
      <c r="B796" s="10">
        <v>59.81</v>
      </c>
      <c r="C796" s="10">
        <v>58.91</v>
      </c>
      <c r="D796" s="10">
        <v>58.35</v>
      </c>
      <c r="E796" s="10">
        <v>57.9</v>
      </c>
      <c r="F796" s="10">
        <v>57.42</v>
      </c>
      <c r="G796" s="10">
        <v>57.04</v>
      </c>
      <c r="H796" s="10">
        <v>56.73</v>
      </c>
      <c r="I796" s="10">
        <v>56.41</v>
      </c>
      <c r="J796" s="10">
        <v>56.14</v>
      </c>
      <c r="K796" s="10">
        <v>55.87</v>
      </c>
      <c r="L796" s="10">
        <v>55.68</v>
      </c>
      <c r="M796" s="10">
        <v>55.52</v>
      </c>
      <c r="N796" s="10">
        <v>53.33</v>
      </c>
      <c r="O796" s="10">
        <v>53.41</v>
      </c>
      <c r="P796" s="10">
        <v>53.42</v>
      </c>
      <c r="Q796" s="10">
        <v>53.31</v>
      </c>
      <c r="R796" s="10">
        <v>53.1</v>
      </c>
      <c r="S796" s="10">
        <v>52.81</v>
      </c>
      <c r="T796" s="10">
        <v>52.48</v>
      </c>
      <c r="U796" s="10">
        <v>52.15</v>
      </c>
      <c r="V796" s="10">
        <v>51.86</v>
      </c>
      <c r="W796" s="10">
        <v>51.61</v>
      </c>
      <c r="X796" s="10">
        <v>51.37</v>
      </c>
      <c r="Y796" s="10">
        <v>51.15</v>
      </c>
      <c r="Z796" s="11">
        <v>64.346000000000004</v>
      </c>
      <c r="AA796" s="11">
        <v>57.927</v>
      </c>
      <c r="AB796" s="11">
        <v>57.317999999999998</v>
      </c>
      <c r="AC796" s="11">
        <v>56.716999999999999</v>
      </c>
      <c r="AD796" s="11">
        <v>56.116999999999997</v>
      </c>
      <c r="AE796" s="11">
        <v>55.515999999999998</v>
      </c>
      <c r="AF796" s="11">
        <v>55.085999999999999</v>
      </c>
      <c r="AG796" s="11">
        <v>54.694000000000003</v>
      </c>
      <c r="AH796" s="11">
        <v>54.357999999999997</v>
      </c>
      <c r="AI796" s="11">
        <v>54.051000000000002</v>
      </c>
      <c r="AJ796" s="11">
        <v>53.781999999999996</v>
      </c>
      <c r="AK796" s="11">
        <v>53.527000000000001</v>
      </c>
      <c r="AL796" s="11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</row>
    <row r="797" spans="1:147" x14ac:dyDescent="0.3">
      <c r="A797" s="9">
        <f>DATE(2020, 1, 30)</f>
        <v>43860</v>
      </c>
      <c r="B797" s="10">
        <v>58.29</v>
      </c>
      <c r="C797" s="10">
        <v>57.33</v>
      </c>
      <c r="D797" s="10">
        <v>57</v>
      </c>
      <c r="E797" s="10">
        <v>56.7</v>
      </c>
      <c r="F797" s="10">
        <v>56.33</v>
      </c>
      <c r="G797" s="10">
        <v>56.08</v>
      </c>
      <c r="H797" s="10">
        <v>55.87</v>
      </c>
      <c r="I797" s="10">
        <v>55.63</v>
      </c>
      <c r="J797" s="10">
        <v>55.45</v>
      </c>
      <c r="K797" s="10">
        <v>55.25</v>
      </c>
      <c r="L797" s="10">
        <v>55.13</v>
      </c>
      <c r="M797" s="10">
        <v>55.03</v>
      </c>
      <c r="N797" s="10">
        <v>52.14</v>
      </c>
      <c r="O797" s="10">
        <v>52.23</v>
      </c>
      <c r="P797" s="10">
        <v>52.27</v>
      </c>
      <c r="Q797" s="10">
        <v>52.23</v>
      </c>
      <c r="R797" s="10">
        <v>52.1</v>
      </c>
      <c r="S797" s="10">
        <v>51.89</v>
      </c>
      <c r="T797" s="10">
        <v>51.65</v>
      </c>
      <c r="U797" s="10">
        <v>51.4</v>
      </c>
      <c r="V797" s="10">
        <v>51.17</v>
      </c>
      <c r="W797" s="10">
        <v>50.98</v>
      </c>
      <c r="X797" s="10">
        <v>50.79</v>
      </c>
      <c r="Y797" s="10">
        <v>50.63</v>
      </c>
      <c r="Z797" s="11">
        <v>64.234999999999999</v>
      </c>
      <c r="AA797" s="11">
        <v>56.363999999999997</v>
      </c>
      <c r="AB797" s="11">
        <v>55.956000000000003</v>
      </c>
      <c r="AC797" s="11">
        <v>55.531999999999996</v>
      </c>
      <c r="AD797" s="11">
        <v>55.058</v>
      </c>
      <c r="AE797" s="11">
        <v>54.63</v>
      </c>
      <c r="AF797" s="11">
        <v>54.25</v>
      </c>
      <c r="AG797" s="11">
        <v>53.942999999999998</v>
      </c>
      <c r="AH797" s="11">
        <v>53.656999999999996</v>
      </c>
      <c r="AI797" s="11">
        <v>53.414999999999999</v>
      </c>
      <c r="AJ797" s="11">
        <v>53.195</v>
      </c>
      <c r="AK797" s="11">
        <v>52.972999999999999</v>
      </c>
      <c r="AL797" s="11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</row>
    <row r="798" spans="1:147" x14ac:dyDescent="0.3">
      <c r="A798" s="9">
        <f>DATE(2020, 1, 31)</f>
        <v>43861</v>
      </c>
      <c r="B798" s="10">
        <v>58.16</v>
      </c>
      <c r="C798" s="10">
        <v>56.62</v>
      </c>
      <c r="D798" s="10">
        <v>56.42</v>
      </c>
      <c r="E798" s="10">
        <v>56.24</v>
      </c>
      <c r="F798" s="10">
        <v>55.98</v>
      </c>
      <c r="G798" s="10">
        <v>55.79</v>
      </c>
      <c r="H798" s="10">
        <v>55.61</v>
      </c>
      <c r="I798" s="10">
        <v>55.41</v>
      </c>
      <c r="J798" s="10">
        <v>55.25</v>
      </c>
      <c r="K798" s="10">
        <v>55.07</v>
      </c>
      <c r="L798" s="10">
        <v>54.96</v>
      </c>
      <c r="M798" s="10">
        <v>54.89</v>
      </c>
      <c r="N798" s="10">
        <v>51.56</v>
      </c>
      <c r="O798" s="10">
        <v>51.68</v>
      </c>
      <c r="P798" s="10">
        <v>51.77</v>
      </c>
      <c r="Q798" s="10">
        <v>51.8</v>
      </c>
      <c r="R798" s="10">
        <v>51.74</v>
      </c>
      <c r="S798" s="10">
        <v>51.59</v>
      </c>
      <c r="T798" s="10">
        <v>51.39</v>
      </c>
      <c r="U798" s="10">
        <v>51.17</v>
      </c>
      <c r="V798" s="10">
        <v>50.98</v>
      </c>
      <c r="W798" s="10">
        <v>50.8</v>
      </c>
      <c r="X798" s="10">
        <v>50.63</v>
      </c>
      <c r="Y798" s="10">
        <v>50.48</v>
      </c>
      <c r="Z798" s="11">
        <v>64.286000000000001</v>
      </c>
      <c r="AA798" s="11">
        <v>55.6</v>
      </c>
      <c r="AB798" s="11">
        <v>55.262</v>
      </c>
      <c r="AC798" s="11">
        <v>54.868000000000002</v>
      </c>
      <c r="AD798" s="11">
        <v>54.551000000000002</v>
      </c>
      <c r="AE798" s="11">
        <v>54.241999999999997</v>
      </c>
      <c r="AF798" s="11">
        <v>53.960999999999999</v>
      </c>
      <c r="AG798" s="11">
        <v>53.685000000000002</v>
      </c>
      <c r="AH798" s="11">
        <v>53.411999999999999</v>
      </c>
      <c r="AI798" s="11">
        <v>53.185000000000002</v>
      </c>
      <c r="AJ798" s="11">
        <v>52.976999999999997</v>
      </c>
      <c r="AK798" s="11">
        <v>52.774999999999999</v>
      </c>
      <c r="AL798" s="11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</row>
    <row r="799" spans="1:147" x14ac:dyDescent="0.3">
      <c r="A799" s="9">
        <f>DATE(2020, 2, 3)</f>
        <v>43864</v>
      </c>
      <c r="B799" s="10">
        <v>54.45</v>
      </c>
      <c r="C799" s="10">
        <v>54.61</v>
      </c>
      <c r="D799" s="10">
        <v>54.73</v>
      </c>
      <c r="E799" s="10">
        <v>54.67</v>
      </c>
      <c r="F799" s="10">
        <v>54.62</v>
      </c>
      <c r="G799" s="10">
        <v>54.56</v>
      </c>
      <c r="H799" s="10">
        <v>54.48</v>
      </c>
      <c r="I799" s="10">
        <v>54.42</v>
      </c>
      <c r="J799" s="10">
        <v>54.34</v>
      </c>
      <c r="K799" s="10">
        <v>54.3</v>
      </c>
      <c r="L799" s="10">
        <v>54.3</v>
      </c>
      <c r="M799" s="10">
        <v>54.32</v>
      </c>
      <c r="N799" s="10">
        <v>50.11</v>
      </c>
      <c r="O799" s="10">
        <v>50.28</v>
      </c>
      <c r="P799" s="10">
        <v>50.45</v>
      </c>
      <c r="Q799" s="10">
        <v>50.58</v>
      </c>
      <c r="R799" s="10">
        <v>50.6</v>
      </c>
      <c r="S799" s="10">
        <v>50.53</v>
      </c>
      <c r="T799" s="10">
        <v>50.4</v>
      </c>
      <c r="U799" s="10">
        <v>50.28</v>
      </c>
      <c r="V799" s="10">
        <v>50.18</v>
      </c>
      <c r="W799" s="10">
        <v>50.08</v>
      </c>
      <c r="X799" s="10">
        <v>49.99</v>
      </c>
      <c r="Y799" s="10">
        <v>49.92</v>
      </c>
      <c r="Z799" s="11">
        <v>64.286000000000001</v>
      </c>
      <c r="AA799" s="11">
        <v>53.694000000000003</v>
      </c>
      <c r="AB799" s="11">
        <v>53.265000000000001</v>
      </c>
      <c r="AC799" s="11">
        <v>53.087000000000003</v>
      </c>
      <c r="AD799" s="11">
        <v>52.978000000000002</v>
      </c>
      <c r="AE799" s="11">
        <v>52.856999999999999</v>
      </c>
      <c r="AF799" s="11">
        <v>52.697000000000003</v>
      </c>
      <c r="AG799" s="11">
        <v>52.564</v>
      </c>
      <c r="AH799" s="11">
        <v>52.426000000000002</v>
      </c>
      <c r="AI799" s="11">
        <v>52.308</v>
      </c>
      <c r="AJ799" s="11">
        <v>52.12</v>
      </c>
      <c r="AK799" s="11">
        <v>51.932000000000002</v>
      </c>
      <c r="AL799" s="11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</row>
    <row r="800" spans="1:147" x14ac:dyDescent="0.3">
      <c r="A800" s="9">
        <f>DATE(2020, 2, 4)</f>
        <v>43865</v>
      </c>
      <c r="B800" s="10">
        <v>53.96</v>
      </c>
      <c r="C800" s="10">
        <v>54.13</v>
      </c>
      <c r="D800" s="10">
        <v>54.26</v>
      </c>
      <c r="E800" s="10">
        <v>54.22</v>
      </c>
      <c r="F800" s="10">
        <v>54.22</v>
      </c>
      <c r="G800" s="10">
        <v>54.2</v>
      </c>
      <c r="H800" s="10">
        <v>54.15</v>
      </c>
      <c r="I800" s="10">
        <v>54.12</v>
      </c>
      <c r="J800" s="10">
        <v>54.07</v>
      </c>
      <c r="K800" s="10">
        <v>54.05</v>
      </c>
      <c r="L800" s="10">
        <v>54.04</v>
      </c>
      <c r="M800" s="10">
        <v>54.05</v>
      </c>
      <c r="N800" s="10">
        <v>49.61</v>
      </c>
      <c r="O800" s="10">
        <v>49.8</v>
      </c>
      <c r="P800" s="10">
        <v>50.01</v>
      </c>
      <c r="Q800" s="10">
        <v>50.19</v>
      </c>
      <c r="R800" s="10">
        <v>50.28</v>
      </c>
      <c r="S800" s="10">
        <v>50.26</v>
      </c>
      <c r="T800" s="10">
        <v>50.17</v>
      </c>
      <c r="U800" s="10">
        <v>50.06</v>
      </c>
      <c r="V800" s="10">
        <v>49.97</v>
      </c>
      <c r="W800" s="10">
        <v>49.9</v>
      </c>
      <c r="X800" s="10">
        <v>49.82</v>
      </c>
      <c r="Y800" s="10">
        <v>49.76</v>
      </c>
      <c r="Z800" s="11">
        <v>53.253</v>
      </c>
      <c r="AA800" s="11">
        <v>52.665999999999997</v>
      </c>
      <c r="AB800" s="11">
        <v>52.527000000000001</v>
      </c>
      <c r="AC800" s="11">
        <v>52.427</v>
      </c>
      <c r="AD800" s="11">
        <v>52.331000000000003</v>
      </c>
      <c r="AE800" s="11">
        <v>52.228000000000002</v>
      </c>
      <c r="AF800" s="11">
        <v>52.127000000000002</v>
      </c>
      <c r="AG800" s="11">
        <v>52.042999999999999</v>
      </c>
      <c r="AH800" s="11">
        <v>51.932000000000002</v>
      </c>
      <c r="AI800" s="11">
        <v>51.832000000000001</v>
      </c>
      <c r="AJ800" s="11">
        <v>51.679000000000002</v>
      </c>
      <c r="AK800" s="11">
        <v>51.581000000000003</v>
      </c>
      <c r="AL800" s="11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</row>
    <row r="801" spans="1:147" x14ac:dyDescent="0.3">
      <c r="A801" s="9">
        <f>DATE(2020, 2, 5)</f>
        <v>43866</v>
      </c>
      <c r="B801" s="10">
        <v>55.28</v>
      </c>
      <c r="C801" s="10">
        <v>55.43</v>
      </c>
      <c r="D801" s="10">
        <v>55.56</v>
      </c>
      <c r="E801" s="10">
        <v>55.5</v>
      </c>
      <c r="F801" s="10">
        <v>55.46</v>
      </c>
      <c r="G801" s="10">
        <v>55.4</v>
      </c>
      <c r="H801" s="10">
        <v>55.3</v>
      </c>
      <c r="I801" s="10">
        <v>55.2</v>
      </c>
      <c r="J801" s="10">
        <v>55.09</v>
      </c>
      <c r="K801" s="10">
        <v>55.04</v>
      </c>
      <c r="L801" s="10">
        <v>54.99</v>
      </c>
      <c r="M801" s="10">
        <v>54.97</v>
      </c>
      <c r="N801" s="10">
        <v>50.75</v>
      </c>
      <c r="O801" s="10">
        <v>50.92</v>
      </c>
      <c r="P801" s="10">
        <v>51.13</v>
      </c>
      <c r="Q801" s="10">
        <v>51.31</v>
      </c>
      <c r="R801" s="10">
        <v>51.39</v>
      </c>
      <c r="S801" s="10">
        <v>51.36</v>
      </c>
      <c r="T801" s="10">
        <v>51.26</v>
      </c>
      <c r="U801" s="10">
        <v>51.12</v>
      </c>
      <c r="V801" s="10">
        <v>50.99</v>
      </c>
      <c r="W801" s="10">
        <v>50.86</v>
      </c>
      <c r="X801" s="10">
        <v>50.73</v>
      </c>
      <c r="Y801" s="10">
        <v>50.62</v>
      </c>
      <c r="Z801" s="11">
        <v>54.834000000000003</v>
      </c>
      <c r="AA801" s="11">
        <v>54.436</v>
      </c>
      <c r="AB801" s="11">
        <v>54.216999999999999</v>
      </c>
      <c r="AC801" s="11">
        <v>54.008000000000003</v>
      </c>
      <c r="AD801" s="11">
        <v>53.826999999999998</v>
      </c>
      <c r="AE801" s="11">
        <v>53.636000000000003</v>
      </c>
      <c r="AF801" s="11">
        <v>53.45</v>
      </c>
      <c r="AG801" s="11">
        <v>53.274999999999999</v>
      </c>
      <c r="AH801" s="11">
        <v>53.137999999999998</v>
      </c>
      <c r="AI801" s="11">
        <v>53.018000000000001</v>
      </c>
      <c r="AJ801" s="11">
        <v>52.875999999999998</v>
      </c>
      <c r="AK801" s="11">
        <v>52.707999999999998</v>
      </c>
      <c r="AL801" s="11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</row>
    <row r="802" spans="1:147" x14ac:dyDescent="0.3">
      <c r="A802" s="9">
        <f>DATE(2020, 2, 6)</f>
        <v>43867</v>
      </c>
      <c r="B802" s="10">
        <v>54.93</v>
      </c>
      <c r="C802" s="10">
        <v>55.26</v>
      </c>
      <c r="D802" s="10">
        <v>55.58</v>
      </c>
      <c r="E802" s="10">
        <v>55.64</v>
      </c>
      <c r="F802" s="10">
        <v>55.69</v>
      </c>
      <c r="G802" s="10">
        <v>55.7</v>
      </c>
      <c r="H802" s="10">
        <v>55.65</v>
      </c>
      <c r="I802" s="10">
        <v>55.58</v>
      </c>
      <c r="J802" s="10">
        <v>55.48</v>
      </c>
      <c r="K802" s="10">
        <v>55.43</v>
      </c>
      <c r="L802" s="10">
        <v>55.39</v>
      </c>
      <c r="M802" s="10">
        <v>55.38</v>
      </c>
      <c r="N802" s="10">
        <v>50.95</v>
      </c>
      <c r="O802" s="10">
        <v>51.14</v>
      </c>
      <c r="P802" s="10">
        <v>51.37</v>
      </c>
      <c r="Q802" s="10">
        <v>51.58</v>
      </c>
      <c r="R802" s="10">
        <v>51.73</v>
      </c>
      <c r="S802" s="10">
        <v>51.77</v>
      </c>
      <c r="T802" s="10">
        <v>51.73</v>
      </c>
      <c r="U802" s="10">
        <v>51.65</v>
      </c>
      <c r="V802" s="10">
        <v>51.55</v>
      </c>
      <c r="W802" s="10">
        <v>51.44</v>
      </c>
      <c r="X802" s="10">
        <v>51.33</v>
      </c>
      <c r="Y802" s="10">
        <v>51.24</v>
      </c>
      <c r="Z802" s="11">
        <v>54.661999999999999</v>
      </c>
      <c r="AA802" s="11">
        <v>54.255000000000003</v>
      </c>
      <c r="AB802" s="11">
        <v>54.292999999999999</v>
      </c>
      <c r="AC802" s="11">
        <v>54.252000000000002</v>
      </c>
      <c r="AD802" s="11">
        <v>54.17</v>
      </c>
      <c r="AE802" s="11">
        <v>54.078000000000003</v>
      </c>
      <c r="AF802" s="11">
        <v>53.972999999999999</v>
      </c>
      <c r="AG802" s="11">
        <v>53.854999999999997</v>
      </c>
      <c r="AH802" s="11">
        <v>53.707999999999998</v>
      </c>
      <c r="AI802" s="11">
        <v>53.558</v>
      </c>
      <c r="AJ802" s="11">
        <v>53.399000000000001</v>
      </c>
      <c r="AK802" s="11">
        <v>53.241</v>
      </c>
      <c r="AL802" s="11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</row>
    <row r="803" spans="1:147" x14ac:dyDescent="0.3">
      <c r="A803" s="9">
        <f>DATE(2020, 2, 7)</f>
        <v>43868</v>
      </c>
      <c r="B803" s="10">
        <v>54.47</v>
      </c>
      <c r="C803" s="10">
        <v>54.8</v>
      </c>
      <c r="D803" s="10">
        <v>55.16</v>
      </c>
      <c r="E803" s="10">
        <v>55.26</v>
      </c>
      <c r="F803" s="10">
        <v>55.37</v>
      </c>
      <c r="G803" s="10">
        <v>55.42</v>
      </c>
      <c r="H803" s="10">
        <v>55.4</v>
      </c>
      <c r="I803" s="10">
        <v>55.38</v>
      </c>
      <c r="J803" s="10">
        <v>55.32</v>
      </c>
      <c r="K803" s="10">
        <v>55.28</v>
      </c>
      <c r="L803" s="10">
        <v>55.26</v>
      </c>
      <c r="M803" s="10">
        <v>55.26</v>
      </c>
      <c r="N803" s="10">
        <v>50.32</v>
      </c>
      <c r="O803" s="10">
        <v>50.55</v>
      </c>
      <c r="P803" s="10">
        <v>50.82</v>
      </c>
      <c r="Q803" s="10">
        <v>51.04</v>
      </c>
      <c r="R803" s="10">
        <v>51.22</v>
      </c>
      <c r="S803" s="10">
        <v>51.31</v>
      </c>
      <c r="T803" s="10">
        <v>51.33</v>
      </c>
      <c r="U803" s="10">
        <v>51.31</v>
      </c>
      <c r="V803" s="10">
        <v>51.28</v>
      </c>
      <c r="W803" s="10">
        <v>51.22</v>
      </c>
      <c r="X803" s="10">
        <v>51.14</v>
      </c>
      <c r="Y803" s="10">
        <v>51.07</v>
      </c>
      <c r="Z803" s="11">
        <v>54.021999999999998</v>
      </c>
      <c r="AA803" s="11">
        <v>53.545999999999999</v>
      </c>
      <c r="AB803" s="11">
        <v>53.774999999999999</v>
      </c>
      <c r="AC803" s="11">
        <v>53.875</v>
      </c>
      <c r="AD803" s="11">
        <v>53.892000000000003</v>
      </c>
      <c r="AE803" s="11">
        <v>53.819000000000003</v>
      </c>
      <c r="AF803" s="11">
        <v>53.747999999999998</v>
      </c>
      <c r="AG803" s="11">
        <v>53.667000000000002</v>
      </c>
      <c r="AH803" s="11">
        <v>53.548000000000002</v>
      </c>
      <c r="AI803" s="11">
        <v>53.408999999999999</v>
      </c>
      <c r="AJ803" s="11">
        <v>53.28</v>
      </c>
      <c r="AK803" s="11">
        <v>53.161000000000001</v>
      </c>
      <c r="AL803" s="11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</row>
    <row r="804" spans="1:147" x14ac:dyDescent="0.3">
      <c r="A804" s="9">
        <f>DATE(2020, 2, 10)</f>
        <v>43871</v>
      </c>
      <c r="B804" s="10">
        <v>53.27</v>
      </c>
      <c r="C804" s="10">
        <v>53.57</v>
      </c>
      <c r="D804" s="10">
        <v>53.95</v>
      </c>
      <c r="E804" s="10">
        <v>54.12</v>
      </c>
      <c r="F804" s="10">
        <v>54.34</v>
      </c>
      <c r="G804" s="10">
        <v>54.51</v>
      </c>
      <c r="H804" s="10">
        <v>54.59</v>
      </c>
      <c r="I804" s="10">
        <v>54.66</v>
      </c>
      <c r="J804" s="10">
        <v>54.67</v>
      </c>
      <c r="K804" s="10">
        <v>54.7</v>
      </c>
      <c r="L804" s="10">
        <v>54.72</v>
      </c>
      <c r="M804" s="10">
        <v>54.76</v>
      </c>
      <c r="N804" s="10">
        <v>49.57</v>
      </c>
      <c r="O804" s="10">
        <v>49.78</v>
      </c>
      <c r="P804" s="10">
        <v>50.03</v>
      </c>
      <c r="Q804" s="10">
        <v>50.25</v>
      </c>
      <c r="R804" s="10">
        <v>50.46</v>
      </c>
      <c r="S804" s="10">
        <v>50.6</v>
      </c>
      <c r="T804" s="10">
        <v>50.69</v>
      </c>
      <c r="U804" s="10">
        <v>50.75</v>
      </c>
      <c r="V804" s="10">
        <v>50.8</v>
      </c>
      <c r="W804" s="10">
        <v>50.8</v>
      </c>
      <c r="X804" s="10">
        <v>50.79</v>
      </c>
      <c r="Y804" s="10">
        <v>50.75</v>
      </c>
      <c r="Z804" s="11">
        <v>53.033000000000001</v>
      </c>
      <c r="AA804" s="11">
        <v>52.255000000000003</v>
      </c>
      <c r="AB804" s="11">
        <v>52.518000000000001</v>
      </c>
      <c r="AC804" s="11">
        <v>52.737000000000002</v>
      </c>
      <c r="AD804" s="11">
        <v>52.914999999999999</v>
      </c>
      <c r="AE804" s="11">
        <v>52.97</v>
      </c>
      <c r="AF804" s="11">
        <v>53.036999999999999</v>
      </c>
      <c r="AG804" s="11">
        <v>53.095999999999997</v>
      </c>
      <c r="AH804" s="11">
        <v>52.981000000000002</v>
      </c>
      <c r="AI804" s="11">
        <v>52.831000000000003</v>
      </c>
      <c r="AJ804" s="11">
        <v>52.713999999999999</v>
      </c>
      <c r="AK804" s="11">
        <v>52.703000000000003</v>
      </c>
      <c r="AL804" s="11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</row>
    <row r="805" spans="1:147" x14ac:dyDescent="0.3">
      <c r="A805" s="9">
        <f>DATE(2020, 2, 11)</f>
        <v>43872</v>
      </c>
      <c r="B805" s="10">
        <v>54.01</v>
      </c>
      <c r="C805" s="10">
        <v>54.21</v>
      </c>
      <c r="D805" s="10">
        <v>54.5</v>
      </c>
      <c r="E805" s="10">
        <v>54.62</v>
      </c>
      <c r="F805" s="10">
        <v>54.8</v>
      </c>
      <c r="G805" s="10">
        <v>54.93</v>
      </c>
      <c r="H805" s="10">
        <v>54.97</v>
      </c>
      <c r="I805" s="10">
        <v>55</v>
      </c>
      <c r="J805" s="10">
        <v>54.97</v>
      </c>
      <c r="K805" s="10">
        <v>54.96</v>
      </c>
      <c r="L805" s="10">
        <v>54.95</v>
      </c>
      <c r="M805" s="10">
        <v>54.95</v>
      </c>
      <c r="N805" s="10">
        <v>49.94</v>
      </c>
      <c r="O805" s="10">
        <v>50.17</v>
      </c>
      <c r="P805" s="10">
        <v>50.45</v>
      </c>
      <c r="Q805" s="10">
        <v>50.68</v>
      </c>
      <c r="R805" s="10">
        <v>50.88</v>
      </c>
      <c r="S805" s="10">
        <v>51.01</v>
      </c>
      <c r="T805" s="10">
        <v>51.07</v>
      </c>
      <c r="U805" s="10">
        <v>51.11</v>
      </c>
      <c r="V805" s="10">
        <v>51.14</v>
      </c>
      <c r="W805" s="10">
        <v>51.11</v>
      </c>
      <c r="X805" s="10">
        <v>51.06</v>
      </c>
      <c r="Y805" s="10">
        <v>51</v>
      </c>
      <c r="Z805" s="11">
        <v>53.466999999999999</v>
      </c>
      <c r="AA805" s="11">
        <v>52.930999999999997</v>
      </c>
      <c r="AB805" s="11">
        <v>53.125999999999998</v>
      </c>
      <c r="AC805" s="11">
        <v>53.259</v>
      </c>
      <c r="AD805" s="11">
        <v>53.356000000000002</v>
      </c>
      <c r="AE805" s="11">
        <v>53.378</v>
      </c>
      <c r="AF805" s="11">
        <v>53.372999999999998</v>
      </c>
      <c r="AG805" s="11">
        <v>53.378999999999998</v>
      </c>
      <c r="AH805" s="11">
        <v>53.26</v>
      </c>
      <c r="AI805" s="11">
        <v>53.13</v>
      </c>
      <c r="AJ805" s="11">
        <v>52.99</v>
      </c>
      <c r="AK805" s="11">
        <v>52.911000000000001</v>
      </c>
      <c r="AL805" s="11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</row>
    <row r="806" spans="1:147" x14ac:dyDescent="0.3">
      <c r="A806" s="9">
        <f>DATE(2020, 2, 12)</f>
        <v>43873</v>
      </c>
      <c r="B806" s="10">
        <v>55.79</v>
      </c>
      <c r="C806" s="10">
        <v>55.91</v>
      </c>
      <c r="D806" s="10">
        <v>56.11</v>
      </c>
      <c r="E806" s="10">
        <v>56.14</v>
      </c>
      <c r="F806" s="10">
        <v>56.24</v>
      </c>
      <c r="G806" s="10">
        <v>56.29</v>
      </c>
      <c r="H806" s="10">
        <v>56.26</v>
      </c>
      <c r="I806" s="10">
        <v>56.23</v>
      </c>
      <c r="J806" s="10">
        <v>56.13</v>
      </c>
      <c r="K806" s="10">
        <v>56.06</v>
      </c>
      <c r="L806" s="10">
        <v>56</v>
      </c>
      <c r="M806" s="10">
        <v>55.94</v>
      </c>
      <c r="N806" s="10">
        <v>51.17</v>
      </c>
      <c r="O806" s="10">
        <v>51.41</v>
      </c>
      <c r="P806" s="10">
        <v>51.68</v>
      </c>
      <c r="Q806" s="10">
        <v>51.91</v>
      </c>
      <c r="R806" s="10">
        <v>52.05</v>
      </c>
      <c r="S806" s="10">
        <v>52.11</v>
      </c>
      <c r="T806" s="10">
        <v>52.09</v>
      </c>
      <c r="U806" s="10">
        <v>52.06</v>
      </c>
      <c r="V806" s="10">
        <v>52.01</v>
      </c>
      <c r="W806" s="10">
        <v>51.94</v>
      </c>
      <c r="X806" s="10">
        <v>51.84</v>
      </c>
      <c r="Y806" s="10">
        <v>51.73</v>
      </c>
      <c r="Z806" s="11">
        <v>54.752000000000002</v>
      </c>
      <c r="AA806" s="11">
        <v>54.948999999999998</v>
      </c>
      <c r="AB806" s="11">
        <v>55.011000000000003</v>
      </c>
      <c r="AC806" s="11">
        <v>54.984999999999999</v>
      </c>
      <c r="AD806" s="11">
        <v>54.951999999999998</v>
      </c>
      <c r="AE806" s="11">
        <v>54.889000000000003</v>
      </c>
      <c r="AF806" s="11">
        <v>54.837000000000003</v>
      </c>
      <c r="AG806" s="11">
        <v>54.765000000000001</v>
      </c>
      <c r="AH806" s="11">
        <v>54.587000000000003</v>
      </c>
      <c r="AI806" s="11">
        <v>54.387</v>
      </c>
      <c r="AJ806" s="11">
        <v>54.185000000000002</v>
      </c>
      <c r="AK806" s="11">
        <v>54.009</v>
      </c>
      <c r="AL806" s="11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</row>
    <row r="807" spans="1:147" x14ac:dyDescent="0.3">
      <c r="A807" s="9">
        <f>DATE(2020, 2, 13)</f>
        <v>43874</v>
      </c>
      <c r="B807" s="10">
        <v>56.34</v>
      </c>
      <c r="C807" s="10">
        <v>56.38</v>
      </c>
      <c r="D807" s="10">
        <v>56.54</v>
      </c>
      <c r="E807" s="10">
        <v>56.55</v>
      </c>
      <c r="F807" s="10">
        <v>56.63</v>
      </c>
      <c r="G807" s="10">
        <v>56.66</v>
      </c>
      <c r="H807" s="10">
        <v>56.6</v>
      </c>
      <c r="I807" s="10">
        <v>56.54</v>
      </c>
      <c r="J807" s="10">
        <v>56.42</v>
      </c>
      <c r="K807" s="10">
        <v>56.33</v>
      </c>
      <c r="L807" s="10">
        <v>56.26</v>
      </c>
      <c r="M807" s="10">
        <v>56.19</v>
      </c>
      <c r="N807" s="10">
        <v>51.42</v>
      </c>
      <c r="O807" s="10">
        <v>51.66</v>
      </c>
      <c r="P807" s="10">
        <v>51.93</v>
      </c>
      <c r="Q807" s="10">
        <v>52.15</v>
      </c>
      <c r="R807" s="10">
        <v>52.28</v>
      </c>
      <c r="S807" s="10">
        <v>52.31</v>
      </c>
      <c r="T807" s="10">
        <v>52.27</v>
      </c>
      <c r="U807" s="10">
        <v>52.22</v>
      </c>
      <c r="V807" s="10">
        <v>52.16</v>
      </c>
      <c r="W807" s="10">
        <v>52.07</v>
      </c>
      <c r="X807" s="10">
        <v>51.96</v>
      </c>
      <c r="Y807" s="10">
        <v>51.83</v>
      </c>
      <c r="Z807" s="11">
        <v>54.932000000000002</v>
      </c>
      <c r="AA807" s="11">
        <v>55.317</v>
      </c>
      <c r="AB807" s="11">
        <v>55.42</v>
      </c>
      <c r="AC807" s="11">
        <v>55.423999999999999</v>
      </c>
      <c r="AD807" s="11">
        <v>55.381</v>
      </c>
      <c r="AE807" s="11">
        <v>55.326999999999998</v>
      </c>
      <c r="AF807" s="11">
        <v>55.264000000000003</v>
      </c>
      <c r="AG807" s="11">
        <v>55.174999999999997</v>
      </c>
      <c r="AH807" s="11">
        <v>54.975999999999999</v>
      </c>
      <c r="AI807" s="11">
        <v>54.777000000000001</v>
      </c>
      <c r="AJ807" s="11">
        <v>54.564</v>
      </c>
      <c r="AK807" s="11">
        <v>54.378</v>
      </c>
      <c r="AL807" s="11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</row>
    <row r="808" spans="1:147" x14ac:dyDescent="0.3">
      <c r="A808" s="9">
        <f>DATE(2020, 2, 14)</f>
        <v>43875</v>
      </c>
      <c r="B808" s="10">
        <v>57.32</v>
      </c>
      <c r="C808" s="10">
        <v>57.2</v>
      </c>
      <c r="D808" s="10">
        <v>57.25</v>
      </c>
      <c r="E808" s="10">
        <v>57.19</v>
      </c>
      <c r="F808" s="10">
        <v>57.19</v>
      </c>
      <c r="G808" s="10">
        <v>57.15</v>
      </c>
      <c r="H808" s="10">
        <v>57.04</v>
      </c>
      <c r="I808" s="10">
        <v>56.93</v>
      </c>
      <c r="J808" s="10">
        <v>56.78</v>
      </c>
      <c r="K808" s="10">
        <v>56.67</v>
      </c>
      <c r="L808" s="10">
        <v>56.58</v>
      </c>
      <c r="M808" s="10">
        <v>56.5</v>
      </c>
      <c r="N808" s="10">
        <v>52.05</v>
      </c>
      <c r="O808" s="10">
        <v>52.32</v>
      </c>
      <c r="P808" s="10">
        <v>52.6</v>
      </c>
      <c r="Q808" s="10">
        <v>52.79</v>
      </c>
      <c r="R808" s="10">
        <v>52.87</v>
      </c>
      <c r="S808" s="10">
        <v>52.85</v>
      </c>
      <c r="T808" s="10">
        <v>52.77</v>
      </c>
      <c r="U808" s="10">
        <v>52.67</v>
      </c>
      <c r="V808" s="10">
        <v>52.57</v>
      </c>
      <c r="W808" s="10">
        <v>52.45</v>
      </c>
      <c r="X808" s="10">
        <v>52.31</v>
      </c>
      <c r="Y808" s="10">
        <v>52.16</v>
      </c>
      <c r="Z808" s="11">
        <v>55.058999999999997</v>
      </c>
      <c r="AA808" s="11">
        <v>55.851999999999997</v>
      </c>
      <c r="AB808" s="11">
        <v>55.976999999999997</v>
      </c>
      <c r="AC808" s="11">
        <v>55.99</v>
      </c>
      <c r="AD808" s="11">
        <v>55.917999999999999</v>
      </c>
      <c r="AE808" s="11">
        <v>55.784999999999997</v>
      </c>
      <c r="AF808" s="11">
        <v>55.65</v>
      </c>
      <c r="AG808" s="11">
        <v>55.493000000000002</v>
      </c>
      <c r="AH808" s="11">
        <v>55.295000000000002</v>
      </c>
      <c r="AI808" s="11">
        <v>55.085999999999999</v>
      </c>
      <c r="AJ808" s="11">
        <v>54.872999999999998</v>
      </c>
      <c r="AK808" s="11">
        <v>54.686999999999998</v>
      </c>
      <c r="AL808" s="11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</row>
    <row r="809" spans="1:147" x14ac:dyDescent="0.3">
      <c r="A809" s="9">
        <f>DATE(2020, 2, 17)</f>
        <v>43878</v>
      </c>
      <c r="B809" s="10">
        <v>57.67</v>
      </c>
      <c r="C809" s="10">
        <v>57.49</v>
      </c>
      <c r="D809" s="10">
        <v>57.5</v>
      </c>
      <c r="E809" s="10">
        <v>57.4</v>
      </c>
      <c r="F809" s="10">
        <v>57.37</v>
      </c>
      <c r="G809" s="10">
        <v>57.31</v>
      </c>
      <c r="H809" s="10">
        <v>57.21</v>
      </c>
      <c r="I809" s="10">
        <v>57.09</v>
      </c>
      <c r="J809" s="10">
        <v>56.95</v>
      </c>
      <c r="K809" s="10">
        <v>56.84</v>
      </c>
      <c r="L809" s="10">
        <v>56.75</v>
      </c>
      <c r="M809" s="10">
        <v>56.68</v>
      </c>
      <c r="N809" s="10">
        <v>52.05</v>
      </c>
      <c r="O809" s="10">
        <v>52.32</v>
      </c>
      <c r="P809" s="10">
        <v>52.6</v>
      </c>
      <c r="Q809" s="10">
        <v>52.79</v>
      </c>
      <c r="R809" s="10">
        <v>52.87</v>
      </c>
      <c r="S809" s="10">
        <v>52.85</v>
      </c>
      <c r="T809" s="10">
        <v>52.77</v>
      </c>
      <c r="U809" s="10">
        <v>52.67</v>
      </c>
      <c r="V809" s="10">
        <v>52.57</v>
      </c>
      <c r="W809" s="10">
        <v>52.45</v>
      </c>
      <c r="X809" s="10">
        <v>52.31</v>
      </c>
      <c r="Y809" s="10">
        <v>52.16</v>
      </c>
      <c r="Z809" s="11">
        <v>55.279000000000003</v>
      </c>
      <c r="AA809" s="11">
        <v>56.18</v>
      </c>
      <c r="AB809" s="11">
        <v>56.305</v>
      </c>
      <c r="AC809" s="11">
        <v>56.289000000000001</v>
      </c>
      <c r="AD809" s="11">
        <v>56.186999999999998</v>
      </c>
      <c r="AE809" s="11">
        <v>56.045999999999999</v>
      </c>
      <c r="AF809" s="11">
        <v>55.899000000000001</v>
      </c>
      <c r="AG809" s="11">
        <v>55.753999999999998</v>
      </c>
      <c r="AH809" s="11">
        <v>55.555</v>
      </c>
      <c r="AI809" s="11">
        <v>55.326000000000001</v>
      </c>
      <c r="AJ809" s="11">
        <v>55.094000000000001</v>
      </c>
      <c r="AK809" s="11">
        <v>54.917000000000002</v>
      </c>
      <c r="AL809" s="11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</row>
    <row r="810" spans="1:147" x14ac:dyDescent="0.3">
      <c r="A810" s="9">
        <f>DATE(2020, 2, 18)</f>
        <v>43879</v>
      </c>
      <c r="B810" s="10">
        <v>57.75</v>
      </c>
      <c r="C810" s="10">
        <v>57.51</v>
      </c>
      <c r="D810" s="10">
        <v>57.52</v>
      </c>
      <c r="E810" s="10">
        <v>57.41</v>
      </c>
      <c r="F810" s="10">
        <v>57.37</v>
      </c>
      <c r="G810" s="10">
        <v>57.3</v>
      </c>
      <c r="H810" s="10">
        <v>57.2</v>
      </c>
      <c r="I810" s="10">
        <v>57.09</v>
      </c>
      <c r="J810" s="10">
        <v>56.96</v>
      </c>
      <c r="K810" s="10">
        <v>56.86</v>
      </c>
      <c r="L810" s="10">
        <v>56.78</v>
      </c>
      <c r="M810" s="10">
        <v>56.72</v>
      </c>
      <c r="N810" s="10">
        <v>52.05</v>
      </c>
      <c r="O810" s="10">
        <v>52.29</v>
      </c>
      <c r="P810" s="10">
        <v>52.58</v>
      </c>
      <c r="Q810" s="10">
        <v>52.82</v>
      </c>
      <c r="R810" s="10">
        <v>52.94</v>
      </c>
      <c r="S810" s="10">
        <v>52.94</v>
      </c>
      <c r="T810" s="10">
        <v>52.87</v>
      </c>
      <c r="U810" s="10">
        <v>52.77</v>
      </c>
      <c r="V810" s="10">
        <v>52.69</v>
      </c>
      <c r="W810" s="10">
        <v>52.58</v>
      </c>
      <c r="X810" s="10">
        <v>52.46</v>
      </c>
      <c r="Y810" s="10">
        <v>52.33</v>
      </c>
      <c r="Z810" s="11">
        <v>55.128999999999998</v>
      </c>
      <c r="AA810" s="11">
        <v>56.01</v>
      </c>
      <c r="AB810" s="11">
        <v>56.148000000000003</v>
      </c>
      <c r="AC810" s="11">
        <v>56.155999999999999</v>
      </c>
      <c r="AD810" s="11">
        <v>56.103999999999999</v>
      </c>
      <c r="AE810" s="11">
        <v>55.996000000000002</v>
      </c>
      <c r="AF810" s="11">
        <v>55.88</v>
      </c>
      <c r="AG810" s="11">
        <v>55.723999999999997</v>
      </c>
      <c r="AH810" s="11">
        <v>55.555</v>
      </c>
      <c r="AI810" s="11">
        <v>55.366</v>
      </c>
      <c r="AJ810" s="11">
        <v>55.174999999999997</v>
      </c>
      <c r="AK810" s="11">
        <v>54.978000000000002</v>
      </c>
      <c r="AL810" s="11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</row>
    <row r="811" spans="1:147" x14ac:dyDescent="0.3">
      <c r="A811" s="9">
        <f>DATE(2020, 2, 19)</f>
        <v>43880</v>
      </c>
      <c r="B811" s="10">
        <v>59.12</v>
      </c>
      <c r="C811" s="10">
        <v>58.72</v>
      </c>
      <c r="D811" s="10">
        <v>58.58</v>
      </c>
      <c r="E811" s="10">
        <v>58.35</v>
      </c>
      <c r="F811" s="10">
        <v>58.24</v>
      </c>
      <c r="G811" s="10">
        <v>58.14</v>
      </c>
      <c r="H811" s="10">
        <v>58.02</v>
      </c>
      <c r="I811" s="10">
        <v>57.88</v>
      </c>
      <c r="J811" s="10">
        <v>57.73</v>
      </c>
      <c r="K811" s="10">
        <v>57.61</v>
      </c>
      <c r="L811" s="10">
        <v>57.51</v>
      </c>
      <c r="M811" s="10">
        <v>57.43</v>
      </c>
      <c r="N811" s="10">
        <v>53.29</v>
      </c>
      <c r="O811" s="10">
        <v>53.49</v>
      </c>
      <c r="P811" s="10">
        <v>53.74</v>
      </c>
      <c r="Q811" s="10">
        <v>53.9</v>
      </c>
      <c r="R811" s="10">
        <v>53.95</v>
      </c>
      <c r="S811" s="10">
        <v>53.9</v>
      </c>
      <c r="T811" s="10">
        <v>53.78</v>
      </c>
      <c r="U811" s="10">
        <v>53.63</v>
      </c>
      <c r="V811" s="10">
        <v>53.5</v>
      </c>
      <c r="W811" s="10">
        <v>53.36</v>
      </c>
      <c r="X811" s="10">
        <v>53.2</v>
      </c>
      <c r="Y811" s="10">
        <v>53.04</v>
      </c>
      <c r="Z811" s="11">
        <v>55.554000000000002</v>
      </c>
      <c r="AA811" s="11">
        <v>57.454000000000001</v>
      </c>
      <c r="AB811" s="11">
        <v>57.539000000000001</v>
      </c>
      <c r="AC811" s="11">
        <v>57.344999999999999</v>
      </c>
      <c r="AD811" s="11">
        <v>57.140999999999998</v>
      </c>
      <c r="AE811" s="11">
        <v>56.935000000000002</v>
      </c>
      <c r="AF811" s="11">
        <v>56.726999999999997</v>
      </c>
      <c r="AG811" s="11">
        <v>56.512999999999998</v>
      </c>
      <c r="AH811" s="11">
        <v>56.295000000000002</v>
      </c>
      <c r="AI811" s="11">
        <v>56.064999999999998</v>
      </c>
      <c r="AJ811" s="11">
        <v>55.832999999999998</v>
      </c>
      <c r="AK811" s="11">
        <v>55.656999999999996</v>
      </c>
      <c r="AL811" s="11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</row>
    <row r="812" spans="1:147" x14ac:dyDescent="0.3">
      <c r="A812" s="9">
        <f>DATE(2020, 2, 20)</f>
        <v>43881</v>
      </c>
      <c r="B812" s="10">
        <v>59.31</v>
      </c>
      <c r="C812" s="10">
        <v>58.8</v>
      </c>
      <c r="D812" s="10">
        <v>58.57</v>
      </c>
      <c r="E812" s="10">
        <v>58.27</v>
      </c>
      <c r="F812" s="10">
        <v>58.1</v>
      </c>
      <c r="G812" s="10">
        <v>57.98</v>
      </c>
      <c r="H812" s="10">
        <v>57.86</v>
      </c>
      <c r="I812" s="10">
        <v>57.74</v>
      </c>
      <c r="J812" s="10">
        <v>57.61</v>
      </c>
      <c r="K812" s="10">
        <v>57.5</v>
      </c>
      <c r="L812" s="10">
        <v>57.41</v>
      </c>
      <c r="M812" s="10">
        <v>57.33</v>
      </c>
      <c r="N812" s="10">
        <v>53.78</v>
      </c>
      <c r="O812" s="10">
        <v>53.88</v>
      </c>
      <c r="P812" s="10">
        <v>54.06</v>
      </c>
      <c r="Q812" s="10">
        <v>54.13</v>
      </c>
      <c r="R812" s="10">
        <v>54.1</v>
      </c>
      <c r="S812" s="10">
        <v>53.98</v>
      </c>
      <c r="T812" s="10">
        <v>53.81</v>
      </c>
      <c r="U812" s="10">
        <v>53.63</v>
      </c>
      <c r="V812" s="10">
        <v>53.48</v>
      </c>
      <c r="W812" s="10">
        <v>53.32</v>
      </c>
      <c r="X812" s="10">
        <v>53.15</v>
      </c>
      <c r="Y812" s="10">
        <v>52.97</v>
      </c>
      <c r="Z812" s="11">
        <v>55.527999999999999</v>
      </c>
      <c r="AA812" s="11">
        <v>57.41</v>
      </c>
      <c r="AB812" s="11">
        <v>57.526000000000003</v>
      </c>
      <c r="AC812" s="11">
        <v>57.31</v>
      </c>
      <c r="AD812" s="11">
        <v>57.03</v>
      </c>
      <c r="AE812" s="11">
        <v>56.765999999999998</v>
      </c>
      <c r="AF812" s="11">
        <v>56.555999999999997</v>
      </c>
      <c r="AG812" s="11">
        <v>56.363999999999997</v>
      </c>
      <c r="AH812" s="11">
        <v>56.167000000000002</v>
      </c>
      <c r="AI812" s="11">
        <v>55.966000000000001</v>
      </c>
      <c r="AJ812" s="11">
        <v>55.753</v>
      </c>
      <c r="AK812" s="11">
        <v>55.585999999999999</v>
      </c>
      <c r="AL812" s="11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</row>
    <row r="813" spans="1:147" x14ac:dyDescent="0.3">
      <c r="A813" s="9">
        <f>DATE(2020, 2, 21)</f>
        <v>43882</v>
      </c>
      <c r="B813" s="10">
        <v>58.5</v>
      </c>
      <c r="C813" s="10">
        <v>57.94</v>
      </c>
      <c r="D813" s="10">
        <v>57.72</v>
      </c>
      <c r="E813" s="10">
        <v>57.45</v>
      </c>
      <c r="F813" s="10">
        <v>57.33</v>
      </c>
      <c r="G813" s="10">
        <v>57.24</v>
      </c>
      <c r="H813" s="10">
        <v>57.14</v>
      </c>
      <c r="I813" s="10">
        <v>57.05</v>
      </c>
      <c r="J813" s="10">
        <v>56.95</v>
      </c>
      <c r="K813" s="10">
        <v>56.87</v>
      </c>
      <c r="L813" s="10">
        <v>56.81</v>
      </c>
      <c r="M813" s="10">
        <v>56.75</v>
      </c>
      <c r="N813" s="10">
        <v>53.38</v>
      </c>
      <c r="O813" s="10">
        <v>53.5</v>
      </c>
      <c r="P813" s="10">
        <v>53.54</v>
      </c>
      <c r="Q813" s="10">
        <v>53.5</v>
      </c>
      <c r="R813" s="10">
        <v>53.37</v>
      </c>
      <c r="S813" s="10">
        <v>53.2</v>
      </c>
      <c r="T813" s="10">
        <v>53.04</v>
      </c>
      <c r="U813" s="10">
        <v>52.89</v>
      </c>
      <c r="V813" s="10">
        <v>52.75</v>
      </c>
      <c r="W813" s="10">
        <v>52.6</v>
      </c>
      <c r="X813" s="10">
        <v>52.44</v>
      </c>
      <c r="Y813" s="10">
        <v>52.31</v>
      </c>
      <c r="Z813" s="11">
        <v>55.222999999999999</v>
      </c>
      <c r="AA813" s="11">
        <v>56.52</v>
      </c>
      <c r="AB813" s="11">
        <v>56.697000000000003</v>
      </c>
      <c r="AC813" s="11">
        <v>56.473999999999997</v>
      </c>
      <c r="AD813" s="11">
        <v>56.206000000000003</v>
      </c>
      <c r="AE813" s="11">
        <v>55.956000000000003</v>
      </c>
      <c r="AF813" s="11">
        <v>55.790999999999997</v>
      </c>
      <c r="AG813" s="11">
        <v>55.628</v>
      </c>
      <c r="AH813" s="11">
        <v>55.445999999999998</v>
      </c>
      <c r="AI813" s="11">
        <v>55.256999999999998</v>
      </c>
      <c r="AJ813" s="11">
        <v>55.064999999999998</v>
      </c>
      <c r="AK813" s="11">
        <v>54.927999999999997</v>
      </c>
      <c r="AL813" s="11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</row>
    <row r="814" spans="1:147" x14ac:dyDescent="0.3">
      <c r="A814" s="9">
        <f>DATE(2020, 2, 24)</f>
        <v>43885</v>
      </c>
      <c r="B814" s="10">
        <v>56.3</v>
      </c>
      <c r="C814" s="10">
        <v>55.77</v>
      </c>
      <c r="D814" s="10">
        <v>55.75</v>
      </c>
      <c r="E814" s="10">
        <v>55.67</v>
      </c>
      <c r="F814" s="10">
        <v>55.71</v>
      </c>
      <c r="G814" s="10">
        <v>55.77</v>
      </c>
      <c r="H814" s="10">
        <v>55.78</v>
      </c>
      <c r="I814" s="10">
        <v>55.78</v>
      </c>
      <c r="J814" s="10">
        <v>55.76</v>
      </c>
      <c r="K814" s="10">
        <v>55.75</v>
      </c>
      <c r="L814" s="10">
        <v>55.74</v>
      </c>
      <c r="M814" s="10">
        <v>55.75</v>
      </c>
      <c r="N814" s="10">
        <v>51.43</v>
      </c>
      <c r="O814" s="10">
        <v>51.58</v>
      </c>
      <c r="P814" s="10">
        <v>51.67</v>
      </c>
      <c r="Q814" s="10">
        <v>51.72</v>
      </c>
      <c r="R814" s="10">
        <v>51.71</v>
      </c>
      <c r="S814" s="10">
        <v>51.66</v>
      </c>
      <c r="T814" s="10">
        <v>51.61</v>
      </c>
      <c r="U814" s="10">
        <v>51.59</v>
      </c>
      <c r="V814" s="10">
        <v>51.56</v>
      </c>
      <c r="W814" s="10">
        <v>51.5</v>
      </c>
      <c r="X814" s="10">
        <v>51.43</v>
      </c>
      <c r="Y814" s="10">
        <v>51.36</v>
      </c>
      <c r="Z814" s="11">
        <v>54.802</v>
      </c>
      <c r="AA814" s="11">
        <v>54.469000000000001</v>
      </c>
      <c r="AB814" s="11">
        <v>54.725999999999999</v>
      </c>
      <c r="AC814" s="11">
        <v>54.646999999999998</v>
      </c>
      <c r="AD814" s="11">
        <v>54.563000000000002</v>
      </c>
      <c r="AE814" s="11">
        <v>54.48</v>
      </c>
      <c r="AF814" s="11">
        <v>54.41</v>
      </c>
      <c r="AG814" s="11">
        <v>54.289000000000001</v>
      </c>
      <c r="AH814" s="11">
        <v>54.17</v>
      </c>
      <c r="AI814" s="11">
        <v>54.05</v>
      </c>
      <c r="AJ814" s="11">
        <v>53.911000000000001</v>
      </c>
      <c r="AK814" s="11">
        <v>53.83</v>
      </c>
      <c r="AL814" s="11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</row>
    <row r="815" spans="1:147" x14ac:dyDescent="0.3">
      <c r="A815" s="9">
        <f>DATE(2020, 2, 25)</f>
        <v>43886</v>
      </c>
      <c r="B815" s="10">
        <v>54.95</v>
      </c>
      <c r="C815" s="10">
        <v>54.26</v>
      </c>
      <c r="D815" s="10">
        <v>54.23</v>
      </c>
      <c r="E815" s="10">
        <v>54.16</v>
      </c>
      <c r="F815" s="10">
        <v>54.19</v>
      </c>
      <c r="G815" s="10">
        <v>54.24</v>
      </c>
      <c r="H815" s="10">
        <v>54.25</v>
      </c>
      <c r="I815" s="10">
        <v>54.24</v>
      </c>
      <c r="J815" s="10">
        <v>54.22</v>
      </c>
      <c r="K815" s="10">
        <v>54.22</v>
      </c>
      <c r="L815" s="10">
        <v>54.22</v>
      </c>
      <c r="M815" s="10">
        <v>54.23</v>
      </c>
      <c r="N815" s="10">
        <v>49.9</v>
      </c>
      <c r="O815" s="10">
        <v>50.06</v>
      </c>
      <c r="P815" s="10">
        <v>50.13</v>
      </c>
      <c r="Q815" s="10">
        <v>50.14</v>
      </c>
      <c r="R815" s="10">
        <v>50.11</v>
      </c>
      <c r="S815" s="10">
        <v>50.06</v>
      </c>
      <c r="T815" s="10">
        <v>50</v>
      </c>
      <c r="U815" s="10">
        <v>49.98</v>
      </c>
      <c r="V815" s="10">
        <v>49.96</v>
      </c>
      <c r="W815" s="10">
        <v>49.91</v>
      </c>
      <c r="X815" s="10">
        <v>49.85</v>
      </c>
      <c r="Y815" s="10">
        <v>49.79</v>
      </c>
      <c r="Z815" s="11">
        <v>54.552</v>
      </c>
      <c r="AA815" s="11">
        <v>52.908000000000001</v>
      </c>
      <c r="AB815" s="11">
        <v>53.204000000000001</v>
      </c>
      <c r="AC815" s="11">
        <v>53.136000000000003</v>
      </c>
      <c r="AD815" s="11">
        <v>53.061999999999998</v>
      </c>
      <c r="AE815" s="11">
        <v>52.98</v>
      </c>
      <c r="AF815" s="11">
        <v>52.899000000000001</v>
      </c>
      <c r="AG815" s="11">
        <v>52.798999999999999</v>
      </c>
      <c r="AH815" s="11">
        <v>52.68</v>
      </c>
      <c r="AI815" s="11">
        <v>52.55</v>
      </c>
      <c r="AJ815" s="11">
        <v>52.430999999999997</v>
      </c>
      <c r="AK815" s="11">
        <v>52.331000000000003</v>
      </c>
      <c r="AL815" s="11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</row>
    <row r="816" spans="1:147" x14ac:dyDescent="0.3">
      <c r="A816" s="9">
        <f>DATE(2020, 2, 26)</f>
        <v>43887</v>
      </c>
      <c r="B816" s="10">
        <v>53.43</v>
      </c>
      <c r="C816" s="10">
        <v>52.81</v>
      </c>
      <c r="D816" s="10">
        <v>52.8</v>
      </c>
      <c r="E816" s="10">
        <v>52.8</v>
      </c>
      <c r="F816" s="10">
        <v>52.9</v>
      </c>
      <c r="G816" s="10">
        <v>53.01</v>
      </c>
      <c r="H816" s="10">
        <v>53.09</v>
      </c>
      <c r="I816" s="10">
        <v>53.15</v>
      </c>
      <c r="J816" s="10">
        <v>53.19</v>
      </c>
      <c r="K816" s="10">
        <v>53.24</v>
      </c>
      <c r="L816" s="10">
        <v>53.3</v>
      </c>
      <c r="M816" s="10">
        <v>53.36</v>
      </c>
      <c r="N816" s="10">
        <v>48.73</v>
      </c>
      <c r="O816" s="10">
        <v>48.88</v>
      </c>
      <c r="P816" s="10">
        <v>48.96</v>
      </c>
      <c r="Q816" s="10">
        <v>48.99</v>
      </c>
      <c r="R816" s="10">
        <v>49</v>
      </c>
      <c r="S816" s="10">
        <v>48.99</v>
      </c>
      <c r="T816" s="10">
        <v>48.99</v>
      </c>
      <c r="U816" s="10">
        <v>49.03</v>
      </c>
      <c r="V816" s="10">
        <v>49.06</v>
      </c>
      <c r="W816" s="10">
        <v>49.06</v>
      </c>
      <c r="X816" s="10">
        <v>49.04</v>
      </c>
      <c r="Y816" s="10">
        <v>49.01</v>
      </c>
      <c r="Z816" s="11">
        <v>54.374000000000002</v>
      </c>
      <c r="AA816" s="11">
        <v>51.4</v>
      </c>
      <c r="AB816" s="11">
        <v>51.759</v>
      </c>
      <c r="AC816" s="11">
        <v>51.765999999999998</v>
      </c>
      <c r="AD816" s="11">
        <v>51.738999999999997</v>
      </c>
      <c r="AE816" s="11">
        <v>51.692999999999998</v>
      </c>
      <c r="AF816" s="11">
        <v>51.665999999999997</v>
      </c>
      <c r="AG816" s="11">
        <v>51.648000000000003</v>
      </c>
      <c r="AH816" s="11">
        <v>51.597000000000001</v>
      </c>
      <c r="AI816" s="11">
        <v>51.496000000000002</v>
      </c>
      <c r="AJ816" s="11">
        <v>51.338000000000001</v>
      </c>
      <c r="AK816" s="11">
        <v>51.383000000000003</v>
      </c>
      <c r="AL816" s="11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</row>
    <row r="817" spans="1:147" x14ac:dyDescent="0.3">
      <c r="A817" s="9">
        <f>DATE(2020, 2, 27)</f>
        <v>43888</v>
      </c>
      <c r="B817" s="10">
        <v>52.18</v>
      </c>
      <c r="C817" s="10">
        <v>51.73</v>
      </c>
      <c r="D817" s="10">
        <v>51.67</v>
      </c>
      <c r="E817" s="10">
        <v>51.69</v>
      </c>
      <c r="F817" s="10">
        <v>51.82</v>
      </c>
      <c r="G817" s="10">
        <v>51.96</v>
      </c>
      <c r="H817" s="10">
        <v>52.07</v>
      </c>
      <c r="I817" s="10">
        <v>52.18</v>
      </c>
      <c r="J817" s="10">
        <v>52.26</v>
      </c>
      <c r="K817" s="10">
        <v>52.36</v>
      </c>
      <c r="L817" s="10">
        <v>52.46</v>
      </c>
      <c r="M817" s="10">
        <v>52.58</v>
      </c>
      <c r="N817" s="10">
        <v>47.09</v>
      </c>
      <c r="O817" s="10">
        <v>47.29</v>
      </c>
      <c r="P817" s="10">
        <v>47.44</v>
      </c>
      <c r="Q817" s="10">
        <v>47.55</v>
      </c>
      <c r="R817" s="10">
        <v>47.64</v>
      </c>
      <c r="S817" s="10">
        <v>47.72</v>
      </c>
      <c r="T817" s="10">
        <v>47.8</v>
      </c>
      <c r="U817" s="10">
        <v>47.9</v>
      </c>
      <c r="V817" s="10">
        <v>48</v>
      </c>
      <c r="W817" s="10">
        <v>48.06</v>
      </c>
      <c r="X817" s="10">
        <v>48.1</v>
      </c>
      <c r="Y817" s="10">
        <v>48.12</v>
      </c>
      <c r="Z817" s="11">
        <v>54.265999999999998</v>
      </c>
      <c r="AA817" s="11">
        <v>50.137</v>
      </c>
      <c r="AB817" s="11">
        <v>50.491</v>
      </c>
      <c r="AC817" s="11">
        <v>50.585999999999999</v>
      </c>
      <c r="AD817" s="11">
        <v>50.625999999999998</v>
      </c>
      <c r="AE817" s="11">
        <v>50.655000000000001</v>
      </c>
      <c r="AF817" s="11">
        <v>50.68</v>
      </c>
      <c r="AG817" s="11">
        <v>50.694000000000003</v>
      </c>
      <c r="AH817" s="11">
        <v>50.674999999999997</v>
      </c>
      <c r="AI817" s="11">
        <v>50.625</v>
      </c>
      <c r="AJ817" s="11">
        <v>50.551000000000002</v>
      </c>
      <c r="AK817" s="11">
        <v>50.604999999999997</v>
      </c>
      <c r="AL817" s="11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</row>
    <row r="818" spans="1:147" x14ac:dyDescent="0.3">
      <c r="A818" s="9">
        <f>DATE(2020, 2, 28)</f>
        <v>43889</v>
      </c>
      <c r="B818" s="10">
        <v>50.52</v>
      </c>
      <c r="C818" s="10">
        <v>49.67</v>
      </c>
      <c r="D818" s="10">
        <v>49.59</v>
      </c>
      <c r="E818" s="10">
        <v>49.58</v>
      </c>
      <c r="F818" s="10">
        <v>49.7</v>
      </c>
      <c r="G818" s="10">
        <v>49.85</v>
      </c>
      <c r="H818" s="10">
        <v>49.98</v>
      </c>
      <c r="I818" s="10">
        <v>50.14</v>
      </c>
      <c r="J818" s="10">
        <v>50.28</v>
      </c>
      <c r="K818" s="10">
        <v>50.41</v>
      </c>
      <c r="L818" s="10">
        <v>50.55</v>
      </c>
      <c r="M818" s="10">
        <v>50.71</v>
      </c>
      <c r="N818" s="10">
        <v>44.76</v>
      </c>
      <c r="O818" s="10">
        <v>44.94</v>
      </c>
      <c r="P818" s="10">
        <v>45.1</v>
      </c>
      <c r="Q818" s="10">
        <v>45.23</v>
      </c>
      <c r="R818" s="10">
        <v>45.35</v>
      </c>
      <c r="S818" s="10">
        <v>45.46</v>
      </c>
      <c r="T818" s="10">
        <v>45.58</v>
      </c>
      <c r="U818" s="10">
        <v>45.73</v>
      </c>
      <c r="V818" s="10">
        <v>45.89</v>
      </c>
      <c r="W818" s="10">
        <v>46</v>
      </c>
      <c r="X818" s="10">
        <v>46.09</v>
      </c>
      <c r="Y818" s="10">
        <v>46.17</v>
      </c>
      <c r="Z818" s="11">
        <v>54.219000000000001</v>
      </c>
      <c r="AA818" s="11">
        <v>48.466000000000001</v>
      </c>
      <c r="AB818" s="11">
        <v>48.7</v>
      </c>
      <c r="AC818" s="11">
        <v>48.686</v>
      </c>
      <c r="AD818" s="11">
        <v>48.697000000000003</v>
      </c>
      <c r="AE818" s="11">
        <v>48.686</v>
      </c>
      <c r="AF818" s="11">
        <v>48.715000000000003</v>
      </c>
      <c r="AG818" s="11">
        <v>48.746000000000002</v>
      </c>
      <c r="AH818" s="11">
        <v>48.786000000000001</v>
      </c>
      <c r="AI818" s="11">
        <v>48.756999999999998</v>
      </c>
      <c r="AJ818" s="11">
        <v>48.715000000000003</v>
      </c>
      <c r="AK818" s="11">
        <v>48.798000000000002</v>
      </c>
      <c r="AL818" s="11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</row>
    <row r="819" spans="1:147" x14ac:dyDescent="0.3">
      <c r="A819" s="9">
        <f>DATE(2020, 3, 2)</f>
        <v>43892</v>
      </c>
      <c r="B819" s="10">
        <v>51.9</v>
      </c>
      <c r="C819" s="10">
        <v>51.75</v>
      </c>
      <c r="D819" s="10">
        <v>51.65</v>
      </c>
      <c r="E819" s="10">
        <v>51.66</v>
      </c>
      <c r="F819" s="10">
        <v>51.7</v>
      </c>
      <c r="G819" s="10">
        <v>51.75</v>
      </c>
      <c r="H819" s="10">
        <v>51.83</v>
      </c>
      <c r="I819" s="10">
        <v>51.89</v>
      </c>
      <c r="J819" s="10">
        <v>51.96</v>
      </c>
      <c r="K819" s="10">
        <v>52.05</v>
      </c>
      <c r="L819" s="10">
        <v>52.16</v>
      </c>
      <c r="M819" s="10">
        <v>52.27</v>
      </c>
      <c r="N819" s="10">
        <v>46.75</v>
      </c>
      <c r="O819" s="10">
        <v>46.92</v>
      </c>
      <c r="P819" s="10">
        <v>47.05</v>
      </c>
      <c r="Q819" s="10">
        <v>47.14</v>
      </c>
      <c r="R819" s="10">
        <v>47.2</v>
      </c>
      <c r="S819" s="10">
        <v>47.25</v>
      </c>
      <c r="T819" s="10">
        <v>47.31</v>
      </c>
      <c r="U819" s="10">
        <v>47.4</v>
      </c>
      <c r="V819" s="10">
        <v>47.49</v>
      </c>
      <c r="W819" s="10">
        <v>47.55</v>
      </c>
      <c r="X819" s="10">
        <v>47.59</v>
      </c>
      <c r="Y819" s="10">
        <v>47.63</v>
      </c>
      <c r="Z819" s="11">
        <v>54.219000000000001</v>
      </c>
      <c r="AA819" s="11">
        <v>50.936999999999998</v>
      </c>
      <c r="AB819" s="11">
        <v>51.155000000000001</v>
      </c>
      <c r="AC819" s="11">
        <v>51.09</v>
      </c>
      <c r="AD819" s="11">
        <v>50.991999999999997</v>
      </c>
      <c r="AE819" s="11">
        <v>50.902000000000001</v>
      </c>
      <c r="AF819" s="11">
        <v>50.838000000000001</v>
      </c>
      <c r="AG819" s="11">
        <v>50.792999999999999</v>
      </c>
      <c r="AH819" s="11">
        <v>50.743000000000002</v>
      </c>
      <c r="AI819" s="11">
        <v>50.673999999999999</v>
      </c>
      <c r="AJ819" s="11">
        <v>50.6</v>
      </c>
      <c r="AK819" s="11">
        <v>50.536000000000001</v>
      </c>
      <c r="AL819" s="11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</row>
    <row r="820" spans="1:147" x14ac:dyDescent="0.3">
      <c r="A820" s="9">
        <f>DATE(2020, 3, 3)</f>
        <v>43893</v>
      </c>
      <c r="B820" s="10">
        <v>51.86</v>
      </c>
      <c r="C820" s="10">
        <v>51.77</v>
      </c>
      <c r="D820" s="10">
        <v>51.67</v>
      </c>
      <c r="E820" s="10">
        <v>51.68</v>
      </c>
      <c r="F820" s="10">
        <v>51.76</v>
      </c>
      <c r="G820" s="10">
        <v>51.82</v>
      </c>
      <c r="H820" s="10">
        <v>51.92</v>
      </c>
      <c r="I820" s="10">
        <v>51.99</v>
      </c>
      <c r="J820" s="10">
        <v>52.07</v>
      </c>
      <c r="K820" s="10">
        <v>52.18</v>
      </c>
      <c r="L820" s="10">
        <v>52.29</v>
      </c>
      <c r="M820" s="10">
        <v>52.41</v>
      </c>
      <c r="N820" s="10">
        <v>47.18</v>
      </c>
      <c r="O820" s="10">
        <v>47.33</v>
      </c>
      <c r="P820" s="10">
        <v>47.45</v>
      </c>
      <c r="Q820" s="10">
        <v>47.52</v>
      </c>
      <c r="R820" s="10">
        <v>47.56</v>
      </c>
      <c r="S820" s="10">
        <v>47.57</v>
      </c>
      <c r="T820" s="10">
        <v>47.59</v>
      </c>
      <c r="U820" s="10">
        <v>47.65</v>
      </c>
      <c r="V820" s="10">
        <v>47.72</v>
      </c>
      <c r="W820" s="10">
        <v>47.76</v>
      </c>
      <c r="X820" s="10">
        <v>47.79</v>
      </c>
      <c r="Y820" s="10">
        <v>47.83</v>
      </c>
      <c r="Z820" s="11">
        <v>51.128</v>
      </c>
      <c r="AA820" s="11">
        <v>51.274999999999999</v>
      </c>
      <c r="AB820" s="11">
        <v>51.17</v>
      </c>
      <c r="AC820" s="11">
        <v>51.054000000000002</v>
      </c>
      <c r="AD820" s="11">
        <v>50.972999999999999</v>
      </c>
      <c r="AE820" s="11">
        <v>50.91</v>
      </c>
      <c r="AF820" s="11">
        <v>50.843000000000004</v>
      </c>
      <c r="AG820" s="11">
        <v>50.783999999999999</v>
      </c>
      <c r="AH820" s="11">
        <v>50.715000000000003</v>
      </c>
      <c r="AI820" s="11">
        <v>50.66</v>
      </c>
      <c r="AJ820" s="11">
        <v>50.625999999999998</v>
      </c>
      <c r="AK820" s="11">
        <v>50.634999999999998</v>
      </c>
      <c r="AL820" s="11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</row>
    <row r="821" spans="1:147" x14ac:dyDescent="0.3">
      <c r="A821" s="9">
        <f>DATE(2020, 3, 4)</f>
        <v>43894</v>
      </c>
      <c r="B821" s="10">
        <v>51.13</v>
      </c>
      <c r="C821" s="10">
        <v>51.25</v>
      </c>
      <c r="D821" s="10">
        <v>51.29</v>
      </c>
      <c r="E821" s="10">
        <v>51.38</v>
      </c>
      <c r="F821" s="10">
        <v>51.51</v>
      </c>
      <c r="G821" s="10">
        <v>51.61</v>
      </c>
      <c r="H821" s="10">
        <v>51.75</v>
      </c>
      <c r="I821" s="10">
        <v>51.85</v>
      </c>
      <c r="J821" s="10">
        <v>51.96</v>
      </c>
      <c r="K821" s="10">
        <v>52.08</v>
      </c>
      <c r="L821" s="10">
        <v>52.21</v>
      </c>
      <c r="M821" s="10">
        <v>52.34</v>
      </c>
      <c r="N821" s="10">
        <v>46.78</v>
      </c>
      <c r="O821" s="10">
        <v>46.95</v>
      </c>
      <c r="P821" s="10">
        <v>47.11</v>
      </c>
      <c r="Q821" s="10">
        <v>47.22</v>
      </c>
      <c r="R821" s="10">
        <v>47.31</v>
      </c>
      <c r="S821" s="10">
        <v>47.36</v>
      </c>
      <c r="T821" s="10">
        <v>47.41</v>
      </c>
      <c r="U821" s="10">
        <v>47.49</v>
      </c>
      <c r="V821" s="10">
        <v>47.59</v>
      </c>
      <c r="W821" s="10">
        <v>47.64</v>
      </c>
      <c r="X821" s="10">
        <v>47.69</v>
      </c>
      <c r="Y821" s="10">
        <v>47.74</v>
      </c>
      <c r="Z821" s="11">
        <v>50.68</v>
      </c>
      <c r="AA821" s="11">
        <v>50.822000000000003</v>
      </c>
      <c r="AB821" s="11">
        <v>50.774000000000001</v>
      </c>
      <c r="AC821" s="11">
        <v>50.725999999999999</v>
      </c>
      <c r="AD821" s="11">
        <v>50.683999999999997</v>
      </c>
      <c r="AE821" s="11">
        <v>50.662999999999997</v>
      </c>
      <c r="AF821" s="11">
        <v>50.634999999999998</v>
      </c>
      <c r="AG821" s="11">
        <v>50.604999999999997</v>
      </c>
      <c r="AH821" s="11">
        <v>50.576000000000001</v>
      </c>
      <c r="AI821" s="11">
        <v>50.561999999999998</v>
      </c>
      <c r="AJ821" s="11">
        <v>50.546999999999997</v>
      </c>
      <c r="AK821" s="11">
        <v>50.566000000000003</v>
      </c>
      <c r="AL821" s="11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</row>
    <row r="822" spans="1:147" x14ac:dyDescent="0.3">
      <c r="A822" s="9">
        <f>DATE(2020, 3, 5)</f>
        <v>43895</v>
      </c>
      <c r="B822" s="10">
        <v>49.99</v>
      </c>
      <c r="C822" s="10">
        <v>50.17</v>
      </c>
      <c r="D822" s="10">
        <v>50.28</v>
      </c>
      <c r="E822" s="10">
        <v>50.43</v>
      </c>
      <c r="F822" s="10">
        <v>50.61</v>
      </c>
      <c r="G822" s="10">
        <v>50.75</v>
      </c>
      <c r="H822" s="10">
        <v>50.89</v>
      </c>
      <c r="I822" s="10">
        <v>51.01</v>
      </c>
      <c r="J822" s="10">
        <v>51.13</v>
      </c>
      <c r="K822" s="10">
        <v>51.26</v>
      </c>
      <c r="L822" s="10">
        <v>51.41</v>
      </c>
      <c r="M822" s="10">
        <v>51.56</v>
      </c>
      <c r="N822" s="10">
        <v>45.9</v>
      </c>
      <c r="O822" s="10">
        <v>46.06</v>
      </c>
      <c r="P822" s="10">
        <v>46.21</v>
      </c>
      <c r="Q822" s="10">
        <v>46.34</v>
      </c>
      <c r="R822" s="10">
        <v>46.45</v>
      </c>
      <c r="S822" s="10">
        <v>46.54</v>
      </c>
      <c r="T822" s="10">
        <v>46.61</v>
      </c>
      <c r="U822" s="10">
        <v>46.72</v>
      </c>
      <c r="V822" s="10">
        <v>46.84</v>
      </c>
      <c r="W822" s="10">
        <v>46.92</v>
      </c>
      <c r="X822" s="10">
        <v>46.98</v>
      </c>
      <c r="Y822" s="10">
        <v>47.05</v>
      </c>
      <c r="Z822" s="11">
        <v>49.756</v>
      </c>
      <c r="AA822" s="11">
        <v>49.832000000000001</v>
      </c>
      <c r="AB822" s="11">
        <v>49.822000000000003</v>
      </c>
      <c r="AC822" s="11">
        <v>49.808</v>
      </c>
      <c r="AD822" s="11">
        <v>49.805999999999997</v>
      </c>
      <c r="AE822" s="11">
        <v>49.813000000000002</v>
      </c>
      <c r="AF822" s="11">
        <v>49.825000000000003</v>
      </c>
      <c r="AG822" s="11">
        <v>49.814999999999998</v>
      </c>
      <c r="AH822" s="11">
        <v>49.795999999999999</v>
      </c>
      <c r="AI822" s="11">
        <v>49.774000000000001</v>
      </c>
      <c r="AJ822" s="11">
        <v>49.787999999999997</v>
      </c>
      <c r="AK822" s="11">
        <v>49.835999999999999</v>
      </c>
      <c r="AL822" s="11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</row>
    <row r="823" spans="1:147" x14ac:dyDescent="0.3">
      <c r="A823" s="9">
        <f>DATE(2020, 3, 6)</f>
        <v>43896</v>
      </c>
      <c r="B823" s="10">
        <v>45.27</v>
      </c>
      <c r="C823" s="10">
        <v>45.52</v>
      </c>
      <c r="D823" s="10">
        <v>45.8</v>
      </c>
      <c r="E823" s="10">
        <v>46.14</v>
      </c>
      <c r="F823" s="10">
        <v>46.5</v>
      </c>
      <c r="G823" s="10">
        <v>46.84</v>
      </c>
      <c r="H823" s="10">
        <v>47.19</v>
      </c>
      <c r="I823" s="10">
        <v>47.53</v>
      </c>
      <c r="J823" s="10">
        <v>47.86</v>
      </c>
      <c r="K823" s="10">
        <v>48.18</v>
      </c>
      <c r="L823" s="10">
        <v>48.48</v>
      </c>
      <c r="M823" s="10">
        <v>48.79</v>
      </c>
      <c r="N823" s="10">
        <v>41.28</v>
      </c>
      <c r="O823" s="10">
        <v>41.51</v>
      </c>
      <c r="P823" s="10">
        <v>41.77</v>
      </c>
      <c r="Q823" s="10">
        <v>42.04</v>
      </c>
      <c r="R823" s="10">
        <v>42.33</v>
      </c>
      <c r="S823" s="10">
        <v>42.64</v>
      </c>
      <c r="T823" s="10">
        <v>42.92</v>
      </c>
      <c r="U823" s="10">
        <v>43.24</v>
      </c>
      <c r="V823" s="10">
        <v>43.56</v>
      </c>
      <c r="W823" s="10">
        <v>43.83</v>
      </c>
      <c r="X823" s="10">
        <v>44.07</v>
      </c>
      <c r="Y823" s="10">
        <v>44.31</v>
      </c>
      <c r="Z823" s="11">
        <v>45.564999999999998</v>
      </c>
      <c r="AA823" s="11">
        <v>44.613</v>
      </c>
      <c r="AB823" s="11">
        <v>44.845999999999997</v>
      </c>
      <c r="AC823" s="11">
        <v>45.116</v>
      </c>
      <c r="AD823" s="11">
        <v>45.405000000000001</v>
      </c>
      <c r="AE823" s="11">
        <v>45.692999999999998</v>
      </c>
      <c r="AF823" s="11">
        <v>45.965000000000003</v>
      </c>
      <c r="AG823" s="11">
        <v>46.104999999999997</v>
      </c>
      <c r="AH823" s="11">
        <v>46.244999999999997</v>
      </c>
      <c r="AI823" s="11">
        <v>46.406999999999996</v>
      </c>
      <c r="AJ823" s="11">
        <v>46.606000000000002</v>
      </c>
      <c r="AK823" s="11">
        <v>46.823</v>
      </c>
      <c r="AL823" s="11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</row>
    <row r="824" spans="1:147" x14ac:dyDescent="0.3">
      <c r="A824" s="9">
        <f>DATE(2020, 3, 9)</f>
        <v>43899</v>
      </c>
      <c r="B824" s="10">
        <v>34.36</v>
      </c>
      <c r="C824" s="10">
        <v>35.1</v>
      </c>
      <c r="D824" s="10">
        <v>35.78</v>
      </c>
      <c r="E824" s="10">
        <v>36.44</v>
      </c>
      <c r="F824" s="10">
        <v>37.06</v>
      </c>
      <c r="G824" s="10">
        <v>37.659999999999997</v>
      </c>
      <c r="H824" s="10">
        <v>38.26</v>
      </c>
      <c r="I824" s="10">
        <v>38.840000000000003</v>
      </c>
      <c r="J824" s="10">
        <v>39.409999999999997</v>
      </c>
      <c r="K824" s="10">
        <v>39.950000000000003</v>
      </c>
      <c r="L824" s="10">
        <v>40.5</v>
      </c>
      <c r="M824" s="10">
        <v>41.05</v>
      </c>
      <c r="N824" s="10">
        <v>31.13</v>
      </c>
      <c r="O824" s="10">
        <v>31.47</v>
      </c>
      <c r="P824" s="10">
        <v>31.94</v>
      </c>
      <c r="Q824" s="10">
        <v>32.46</v>
      </c>
      <c r="R824" s="10">
        <v>33.04</v>
      </c>
      <c r="S824" s="10">
        <v>33.659999999999997</v>
      </c>
      <c r="T824" s="10">
        <v>34.25</v>
      </c>
      <c r="U824" s="10">
        <v>34.86</v>
      </c>
      <c r="V824" s="10">
        <v>35.47</v>
      </c>
      <c r="W824" s="10">
        <v>36</v>
      </c>
      <c r="X824" s="10">
        <v>36.5</v>
      </c>
      <c r="Y824" s="10">
        <v>37</v>
      </c>
      <c r="Z824" s="11">
        <v>36.411999999999999</v>
      </c>
      <c r="AA824" s="11">
        <v>33.231999999999999</v>
      </c>
      <c r="AB824" s="11">
        <v>34.000999999999998</v>
      </c>
      <c r="AC824" s="11">
        <v>34.718000000000004</v>
      </c>
      <c r="AD824" s="11">
        <v>35.415999999999997</v>
      </c>
      <c r="AE824" s="11">
        <v>36.137</v>
      </c>
      <c r="AF824" s="11">
        <v>36.756</v>
      </c>
      <c r="AG824" s="11">
        <v>37.305999999999997</v>
      </c>
      <c r="AH824" s="11">
        <v>37.706000000000003</v>
      </c>
      <c r="AI824" s="11">
        <v>38.1</v>
      </c>
      <c r="AJ824" s="11">
        <v>38.537999999999997</v>
      </c>
      <c r="AK824" s="11">
        <v>39.015000000000001</v>
      </c>
      <c r="AL824" s="11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</row>
    <row r="825" spans="1:147" x14ac:dyDescent="0.3">
      <c r="A825" s="9">
        <f>DATE(2020, 3, 10)</f>
        <v>43900</v>
      </c>
      <c r="B825" s="10">
        <v>37.22</v>
      </c>
      <c r="C825" s="10">
        <v>38.090000000000003</v>
      </c>
      <c r="D825" s="10">
        <v>38.82</v>
      </c>
      <c r="E825" s="10">
        <v>39.479999999999997</v>
      </c>
      <c r="F825" s="10">
        <v>40.090000000000003</v>
      </c>
      <c r="G825" s="10">
        <v>40.630000000000003</v>
      </c>
      <c r="H825" s="10">
        <v>41.15</v>
      </c>
      <c r="I825" s="10">
        <v>41.63</v>
      </c>
      <c r="J825" s="10">
        <v>42.12</v>
      </c>
      <c r="K825" s="10">
        <v>42.6</v>
      </c>
      <c r="L825" s="10">
        <v>43.08</v>
      </c>
      <c r="M825" s="10">
        <v>43.55</v>
      </c>
      <c r="N825" s="10">
        <v>34.36</v>
      </c>
      <c r="O825" s="10">
        <v>34.729999999999997</v>
      </c>
      <c r="P825" s="10">
        <v>35.14</v>
      </c>
      <c r="Q825" s="10">
        <v>35.58</v>
      </c>
      <c r="R825" s="10">
        <v>36.049999999999997</v>
      </c>
      <c r="S825" s="10">
        <v>36.56</v>
      </c>
      <c r="T825" s="10">
        <v>37.049999999999997</v>
      </c>
      <c r="U825" s="10">
        <v>37.56</v>
      </c>
      <c r="V825" s="10">
        <v>38.08</v>
      </c>
      <c r="W825" s="10">
        <v>38.56</v>
      </c>
      <c r="X825" s="10">
        <v>39.020000000000003</v>
      </c>
      <c r="Y825" s="10">
        <v>39.46</v>
      </c>
      <c r="Z825" s="11">
        <v>38.432000000000002</v>
      </c>
      <c r="AA825" s="11">
        <v>36.395000000000003</v>
      </c>
      <c r="AB825" s="11">
        <v>37.161000000000001</v>
      </c>
      <c r="AC825" s="11">
        <v>37.887999999999998</v>
      </c>
      <c r="AD825" s="11">
        <v>38.533000000000001</v>
      </c>
      <c r="AE825" s="11">
        <v>39.159999999999997</v>
      </c>
      <c r="AF825" s="11">
        <v>39.771999999999998</v>
      </c>
      <c r="AG825" s="11">
        <v>40.281999999999996</v>
      </c>
      <c r="AH825" s="11">
        <v>40.633000000000003</v>
      </c>
      <c r="AI825" s="11">
        <v>40.963999999999999</v>
      </c>
      <c r="AJ825" s="11">
        <v>41.274000000000001</v>
      </c>
      <c r="AK825" s="11">
        <v>41.582000000000001</v>
      </c>
      <c r="AL825" s="11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</row>
    <row r="826" spans="1:147" x14ac:dyDescent="0.3">
      <c r="A826" s="9">
        <f>DATE(2020, 3, 11)</f>
        <v>43901</v>
      </c>
      <c r="B826" s="10">
        <v>35.79</v>
      </c>
      <c r="C826" s="10">
        <v>37.229999999999997</v>
      </c>
      <c r="D826" s="10">
        <v>38.229999999999997</v>
      </c>
      <c r="E826" s="10">
        <v>39.06</v>
      </c>
      <c r="F826" s="10">
        <v>39.78</v>
      </c>
      <c r="G826" s="10">
        <v>40.42</v>
      </c>
      <c r="H826" s="10">
        <v>41.03</v>
      </c>
      <c r="I826" s="10">
        <v>41.57</v>
      </c>
      <c r="J826" s="10">
        <v>42.08</v>
      </c>
      <c r="K826" s="10">
        <v>42.57</v>
      </c>
      <c r="L826" s="10">
        <v>43.04</v>
      </c>
      <c r="M826" s="10">
        <v>43.51</v>
      </c>
      <c r="N826" s="10">
        <v>32.979999999999997</v>
      </c>
      <c r="O826" s="10">
        <v>33.39</v>
      </c>
      <c r="P826" s="10">
        <v>33.86</v>
      </c>
      <c r="Q826" s="10">
        <v>34.39</v>
      </c>
      <c r="R826" s="10">
        <v>34.96</v>
      </c>
      <c r="S826" s="10">
        <v>35.56</v>
      </c>
      <c r="T826" s="10">
        <v>36.14</v>
      </c>
      <c r="U826" s="10">
        <v>36.729999999999997</v>
      </c>
      <c r="V826" s="10">
        <v>37.32</v>
      </c>
      <c r="W826" s="10">
        <v>37.840000000000003</v>
      </c>
      <c r="X826" s="10">
        <v>38.33</v>
      </c>
      <c r="Y826" s="10">
        <v>38.79</v>
      </c>
      <c r="Z826" s="11">
        <v>37.747999999999998</v>
      </c>
      <c r="AA826" s="11">
        <v>35.677999999999997</v>
      </c>
      <c r="AB826" s="11">
        <v>36.659999999999997</v>
      </c>
      <c r="AC826" s="11">
        <v>37.563000000000002</v>
      </c>
      <c r="AD826" s="11">
        <v>38.387999999999998</v>
      </c>
      <c r="AE826" s="11">
        <v>39.137999999999998</v>
      </c>
      <c r="AF826" s="11">
        <v>39.825000000000003</v>
      </c>
      <c r="AG826" s="11">
        <v>40.372999999999998</v>
      </c>
      <c r="AH826" s="11">
        <v>40.832999999999998</v>
      </c>
      <c r="AI826" s="11">
        <v>41.262999999999998</v>
      </c>
      <c r="AJ826" s="11">
        <v>41.613999999999997</v>
      </c>
      <c r="AK826" s="11">
        <v>41.970999999999997</v>
      </c>
      <c r="AL826" s="11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</row>
    <row r="827" spans="1:147" x14ac:dyDescent="0.3">
      <c r="A827" s="9">
        <f>DATE(2020, 3, 12)</f>
        <v>43902</v>
      </c>
      <c r="B827" s="10">
        <v>33.22</v>
      </c>
      <c r="C827" s="10">
        <v>35.200000000000003</v>
      </c>
      <c r="D827" s="10">
        <v>36.67</v>
      </c>
      <c r="E827" s="10">
        <v>37.840000000000003</v>
      </c>
      <c r="F827" s="10">
        <v>38.79</v>
      </c>
      <c r="G827" s="10">
        <v>39.54</v>
      </c>
      <c r="H827" s="10">
        <v>40.19</v>
      </c>
      <c r="I827" s="10">
        <v>40.76</v>
      </c>
      <c r="J827" s="10">
        <v>41.3</v>
      </c>
      <c r="K827" s="10">
        <v>41.8</v>
      </c>
      <c r="L827" s="10">
        <v>42.29</v>
      </c>
      <c r="M827" s="10">
        <v>42.76</v>
      </c>
      <c r="N827" s="10">
        <v>31.5</v>
      </c>
      <c r="O827" s="10">
        <v>31.98</v>
      </c>
      <c r="P827" s="10">
        <v>32.51</v>
      </c>
      <c r="Q827" s="10">
        <v>33.11</v>
      </c>
      <c r="R827" s="10">
        <v>33.75</v>
      </c>
      <c r="S827" s="10">
        <v>34.43</v>
      </c>
      <c r="T827" s="10">
        <v>35.1</v>
      </c>
      <c r="U827" s="10">
        <v>35.799999999999997</v>
      </c>
      <c r="V827" s="10">
        <v>36.47</v>
      </c>
      <c r="W827" s="10">
        <v>37.06</v>
      </c>
      <c r="X827" s="10">
        <v>37.57</v>
      </c>
      <c r="Y827" s="10">
        <v>38.01</v>
      </c>
      <c r="Z827" s="11">
        <v>36.517000000000003</v>
      </c>
      <c r="AA827" s="11">
        <v>33.75</v>
      </c>
      <c r="AB827" s="11">
        <v>35.076000000000001</v>
      </c>
      <c r="AC827" s="11">
        <v>36.383000000000003</v>
      </c>
      <c r="AD827" s="11">
        <v>37.482999999999997</v>
      </c>
      <c r="AE827" s="11">
        <v>38.392000000000003</v>
      </c>
      <c r="AF827" s="11">
        <v>39.055999999999997</v>
      </c>
      <c r="AG827" s="11">
        <v>39.585000000000001</v>
      </c>
      <c r="AH827" s="11">
        <v>40.084000000000003</v>
      </c>
      <c r="AI827" s="11">
        <v>40.494999999999997</v>
      </c>
      <c r="AJ827" s="11">
        <v>40.914000000000001</v>
      </c>
      <c r="AK827" s="11">
        <v>41.271999999999998</v>
      </c>
      <c r="AL827" s="11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</row>
    <row r="828" spans="1:147" x14ac:dyDescent="0.3">
      <c r="A828" s="9">
        <f>DATE(2020, 3, 13)</f>
        <v>43903</v>
      </c>
      <c r="B828" s="10">
        <v>33.85</v>
      </c>
      <c r="C828" s="10">
        <v>35.44</v>
      </c>
      <c r="D828" s="10">
        <v>36.770000000000003</v>
      </c>
      <c r="E828" s="10">
        <v>37.85</v>
      </c>
      <c r="F828" s="10">
        <v>38.71</v>
      </c>
      <c r="G828" s="10">
        <v>39.380000000000003</v>
      </c>
      <c r="H828" s="10">
        <v>39.97</v>
      </c>
      <c r="I828" s="10">
        <v>40.479999999999997</v>
      </c>
      <c r="J828" s="10">
        <v>40.96</v>
      </c>
      <c r="K828" s="10">
        <v>41.42</v>
      </c>
      <c r="L828" s="10">
        <v>41.85</v>
      </c>
      <c r="M828" s="10">
        <v>42.27</v>
      </c>
      <c r="N828" s="10">
        <v>31.73</v>
      </c>
      <c r="O828" s="10">
        <v>32.11</v>
      </c>
      <c r="P828" s="10">
        <v>32.590000000000003</v>
      </c>
      <c r="Q828" s="10">
        <v>33.15</v>
      </c>
      <c r="R828" s="10">
        <v>33.74</v>
      </c>
      <c r="S828" s="10">
        <v>34.36</v>
      </c>
      <c r="T828" s="10">
        <v>34.96</v>
      </c>
      <c r="U828" s="10">
        <v>35.58</v>
      </c>
      <c r="V828" s="10">
        <v>36.17</v>
      </c>
      <c r="W828" s="10">
        <v>36.67</v>
      </c>
      <c r="X828" s="10">
        <v>37.1</v>
      </c>
      <c r="Y828" s="10">
        <v>37.47</v>
      </c>
      <c r="Z828" s="11">
        <v>37.265000000000001</v>
      </c>
      <c r="AA828" s="11">
        <v>34.463000000000001</v>
      </c>
      <c r="AB828" s="11">
        <v>35.670999999999999</v>
      </c>
      <c r="AC828" s="11">
        <v>36.838999999999999</v>
      </c>
      <c r="AD828" s="11">
        <v>37.619</v>
      </c>
      <c r="AE828" s="11">
        <v>38.335999999999999</v>
      </c>
      <c r="AF828" s="11">
        <v>38.902999999999999</v>
      </c>
      <c r="AG828" s="11">
        <v>39.381999999999998</v>
      </c>
      <c r="AH828" s="11">
        <v>39.841999999999999</v>
      </c>
      <c r="AI828" s="11">
        <v>40.209000000000003</v>
      </c>
      <c r="AJ828" s="11">
        <v>40.530999999999999</v>
      </c>
      <c r="AK828" s="11">
        <v>40.85</v>
      </c>
      <c r="AL828" s="11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</row>
    <row r="829" spans="1:147" x14ac:dyDescent="0.3">
      <c r="A829" s="9">
        <f>DATE(2020, 3, 16)</f>
        <v>43906</v>
      </c>
      <c r="B829" s="10">
        <v>30.05</v>
      </c>
      <c r="C829" s="10">
        <v>31.69</v>
      </c>
      <c r="D829" s="10">
        <v>33.159999999999997</v>
      </c>
      <c r="E829" s="10">
        <v>34.4</v>
      </c>
      <c r="F829" s="10">
        <v>35.42</v>
      </c>
      <c r="G829" s="10">
        <v>36.200000000000003</v>
      </c>
      <c r="H829" s="10">
        <v>36.909999999999997</v>
      </c>
      <c r="I829" s="10">
        <v>37.549999999999997</v>
      </c>
      <c r="J829" s="10">
        <v>38.14</v>
      </c>
      <c r="K829" s="10">
        <v>38.69</v>
      </c>
      <c r="L829" s="10">
        <v>39.21</v>
      </c>
      <c r="M829" s="10">
        <v>39.700000000000003</v>
      </c>
      <c r="N829" s="10">
        <v>28.7</v>
      </c>
      <c r="O829" s="10">
        <v>29</v>
      </c>
      <c r="P829" s="10">
        <v>29.55</v>
      </c>
      <c r="Q829" s="10">
        <v>30.22</v>
      </c>
      <c r="R829" s="10">
        <v>30.9</v>
      </c>
      <c r="S829" s="10">
        <v>31.6</v>
      </c>
      <c r="T829" s="10">
        <v>32.28</v>
      </c>
      <c r="U829" s="10">
        <v>32.950000000000003</v>
      </c>
      <c r="V829" s="10">
        <v>33.590000000000003</v>
      </c>
      <c r="W829" s="10">
        <v>34.14</v>
      </c>
      <c r="X829" s="10">
        <v>34.619999999999997</v>
      </c>
      <c r="Y829" s="10">
        <v>35.03</v>
      </c>
      <c r="Z829" s="11">
        <v>35.640999999999998</v>
      </c>
      <c r="AA829" s="11">
        <v>31.51</v>
      </c>
      <c r="AB829" s="11">
        <v>32.829000000000001</v>
      </c>
      <c r="AC829" s="11">
        <v>34.026000000000003</v>
      </c>
      <c r="AD829" s="11">
        <v>34.834000000000003</v>
      </c>
      <c r="AE829" s="11">
        <v>35.527999999999999</v>
      </c>
      <c r="AF829" s="11">
        <v>36.158999999999999</v>
      </c>
      <c r="AG829" s="11">
        <v>36.716999999999999</v>
      </c>
      <c r="AH829" s="11">
        <v>37.246000000000002</v>
      </c>
      <c r="AI829" s="11">
        <v>37.686999999999998</v>
      </c>
      <c r="AJ829" s="11">
        <v>38.094999999999999</v>
      </c>
      <c r="AK829" s="11">
        <v>38.482999999999997</v>
      </c>
      <c r="AL829" s="11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</row>
    <row r="830" spans="1:147" x14ac:dyDescent="0.3">
      <c r="A830" s="9">
        <f>DATE(2020, 3, 17)</f>
        <v>43907</v>
      </c>
      <c r="B830" s="10">
        <v>28.73</v>
      </c>
      <c r="C830" s="10">
        <v>30.41</v>
      </c>
      <c r="D830" s="10">
        <v>31.93</v>
      </c>
      <c r="E830" s="10">
        <v>33.25</v>
      </c>
      <c r="F830" s="10">
        <v>34.369999999999997</v>
      </c>
      <c r="G830" s="10">
        <v>35.24</v>
      </c>
      <c r="H830" s="10">
        <v>36.01</v>
      </c>
      <c r="I830" s="10">
        <v>36.69</v>
      </c>
      <c r="J830" s="10">
        <v>37.299999999999997</v>
      </c>
      <c r="K830" s="10">
        <v>37.869999999999997</v>
      </c>
      <c r="L830" s="10">
        <v>38.409999999999997</v>
      </c>
      <c r="M830" s="10">
        <v>38.92</v>
      </c>
      <c r="N830" s="10">
        <v>26.95</v>
      </c>
      <c r="O830" s="10">
        <v>27.33</v>
      </c>
      <c r="P830" s="10">
        <v>28.05</v>
      </c>
      <c r="Q830" s="10">
        <v>28.96</v>
      </c>
      <c r="R830" s="10">
        <v>29.86</v>
      </c>
      <c r="S830" s="10">
        <v>30.71</v>
      </c>
      <c r="T830" s="10">
        <v>31.49</v>
      </c>
      <c r="U830" s="10">
        <v>32.25</v>
      </c>
      <c r="V830" s="10">
        <v>32.93</v>
      </c>
      <c r="W830" s="10">
        <v>33.520000000000003</v>
      </c>
      <c r="X830" s="10">
        <v>34.049999999999997</v>
      </c>
      <c r="Y830" s="10">
        <v>34.53</v>
      </c>
      <c r="Z830" s="11">
        <v>35.277000000000001</v>
      </c>
      <c r="AA830" s="11">
        <v>30.762</v>
      </c>
      <c r="AB830" s="11">
        <v>32.033000000000001</v>
      </c>
      <c r="AC830" s="11">
        <v>33.201000000000001</v>
      </c>
      <c r="AD830" s="11">
        <v>34.078000000000003</v>
      </c>
      <c r="AE830" s="11">
        <v>34.863</v>
      </c>
      <c r="AF830" s="11">
        <v>35.511000000000003</v>
      </c>
      <c r="AG830" s="11">
        <v>36.118000000000002</v>
      </c>
      <c r="AH830" s="11">
        <v>36.576999999999998</v>
      </c>
      <c r="AI830" s="11">
        <v>36.988999999999997</v>
      </c>
      <c r="AJ830" s="11">
        <v>37.415999999999997</v>
      </c>
      <c r="AK830" s="11">
        <v>37.814</v>
      </c>
      <c r="AL830" s="11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</row>
    <row r="831" spans="1:147" x14ac:dyDescent="0.3">
      <c r="A831" s="9">
        <f>DATE(2020, 3, 18)</f>
        <v>43908</v>
      </c>
      <c r="B831" s="10">
        <v>24.88</v>
      </c>
      <c r="C831" s="10">
        <v>26.69</v>
      </c>
      <c r="D831" s="10">
        <v>28.31</v>
      </c>
      <c r="E831" s="10">
        <v>29.7</v>
      </c>
      <c r="F831" s="10">
        <v>30.89</v>
      </c>
      <c r="G831" s="10">
        <v>31.84</v>
      </c>
      <c r="H831" s="10">
        <v>32.68</v>
      </c>
      <c r="I831" s="10">
        <v>33.4</v>
      </c>
      <c r="J831" s="10">
        <v>34.04</v>
      </c>
      <c r="K831" s="10">
        <v>34.630000000000003</v>
      </c>
      <c r="L831" s="10">
        <v>35.19</v>
      </c>
      <c r="M831" s="10">
        <v>35.71</v>
      </c>
      <c r="N831" s="10">
        <v>20.37</v>
      </c>
      <c r="O831" s="10">
        <v>20.83</v>
      </c>
      <c r="P831" s="10">
        <v>21.93</v>
      </c>
      <c r="Q831" s="10">
        <v>23.22</v>
      </c>
      <c r="R831" s="10">
        <v>24.44</v>
      </c>
      <c r="S831" s="10">
        <v>25.57</v>
      </c>
      <c r="T831" s="10">
        <v>26.56</v>
      </c>
      <c r="U831" s="10">
        <v>27.46</v>
      </c>
      <c r="V831" s="10">
        <v>28.27</v>
      </c>
      <c r="W831" s="10">
        <v>28.96</v>
      </c>
      <c r="X831" s="10">
        <v>29.59</v>
      </c>
      <c r="Y831" s="10">
        <v>30.17</v>
      </c>
      <c r="Z831" s="11">
        <v>33.584000000000003</v>
      </c>
      <c r="AA831" s="11">
        <v>27.187000000000001</v>
      </c>
      <c r="AB831" s="11">
        <v>28.565999999999999</v>
      </c>
      <c r="AC831" s="11">
        <v>29.963999999999999</v>
      </c>
      <c r="AD831" s="11">
        <v>31.030999999999999</v>
      </c>
      <c r="AE831" s="11">
        <v>31.9</v>
      </c>
      <c r="AF831" s="11">
        <v>32.512999999999998</v>
      </c>
      <c r="AG831" s="11">
        <v>33.088999999999999</v>
      </c>
      <c r="AH831" s="11">
        <v>33.658000000000001</v>
      </c>
      <c r="AI831" s="11">
        <v>34.201000000000001</v>
      </c>
      <c r="AJ831" s="11">
        <v>34.665999999999997</v>
      </c>
      <c r="AK831" s="11">
        <v>35.033999999999999</v>
      </c>
      <c r="AL831" s="11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</row>
    <row r="832" spans="1:147" x14ac:dyDescent="0.3">
      <c r="A832" s="9">
        <f>DATE(2020, 3, 19)</f>
        <v>43909</v>
      </c>
      <c r="B832" s="10">
        <v>28.47</v>
      </c>
      <c r="C832" s="10">
        <v>30.3</v>
      </c>
      <c r="D832" s="10">
        <v>31.81</v>
      </c>
      <c r="E832" s="10">
        <v>33.1</v>
      </c>
      <c r="F832" s="10">
        <v>34.200000000000003</v>
      </c>
      <c r="G832" s="10">
        <v>35.020000000000003</v>
      </c>
      <c r="H832" s="10">
        <v>35.71</v>
      </c>
      <c r="I832" s="10">
        <v>36.299999999999997</v>
      </c>
      <c r="J832" s="10">
        <v>36.840000000000003</v>
      </c>
      <c r="K832" s="10">
        <v>37.31</v>
      </c>
      <c r="L832" s="10">
        <v>37.76</v>
      </c>
      <c r="M832" s="10">
        <v>38.15</v>
      </c>
      <c r="N832" s="10">
        <v>25.22</v>
      </c>
      <c r="O832" s="10">
        <v>25.91</v>
      </c>
      <c r="P832" s="10">
        <v>26.79</v>
      </c>
      <c r="Q832" s="10">
        <v>27.96</v>
      </c>
      <c r="R832" s="10">
        <v>29.01</v>
      </c>
      <c r="S832" s="10">
        <v>29.9</v>
      </c>
      <c r="T832" s="10">
        <v>30.65</v>
      </c>
      <c r="U832" s="10">
        <v>31.33</v>
      </c>
      <c r="V832" s="10">
        <v>31.92</v>
      </c>
      <c r="W832" s="10">
        <v>32.42</v>
      </c>
      <c r="X832" s="10">
        <v>32.89</v>
      </c>
      <c r="Y832" s="10">
        <v>33.32</v>
      </c>
      <c r="Z832" s="11">
        <v>34.406999999999996</v>
      </c>
      <c r="AA832" s="11">
        <v>30.132000000000001</v>
      </c>
      <c r="AB832" s="11">
        <v>31.800999999999998</v>
      </c>
      <c r="AC832" s="11">
        <v>33.43</v>
      </c>
      <c r="AD832" s="11">
        <v>34.695999999999998</v>
      </c>
      <c r="AE832" s="11">
        <v>35.566000000000003</v>
      </c>
      <c r="AF832" s="11">
        <v>35.966999999999999</v>
      </c>
      <c r="AG832" s="11">
        <v>36.255000000000003</v>
      </c>
      <c r="AH832" s="11">
        <v>36.811999999999998</v>
      </c>
      <c r="AI832" s="11">
        <v>37.420999999999999</v>
      </c>
      <c r="AJ832" s="11">
        <v>37.64</v>
      </c>
      <c r="AK832" s="11">
        <v>37.786999999999999</v>
      </c>
      <c r="AL832" s="11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</row>
    <row r="833" spans="1:147" x14ac:dyDescent="0.3">
      <c r="A833" s="9">
        <f>DATE(2020, 3, 20)</f>
        <v>43910</v>
      </c>
      <c r="B833" s="10">
        <v>26.98</v>
      </c>
      <c r="C833" s="10">
        <v>29</v>
      </c>
      <c r="D833" s="10">
        <v>30.63</v>
      </c>
      <c r="E833" s="10">
        <v>31.98</v>
      </c>
      <c r="F833" s="10">
        <v>33.08</v>
      </c>
      <c r="G833" s="10">
        <v>33.869999999999997</v>
      </c>
      <c r="H833" s="10">
        <v>34.53</v>
      </c>
      <c r="I833" s="10">
        <v>35.090000000000003</v>
      </c>
      <c r="J833" s="10">
        <v>35.57</v>
      </c>
      <c r="K833" s="10">
        <v>36</v>
      </c>
      <c r="L833" s="10">
        <v>36.43</v>
      </c>
      <c r="M833" s="10">
        <v>36.81</v>
      </c>
      <c r="N833" s="10">
        <v>22.43</v>
      </c>
      <c r="O833" s="10">
        <v>22.63</v>
      </c>
      <c r="P833" s="10">
        <v>24.36</v>
      </c>
      <c r="Q833" s="10">
        <v>25.93</v>
      </c>
      <c r="R833" s="10">
        <v>27.1</v>
      </c>
      <c r="S833" s="10">
        <v>28.02</v>
      </c>
      <c r="T833" s="10">
        <v>28.8</v>
      </c>
      <c r="U833" s="10">
        <v>29.52</v>
      </c>
      <c r="V833" s="10">
        <v>30.16</v>
      </c>
      <c r="W833" s="10">
        <v>30.7</v>
      </c>
      <c r="X833" s="10">
        <v>31.19</v>
      </c>
      <c r="Y833" s="10">
        <v>31.65</v>
      </c>
      <c r="Z833" s="11">
        <v>33.905000000000001</v>
      </c>
      <c r="AA833" s="11">
        <v>28.628</v>
      </c>
      <c r="AB833" s="11">
        <v>30.474</v>
      </c>
      <c r="AC833" s="11">
        <v>32.21</v>
      </c>
      <c r="AD833" s="11">
        <v>33.344000000000001</v>
      </c>
      <c r="AE833" s="11">
        <v>34.122999999999998</v>
      </c>
      <c r="AF833" s="11">
        <v>34.704999999999998</v>
      </c>
      <c r="AG833" s="11">
        <v>35.161999999999999</v>
      </c>
      <c r="AH833" s="11">
        <v>35.53</v>
      </c>
      <c r="AI833" s="11">
        <v>35.838999999999999</v>
      </c>
      <c r="AJ833" s="11">
        <v>36.139000000000003</v>
      </c>
      <c r="AK833" s="11">
        <v>36.396999999999998</v>
      </c>
      <c r="AL833" s="11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</row>
    <row r="834" spans="1:147" x14ac:dyDescent="0.3">
      <c r="A834" s="9">
        <f>DATE(2020, 3, 23)</f>
        <v>43913</v>
      </c>
      <c r="B834" s="10">
        <v>27.03</v>
      </c>
      <c r="C834" s="10">
        <v>29.29</v>
      </c>
      <c r="D834" s="10">
        <v>31.21</v>
      </c>
      <c r="E834" s="10">
        <v>32.75</v>
      </c>
      <c r="F834" s="10">
        <v>33.97</v>
      </c>
      <c r="G834" s="10">
        <v>34.83</v>
      </c>
      <c r="H834" s="10">
        <v>35.5</v>
      </c>
      <c r="I834" s="10">
        <v>36.06</v>
      </c>
      <c r="J834" s="10">
        <v>36.53</v>
      </c>
      <c r="K834" s="10">
        <v>36.96</v>
      </c>
      <c r="L834" s="10">
        <v>37.380000000000003</v>
      </c>
      <c r="M834" s="10">
        <v>37.770000000000003</v>
      </c>
      <c r="N834" s="10">
        <v>23.36</v>
      </c>
      <c r="O834" s="10">
        <v>25.48</v>
      </c>
      <c r="P834" s="10">
        <v>27.23</v>
      </c>
      <c r="Q834" s="10">
        <v>28.44</v>
      </c>
      <c r="R834" s="10">
        <v>29.39</v>
      </c>
      <c r="S834" s="10">
        <v>30.17</v>
      </c>
      <c r="T834" s="10">
        <v>30.88</v>
      </c>
      <c r="U834" s="10">
        <v>31.5</v>
      </c>
      <c r="V834" s="10">
        <v>32.020000000000003</v>
      </c>
      <c r="W834" s="10">
        <v>32.49</v>
      </c>
      <c r="X834" s="10">
        <v>32.93</v>
      </c>
      <c r="Y834" s="10">
        <v>33.33</v>
      </c>
      <c r="Z834" s="11">
        <v>33.771000000000001</v>
      </c>
      <c r="AA834" s="11">
        <v>28.631</v>
      </c>
      <c r="AB834" s="11">
        <v>30.632999999999999</v>
      </c>
      <c r="AC834" s="11">
        <v>32.645000000000003</v>
      </c>
      <c r="AD834" s="11">
        <v>34.186999999999998</v>
      </c>
      <c r="AE834" s="11">
        <v>35.204000000000001</v>
      </c>
      <c r="AF834" s="11">
        <v>35.734999999999999</v>
      </c>
      <c r="AG834" s="11">
        <v>36.151000000000003</v>
      </c>
      <c r="AH834" s="11">
        <v>36.61</v>
      </c>
      <c r="AI834" s="11">
        <v>36.838000000000001</v>
      </c>
      <c r="AJ834" s="11">
        <v>36.950000000000003</v>
      </c>
      <c r="AK834" s="11">
        <v>37.139000000000003</v>
      </c>
      <c r="AL834" s="11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</row>
    <row r="835" spans="1:147" x14ac:dyDescent="0.3">
      <c r="A835" s="9">
        <f>DATE(2020, 3, 24)</f>
        <v>43914</v>
      </c>
      <c r="B835" s="10">
        <v>27.15</v>
      </c>
      <c r="C835" s="10">
        <v>29.74</v>
      </c>
      <c r="D835" s="10">
        <v>31.94</v>
      </c>
      <c r="E835" s="10">
        <v>33.630000000000003</v>
      </c>
      <c r="F835" s="10">
        <v>34.869999999999997</v>
      </c>
      <c r="G835" s="10">
        <v>35.72</v>
      </c>
      <c r="H835" s="10">
        <v>36.369999999999997</v>
      </c>
      <c r="I835" s="10">
        <v>36.909999999999997</v>
      </c>
      <c r="J835" s="10">
        <v>37.35</v>
      </c>
      <c r="K835" s="10">
        <v>37.76</v>
      </c>
      <c r="L835" s="10">
        <v>38.18</v>
      </c>
      <c r="M835" s="10">
        <v>38.56</v>
      </c>
      <c r="N835" s="10">
        <v>24.01</v>
      </c>
      <c r="O835" s="10">
        <v>26.2</v>
      </c>
      <c r="P835" s="10">
        <v>28.05</v>
      </c>
      <c r="Q835" s="10">
        <v>29.3</v>
      </c>
      <c r="R835" s="10">
        <v>30.2</v>
      </c>
      <c r="S835" s="10">
        <v>30.94</v>
      </c>
      <c r="T835" s="10">
        <v>31.62</v>
      </c>
      <c r="U835" s="10">
        <v>32.21</v>
      </c>
      <c r="V835" s="10">
        <v>32.700000000000003</v>
      </c>
      <c r="W835" s="10">
        <v>33.14</v>
      </c>
      <c r="X835" s="10">
        <v>33.549999999999997</v>
      </c>
      <c r="Y835" s="10">
        <v>33.94</v>
      </c>
      <c r="Z835" s="11">
        <v>34.026000000000003</v>
      </c>
      <c r="AA835" s="11">
        <v>29.215</v>
      </c>
      <c r="AB835" s="11">
        <v>31.5</v>
      </c>
      <c r="AC835" s="11">
        <v>33.636000000000003</v>
      </c>
      <c r="AD835" s="11">
        <v>35.237000000000002</v>
      </c>
      <c r="AE835" s="11">
        <v>36.292000000000002</v>
      </c>
      <c r="AF835" s="11">
        <v>36.884999999999998</v>
      </c>
      <c r="AG835" s="11">
        <v>37.17</v>
      </c>
      <c r="AH835" s="11">
        <v>37.39</v>
      </c>
      <c r="AI835" s="11">
        <v>37.597999999999999</v>
      </c>
      <c r="AJ835" s="11">
        <v>37.848999999999997</v>
      </c>
      <c r="AK835" s="11">
        <v>37.997999999999998</v>
      </c>
      <c r="AL835" s="11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</row>
    <row r="836" spans="1:147" x14ac:dyDescent="0.3">
      <c r="A836" s="9">
        <f>DATE(2020, 3, 25)</f>
        <v>43915</v>
      </c>
      <c r="B836" s="10">
        <v>27.39</v>
      </c>
      <c r="C836" s="10">
        <v>29.99</v>
      </c>
      <c r="D836" s="10">
        <v>32.56</v>
      </c>
      <c r="E836" s="10">
        <v>34.49</v>
      </c>
      <c r="F836" s="10">
        <v>35.840000000000003</v>
      </c>
      <c r="G836" s="10">
        <v>36.75</v>
      </c>
      <c r="H836" s="10">
        <v>37.44</v>
      </c>
      <c r="I836" s="10">
        <v>38</v>
      </c>
      <c r="J836" s="10">
        <v>38.450000000000003</v>
      </c>
      <c r="K836" s="10">
        <v>38.86</v>
      </c>
      <c r="L836" s="10">
        <v>39.28</v>
      </c>
      <c r="M836" s="10">
        <v>39.64</v>
      </c>
      <c r="N836" s="10">
        <v>24.49</v>
      </c>
      <c r="O836" s="10">
        <v>27.16</v>
      </c>
      <c r="P836" s="10">
        <v>29.19</v>
      </c>
      <c r="Q836" s="10">
        <v>30.46</v>
      </c>
      <c r="R836" s="10">
        <v>31.4</v>
      </c>
      <c r="S836" s="10">
        <v>32.14</v>
      </c>
      <c r="T836" s="10">
        <v>32.83</v>
      </c>
      <c r="U836" s="10">
        <v>33.43</v>
      </c>
      <c r="V836" s="10">
        <v>33.92</v>
      </c>
      <c r="W836" s="10">
        <v>34.340000000000003</v>
      </c>
      <c r="X836" s="10">
        <v>34.75</v>
      </c>
      <c r="Y836" s="10">
        <v>35.14</v>
      </c>
      <c r="Z836" s="11">
        <v>34.183999999999997</v>
      </c>
      <c r="AA836" s="11">
        <v>29.312000000000001</v>
      </c>
      <c r="AB836" s="11">
        <v>32.031999999999996</v>
      </c>
      <c r="AC836" s="11">
        <v>34.241</v>
      </c>
      <c r="AD836" s="11">
        <v>36.090000000000003</v>
      </c>
      <c r="AE836" s="11">
        <v>37.386000000000003</v>
      </c>
      <c r="AF836" s="11">
        <v>38.094999999999999</v>
      </c>
      <c r="AG836" s="11">
        <v>38.47</v>
      </c>
      <c r="AH836" s="11">
        <v>38.729999999999997</v>
      </c>
      <c r="AI836" s="11">
        <v>38.938000000000002</v>
      </c>
      <c r="AJ836" s="11">
        <v>39.198</v>
      </c>
      <c r="AK836" s="11">
        <v>39.398000000000003</v>
      </c>
      <c r="AL836" s="11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</row>
    <row r="837" spans="1:147" x14ac:dyDescent="0.3">
      <c r="A837" s="9">
        <f>DATE(2020, 3, 26)</f>
        <v>43916</v>
      </c>
      <c r="B837" s="10">
        <v>26.34</v>
      </c>
      <c r="C837" s="10">
        <v>28.65</v>
      </c>
      <c r="D837" s="10">
        <v>31.29</v>
      </c>
      <c r="E837" s="10">
        <v>33.369999999999997</v>
      </c>
      <c r="F837" s="10">
        <v>34.79</v>
      </c>
      <c r="G837" s="10">
        <v>35.75</v>
      </c>
      <c r="H837" s="10">
        <v>36.44</v>
      </c>
      <c r="I837" s="10">
        <v>36.99</v>
      </c>
      <c r="J837" s="10">
        <v>37.44</v>
      </c>
      <c r="K837" s="10">
        <v>37.86</v>
      </c>
      <c r="L837" s="10">
        <v>38.29</v>
      </c>
      <c r="M837" s="10">
        <v>38.64</v>
      </c>
      <c r="N837" s="10">
        <v>22.6</v>
      </c>
      <c r="O837" s="10">
        <v>25.71</v>
      </c>
      <c r="P837" s="10">
        <v>28.27</v>
      </c>
      <c r="Q837" s="10">
        <v>29.85</v>
      </c>
      <c r="R837" s="10">
        <v>30.87</v>
      </c>
      <c r="S837" s="10">
        <v>31.62</v>
      </c>
      <c r="T837" s="10">
        <v>32.26</v>
      </c>
      <c r="U837" s="10">
        <v>32.79</v>
      </c>
      <c r="V837" s="10">
        <v>33.229999999999997</v>
      </c>
      <c r="W837" s="10">
        <v>33.64</v>
      </c>
      <c r="X837" s="10">
        <v>34.04</v>
      </c>
      <c r="Y837" s="10">
        <v>34.42</v>
      </c>
      <c r="Z837" s="11">
        <v>33.927</v>
      </c>
      <c r="AA837" s="11">
        <v>28.126000000000001</v>
      </c>
      <c r="AB837" s="11">
        <v>30.838999999999999</v>
      </c>
      <c r="AC837" s="11">
        <v>32.984999999999999</v>
      </c>
      <c r="AD837" s="11">
        <v>34.682000000000002</v>
      </c>
      <c r="AE837" s="11">
        <v>35.845999999999997</v>
      </c>
      <c r="AF837" s="11">
        <v>36.585000000000001</v>
      </c>
      <c r="AG837" s="11">
        <v>37</v>
      </c>
      <c r="AH837" s="11">
        <v>37.26</v>
      </c>
      <c r="AI837" s="11">
        <v>37.499000000000002</v>
      </c>
      <c r="AJ837" s="11">
        <v>37.738</v>
      </c>
      <c r="AK837" s="11">
        <v>38.027999999999999</v>
      </c>
      <c r="AL837" s="11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</row>
    <row r="838" spans="1:147" x14ac:dyDescent="0.3">
      <c r="A838" s="9">
        <f>DATE(2020, 3, 27)</f>
        <v>43917</v>
      </c>
      <c r="B838" s="10">
        <v>24.93</v>
      </c>
      <c r="C838" s="10">
        <v>27.95</v>
      </c>
      <c r="D838" s="10">
        <v>30.91</v>
      </c>
      <c r="E838" s="10">
        <v>33.29</v>
      </c>
      <c r="F838" s="10">
        <v>34.909999999999997</v>
      </c>
      <c r="G838" s="10">
        <v>36.03</v>
      </c>
      <c r="H838" s="10">
        <v>36.799999999999997</v>
      </c>
      <c r="I838" s="10">
        <v>37.409999999999997</v>
      </c>
      <c r="J838" s="10">
        <v>37.880000000000003</v>
      </c>
      <c r="K838" s="10">
        <v>38.31</v>
      </c>
      <c r="L838" s="10">
        <v>38.76</v>
      </c>
      <c r="M838" s="10">
        <v>39.119999999999997</v>
      </c>
      <c r="N838" s="10">
        <v>21.51</v>
      </c>
      <c r="O838" s="10">
        <v>25.15</v>
      </c>
      <c r="P838" s="10">
        <v>28.13</v>
      </c>
      <c r="Q838" s="10">
        <v>30.05</v>
      </c>
      <c r="R838" s="10">
        <v>31.3</v>
      </c>
      <c r="S838" s="10">
        <v>32.14</v>
      </c>
      <c r="T838" s="10">
        <v>32.85</v>
      </c>
      <c r="U838" s="10">
        <v>33.450000000000003</v>
      </c>
      <c r="V838" s="10">
        <v>33.94</v>
      </c>
      <c r="W838" s="10">
        <v>34.380000000000003</v>
      </c>
      <c r="X838" s="10">
        <v>34.799999999999997</v>
      </c>
      <c r="Y838" s="10">
        <v>35.19</v>
      </c>
      <c r="Z838" s="11">
        <v>33.847999999999999</v>
      </c>
      <c r="AA838" s="11">
        <v>27.471</v>
      </c>
      <c r="AB838" s="11">
        <v>30.343</v>
      </c>
      <c r="AC838" s="11">
        <v>32.584000000000003</v>
      </c>
      <c r="AD838" s="11">
        <v>34.319000000000003</v>
      </c>
      <c r="AE838" s="11">
        <v>35.493000000000002</v>
      </c>
      <c r="AF838" s="11">
        <v>36.268000000000001</v>
      </c>
      <c r="AG838" s="11">
        <v>36.750999999999998</v>
      </c>
      <c r="AH838" s="11">
        <v>37.08</v>
      </c>
      <c r="AI838" s="11">
        <v>37.381</v>
      </c>
      <c r="AJ838" s="11">
        <v>37.667999999999999</v>
      </c>
      <c r="AK838" s="11">
        <v>37.987000000000002</v>
      </c>
      <c r="AL838" s="11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</row>
    <row r="839" spans="1:147" x14ac:dyDescent="0.3">
      <c r="A839" s="9">
        <f>DATE(2020, 3, 30)</f>
        <v>43920</v>
      </c>
      <c r="B839" s="10">
        <v>22.76</v>
      </c>
      <c r="C839" s="10">
        <v>26.42</v>
      </c>
      <c r="D839" s="10">
        <v>29.78</v>
      </c>
      <c r="E839" s="10">
        <v>32.409999999999997</v>
      </c>
      <c r="F839" s="10">
        <v>34.380000000000003</v>
      </c>
      <c r="G839" s="10">
        <v>35.770000000000003</v>
      </c>
      <c r="H839" s="10">
        <v>36.71</v>
      </c>
      <c r="I839" s="10">
        <v>37.4</v>
      </c>
      <c r="J839" s="10">
        <v>37.93</v>
      </c>
      <c r="K839" s="10">
        <v>38.4</v>
      </c>
      <c r="L839" s="10">
        <v>38.85</v>
      </c>
      <c r="M839" s="10">
        <v>39.22</v>
      </c>
      <c r="N839" s="10">
        <v>20.09</v>
      </c>
      <c r="O839" s="10">
        <v>24.09</v>
      </c>
      <c r="P839" s="10">
        <v>27.4</v>
      </c>
      <c r="Q839" s="10">
        <v>29.56</v>
      </c>
      <c r="R839" s="10">
        <v>31</v>
      </c>
      <c r="S839" s="10">
        <v>32.03</v>
      </c>
      <c r="T839" s="10">
        <v>32.9</v>
      </c>
      <c r="U839" s="10">
        <v>33.58</v>
      </c>
      <c r="V839" s="10">
        <v>34.14</v>
      </c>
      <c r="W839" s="10">
        <v>34.61</v>
      </c>
      <c r="X839" s="10">
        <v>35.03</v>
      </c>
      <c r="Y839" s="10">
        <v>35.409999999999997</v>
      </c>
      <c r="Z839" s="11">
        <v>33.694000000000003</v>
      </c>
      <c r="AA839" s="11">
        <v>26.24</v>
      </c>
      <c r="AB839" s="11">
        <v>29.225000000000001</v>
      </c>
      <c r="AC839" s="11">
        <v>31.7</v>
      </c>
      <c r="AD839" s="11">
        <v>33.619999999999997</v>
      </c>
      <c r="AE839" s="11">
        <v>35.08</v>
      </c>
      <c r="AF839" s="11">
        <v>35.941000000000003</v>
      </c>
      <c r="AG839" s="11">
        <v>36.573999999999998</v>
      </c>
      <c r="AH839" s="11">
        <v>37.021999999999998</v>
      </c>
      <c r="AI839" s="11">
        <v>37.451000000000001</v>
      </c>
      <c r="AJ839" s="11">
        <v>37.738999999999997</v>
      </c>
      <c r="AK839" s="11">
        <v>38.067999999999998</v>
      </c>
      <c r="AL839" s="11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</row>
    <row r="840" spans="1:147" x14ac:dyDescent="0.3">
      <c r="A840" s="9">
        <f>DATE(2020, 3, 31)</f>
        <v>43921</v>
      </c>
      <c r="B840" s="10">
        <v>22.74</v>
      </c>
      <c r="C840" s="10">
        <v>26.35</v>
      </c>
      <c r="D840" s="10">
        <v>29.66</v>
      </c>
      <c r="E840" s="10">
        <v>32.24</v>
      </c>
      <c r="F840" s="10">
        <v>34.130000000000003</v>
      </c>
      <c r="G840" s="10">
        <v>35.49</v>
      </c>
      <c r="H840" s="10">
        <v>36.4</v>
      </c>
      <c r="I840" s="10">
        <v>37.07</v>
      </c>
      <c r="J840" s="10">
        <v>37.58</v>
      </c>
      <c r="K840" s="10">
        <v>38.03</v>
      </c>
      <c r="L840" s="10">
        <v>38.51</v>
      </c>
      <c r="M840" s="10">
        <v>38.909999999999997</v>
      </c>
      <c r="N840" s="10">
        <v>20.48</v>
      </c>
      <c r="O840" s="10">
        <v>24.51</v>
      </c>
      <c r="P840" s="10">
        <v>27.69</v>
      </c>
      <c r="Q840" s="10">
        <v>29.79</v>
      </c>
      <c r="R840" s="10">
        <v>31.12</v>
      </c>
      <c r="S840" s="10">
        <v>32.08</v>
      </c>
      <c r="T840" s="10">
        <v>32.909999999999997</v>
      </c>
      <c r="U840" s="10">
        <v>33.58</v>
      </c>
      <c r="V840" s="10">
        <v>34.15</v>
      </c>
      <c r="W840" s="10">
        <v>34.64</v>
      </c>
      <c r="X840" s="10">
        <v>35.1</v>
      </c>
      <c r="Y840" s="10">
        <v>35.520000000000003</v>
      </c>
      <c r="Z840" s="11">
        <v>33.700000000000003</v>
      </c>
      <c r="AA840" s="11">
        <v>25.777999999999999</v>
      </c>
      <c r="AB840" s="11">
        <v>28.902999999999999</v>
      </c>
      <c r="AC840" s="11">
        <v>31.475999999999999</v>
      </c>
      <c r="AD840" s="11">
        <v>33.469000000000001</v>
      </c>
      <c r="AE840" s="11">
        <v>34.896999999999998</v>
      </c>
      <c r="AF840" s="11">
        <v>35.76</v>
      </c>
      <c r="AG840" s="11">
        <v>36.393000000000001</v>
      </c>
      <c r="AH840" s="11">
        <v>36.820999999999998</v>
      </c>
      <c r="AI840" s="11">
        <v>37.234000000000002</v>
      </c>
      <c r="AJ840" s="11">
        <v>37.6</v>
      </c>
      <c r="AK840" s="11">
        <v>37.94</v>
      </c>
      <c r="AL840" s="11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</row>
    <row r="841" spans="1:147" x14ac:dyDescent="0.3">
      <c r="A841" s="9">
        <f>DATE(2020, 4, 1)</f>
        <v>43922</v>
      </c>
      <c r="B841" s="10">
        <v>24.74</v>
      </c>
      <c r="C841" s="10">
        <v>28.04</v>
      </c>
      <c r="D841" s="10">
        <v>30.56</v>
      </c>
      <c r="E841" s="10">
        <v>32.44</v>
      </c>
      <c r="F841" s="10">
        <v>33.85</v>
      </c>
      <c r="G841" s="10">
        <v>34.81</v>
      </c>
      <c r="H841" s="10">
        <v>35.51</v>
      </c>
      <c r="I841" s="10">
        <v>36.07</v>
      </c>
      <c r="J841" s="10">
        <v>36.58</v>
      </c>
      <c r="K841" s="10">
        <v>37.1</v>
      </c>
      <c r="L841" s="10">
        <v>37.53</v>
      </c>
      <c r="M841" s="10">
        <v>37.96</v>
      </c>
      <c r="N841" s="10">
        <v>20.309999999999999</v>
      </c>
      <c r="O841" s="10">
        <v>23.74</v>
      </c>
      <c r="P841" s="10">
        <v>26.42</v>
      </c>
      <c r="Q841" s="10">
        <v>28.31</v>
      </c>
      <c r="R841" s="10">
        <v>29.55</v>
      </c>
      <c r="S841" s="10">
        <v>30.52</v>
      </c>
      <c r="T841" s="10">
        <v>31.4</v>
      </c>
      <c r="U841" s="10">
        <v>32.14</v>
      </c>
      <c r="V841" s="10">
        <v>32.75</v>
      </c>
      <c r="W841" s="10">
        <v>33.270000000000003</v>
      </c>
      <c r="X841" s="10">
        <v>33.74</v>
      </c>
      <c r="Y841" s="10">
        <v>34.18</v>
      </c>
      <c r="Z841" s="11">
        <v>33.700000000000003</v>
      </c>
      <c r="AA841" s="11">
        <v>21.923999999999999</v>
      </c>
      <c r="AB841" s="11">
        <v>25.86</v>
      </c>
      <c r="AC841" s="11">
        <v>28.754999999999999</v>
      </c>
      <c r="AD841" s="11">
        <v>30.850999999999999</v>
      </c>
      <c r="AE841" s="11">
        <v>32.600999999999999</v>
      </c>
      <c r="AF841" s="11">
        <v>33.712000000000003</v>
      </c>
      <c r="AG841" s="11">
        <v>34.375</v>
      </c>
      <c r="AH841" s="11">
        <v>34.874000000000002</v>
      </c>
      <c r="AI841" s="11">
        <v>35.326999999999998</v>
      </c>
      <c r="AJ841" s="11">
        <v>35.661999999999999</v>
      </c>
      <c r="AK841" s="11">
        <v>36.052</v>
      </c>
      <c r="AL841" s="11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</row>
    <row r="842" spans="1:147" x14ac:dyDescent="0.3">
      <c r="A842" s="9">
        <f>DATE(2020, 4, 2)</f>
        <v>43923</v>
      </c>
      <c r="B842" s="10">
        <v>29.94</v>
      </c>
      <c r="C842" s="10">
        <v>32.1</v>
      </c>
      <c r="D842" s="10">
        <v>33.659999999999997</v>
      </c>
      <c r="E842" s="10">
        <v>34.909999999999997</v>
      </c>
      <c r="F842" s="10">
        <v>35.78</v>
      </c>
      <c r="G842" s="10">
        <v>36.43</v>
      </c>
      <c r="H842" s="10">
        <v>36.9</v>
      </c>
      <c r="I842" s="10">
        <v>37.31</v>
      </c>
      <c r="J842" s="10">
        <v>37.700000000000003</v>
      </c>
      <c r="K842" s="10">
        <v>38.14</v>
      </c>
      <c r="L842" s="10">
        <v>38.479999999999997</v>
      </c>
      <c r="M842" s="10">
        <v>38.83</v>
      </c>
      <c r="N842" s="10">
        <v>25.32</v>
      </c>
      <c r="O842" s="10">
        <v>28.05</v>
      </c>
      <c r="P842" s="10">
        <v>29.92</v>
      </c>
      <c r="Q842" s="10">
        <v>30.91</v>
      </c>
      <c r="R842" s="10">
        <v>31.5</v>
      </c>
      <c r="S842" s="10">
        <v>32</v>
      </c>
      <c r="T842" s="10">
        <v>32.54</v>
      </c>
      <c r="U842" s="10">
        <v>33.049999999999997</v>
      </c>
      <c r="V842" s="10">
        <v>33.49</v>
      </c>
      <c r="W842" s="10">
        <v>33.880000000000003</v>
      </c>
      <c r="X842" s="10">
        <v>34.25</v>
      </c>
      <c r="Y842" s="10">
        <v>34.6</v>
      </c>
      <c r="Z842" s="11">
        <v>26.375</v>
      </c>
      <c r="AA842" s="11">
        <v>30.704000000000001</v>
      </c>
      <c r="AB842" s="11">
        <v>32.466999999999999</v>
      </c>
      <c r="AC842" s="11">
        <v>33.658000000000001</v>
      </c>
      <c r="AD842" s="11">
        <v>34.591999999999999</v>
      </c>
      <c r="AE842" s="11">
        <v>35.320999999999998</v>
      </c>
      <c r="AF842" s="11">
        <v>35.628999999999998</v>
      </c>
      <c r="AG842" s="11">
        <v>35.929000000000002</v>
      </c>
      <c r="AH842" s="11">
        <v>36.25</v>
      </c>
      <c r="AI842" s="11">
        <v>36.597000000000001</v>
      </c>
      <c r="AJ842" s="11">
        <v>36.902999999999999</v>
      </c>
      <c r="AK842" s="11">
        <v>37.167999999999999</v>
      </c>
      <c r="AL842" s="11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</row>
    <row r="843" spans="1:147" x14ac:dyDescent="0.3">
      <c r="A843" s="9">
        <f>DATE(2020, 4, 3)</f>
        <v>43924</v>
      </c>
      <c r="B843" s="10">
        <v>34.11</v>
      </c>
      <c r="C843" s="10">
        <v>35.479999999999997</v>
      </c>
      <c r="D843" s="10">
        <v>36.39</v>
      </c>
      <c r="E843" s="10">
        <v>37.020000000000003</v>
      </c>
      <c r="F843" s="10">
        <v>37.49</v>
      </c>
      <c r="G843" s="10">
        <v>37.83</v>
      </c>
      <c r="H843" s="10">
        <v>38.07</v>
      </c>
      <c r="I843" s="10">
        <v>38.29</v>
      </c>
      <c r="J843" s="10">
        <v>38.54</v>
      </c>
      <c r="K843" s="10">
        <v>38.86</v>
      </c>
      <c r="L843" s="10">
        <v>39.15</v>
      </c>
      <c r="M843" s="10">
        <v>39.450000000000003</v>
      </c>
      <c r="N843" s="10">
        <v>28.34</v>
      </c>
      <c r="O843" s="10">
        <v>30.9</v>
      </c>
      <c r="P843" s="10">
        <v>32.33</v>
      </c>
      <c r="Q843" s="10">
        <v>33</v>
      </c>
      <c r="R843" s="10">
        <v>33.369999999999997</v>
      </c>
      <c r="S843" s="10">
        <v>33.619999999999997</v>
      </c>
      <c r="T843" s="10">
        <v>33.9</v>
      </c>
      <c r="U843" s="10">
        <v>34.159999999999997</v>
      </c>
      <c r="V843" s="10">
        <v>34.369999999999997</v>
      </c>
      <c r="W843" s="10">
        <v>34.590000000000003</v>
      </c>
      <c r="X843" s="10">
        <v>34.82</v>
      </c>
      <c r="Y843" s="10">
        <v>35.06</v>
      </c>
      <c r="Z843" s="11">
        <v>28.771000000000001</v>
      </c>
      <c r="AA843" s="11">
        <v>34.533000000000001</v>
      </c>
      <c r="AB843" s="11">
        <v>35.198999999999998</v>
      </c>
      <c r="AC843" s="11">
        <v>35.74</v>
      </c>
      <c r="AD843" s="11">
        <v>36.201999999999998</v>
      </c>
      <c r="AE843" s="11">
        <v>36.401000000000003</v>
      </c>
      <c r="AF843" s="11">
        <v>36.590000000000003</v>
      </c>
      <c r="AG843" s="11">
        <v>36.792000000000002</v>
      </c>
      <c r="AH843" s="11">
        <v>37.009</v>
      </c>
      <c r="AI843" s="11">
        <v>37.185000000000002</v>
      </c>
      <c r="AJ843" s="11">
        <v>37.365000000000002</v>
      </c>
      <c r="AK843" s="11">
        <v>37.631</v>
      </c>
      <c r="AL843" s="11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</row>
    <row r="844" spans="1:147" x14ac:dyDescent="0.3">
      <c r="A844" s="9">
        <f>DATE(2020, 4, 6)</f>
        <v>43927</v>
      </c>
      <c r="B844" s="10">
        <v>33.049999999999997</v>
      </c>
      <c r="C844" s="10">
        <v>34.89</v>
      </c>
      <c r="D844" s="10">
        <v>36.11</v>
      </c>
      <c r="E844" s="10">
        <v>36.950000000000003</v>
      </c>
      <c r="F844" s="10">
        <v>37.520000000000003</v>
      </c>
      <c r="G844" s="10">
        <v>37.9</v>
      </c>
      <c r="H844" s="10">
        <v>38.17</v>
      </c>
      <c r="I844" s="10">
        <v>38.44</v>
      </c>
      <c r="J844" s="10">
        <v>38.74</v>
      </c>
      <c r="K844" s="10">
        <v>39.090000000000003</v>
      </c>
      <c r="L844" s="10">
        <v>39.39</v>
      </c>
      <c r="M844" s="10">
        <v>39.700000000000003</v>
      </c>
      <c r="N844" s="10">
        <v>26.08</v>
      </c>
      <c r="O844" s="10">
        <v>29.98</v>
      </c>
      <c r="P844" s="10">
        <v>32.04</v>
      </c>
      <c r="Q844" s="10">
        <v>32.93</v>
      </c>
      <c r="R844" s="10">
        <v>33.43</v>
      </c>
      <c r="S844" s="10">
        <v>33.770000000000003</v>
      </c>
      <c r="T844" s="10">
        <v>34.08</v>
      </c>
      <c r="U844" s="10">
        <v>34.36</v>
      </c>
      <c r="V844" s="10">
        <v>34.57</v>
      </c>
      <c r="W844" s="10">
        <v>34.79</v>
      </c>
      <c r="X844" s="10">
        <v>35.04</v>
      </c>
      <c r="Y844" s="10">
        <v>35.29</v>
      </c>
      <c r="Z844" s="11">
        <v>27.616</v>
      </c>
      <c r="AA844" s="11">
        <v>33.597999999999999</v>
      </c>
      <c r="AB844" s="11">
        <v>34.847999999999999</v>
      </c>
      <c r="AC844" s="11">
        <v>35.744999999999997</v>
      </c>
      <c r="AD844" s="11">
        <v>36.305999999999997</v>
      </c>
      <c r="AE844" s="11">
        <v>36.572000000000003</v>
      </c>
      <c r="AF844" s="11">
        <v>36.781999999999996</v>
      </c>
      <c r="AG844" s="11">
        <v>37.003999999999998</v>
      </c>
      <c r="AH844" s="11">
        <v>37.222000000000001</v>
      </c>
      <c r="AI844" s="11">
        <v>37.424999999999997</v>
      </c>
      <c r="AJ844" s="11">
        <v>37.636000000000003</v>
      </c>
      <c r="AK844" s="11">
        <v>37.871000000000002</v>
      </c>
      <c r="AL844" s="11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</row>
    <row r="845" spans="1:147" x14ac:dyDescent="0.3">
      <c r="A845" s="9">
        <f>DATE(2020, 4, 7)</f>
        <v>43928</v>
      </c>
      <c r="B845" s="10">
        <v>31.87</v>
      </c>
      <c r="C845" s="10">
        <v>34.49</v>
      </c>
      <c r="D845" s="10">
        <v>36.04</v>
      </c>
      <c r="E845" s="10">
        <v>37.049999999999997</v>
      </c>
      <c r="F845" s="10">
        <v>37.75</v>
      </c>
      <c r="G845" s="10">
        <v>38.24</v>
      </c>
      <c r="H845" s="10">
        <v>38.590000000000003</v>
      </c>
      <c r="I845" s="10">
        <v>38.93</v>
      </c>
      <c r="J845" s="10">
        <v>39.26</v>
      </c>
      <c r="K845" s="10">
        <v>39.64</v>
      </c>
      <c r="L845" s="10">
        <v>39.96</v>
      </c>
      <c r="M845" s="10">
        <v>40.270000000000003</v>
      </c>
      <c r="N845" s="10">
        <v>23.63</v>
      </c>
      <c r="O845" s="10">
        <v>28.69</v>
      </c>
      <c r="P845" s="10">
        <v>31.84</v>
      </c>
      <c r="Q845" s="10">
        <v>32.92</v>
      </c>
      <c r="R845" s="10">
        <v>33.479999999999997</v>
      </c>
      <c r="S845" s="10">
        <v>33.9</v>
      </c>
      <c r="T845" s="10">
        <v>34.299999999999997</v>
      </c>
      <c r="U845" s="10">
        <v>34.67</v>
      </c>
      <c r="V845" s="10">
        <v>34.99</v>
      </c>
      <c r="W845" s="10">
        <v>35.26</v>
      </c>
      <c r="X845" s="10">
        <v>35.51</v>
      </c>
      <c r="Y845" s="10">
        <v>35.770000000000003</v>
      </c>
      <c r="Z845" s="11">
        <v>26.419</v>
      </c>
      <c r="AA845" s="11">
        <v>32.664000000000001</v>
      </c>
      <c r="AB845" s="11">
        <v>34.345999999999997</v>
      </c>
      <c r="AC845" s="11">
        <v>35.46</v>
      </c>
      <c r="AD845" s="11">
        <v>36.156999999999996</v>
      </c>
      <c r="AE845" s="11">
        <v>36.64</v>
      </c>
      <c r="AF845" s="11">
        <v>37.015000000000001</v>
      </c>
      <c r="AG845" s="11">
        <v>37.326000000000001</v>
      </c>
      <c r="AH845" s="11">
        <v>37.625</v>
      </c>
      <c r="AI845" s="11">
        <v>37.945999999999998</v>
      </c>
      <c r="AJ845" s="11">
        <v>38.235999999999997</v>
      </c>
      <c r="AK845" s="11">
        <v>38.503</v>
      </c>
      <c r="AL845" s="11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</row>
    <row r="846" spans="1:147" x14ac:dyDescent="0.3">
      <c r="A846" s="9">
        <f>DATE(2020, 4, 8)</f>
        <v>43929</v>
      </c>
      <c r="B846" s="10">
        <v>32.840000000000003</v>
      </c>
      <c r="C846" s="10">
        <v>35.119999999999997</v>
      </c>
      <c r="D846" s="10">
        <v>36.32</v>
      </c>
      <c r="E846" s="10">
        <v>37.11</v>
      </c>
      <c r="F846" s="10">
        <v>37.729999999999997</v>
      </c>
      <c r="G846" s="10">
        <v>38.19</v>
      </c>
      <c r="H846" s="10">
        <v>38.53</v>
      </c>
      <c r="I846" s="10">
        <v>38.85</v>
      </c>
      <c r="J846" s="10">
        <v>39.15</v>
      </c>
      <c r="K846" s="10">
        <v>39.5</v>
      </c>
      <c r="L846" s="10">
        <v>39.78</v>
      </c>
      <c r="M846" s="10">
        <v>40.06</v>
      </c>
      <c r="N846" s="10">
        <v>25.09</v>
      </c>
      <c r="O846" s="10">
        <v>30.17</v>
      </c>
      <c r="P846" s="10">
        <v>32.92</v>
      </c>
      <c r="Q846" s="10">
        <v>33.65</v>
      </c>
      <c r="R846" s="10">
        <v>34</v>
      </c>
      <c r="S846" s="10">
        <v>34.299999999999997</v>
      </c>
      <c r="T846" s="10">
        <v>34.619999999999997</v>
      </c>
      <c r="U846" s="10">
        <v>34.94</v>
      </c>
      <c r="V846" s="10">
        <v>35.22</v>
      </c>
      <c r="W846" s="10">
        <v>35.450000000000003</v>
      </c>
      <c r="X846" s="10">
        <v>35.67</v>
      </c>
      <c r="Y846" s="10">
        <v>35.89</v>
      </c>
      <c r="Z846" s="11">
        <v>25.352</v>
      </c>
      <c r="AA846" s="11">
        <v>31.876999999999999</v>
      </c>
      <c r="AB846" s="11">
        <v>33.756</v>
      </c>
      <c r="AC846" s="11">
        <v>34.837000000000003</v>
      </c>
      <c r="AD846" s="11">
        <v>35.723999999999997</v>
      </c>
      <c r="AE846" s="11">
        <v>36.365000000000002</v>
      </c>
      <c r="AF846" s="11">
        <v>36.774999999999999</v>
      </c>
      <c r="AG846" s="11">
        <v>37.103999999999999</v>
      </c>
      <c r="AH846" s="11">
        <v>37.432000000000002</v>
      </c>
      <c r="AI846" s="11">
        <v>37.753999999999998</v>
      </c>
      <c r="AJ846" s="11">
        <v>38.054000000000002</v>
      </c>
      <c r="AK846" s="11">
        <v>38.290999999999997</v>
      </c>
      <c r="AL846" s="11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</row>
    <row r="847" spans="1:147" x14ac:dyDescent="0.3">
      <c r="A847" s="9">
        <f>DATE(2020, 4, 9)</f>
        <v>43930</v>
      </c>
      <c r="B847" s="10">
        <v>31.48</v>
      </c>
      <c r="C847" s="10">
        <v>34.18</v>
      </c>
      <c r="D847" s="10">
        <v>35.659999999999997</v>
      </c>
      <c r="E847" s="10">
        <v>36.659999999999997</v>
      </c>
      <c r="F847" s="10">
        <v>37.44</v>
      </c>
      <c r="G847" s="10">
        <v>38</v>
      </c>
      <c r="H847" s="10">
        <v>38.4</v>
      </c>
      <c r="I847" s="10">
        <v>38.770000000000003</v>
      </c>
      <c r="J847" s="10">
        <v>39.1</v>
      </c>
      <c r="K847" s="10">
        <v>39.46</v>
      </c>
      <c r="L847" s="10">
        <v>39.74</v>
      </c>
      <c r="M847" s="10">
        <v>40.01</v>
      </c>
      <c r="N847" s="10">
        <v>22.76</v>
      </c>
      <c r="O847" s="10">
        <v>28.82</v>
      </c>
      <c r="P847" s="10">
        <v>32</v>
      </c>
      <c r="Q847" s="10">
        <v>33.119999999999997</v>
      </c>
      <c r="R847" s="10">
        <v>33.58</v>
      </c>
      <c r="S847" s="10">
        <v>33.96</v>
      </c>
      <c r="T847" s="10">
        <v>34.35</v>
      </c>
      <c r="U847" s="10">
        <v>34.72</v>
      </c>
      <c r="V847" s="10">
        <v>35.04</v>
      </c>
      <c r="W847" s="10">
        <v>35.29</v>
      </c>
      <c r="X847" s="10">
        <v>35.51</v>
      </c>
      <c r="Y847" s="10">
        <v>35.729999999999997</v>
      </c>
      <c r="Z847" s="11">
        <v>24.468</v>
      </c>
      <c r="AA847" s="11">
        <v>30.75</v>
      </c>
      <c r="AB847" s="11">
        <v>32.755000000000003</v>
      </c>
      <c r="AC847" s="11">
        <v>34.143999999999998</v>
      </c>
      <c r="AD847" s="11">
        <v>35.113</v>
      </c>
      <c r="AE847" s="11">
        <v>35.887999999999998</v>
      </c>
      <c r="AF847" s="11">
        <v>36.317</v>
      </c>
      <c r="AG847" s="11">
        <v>36.665999999999997</v>
      </c>
      <c r="AH847" s="11">
        <v>36.982999999999997</v>
      </c>
      <c r="AI847" s="11">
        <v>37.304000000000002</v>
      </c>
      <c r="AJ847" s="11">
        <v>37.634</v>
      </c>
      <c r="AK847" s="11">
        <v>37.960999999999999</v>
      </c>
      <c r="AL847" s="11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</row>
    <row r="848" spans="1:147" x14ac:dyDescent="0.3">
      <c r="A848" s="9">
        <f>DATE(2020, 4, 13)</f>
        <v>43934</v>
      </c>
      <c r="B848" s="10">
        <v>31.74</v>
      </c>
      <c r="C848" s="10">
        <v>34.909999999999997</v>
      </c>
      <c r="D848" s="10">
        <v>36.700000000000003</v>
      </c>
      <c r="E848" s="10">
        <v>37.89</v>
      </c>
      <c r="F848" s="10">
        <v>38.78</v>
      </c>
      <c r="G848" s="10">
        <v>39.380000000000003</v>
      </c>
      <c r="H848" s="10">
        <v>39.770000000000003</v>
      </c>
      <c r="I848" s="10">
        <v>40.1</v>
      </c>
      <c r="J848" s="10">
        <v>40.369999999999997</v>
      </c>
      <c r="K848" s="10">
        <v>40.67</v>
      </c>
      <c r="L848" s="10">
        <v>40.9</v>
      </c>
      <c r="M848" s="10">
        <v>41.14</v>
      </c>
      <c r="N848" s="10">
        <v>22.41</v>
      </c>
      <c r="O848" s="10">
        <v>29.26</v>
      </c>
      <c r="P848" s="10">
        <v>32.96</v>
      </c>
      <c r="Q848" s="10">
        <v>34.42</v>
      </c>
      <c r="R848" s="10">
        <v>35.06</v>
      </c>
      <c r="S848" s="10">
        <v>35.53</v>
      </c>
      <c r="T848" s="10">
        <v>35.94</v>
      </c>
      <c r="U848" s="10">
        <v>36.29</v>
      </c>
      <c r="V848" s="10">
        <v>36.57</v>
      </c>
      <c r="W848" s="10">
        <v>36.78</v>
      </c>
      <c r="X848" s="10">
        <v>36.97</v>
      </c>
      <c r="Y848" s="10">
        <v>37.14</v>
      </c>
      <c r="Z848" s="11">
        <v>24.419</v>
      </c>
      <c r="AA848" s="11">
        <v>30.875</v>
      </c>
      <c r="AB848" s="11">
        <v>33.594000000000001</v>
      </c>
      <c r="AC848" s="11">
        <v>35.259</v>
      </c>
      <c r="AD848" s="11">
        <v>36.427</v>
      </c>
      <c r="AE848" s="11">
        <v>37.268000000000001</v>
      </c>
      <c r="AF848" s="11">
        <v>37.704999999999998</v>
      </c>
      <c r="AG848" s="11">
        <v>38.012999999999998</v>
      </c>
      <c r="AH848" s="11">
        <v>38.267000000000003</v>
      </c>
      <c r="AI848" s="11">
        <v>38.512</v>
      </c>
      <c r="AJ848" s="11">
        <v>38.792000000000002</v>
      </c>
      <c r="AK848" s="11">
        <v>39.090000000000003</v>
      </c>
      <c r="AL848" s="11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</row>
    <row r="849" spans="1:147" x14ac:dyDescent="0.3">
      <c r="A849" s="9">
        <f>DATE(2020, 4, 14)</f>
        <v>43935</v>
      </c>
      <c r="B849" s="10">
        <v>29.6</v>
      </c>
      <c r="C849" s="10">
        <v>33.57</v>
      </c>
      <c r="D849" s="10">
        <v>35.76</v>
      </c>
      <c r="E849" s="10">
        <v>37.29</v>
      </c>
      <c r="F849" s="10">
        <v>38.409999999999997</v>
      </c>
      <c r="G849" s="10">
        <v>39.119999999999997</v>
      </c>
      <c r="H849" s="10">
        <v>39.57</v>
      </c>
      <c r="I849" s="10">
        <v>39.96</v>
      </c>
      <c r="J849" s="10">
        <v>40.31</v>
      </c>
      <c r="K849" s="10">
        <v>40.67</v>
      </c>
      <c r="L849" s="10">
        <v>40.94</v>
      </c>
      <c r="M849" s="10">
        <v>41.21</v>
      </c>
      <c r="N849" s="10">
        <v>20.11</v>
      </c>
      <c r="O849" s="10">
        <v>27.4</v>
      </c>
      <c r="P849" s="10">
        <v>31.87</v>
      </c>
      <c r="Q849" s="10">
        <v>33.65</v>
      </c>
      <c r="R849" s="10">
        <v>34.56</v>
      </c>
      <c r="S849" s="10">
        <v>35.18</v>
      </c>
      <c r="T849" s="10">
        <v>35.71</v>
      </c>
      <c r="U849" s="10">
        <v>36.159999999999997</v>
      </c>
      <c r="V849" s="10">
        <v>36.54</v>
      </c>
      <c r="W849" s="10">
        <v>36.85</v>
      </c>
      <c r="X849" s="10">
        <v>37.119999999999997</v>
      </c>
      <c r="Y849" s="10">
        <v>37.36</v>
      </c>
      <c r="Z849" s="11">
        <v>22.847000000000001</v>
      </c>
      <c r="AA849" s="11">
        <v>28.564</v>
      </c>
      <c r="AB849" s="11">
        <v>32.130000000000003</v>
      </c>
      <c r="AC849" s="11">
        <v>34.289000000000001</v>
      </c>
      <c r="AD849" s="11">
        <v>35.677999999999997</v>
      </c>
      <c r="AE849" s="11">
        <v>36.71</v>
      </c>
      <c r="AF849" s="11">
        <v>37.238</v>
      </c>
      <c r="AG849" s="11">
        <v>37.637</v>
      </c>
      <c r="AH849" s="11">
        <v>38.023000000000003</v>
      </c>
      <c r="AI849" s="11">
        <v>38.393999999999998</v>
      </c>
      <c r="AJ849" s="11">
        <v>38.744</v>
      </c>
      <c r="AK849" s="11">
        <v>39.090000000000003</v>
      </c>
      <c r="AL849" s="11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</row>
    <row r="850" spans="1:147" x14ac:dyDescent="0.3">
      <c r="A850" s="9">
        <f>DATE(2020, 4, 15)</f>
        <v>43936</v>
      </c>
      <c r="B850" s="10">
        <v>27.69</v>
      </c>
      <c r="C850" s="10">
        <v>31.44</v>
      </c>
      <c r="D850" s="10">
        <v>33.53</v>
      </c>
      <c r="E850" s="10">
        <v>35</v>
      </c>
      <c r="F850" s="10">
        <v>36.07</v>
      </c>
      <c r="G850" s="10">
        <v>36.770000000000003</v>
      </c>
      <c r="H850" s="10">
        <v>37.22</v>
      </c>
      <c r="I850" s="10">
        <v>37.630000000000003</v>
      </c>
      <c r="J850" s="10">
        <v>38.01</v>
      </c>
      <c r="K850" s="10">
        <v>38.4</v>
      </c>
      <c r="L850" s="10">
        <v>38.700000000000003</v>
      </c>
      <c r="M850" s="10">
        <v>39.020000000000003</v>
      </c>
      <c r="N850" s="10">
        <v>19.87</v>
      </c>
      <c r="O850" s="10">
        <v>26.04</v>
      </c>
      <c r="P850" s="10">
        <v>29.96</v>
      </c>
      <c r="Q850" s="10">
        <v>31.49</v>
      </c>
      <c r="R850" s="10">
        <v>32.33</v>
      </c>
      <c r="S850" s="10">
        <v>32.89</v>
      </c>
      <c r="T850" s="10">
        <v>33.409999999999997</v>
      </c>
      <c r="U850" s="10">
        <v>33.869999999999997</v>
      </c>
      <c r="V850" s="10">
        <v>34.26</v>
      </c>
      <c r="W850" s="10">
        <v>34.61</v>
      </c>
      <c r="X850" s="10">
        <v>34.92</v>
      </c>
      <c r="Y850" s="10">
        <v>35.21</v>
      </c>
      <c r="Z850" s="11">
        <v>21.731000000000002</v>
      </c>
      <c r="AA850" s="11">
        <v>26.81</v>
      </c>
      <c r="AB850" s="11">
        <v>30.515000000000001</v>
      </c>
      <c r="AC850" s="11">
        <v>32.677</v>
      </c>
      <c r="AD850" s="11">
        <v>34.091999999999999</v>
      </c>
      <c r="AE850" s="11">
        <v>34.976999999999997</v>
      </c>
      <c r="AF850" s="11">
        <v>35.459000000000003</v>
      </c>
      <c r="AG850" s="11">
        <v>35.578000000000003</v>
      </c>
      <c r="AH850" s="11">
        <v>36.005000000000003</v>
      </c>
      <c r="AI850" s="11">
        <v>36.314999999999998</v>
      </c>
      <c r="AJ850" s="11">
        <v>36.655999999999999</v>
      </c>
      <c r="AK850" s="11">
        <v>37.003</v>
      </c>
      <c r="AL850" s="11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</row>
    <row r="851" spans="1:147" x14ac:dyDescent="0.3">
      <c r="A851" s="9">
        <f>DATE(2020, 4, 16)</f>
        <v>43937</v>
      </c>
      <c r="B851" s="10">
        <v>27.82</v>
      </c>
      <c r="C851" s="10">
        <v>31.55</v>
      </c>
      <c r="D851" s="10">
        <v>33.54</v>
      </c>
      <c r="E851" s="10">
        <v>34.950000000000003</v>
      </c>
      <c r="F851" s="10">
        <v>36.01</v>
      </c>
      <c r="G851" s="10">
        <v>36.71</v>
      </c>
      <c r="H851" s="10">
        <v>37.19</v>
      </c>
      <c r="I851" s="10">
        <v>37.630000000000003</v>
      </c>
      <c r="J851" s="10">
        <v>38.04</v>
      </c>
      <c r="K851" s="10">
        <v>38.44</v>
      </c>
      <c r="L851" s="10">
        <v>38.76</v>
      </c>
      <c r="M851" s="10">
        <v>39.08</v>
      </c>
      <c r="N851" s="10">
        <v>19.87</v>
      </c>
      <c r="O851" s="10">
        <v>25.53</v>
      </c>
      <c r="P851" s="10">
        <v>29.55</v>
      </c>
      <c r="Q851" s="10">
        <v>31.09</v>
      </c>
      <c r="R851" s="10">
        <v>31.94</v>
      </c>
      <c r="S851" s="10">
        <v>32.520000000000003</v>
      </c>
      <c r="T851" s="10">
        <v>33.07</v>
      </c>
      <c r="U851" s="10">
        <v>33.56</v>
      </c>
      <c r="V851" s="10">
        <v>33.979999999999997</v>
      </c>
      <c r="W851" s="10">
        <v>34.340000000000003</v>
      </c>
      <c r="X851" s="10">
        <v>34.67</v>
      </c>
      <c r="Y851" s="10">
        <v>34.97</v>
      </c>
      <c r="Z851" s="11">
        <v>21.908999999999999</v>
      </c>
      <c r="AA851" s="11">
        <v>27.645</v>
      </c>
      <c r="AB851" s="11">
        <v>31.213999999999999</v>
      </c>
      <c r="AC851" s="11">
        <v>33.006</v>
      </c>
      <c r="AD851" s="11">
        <v>34.247</v>
      </c>
      <c r="AE851" s="11">
        <v>35.021999999999998</v>
      </c>
      <c r="AF851" s="11">
        <v>35.57</v>
      </c>
      <c r="AG851" s="11">
        <v>35.880000000000003</v>
      </c>
      <c r="AH851" s="11">
        <v>36.206000000000003</v>
      </c>
      <c r="AI851" s="11">
        <v>36.566000000000003</v>
      </c>
      <c r="AJ851" s="11">
        <v>36.936</v>
      </c>
      <c r="AK851" s="11">
        <v>37.302999999999997</v>
      </c>
      <c r="AL851" s="11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</row>
    <row r="852" spans="1:147" x14ac:dyDescent="0.3">
      <c r="A852" s="9">
        <f>DATE(2020, 4, 17)</f>
        <v>43938</v>
      </c>
      <c r="B852" s="10">
        <v>28.08</v>
      </c>
      <c r="C852" s="10">
        <v>31.58</v>
      </c>
      <c r="D852" s="10">
        <v>33.47</v>
      </c>
      <c r="E852" s="10">
        <v>34.869999999999997</v>
      </c>
      <c r="F852" s="10">
        <v>35.950000000000003</v>
      </c>
      <c r="G852" s="10">
        <v>36.67</v>
      </c>
      <c r="H852" s="10">
        <v>37.17</v>
      </c>
      <c r="I852" s="10">
        <v>37.630000000000003</v>
      </c>
      <c r="J852" s="10">
        <v>38.06</v>
      </c>
      <c r="K852" s="10">
        <v>38.49</v>
      </c>
      <c r="L852" s="10">
        <v>38.82</v>
      </c>
      <c r="M852" s="10">
        <v>39.130000000000003</v>
      </c>
      <c r="N852" s="10">
        <v>18.27</v>
      </c>
      <c r="O852" s="10">
        <v>25.03</v>
      </c>
      <c r="P852" s="10">
        <v>29.42</v>
      </c>
      <c r="Q852" s="10">
        <v>31.2</v>
      </c>
      <c r="R852" s="10">
        <v>32.08</v>
      </c>
      <c r="S852" s="10">
        <v>32.71</v>
      </c>
      <c r="T852" s="10">
        <v>33.299999999999997</v>
      </c>
      <c r="U852" s="10">
        <v>33.82</v>
      </c>
      <c r="V852" s="10">
        <v>34.270000000000003</v>
      </c>
      <c r="W852" s="10">
        <v>34.65</v>
      </c>
      <c r="X852" s="10">
        <v>34.950000000000003</v>
      </c>
      <c r="Y852" s="10">
        <v>35.26</v>
      </c>
      <c r="Z852" s="11">
        <v>22.335999999999999</v>
      </c>
      <c r="AA852" s="11">
        <v>28.72</v>
      </c>
      <c r="AB852" s="11">
        <v>31.984000000000002</v>
      </c>
      <c r="AC852" s="11">
        <v>33.606999999999999</v>
      </c>
      <c r="AD852" s="11">
        <v>34.689</v>
      </c>
      <c r="AE852" s="11">
        <v>35.393000000000001</v>
      </c>
      <c r="AF852" s="11">
        <v>35.860999999999997</v>
      </c>
      <c r="AG852" s="11">
        <v>36.19</v>
      </c>
      <c r="AH852" s="11">
        <v>36.539000000000001</v>
      </c>
      <c r="AI852" s="11">
        <v>36.856999999999999</v>
      </c>
      <c r="AJ852" s="11">
        <v>37.176000000000002</v>
      </c>
      <c r="AK852" s="11">
        <v>37.493000000000002</v>
      </c>
      <c r="AL852" s="11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</row>
    <row r="853" spans="1:147" x14ac:dyDescent="0.3">
      <c r="A853" s="9">
        <f>DATE(2020, 4, 20)</f>
        <v>43941</v>
      </c>
      <c r="B853" s="10">
        <v>25.57</v>
      </c>
      <c r="C853" s="10">
        <v>29.21</v>
      </c>
      <c r="D853" s="10">
        <v>31.51</v>
      </c>
      <c r="E853" s="10">
        <v>33.33</v>
      </c>
      <c r="F853" s="10">
        <v>34.75</v>
      </c>
      <c r="G853" s="10">
        <v>35.71</v>
      </c>
      <c r="H853" s="10">
        <v>36.39</v>
      </c>
      <c r="I853" s="10">
        <v>37</v>
      </c>
      <c r="J853" s="10">
        <v>37.549999999999997</v>
      </c>
      <c r="K853" s="10">
        <v>38.07</v>
      </c>
      <c r="L853" s="10">
        <v>38.450000000000003</v>
      </c>
      <c r="M853" s="10">
        <v>38.81</v>
      </c>
      <c r="N853" s="10">
        <v>-37.630000000000003</v>
      </c>
      <c r="O853" s="10">
        <v>20.43</v>
      </c>
      <c r="P853" s="10">
        <v>26.28</v>
      </c>
      <c r="Q853" s="10">
        <v>28.51</v>
      </c>
      <c r="R853" s="10">
        <v>29.84</v>
      </c>
      <c r="S853" s="10">
        <v>30.81</v>
      </c>
      <c r="T853" s="10">
        <v>31.66</v>
      </c>
      <c r="U853" s="10">
        <v>32.409999999999997</v>
      </c>
      <c r="V853" s="10">
        <v>33.020000000000003</v>
      </c>
      <c r="W853" s="10">
        <v>33.53</v>
      </c>
      <c r="X853" s="10">
        <v>33.979999999999997</v>
      </c>
      <c r="Y853" s="10">
        <v>34.35</v>
      </c>
      <c r="Z853" s="11">
        <v>21.126000000000001</v>
      </c>
      <c r="AA853" s="11">
        <v>26.27</v>
      </c>
      <c r="AB853" s="11">
        <v>29.893000000000001</v>
      </c>
      <c r="AC853" s="11">
        <v>31.661999999999999</v>
      </c>
      <c r="AD853" s="11">
        <v>32.970999999999997</v>
      </c>
      <c r="AE853" s="11">
        <v>33.820999999999998</v>
      </c>
      <c r="AF853" s="11">
        <v>34.597999999999999</v>
      </c>
      <c r="AG853" s="11">
        <v>35.265999999999998</v>
      </c>
      <c r="AH853" s="11">
        <v>35.796999999999997</v>
      </c>
      <c r="AI853" s="11">
        <v>36.268999999999998</v>
      </c>
      <c r="AJ853" s="11">
        <v>36.738</v>
      </c>
      <c r="AK853" s="11">
        <v>37.143999999999998</v>
      </c>
      <c r="AL853" s="11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</row>
    <row r="854" spans="1:147" x14ac:dyDescent="0.3">
      <c r="A854" s="9">
        <f>DATE(2020, 4, 21)</f>
        <v>43942</v>
      </c>
      <c r="B854" s="10">
        <v>19.329999999999998</v>
      </c>
      <c r="C854" s="10">
        <v>23.12</v>
      </c>
      <c r="D854" s="10">
        <v>25.66</v>
      </c>
      <c r="E854" s="10">
        <v>27.66</v>
      </c>
      <c r="F854" s="10">
        <v>29.25</v>
      </c>
      <c r="G854" s="10">
        <v>30.46</v>
      </c>
      <c r="H854" s="10">
        <v>31.38</v>
      </c>
      <c r="I854" s="10">
        <v>32.22</v>
      </c>
      <c r="J854" s="10">
        <v>32.979999999999997</v>
      </c>
      <c r="K854" s="10">
        <v>33.68</v>
      </c>
      <c r="L854" s="10">
        <v>34.22</v>
      </c>
      <c r="M854" s="10">
        <v>34.700000000000003</v>
      </c>
      <c r="N854" s="10">
        <v>10.01</v>
      </c>
      <c r="O854" s="10">
        <v>11.57</v>
      </c>
      <c r="P854" s="10">
        <v>18.690000000000001</v>
      </c>
      <c r="Q854" s="10">
        <v>21.61</v>
      </c>
      <c r="R854" s="10">
        <v>23.43</v>
      </c>
      <c r="S854" s="10">
        <v>24.73</v>
      </c>
      <c r="T854" s="10">
        <v>25.86</v>
      </c>
      <c r="U854" s="10">
        <v>26.86</v>
      </c>
      <c r="V854" s="10">
        <v>27.67</v>
      </c>
      <c r="W854" s="10">
        <v>28.39</v>
      </c>
      <c r="X854" s="10">
        <v>29.05</v>
      </c>
      <c r="Y854" s="10">
        <v>29.63</v>
      </c>
      <c r="Z854" s="11">
        <v>19.465</v>
      </c>
      <c r="AA854" s="11">
        <v>20.350999999999999</v>
      </c>
      <c r="AB854" s="11">
        <v>24.311</v>
      </c>
      <c r="AC854" s="11">
        <v>26.178999999999998</v>
      </c>
      <c r="AD854" s="11">
        <v>27.645</v>
      </c>
      <c r="AE854" s="11">
        <v>28.762</v>
      </c>
      <c r="AF854" s="11">
        <v>29.648</v>
      </c>
      <c r="AG854" s="11">
        <v>30.446000000000002</v>
      </c>
      <c r="AH854" s="11">
        <v>31.184000000000001</v>
      </c>
      <c r="AI854" s="11">
        <v>31.806999999999999</v>
      </c>
      <c r="AJ854" s="11">
        <v>32.433999999999997</v>
      </c>
      <c r="AK854" s="11">
        <v>32.969000000000001</v>
      </c>
      <c r="AL854" s="11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</row>
    <row r="855" spans="1:147" x14ac:dyDescent="0.3">
      <c r="A855" s="9">
        <f>DATE(2020, 4, 22)</f>
        <v>43943</v>
      </c>
      <c r="B855" s="10">
        <v>20.37</v>
      </c>
      <c r="C855" s="10">
        <v>24.06</v>
      </c>
      <c r="D855" s="10">
        <v>26.68</v>
      </c>
      <c r="E855" s="10">
        <v>28.75</v>
      </c>
      <c r="F855" s="10">
        <v>30.35</v>
      </c>
      <c r="G855" s="10">
        <v>31.55</v>
      </c>
      <c r="H855" s="10">
        <v>32.44</v>
      </c>
      <c r="I855" s="10">
        <v>33.24</v>
      </c>
      <c r="J855" s="10">
        <v>33.97</v>
      </c>
      <c r="K855" s="10">
        <v>34.65</v>
      </c>
      <c r="L855" s="10">
        <v>35.18</v>
      </c>
      <c r="M855" s="10">
        <v>35.68</v>
      </c>
      <c r="N855" s="10">
        <v>13.78</v>
      </c>
      <c r="O855" s="10">
        <v>20.69</v>
      </c>
      <c r="P855" s="10">
        <v>23.76</v>
      </c>
      <c r="Q855" s="10">
        <v>25.77</v>
      </c>
      <c r="R855" s="10">
        <v>27.01</v>
      </c>
      <c r="S855" s="10">
        <v>28.07</v>
      </c>
      <c r="T855" s="10">
        <v>28.98</v>
      </c>
      <c r="U855" s="10">
        <v>29.77</v>
      </c>
      <c r="V855" s="10">
        <v>30.44</v>
      </c>
      <c r="W855" s="10">
        <v>31.04</v>
      </c>
      <c r="X855" s="10">
        <v>31.55</v>
      </c>
      <c r="Y855" s="10">
        <v>31.99</v>
      </c>
      <c r="Z855" s="11">
        <v>19.922999999999998</v>
      </c>
      <c r="AA855" s="11">
        <v>22.035</v>
      </c>
      <c r="AB855" s="11">
        <v>25.603999999999999</v>
      </c>
      <c r="AC855" s="11">
        <v>27.16</v>
      </c>
      <c r="AD855" s="11">
        <v>28.294</v>
      </c>
      <c r="AE855" s="11">
        <v>29.19</v>
      </c>
      <c r="AF855" s="11">
        <v>30.045999999999999</v>
      </c>
      <c r="AG855" s="11">
        <v>30.875</v>
      </c>
      <c r="AH855" s="11">
        <v>31.692</v>
      </c>
      <c r="AI855" s="11">
        <v>32.497</v>
      </c>
      <c r="AJ855" s="11">
        <v>33.295000000000002</v>
      </c>
      <c r="AK855" s="11">
        <v>33.950000000000003</v>
      </c>
      <c r="AL855" s="11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</row>
    <row r="856" spans="1:147" x14ac:dyDescent="0.3">
      <c r="A856" s="9">
        <f>DATE(2020, 4, 23)</f>
        <v>43944</v>
      </c>
      <c r="B856" s="10">
        <v>21.33</v>
      </c>
      <c r="C856" s="10">
        <v>24.79</v>
      </c>
      <c r="D856" s="10">
        <v>27.2</v>
      </c>
      <c r="E856" s="10">
        <v>29.01</v>
      </c>
      <c r="F856" s="10">
        <v>30.43</v>
      </c>
      <c r="G856" s="10">
        <v>31.54</v>
      </c>
      <c r="H856" s="10">
        <v>32.35</v>
      </c>
      <c r="I856" s="10">
        <v>33.08</v>
      </c>
      <c r="J856" s="10">
        <v>33.74</v>
      </c>
      <c r="K856" s="10">
        <v>34.380000000000003</v>
      </c>
      <c r="L856" s="10">
        <v>34.89</v>
      </c>
      <c r="M856" s="10">
        <v>35.36</v>
      </c>
      <c r="N856" s="10">
        <v>16.5</v>
      </c>
      <c r="O856" s="10">
        <v>21.44</v>
      </c>
      <c r="P856" s="10">
        <v>24.12</v>
      </c>
      <c r="Q856" s="10">
        <v>25.89</v>
      </c>
      <c r="R856" s="10">
        <v>26.93</v>
      </c>
      <c r="S856" s="10">
        <v>27.85</v>
      </c>
      <c r="T856" s="10">
        <v>28.66</v>
      </c>
      <c r="U856" s="10">
        <v>29.36</v>
      </c>
      <c r="V856" s="10">
        <v>29.97</v>
      </c>
      <c r="W856" s="10">
        <v>30.52</v>
      </c>
      <c r="X856" s="10">
        <v>31.01</v>
      </c>
      <c r="Y856" s="10">
        <v>31.43</v>
      </c>
      <c r="Z856" s="11">
        <v>20.193000000000001</v>
      </c>
      <c r="AA856" s="11">
        <v>23.285</v>
      </c>
      <c r="AB856" s="11">
        <v>26.512</v>
      </c>
      <c r="AC856" s="11">
        <v>27.972000000000001</v>
      </c>
      <c r="AD856" s="11">
        <v>29.135999999999999</v>
      </c>
      <c r="AE856" s="11">
        <v>29.966999999999999</v>
      </c>
      <c r="AF856" s="11">
        <v>30.672999999999998</v>
      </c>
      <c r="AG856" s="11">
        <v>31.331</v>
      </c>
      <c r="AH856" s="11">
        <v>31.957999999999998</v>
      </c>
      <c r="AI856" s="11">
        <v>32.585999999999999</v>
      </c>
      <c r="AJ856" s="11">
        <v>33.204000000000001</v>
      </c>
      <c r="AK856" s="11">
        <v>33.728999999999999</v>
      </c>
      <c r="AL856" s="11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</row>
    <row r="857" spans="1:147" x14ac:dyDescent="0.3">
      <c r="A857" s="9">
        <f>DATE(2020, 4, 24)</f>
        <v>43945</v>
      </c>
      <c r="B857" s="10">
        <v>21.44</v>
      </c>
      <c r="C857" s="10">
        <v>24.81</v>
      </c>
      <c r="D857" s="10">
        <v>27.11</v>
      </c>
      <c r="E857" s="10">
        <v>28.88</v>
      </c>
      <c r="F857" s="10">
        <v>30.26</v>
      </c>
      <c r="G857" s="10">
        <v>31.32</v>
      </c>
      <c r="H857" s="10">
        <v>32.119999999999997</v>
      </c>
      <c r="I857" s="10">
        <v>32.840000000000003</v>
      </c>
      <c r="J857" s="10">
        <v>33.5</v>
      </c>
      <c r="K857" s="10">
        <v>34.130000000000003</v>
      </c>
      <c r="L857" s="10">
        <v>34.619999999999997</v>
      </c>
      <c r="M857" s="10">
        <v>35.090000000000003</v>
      </c>
      <c r="N857" s="10">
        <v>16.940000000000001</v>
      </c>
      <c r="O857" s="10">
        <v>21.22</v>
      </c>
      <c r="P857" s="10">
        <v>23.86</v>
      </c>
      <c r="Q857" s="10">
        <v>25.71</v>
      </c>
      <c r="R857" s="10">
        <v>26.77</v>
      </c>
      <c r="S857" s="10">
        <v>27.67</v>
      </c>
      <c r="T857" s="10">
        <v>28.47</v>
      </c>
      <c r="U857" s="10">
        <v>29.13</v>
      </c>
      <c r="V857" s="10">
        <v>29.74</v>
      </c>
      <c r="W857" s="10">
        <v>30.26</v>
      </c>
      <c r="X857" s="10">
        <v>30.72</v>
      </c>
      <c r="Y857" s="10">
        <v>31.17</v>
      </c>
      <c r="Z857" s="11">
        <v>20.466000000000001</v>
      </c>
      <c r="AA857" s="11">
        <v>23.645</v>
      </c>
      <c r="AB857" s="11">
        <v>26.632000000000001</v>
      </c>
      <c r="AC857" s="11">
        <v>27.972000000000001</v>
      </c>
      <c r="AD857" s="11">
        <v>29.065999999999999</v>
      </c>
      <c r="AE857" s="11">
        <v>29.876999999999999</v>
      </c>
      <c r="AF857" s="11">
        <v>30.663</v>
      </c>
      <c r="AG857" s="11">
        <v>31.321000000000002</v>
      </c>
      <c r="AH857" s="11">
        <v>31.937999999999999</v>
      </c>
      <c r="AI857" s="11">
        <v>32.606000000000002</v>
      </c>
      <c r="AJ857" s="11">
        <v>33.223999999999997</v>
      </c>
      <c r="AK857" s="11">
        <v>33.749000000000002</v>
      </c>
      <c r="AL857" s="11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</row>
    <row r="858" spans="1:147" x14ac:dyDescent="0.3">
      <c r="A858" s="9">
        <f>DATE(2020, 4, 27)</f>
        <v>43948</v>
      </c>
      <c r="B858" s="10">
        <v>19.989999999999998</v>
      </c>
      <c r="C858" s="10">
        <v>23.07</v>
      </c>
      <c r="D858" s="10">
        <v>25.62</v>
      </c>
      <c r="E858" s="10">
        <v>27.59</v>
      </c>
      <c r="F858" s="10">
        <v>29.14</v>
      </c>
      <c r="G858" s="10">
        <v>30.38</v>
      </c>
      <c r="H858" s="10">
        <v>31.33</v>
      </c>
      <c r="I858" s="10">
        <v>32.15</v>
      </c>
      <c r="J858" s="10">
        <v>32.880000000000003</v>
      </c>
      <c r="K858" s="10">
        <v>33.53</v>
      </c>
      <c r="L858" s="10">
        <v>34.04</v>
      </c>
      <c r="M858" s="10">
        <v>34.54</v>
      </c>
      <c r="N858" s="10">
        <v>12.78</v>
      </c>
      <c r="O858" s="10">
        <v>18.079999999999998</v>
      </c>
      <c r="P858" s="10">
        <v>21.42</v>
      </c>
      <c r="Q858" s="10">
        <v>23.84</v>
      </c>
      <c r="R858" s="10">
        <v>25.28</v>
      </c>
      <c r="S858" s="10">
        <v>26.47</v>
      </c>
      <c r="T858" s="10">
        <v>27.46</v>
      </c>
      <c r="U858" s="10">
        <v>28.29</v>
      </c>
      <c r="V858" s="10">
        <v>29</v>
      </c>
      <c r="W858" s="10">
        <v>29.62</v>
      </c>
      <c r="X858" s="10">
        <v>30.15</v>
      </c>
      <c r="Y858" s="10">
        <v>30.63</v>
      </c>
      <c r="Z858" s="11">
        <v>20.288</v>
      </c>
      <c r="AA858" s="11">
        <v>22.390999999999998</v>
      </c>
      <c r="AB858" s="11">
        <v>25.19</v>
      </c>
      <c r="AC858" s="11">
        <v>26.516999999999999</v>
      </c>
      <c r="AD858" s="11">
        <v>27.748000000000001</v>
      </c>
      <c r="AE858" s="11">
        <v>28.683</v>
      </c>
      <c r="AF858" s="11">
        <v>29.556999999999999</v>
      </c>
      <c r="AG858" s="11">
        <v>30.305</v>
      </c>
      <c r="AH858" s="11">
        <v>30.989000000000001</v>
      </c>
      <c r="AI858" s="11">
        <v>31.706</v>
      </c>
      <c r="AJ858" s="11">
        <v>32.335000000000001</v>
      </c>
      <c r="AK858" s="11">
        <v>32.89</v>
      </c>
      <c r="AL858" s="11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</row>
    <row r="859" spans="1:147" x14ac:dyDescent="0.3">
      <c r="A859" s="9">
        <f>DATE(2020, 4, 28)</f>
        <v>43949</v>
      </c>
      <c r="B859" s="10">
        <v>20.46</v>
      </c>
      <c r="C859" s="10">
        <v>22.74</v>
      </c>
      <c r="D859" s="10">
        <v>25.16</v>
      </c>
      <c r="E859" s="10">
        <v>27.05</v>
      </c>
      <c r="F859" s="10">
        <v>28.57</v>
      </c>
      <c r="G859" s="10">
        <v>29.86</v>
      </c>
      <c r="H859" s="10">
        <v>30.88</v>
      </c>
      <c r="I859" s="10">
        <v>31.73</v>
      </c>
      <c r="J859" s="10">
        <v>32.479999999999997</v>
      </c>
      <c r="K859" s="10">
        <v>33.159999999999997</v>
      </c>
      <c r="L859" s="10">
        <v>33.71</v>
      </c>
      <c r="M859" s="10">
        <v>34.25</v>
      </c>
      <c r="N859" s="10">
        <v>12.34</v>
      </c>
      <c r="O859" s="10">
        <v>17.600000000000001</v>
      </c>
      <c r="P859" s="10">
        <v>21.17</v>
      </c>
      <c r="Q859" s="10">
        <v>23.77</v>
      </c>
      <c r="R859" s="10">
        <v>25.29</v>
      </c>
      <c r="S859" s="10">
        <v>26.48</v>
      </c>
      <c r="T859" s="10">
        <v>27.47</v>
      </c>
      <c r="U859" s="10">
        <v>28.32</v>
      </c>
      <c r="V859" s="10">
        <v>29.07</v>
      </c>
      <c r="W859" s="10">
        <v>29.72</v>
      </c>
      <c r="X859" s="10">
        <v>30.28</v>
      </c>
      <c r="Y859" s="10">
        <v>30.77</v>
      </c>
      <c r="Z859" s="11">
        <v>20.273</v>
      </c>
      <c r="AA859" s="11">
        <v>22.664999999999999</v>
      </c>
      <c r="AB859" s="11">
        <v>24.795999999999999</v>
      </c>
      <c r="AC859" s="11">
        <v>25.946000000000002</v>
      </c>
      <c r="AD859" s="11">
        <v>27.013000000000002</v>
      </c>
      <c r="AE859" s="11">
        <v>28.006</v>
      </c>
      <c r="AF859" s="11">
        <v>28.919</v>
      </c>
      <c r="AG859" s="11">
        <v>29.756</v>
      </c>
      <c r="AH859" s="11">
        <v>30.492000000000001</v>
      </c>
      <c r="AI859" s="11">
        <v>31.178000000000001</v>
      </c>
      <c r="AJ859" s="11">
        <v>31.856999999999999</v>
      </c>
      <c r="AK859" s="11">
        <v>32.521000000000001</v>
      </c>
      <c r="AL859" s="11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</row>
    <row r="860" spans="1:147" x14ac:dyDescent="0.3">
      <c r="A860" s="9">
        <f>DATE(2020, 4, 29)</f>
        <v>43950</v>
      </c>
      <c r="B860" s="10">
        <v>22.54</v>
      </c>
      <c r="C860" s="10">
        <v>24.23</v>
      </c>
      <c r="D860" s="10">
        <v>26.36</v>
      </c>
      <c r="E860" s="10">
        <v>28.03</v>
      </c>
      <c r="F860" s="10">
        <v>29.38</v>
      </c>
      <c r="G860" s="10">
        <v>30.54</v>
      </c>
      <c r="H860" s="10">
        <v>31.45</v>
      </c>
      <c r="I860" s="10">
        <v>32.19</v>
      </c>
      <c r="J860" s="10">
        <v>32.86</v>
      </c>
      <c r="K860" s="10">
        <v>33.49</v>
      </c>
      <c r="L860" s="10">
        <v>34</v>
      </c>
      <c r="M860" s="10">
        <v>34.53</v>
      </c>
      <c r="N860" s="10">
        <v>15.06</v>
      </c>
      <c r="O860" s="10">
        <v>19.12</v>
      </c>
      <c r="P860" s="10">
        <v>22.19</v>
      </c>
      <c r="Q860" s="10">
        <v>24.5</v>
      </c>
      <c r="R860" s="10">
        <v>25.9</v>
      </c>
      <c r="S860" s="10">
        <v>27.01</v>
      </c>
      <c r="T860" s="10">
        <v>27.95</v>
      </c>
      <c r="U860" s="10">
        <v>28.73</v>
      </c>
      <c r="V860" s="10">
        <v>29.43</v>
      </c>
      <c r="W860" s="10">
        <v>30.04</v>
      </c>
      <c r="X860" s="10">
        <v>30.57</v>
      </c>
      <c r="Y860" s="10">
        <v>31.03</v>
      </c>
      <c r="Z860" s="11">
        <v>20.285</v>
      </c>
      <c r="AA860" s="11">
        <v>23.771000000000001</v>
      </c>
      <c r="AB860" s="11">
        <v>26.126000000000001</v>
      </c>
      <c r="AC860" s="11">
        <v>27.138999999999999</v>
      </c>
      <c r="AD860" s="11">
        <v>28.04</v>
      </c>
      <c r="AE860" s="11">
        <v>28.901</v>
      </c>
      <c r="AF860" s="11">
        <v>29.713999999999999</v>
      </c>
      <c r="AG860" s="11">
        <v>30.402000000000001</v>
      </c>
      <c r="AH860" s="11">
        <v>31.056999999999999</v>
      </c>
      <c r="AI860" s="11">
        <v>31.706</v>
      </c>
      <c r="AJ860" s="11">
        <v>32.326999999999998</v>
      </c>
      <c r="AK860" s="11">
        <v>32.881</v>
      </c>
      <c r="AL860" s="11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</row>
    <row r="861" spans="1:147" x14ac:dyDescent="0.3">
      <c r="A861" s="9">
        <f>DATE(2020, 4, 30)</f>
        <v>43951</v>
      </c>
      <c r="B861" s="10">
        <v>25.27</v>
      </c>
      <c r="C861" s="10">
        <v>26.48</v>
      </c>
      <c r="D861" s="10">
        <v>28.31</v>
      </c>
      <c r="E861" s="10">
        <v>29.78</v>
      </c>
      <c r="F861" s="10">
        <v>31.02</v>
      </c>
      <c r="G861" s="10">
        <v>32.1</v>
      </c>
      <c r="H861" s="10">
        <v>32.950000000000003</v>
      </c>
      <c r="I861" s="10">
        <v>33.65</v>
      </c>
      <c r="J861" s="10">
        <v>34.28</v>
      </c>
      <c r="K861" s="10">
        <v>34.89</v>
      </c>
      <c r="L861" s="10">
        <v>35.39</v>
      </c>
      <c r="M861" s="10">
        <v>35.89</v>
      </c>
      <c r="N861" s="10">
        <v>18.84</v>
      </c>
      <c r="O861" s="10">
        <v>21.85</v>
      </c>
      <c r="P861" s="10">
        <v>24.37</v>
      </c>
      <c r="Q861" s="10">
        <v>26.37</v>
      </c>
      <c r="R861" s="10">
        <v>27.67</v>
      </c>
      <c r="S861" s="10">
        <v>28.72</v>
      </c>
      <c r="T861" s="10">
        <v>29.62</v>
      </c>
      <c r="U861" s="10">
        <v>30.38</v>
      </c>
      <c r="V861" s="10">
        <v>31.07</v>
      </c>
      <c r="W861" s="10">
        <v>31.66</v>
      </c>
      <c r="X861" s="10">
        <v>32.17</v>
      </c>
      <c r="Y861" s="10">
        <v>32.61</v>
      </c>
      <c r="Z861" s="11">
        <v>20.387</v>
      </c>
      <c r="AA861" s="11">
        <v>25.516999999999999</v>
      </c>
      <c r="AB861" s="11">
        <v>28.087</v>
      </c>
      <c r="AC861" s="11">
        <v>29.033999999999999</v>
      </c>
      <c r="AD861" s="11">
        <v>29.893000000000001</v>
      </c>
      <c r="AE861" s="11">
        <v>30.709</v>
      </c>
      <c r="AF861" s="11">
        <v>31.481999999999999</v>
      </c>
      <c r="AG861" s="11">
        <v>32.11</v>
      </c>
      <c r="AH861" s="11">
        <v>32.695</v>
      </c>
      <c r="AI861" s="11">
        <v>33.274999999999999</v>
      </c>
      <c r="AJ861" s="11">
        <v>33.835000000000001</v>
      </c>
      <c r="AK861" s="11">
        <v>34.360999999999997</v>
      </c>
      <c r="AL861" s="11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</row>
    <row r="862" spans="1:147" x14ac:dyDescent="0.3">
      <c r="A862" s="9">
        <f>DATE(2020, 5, 1)</f>
        <v>43952</v>
      </c>
      <c r="B862" s="10">
        <v>26.44</v>
      </c>
      <c r="C862" s="10">
        <v>28.07</v>
      </c>
      <c r="D862" s="10">
        <v>29.36</v>
      </c>
      <c r="E862" s="10">
        <v>30.44</v>
      </c>
      <c r="F862" s="10">
        <v>31.4</v>
      </c>
      <c r="G862" s="10">
        <v>32.18</v>
      </c>
      <c r="H862" s="10">
        <v>32.85</v>
      </c>
      <c r="I862" s="10">
        <v>33.44</v>
      </c>
      <c r="J862" s="10">
        <v>34.03</v>
      </c>
      <c r="K862" s="10">
        <v>34.51</v>
      </c>
      <c r="L862" s="10">
        <v>35</v>
      </c>
      <c r="M862" s="10">
        <v>35.479999999999997</v>
      </c>
      <c r="N862" s="10">
        <v>19.78</v>
      </c>
      <c r="O862" s="10">
        <v>22.29</v>
      </c>
      <c r="P862" s="10">
        <v>24.2</v>
      </c>
      <c r="Q862" s="10">
        <v>25.69</v>
      </c>
      <c r="R862" s="10">
        <v>26.79</v>
      </c>
      <c r="S862" s="10">
        <v>27.74</v>
      </c>
      <c r="T862" s="10">
        <v>28.59</v>
      </c>
      <c r="U862" s="10">
        <v>29.32</v>
      </c>
      <c r="V862" s="10">
        <v>29.98</v>
      </c>
      <c r="W862" s="10">
        <v>30.55</v>
      </c>
      <c r="X862" s="10">
        <v>31.05</v>
      </c>
      <c r="Y862" s="10">
        <v>31.49</v>
      </c>
      <c r="Z862" s="11">
        <v>20.387</v>
      </c>
      <c r="AA862" s="11">
        <v>25.568999999999999</v>
      </c>
      <c r="AB862" s="11">
        <v>27.949000000000002</v>
      </c>
      <c r="AC862" s="11">
        <v>28.837</v>
      </c>
      <c r="AD862" s="11">
        <v>29.561</v>
      </c>
      <c r="AE862" s="11">
        <v>30.225000000000001</v>
      </c>
      <c r="AF862" s="11">
        <v>30.89</v>
      </c>
      <c r="AG862" s="11">
        <v>31.468</v>
      </c>
      <c r="AH862" s="11">
        <v>31.994</v>
      </c>
      <c r="AI862" s="11">
        <v>32.473999999999997</v>
      </c>
      <c r="AJ862" s="11">
        <v>33.015000000000001</v>
      </c>
      <c r="AK862" s="11">
        <v>33.530999999999999</v>
      </c>
      <c r="AL862" s="11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</row>
    <row r="863" spans="1:147" x14ac:dyDescent="0.3">
      <c r="A863" s="9">
        <f>DATE(2020, 5, 4)</f>
        <v>43955</v>
      </c>
      <c r="B863" s="10">
        <v>27.2</v>
      </c>
      <c r="C863" s="10">
        <v>28.68</v>
      </c>
      <c r="D863" s="10">
        <v>29.87</v>
      </c>
      <c r="E863" s="10">
        <v>30.88</v>
      </c>
      <c r="F863" s="10">
        <v>31.78</v>
      </c>
      <c r="G863" s="10">
        <v>32.5</v>
      </c>
      <c r="H863" s="10">
        <v>33.090000000000003</v>
      </c>
      <c r="I863" s="10">
        <v>33.61</v>
      </c>
      <c r="J863" s="10">
        <v>34.119999999999997</v>
      </c>
      <c r="K863" s="10">
        <v>34.520000000000003</v>
      </c>
      <c r="L863" s="10">
        <v>34.96</v>
      </c>
      <c r="M863" s="10">
        <v>35.369999999999997</v>
      </c>
      <c r="N863" s="10">
        <v>20.39</v>
      </c>
      <c r="O863" s="10">
        <v>22.78</v>
      </c>
      <c r="P863" s="10">
        <v>24.63</v>
      </c>
      <c r="Q863" s="10">
        <v>26.08</v>
      </c>
      <c r="R863" s="10">
        <v>27.2</v>
      </c>
      <c r="S863" s="10">
        <v>28.19</v>
      </c>
      <c r="T863" s="10">
        <v>29.08</v>
      </c>
      <c r="U863" s="10">
        <v>29.82</v>
      </c>
      <c r="V863" s="10">
        <v>30.46</v>
      </c>
      <c r="W863" s="10">
        <v>31.01</v>
      </c>
      <c r="X863" s="10">
        <v>31.47</v>
      </c>
      <c r="Y863" s="10">
        <v>31.86</v>
      </c>
      <c r="Z863" s="11">
        <v>25.72</v>
      </c>
      <c r="AA863" s="11">
        <v>28.353999999999999</v>
      </c>
      <c r="AB863" s="11">
        <v>29.244</v>
      </c>
      <c r="AC863" s="11">
        <v>29.995999999999999</v>
      </c>
      <c r="AD863" s="11">
        <v>30.593</v>
      </c>
      <c r="AE863" s="11">
        <v>31.177</v>
      </c>
      <c r="AF863" s="11">
        <v>31.655000000000001</v>
      </c>
      <c r="AG863" s="11">
        <v>32.106000000000002</v>
      </c>
      <c r="AH863" s="11">
        <v>32.51</v>
      </c>
      <c r="AI863" s="11">
        <v>32.921999999999997</v>
      </c>
      <c r="AJ863" s="11">
        <v>33.347999999999999</v>
      </c>
      <c r="AK863" s="11">
        <v>33.767000000000003</v>
      </c>
      <c r="AL863" s="11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</row>
    <row r="864" spans="1:147" x14ac:dyDescent="0.3">
      <c r="A864" s="9">
        <f>DATE(2020, 5, 5)</f>
        <v>43956</v>
      </c>
      <c r="B864" s="10">
        <v>30.97</v>
      </c>
      <c r="C864" s="10">
        <v>31.91</v>
      </c>
      <c r="D864" s="10">
        <v>32.85</v>
      </c>
      <c r="E864" s="10">
        <v>33.69</v>
      </c>
      <c r="F864" s="10">
        <v>34.46</v>
      </c>
      <c r="G864" s="10">
        <v>35.08</v>
      </c>
      <c r="H864" s="10">
        <v>35.56</v>
      </c>
      <c r="I864" s="10">
        <v>35.97</v>
      </c>
      <c r="J864" s="10">
        <v>36.39</v>
      </c>
      <c r="K864" s="10">
        <v>36.700000000000003</v>
      </c>
      <c r="L864" s="10">
        <v>37.049999999999997</v>
      </c>
      <c r="M864" s="10">
        <v>37.39</v>
      </c>
      <c r="N864" s="10">
        <v>24.56</v>
      </c>
      <c r="O864" s="10">
        <v>26.49</v>
      </c>
      <c r="P864" s="10">
        <v>28.09</v>
      </c>
      <c r="Q864" s="10">
        <v>29.26</v>
      </c>
      <c r="R864" s="10">
        <v>30.14</v>
      </c>
      <c r="S864" s="10">
        <v>30.95</v>
      </c>
      <c r="T864" s="10">
        <v>31.65</v>
      </c>
      <c r="U864" s="10">
        <v>32.229999999999997</v>
      </c>
      <c r="V864" s="10">
        <v>32.729999999999997</v>
      </c>
      <c r="W864" s="10">
        <v>33.159999999999997</v>
      </c>
      <c r="X864" s="10">
        <v>33.520000000000003</v>
      </c>
      <c r="Y864" s="10">
        <v>33.83</v>
      </c>
      <c r="Z864" s="11">
        <v>28.599</v>
      </c>
      <c r="AA864" s="11">
        <v>31.632999999999999</v>
      </c>
      <c r="AB864" s="11">
        <v>32.296999999999997</v>
      </c>
      <c r="AC864" s="11">
        <v>32.792999999999999</v>
      </c>
      <c r="AD864" s="11">
        <v>33.277999999999999</v>
      </c>
      <c r="AE864" s="11">
        <v>33.701999999999998</v>
      </c>
      <c r="AF864" s="11">
        <v>34.04</v>
      </c>
      <c r="AG864" s="11">
        <v>34.378</v>
      </c>
      <c r="AH864" s="11">
        <v>34.756</v>
      </c>
      <c r="AI864" s="11">
        <v>35.097999999999999</v>
      </c>
      <c r="AJ864" s="11">
        <v>35.435000000000002</v>
      </c>
      <c r="AK864" s="11">
        <v>35.783000000000001</v>
      </c>
      <c r="AL864" s="11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</row>
    <row r="865" spans="1:147" x14ac:dyDescent="0.3">
      <c r="A865" s="9">
        <f>DATE(2020, 5, 6)</f>
        <v>43957</v>
      </c>
      <c r="B865" s="10">
        <v>29.72</v>
      </c>
      <c r="C865" s="10">
        <v>30.6</v>
      </c>
      <c r="D865" s="10">
        <v>31.49</v>
      </c>
      <c r="E865" s="10">
        <v>32.31</v>
      </c>
      <c r="F865" s="10">
        <v>33.11</v>
      </c>
      <c r="G865" s="10">
        <v>33.78</v>
      </c>
      <c r="H865" s="10">
        <v>34.31</v>
      </c>
      <c r="I865" s="10">
        <v>34.75</v>
      </c>
      <c r="J865" s="10">
        <v>35.19</v>
      </c>
      <c r="K865" s="10">
        <v>35.520000000000003</v>
      </c>
      <c r="L865" s="10">
        <v>35.9</v>
      </c>
      <c r="M865" s="10">
        <v>36.26</v>
      </c>
      <c r="N865" s="10">
        <v>23.99</v>
      </c>
      <c r="O865" s="10">
        <v>25.62</v>
      </c>
      <c r="P865" s="10">
        <v>27.04</v>
      </c>
      <c r="Q865" s="10">
        <v>28.19</v>
      </c>
      <c r="R865" s="10">
        <v>29.03</v>
      </c>
      <c r="S865" s="10">
        <v>29.78</v>
      </c>
      <c r="T865" s="10">
        <v>30.47</v>
      </c>
      <c r="U865" s="10">
        <v>31.03</v>
      </c>
      <c r="V865" s="10">
        <v>31.51</v>
      </c>
      <c r="W865" s="10">
        <v>31.94</v>
      </c>
      <c r="X865" s="10">
        <v>32.32</v>
      </c>
      <c r="Y865" s="10">
        <v>32.65</v>
      </c>
      <c r="Z865" s="11">
        <v>26.859000000000002</v>
      </c>
      <c r="AA865" s="11">
        <v>29.99</v>
      </c>
      <c r="AB865" s="11">
        <v>30.776</v>
      </c>
      <c r="AC865" s="11">
        <v>31.436</v>
      </c>
      <c r="AD865" s="11">
        <v>32.01</v>
      </c>
      <c r="AE865" s="11">
        <v>32.494</v>
      </c>
      <c r="AF865" s="11">
        <v>32.881</v>
      </c>
      <c r="AG865" s="11">
        <v>33.26</v>
      </c>
      <c r="AH865" s="11">
        <v>33.637</v>
      </c>
      <c r="AI865" s="11">
        <v>33.999000000000002</v>
      </c>
      <c r="AJ865" s="11">
        <v>34.366</v>
      </c>
      <c r="AK865" s="11">
        <v>34.734000000000002</v>
      </c>
      <c r="AL865" s="11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</row>
    <row r="866" spans="1:147" x14ac:dyDescent="0.3">
      <c r="A866" s="9">
        <f>DATE(2020, 5, 7)</f>
        <v>43958</v>
      </c>
      <c r="B866" s="10">
        <v>29.46</v>
      </c>
      <c r="C866" s="10">
        <v>30.4</v>
      </c>
      <c r="D866" s="10">
        <v>31.23</v>
      </c>
      <c r="E866" s="10">
        <v>32.01</v>
      </c>
      <c r="F866" s="10">
        <v>32.79</v>
      </c>
      <c r="G866" s="10">
        <v>33.49</v>
      </c>
      <c r="H866" s="10">
        <v>34.049999999999997</v>
      </c>
      <c r="I866" s="10">
        <v>34.53</v>
      </c>
      <c r="J866" s="10">
        <v>35</v>
      </c>
      <c r="K866" s="10">
        <v>35.35</v>
      </c>
      <c r="L866" s="10">
        <v>35.74</v>
      </c>
      <c r="M866" s="10">
        <v>36.11</v>
      </c>
      <c r="N866" s="10">
        <v>23.55</v>
      </c>
      <c r="O866" s="10">
        <v>24.83</v>
      </c>
      <c r="P866" s="10">
        <v>26.49</v>
      </c>
      <c r="Q866" s="10">
        <v>27.81</v>
      </c>
      <c r="R866" s="10">
        <v>28.68</v>
      </c>
      <c r="S866" s="10">
        <v>29.45</v>
      </c>
      <c r="T866" s="10">
        <v>30.12</v>
      </c>
      <c r="U866" s="10">
        <v>30.69</v>
      </c>
      <c r="V866" s="10">
        <v>31.18</v>
      </c>
      <c r="W866" s="10">
        <v>31.62</v>
      </c>
      <c r="X866" s="10">
        <v>32</v>
      </c>
      <c r="Y866" s="10">
        <v>32.340000000000003</v>
      </c>
      <c r="Z866" s="11">
        <v>27.44</v>
      </c>
      <c r="AA866" s="11">
        <v>30.288</v>
      </c>
      <c r="AB866" s="11">
        <v>30.834</v>
      </c>
      <c r="AC866" s="11">
        <v>31.474</v>
      </c>
      <c r="AD866" s="11">
        <v>31.962</v>
      </c>
      <c r="AE866" s="11">
        <v>32.445</v>
      </c>
      <c r="AF866" s="11">
        <v>32.813000000000002</v>
      </c>
      <c r="AG866" s="11">
        <v>33.152999999999999</v>
      </c>
      <c r="AH866" s="11">
        <v>33.518000000000001</v>
      </c>
      <c r="AI866" s="11">
        <v>33.880000000000003</v>
      </c>
      <c r="AJ866" s="11">
        <v>34.256</v>
      </c>
      <c r="AK866" s="11">
        <v>34.634999999999998</v>
      </c>
      <c r="AL866" s="11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</row>
    <row r="867" spans="1:147" x14ac:dyDescent="0.3">
      <c r="A867" s="9">
        <f>DATE(2020, 5, 8)</f>
        <v>43959</v>
      </c>
      <c r="B867" s="10">
        <v>30.97</v>
      </c>
      <c r="C867" s="10">
        <v>32.08</v>
      </c>
      <c r="D867" s="10">
        <v>33.06</v>
      </c>
      <c r="E867" s="10">
        <v>33.880000000000003</v>
      </c>
      <c r="F867" s="10">
        <v>34.659999999999997</v>
      </c>
      <c r="G867" s="10">
        <v>35.33</v>
      </c>
      <c r="H867" s="10">
        <v>35.869999999999997</v>
      </c>
      <c r="I867" s="10">
        <v>36.35</v>
      </c>
      <c r="J867" s="10">
        <v>36.81</v>
      </c>
      <c r="K867" s="10">
        <v>37.17</v>
      </c>
      <c r="L867" s="10">
        <v>37.549999999999997</v>
      </c>
      <c r="M867" s="10">
        <v>37.909999999999997</v>
      </c>
      <c r="N867" s="10">
        <v>24.74</v>
      </c>
      <c r="O867" s="10">
        <v>26.17</v>
      </c>
      <c r="P867" s="10">
        <v>28.05</v>
      </c>
      <c r="Q867" s="10">
        <v>29.51</v>
      </c>
      <c r="R867" s="10">
        <v>30.48</v>
      </c>
      <c r="S867" s="10">
        <v>31.27</v>
      </c>
      <c r="T867" s="10">
        <v>31.94</v>
      </c>
      <c r="U867" s="10">
        <v>32.5</v>
      </c>
      <c r="V867" s="10">
        <v>32.979999999999997</v>
      </c>
      <c r="W867" s="10">
        <v>33.39</v>
      </c>
      <c r="X867" s="10">
        <v>33.74</v>
      </c>
      <c r="Y867" s="10">
        <v>34.07</v>
      </c>
      <c r="Z867" s="11">
        <v>28.585000000000001</v>
      </c>
      <c r="AA867" s="11">
        <v>31.895</v>
      </c>
      <c r="AB867" s="11">
        <v>32.606000000000002</v>
      </c>
      <c r="AC867" s="11">
        <v>33.264000000000003</v>
      </c>
      <c r="AD867" s="11">
        <v>33.840000000000003</v>
      </c>
      <c r="AE867" s="11">
        <v>34.375</v>
      </c>
      <c r="AF867" s="11">
        <v>34.753</v>
      </c>
      <c r="AG867" s="11">
        <v>35.112000000000002</v>
      </c>
      <c r="AH867" s="11">
        <v>35.468000000000004</v>
      </c>
      <c r="AI867" s="11">
        <v>35.798999999999999</v>
      </c>
      <c r="AJ867" s="11">
        <v>36.125999999999998</v>
      </c>
      <c r="AK867" s="11">
        <v>36.454000000000001</v>
      </c>
      <c r="AL867" s="11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</row>
    <row r="868" spans="1:147" x14ac:dyDescent="0.3">
      <c r="A868" s="9">
        <f>DATE(2020, 5, 11)</f>
        <v>43962</v>
      </c>
      <c r="B868" s="10">
        <v>29.63</v>
      </c>
      <c r="C868" s="10">
        <v>30.65</v>
      </c>
      <c r="D868" s="10">
        <v>31.57</v>
      </c>
      <c r="E868" s="10">
        <v>32.4</v>
      </c>
      <c r="F868" s="10">
        <v>33.21</v>
      </c>
      <c r="G868" s="10">
        <v>33.93</v>
      </c>
      <c r="H868" s="10">
        <v>34.51</v>
      </c>
      <c r="I868" s="10">
        <v>35.01</v>
      </c>
      <c r="J868" s="10">
        <v>35.51</v>
      </c>
      <c r="K868" s="10">
        <v>35.880000000000003</v>
      </c>
      <c r="L868" s="10">
        <v>36.28</v>
      </c>
      <c r="M868" s="10">
        <v>36.65</v>
      </c>
      <c r="N868" s="10">
        <v>24.14</v>
      </c>
      <c r="O868" s="10">
        <v>25.08</v>
      </c>
      <c r="P868" s="10">
        <v>26.76</v>
      </c>
      <c r="Q868" s="10">
        <v>28.1</v>
      </c>
      <c r="R868" s="10">
        <v>29.05</v>
      </c>
      <c r="S868" s="10">
        <v>29.87</v>
      </c>
      <c r="T868" s="10">
        <v>30.57</v>
      </c>
      <c r="U868" s="10">
        <v>31.15</v>
      </c>
      <c r="V868" s="10">
        <v>31.64</v>
      </c>
      <c r="W868" s="10">
        <v>32.06</v>
      </c>
      <c r="X868" s="10">
        <v>32.42</v>
      </c>
      <c r="Y868" s="10">
        <v>32.75</v>
      </c>
      <c r="Z868" s="11">
        <v>26.652000000000001</v>
      </c>
      <c r="AA868" s="11">
        <v>30.321999999999999</v>
      </c>
      <c r="AB868" s="11">
        <v>31.015999999999998</v>
      </c>
      <c r="AC868" s="11">
        <v>31.696999999999999</v>
      </c>
      <c r="AD868" s="11">
        <v>32.343000000000004</v>
      </c>
      <c r="AE868" s="11">
        <v>32.915999999999997</v>
      </c>
      <c r="AF868" s="11">
        <v>33.323999999999998</v>
      </c>
      <c r="AG868" s="11">
        <v>33.704999999999998</v>
      </c>
      <c r="AH868" s="11">
        <v>34.098999999999997</v>
      </c>
      <c r="AI868" s="11">
        <v>34.479999999999997</v>
      </c>
      <c r="AJ868" s="11">
        <v>34.856000000000002</v>
      </c>
      <c r="AK868" s="11">
        <v>35.204999999999998</v>
      </c>
      <c r="AL868" s="11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</row>
    <row r="869" spans="1:147" x14ac:dyDescent="0.3">
      <c r="A869" s="9">
        <f>DATE(2020, 5, 12)</f>
        <v>43963</v>
      </c>
      <c r="B869" s="10">
        <v>29.98</v>
      </c>
      <c r="C869" s="10">
        <v>30.81</v>
      </c>
      <c r="D869" s="10">
        <v>31.6</v>
      </c>
      <c r="E869" s="10">
        <v>32.35</v>
      </c>
      <c r="F869" s="10">
        <v>33.11</v>
      </c>
      <c r="G869" s="10">
        <v>33.799999999999997</v>
      </c>
      <c r="H869" s="10">
        <v>34.35</v>
      </c>
      <c r="I869" s="10">
        <v>34.83</v>
      </c>
      <c r="J869" s="10">
        <v>35.299999999999997</v>
      </c>
      <c r="K869" s="10">
        <v>35.67</v>
      </c>
      <c r="L869" s="10">
        <v>36.04</v>
      </c>
      <c r="M869" s="10">
        <v>36.39</v>
      </c>
      <c r="N869" s="10">
        <v>25.78</v>
      </c>
      <c r="O869" s="10">
        <v>26.33</v>
      </c>
      <c r="P869" s="10">
        <v>27.43</v>
      </c>
      <c r="Q869" s="10">
        <v>28.49</v>
      </c>
      <c r="R869" s="10">
        <v>29.26</v>
      </c>
      <c r="S869" s="10">
        <v>29.97</v>
      </c>
      <c r="T869" s="10">
        <v>30.6</v>
      </c>
      <c r="U869" s="10">
        <v>31.11</v>
      </c>
      <c r="V869" s="10">
        <v>31.54</v>
      </c>
      <c r="W869" s="10">
        <v>31.92</v>
      </c>
      <c r="X869" s="10">
        <v>32.26</v>
      </c>
      <c r="Y869" s="10">
        <v>32.57</v>
      </c>
      <c r="Z869" s="11">
        <v>27.08</v>
      </c>
      <c r="AA869" s="11">
        <v>30.565999999999999</v>
      </c>
      <c r="AB869" s="11">
        <v>31.093</v>
      </c>
      <c r="AC869" s="11">
        <v>31.611999999999998</v>
      </c>
      <c r="AD869" s="11">
        <v>32.121000000000002</v>
      </c>
      <c r="AE869" s="11">
        <v>32.615000000000002</v>
      </c>
      <c r="AF869" s="11">
        <v>32.993000000000002</v>
      </c>
      <c r="AG869" s="11">
        <v>33.332999999999998</v>
      </c>
      <c r="AH869" s="11">
        <v>33.698999999999998</v>
      </c>
      <c r="AI869" s="11">
        <v>34.088999999999999</v>
      </c>
      <c r="AJ869" s="11">
        <v>34.494999999999997</v>
      </c>
      <c r="AK869" s="11">
        <v>34.865000000000002</v>
      </c>
      <c r="AL869" s="11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</row>
    <row r="870" spans="1:147" x14ac:dyDescent="0.3">
      <c r="A870" s="9">
        <f>DATE(2020, 5, 13)</f>
        <v>43964</v>
      </c>
      <c r="B870" s="10">
        <v>29.19</v>
      </c>
      <c r="C870" s="10">
        <v>29.96</v>
      </c>
      <c r="D870" s="10">
        <v>30.73</v>
      </c>
      <c r="E870" s="10">
        <v>31.55</v>
      </c>
      <c r="F870" s="10">
        <v>32.4</v>
      </c>
      <c r="G870" s="10">
        <v>33.17</v>
      </c>
      <c r="H870" s="10">
        <v>33.799999999999997</v>
      </c>
      <c r="I870" s="10">
        <v>34.380000000000003</v>
      </c>
      <c r="J870" s="10">
        <v>34.92</v>
      </c>
      <c r="K870" s="10">
        <v>35.35</v>
      </c>
      <c r="L870" s="10">
        <v>35.78</v>
      </c>
      <c r="M870" s="10">
        <v>36.200000000000003</v>
      </c>
      <c r="N870" s="10">
        <v>25.29</v>
      </c>
      <c r="O870" s="10">
        <v>25.68</v>
      </c>
      <c r="P870" s="10">
        <v>26.8</v>
      </c>
      <c r="Q870" s="10">
        <v>27.84</v>
      </c>
      <c r="R870" s="10">
        <v>28.62</v>
      </c>
      <c r="S870" s="10">
        <v>29.37</v>
      </c>
      <c r="T870" s="10">
        <v>30.06</v>
      </c>
      <c r="U870" s="10">
        <v>30.65</v>
      </c>
      <c r="V870" s="10">
        <v>31.16</v>
      </c>
      <c r="W870" s="10">
        <v>31.6</v>
      </c>
      <c r="X870" s="10">
        <v>31.98</v>
      </c>
      <c r="Y870" s="10">
        <v>32.340000000000003</v>
      </c>
      <c r="Z870" s="11">
        <v>27.027999999999999</v>
      </c>
      <c r="AA870" s="11">
        <v>30.295000000000002</v>
      </c>
      <c r="AB870" s="11">
        <v>30.635999999999999</v>
      </c>
      <c r="AC870" s="11">
        <v>31.111000000000001</v>
      </c>
      <c r="AD870" s="11">
        <v>31.684999999999999</v>
      </c>
      <c r="AE870" s="11">
        <v>32.198999999999998</v>
      </c>
      <c r="AF870" s="11">
        <v>32.588000000000001</v>
      </c>
      <c r="AG870" s="11">
        <v>32.929000000000002</v>
      </c>
      <c r="AH870" s="11">
        <v>33.351999999999997</v>
      </c>
      <c r="AI870" s="11">
        <v>33.781999999999996</v>
      </c>
      <c r="AJ870" s="11">
        <v>34.218000000000004</v>
      </c>
      <c r="AK870" s="11">
        <v>34.646999999999998</v>
      </c>
      <c r="AL870" s="11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</row>
    <row r="871" spans="1:147" x14ac:dyDescent="0.3">
      <c r="A871" s="9">
        <f>DATE(2020, 5, 14)</f>
        <v>43965</v>
      </c>
      <c r="B871" s="10">
        <v>31.13</v>
      </c>
      <c r="C871" s="10">
        <v>31.64</v>
      </c>
      <c r="D871" s="10">
        <v>32.22</v>
      </c>
      <c r="E871" s="10">
        <v>32.869999999999997</v>
      </c>
      <c r="F871" s="10">
        <v>33.590000000000003</v>
      </c>
      <c r="G871" s="10">
        <v>34.26</v>
      </c>
      <c r="H871" s="10">
        <v>34.81</v>
      </c>
      <c r="I871" s="10">
        <v>35.299999999999997</v>
      </c>
      <c r="J871" s="10">
        <v>35.78</v>
      </c>
      <c r="K871" s="10">
        <v>36.18</v>
      </c>
      <c r="L871" s="10">
        <v>36.590000000000003</v>
      </c>
      <c r="M871" s="10">
        <v>36.979999999999997</v>
      </c>
      <c r="N871" s="10">
        <v>27.56</v>
      </c>
      <c r="O871" s="10">
        <v>27.88</v>
      </c>
      <c r="P871" s="10">
        <v>28.66</v>
      </c>
      <c r="Q871" s="10">
        <v>29.42</v>
      </c>
      <c r="R871" s="10">
        <v>30</v>
      </c>
      <c r="S871" s="10">
        <v>30.57</v>
      </c>
      <c r="T871" s="10">
        <v>31.11</v>
      </c>
      <c r="U871" s="10">
        <v>31.58</v>
      </c>
      <c r="V871" s="10">
        <v>32.01</v>
      </c>
      <c r="W871" s="10">
        <v>32.409999999999997</v>
      </c>
      <c r="X871" s="10">
        <v>32.770000000000003</v>
      </c>
      <c r="Y871" s="10">
        <v>33.1</v>
      </c>
      <c r="Z871" s="11">
        <v>29.13</v>
      </c>
      <c r="AA871" s="11">
        <v>32.496000000000002</v>
      </c>
      <c r="AB871" s="11">
        <v>32.438000000000002</v>
      </c>
      <c r="AC871" s="11">
        <v>32.609000000000002</v>
      </c>
      <c r="AD871" s="11">
        <v>32.81</v>
      </c>
      <c r="AE871" s="11">
        <v>33.145000000000003</v>
      </c>
      <c r="AF871" s="11">
        <v>33.463000000000001</v>
      </c>
      <c r="AG871" s="11">
        <v>33.764000000000003</v>
      </c>
      <c r="AH871" s="11">
        <v>34.119999999999997</v>
      </c>
      <c r="AI871" s="11">
        <v>34.521000000000001</v>
      </c>
      <c r="AJ871" s="11">
        <v>34.927</v>
      </c>
      <c r="AK871" s="11">
        <v>35.286000000000001</v>
      </c>
      <c r="AL871" s="11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</row>
    <row r="872" spans="1:147" x14ac:dyDescent="0.3">
      <c r="A872" s="9">
        <f>DATE(2020, 5, 15)</f>
        <v>43966</v>
      </c>
      <c r="B872" s="10">
        <v>32.5</v>
      </c>
      <c r="C872" s="10">
        <v>32.799999999999997</v>
      </c>
      <c r="D872" s="10">
        <v>33.28</v>
      </c>
      <c r="E872" s="10">
        <v>33.840000000000003</v>
      </c>
      <c r="F872" s="10">
        <v>34.49</v>
      </c>
      <c r="G872" s="10">
        <v>35.11</v>
      </c>
      <c r="H872" s="10">
        <v>35.61</v>
      </c>
      <c r="I872" s="10">
        <v>36.049999999999997</v>
      </c>
      <c r="J872" s="10">
        <v>36.47</v>
      </c>
      <c r="K872" s="10">
        <v>36.83</v>
      </c>
      <c r="L872" s="10">
        <v>37.19</v>
      </c>
      <c r="M872" s="10">
        <v>37.549999999999997</v>
      </c>
      <c r="N872" s="10">
        <v>29.43</v>
      </c>
      <c r="O872" s="10">
        <v>29.52</v>
      </c>
      <c r="P872" s="10">
        <v>30.12</v>
      </c>
      <c r="Q872" s="10">
        <v>30.69</v>
      </c>
      <c r="R872" s="10">
        <v>31.11</v>
      </c>
      <c r="S872" s="10">
        <v>31.56</v>
      </c>
      <c r="T872" s="10">
        <v>32.01</v>
      </c>
      <c r="U872" s="10">
        <v>32.4</v>
      </c>
      <c r="V872" s="10">
        <v>32.76</v>
      </c>
      <c r="W872" s="10">
        <v>33.1</v>
      </c>
      <c r="X872" s="10">
        <v>33.42</v>
      </c>
      <c r="Y872" s="10">
        <v>33.72</v>
      </c>
      <c r="Z872" s="11">
        <v>29.675999999999998</v>
      </c>
      <c r="AA872" s="11">
        <v>32.981999999999999</v>
      </c>
      <c r="AB872" s="11">
        <v>33.103999999999999</v>
      </c>
      <c r="AC872" s="11">
        <v>33.341999999999999</v>
      </c>
      <c r="AD872" s="11">
        <v>33.637999999999998</v>
      </c>
      <c r="AE872" s="11">
        <v>34.012999999999998</v>
      </c>
      <c r="AF872" s="11">
        <v>34.331000000000003</v>
      </c>
      <c r="AG872" s="11">
        <v>34.658000000000001</v>
      </c>
      <c r="AH872" s="11">
        <v>34.978000000000002</v>
      </c>
      <c r="AI872" s="11">
        <v>35.308</v>
      </c>
      <c r="AJ872" s="11">
        <v>35.646000000000001</v>
      </c>
      <c r="AK872" s="11">
        <v>36.003999999999998</v>
      </c>
      <c r="AL872" s="11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</row>
    <row r="873" spans="1:147" x14ac:dyDescent="0.3">
      <c r="A873" s="9">
        <f>DATE(2020, 5, 18)</f>
        <v>43969</v>
      </c>
      <c r="B873" s="10">
        <v>34.81</v>
      </c>
      <c r="C873" s="10">
        <v>35.049999999999997</v>
      </c>
      <c r="D873" s="10">
        <v>35.49</v>
      </c>
      <c r="E873" s="10">
        <v>36</v>
      </c>
      <c r="F873" s="10">
        <v>36.56</v>
      </c>
      <c r="G873" s="10">
        <v>37.11</v>
      </c>
      <c r="H873" s="10">
        <v>37.57</v>
      </c>
      <c r="I873" s="10">
        <v>37.99</v>
      </c>
      <c r="J873" s="10">
        <v>38.39</v>
      </c>
      <c r="K873" s="10">
        <v>38.74</v>
      </c>
      <c r="L873" s="10">
        <v>39.090000000000003</v>
      </c>
      <c r="M873" s="10">
        <v>39.43</v>
      </c>
      <c r="N873" s="10">
        <v>31.82</v>
      </c>
      <c r="O873" s="10">
        <v>31.65</v>
      </c>
      <c r="P873" s="10">
        <v>32.270000000000003</v>
      </c>
      <c r="Q873" s="10">
        <v>32.869999999999997</v>
      </c>
      <c r="R873" s="10">
        <v>33.25</v>
      </c>
      <c r="S873" s="10">
        <v>33.659999999999997</v>
      </c>
      <c r="T873" s="10">
        <v>34.07</v>
      </c>
      <c r="U873" s="10">
        <v>34.43</v>
      </c>
      <c r="V873" s="10">
        <v>34.770000000000003</v>
      </c>
      <c r="W873" s="10">
        <v>35.08</v>
      </c>
      <c r="X873" s="10">
        <v>35.39</v>
      </c>
      <c r="Y873" s="10">
        <v>35.67</v>
      </c>
      <c r="Z873" s="11">
        <v>30.581</v>
      </c>
      <c r="AA873" s="11">
        <v>34.869999999999997</v>
      </c>
      <c r="AB873" s="11">
        <v>35.072000000000003</v>
      </c>
      <c r="AC873" s="11">
        <v>35.393000000000001</v>
      </c>
      <c r="AD873" s="11">
        <v>35.674999999999997</v>
      </c>
      <c r="AE873" s="11">
        <v>35.970999999999997</v>
      </c>
      <c r="AF873" s="11">
        <v>36.26</v>
      </c>
      <c r="AG873" s="11">
        <v>36.545999999999999</v>
      </c>
      <c r="AH873" s="11">
        <v>36.857999999999997</v>
      </c>
      <c r="AI873" s="11">
        <v>37.167999999999999</v>
      </c>
      <c r="AJ873" s="11">
        <v>37.484999999999999</v>
      </c>
      <c r="AK873" s="11">
        <v>37.844000000000001</v>
      </c>
      <c r="AL873" s="11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</row>
    <row r="874" spans="1:147" x14ac:dyDescent="0.3">
      <c r="A874" s="9">
        <f>DATE(2020, 5, 19)</f>
        <v>43970</v>
      </c>
      <c r="B874" s="10">
        <v>34.65</v>
      </c>
      <c r="C874" s="10">
        <v>34.94</v>
      </c>
      <c r="D874" s="10">
        <v>35.42</v>
      </c>
      <c r="E874" s="10">
        <v>35.92</v>
      </c>
      <c r="F874" s="10">
        <v>36.47</v>
      </c>
      <c r="G874" s="10">
        <v>37.01</v>
      </c>
      <c r="H874" s="10">
        <v>37.46</v>
      </c>
      <c r="I874" s="10">
        <v>37.869999999999997</v>
      </c>
      <c r="J874" s="10">
        <v>38.28</v>
      </c>
      <c r="K874" s="10">
        <v>38.619999999999997</v>
      </c>
      <c r="L874" s="10">
        <v>38.979999999999997</v>
      </c>
      <c r="M874" s="10">
        <v>39.32</v>
      </c>
      <c r="N874" s="10">
        <v>32.5</v>
      </c>
      <c r="O874" s="10">
        <v>31.96</v>
      </c>
      <c r="P874" s="10">
        <v>32.47</v>
      </c>
      <c r="Q874" s="10">
        <v>33.01</v>
      </c>
      <c r="R874" s="10">
        <v>33.380000000000003</v>
      </c>
      <c r="S874" s="10">
        <v>33.770000000000003</v>
      </c>
      <c r="T874" s="10">
        <v>34.17</v>
      </c>
      <c r="U874" s="10">
        <v>34.51</v>
      </c>
      <c r="V874" s="10">
        <v>34.83</v>
      </c>
      <c r="W874" s="10">
        <v>35.130000000000003</v>
      </c>
      <c r="X874" s="10">
        <v>35.409999999999997</v>
      </c>
      <c r="Y874" s="10">
        <v>35.68</v>
      </c>
      <c r="Z874" s="11">
        <v>30.265000000000001</v>
      </c>
      <c r="AA874" s="11">
        <v>34.582000000000001</v>
      </c>
      <c r="AB874" s="11">
        <v>34.902000000000001</v>
      </c>
      <c r="AC874" s="11">
        <v>35.271999999999998</v>
      </c>
      <c r="AD874" s="11">
        <v>35.664999999999999</v>
      </c>
      <c r="AE874" s="11">
        <v>36</v>
      </c>
      <c r="AF874" s="11">
        <v>36.270000000000003</v>
      </c>
      <c r="AG874" s="11">
        <v>36.517000000000003</v>
      </c>
      <c r="AH874" s="11">
        <v>36.807000000000002</v>
      </c>
      <c r="AI874" s="11">
        <v>37.118000000000002</v>
      </c>
      <c r="AJ874" s="11">
        <v>37.454999999999998</v>
      </c>
      <c r="AK874" s="11">
        <v>37.813000000000002</v>
      </c>
      <c r="AL874" s="11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</row>
    <row r="875" spans="1:147" x14ac:dyDescent="0.3">
      <c r="A875" s="9">
        <f>DATE(2020, 5, 20)</f>
        <v>43971</v>
      </c>
      <c r="B875" s="10">
        <v>35.75</v>
      </c>
      <c r="C875" s="10">
        <v>36.020000000000003</v>
      </c>
      <c r="D875" s="10">
        <v>36.47</v>
      </c>
      <c r="E875" s="10">
        <v>36.909999999999997</v>
      </c>
      <c r="F875" s="10">
        <v>37.4</v>
      </c>
      <c r="G875" s="10">
        <v>37.880000000000003</v>
      </c>
      <c r="H875" s="10">
        <v>38.270000000000003</v>
      </c>
      <c r="I875" s="10">
        <v>38.630000000000003</v>
      </c>
      <c r="J875" s="10">
        <v>39</v>
      </c>
      <c r="K875" s="10">
        <v>39.31</v>
      </c>
      <c r="L875" s="10">
        <v>39.64</v>
      </c>
      <c r="M875" s="10">
        <v>39.950000000000003</v>
      </c>
      <c r="N875" s="10">
        <v>33.49</v>
      </c>
      <c r="O875" s="10">
        <v>33.94</v>
      </c>
      <c r="P875" s="10">
        <v>34.380000000000003</v>
      </c>
      <c r="Q875" s="10">
        <v>34.65</v>
      </c>
      <c r="R875" s="10">
        <v>34.94</v>
      </c>
      <c r="S875" s="10">
        <v>35.229999999999997</v>
      </c>
      <c r="T875" s="10">
        <v>35.479999999999997</v>
      </c>
      <c r="U875" s="10">
        <v>35.72</v>
      </c>
      <c r="V875" s="10">
        <v>35.96</v>
      </c>
      <c r="W875" s="10">
        <v>36.19</v>
      </c>
      <c r="X875" s="10">
        <v>36.42</v>
      </c>
      <c r="Y875" s="10">
        <v>36.65</v>
      </c>
      <c r="Z875" s="11">
        <v>30.529</v>
      </c>
      <c r="AA875" s="11">
        <v>35.64</v>
      </c>
      <c r="AB875" s="11">
        <v>35.908999999999999</v>
      </c>
      <c r="AC875" s="11">
        <v>36.277000000000001</v>
      </c>
      <c r="AD875" s="11">
        <v>36.642000000000003</v>
      </c>
      <c r="AE875" s="11">
        <v>36.957999999999998</v>
      </c>
      <c r="AF875" s="11">
        <v>37.186999999999998</v>
      </c>
      <c r="AG875" s="11">
        <v>37.384</v>
      </c>
      <c r="AH875" s="11">
        <v>37.616</v>
      </c>
      <c r="AI875" s="11">
        <v>37.866999999999997</v>
      </c>
      <c r="AJ875" s="11">
        <v>38.143000000000001</v>
      </c>
      <c r="AK875" s="11">
        <v>38.463000000000001</v>
      </c>
      <c r="AL875" s="11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</row>
    <row r="876" spans="1:147" x14ac:dyDescent="0.3">
      <c r="A876" s="9">
        <f>DATE(2020, 5, 21)</f>
        <v>43972</v>
      </c>
      <c r="B876" s="10">
        <v>36.06</v>
      </c>
      <c r="C876" s="10">
        <v>36.409999999999997</v>
      </c>
      <c r="D876" s="10">
        <v>36.83</v>
      </c>
      <c r="E876" s="10">
        <v>37.25</v>
      </c>
      <c r="F876" s="10">
        <v>37.72</v>
      </c>
      <c r="G876" s="10">
        <v>38.18</v>
      </c>
      <c r="H876" s="10">
        <v>38.54</v>
      </c>
      <c r="I876" s="10">
        <v>38.869999999999997</v>
      </c>
      <c r="J876" s="10">
        <v>39.22</v>
      </c>
      <c r="K876" s="10">
        <v>39.5</v>
      </c>
      <c r="L876" s="10">
        <v>39.81</v>
      </c>
      <c r="M876" s="10">
        <v>40.1</v>
      </c>
      <c r="N876" s="10">
        <v>33.92</v>
      </c>
      <c r="O876" s="10">
        <v>34.340000000000003</v>
      </c>
      <c r="P876" s="10">
        <v>34.81</v>
      </c>
      <c r="Q876" s="10">
        <v>35.119999999999997</v>
      </c>
      <c r="R876" s="10">
        <v>35.42</v>
      </c>
      <c r="S876" s="10">
        <v>35.700000000000003</v>
      </c>
      <c r="T876" s="10">
        <v>35.94</v>
      </c>
      <c r="U876" s="10">
        <v>36.159999999999997</v>
      </c>
      <c r="V876" s="10">
        <v>36.369999999999997</v>
      </c>
      <c r="W876" s="10">
        <v>36.57</v>
      </c>
      <c r="X876" s="10">
        <v>36.770000000000003</v>
      </c>
      <c r="Y876" s="10">
        <v>36.979999999999997</v>
      </c>
      <c r="Z876" s="11">
        <v>30.548999999999999</v>
      </c>
      <c r="AA876" s="11">
        <v>36.209000000000003</v>
      </c>
      <c r="AB876" s="11">
        <v>36.417999999999999</v>
      </c>
      <c r="AC876" s="11">
        <v>36.725000000000001</v>
      </c>
      <c r="AD876" s="11">
        <v>37.030999999999999</v>
      </c>
      <c r="AE876" s="11">
        <v>37.286000000000001</v>
      </c>
      <c r="AF876" s="11">
        <v>37.466000000000001</v>
      </c>
      <c r="AG876" s="11">
        <v>37.631999999999998</v>
      </c>
      <c r="AH876" s="11">
        <v>37.834000000000003</v>
      </c>
      <c r="AI876" s="11">
        <v>38.055999999999997</v>
      </c>
      <c r="AJ876" s="11">
        <v>38.332999999999998</v>
      </c>
      <c r="AK876" s="11">
        <v>38.642000000000003</v>
      </c>
      <c r="AL876" s="11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</row>
    <row r="877" spans="1:147" x14ac:dyDescent="0.3">
      <c r="A877" s="9">
        <f>DATE(2020, 5, 22)</f>
        <v>43973</v>
      </c>
      <c r="B877" s="10">
        <v>35.130000000000003</v>
      </c>
      <c r="C877" s="10">
        <v>35.659999999999997</v>
      </c>
      <c r="D877" s="10">
        <v>36.14</v>
      </c>
      <c r="E877" s="10">
        <v>36.64</v>
      </c>
      <c r="F877" s="10">
        <v>37.159999999999997</v>
      </c>
      <c r="G877" s="10">
        <v>37.659999999999997</v>
      </c>
      <c r="H877" s="10">
        <v>38.04</v>
      </c>
      <c r="I877" s="10">
        <v>38.39</v>
      </c>
      <c r="J877" s="10">
        <v>38.76</v>
      </c>
      <c r="K877" s="10">
        <v>39.07</v>
      </c>
      <c r="L877" s="10">
        <v>39.39</v>
      </c>
      <c r="M877" s="10">
        <v>39.700000000000003</v>
      </c>
      <c r="N877" s="10">
        <v>33.25</v>
      </c>
      <c r="O877" s="10">
        <v>33.65</v>
      </c>
      <c r="P877" s="10">
        <v>34.14</v>
      </c>
      <c r="Q877" s="10">
        <v>34.49</v>
      </c>
      <c r="R877" s="10">
        <v>34.840000000000003</v>
      </c>
      <c r="S877" s="10">
        <v>35.18</v>
      </c>
      <c r="T877" s="10">
        <v>35.479999999999997</v>
      </c>
      <c r="U877" s="10">
        <v>35.75</v>
      </c>
      <c r="V877" s="10">
        <v>35.99</v>
      </c>
      <c r="W877" s="10">
        <v>36.22</v>
      </c>
      <c r="X877" s="10">
        <v>36.44</v>
      </c>
      <c r="Y877" s="10">
        <v>36.65</v>
      </c>
      <c r="Z877" s="11">
        <v>30.350999999999999</v>
      </c>
      <c r="AA877" s="11">
        <v>35.692</v>
      </c>
      <c r="AB877" s="11">
        <v>35.781999999999996</v>
      </c>
      <c r="AC877" s="11">
        <v>36.11</v>
      </c>
      <c r="AD877" s="11">
        <v>36.442999999999998</v>
      </c>
      <c r="AE877" s="11">
        <v>36.767000000000003</v>
      </c>
      <c r="AF877" s="11">
        <v>36.976999999999997</v>
      </c>
      <c r="AG877" s="11">
        <v>37.154000000000003</v>
      </c>
      <c r="AH877" s="11">
        <v>37.345999999999997</v>
      </c>
      <c r="AI877" s="11">
        <v>37.595999999999997</v>
      </c>
      <c r="AJ877" s="11">
        <v>37.912999999999997</v>
      </c>
      <c r="AK877" s="11">
        <v>38.244</v>
      </c>
      <c r="AL877" s="11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</row>
    <row r="878" spans="1:147" x14ac:dyDescent="0.3">
      <c r="A878" s="9">
        <f>DATE(2020, 5, 25)</f>
        <v>43976</v>
      </c>
      <c r="B878" s="10">
        <v>35.53</v>
      </c>
      <c r="C878" s="10">
        <v>36.119999999999997</v>
      </c>
      <c r="D878" s="10">
        <v>36.58</v>
      </c>
      <c r="E878" s="10">
        <v>37.090000000000003</v>
      </c>
      <c r="F878" s="10">
        <v>37.630000000000003</v>
      </c>
      <c r="G878" s="10">
        <v>38.15</v>
      </c>
      <c r="H878" s="10">
        <v>38.549999999999997</v>
      </c>
      <c r="I878" s="10">
        <v>38.9</v>
      </c>
      <c r="J878" s="10">
        <v>39.28</v>
      </c>
      <c r="K878" s="10">
        <v>39.6</v>
      </c>
      <c r="L878" s="10">
        <v>39.94</v>
      </c>
      <c r="M878" s="10">
        <v>40.26</v>
      </c>
      <c r="N878" s="10">
        <v>33.25</v>
      </c>
      <c r="O878" s="10">
        <v>33.65</v>
      </c>
      <c r="P878" s="10">
        <v>34.14</v>
      </c>
      <c r="Q878" s="10">
        <v>34.49</v>
      </c>
      <c r="R878" s="10">
        <v>34.840000000000003</v>
      </c>
      <c r="S878" s="10">
        <v>35.18</v>
      </c>
      <c r="T878" s="10">
        <v>35.479999999999997</v>
      </c>
      <c r="U878" s="10">
        <v>35.75</v>
      </c>
      <c r="V878" s="10">
        <v>35.99</v>
      </c>
      <c r="W878" s="10">
        <v>36.22</v>
      </c>
      <c r="X878" s="10">
        <v>36.44</v>
      </c>
      <c r="Y878" s="10">
        <v>36.65</v>
      </c>
      <c r="Z878" s="11">
        <v>30.442</v>
      </c>
      <c r="AA878" s="11">
        <v>36.100999999999999</v>
      </c>
      <c r="AB878" s="11">
        <v>36.241999999999997</v>
      </c>
      <c r="AC878" s="11">
        <v>36.591000000000001</v>
      </c>
      <c r="AD878" s="11">
        <v>36.954000000000001</v>
      </c>
      <c r="AE878" s="11">
        <v>37.323999999999998</v>
      </c>
      <c r="AF878" s="11">
        <v>37.557000000000002</v>
      </c>
      <c r="AG878" s="11">
        <v>37.765000000000001</v>
      </c>
      <c r="AH878" s="11">
        <v>37.966000000000001</v>
      </c>
      <c r="AI878" s="11">
        <v>38.226999999999997</v>
      </c>
      <c r="AJ878" s="11">
        <v>38.564</v>
      </c>
      <c r="AK878" s="11">
        <v>38.904000000000003</v>
      </c>
      <c r="AL878" s="11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</row>
    <row r="879" spans="1:147" x14ac:dyDescent="0.3">
      <c r="A879" s="9">
        <f>DATE(2020, 5, 26)</f>
        <v>43977</v>
      </c>
      <c r="B879" s="10">
        <v>36.17</v>
      </c>
      <c r="C879" s="10">
        <v>36.74</v>
      </c>
      <c r="D879" s="10">
        <v>37.19</v>
      </c>
      <c r="E879" s="10">
        <v>37.67</v>
      </c>
      <c r="F879" s="10">
        <v>38.159999999999997</v>
      </c>
      <c r="G879" s="10">
        <v>38.659999999999997</v>
      </c>
      <c r="H879" s="10">
        <v>39.06</v>
      </c>
      <c r="I879" s="10">
        <v>39.409999999999997</v>
      </c>
      <c r="J879" s="10">
        <v>39.81</v>
      </c>
      <c r="K879" s="10">
        <v>40.14</v>
      </c>
      <c r="L879" s="10">
        <v>40.49</v>
      </c>
      <c r="M879" s="10">
        <v>40.83</v>
      </c>
      <c r="N879" s="10">
        <v>34.35</v>
      </c>
      <c r="O879" s="10">
        <v>34.770000000000003</v>
      </c>
      <c r="P879" s="10">
        <v>35.24</v>
      </c>
      <c r="Q879" s="10">
        <v>35.56</v>
      </c>
      <c r="R879" s="10">
        <v>35.880000000000003</v>
      </c>
      <c r="S879" s="10">
        <v>36.21</v>
      </c>
      <c r="T879" s="10">
        <v>36.51</v>
      </c>
      <c r="U879" s="10">
        <v>36.78</v>
      </c>
      <c r="V879" s="10">
        <v>37.04</v>
      </c>
      <c r="W879" s="10">
        <v>37.28</v>
      </c>
      <c r="X879" s="10">
        <v>37.51</v>
      </c>
      <c r="Y879" s="10">
        <v>37.72</v>
      </c>
      <c r="Z879" s="11">
        <v>30.597999999999999</v>
      </c>
      <c r="AA879" s="11">
        <v>36.630000000000003</v>
      </c>
      <c r="AB879" s="11">
        <v>36.741</v>
      </c>
      <c r="AC879" s="11">
        <v>37.116999999999997</v>
      </c>
      <c r="AD879" s="11">
        <v>37.472999999999999</v>
      </c>
      <c r="AE879" s="11">
        <v>37.787999999999997</v>
      </c>
      <c r="AF879" s="11">
        <v>37.997</v>
      </c>
      <c r="AG879" s="11">
        <v>38.186</v>
      </c>
      <c r="AH879" s="11">
        <v>38.427</v>
      </c>
      <c r="AI879" s="11">
        <v>38.747999999999998</v>
      </c>
      <c r="AJ879" s="11">
        <v>39.085000000000001</v>
      </c>
      <c r="AK879" s="11">
        <v>39.395000000000003</v>
      </c>
      <c r="AL879" s="11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</row>
    <row r="880" spans="1:147" x14ac:dyDescent="0.3">
      <c r="A880" s="9">
        <f>DATE(2020, 5, 27)</f>
        <v>43978</v>
      </c>
      <c r="B880" s="10">
        <v>34.74</v>
      </c>
      <c r="C880" s="10">
        <v>35.450000000000003</v>
      </c>
      <c r="D880" s="10">
        <v>35.94</v>
      </c>
      <c r="E880" s="10">
        <v>36.46</v>
      </c>
      <c r="F880" s="10">
        <v>37</v>
      </c>
      <c r="G880" s="10">
        <v>37.57</v>
      </c>
      <c r="H880" s="10">
        <v>38.049999999999997</v>
      </c>
      <c r="I880" s="10">
        <v>38.47</v>
      </c>
      <c r="J880" s="10">
        <v>38.94</v>
      </c>
      <c r="K880" s="10">
        <v>39.340000000000003</v>
      </c>
      <c r="L880" s="10">
        <v>39.74</v>
      </c>
      <c r="M880" s="10">
        <v>40.119999999999997</v>
      </c>
      <c r="N880" s="10">
        <v>32.81</v>
      </c>
      <c r="O880" s="10">
        <v>33.229999999999997</v>
      </c>
      <c r="P880" s="10">
        <v>33.69</v>
      </c>
      <c r="Q880" s="10">
        <v>34.04</v>
      </c>
      <c r="R880" s="10">
        <v>34.42</v>
      </c>
      <c r="S880" s="10">
        <v>34.81</v>
      </c>
      <c r="T880" s="10">
        <v>35.17</v>
      </c>
      <c r="U880" s="10">
        <v>35.5</v>
      </c>
      <c r="V880" s="10">
        <v>35.840000000000003</v>
      </c>
      <c r="W880" s="10">
        <v>36.14</v>
      </c>
      <c r="X880" s="10">
        <v>36.43</v>
      </c>
      <c r="Y880" s="10">
        <v>36.71</v>
      </c>
      <c r="Z880" s="11">
        <v>30.477</v>
      </c>
      <c r="AA880" s="11">
        <v>35.392000000000003</v>
      </c>
      <c r="AB880" s="11">
        <v>35.372999999999998</v>
      </c>
      <c r="AC880" s="11">
        <v>35.831000000000003</v>
      </c>
      <c r="AD880" s="11">
        <v>36.265999999999998</v>
      </c>
      <c r="AE880" s="11">
        <v>36.622</v>
      </c>
      <c r="AF880" s="11">
        <v>36.92</v>
      </c>
      <c r="AG880" s="11">
        <v>37.183</v>
      </c>
      <c r="AH880" s="11">
        <v>37.47</v>
      </c>
      <c r="AI880" s="11">
        <v>37.86</v>
      </c>
      <c r="AJ880" s="11">
        <v>38.247</v>
      </c>
      <c r="AK880" s="11">
        <v>38.597999999999999</v>
      </c>
      <c r="AL880" s="11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</row>
    <row r="881" spans="1:147" x14ac:dyDescent="0.3">
      <c r="A881" s="9">
        <f>DATE(2020, 5, 28)</f>
        <v>43979</v>
      </c>
      <c r="B881" s="10">
        <v>35.29</v>
      </c>
      <c r="C881" s="10">
        <v>36.03</v>
      </c>
      <c r="D881" s="10">
        <v>36.5</v>
      </c>
      <c r="E881" s="10">
        <v>36.979999999999997</v>
      </c>
      <c r="F881" s="10">
        <v>37.5</v>
      </c>
      <c r="G881" s="10">
        <v>38.049999999999997</v>
      </c>
      <c r="H881" s="10">
        <v>38.5</v>
      </c>
      <c r="I881" s="10">
        <v>38.909999999999997</v>
      </c>
      <c r="J881" s="10">
        <v>39.380000000000003</v>
      </c>
      <c r="K881" s="10">
        <v>39.78</v>
      </c>
      <c r="L881" s="10">
        <v>40.21</v>
      </c>
      <c r="M881" s="10">
        <v>40.6</v>
      </c>
      <c r="N881" s="10">
        <v>33.71</v>
      </c>
      <c r="O881" s="10">
        <v>34.06</v>
      </c>
      <c r="P881" s="10">
        <v>34.49</v>
      </c>
      <c r="Q881" s="10">
        <v>34.81</v>
      </c>
      <c r="R881" s="10">
        <v>35.15</v>
      </c>
      <c r="S881" s="10">
        <v>35.49</v>
      </c>
      <c r="T881" s="10">
        <v>35.799999999999997</v>
      </c>
      <c r="U881" s="10">
        <v>36.1</v>
      </c>
      <c r="V881" s="10">
        <v>36.4</v>
      </c>
      <c r="W881" s="10">
        <v>36.69</v>
      </c>
      <c r="X881" s="10">
        <v>36.97</v>
      </c>
      <c r="Y881" s="10">
        <v>37.24</v>
      </c>
      <c r="Z881" s="11">
        <v>30.547000000000001</v>
      </c>
      <c r="AA881" s="11">
        <v>36.241</v>
      </c>
      <c r="AB881" s="11">
        <v>36.081000000000003</v>
      </c>
      <c r="AC881" s="11">
        <v>36.32</v>
      </c>
      <c r="AD881" s="11">
        <v>36.715000000000003</v>
      </c>
      <c r="AE881" s="11">
        <v>37.06</v>
      </c>
      <c r="AF881" s="11">
        <v>37.340000000000003</v>
      </c>
      <c r="AG881" s="11">
        <v>37.582999999999998</v>
      </c>
      <c r="AH881" s="11">
        <v>37.840000000000003</v>
      </c>
      <c r="AI881" s="11">
        <v>38.231999999999999</v>
      </c>
      <c r="AJ881" s="11">
        <v>38.646999999999998</v>
      </c>
      <c r="AK881" s="11">
        <v>39.006999999999998</v>
      </c>
      <c r="AL881" s="11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</row>
    <row r="882" spans="1:147" x14ac:dyDescent="0.3">
      <c r="A882" s="9">
        <f>DATE(2020, 5, 29)</f>
        <v>43980</v>
      </c>
      <c r="B882" s="10">
        <v>35.33</v>
      </c>
      <c r="C882" s="10">
        <v>37.840000000000003</v>
      </c>
      <c r="D882" s="10">
        <v>38.17</v>
      </c>
      <c r="E882" s="10">
        <v>38.5</v>
      </c>
      <c r="F882" s="10">
        <v>38.93</v>
      </c>
      <c r="G882" s="10">
        <v>39.409999999999997</v>
      </c>
      <c r="H882" s="10">
        <v>39.81</v>
      </c>
      <c r="I882" s="10">
        <v>40.17</v>
      </c>
      <c r="J882" s="10">
        <v>40.6</v>
      </c>
      <c r="K882" s="10">
        <v>40.98</v>
      </c>
      <c r="L882" s="10">
        <v>41.39</v>
      </c>
      <c r="M882" s="10">
        <v>41.76</v>
      </c>
      <c r="N882" s="10">
        <v>35.49</v>
      </c>
      <c r="O882" s="10">
        <v>35.840000000000003</v>
      </c>
      <c r="P882" s="10">
        <v>36.200000000000003</v>
      </c>
      <c r="Q882" s="10">
        <v>36.43</v>
      </c>
      <c r="R882" s="10">
        <v>36.67</v>
      </c>
      <c r="S882" s="10">
        <v>36.92</v>
      </c>
      <c r="T882" s="10">
        <v>37.159999999999997</v>
      </c>
      <c r="U882" s="10">
        <v>37.409999999999997</v>
      </c>
      <c r="V882" s="10">
        <v>37.67</v>
      </c>
      <c r="W882" s="10">
        <v>37.93</v>
      </c>
      <c r="X882" s="10">
        <v>38.21</v>
      </c>
      <c r="Y882" s="10">
        <v>38.46</v>
      </c>
      <c r="Z882" s="11">
        <v>30.466999999999999</v>
      </c>
      <c r="AA882" s="11">
        <v>37.715000000000003</v>
      </c>
      <c r="AB882" s="11">
        <v>37.514000000000003</v>
      </c>
      <c r="AC882" s="11">
        <v>37.701000000000001</v>
      </c>
      <c r="AD882" s="11">
        <v>38.072000000000003</v>
      </c>
      <c r="AE882" s="11">
        <v>38.378</v>
      </c>
      <c r="AF882" s="11">
        <v>38.637</v>
      </c>
      <c r="AG882" s="11">
        <v>38.838999999999999</v>
      </c>
      <c r="AH882" s="11">
        <v>39.069000000000003</v>
      </c>
      <c r="AI882" s="11">
        <v>39.371000000000002</v>
      </c>
      <c r="AJ882" s="11">
        <v>39.746000000000002</v>
      </c>
      <c r="AK882" s="11">
        <v>40.106000000000002</v>
      </c>
      <c r="AL882" s="11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</row>
    <row r="883" spans="1:147" x14ac:dyDescent="0.3">
      <c r="A883" s="9">
        <f>DATE(2020, 6, 1)</f>
        <v>43983</v>
      </c>
      <c r="B883" s="10">
        <v>38.32</v>
      </c>
      <c r="C883" s="10">
        <v>38.43</v>
      </c>
      <c r="D883" s="10">
        <v>38.630000000000003</v>
      </c>
      <c r="E883" s="10">
        <v>38.950000000000003</v>
      </c>
      <c r="F883" s="10">
        <v>39.35</v>
      </c>
      <c r="G883" s="10">
        <v>39.71</v>
      </c>
      <c r="H883" s="10">
        <v>40.049999999999997</v>
      </c>
      <c r="I883" s="10">
        <v>40.450000000000003</v>
      </c>
      <c r="J883" s="10">
        <v>40.81</v>
      </c>
      <c r="K883" s="10">
        <v>41.2</v>
      </c>
      <c r="L883" s="10">
        <v>41.56</v>
      </c>
      <c r="M883" s="10">
        <v>41.91</v>
      </c>
      <c r="N883" s="10">
        <v>35.44</v>
      </c>
      <c r="O883" s="10">
        <v>35.79</v>
      </c>
      <c r="P883" s="10">
        <v>36.17</v>
      </c>
      <c r="Q883" s="10">
        <v>36.4</v>
      </c>
      <c r="R883" s="10">
        <v>36.65</v>
      </c>
      <c r="S883" s="10">
        <v>36.9</v>
      </c>
      <c r="T883" s="10">
        <v>37.15</v>
      </c>
      <c r="U883" s="10">
        <v>37.39</v>
      </c>
      <c r="V883" s="10">
        <v>37.630000000000003</v>
      </c>
      <c r="W883" s="10">
        <v>37.880000000000003</v>
      </c>
      <c r="X883" s="10">
        <v>38.130000000000003</v>
      </c>
      <c r="Y883" s="10">
        <v>38.36</v>
      </c>
      <c r="Z883" s="11">
        <v>30.466999999999999</v>
      </c>
      <c r="AA883" s="11">
        <v>38.134999999999998</v>
      </c>
      <c r="AB883" s="11">
        <v>37.890999999999998</v>
      </c>
      <c r="AC883" s="11">
        <v>37.902999999999999</v>
      </c>
      <c r="AD883" s="11">
        <v>38.113</v>
      </c>
      <c r="AE883" s="11">
        <v>38.326000000000001</v>
      </c>
      <c r="AF883" s="11">
        <v>38.536000000000001</v>
      </c>
      <c r="AG883" s="11">
        <v>38.695999999999998</v>
      </c>
      <c r="AH883" s="11">
        <v>38.908000000000001</v>
      </c>
      <c r="AI883" s="11">
        <v>39.19</v>
      </c>
      <c r="AJ883" s="11">
        <v>39.526000000000003</v>
      </c>
      <c r="AK883" s="11">
        <v>39.927</v>
      </c>
      <c r="AL883" s="11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</row>
    <row r="884" spans="1:147" x14ac:dyDescent="0.3">
      <c r="A884" s="9">
        <f>DATE(2020, 6, 2)</f>
        <v>43984</v>
      </c>
      <c r="B884" s="10">
        <v>39.57</v>
      </c>
      <c r="C884" s="10">
        <v>39.659999999999997</v>
      </c>
      <c r="D884" s="10">
        <v>39.85</v>
      </c>
      <c r="E884" s="10">
        <v>40.130000000000003</v>
      </c>
      <c r="F884" s="10">
        <v>40.479999999999997</v>
      </c>
      <c r="G884" s="10">
        <v>40.799999999999997</v>
      </c>
      <c r="H884" s="10">
        <v>41.1</v>
      </c>
      <c r="I884" s="10">
        <v>41.45</v>
      </c>
      <c r="J884" s="10">
        <v>41.76</v>
      </c>
      <c r="K884" s="10">
        <v>42.08</v>
      </c>
      <c r="L884" s="10">
        <v>42.39</v>
      </c>
      <c r="M884" s="10">
        <v>42.7</v>
      </c>
      <c r="N884" s="10">
        <v>36.81</v>
      </c>
      <c r="O884" s="10">
        <v>37.06</v>
      </c>
      <c r="P884" s="10">
        <v>37.35</v>
      </c>
      <c r="Q884" s="10">
        <v>37.53</v>
      </c>
      <c r="R884" s="10">
        <v>37.71</v>
      </c>
      <c r="S884" s="10">
        <v>37.909999999999997</v>
      </c>
      <c r="T884" s="10">
        <v>38.1</v>
      </c>
      <c r="U884" s="10">
        <v>38.28</v>
      </c>
      <c r="V884" s="10">
        <v>38.47</v>
      </c>
      <c r="W884" s="10">
        <v>38.67</v>
      </c>
      <c r="X884" s="10">
        <v>38.869999999999997</v>
      </c>
      <c r="Y884" s="10">
        <v>39.04</v>
      </c>
      <c r="Z884" s="11">
        <v>39.286999999999999</v>
      </c>
      <c r="AA884" s="11">
        <v>39.067999999999998</v>
      </c>
      <c r="AB884" s="11">
        <v>39.106999999999999</v>
      </c>
      <c r="AC884" s="11">
        <v>39.276000000000003</v>
      </c>
      <c r="AD884" s="11">
        <v>39.424999999999997</v>
      </c>
      <c r="AE884" s="11">
        <v>39.613999999999997</v>
      </c>
      <c r="AF884" s="11">
        <v>39.771999999999998</v>
      </c>
      <c r="AG884" s="11">
        <v>39.936</v>
      </c>
      <c r="AH884" s="11">
        <v>40.176000000000002</v>
      </c>
      <c r="AI884" s="11">
        <v>40.423000000000002</v>
      </c>
      <c r="AJ884" s="11">
        <v>40.744999999999997</v>
      </c>
      <c r="AK884" s="11">
        <v>41.073</v>
      </c>
      <c r="AL884" s="11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</row>
    <row r="885" spans="1:147" x14ac:dyDescent="0.3">
      <c r="A885" s="9">
        <f>DATE(2020, 6, 3)</f>
        <v>43985</v>
      </c>
      <c r="B885" s="10">
        <v>39.79</v>
      </c>
      <c r="C885" s="10">
        <v>39.97</v>
      </c>
      <c r="D885" s="10">
        <v>40.24</v>
      </c>
      <c r="E885" s="10">
        <v>40.56</v>
      </c>
      <c r="F885" s="10">
        <v>40.92</v>
      </c>
      <c r="G885" s="10">
        <v>41.25</v>
      </c>
      <c r="H885" s="10">
        <v>41.57</v>
      </c>
      <c r="I885" s="10">
        <v>41.92</v>
      </c>
      <c r="J885" s="10">
        <v>42.22</v>
      </c>
      <c r="K885" s="10">
        <v>42.53</v>
      </c>
      <c r="L885" s="10">
        <v>42.82</v>
      </c>
      <c r="M885" s="10">
        <v>43.13</v>
      </c>
      <c r="N885" s="10">
        <v>37.29</v>
      </c>
      <c r="O885" s="10">
        <v>37.590000000000003</v>
      </c>
      <c r="P885" s="10">
        <v>37.869999999999997</v>
      </c>
      <c r="Q885" s="10">
        <v>38.049999999999997</v>
      </c>
      <c r="R885" s="10">
        <v>38.24</v>
      </c>
      <c r="S885" s="10">
        <v>38.44</v>
      </c>
      <c r="T885" s="10">
        <v>38.64</v>
      </c>
      <c r="U885" s="10">
        <v>38.83</v>
      </c>
      <c r="V885" s="10">
        <v>39.020000000000003</v>
      </c>
      <c r="W885" s="10">
        <v>39.21</v>
      </c>
      <c r="X885" s="10">
        <v>39.409999999999997</v>
      </c>
      <c r="Y885" s="10">
        <v>39.61</v>
      </c>
      <c r="Z885" s="11">
        <v>39.073</v>
      </c>
      <c r="AA885" s="11">
        <v>38.841999999999999</v>
      </c>
      <c r="AB885" s="11">
        <v>39.17</v>
      </c>
      <c r="AC885" s="11">
        <v>39.466000000000001</v>
      </c>
      <c r="AD885" s="11">
        <v>39.734999999999999</v>
      </c>
      <c r="AE885" s="11">
        <v>39.965000000000003</v>
      </c>
      <c r="AF885" s="11">
        <v>40.171999999999997</v>
      </c>
      <c r="AG885" s="11">
        <v>40.365000000000002</v>
      </c>
      <c r="AH885" s="11">
        <v>40.595999999999997</v>
      </c>
      <c r="AI885" s="11">
        <v>40.832999999999998</v>
      </c>
      <c r="AJ885" s="11">
        <v>41.155000000000001</v>
      </c>
      <c r="AK885" s="11">
        <v>41.494</v>
      </c>
      <c r="AL885" s="11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</row>
    <row r="886" spans="1:147" x14ac:dyDescent="0.3">
      <c r="A886" s="9">
        <f>DATE(2020, 6, 4)</f>
        <v>43986</v>
      </c>
      <c r="B886" s="10">
        <v>39.99</v>
      </c>
      <c r="C886" s="10">
        <v>40.17</v>
      </c>
      <c r="D886" s="10">
        <v>40.49</v>
      </c>
      <c r="E886" s="10">
        <v>40.85</v>
      </c>
      <c r="F886" s="10">
        <v>41.22</v>
      </c>
      <c r="G886" s="10">
        <v>41.57</v>
      </c>
      <c r="H886" s="10">
        <v>41.9</v>
      </c>
      <c r="I886" s="10">
        <v>42.26</v>
      </c>
      <c r="J886" s="10">
        <v>42.57</v>
      </c>
      <c r="K886" s="10">
        <v>42.89</v>
      </c>
      <c r="L886" s="10">
        <v>43.18</v>
      </c>
      <c r="M886" s="10">
        <v>43.49</v>
      </c>
      <c r="N886" s="10">
        <v>37.409999999999997</v>
      </c>
      <c r="O886" s="10">
        <v>37.72</v>
      </c>
      <c r="P886" s="10">
        <v>38</v>
      </c>
      <c r="Q886" s="10">
        <v>38.21</v>
      </c>
      <c r="R886" s="10">
        <v>38.44</v>
      </c>
      <c r="S886" s="10">
        <v>38.68</v>
      </c>
      <c r="T886" s="10">
        <v>38.9</v>
      </c>
      <c r="U886" s="10">
        <v>39.1</v>
      </c>
      <c r="V886" s="10">
        <v>39.299999999999997</v>
      </c>
      <c r="W886" s="10">
        <v>39.49</v>
      </c>
      <c r="X886" s="10">
        <v>39.69</v>
      </c>
      <c r="Y886" s="10">
        <v>39.89</v>
      </c>
      <c r="Z886" s="11">
        <v>39.628</v>
      </c>
      <c r="AA886" s="11">
        <v>39.433999999999997</v>
      </c>
      <c r="AB886" s="11">
        <v>39.654000000000003</v>
      </c>
      <c r="AC886" s="11">
        <v>39.927</v>
      </c>
      <c r="AD886" s="11">
        <v>40.195999999999998</v>
      </c>
      <c r="AE886" s="11">
        <v>40.485999999999997</v>
      </c>
      <c r="AF886" s="11">
        <v>40.683</v>
      </c>
      <c r="AG886" s="11">
        <v>40.875999999999998</v>
      </c>
      <c r="AH886" s="11">
        <v>41.085999999999999</v>
      </c>
      <c r="AI886" s="11">
        <v>41.313000000000002</v>
      </c>
      <c r="AJ886" s="11">
        <v>41.645000000000003</v>
      </c>
      <c r="AK886" s="11">
        <v>41.963999999999999</v>
      </c>
      <c r="AL886" s="11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</row>
    <row r="887" spans="1:147" x14ac:dyDescent="0.3">
      <c r="A887" s="9">
        <f>DATE(2020, 6, 5)</f>
        <v>43987</v>
      </c>
      <c r="B887" s="10">
        <v>42.3</v>
      </c>
      <c r="C887" s="10">
        <v>42.42</v>
      </c>
      <c r="D887" s="10">
        <v>42.62</v>
      </c>
      <c r="E887" s="10">
        <v>42.86</v>
      </c>
      <c r="F887" s="10">
        <v>43.11</v>
      </c>
      <c r="G887" s="10">
        <v>43.34</v>
      </c>
      <c r="H887" s="10">
        <v>43.56</v>
      </c>
      <c r="I887" s="10">
        <v>43.83</v>
      </c>
      <c r="J887" s="10">
        <v>44.08</v>
      </c>
      <c r="K887" s="10">
        <v>44.35</v>
      </c>
      <c r="L887" s="10">
        <v>44.61</v>
      </c>
      <c r="M887" s="10">
        <v>44.85</v>
      </c>
      <c r="N887" s="10">
        <v>39.549999999999997</v>
      </c>
      <c r="O887" s="10">
        <v>39.799999999999997</v>
      </c>
      <c r="P887" s="10">
        <v>40.03</v>
      </c>
      <c r="Q887" s="10">
        <v>40.15</v>
      </c>
      <c r="R887" s="10">
        <v>40.28</v>
      </c>
      <c r="S887" s="10">
        <v>40.42</v>
      </c>
      <c r="T887" s="10">
        <v>40.520000000000003</v>
      </c>
      <c r="U887" s="10">
        <v>40.64</v>
      </c>
      <c r="V887" s="10">
        <v>40.770000000000003</v>
      </c>
      <c r="W887" s="10">
        <v>40.9</v>
      </c>
      <c r="X887" s="10">
        <v>41.03</v>
      </c>
      <c r="Y887" s="10">
        <v>41.17</v>
      </c>
      <c r="Z887" s="11">
        <v>41.378999999999998</v>
      </c>
      <c r="AA887" s="11">
        <v>41.598999999999997</v>
      </c>
      <c r="AB887" s="11">
        <v>41.643000000000001</v>
      </c>
      <c r="AC887" s="11">
        <v>41.841000000000001</v>
      </c>
      <c r="AD887" s="11">
        <v>42.01</v>
      </c>
      <c r="AE887" s="11">
        <v>42.22</v>
      </c>
      <c r="AF887" s="11">
        <v>42.365000000000002</v>
      </c>
      <c r="AG887" s="11">
        <v>42.493000000000002</v>
      </c>
      <c r="AH887" s="11">
        <v>42.624000000000002</v>
      </c>
      <c r="AI887" s="11">
        <v>42.831000000000003</v>
      </c>
      <c r="AJ887" s="11">
        <v>43.070999999999998</v>
      </c>
      <c r="AK887" s="11">
        <v>43.341000000000001</v>
      </c>
      <c r="AL887" s="11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</row>
    <row r="888" spans="1:147" x14ac:dyDescent="0.3">
      <c r="A888" s="9">
        <f>DATE(2020, 6, 8)</f>
        <v>43990</v>
      </c>
      <c r="B888" s="10">
        <v>40.799999999999997</v>
      </c>
      <c r="C888" s="10">
        <v>41</v>
      </c>
      <c r="D888" s="10">
        <v>41.24</v>
      </c>
      <c r="E888" s="10">
        <v>41.51</v>
      </c>
      <c r="F888" s="10">
        <v>41.78</v>
      </c>
      <c r="G888" s="10">
        <v>42.03</v>
      </c>
      <c r="H888" s="10">
        <v>42.27</v>
      </c>
      <c r="I888" s="10">
        <v>42.56</v>
      </c>
      <c r="J888" s="10">
        <v>42.83</v>
      </c>
      <c r="K888" s="10">
        <v>43.11</v>
      </c>
      <c r="L888" s="10">
        <v>43.37</v>
      </c>
      <c r="M888" s="10">
        <v>43.62</v>
      </c>
      <c r="N888" s="10">
        <v>38.19</v>
      </c>
      <c r="O888" s="10">
        <v>38.43</v>
      </c>
      <c r="P888" s="10">
        <v>38.65</v>
      </c>
      <c r="Q888" s="10">
        <v>38.799999999999997</v>
      </c>
      <c r="R888" s="10">
        <v>38.94</v>
      </c>
      <c r="S888" s="10">
        <v>39.1</v>
      </c>
      <c r="T888" s="10">
        <v>39.229999999999997</v>
      </c>
      <c r="U888" s="10">
        <v>39.380000000000003</v>
      </c>
      <c r="V888" s="10">
        <v>39.53</v>
      </c>
      <c r="W888" s="10">
        <v>39.68</v>
      </c>
      <c r="X888" s="10">
        <v>39.82</v>
      </c>
      <c r="Y888" s="10">
        <v>39.99</v>
      </c>
      <c r="Z888" s="11">
        <v>40.591999999999999</v>
      </c>
      <c r="AA888" s="11">
        <v>40.380000000000003</v>
      </c>
      <c r="AB888" s="11">
        <v>40.345999999999997</v>
      </c>
      <c r="AC888" s="11">
        <v>40.512</v>
      </c>
      <c r="AD888" s="11">
        <v>40.710999999999999</v>
      </c>
      <c r="AE888" s="11">
        <v>40.920999999999999</v>
      </c>
      <c r="AF888" s="11">
        <v>41.095999999999997</v>
      </c>
      <c r="AG888" s="11">
        <v>41.223999999999997</v>
      </c>
      <c r="AH888" s="11">
        <v>41.374000000000002</v>
      </c>
      <c r="AI888" s="11">
        <v>41.591000000000001</v>
      </c>
      <c r="AJ888" s="11">
        <v>41.832000000000001</v>
      </c>
      <c r="AK888" s="11">
        <v>42.112000000000002</v>
      </c>
      <c r="AL888" s="11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</row>
    <row r="889" spans="1:147" x14ac:dyDescent="0.3">
      <c r="A889" s="9">
        <f>DATE(2020, 6, 9)</f>
        <v>43991</v>
      </c>
      <c r="B889" s="10">
        <v>41.18</v>
      </c>
      <c r="C889" s="10">
        <v>41.51</v>
      </c>
      <c r="D889" s="10">
        <v>41.8</v>
      </c>
      <c r="E889" s="10">
        <v>42.09</v>
      </c>
      <c r="F889" s="10">
        <v>42.38</v>
      </c>
      <c r="G889" s="10">
        <v>42.65</v>
      </c>
      <c r="H889" s="10">
        <v>42.9</v>
      </c>
      <c r="I889" s="10">
        <v>43.2</v>
      </c>
      <c r="J889" s="10">
        <v>43.46</v>
      </c>
      <c r="K889" s="10">
        <v>43.74</v>
      </c>
      <c r="L889" s="10">
        <v>44</v>
      </c>
      <c r="M889" s="10">
        <v>44.25</v>
      </c>
      <c r="N889" s="10">
        <v>38.94</v>
      </c>
      <c r="O889" s="10">
        <v>39.159999999999997</v>
      </c>
      <c r="P889" s="10">
        <v>39.380000000000003</v>
      </c>
      <c r="Q889" s="10">
        <v>39.53</v>
      </c>
      <c r="R889" s="10">
        <v>39.67</v>
      </c>
      <c r="S889" s="10">
        <v>39.82</v>
      </c>
      <c r="T889" s="10">
        <v>39.950000000000003</v>
      </c>
      <c r="U889" s="10">
        <v>40.090000000000003</v>
      </c>
      <c r="V889" s="10">
        <v>40.22</v>
      </c>
      <c r="W889" s="10">
        <v>40.36</v>
      </c>
      <c r="X889" s="10">
        <v>40.5</v>
      </c>
      <c r="Y889" s="10">
        <v>40.65</v>
      </c>
      <c r="Z889" s="11">
        <v>41.177999999999997</v>
      </c>
      <c r="AA889" s="11">
        <v>40.743000000000002</v>
      </c>
      <c r="AB889" s="11">
        <v>40.688000000000002</v>
      </c>
      <c r="AC889" s="11">
        <v>40.972999999999999</v>
      </c>
      <c r="AD889" s="11">
        <v>41.225000000000001</v>
      </c>
      <c r="AE889" s="11">
        <v>41.481999999999999</v>
      </c>
      <c r="AF889" s="11">
        <v>41.677</v>
      </c>
      <c r="AG889" s="11">
        <v>41.863</v>
      </c>
      <c r="AH889" s="11">
        <v>42.054000000000002</v>
      </c>
      <c r="AI889" s="11">
        <v>42.290999999999997</v>
      </c>
      <c r="AJ889" s="11">
        <v>42.542000000000002</v>
      </c>
      <c r="AK889" s="11">
        <v>42.801000000000002</v>
      </c>
      <c r="AL889" s="11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</row>
    <row r="890" spans="1:147" x14ac:dyDescent="0.3">
      <c r="A890" s="9">
        <f>DATE(2020, 6, 10)</f>
        <v>43992</v>
      </c>
      <c r="B890" s="10">
        <v>41.73</v>
      </c>
      <c r="C890" s="10">
        <v>41.94</v>
      </c>
      <c r="D890" s="10">
        <v>42.14</v>
      </c>
      <c r="E890" s="10">
        <v>42.39</v>
      </c>
      <c r="F890" s="10">
        <v>42.64</v>
      </c>
      <c r="G890" s="10">
        <v>42.86</v>
      </c>
      <c r="H890" s="10">
        <v>43.07</v>
      </c>
      <c r="I890" s="10">
        <v>43.32</v>
      </c>
      <c r="J890" s="10">
        <v>43.55</v>
      </c>
      <c r="K890" s="10">
        <v>43.81</v>
      </c>
      <c r="L890" s="10">
        <v>44.06</v>
      </c>
      <c r="M890" s="10">
        <v>44.29</v>
      </c>
      <c r="N890" s="10">
        <v>39.6</v>
      </c>
      <c r="O890" s="10">
        <v>39.78</v>
      </c>
      <c r="P890" s="10">
        <v>39.97</v>
      </c>
      <c r="Q890" s="10">
        <v>40.090000000000003</v>
      </c>
      <c r="R890" s="10">
        <v>40.21</v>
      </c>
      <c r="S890" s="10">
        <v>40.33</v>
      </c>
      <c r="T890" s="10">
        <v>40.44</v>
      </c>
      <c r="U890" s="10">
        <v>40.549999999999997</v>
      </c>
      <c r="V890" s="10">
        <v>40.659999999999997</v>
      </c>
      <c r="W890" s="10">
        <v>40.78</v>
      </c>
      <c r="X890" s="10">
        <v>40.9</v>
      </c>
      <c r="Y890" s="10">
        <v>41.02</v>
      </c>
      <c r="Z890" s="11">
        <v>41.365000000000002</v>
      </c>
      <c r="AA890" s="11">
        <v>41.279000000000003</v>
      </c>
      <c r="AB890" s="11">
        <v>41.259</v>
      </c>
      <c r="AC890" s="11">
        <v>41.48</v>
      </c>
      <c r="AD890" s="11">
        <v>41.688000000000002</v>
      </c>
      <c r="AE890" s="11">
        <v>41.918999999999997</v>
      </c>
      <c r="AF890" s="11">
        <v>42.091000000000001</v>
      </c>
      <c r="AG890" s="11">
        <v>42.281999999999996</v>
      </c>
      <c r="AH890" s="11">
        <v>42.472999999999999</v>
      </c>
      <c r="AI890" s="11">
        <v>42.661000000000001</v>
      </c>
      <c r="AJ890" s="11">
        <v>42.901000000000003</v>
      </c>
      <c r="AK890" s="11">
        <v>43.11</v>
      </c>
      <c r="AL890" s="11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</row>
    <row r="891" spans="1:147" x14ac:dyDescent="0.3">
      <c r="A891" s="9">
        <f>DATE(2020, 6, 11)</f>
        <v>43993</v>
      </c>
      <c r="B891" s="10">
        <v>38.549999999999997</v>
      </c>
      <c r="C891" s="10">
        <v>38.880000000000003</v>
      </c>
      <c r="D891" s="10">
        <v>39.18</v>
      </c>
      <c r="E891" s="10">
        <v>39.49</v>
      </c>
      <c r="F891" s="10">
        <v>39.79</v>
      </c>
      <c r="G891" s="10">
        <v>40.07</v>
      </c>
      <c r="H891" s="10">
        <v>40.340000000000003</v>
      </c>
      <c r="I891" s="10">
        <v>40.65</v>
      </c>
      <c r="J891" s="10">
        <v>40.93</v>
      </c>
      <c r="K891" s="10">
        <v>41.25</v>
      </c>
      <c r="L891" s="10">
        <v>41.54</v>
      </c>
      <c r="M891" s="10">
        <v>41.82</v>
      </c>
      <c r="N891" s="10">
        <v>36.340000000000003</v>
      </c>
      <c r="O891" s="10">
        <v>36.57</v>
      </c>
      <c r="P891" s="10">
        <v>36.81</v>
      </c>
      <c r="Q891" s="10">
        <v>37</v>
      </c>
      <c r="R891" s="10">
        <v>37.200000000000003</v>
      </c>
      <c r="S891" s="10">
        <v>37.4</v>
      </c>
      <c r="T891" s="10">
        <v>37.590000000000003</v>
      </c>
      <c r="U891" s="10">
        <v>37.79</v>
      </c>
      <c r="V891" s="10">
        <v>37.99</v>
      </c>
      <c r="W891" s="10">
        <v>38.19</v>
      </c>
      <c r="X891" s="10">
        <v>38.39</v>
      </c>
      <c r="Y891" s="10">
        <v>38.58</v>
      </c>
      <c r="Z891" s="11">
        <v>39.435000000000002</v>
      </c>
      <c r="AA891" s="11">
        <v>38.243000000000002</v>
      </c>
      <c r="AB891" s="11">
        <v>38.21</v>
      </c>
      <c r="AC891" s="11">
        <v>38.463999999999999</v>
      </c>
      <c r="AD891" s="11">
        <v>38.703000000000003</v>
      </c>
      <c r="AE891" s="11">
        <v>38.972999999999999</v>
      </c>
      <c r="AF891" s="11">
        <v>39.207999999999998</v>
      </c>
      <c r="AG891" s="11">
        <v>39.454000000000001</v>
      </c>
      <c r="AH891" s="11">
        <v>39.655999999999999</v>
      </c>
      <c r="AI891" s="11">
        <v>39.912999999999997</v>
      </c>
      <c r="AJ891" s="11">
        <v>40.183</v>
      </c>
      <c r="AK891" s="11">
        <v>40.444000000000003</v>
      </c>
      <c r="AL891" s="11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</row>
    <row r="892" spans="1:147" x14ac:dyDescent="0.3">
      <c r="A892" s="9">
        <f>DATE(2020, 6, 12)</f>
        <v>43994</v>
      </c>
      <c r="B892" s="10">
        <v>38.729999999999997</v>
      </c>
      <c r="C892" s="10">
        <v>38.979999999999997</v>
      </c>
      <c r="D892" s="10">
        <v>39.28</v>
      </c>
      <c r="E892" s="10">
        <v>39.6</v>
      </c>
      <c r="F892" s="10">
        <v>39.9</v>
      </c>
      <c r="G892" s="10">
        <v>40.200000000000003</v>
      </c>
      <c r="H892" s="10">
        <v>40.479999999999997</v>
      </c>
      <c r="I892" s="10">
        <v>40.79</v>
      </c>
      <c r="J892" s="10">
        <v>41.06</v>
      </c>
      <c r="K892" s="10">
        <v>41.36</v>
      </c>
      <c r="L892" s="10">
        <v>41.65</v>
      </c>
      <c r="M892" s="10">
        <v>41.91</v>
      </c>
      <c r="N892" s="10">
        <v>36.26</v>
      </c>
      <c r="O892" s="10">
        <v>36.51</v>
      </c>
      <c r="P892" s="10">
        <v>36.78</v>
      </c>
      <c r="Q892" s="10">
        <v>37</v>
      </c>
      <c r="R892" s="10">
        <v>37.21</v>
      </c>
      <c r="S892" s="10">
        <v>37.42</v>
      </c>
      <c r="T892" s="10">
        <v>37.619999999999997</v>
      </c>
      <c r="U892" s="10">
        <v>37.81</v>
      </c>
      <c r="V892" s="10">
        <v>38.01</v>
      </c>
      <c r="W892" s="10">
        <v>38.21</v>
      </c>
      <c r="X892" s="10">
        <v>38.409999999999997</v>
      </c>
      <c r="Y892" s="10">
        <v>38.6</v>
      </c>
      <c r="Z892" s="11">
        <v>39.418999999999997</v>
      </c>
      <c r="AA892" s="11">
        <v>38.343000000000004</v>
      </c>
      <c r="AB892" s="11">
        <v>38.32</v>
      </c>
      <c r="AC892" s="11">
        <v>38.514000000000003</v>
      </c>
      <c r="AD892" s="11">
        <v>38.734000000000002</v>
      </c>
      <c r="AE892" s="11">
        <v>39.003</v>
      </c>
      <c r="AF892" s="11">
        <v>39.207999999999998</v>
      </c>
      <c r="AG892" s="11">
        <v>39.444000000000003</v>
      </c>
      <c r="AH892" s="11">
        <v>39.695</v>
      </c>
      <c r="AI892" s="11">
        <v>39.972999999999999</v>
      </c>
      <c r="AJ892" s="11">
        <v>40.241999999999997</v>
      </c>
      <c r="AK892" s="11">
        <v>40.503</v>
      </c>
      <c r="AL892" s="11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</row>
    <row r="893" spans="1:147" x14ac:dyDescent="0.3">
      <c r="A893" s="9">
        <f>DATE(2020, 6, 15)</f>
        <v>43997</v>
      </c>
      <c r="B893" s="10">
        <v>39.72</v>
      </c>
      <c r="C893" s="10">
        <v>39.93</v>
      </c>
      <c r="D893" s="10">
        <v>40.200000000000003</v>
      </c>
      <c r="E893" s="10">
        <v>40.54</v>
      </c>
      <c r="F893" s="10">
        <v>40.85</v>
      </c>
      <c r="G893" s="10">
        <v>41.16</v>
      </c>
      <c r="H893" s="10">
        <v>41.45</v>
      </c>
      <c r="I893" s="10">
        <v>41.75</v>
      </c>
      <c r="J893" s="10">
        <v>42.02</v>
      </c>
      <c r="K893" s="10">
        <v>42.32</v>
      </c>
      <c r="L893" s="10">
        <v>42.59</v>
      </c>
      <c r="M893" s="10">
        <v>42.85</v>
      </c>
      <c r="N893" s="10">
        <v>37.119999999999997</v>
      </c>
      <c r="O893" s="10">
        <v>37.43</v>
      </c>
      <c r="P893" s="10">
        <v>37.71</v>
      </c>
      <c r="Q893" s="10">
        <v>37.96</v>
      </c>
      <c r="R893" s="10">
        <v>38.19</v>
      </c>
      <c r="S893" s="10">
        <v>38.43</v>
      </c>
      <c r="T893" s="10">
        <v>38.64</v>
      </c>
      <c r="U893" s="10">
        <v>38.840000000000003</v>
      </c>
      <c r="V893" s="10">
        <v>39.04</v>
      </c>
      <c r="W893" s="10">
        <v>39.229999999999997</v>
      </c>
      <c r="X893" s="10">
        <v>39.42</v>
      </c>
      <c r="Y893" s="10">
        <v>39.61</v>
      </c>
      <c r="Z893" s="11">
        <v>39.704999999999998</v>
      </c>
      <c r="AA893" s="11">
        <v>38.972000000000001</v>
      </c>
      <c r="AB893" s="11">
        <v>38.981999999999999</v>
      </c>
      <c r="AC893" s="11">
        <v>39.264000000000003</v>
      </c>
      <c r="AD893" s="11">
        <v>39.524000000000001</v>
      </c>
      <c r="AE893" s="11">
        <v>39.783999999999999</v>
      </c>
      <c r="AF893" s="11">
        <v>40.036999999999999</v>
      </c>
      <c r="AG893" s="11">
        <v>40.283999999999999</v>
      </c>
      <c r="AH893" s="11">
        <v>40.524999999999999</v>
      </c>
      <c r="AI893" s="11">
        <v>40.792000000000002</v>
      </c>
      <c r="AJ893" s="11">
        <v>41.091999999999999</v>
      </c>
      <c r="AK893" s="11">
        <v>41.383000000000003</v>
      </c>
      <c r="AL893" s="11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</row>
    <row r="894" spans="1:147" x14ac:dyDescent="0.3">
      <c r="A894" s="9">
        <f>DATE(2020, 6, 16)</f>
        <v>43998</v>
      </c>
      <c r="B894" s="10">
        <v>40.96</v>
      </c>
      <c r="C894" s="10">
        <v>41.13</v>
      </c>
      <c r="D894" s="10">
        <v>41.35</v>
      </c>
      <c r="E894" s="10">
        <v>41.65</v>
      </c>
      <c r="F894" s="10">
        <v>41.93</v>
      </c>
      <c r="G894" s="10">
        <v>42.21</v>
      </c>
      <c r="H894" s="10">
        <v>42.47</v>
      </c>
      <c r="I894" s="10">
        <v>42.75</v>
      </c>
      <c r="J894" s="10">
        <v>43</v>
      </c>
      <c r="K894" s="10">
        <v>43.27</v>
      </c>
      <c r="L894" s="10">
        <v>43.53</v>
      </c>
      <c r="M894" s="10">
        <v>43.76</v>
      </c>
      <c r="N894" s="10">
        <v>38.380000000000003</v>
      </c>
      <c r="O894" s="10">
        <v>38.65</v>
      </c>
      <c r="P894" s="10">
        <v>38.869999999999997</v>
      </c>
      <c r="Q894" s="10">
        <v>39.090000000000003</v>
      </c>
      <c r="R894" s="10">
        <v>39.299999999999997</v>
      </c>
      <c r="S894" s="10">
        <v>39.51</v>
      </c>
      <c r="T894" s="10">
        <v>39.69</v>
      </c>
      <c r="U894" s="10">
        <v>39.869999999999997</v>
      </c>
      <c r="V894" s="10">
        <v>40.020000000000003</v>
      </c>
      <c r="W894" s="10">
        <v>40.18</v>
      </c>
      <c r="X894" s="10">
        <v>40.36</v>
      </c>
      <c r="Y894" s="10">
        <v>40.520000000000003</v>
      </c>
      <c r="Z894" s="11">
        <v>40.229999999999997</v>
      </c>
      <c r="AA894" s="11">
        <v>40.049999999999997</v>
      </c>
      <c r="AB894" s="11">
        <v>40.039000000000001</v>
      </c>
      <c r="AC894" s="11">
        <v>40.283000000000001</v>
      </c>
      <c r="AD894" s="11">
        <v>40.523000000000003</v>
      </c>
      <c r="AE894" s="11">
        <v>40.771999999999998</v>
      </c>
      <c r="AF894" s="11">
        <v>41.005000000000003</v>
      </c>
      <c r="AG894" s="11">
        <v>41.253</v>
      </c>
      <c r="AH894" s="11">
        <v>41.503999999999998</v>
      </c>
      <c r="AI894" s="11">
        <v>41.741</v>
      </c>
      <c r="AJ894" s="11">
        <v>42.000999999999998</v>
      </c>
      <c r="AK894" s="11">
        <v>42.280999999999999</v>
      </c>
      <c r="AL894" s="11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</row>
    <row r="895" spans="1:147" x14ac:dyDescent="0.3">
      <c r="A895" s="9">
        <f>DATE(2020, 6, 17)</f>
        <v>43999</v>
      </c>
      <c r="B895" s="10">
        <v>40.71</v>
      </c>
      <c r="C895" s="10">
        <v>40.770000000000003</v>
      </c>
      <c r="D895" s="10">
        <v>40.909999999999997</v>
      </c>
      <c r="E895" s="10">
        <v>41.12</v>
      </c>
      <c r="F895" s="10">
        <v>41.34</v>
      </c>
      <c r="G895" s="10">
        <v>41.58</v>
      </c>
      <c r="H895" s="10">
        <v>41.8</v>
      </c>
      <c r="I895" s="10">
        <v>42.05</v>
      </c>
      <c r="J895" s="10">
        <v>42.28</v>
      </c>
      <c r="K895" s="10">
        <v>42.53</v>
      </c>
      <c r="L895" s="10">
        <v>42.78</v>
      </c>
      <c r="M895" s="10">
        <v>43.02</v>
      </c>
      <c r="N895" s="10">
        <v>37.96</v>
      </c>
      <c r="O895" s="10">
        <v>38.21</v>
      </c>
      <c r="P895" s="10">
        <v>38.4</v>
      </c>
      <c r="Q895" s="10">
        <v>38.58</v>
      </c>
      <c r="R895" s="10">
        <v>38.74</v>
      </c>
      <c r="S895" s="10">
        <v>38.9</v>
      </c>
      <c r="T895" s="10">
        <v>39.06</v>
      </c>
      <c r="U895" s="10">
        <v>39.21</v>
      </c>
      <c r="V895" s="10">
        <v>39.369999999999997</v>
      </c>
      <c r="W895" s="10">
        <v>39.520000000000003</v>
      </c>
      <c r="X895" s="10">
        <v>39.67</v>
      </c>
      <c r="Y895" s="10">
        <v>39.82</v>
      </c>
      <c r="Z895" s="11">
        <v>40.218000000000004</v>
      </c>
      <c r="AA895" s="11">
        <v>39.625999999999998</v>
      </c>
      <c r="AB895" s="11">
        <v>39.56</v>
      </c>
      <c r="AC895" s="11">
        <v>39.75</v>
      </c>
      <c r="AD895" s="11">
        <v>39.951000000000001</v>
      </c>
      <c r="AE895" s="11">
        <v>40.159999999999997</v>
      </c>
      <c r="AF895" s="11">
        <v>40.363</v>
      </c>
      <c r="AG895" s="11">
        <v>40.582000000000001</v>
      </c>
      <c r="AH895" s="11">
        <v>40.792999999999999</v>
      </c>
      <c r="AI895" s="11">
        <v>41.051000000000002</v>
      </c>
      <c r="AJ895" s="11">
        <v>41.290999999999997</v>
      </c>
      <c r="AK895" s="11">
        <v>41.53</v>
      </c>
      <c r="AL895" s="11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</row>
    <row r="896" spans="1:147" x14ac:dyDescent="0.3">
      <c r="A896" s="9">
        <f>DATE(2020, 6, 18)</f>
        <v>44000</v>
      </c>
      <c r="B896" s="10">
        <v>41.51</v>
      </c>
      <c r="C896" s="10">
        <v>41.47</v>
      </c>
      <c r="D896" s="10">
        <v>41.51</v>
      </c>
      <c r="E896" s="10">
        <v>41.64</v>
      </c>
      <c r="F896" s="10">
        <v>41.79</v>
      </c>
      <c r="G896" s="10">
        <v>41.95</v>
      </c>
      <c r="H896" s="10">
        <v>42.12</v>
      </c>
      <c r="I896" s="10">
        <v>42.34</v>
      </c>
      <c r="J896" s="10">
        <v>42.54</v>
      </c>
      <c r="K896" s="10">
        <v>42.76</v>
      </c>
      <c r="L896" s="10">
        <v>42.98</v>
      </c>
      <c r="M896" s="10">
        <v>43.18</v>
      </c>
      <c r="N896" s="10">
        <v>38.840000000000003</v>
      </c>
      <c r="O896" s="10">
        <v>39.049999999999997</v>
      </c>
      <c r="P896" s="10">
        <v>39.229999999999997</v>
      </c>
      <c r="Q896" s="10">
        <v>39.380000000000003</v>
      </c>
      <c r="R896" s="10">
        <v>39.51</v>
      </c>
      <c r="S896" s="10">
        <v>39.630000000000003</v>
      </c>
      <c r="T896" s="10">
        <v>39.75</v>
      </c>
      <c r="U896" s="10">
        <v>39.86</v>
      </c>
      <c r="V896" s="10">
        <v>39.979999999999997</v>
      </c>
      <c r="W896" s="10">
        <v>40.1</v>
      </c>
      <c r="X896" s="10">
        <v>40.229999999999997</v>
      </c>
      <c r="Y896" s="10">
        <v>40.35</v>
      </c>
      <c r="Z896" s="11">
        <v>40.683999999999997</v>
      </c>
      <c r="AA896" s="11">
        <v>40.841999999999999</v>
      </c>
      <c r="AB896" s="11">
        <v>40.561999999999998</v>
      </c>
      <c r="AC896" s="11">
        <v>40.527000000000001</v>
      </c>
      <c r="AD896" s="11">
        <v>40.612000000000002</v>
      </c>
      <c r="AE896" s="11">
        <v>40.728000000000002</v>
      </c>
      <c r="AF896" s="11">
        <v>40.840000000000003</v>
      </c>
      <c r="AG896" s="11">
        <v>40.950000000000003</v>
      </c>
      <c r="AH896" s="11">
        <v>41.110999999999997</v>
      </c>
      <c r="AI896" s="11">
        <v>41.28</v>
      </c>
      <c r="AJ896" s="11">
        <v>41.49</v>
      </c>
      <c r="AK896" s="11">
        <v>41.688000000000002</v>
      </c>
      <c r="AL896" s="11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</row>
    <row r="897" spans="1:147" x14ac:dyDescent="0.3">
      <c r="A897" s="9">
        <f>DATE(2020, 6, 19)</f>
        <v>44001</v>
      </c>
      <c r="B897" s="10">
        <v>42.19</v>
      </c>
      <c r="C897" s="10">
        <v>42.14</v>
      </c>
      <c r="D897" s="10">
        <v>42.15</v>
      </c>
      <c r="E897" s="10">
        <v>42.25</v>
      </c>
      <c r="F897" s="10">
        <v>42.38</v>
      </c>
      <c r="G897" s="10">
        <v>42.53</v>
      </c>
      <c r="H897" s="10">
        <v>42.67</v>
      </c>
      <c r="I897" s="10">
        <v>42.86</v>
      </c>
      <c r="J897" s="10">
        <v>43.03</v>
      </c>
      <c r="K897" s="10">
        <v>43.23</v>
      </c>
      <c r="L897" s="10">
        <v>43.42</v>
      </c>
      <c r="M897" s="10">
        <v>43.59</v>
      </c>
      <c r="N897" s="10">
        <v>39.75</v>
      </c>
      <c r="O897" s="10">
        <v>39.83</v>
      </c>
      <c r="P897" s="10">
        <v>39.93</v>
      </c>
      <c r="Q897" s="10">
        <v>40.020000000000003</v>
      </c>
      <c r="R897" s="10">
        <v>40.1</v>
      </c>
      <c r="S897" s="10">
        <v>40.19</v>
      </c>
      <c r="T897" s="10">
        <v>40.270000000000003</v>
      </c>
      <c r="U897" s="10">
        <v>40.35</v>
      </c>
      <c r="V897" s="10">
        <v>40.43</v>
      </c>
      <c r="W897" s="10">
        <v>40.520000000000003</v>
      </c>
      <c r="X897" s="10">
        <v>40.619999999999997</v>
      </c>
      <c r="Y897" s="10">
        <v>40.71</v>
      </c>
      <c r="Z897" s="11">
        <v>40.893999999999998</v>
      </c>
      <c r="AA897" s="11">
        <v>41.54</v>
      </c>
      <c r="AB897" s="11">
        <v>41.29</v>
      </c>
      <c r="AC897" s="11">
        <v>41.235999999999997</v>
      </c>
      <c r="AD897" s="11">
        <v>41.256999999999998</v>
      </c>
      <c r="AE897" s="11">
        <v>41.307000000000002</v>
      </c>
      <c r="AF897" s="11">
        <v>41.356999999999999</v>
      </c>
      <c r="AG897" s="11">
        <v>41.478999999999999</v>
      </c>
      <c r="AH897" s="11">
        <v>41.64</v>
      </c>
      <c r="AI897" s="11">
        <v>41.817999999999998</v>
      </c>
      <c r="AJ897" s="11">
        <v>41.997999999999998</v>
      </c>
      <c r="AK897" s="11">
        <v>42.186999999999998</v>
      </c>
      <c r="AL897" s="11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</row>
    <row r="898" spans="1:147" x14ac:dyDescent="0.3">
      <c r="A898" s="9">
        <f>DATE(2020, 6, 22)</f>
        <v>44004</v>
      </c>
      <c r="B898" s="10">
        <v>43.08</v>
      </c>
      <c r="C898" s="10">
        <v>43.07</v>
      </c>
      <c r="D898" s="10">
        <v>43.08</v>
      </c>
      <c r="E898" s="10">
        <v>43.19</v>
      </c>
      <c r="F898" s="10">
        <v>43.33</v>
      </c>
      <c r="G898" s="10">
        <v>43.48</v>
      </c>
      <c r="H898" s="10">
        <v>43.63</v>
      </c>
      <c r="I898" s="10">
        <v>43.81</v>
      </c>
      <c r="J898" s="10">
        <v>43.97</v>
      </c>
      <c r="K898" s="10">
        <v>44.14</v>
      </c>
      <c r="L898" s="10">
        <v>44.31</v>
      </c>
      <c r="M898" s="10">
        <v>44.46</v>
      </c>
      <c r="N898" s="10">
        <v>40.46</v>
      </c>
      <c r="O898" s="10">
        <v>40.729999999999997</v>
      </c>
      <c r="P898" s="10">
        <v>40.85</v>
      </c>
      <c r="Q898" s="10">
        <v>40.950000000000003</v>
      </c>
      <c r="R898" s="10">
        <v>41.04</v>
      </c>
      <c r="S898" s="10">
        <v>41.12</v>
      </c>
      <c r="T898" s="10">
        <v>41.18</v>
      </c>
      <c r="U898" s="10">
        <v>41.24</v>
      </c>
      <c r="V898" s="10">
        <v>41.3</v>
      </c>
      <c r="W898" s="10">
        <v>41.36</v>
      </c>
      <c r="X898" s="10">
        <v>41.44</v>
      </c>
      <c r="Y898" s="10">
        <v>41.52</v>
      </c>
      <c r="Z898" s="11">
        <v>41.148000000000003</v>
      </c>
      <c r="AA898" s="11">
        <v>42.33</v>
      </c>
      <c r="AB898" s="11">
        <v>42.15</v>
      </c>
      <c r="AC898" s="11">
        <v>42.136000000000003</v>
      </c>
      <c r="AD898" s="11">
        <v>42.177</v>
      </c>
      <c r="AE898" s="11">
        <v>42.247</v>
      </c>
      <c r="AF898" s="11">
        <v>42.326000000000001</v>
      </c>
      <c r="AG898" s="11">
        <v>42.427999999999997</v>
      </c>
      <c r="AH898" s="11">
        <v>42.579000000000001</v>
      </c>
      <c r="AI898" s="11">
        <v>42.726999999999997</v>
      </c>
      <c r="AJ898" s="11">
        <v>42.887</v>
      </c>
      <c r="AK898" s="11">
        <v>43.054000000000002</v>
      </c>
      <c r="AL898" s="11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</row>
    <row r="899" spans="1:147" x14ac:dyDescent="0.3">
      <c r="A899" s="9">
        <f>DATE(2020, 6, 23)</f>
        <v>44005</v>
      </c>
      <c r="B899" s="10">
        <v>42.63</v>
      </c>
      <c r="C899" s="10">
        <v>42.73</v>
      </c>
      <c r="D899" s="10">
        <v>42.8</v>
      </c>
      <c r="E899" s="10">
        <v>42.95</v>
      </c>
      <c r="F899" s="10">
        <v>43.11</v>
      </c>
      <c r="G899" s="10">
        <v>43.27</v>
      </c>
      <c r="H899" s="10">
        <v>43.42</v>
      </c>
      <c r="I899" s="10">
        <v>43.61</v>
      </c>
      <c r="J899" s="10">
        <v>43.77</v>
      </c>
      <c r="K899" s="10">
        <v>43.95</v>
      </c>
      <c r="L899" s="10">
        <v>44.12</v>
      </c>
      <c r="M899" s="10">
        <v>44.26</v>
      </c>
      <c r="N899" s="10">
        <v>40.369999999999997</v>
      </c>
      <c r="O899" s="10">
        <v>40.51</v>
      </c>
      <c r="P899" s="10">
        <v>40.630000000000003</v>
      </c>
      <c r="Q899" s="10">
        <v>40.729999999999997</v>
      </c>
      <c r="R899" s="10">
        <v>40.82</v>
      </c>
      <c r="S899" s="10">
        <v>40.89</v>
      </c>
      <c r="T899" s="10">
        <v>40.950000000000003</v>
      </c>
      <c r="U899" s="10">
        <v>41.01</v>
      </c>
      <c r="V899" s="10">
        <v>41.07</v>
      </c>
      <c r="W899" s="10">
        <v>41.14</v>
      </c>
      <c r="X899" s="10">
        <v>41.21</v>
      </c>
      <c r="Y899" s="10">
        <v>41.26</v>
      </c>
      <c r="Z899" s="11">
        <v>41.033000000000001</v>
      </c>
      <c r="AA899" s="11">
        <v>41.942999999999998</v>
      </c>
      <c r="AB899" s="11">
        <v>41.753999999999998</v>
      </c>
      <c r="AC899" s="11">
        <v>41.777000000000001</v>
      </c>
      <c r="AD899" s="11">
        <v>41.847000000000001</v>
      </c>
      <c r="AE899" s="11">
        <v>41.936999999999998</v>
      </c>
      <c r="AF899" s="11">
        <v>42.057000000000002</v>
      </c>
      <c r="AG899" s="11">
        <v>42.207999999999998</v>
      </c>
      <c r="AH899" s="11">
        <v>42.378999999999998</v>
      </c>
      <c r="AI899" s="11">
        <v>42.536999999999999</v>
      </c>
      <c r="AJ899" s="11">
        <v>42.697000000000003</v>
      </c>
      <c r="AK899" s="11">
        <v>42.854999999999997</v>
      </c>
      <c r="AL899" s="11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</row>
    <row r="900" spans="1:147" x14ac:dyDescent="0.3">
      <c r="A900" s="9">
        <f>DATE(2020, 6, 24)</f>
        <v>44006</v>
      </c>
      <c r="B900" s="10">
        <v>40.31</v>
      </c>
      <c r="C900" s="10">
        <v>40.53</v>
      </c>
      <c r="D900" s="10">
        <v>40.72</v>
      </c>
      <c r="E900" s="10">
        <v>40.93</v>
      </c>
      <c r="F900" s="10">
        <v>41.15</v>
      </c>
      <c r="G900" s="10">
        <v>41.36</v>
      </c>
      <c r="H900" s="10">
        <v>41.57</v>
      </c>
      <c r="I900" s="10">
        <v>41.81</v>
      </c>
      <c r="J900" s="10">
        <v>42.02</v>
      </c>
      <c r="K900" s="10">
        <v>42.23</v>
      </c>
      <c r="L900" s="10">
        <v>42.46</v>
      </c>
      <c r="M900" s="10">
        <v>42.64</v>
      </c>
      <c r="N900" s="10">
        <v>38.01</v>
      </c>
      <c r="O900" s="10">
        <v>38.21</v>
      </c>
      <c r="P900" s="10">
        <v>38.39</v>
      </c>
      <c r="Q900" s="10">
        <v>38.56</v>
      </c>
      <c r="R900" s="10">
        <v>38.729999999999997</v>
      </c>
      <c r="S900" s="10">
        <v>38.869999999999997</v>
      </c>
      <c r="T900" s="10">
        <v>39</v>
      </c>
      <c r="U900" s="10">
        <v>39.130000000000003</v>
      </c>
      <c r="V900" s="10">
        <v>39.26</v>
      </c>
      <c r="W900" s="10">
        <v>39.380000000000003</v>
      </c>
      <c r="X900" s="10">
        <v>39.5</v>
      </c>
      <c r="Y900" s="10">
        <v>39.6</v>
      </c>
      <c r="Z900" s="11">
        <v>40.680999999999997</v>
      </c>
      <c r="AA900" s="11">
        <v>39.957999999999998</v>
      </c>
      <c r="AB900" s="11">
        <v>39.68</v>
      </c>
      <c r="AC900" s="11">
        <v>39.700000000000003</v>
      </c>
      <c r="AD900" s="11">
        <v>39.82</v>
      </c>
      <c r="AE900" s="11">
        <v>39.950000000000003</v>
      </c>
      <c r="AF900" s="11">
        <v>40.101999999999997</v>
      </c>
      <c r="AG900" s="11">
        <v>40.311</v>
      </c>
      <c r="AH900" s="11">
        <v>40.530999999999999</v>
      </c>
      <c r="AI900" s="11">
        <v>40.74</v>
      </c>
      <c r="AJ900" s="11">
        <v>40.948999999999998</v>
      </c>
      <c r="AK900" s="11">
        <v>41.149000000000001</v>
      </c>
      <c r="AL900" s="11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</row>
    <row r="901" spans="1:147" x14ac:dyDescent="0.3">
      <c r="A901" s="9">
        <f>DATE(2020, 6, 25)</f>
        <v>44007</v>
      </c>
      <c r="B901" s="10">
        <v>41.05</v>
      </c>
      <c r="C901" s="10">
        <v>41.12</v>
      </c>
      <c r="D901" s="10">
        <v>41.23</v>
      </c>
      <c r="E901" s="10">
        <v>41.43</v>
      </c>
      <c r="F901" s="10">
        <v>41.65</v>
      </c>
      <c r="G901" s="10">
        <v>41.86</v>
      </c>
      <c r="H901" s="10">
        <v>42.09</v>
      </c>
      <c r="I901" s="10">
        <v>42.33</v>
      </c>
      <c r="J901" s="10">
        <v>42.54</v>
      </c>
      <c r="K901" s="10">
        <v>42.76</v>
      </c>
      <c r="L901" s="10">
        <v>42.97</v>
      </c>
      <c r="M901" s="10">
        <v>43.15</v>
      </c>
      <c r="N901" s="10">
        <v>38.72</v>
      </c>
      <c r="O901" s="10">
        <v>38.909999999999997</v>
      </c>
      <c r="P901" s="10">
        <v>39.08</v>
      </c>
      <c r="Q901" s="10">
        <v>39.26</v>
      </c>
      <c r="R901" s="10">
        <v>39.43</v>
      </c>
      <c r="S901" s="10">
        <v>39.57</v>
      </c>
      <c r="T901" s="10">
        <v>39.700000000000003</v>
      </c>
      <c r="U901" s="10">
        <v>39.83</v>
      </c>
      <c r="V901" s="10">
        <v>39.950000000000003</v>
      </c>
      <c r="W901" s="10">
        <v>40.06</v>
      </c>
      <c r="X901" s="10">
        <v>40.18</v>
      </c>
      <c r="Y901" s="10">
        <v>40.26</v>
      </c>
      <c r="Z901" s="11">
        <v>40.777999999999999</v>
      </c>
      <c r="AA901" s="11">
        <v>40.645000000000003</v>
      </c>
      <c r="AB901" s="11">
        <v>40.279000000000003</v>
      </c>
      <c r="AC901" s="11">
        <v>40.22</v>
      </c>
      <c r="AD901" s="11">
        <v>40.29</v>
      </c>
      <c r="AE901" s="11">
        <v>40.430999999999997</v>
      </c>
      <c r="AF901" s="11">
        <v>40.601999999999997</v>
      </c>
      <c r="AG901" s="11">
        <v>40.771000000000001</v>
      </c>
      <c r="AH901" s="11">
        <v>40.970999999999997</v>
      </c>
      <c r="AI901" s="11">
        <v>41.209000000000003</v>
      </c>
      <c r="AJ901" s="11">
        <v>41.439</v>
      </c>
      <c r="AK901" s="11">
        <v>41.649000000000001</v>
      </c>
      <c r="AL901" s="11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</row>
    <row r="902" spans="1:147" x14ac:dyDescent="0.3">
      <c r="A902" s="9">
        <f>DATE(2020, 6, 26)</f>
        <v>44008</v>
      </c>
      <c r="B902" s="10">
        <v>41.02</v>
      </c>
      <c r="C902" s="10">
        <v>40.93</v>
      </c>
      <c r="D902" s="10">
        <v>40.97</v>
      </c>
      <c r="E902" s="10">
        <v>41.1</v>
      </c>
      <c r="F902" s="10">
        <v>41.26</v>
      </c>
      <c r="G902" s="10">
        <v>41.44</v>
      </c>
      <c r="H902" s="10">
        <v>41.64</v>
      </c>
      <c r="I902" s="10">
        <v>41.87</v>
      </c>
      <c r="J902" s="10">
        <v>42.07</v>
      </c>
      <c r="K902" s="10">
        <v>42.31</v>
      </c>
      <c r="L902" s="10">
        <v>42.54</v>
      </c>
      <c r="M902" s="10">
        <v>42.74</v>
      </c>
      <c r="N902" s="10">
        <v>38.49</v>
      </c>
      <c r="O902" s="10">
        <v>38.65</v>
      </c>
      <c r="P902" s="10">
        <v>38.799999999999997</v>
      </c>
      <c r="Q902" s="10">
        <v>38.94</v>
      </c>
      <c r="R902" s="10">
        <v>39.07</v>
      </c>
      <c r="S902" s="10">
        <v>39.19</v>
      </c>
      <c r="T902" s="10">
        <v>39.31</v>
      </c>
      <c r="U902" s="10">
        <v>39.450000000000003</v>
      </c>
      <c r="V902" s="10">
        <v>39.590000000000003</v>
      </c>
      <c r="W902" s="10">
        <v>39.72</v>
      </c>
      <c r="X902" s="10">
        <v>39.840000000000003</v>
      </c>
      <c r="Y902" s="10">
        <v>39.950000000000003</v>
      </c>
      <c r="Z902" s="11">
        <v>40.783000000000001</v>
      </c>
      <c r="AA902" s="11">
        <v>40.491999999999997</v>
      </c>
      <c r="AB902" s="11">
        <v>39.962000000000003</v>
      </c>
      <c r="AC902" s="11">
        <v>39.887</v>
      </c>
      <c r="AD902" s="11">
        <v>39.828000000000003</v>
      </c>
      <c r="AE902" s="11">
        <v>39.93</v>
      </c>
      <c r="AF902" s="11">
        <v>40.061</v>
      </c>
      <c r="AG902" s="11">
        <v>40.26</v>
      </c>
      <c r="AH902" s="11">
        <v>40.451999999999998</v>
      </c>
      <c r="AI902" s="11">
        <v>40.71</v>
      </c>
      <c r="AJ902" s="11">
        <v>40.96</v>
      </c>
      <c r="AK902" s="11">
        <v>41.191000000000003</v>
      </c>
      <c r="AL902" s="11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</row>
    <row r="903" spans="1:147" x14ac:dyDescent="0.3">
      <c r="A903" s="9">
        <f>DATE(2020, 6, 29)</f>
        <v>44011</v>
      </c>
      <c r="B903" s="10">
        <v>41.71</v>
      </c>
      <c r="C903" s="10">
        <v>41.85</v>
      </c>
      <c r="D903" s="10">
        <v>41.95</v>
      </c>
      <c r="E903" s="10">
        <v>42.12</v>
      </c>
      <c r="F903" s="10">
        <v>42.31</v>
      </c>
      <c r="G903" s="10">
        <v>42.5</v>
      </c>
      <c r="H903" s="10">
        <v>42.72</v>
      </c>
      <c r="I903" s="10">
        <v>42.95</v>
      </c>
      <c r="J903" s="10">
        <v>43.17</v>
      </c>
      <c r="K903" s="10">
        <v>43.4</v>
      </c>
      <c r="L903" s="10">
        <v>43.63</v>
      </c>
      <c r="M903" s="10">
        <v>43.82</v>
      </c>
      <c r="N903" s="10">
        <v>39.700000000000003</v>
      </c>
      <c r="O903" s="10">
        <v>39.81</v>
      </c>
      <c r="P903" s="10">
        <v>39.92</v>
      </c>
      <c r="Q903" s="10">
        <v>40.04</v>
      </c>
      <c r="R903" s="10">
        <v>40.17</v>
      </c>
      <c r="S903" s="10">
        <v>40.28</v>
      </c>
      <c r="T903" s="10">
        <v>40.4</v>
      </c>
      <c r="U903" s="10">
        <v>40.520000000000003</v>
      </c>
      <c r="V903" s="10">
        <v>40.64</v>
      </c>
      <c r="W903" s="10">
        <v>40.75</v>
      </c>
      <c r="X903" s="10">
        <v>40.869999999999997</v>
      </c>
      <c r="Y903" s="10">
        <v>40.97</v>
      </c>
      <c r="Z903" s="11">
        <v>40.795000000000002</v>
      </c>
      <c r="AA903" s="11">
        <v>41.374000000000002</v>
      </c>
      <c r="AB903" s="11">
        <v>40.915999999999997</v>
      </c>
      <c r="AC903" s="11">
        <v>40.859000000000002</v>
      </c>
      <c r="AD903" s="11">
        <v>40.848999999999997</v>
      </c>
      <c r="AE903" s="11">
        <v>40.96</v>
      </c>
      <c r="AF903" s="11">
        <v>41.121000000000002</v>
      </c>
      <c r="AG903" s="11">
        <v>41.271000000000001</v>
      </c>
      <c r="AH903" s="11">
        <v>41.481999999999999</v>
      </c>
      <c r="AI903" s="11">
        <v>41.73</v>
      </c>
      <c r="AJ903" s="11">
        <v>41.929000000000002</v>
      </c>
      <c r="AK903" s="11">
        <v>42.151000000000003</v>
      </c>
      <c r="AL903" s="11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</row>
    <row r="904" spans="1:147" x14ac:dyDescent="0.3">
      <c r="A904" s="9">
        <f>DATE(2020, 6, 30)</f>
        <v>44012</v>
      </c>
      <c r="B904" s="10">
        <v>41.15</v>
      </c>
      <c r="C904" s="10">
        <v>41.27</v>
      </c>
      <c r="D904" s="10">
        <v>41.39</v>
      </c>
      <c r="E904" s="10">
        <v>41.56</v>
      </c>
      <c r="F904" s="10">
        <v>41.76</v>
      </c>
      <c r="G904" s="10">
        <v>41.95</v>
      </c>
      <c r="H904" s="10">
        <v>42.16</v>
      </c>
      <c r="I904" s="10">
        <v>42.4</v>
      </c>
      <c r="J904" s="10">
        <v>42.61</v>
      </c>
      <c r="K904" s="10">
        <v>42.84</v>
      </c>
      <c r="L904" s="10">
        <v>43.06</v>
      </c>
      <c r="M904" s="10">
        <v>43.25</v>
      </c>
      <c r="N904" s="10">
        <v>39.270000000000003</v>
      </c>
      <c r="O904" s="10">
        <v>39.340000000000003</v>
      </c>
      <c r="P904" s="10">
        <v>39.479999999999997</v>
      </c>
      <c r="Q904" s="10">
        <v>39.58</v>
      </c>
      <c r="R904" s="10">
        <v>39.68</v>
      </c>
      <c r="S904" s="10">
        <v>39.78</v>
      </c>
      <c r="T904" s="10">
        <v>39.869999999999997</v>
      </c>
      <c r="U904" s="10">
        <v>39.97</v>
      </c>
      <c r="V904" s="10">
        <v>40.08</v>
      </c>
      <c r="W904" s="10">
        <v>40.18</v>
      </c>
      <c r="X904" s="10">
        <v>40.29</v>
      </c>
      <c r="Y904" s="10">
        <v>40.36</v>
      </c>
      <c r="Z904" s="11">
        <v>40.790999999999997</v>
      </c>
      <c r="AA904" s="11">
        <v>40.975000000000001</v>
      </c>
      <c r="AB904" s="11">
        <v>40.555999999999997</v>
      </c>
      <c r="AC904" s="11">
        <v>40.399000000000001</v>
      </c>
      <c r="AD904" s="11">
        <v>40.348999999999997</v>
      </c>
      <c r="AE904" s="11">
        <v>40.46</v>
      </c>
      <c r="AF904" s="11">
        <v>40.601999999999997</v>
      </c>
      <c r="AG904" s="11">
        <v>40.801000000000002</v>
      </c>
      <c r="AH904" s="11">
        <v>41.012</v>
      </c>
      <c r="AI904" s="11">
        <v>41.24</v>
      </c>
      <c r="AJ904" s="11">
        <v>41.469000000000001</v>
      </c>
      <c r="AK904" s="11">
        <v>41.68</v>
      </c>
      <c r="AL904" s="11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</row>
    <row r="905" spans="1:147" x14ac:dyDescent="0.3">
      <c r="A905" s="9">
        <f>DATE(2020, 7, 1)</f>
        <v>44013</v>
      </c>
      <c r="B905" s="10">
        <v>42.03</v>
      </c>
      <c r="C905" s="10">
        <v>42.11</v>
      </c>
      <c r="D905" s="10">
        <v>42.24</v>
      </c>
      <c r="E905" s="10">
        <v>42.4</v>
      </c>
      <c r="F905" s="10">
        <v>42.55</v>
      </c>
      <c r="G905" s="10">
        <v>42.74</v>
      </c>
      <c r="H905" s="10">
        <v>42.96</v>
      </c>
      <c r="I905" s="10">
        <v>43.16</v>
      </c>
      <c r="J905" s="10">
        <v>43.37</v>
      </c>
      <c r="K905" s="10">
        <v>43.59</v>
      </c>
      <c r="L905" s="10">
        <v>43.77</v>
      </c>
      <c r="M905" s="10">
        <v>43.97</v>
      </c>
      <c r="N905" s="10">
        <v>39.82</v>
      </c>
      <c r="O905" s="10">
        <v>39.92</v>
      </c>
      <c r="P905" s="10">
        <v>40.090000000000003</v>
      </c>
      <c r="Q905" s="10">
        <v>40.229999999999997</v>
      </c>
      <c r="R905" s="10">
        <v>40.340000000000003</v>
      </c>
      <c r="S905" s="10">
        <v>40.44</v>
      </c>
      <c r="T905" s="10">
        <v>40.54</v>
      </c>
      <c r="U905" s="10">
        <v>40.64</v>
      </c>
      <c r="V905" s="10">
        <v>40.72</v>
      </c>
      <c r="W905" s="10">
        <v>40.82</v>
      </c>
      <c r="X905" s="10">
        <v>40.9</v>
      </c>
      <c r="Y905" s="10">
        <v>40.97</v>
      </c>
      <c r="Z905" s="11">
        <v>40.790999999999997</v>
      </c>
      <c r="AA905" s="11">
        <v>42.11</v>
      </c>
      <c r="AB905" s="11">
        <v>41.411999999999999</v>
      </c>
      <c r="AC905" s="11">
        <v>41.127000000000002</v>
      </c>
      <c r="AD905" s="11">
        <v>41.057000000000002</v>
      </c>
      <c r="AE905" s="11">
        <v>41.119</v>
      </c>
      <c r="AF905" s="11">
        <v>41.25</v>
      </c>
      <c r="AG905" s="11">
        <v>41.44</v>
      </c>
      <c r="AH905" s="11">
        <v>41.670999999999999</v>
      </c>
      <c r="AI905" s="11">
        <v>41.89</v>
      </c>
      <c r="AJ905" s="11">
        <v>42.109000000000002</v>
      </c>
      <c r="AK905" s="11">
        <v>42.308999999999997</v>
      </c>
      <c r="AL905" s="11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</row>
    <row r="906" spans="1:147" x14ac:dyDescent="0.3">
      <c r="A906" s="9">
        <f>DATE(2020, 7, 2)</f>
        <v>44014</v>
      </c>
      <c r="B906" s="10">
        <v>43.14</v>
      </c>
      <c r="C906" s="10">
        <v>43.19</v>
      </c>
      <c r="D906" s="10">
        <v>43.26</v>
      </c>
      <c r="E906" s="10">
        <v>43.37</v>
      </c>
      <c r="F906" s="10">
        <v>43.47</v>
      </c>
      <c r="G906" s="10">
        <v>43.63</v>
      </c>
      <c r="H906" s="10">
        <v>43.83</v>
      </c>
      <c r="I906" s="10">
        <v>44.01</v>
      </c>
      <c r="J906" s="10">
        <v>44.2</v>
      </c>
      <c r="K906" s="10">
        <v>44.41</v>
      </c>
      <c r="L906" s="10">
        <v>44.57</v>
      </c>
      <c r="M906" s="10">
        <v>44.75</v>
      </c>
      <c r="N906" s="10">
        <v>40.65</v>
      </c>
      <c r="O906" s="10">
        <v>40.76</v>
      </c>
      <c r="P906" s="10">
        <v>40.909999999999997</v>
      </c>
      <c r="Q906" s="10">
        <v>41.02</v>
      </c>
      <c r="R906" s="10">
        <v>41.11</v>
      </c>
      <c r="S906" s="10">
        <v>41.18</v>
      </c>
      <c r="T906" s="10">
        <v>41.26</v>
      </c>
      <c r="U906" s="10">
        <v>41.34</v>
      </c>
      <c r="V906" s="10">
        <v>41.42</v>
      </c>
      <c r="W906" s="10">
        <v>41.49</v>
      </c>
      <c r="X906" s="10">
        <v>41.59</v>
      </c>
      <c r="Y906" s="10">
        <v>41.66</v>
      </c>
      <c r="Z906" s="11">
        <v>43.098999999999997</v>
      </c>
      <c r="AA906" s="11">
        <v>42.487000000000002</v>
      </c>
      <c r="AB906" s="11">
        <v>42.195</v>
      </c>
      <c r="AC906" s="11">
        <v>42.075000000000003</v>
      </c>
      <c r="AD906" s="11">
        <v>42.118000000000002</v>
      </c>
      <c r="AE906" s="11">
        <v>42.238</v>
      </c>
      <c r="AF906" s="11">
        <v>42.408999999999999</v>
      </c>
      <c r="AG906" s="11">
        <v>42.58</v>
      </c>
      <c r="AH906" s="11">
        <v>42.749000000000002</v>
      </c>
      <c r="AI906" s="11">
        <v>42.938000000000002</v>
      </c>
      <c r="AJ906" s="11">
        <v>43.116999999999997</v>
      </c>
      <c r="AK906" s="11">
        <v>43.287999999999997</v>
      </c>
      <c r="AL906" s="11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</row>
    <row r="907" spans="1:147" x14ac:dyDescent="0.3">
      <c r="A907" s="9">
        <f>DATE(2020, 7, 3)</f>
        <v>44015</v>
      </c>
      <c r="B907" s="10">
        <v>42.8</v>
      </c>
      <c r="C907" s="10">
        <v>42.91</v>
      </c>
      <c r="D907" s="10">
        <v>43.03</v>
      </c>
      <c r="E907" s="10">
        <v>43.18</v>
      </c>
      <c r="F907" s="10">
        <v>43.31</v>
      </c>
      <c r="G907" s="10">
        <v>43.48</v>
      </c>
      <c r="H907" s="10">
        <v>43.7</v>
      </c>
      <c r="I907" s="10">
        <v>43.9</v>
      </c>
      <c r="J907" s="10">
        <v>44.11</v>
      </c>
      <c r="K907" s="10">
        <v>44.34</v>
      </c>
      <c r="L907" s="10">
        <v>44.51</v>
      </c>
      <c r="M907" s="10">
        <v>44.71</v>
      </c>
      <c r="N907" s="10">
        <v>40.65</v>
      </c>
      <c r="O907" s="10">
        <v>40.76</v>
      </c>
      <c r="P907" s="10">
        <v>40.909999999999997</v>
      </c>
      <c r="Q907" s="10">
        <v>41.02</v>
      </c>
      <c r="R907" s="10">
        <v>41.11</v>
      </c>
      <c r="S907" s="10">
        <v>41.18</v>
      </c>
      <c r="T907" s="10">
        <v>41.26</v>
      </c>
      <c r="U907" s="10">
        <v>41.34</v>
      </c>
      <c r="V907" s="10">
        <v>41.42</v>
      </c>
      <c r="W907" s="10">
        <v>41.49</v>
      </c>
      <c r="X907" s="10">
        <v>41.59</v>
      </c>
      <c r="Y907" s="10">
        <v>41.66</v>
      </c>
      <c r="Z907" s="11">
        <v>42.661000000000001</v>
      </c>
      <c r="AA907" s="11">
        <v>42.051000000000002</v>
      </c>
      <c r="AB907" s="11">
        <v>41.887</v>
      </c>
      <c r="AC907" s="11">
        <v>41.816000000000003</v>
      </c>
      <c r="AD907" s="11">
        <v>41.917999999999999</v>
      </c>
      <c r="AE907" s="11">
        <v>42.07</v>
      </c>
      <c r="AF907" s="11">
        <v>42.26</v>
      </c>
      <c r="AG907" s="11">
        <v>42.460999999999999</v>
      </c>
      <c r="AH907" s="11">
        <v>42.66</v>
      </c>
      <c r="AI907" s="11">
        <v>42.898000000000003</v>
      </c>
      <c r="AJ907" s="11">
        <v>43.079000000000001</v>
      </c>
      <c r="AK907" s="11">
        <v>43.277999999999999</v>
      </c>
      <c r="AL907" s="11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</row>
    <row r="908" spans="1:147" x14ac:dyDescent="0.3">
      <c r="A908" s="9">
        <f>DATE(2020, 7, 6)</f>
        <v>44018</v>
      </c>
      <c r="B908" s="10">
        <v>43.1</v>
      </c>
      <c r="C908" s="10">
        <v>43.24</v>
      </c>
      <c r="D908" s="10">
        <v>43.39</v>
      </c>
      <c r="E908" s="10">
        <v>43.55</v>
      </c>
      <c r="F908" s="10">
        <v>43.69</v>
      </c>
      <c r="G908" s="10">
        <v>43.85</v>
      </c>
      <c r="H908" s="10">
        <v>44.06</v>
      </c>
      <c r="I908" s="10">
        <v>44.24</v>
      </c>
      <c r="J908" s="10">
        <v>44.43</v>
      </c>
      <c r="K908" s="10">
        <v>44.64</v>
      </c>
      <c r="L908" s="10">
        <v>44.79</v>
      </c>
      <c r="M908" s="10">
        <v>44.97</v>
      </c>
      <c r="N908" s="10">
        <v>40.630000000000003</v>
      </c>
      <c r="O908" s="10">
        <v>40.729999999999997</v>
      </c>
      <c r="P908" s="10">
        <v>40.880000000000003</v>
      </c>
      <c r="Q908" s="10">
        <v>40.99</v>
      </c>
      <c r="R908" s="10">
        <v>41.1</v>
      </c>
      <c r="S908" s="10">
        <v>41.2</v>
      </c>
      <c r="T908" s="10">
        <v>41.3</v>
      </c>
      <c r="U908" s="10">
        <v>41.4</v>
      </c>
      <c r="V908" s="10">
        <v>41.49</v>
      </c>
      <c r="W908" s="10">
        <v>41.6</v>
      </c>
      <c r="X908" s="10">
        <v>41.69</v>
      </c>
      <c r="Y908" s="10">
        <v>41.76</v>
      </c>
      <c r="Z908" s="11">
        <v>43.061</v>
      </c>
      <c r="AA908" s="11">
        <v>42.334000000000003</v>
      </c>
      <c r="AB908" s="11">
        <v>42.167000000000002</v>
      </c>
      <c r="AC908" s="11">
        <v>42.136000000000003</v>
      </c>
      <c r="AD908" s="11">
        <v>42.247999999999998</v>
      </c>
      <c r="AE908" s="11">
        <v>42.429000000000002</v>
      </c>
      <c r="AF908" s="11">
        <v>42.619</v>
      </c>
      <c r="AG908" s="11">
        <v>42.82</v>
      </c>
      <c r="AH908" s="11">
        <v>42.999000000000002</v>
      </c>
      <c r="AI908" s="11">
        <v>43.207000000000001</v>
      </c>
      <c r="AJ908" s="11">
        <v>43.387</v>
      </c>
      <c r="AK908" s="11">
        <v>43.557000000000002</v>
      </c>
      <c r="AL908" s="11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</row>
    <row r="909" spans="1:147" x14ac:dyDescent="0.3">
      <c r="A909" s="9">
        <f>DATE(2020, 7, 7)</f>
        <v>44019</v>
      </c>
      <c r="B909" s="10">
        <v>43.08</v>
      </c>
      <c r="C909" s="10">
        <v>43.26</v>
      </c>
      <c r="D909" s="10">
        <v>43.45</v>
      </c>
      <c r="E909" s="10">
        <v>43.64</v>
      </c>
      <c r="F909" s="10">
        <v>43.81</v>
      </c>
      <c r="G909" s="10">
        <v>43.99</v>
      </c>
      <c r="H909" s="10">
        <v>44.2</v>
      </c>
      <c r="I909" s="10">
        <v>44.39</v>
      </c>
      <c r="J909" s="10">
        <v>44.58</v>
      </c>
      <c r="K909" s="10">
        <v>44.77</v>
      </c>
      <c r="L909" s="10">
        <v>44.93</v>
      </c>
      <c r="M909" s="10">
        <v>45.11</v>
      </c>
      <c r="N909" s="10">
        <v>40.619999999999997</v>
      </c>
      <c r="O909" s="10">
        <v>40.700000000000003</v>
      </c>
      <c r="P909" s="10">
        <v>40.840000000000003</v>
      </c>
      <c r="Q909" s="10">
        <v>40.94</v>
      </c>
      <c r="R909" s="10">
        <v>41.06</v>
      </c>
      <c r="S909" s="10">
        <v>41.17</v>
      </c>
      <c r="T909" s="10">
        <v>41.29</v>
      </c>
      <c r="U909" s="10">
        <v>41.41</v>
      </c>
      <c r="V909" s="10">
        <v>41.53</v>
      </c>
      <c r="W909" s="10">
        <v>41.64</v>
      </c>
      <c r="X909" s="10">
        <v>41.75</v>
      </c>
      <c r="Y909" s="10">
        <v>41.84</v>
      </c>
      <c r="Z909" s="11">
        <v>43.054000000000002</v>
      </c>
      <c r="AA909" s="11">
        <v>42.387999999999998</v>
      </c>
      <c r="AB909" s="11">
        <v>42.189</v>
      </c>
      <c r="AC909" s="11">
        <v>42.148000000000003</v>
      </c>
      <c r="AD909" s="11">
        <v>42.268999999999998</v>
      </c>
      <c r="AE909" s="11">
        <v>42.459000000000003</v>
      </c>
      <c r="AF909" s="11">
        <v>42.65</v>
      </c>
      <c r="AG909" s="11">
        <v>42.84</v>
      </c>
      <c r="AH909" s="11">
        <v>43.027999999999999</v>
      </c>
      <c r="AI909" s="11">
        <v>43.218000000000004</v>
      </c>
      <c r="AJ909" s="11">
        <v>43.406999999999996</v>
      </c>
      <c r="AK909" s="11">
        <v>43.576999999999998</v>
      </c>
      <c r="AL909" s="11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</row>
    <row r="910" spans="1:147" x14ac:dyDescent="0.3">
      <c r="A910" s="9">
        <f>DATE(2020, 7, 8)</f>
        <v>44020</v>
      </c>
      <c r="B910" s="10">
        <v>43.29</v>
      </c>
      <c r="C910" s="10">
        <v>43.46</v>
      </c>
      <c r="D910" s="10">
        <v>43.65</v>
      </c>
      <c r="E910" s="10">
        <v>43.85</v>
      </c>
      <c r="F910" s="10">
        <v>44.04</v>
      </c>
      <c r="G910" s="10">
        <v>44.22</v>
      </c>
      <c r="H910" s="10">
        <v>44.43</v>
      </c>
      <c r="I910" s="10">
        <v>44.63</v>
      </c>
      <c r="J910" s="10">
        <v>44.84</v>
      </c>
      <c r="K910" s="10">
        <v>45.05</v>
      </c>
      <c r="L910" s="10">
        <v>45.23</v>
      </c>
      <c r="M910" s="10">
        <v>45.42</v>
      </c>
      <c r="N910" s="10">
        <v>40.9</v>
      </c>
      <c r="O910" s="10">
        <v>41.04</v>
      </c>
      <c r="P910" s="10">
        <v>41.18</v>
      </c>
      <c r="Q910" s="10">
        <v>41.29</v>
      </c>
      <c r="R910" s="10">
        <v>41.41</v>
      </c>
      <c r="S910" s="10">
        <v>41.54</v>
      </c>
      <c r="T910" s="10">
        <v>41.66</v>
      </c>
      <c r="U910" s="10">
        <v>41.79</v>
      </c>
      <c r="V910" s="10">
        <v>41.92</v>
      </c>
      <c r="W910" s="10">
        <v>42.05</v>
      </c>
      <c r="X910" s="10">
        <v>42.18</v>
      </c>
      <c r="Y910" s="10">
        <v>42.28</v>
      </c>
      <c r="Z910" s="11">
        <v>43.292999999999999</v>
      </c>
      <c r="AA910" s="11">
        <v>42.698</v>
      </c>
      <c r="AB910" s="11">
        <v>42.459000000000003</v>
      </c>
      <c r="AC910" s="11">
        <v>42.389000000000003</v>
      </c>
      <c r="AD910" s="11">
        <v>42.509</v>
      </c>
      <c r="AE910" s="11">
        <v>42.689</v>
      </c>
      <c r="AF910" s="11">
        <v>42.87</v>
      </c>
      <c r="AG910" s="11">
        <v>43.070999999999998</v>
      </c>
      <c r="AH910" s="11">
        <v>43.249000000000002</v>
      </c>
      <c r="AI910" s="11">
        <v>43.448999999999998</v>
      </c>
      <c r="AJ910" s="11">
        <v>43.637999999999998</v>
      </c>
      <c r="AK910" s="11">
        <v>43.808</v>
      </c>
      <c r="AL910" s="11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</row>
    <row r="911" spans="1:147" x14ac:dyDescent="0.3">
      <c r="A911" s="9">
        <f>DATE(2020, 7, 9)</f>
        <v>44021</v>
      </c>
      <c r="B911" s="10">
        <v>42.35</v>
      </c>
      <c r="C911" s="10">
        <v>42.55</v>
      </c>
      <c r="D911" s="10">
        <v>42.76</v>
      </c>
      <c r="E911" s="10">
        <v>42.98</v>
      </c>
      <c r="F911" s="10">
        <v>43.19</v>
      </c>
      <c r="G911" s="10">
        <v>43.41</v>
      </c>
      <c r="H911" s="10">
        <v>43.64</v>
      </c>
      <c r="I911" s="10">
        <v>43.86</v>
      </c>
      <c r="J911" s="10">
        <v>44.09</v>
      </c>
      <c r="K911" s="10">
        <v>44.33</v>
      </c>
      <c r="L911" s="10">
        <v>44.53</v>
      </c>
      <c r="M911" s="10">
        <v>44.74</v>
      </c>
      <c r="N911" s="10">
        <v>39.619999999999997</v>
      </c>
      <c r="O911" s="10">
        <v>39.83</v>
      </c>
      <c r="P911" s="10">
        <v>40.020000000000003</v>
      </c>
      <c r="Q911" s="10">
        <v>40.200000000000003</v>
      </c>
      <c r="R911" s="10">
        <v>40.39</v>
      </c>
      <c r="S911" s="10">
        <v>40.57</v>
      </c>
      <c r="T911" s="10">
        <v>40.75</v>
      </c>
      <c r="U911" s="10">
        <v>40.92</v>
      </c>
      <c r="V911" s="10">
        <v>41.09</v>
      </c>
      <c r="W911" s="10">
        <v>41.25</v>
      </c>
      <c r="X911" s="10">
        <v>41.41</v>
      </c>
      <c r="Y911" s="10">
        <v>41.55</v>
      </c>
      <c r="Z911" s="11">
        <v>42.805999999999997</v>
      </c>
      <c r="AA911" s="11">
        <v>41.96</v>
      </c>
      <c r="AB911" s="11">
        <v>41.68</v>
      </c>
      <c r="AC911" s="11">
        <v>41.59</v>
      </c>
      <c r="AD911" s="11">
        <v>41.71</v>
      </c>
      <c r="AE911" s="11">
        <v>41.881</v>
      </c>
      <c r="AF911" s="11">
        <v>42.070999999999998</v>
      </c>
      <c r="AG911" s="11">
        <v>42.262</v>
      </c>
      <c r="AH911" s="11">
        <v>42.47</v>
      </c>
      <c r="AI911" s="11">
        <v>42.69</v>
      </c>
      <c r="AJ911" s="11">
        <v>42.89</v>
      </c>
      <c r="AK911" s="11">
        <v>43.029000000000003</v>
      </c>
      <c r="AL911" s="11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</row>
    <row r="912" spans="1:147" x14ac:dyDescent="0.3">
      <c r="A912" s="9">
        <f>DATE(2020, 7, 10)</f>
        <v>44022</v>
      </c>
      <c r="B912" s="10">
        <v>43.24</v>
      </c>
      <c r="C912" s="10">
        <v>43.46</v>
      </c>
      <c r="D912" s="10">
        <v>43.68</v>
      </c>
      <c r="E912" s="10">
        <v>43.88</v>
      </c>
      <c r="F912" s="10">
        <v>44.08</v>
      </c>
      <c r="G912" s="10">
        <v>44.28</v>
      </c>
      <c r="H912" s="10">
        <v>44.5</v>
      </c>
      <c r="I912" s="10">
        <v>44.7</v>
      </c>
      <c r="J912" s="10">
        <v>44.92</v>
      </c>
      <c r="K912" s="10">
        <v>45.14</v>
      </c>
      <c r="L912" s="10">
        <v>45.33</v>
      </c>
      <c r="M912" s="10">
        <v>45.54</v>
      </c>
      <c r="N912" s="10">
        <v>40.549999999999997</v>
      </c>
      <c r="O912" s="10">
        <v>40.76</v>
      </c>
      <c r="P912" s="10">
        <v>40.94</v>
      </c>
      <c r="Q912" s="10">
        <v>41.1</v>
      </c>
      <c r="R912" s="10">
        <v>41.25</v>
      </c>
      <c r="S912" s="10">
        <v>41.4</v>
      </c>
      <c r="T912" s="10">
        <v>41.54</v>
      </c>
      <c r="U912" s="10">
        <v>41.69</v>
      </c>
      <c r="V912" s="10">
        <v>41.83</v>
      </c>
      <c r="W912" s="10">
        <v>41.98</v>
      </c>
      <c r="X912" s="10">
        <v>42.13</v>
      </c>
      <c r="Y912" s="10">
        <v>42.25</v>
      </c>
      <c r="Z912" s="11">
        <v>43.412999999999997</v>
      </c>
      <c r="AA912" s="11">
        <v>42.871000000000002</v>
      </c>
      <c r="AB912" s="11">
        <v>42.609000000000002</v>
      </c>
      <c r="AC912" s="11">
        <v>42.509</v>
      </c>
      <c r="AD912" s="11">
        <v>42.58</v>
      </c>
      <c r="AE912" s="11">
        <v>42.75</v>
      </c>
      <c r="AF912" s="11">
        <v>42.93</v>
      </c>
      <c r="AG912" s="11">
        <v>43.100999999999999</v>
      </c>
      <c r="AH912" s="11">
        <v>43.3</v>
      </c>
      <c r="AI912" s="11">
        <v>43.499000000000002</v>
      </c>
      <c r="AJ912" s="11">
        <v>43.69</v>
      </c>
      <c r="AK912" s="11">
        <v>43.889000000000003</v>
      </c>
      <c r="AL912" s="11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</row>
    <row r="913" spans="1:147" x14ac:dyDescent="0.3">
      <c r="A913" s="9">
        <f>DATE(2020, 7, 13)</f>
        <v>44025</v>
      </c>
      <c r="B913" s="10">
        <v>42.72</v>
      </c>
      <c r="C913" s="10">
        <v>42.96</v>
      </c>
      <c r="D913" s="10">
        <v>43.2</v>
      </c>
      <c r="E913" s="10">
        <v>43.42</v>
      </c>
      <c r="F913" s="10">
        <v>43.64</v>
      </c>
      <c r="G913" s="10">
        <v>43.85</v>
      </c>
      <c r="H913" s="10">
        <v>44.06</v>
      </c>
      <c r="I913" s="10">
        <v>44.27</v>
      </c>
      <c r="J913" s="10">
        <v>44.5</v>
      </c>
      <c r="K913" s="10">
        <v>44.73</v>
      </c>
      <c r="L913" s="10">
        <v>44.92</v>
      </c>
      <c r="M913" s="10">
        <v>45.12</v>
      </c>
      <c r="N913" s="10">
        <v>40.1</v>
      </c>
      <c r="O913" s="10">
        <v>40.32</v>
      </c>
      <c r="P913" s="10">
        <v>40.49</v>
      </c>
      <c r="Q913" s="10">
        <v>40.64</v>
      </c>
      <c r="R913" s="10">
        <v>40.78</v>
      </c>
      <c r="S913" s="10">
        <v>40.93</v>
      </c>
      <c r="T913" s="10">
        <v>41.09</v>
      </c>
      <c r="U913" s="10">
        <v>41.25</v>
      </c>
      <c r="V913" s="10">
        <v>41.41</v>
      </c>
      <c r="W913" s="10">
        <v>41.57</v>
      </c>
      <c r="X913" s="10">
        <v>41.73</v>
      </c>
      <c r="Y913" s="10">
        <v>41.86</v>
      </c>
      <c r="Z913" s="11">
        <v>43.125</v>
      </c>
      <c r="AA913" s="11">
        <v>42.372999999999998</v>
      </c>
      <c r="AB913" s="11">
        <v>42.13</v>
      </c>
      <c r="AC913" s="11">
        <v>42.05</v>
      </c>
      <c r="AD913" s="11">
        <v>42.14</v>
      </c>
      <c r="AE913" s="11">
        <v>42.308999999999997</v>
      </c>
      <c r="AF913" s="11">
        <v>42.491</v>
      </c>
      <c r="AG913" s="11">
        <v>42.682000000000002</v>
      </c>
      <c r="AH913" s="11">
        <v>42.88</v>
      </c>
      <c r="AI913" s="11">
        <v>43.088999999999999</v>
      </c>
      <c r="AJ913" s="11">
        <v>43.279000000000003</v>
      </c>
      <c r="AK913" s="11">
        <v>43.469000000000001</v>
      </c>
      <c r="AL913" s="11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</row>
    <row r="914" spans="1:147" x14ac:dyDescent="0.3">
      <c r="A914" s="9">
        <f>DATE(2020, 7, 14)</f>
        <v>44026</v>
      </c>
      <c r="B914" s="10">
        <v>42.9</v>
      </c>
      <c r="C914" s="10">
        <v>43.13</v>
      </c>
      <c r="D914" s="10">
        <v>43.37</v>
      </c>
      <c r="E914" s="10">
        <v>43.59</v>
      </c>
      <c r="F914" s="10">
        <v>43.82</v>
      </c>
      <c r="G914" s="10">
        <v>44.04</v>
      </c>
      <c r="H914" s="10">
        <v>44.27</v>
      </c>
      <c r="I914" s="10">
        <v>44.49</v>
      </c>
      <c r="J914" s="10">
        <v>44.73</v>
      </c>
      <c r="K914" s="10">
        <v>44.96</v>
      </c>
      <c r="L914" s="10">
        <v>45.16</v>
      </c>
      <c r="M914" s="10">
        <v>45.37</v>
      </c>
      <c r="N914" s="10">
        <v>40.29</v>
      </c>
      <c r="O914" s="10">
        <v>40.549999999999997</v>
      </c>
      <c r="P914" s="10">
        <v>40.729999999999997</v>
      </c>
      <c r="Q914" s="10">
        <v>40.880000000000003</v>
      </c>
      <c r="R914" s="10">
        <v>41.02</v>
      </c>
      <c r="S914" s="10">
        <v>41.16</v>
      </c>
      <c r="T914" s="10">
        <v>41.31</v>
      </c>
      <c r="U914" s="10">
        <v>41.48</v>
      </c>
      <c r="V914" s="10">
        <v>41.63</v>
      </c>
      <c r="W914" s="10">
        <v>41.78</v>
      </c>
      <c r="X914" s="10">
        <v>41.94</v>
      </c>
      <c r="Y914" s="10">
        <v>42.06</v>
      </c>
      <c r="Z914" s="11">
        <v>43.216000000000001</v>
      </c>
      <c r="AA914" s="11">
        <v>42.563000000000002</v>
      </c>
      <c r="AB914" s="11">
        <v>42.34</v>
      </c>
      <c r="AC914" s="11">
        <v>42.31</v>
      </c>
      <c r="AD914" s="11">
        <v>42.41</v>
      </c>
      <c r="AE914" s="11">
        <v>42.581000000000003</v>
      </c>
      <c r="AF914" s="11">
        <v>42.771000000000001</v>
      </c>
      <c r="AG914" s="11">
        <v>42.972000000000001</v>
      </c>
      <c r="AH914" s="11">
        <v>43.17</v>
      </c>
      <c r="AI914" s="11">
        <v>43.37</v>
      </c>
      <c r="AJ914" s="11">
        <v>43.57</v>
      </c>
      <c r="AK914" s="11">
        <v>43.759</v>
      </c>
      <c r="AL914" s="11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</row>
    <row r="915" spans="1:147" x14ac:dyDescent="0.3">
      <c r="A915" s="9">
        <f>DATE(2020, 7, 15)</f>
        <v>44027</v>
      </c>
      <c r="B915" s="10">
        <v>43.79</v>
      </c>
      <c r="C915" s="10">
        <v>43.93</v>
      </c>
      <c r="D915" s="10">
        <v>44.08</v>
      </c>
      <c r="E915" s="10">
        <v>44.24</v>
      </c>
      <c r="F915" s="10">
        <v>44.41</v>
      </c>
      <c r="G915" s="10">
        <v>44.58</v>
      </c>
      <c r="H915" s="10">
        <v>44.76</v>
      </c>
      <c r="I915" s="10">
        <v>44.95</v>
      </c>
      <c r="J915" s="10">
        <v>45.15</v>
      </c>
      <c r="K915" s="10">
        <v>45.35</v>
      </c>
      <c r="L915" s="10">
        <v>45.52</v>
      </c>
      <c r="M915" s="10">
        <v>45.7</v>
      </c>
      <c r="N915" s="10">
        <v>41.2</v>
      </c>
      <c r="O915" s="10">
        <v>41.4</v>
      </c>
      <c r="P915" s="10">
        <v>41.57</v>
      </c>
      <c r="Q915" s="10">
        <v>41.69</v>
      </c>
      <c r="R915" s="10">
        <v>41.8</v>
      </c>
      <c r="S915" s="10">
        <v>41.91</v>
      </c>
      <c r="T915" s="10">
        <v>42.03</v>
      </c>
      <c r="U915" s="10">
        <v>42.16</v>
      </c>
      <c r="V915" s="10">
        <v>42.27</v>
      </c>
      <c r="W915" s="10">
        <v>42.39</v>
      </c>
      <c r="X915" s="10">
        <v>42.5</v>
      </c>
      <c r="Y915" s="10">
        <v>42.61</v>
      </c>
      <c r="Z915" s="11">
        <v>43.655000000000001</v>
      </c>
      <c r="AA915" s="11">
        <v>43.323999999999998</v>
      </c>
      <c r="AB915" s="11">
        <v>43.097000000000001</v>
      </c>
      <c r="AC915" s="11">
        <v>42.997999999999998</v>
      </c>
      <c r="AD915" s="11">
        <v>43.048000000000002</v>
      </c>
      <c r="AE915" s="11">
        <v>43.176000000000002</v>
      </c>
      <c r="AF915" s="11">
        <v>43.34</v>
      </c>
      <c r="AG915" s="11">
        <v>43.47</v>
      </c>
      <c r="AH915" s="11">
        <v>43.628999999999998</v>
      </c>
      <c r="AI915" s="11">
        <v>43.798000000000002</v>
      </c>
      <c r="AJ915" s="11">
        <v>43.966999999999999</v>
      </c>
      <c r="AK915" s="11">
        <v>44.128</v>
      </c>
      <c r="AL915" s="11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</row>
    <row r="916" spans="1:147" x14ac:dyDescent="0.3">
      <c r="A916" s="9">
        <f>DATE(2020, 7, 16)</f>
        <v>44028</v>
      </c>
      <c r="B916" s="10">
        <v>43.37</v>
      </c>
      <c r="C916" s="10">
        <v>43.5</v>
      </c>
      <c r="D916" s="10">
        <v>43.68</v>
      </c>
      <c r="E916" s="10">
        <v>43.86</v>
      </c>
      <c r="F916" s="10">
        <v>44.05</v>
      </c>
      <c r="G916" s="10">
        <v>44.25</v>
      </c>
      <c r="H916" s="10">
        <v>44.45</v>
      </c>
      <c r="I916" s="10">
        <v>44.64</v>
      </c>
      <c r="J916" s="10">
        <v>44.85</v>
      </c>
      <c r="K916" s="10">
        <v>45.06</v>
      </c>
      <c r="L916" s="10">
        <v>45.24</v>
      </c>
      <c r="M916" s="10">
        <v>45.43</v>
      </c>
      <c r="N916" s="10">
        <v>40.75</v>
      </c>
      <c r="O916" s="10">
        <v>40.93</v>
      </c>
      <c r="P916" s="10">
        <v>41.1</v>
      </c>
      <c r="Q916" s="10">
        <v>41.24</v>
      </c>
      <c r="R916" s="10">
        <v>41.37</v>
      </c>
      <c r="S916" s="10">
        <v>41.51</v>
      </c>
      <c r="T916" s="10">
        <v>41.65</v>
      </c>
      <c r="U916" s="10">
        <v>41.8</v>
      </c>
      <c r="V916" s="10">
        <v>41.93</v>
      </c>
      <c r="W916" s="10">
        <v>42.06</v>
      </c>
      <c r="X916" s="10">
        <v>42.19</v>
      </c>
      <c r="Y916" s="10">
        <v>42.29</v>
      </c>
      <c r="Z916" s="11">
        <v>43.183999999999997</v>
      </c>
      <c r="AA916" s="11">
        <v>42.506999999999998</v>
      </c>
      <c r="AB916" s="11">
        <v>42.478000000000002</v>
      </c>
      <c r="AC916" s="11">
        <v>42.548999999999999</v>
      </c>
      <c r="AD916" s="11">
        <v>42.64</v>
      </c>
      <c r="AE916" s="11">
        <v>42.808</v>
      </c>
      <c r="AF916" s="11">
        <v>42.98</v>
      </c>
      <c r="AG916" s="11">
        <v>43.170999999999999</v>
      </c>
      <c r="AH916" s="11">
        <v>43.348999999999997</v>
      </c>
      <c r="AI916" s="11">
        <v>43.529000000000003</v>
      </c>
      <c r="AJ916" s="11">
        <v>43.718000000000004</v>
      </c>
      <c r="AK916" s="11">
        <v>43.887999999999998</v>
      </c>
      <c r="AL916" s="11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</row>
    <row r="917" spans="1:147" x14ac:dyDescent="0.3">
      <c r="A917" s="9">
        <f>DATE(2020, 7, 17)</f>
        <v>44029</v>
      </c>
      <c r="B917" s="10">
        <v>43.14</v>
      </c>
      <c r="C917" s="10">
        <v>43.3</v>
      </c>
      <c r="D917" s="10">
        <v>43.53</v>
      </c>
      <c r="E917" s="10">
        <v>43.75</v>
      </c>
      <c r="F917" s="10">
        <v>43.97</v>
      </c>
      <c r="G917" s="10">
        <v>44.19</v>
      </c>
      <c r="H917" s="10">
        <v>44.41</v>
      </c>
      <c r="I917" s="10">
        <v>44.62</v>
      </c>
      <c r="J917" s="10">
        <v>44.85</v>
      </c>
      <c r="K917" s="10">
        <v>45.07</v>
      </c>
      <c r="L917" s="10">
        <v>45.25</v>
      </c>
      <c r="M917" s="10">
        <v>45.45</v>
      </c>
      <c r="N917" s="10">
        <v>40.590000000000003</v>
      </c>
      <c r="O917" s="10">
        <v>40.75</v>
      </c>
      <c r="P917" s="10">
        <v>40.94</v>
      </c>
      <c r="Q917" s="10">
        <v>41.11</v>
      </c>
      <c r="R917" s="10">
        <v>41.27</v>
      </c>
      <c r="S917" s="10">
        <v>41.42</v>
      </c>
      <c r="T917" s="10">
        <v>41.58</v>
      </c>
      <c r="U917" s="10">
        <v>41.73</v>
      </c>
      <c r="V917" s="10">
        <v>41.87</v>
      </c>
      <c r="W917" s="10">
        <v>42.02</v>
      </c>
      <c r="X917" s="10">
        <v>42.17</v>
      </c>
      <c r="Y917" s="10">
        <v>42.28</v>
      </c>
      <c r="Z917" s="11">
        <v>42.994999999999997</v>
      </c>
      <c r="AA917" s="11">
        <v>42.252000000000002</v>
      </c>
      <c r="AB917" s="11">
        <v>42.33</v>
      </c>
      <c r="AC917" s="11">
        <v>42.46</v>
      </c>
      <c r="AD917" s="11">
        <v>42.58</v>
      </c>
      <c r="AE917" s="11">
        <v>42.78</v>
      </c>
      <c r="AF917" s="11">
        <v>43.000999999999998</v>
      </c>
      <c r="AG917" s="11">
        <v>43.171999999999997</v>
      </c>
      <c r="AH917" s="11">
        <v>43.37</v>
      </c>
      <c r="AI917" s="11">
        <v>43.548999999999999</v>
      </c>
      <c r="AJ917" s="11">
        <v>43.728999999999999</v>
      </c>
      <c r="AK917" s="11">
        <v>43.908999999999999</v>
      </c>
      <c r="AL917" s="11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</row>
    <row r="918" spans="1:147" x14ac:dyDescent="0.3">
      <c r="A918" s="9">
        <f>DATE(2020, 7, 20)</f>
        <v>44032</v>
      </c>
      <c r="B918" s="10">
        <v>43.28</v>
      </c>
      <c r="C918" s="10">
        <v>43.46</v>
      </c>
      <c r="D918" s="10">
        <v>43.7</v>
      </c>
      <c r="E918" s="10">
        <v>43.94</v>
      </c>
      <c r="F918" s="10">
        <v>44.16</v>
      </c>
      <c r="G918" s="10">
        <v>44.38</v>
      </c>
      <c r="H918" s="10">
        <v>44.6</v>
      </c>
      <c r="I918" s="10">
        <v>44.83</v>
      </c>
      <c r="J918" s="10">
        <v>45.06</v>
      </c>
      <c r="K918" s="10">
        <v>45.28</v>
      </c>
      <c r="L918" s="10">
        <v>45.47</v>
      </c>
      <c r="M918" s="10">
        <v>45.67</v>
      </c>
      <c r="N918" s="10">
        <v>40.81</v>
      </c>
      <c r="O918" s="10">
        <v>40.92</v>
      </c>
      <c r="P918" s="10">
        <v>41.09</v>
      </c>
      <c r="Q918" s="10">
        <v>41.24</v>
      </c>
      <c r="R918" s="10">
        <v>41.39</v>
      </c>
      <c r="S918" s="10">
        <v>41.54</v>
      </c>
      <c r="T918" s="10">
        <v>41.7</v>
      </c>
      <c r="U918" s="10">
        <v>41.84</v>
      </c>
      <c r="V918" s="10">
        <v>42</v>
      </c>
      <c r="W918" s="10">
        <v>42.14</v>
      </c>
      <c r="X918" s="10">
        <v>42.28</v>
      </c>
      <c r="Y918" s="10">
        <v>42.4</v>
      </c>
      <c r="Z918" s="11">
        <v>43.125999999999998</v>
      </c>
      <c r="AA918" s="11">
        <v>42.383000000000003</v>
      </c>
      <c r="AB918" s="11">
        <v>42.491</v>
      </c>
      <c r="AC918" s="11">
        <v>42.68</v>
      </c>
      <c r="AD918" s="11">
        <v>42.86</v>
      </c>
      <c r="AE918" s="11">
        <v>43.05</v>
      </c>
      <c r="AF918" s="11">
        <v>43.262</v>
      </c>
      <c r="AG918" s="11">
        <v>43.481999999999999</v>
      </c>
      <c r="AH918" s="11">
        <v>43.68</v>
      </c>
      <c r="AI918" s="11">
        <v>43.869</v>
      </c>
      <c r="AJ918" s="11">
        <v>44.069000000000003</v>
      </c>
      <c r="AK918" s="11">
        <v>44.238999999999997</v>
      </c>
      <c r="AL918" s="11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</row>
    <row r="919" spans="1:147" x14ac:dyDescent="0.3">
      <c r="A919" s="9">
        <f>DATE(2020, 7, 21)</f>
        <v>44033</v>
      </c>
      <c r="B919" s="10">
        <v>44.32</v>
      </c>
      <c r="C919" s="10">
        <v>44.55</v>
      </c>
      <c r="D919" s="10">
        <v>44.78</v>
      </c>
      <c r="E919" s="10">
        <v>44.98</v>
      </c>
      <c r="F919" s="10">
        <v>45.17</v>
      </c>
      <c r="G919" s="10">
        <v>45.36</v>
      </c>
      <c r="H919" s="10">
        <v>45.54</v>
      </c>
      <c r="I919" s="10">
        <v>45.72</v>
      </c>
      <c r="J919" s="10">
        <v>45.91</v>
      </c>
      <c r="K919" s="10">
        <v>46.09</v>
      </c>
      <c r="L919" s="10">
        <v>46.24</v>
      </c>
      <c r="M919" s="10">
        <v>46.41</v>
      </c>
      <c r="N919" s="10">
        <v>41.96</v>
      </c>
      <c r="O919" s="10">
        <v>41.92</v>
      </c>
      <c r="P919" s="10">
        <v>42.06</v>
      </c>
      <c r="Q919" s="10">
        <v>42.17</v>
      </c>
      <c r="R919" s="10">
        <v>42.26</v>
      </c>
      <c r="S919" s="10">
        <v>42.34</v>
      </c>
      <c r="T919" s="10">
        <v>42.44</v>
      </c>
      <c r="U919" s="10">
        <v>42.55</v>
      </c>
      <c r="V919" s="10">
        <v>42.66</v>
      </c>
      <c r="W919" s="10">
        <v>42.77</v>
      </c>
      <c r="X919" s="10">
        <v>42.87</v>
      </c>
      <c r="Y919" s="10">
        <v>42.96</v>
      </c>
      <c r="Z919" s="11">
        <v>43.637999999999998</v>
      </c>
      <c r="AA919" s="11">
        <v>43.811999999999998</v>
      </c>
      <c r="AB919" s="11">
        <v>43.808999999999997</v>
      </c>
      <c r="AC919" s="11">
        <v>43.869</v>
      </c>
      <c r="AD919" s="11">
        <v>44.009</v>
      </c>
      <c r="AE919" s="11">
        <v>44.155999999999999</v>
      </c>
      <c r="AF919" s="11">
        <v>44.319000000000003</v>
      </c>
      <c r="AG919" s="11">
        <v>44.48</v>
      </c>
      <c r="AH919" s="11">
        <v>44.648000000000003</v>
      </c>
      <c r="AI919" s="11">
        <v>44.807000000000002</v>
      </c>
      <c r="AJ919" s="11">
        <v>44.966000000000001</v>
      </c>
      <c r="AK919" s="11">
        <v>45.116</v>
      </c>
      <c r="AL919" s="11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</row>
    <row r="920" spans="1:147" x14ac:dyDescent="0.3">
      <c r="A920" s="9">
        <f>DATE(2020, 7, 22)</f>
        <v>44034</v>
      </c>
      <c r="B920" s="10">
        <v>44.29</v>
      </c>
      <c r="C920" s="10">
        <v>44.56</v>
      </c>
      <c r="D920" s="10">
        <v>44.81</v>
      </c>
      <c r="E920" s="10">
        <v>45.02</v>
      </c>
      <c r="F920" s="10">
        <v>45.23</v>
      </c>
      <c r="G920" s="10">
        <v>45.43</v>
      </c>
      <c r="H920" s="10">
        <v>45.62</v>
      </c>
      <c r="I920" s="10">
        <v>45.8</v>
      </c>
      <c r="J920" s="10">
        <v>45.99</v>
      </c>
      <c r="K920" s="10">
        <v>46.16</v>
      </c>
      <c r="L920" s="10">
        <v>46.31</v>
      </c>
      <c r="M920" s="10">
        <v>46.48</v>
      </c>
      <c r="N920" s="10">
        <v>41.9</v>
      </c>
      <c r="O920" s="10">
        <v>42.04</v>
      </c>
      <c r="P920" s="10">
        <v>42.17</v>
      </c>
      <c r="Q920" s="10">
        <v>42.28</v>
      </c>
      <c r="R920" s="10">
        <v>42.39</v>
      </c>
      <c r="S920" s="10">
        <v>42.51</v>
      </c>
      <c r="T920" s="10">
        <v>42.63</v>
      </c>
      <c r="U920" s="10">
        <v>42.74</v>
      </c>
      <c r="V920" s="10">
        <v>42.84</v>
      </c>
      <c r="W920" s="10">
        <v>42.94</v>
      </c>
      <c r="X920" s="10">
        <v>43.02</v>
      </c>
      <c r="Y920" s="10">
        <v>43.09</v>
      </c>
      <c r="Z920" s="11">
        <v>43.567</v>
      </c>
      <c r="AA920" s="11">
        <v>43.734000000000002</v>
      </c>
      <c r="AB920" s="11">
        <v>43.82</v>
      </c>
      <c r="AC920" s="11">
        <v>43.89</v>
      </c>
      <c r="AD920" s="11">
        <v>44.04</v>
      </c>
      <c r="AE920" s="11">
        <v>44.167000000000002</v>
      </c>
      <c r="AF920" s="11">
        <v>44.338999999999999</v>
      </c>
      <c r="AG920" s="11">
        <v>44.5</v>
      </c>
      <c r="AH920" s="11">
        <v>44.677</v>
      </c>
      <c r="AI920" s="11">
        <v>44.837000000000003</v>
      </c>
      <c r="AJ920" s="11">
        <v>45.006</v>
      </c>
      <c r="AK920" s="11">
        <v>45.155999999999999</v>
      </c>
      <c r="AL920" s="11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</row>
    <row r="921" spans="1:147" x14ac:dyDescent="0.3">
      <c r="A921" s="9">
        <f>DATE(2020, 7, 23)</f>
        <v>44035</v>
      </c>
      <c r="B921" s="10">
        <v>43.31</v>
      </c>
      <c r="C921" s="10">
        <v>43.67</v>
      </c>
      <c r="D921" s="10">
        <v>43.95</v>
      </c>
      <c r="E921" s="10">
        <v>44.19</v>
      </c>
      <c r="F921" s="10">
        <v>44.42</v>
      </c>
      <c r="G921" s="10">
        <v>44.65</v>
      </c>
      <c r="H921" s="10">
        <v>44.88</v>
      </c>
      <c r="I921" s="10">
        <v>45.1</v>
      </c>
      <c r="J921" s="10">
        <v>45.31</v>
      </c>
      <c r="K921" s="10">
        <v>45.52</v>
      </c>
      <c r="L921" s="10">
        <v>45.7</v>
      </c>
      <c r="M921" s="10">
        <v>45.88</v>
      </c>
      <c r="N921" s="10">
        <v>41.07</v>
      </c>
      <c r="O921" s="10">
        <v>41.21</v>
      </c>
      <c r="P921" s="10">
        <v>41.37</v>
      </c>
      <c r="Q921" s="10">
        <v>41.51</v>
      </c>
      <c r="R921" s="10">
        <v>41.65</v>
      </c>
      <c r="S921" s="10">
        <v>41.79</v>
      </c>
      <c r="T921" s="10">
        <v>41.95</v>
      </c>
      <c r="U921" s="10">
        <v>42.1</v>
      </c>
      <c r="V921" s="10">
        <v>42.23</v>
      </c>
      <c r="W921" s="10">
        <v>42.36</v>
      </c>
      <c r="X921" s="10">
        <v>42.47</v>
      </c>
      <c r="Y921" s="10">
        <v>42.58</v>
      </c>
      <c r="Z921" s="11">
        <v>43.280999999999999</v>
      </c>
      <c r="AA921" s="11">
        <v>42.627000000000002</v>
      </c>
      <c r="AB921" s="11">
        <v>42.831000000000003</v>
      </c>
      <c r="AC921" s="11">
        <v>43.02</v>
      </c>
      <c r="AD921" s="11">
        <v>43.201000000000001</v>
      </c>
      <c r="AE921" s="11">
        <v>43.371000000000002</v>
      </c>
      <c r="AF921" s="11">
        <v>43.561</v>
      </c>
      <c r="AG921" s="11">
        <v>43.780999999999999</v>
      </c>
      <c r="AH921" s="11">
        <v>43.988999999999997</v>
      </c>
      <c r="AI921" s="11">
        <v>44.209000000000003</v>
      </c>
      <c r="AJ921" s="11">
        <v>44.396999999999998</v>
      </c>
      <c r="AK921" s="11">
        <v>44.567</v>
      </c>
      <c r="AL921" s="11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</row>
    <row r="922" spans="1:147" x14ac:dyDescent="0.3">
      <c r="A922" s="9">
        <f>DATE(2020, 7, 24)</f>
        <v>44036</v>
      </c>
      <c r="B922" s="10">
        <v>43.34</v>
      </c>
      <c r="C922" s="10">
        <v>43.78</v>
      </c>
      <c r="D922" s="10">
        <v>44.16</v>
      </c>
      <c r="E922" s="10">
        <v>44.49</v>
      </c>
      <c r="F922" s="10">
        <v>44.79</v>
      </c>
      <c r="G922" s="10">
        <v>45.08</v>
      </c>
      <c r="H922" s="10">
        <v>45.34</v>
      </c>
      <c r="I922" s="10">
        <v>45.57</v>
      </c>
      <c r="J922" s="10">
        <v>45.79</v>
      </c>
      <c r="K922" s="10">
        <v>46</v>
      </c>
      <c r="L922" s="10">
        <v>46.19</v>
      </c>
      <c r="M922" s="10">
        <v>46.38</v>
      </c>
      <c r="N922" s="10">
        <v>41.29</v>
      </c>
      <c r="O922" s="10">
        <v>41.45</v>
      </c>
      <c r="P922" s="10">
        <v>41.64</v>
      </c>
      <c r="Q922" s="10">
        <v>41.82</v>
      </c>
      <c r="R922" s="10">
        <v>42</v>
      </c>
      <c r="S922" s="10">
        <v>42.18</v>
      </c>
      <c r="T922" s="10">
        <v>42.35</v>
      </c>
      <c r="U922" s="10">
        <v>42.51</v>
      </c>
      <c r="V922" s="10">
        <v>42.67</v>
      </c>
      <c r="W922" s="10">
        <v>42.81</v>
      </c>
      <c r="X922" s="10">
        <v>42.94</v>
      </c>
      <c r="Y922" s="10">
        <v>43.06</v>
      </c>
      <c r="Z922" s="11">
        <v>43.317</v>
      </c>
      <c r="AA922" s="11">
        <v>42.866</v>
      </c>
      <c r="AB922" s="11">
        <v>43.115000000000002</v>
      </c>
      <c r="AC922" s="11">
        <v>43.323999999999998</v>
      </c>
      <c r="AD922" s="11">
        <v>43.503999999999998</v>
      </c>
      <c r="AE922" s="11">
        <v>43.694000000000003</v>
      </c>
      <c r="AF922" s="11">
        <v>43.942</v>
      </c>
      <c r="AG922" s="11">
        <v>44.161000000000001</v>
      </c>
      <c r="AH922" s="11">
        <v>44.369</v>
      </c>
      <c r="AI922" s="11">
        <v>44.579000000000001</v>
      </c>
      <c r="AJ922" s="11">
        <v>44.777999999999999</v>
      </c>
      <c r="AK922" s="11">
        <v>44.936999999999998</v>
      </c>
      <c r="AL922" s="11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</row>
    <row r="923" spans="1:147" x14ac:dyDescent="0.3">
      <c r="A923" s="9">
        <f>DATE(2020, 7, 27)</f>
        <v>44039</v>
      </c>
      <c r="B923" s="10">
        <v>43.41</v>
      </c>
      <c r="C923" s="10">
        <v>43.9</v>
      </c>
      <c r="D923" s="10">
        <v>44.34</v>
      </c>
      <c r="E923" s="10">
        <v>44.74</v>
      </c>
      <c r="F923" s="10">
        <v>45.09</v>
      </c>
      <c r="G923" s="10">
        <v>45.41</v>
      </c>
      <c r="H923" s="10">
        <v>45.69</v>
      </c>
      <c r="I923" s="10">
        <v>45.93</v>
      </c>
      <c r="J923" s="10">
        <v>46.16</v>
      </c>
      <c r="K923" s="10">
        <v>46.36</v>
      </c>
      <c r="L923" s="10">
        <v>46.55</v>
      </c>
      <c r="M923" s="10">
        <v>46.74</v>
      </c>
      <c r="N923" s="10">
        <v>41.6</v>
      </c>
      <c r="O923" s="10">
        <v>41.8</v>
      </c>
      <c r="P923" s="10">
        <v>42</v>
      </c>
      <c r="Q923" s="10">
        <v>42.18</v>
      </c>
      <c r="R923" s="10">
        <v>42.35</v>
      </c>
      <c r="S923" s="10">
        <v>42.53</v>
      </c>
      <c r="T923" s="10">
        <v>42.73</v>
      </c>
      <c r="U923" s="10">
        <v>42.89</v>
      </c>
      <c r="V923" s="10">
        <v>43.06</v>
      </c>
      <c r="W923" s="10">
        <v>43.21</v>
      </c>
      <c r="X923" s="10">
        <v>43.34</v>
      </c>
      <c r="Y923" s="10">
        <v>43.46</v>
      </c>
      <c r="Z923" s="11">
        <v>43.29</v>
      </c>
      <c r="AA923" s="11">
        <v>42.911999999999999</v>
      </c>
      <c r="AB923" s="11">
        <v>43.258000000000003</v>
      </c>
      <c r="AC923" s="11">
        <v>43.555999999999997</v>
      </c>
      <c r="AD923" s="11">
        <v>43.795000000000002</v>
      </c>
      <c r="AE923" s="11">
        <v>44.045000000000002</v>
      </c>
      <c r="AF923" s="11">
        <v>44.292000000000002</v>
      </c>
      <c r="AG923" s="11">
        <v>44.531999999999996</v>
      </c>
      <c r="AH923" s="11">
        <v>44.749000000000002</v>
      </c>
      <c r="AI923" s="11">
        <v>44.948999999999998</v>
      </c>
      <c r="AJ923" s="11">
        <v>45.167999999999999</v>
      </c>
      <c r="AK923" s="11">
        <v>45.347000000000001</v>
      </c>
      <c r="AL923" s="11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</row>
    <row r="924" spans="1:147" x14ac:dyDescent="0.3">
      <c r="A924" s="9">
        <f>DATE(2020, 7, 28)</f>
        <v>44040</v>
      </c>
      <c r="B924" s="10">
        <v>43.22</v>
      </c>
      <c r="C924" s="10">
        <v>43.61</v>
      </c>
      <c r="D924" s="10">
        <v>44.03</v>
      </c>
      <c r="E924" s="10">
        <v>44.42</v>
      </c>
      <c r="F924" s="10">
        <v>44.77</v>
      </c>
      <c r="G924" s="10">
        <v>45.1</v>
      </c>
      <c r="H924" s="10">
        <v>45.39</v>
      </c>
      <c r="I924" s="10">
        <v>45.64</v>
      </c>
      <c r="J924" s="10">
        <v>45.88</v>
      </c>
      <c r="K924" s="10">
        <v>46.1</v>
      </c>
      <c r="L924" s="10">
        <v>46.3</v>
      </c>
      <c r="M924" s="10">
        <v>46.51</v>
      </c>
      <c r="N924" s="10">
        <v>41.04</v>
      </c>
      <c r="O924" s="10">
        <v>41.28</v>
      </c>
      <c r="P924" s="10">
        <v>41.52</v>
      </c>
      <c r="Q924" s="10">
        <v>41.74</v>
      </c>
      <c r="R924" s="10">
        <v>41.95</v>
      </c>
      <c r="S924" s="10">
        <v>42.15</v>
      </c>
      <c r="T924" s="10">
        <v>42.35</v>
      </c>
      <c r="U924" s="10">
        <v>42.54</v>
      </c>
      <c r="V924" s="10">
        <v>42.71</v>
      </c>
      <c r="W924" s="10">
        <v>42.87</v>
      </c>
      <c r="X924" s="10">
        <v>43.02</v>
      </c>
      <c r="Y924" s="10">
        <v>43.15</v>
      </c>
      <c r="Z924" s="11">
        <v>43.249000000000002</v>
      </c>
      <c r="AA924" s="11">
        <v>42.72</v>
      </c>
      <c r="AB924" s="11">
        <v>43.078000000000003</v>
      </c>
      <c r="AC924" s="11">
        <v>43.335999999999999</v>
      </c>
      <c r="AD924" s="11">
        <v>43.595999999999997</v>
      </c>
      <c r="AE924" s="11">
        <v>43.835999999999999</v>
      </c>
      <c r="AF924" s="11">
        <v>44.052999999999997</v>
      </c>
      <c r="AG924" s="11">
        <v>44.281999999999996</v>
      </c>
      <c r="AH924" s="11">
        <v>44.5</v>
      </c>
      <c r="AI924" s="11">
        <v>44.73</v>
      </c>
      <c r="AJ924" s="11">
        <v>44.95</v>
      </c>
      <c r="AK924" s="11">
        <v>45.146999999999998</v>
      </c>
      <c r="AL924" s="11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</row>
    <row r="925" spans="1:147" x14ac:dyDescent="0.3">
      <c r="A925" s="9">
        <f>DATE(2020, 7, 29)</f>
        <v>44041</v>
      </c>
      <c r="B925" s="10">
        <v>43.75</v>
      </c>
      <c r="C925" s="10">
        <v>44.09</v>
      </c>
      <c r="D925" s="10">
        <v>44.46</v>
      </c>
      <c r="E925" s="10">
        <v>44.83</v>
      </c>
      <c r="F925" s="10">
        <v>45.16</v>
      </c>
      <c r="G925" s="10">
        <v>45.48</v>
      </c>
      <c r="H925" s="10">
        <v>45.76</v>
      </c>
      <c r="I925" s="10">
        <v>46</v>
      </c>
      <c r="J925" s="10">
        <v>46.22</v>
      </c>
      <c r="K925" s="10">
        <v>46.42</v>
      </c>
      <c r="L925" s="10">
        <v>46.6</v>
      </c>
      <c r="M925" s="10">
        <v>46.79</v>
      </c>
      <c r="N925" s="10">
        <v>41.27</v>
      </c>
      <c r="O925" s="10">
        <v>41.54</v>
      </c>
      <c r="P925" s="10">
        <v>41.81</v>
      </c>
      <c r="Q925" s="10">
        <v>42.04</v>
      </c>
      <c r="R925" s="10">
        <v>42.25</v>
      </c>
      <c r="S925" s="10">
        <v>42.45</v>
      </c>
      <c r="T925" s="10">
        <v>42.65</v>
      </c>
      <c r="U925" s="10">
        <v>42.82</v>
      </c>
      <c r="V925" s="10">
        <v>43</v>
      </c>
      <c r="W925" s="10">
        <v>43.16</v>
      </c>
      <c r="X925" s="10">
        <v>43.3</v>
      </c>
      <c r="Y925" s="10">
        <v>43.42</v>
      </c>
      <c r="Z925" s="11">
        <v>43.29</v>
      </c>
      <c r="AA925" s="11">
        <v>43.115000000000002</v>
      </c>
      <c r="AB925" s="11">
        <v>43.476999999999997</v>
      </c>
      <c r="AC925" s="11">
        <v>43.734999999999999</v>
      </c>
      <c r="AD925" s="11">
        <v>43.975000000000001</v>
      </c>
      <c r="AE925" s="11">
        <v>44.195</v>
      </c>
      <c r="AF925" s="11">
        <v>44.432000000000002</v>
      </c>
      <c r="AG925" s="11">
        <v>44.661000000000001</v>
      </c>
      <c r="AH925" s="11">
        <v>44.878999999999998</v>
      </c>
      <c r="AI925" s="11">
        <v>45.079000000000001</v>
      </c>
      <c r="AJ925" s="11">
        <v>45.247999999999998</v>
      </c>
      <c r="AK925" s="11">
        <v>45.427</v>
      </c>
      <c r="AL925" s="11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</row>
    <row r="926" spans="1:147" x14ac:dyDescent="0.3">
      <c r="A926" s="9">
        <f>DATE(2020, 7, 30)</f>
        <v>44042</v>
      </c>
      <c r="B926" s="10">
        <v>42.94</v>
      </c>
      <c r="C926" s="10">
        <v>43.25</v>
      </c>
      <c r="D926" s="10">
        <v>43.59</v>
      </c>
      <c r="E926" s="10">
        <v>43.94</v>
      </c>
      <c r="F926" s="10">
        <v>44.26</v>
      </c>
      <c r="G926" s="10">
        <v>44.59</v>
      </c>
      <c r="H926" s="10">
        <v>44.88</v>
      </c>
      <c r="I926" s="10">
        <v>45.13</v>
      </c>
      <c r="J926" s="10">
        <v>45.37</v>
      </c>
      <c r="K926" s="10">
        <v>45.58</v>
      </c>
      <c r="L926" s="10">
        <v>45.77</v>
      </c>
      <c r="M926" s="10">
        <v>45.97</v>
      </c>
      <c r="N926" s="10">
        <v>39.92</v>
      </c>
      <c r="O926" s="10">
        <v>40.24</v>
      </c>
      <c r="P926" s="10">
        <v>40.6</v>
      </c>
      <c r="Q926" s="10">
        <v>40.92</v>
      </c>
      <c r="R926" s="10">
        <v>41.19</v>
      </c>
      <c r="S926" s="10">
        <v>41.44</v>
      </c>
      <c r="T926" s="10">
        <v>41.67</v>
      </c>
      <c r="U926" s="10">
        <v>41.87</v>
      </c>
      <c r="V926" s="10">
        <v>42.07</v>
      </c>
      <c r="W926" s="10">
        <v>42.26</v>
      </c>
      <c r="X926" s="10">
        <v>42.41</v>
      </c>
      <c r="Y926" s="10">
        <v>42.55</v>
      </c>
      <c r="Z926" s="11">
        <v>43.277999999999999</v>
      </c>
      <c r="AA926" s="11">
        <v>42.462000000000003</v>
      </c>
      <c r="AB926" s="11">
        <v>42.716000000000001</v>
      </c>
      <c r="AC926" s="11">
        <v>42.935000000000002</v>
      </c>
      <c r="AD926" s="11">
        <v>43.176000000000002</v>
      </c>
      <c r="AE926" s="11">
        <v>43.375999999999998</v>
      </c>
      <c r="AF926" s="11">
        <v>43.593000000000004</v>
      </c>
      <c r="AG926" s="11">
        <v>43.792000000000002</v>
      </c>
      <c r="AH926" s="11">
        <v>44.058999999999997</v>
      </c>
      <c r="AI926" s="11">
        <v>44.268999999999998</v>
      </c>
      <c r="AJ926" s="11">
        <v>44.429000000000002</v>
      </c>
      <c r="AK926" s="11">
        <v>44.606999999999999</v>
      </c>
      <c r="AL926" s="11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</row>
    <row r="927" spans="1:147" x14ac:dyDescent="0.3">
      <c r="A927" s="9">
        <f>DATE(2020, 7, 31)</f>
        <v>44043</v>
      </c>
      <c r="B927" s="10">
        <v>43.3</v>
      </c>
      <c r="C927" s="10">
        <v>43.52</v>
      </c>
      <c r="D927" s="10">
        <v>43.85</v>
      </c>
      <c r="E927" s="10">
        <v>44.17</v>
      </c>
      <c r="F927" s="10">
        <v>44.47</v>
      </c>
      <c r="G927" s="10">
        <v>44.78</v>
      </c>
      <c r="H927" s="10">
        <v>45.07</v>
      </c>
      <c r="I927" s="10">
        <v>45.33</v>
      </c>
      <c r="J927" s="10">
        <v>45.58</v>
      </c>
      <c r="K927" s="10">
        <v>45.81</v>
      </c>
      <c r="L927" s="10">
        <v>46.01</v>
      </c>
      <c r="M927" s="10">
        <v>46.22</v>
      </c>
      <c r="N927" s="10">
        <v>40.270000000000003</v>
      </c>
      <c r="O927" s="10">
        <v>40.57</v>
      </c>
      <c r="P927" s="10">
        <v>40.909999999999997</v>
      </c>
      <c r="Q927" s="10">
        <v>41.22</v>
      </c>
      <c r="R927" s="10">
        <v>41.49</v>
      </c>
      <c r="S927" s="10">
        <v>41.75</v>
      </c>
      <c r="T927" s="10">
        <v>41.99</v>
      </c>
      <c r="U927" s="10">
        <v>42.2</v>
      </c>
      <c r="V927" s="10">
        <v>42.41</v>
      </c>
      <c r="W927" s="10">
        <v>42.59</v>
      </c>
      <c r="X927" s="10">
        <v>42.76</v>
      </c>
      <c r="Y927" s="10">
        <v>42.9</v>
      </c>
      <c r="Z927" s="11">
        <v>43.277999999999999</v>
      </c>
      <c r="AA927" s="11">
        <v>42.720999999999997</v>
      </c>
      <c r="AB927" s="11">
        <v>42.965000000000003</v>
      </c>
      <c r="AC927" s="11">
        <v>43.164000000000001</v>
      </c>
      <c r="AD927" s="11">
        <v>43.384999999999998</v>
      </c>
      <c r="AE927" s="11">
        <v>43.566000000000003</v>
      </c>
      <c r="AF927" s="11">
        <v>43.783000000000001</v>
      </c>
      <c r="AG927" s="11">
        <v>43.972999999999999</v>
      </c>
      <c r="AH927" s="11">
        <v>44.25</v>
      </c>
      <c r="AI927" s="11">
        <v>44.48</v>
      </c>
      <c r="AJ927" s="11">
        <v>44.65</v>
      </c>
      <c r="AK927" s="11">
        <v>44.838000000000001</v>
      </c>
      <c r="AL927" s="11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</row>
    <row r="928" spans="1:147" x14ac:dyDescent="0.3">
      <c r="A928" s="9">
        <f>DATE(2020, 8, 3)</f>
        <v>44046</v>
      </c>
      <c r="B928" s="10">
        <v>44.15</v>
      </c>
      <c r="C928" s="10">
        <v>44.53</v>
      </c>
      <c r="D928" s="10">
        <v>44.91</v>
      </c>
      <c r="E928" s="10">
        <v>45.26</v>
      </c>
      <c r="F928" s="10">
        <v>45.63</v>
      </c>
      <c r="G928" s="10">
        <v>45.96</v>
      </c>
      <c r="H928" s="10">
        <v>46.24</v>
      </c>
      <c r="I928" s="10">
        <v>46.5</v>
      </c>
      <c r="J928" s="10">
        <v>46.74</v>
      </c>
      <c r="K928" s="10">
        <v>46.96</v>
      </c>
      <c r="L928" s="10">
        <v>47.17</v>
      </c>
      <c r="M928" s="10">
        <v>47.36</v>
      </c>
      <c r="N928" s="10">
        <v>41.01</v>
      </c>
      <c r="O928" s="10">
        <v>41.31</v>
      </c>
      <c r="P928" s="10">
        <v>41.68</v>
      </c>
      <c r="Q928" s="10">
        <v>41.99</v>
      </c>
      <c r="R928" s="10">
        <v>42.28</v>
      </c>
      <c r="S928" s="10">
        <v>42.56</v>
      </c>
      <c r="T928" s="10">
        <v>42.84</v>
      </c>
      <c r="U928" s="10">
        <v>43.08</v>
      </c>
      <c r="V928" s="10">
        <v>43.3</v>
      </c>
      <c r="W928" s="10">
        <v>43.49</v>
      </c>
      <c r="X928" s="10">
        <v>43.68</v>
      </c>
      <c r="Y928" s="10">
        <v>43.84</v>
      </c>
      <c r="Z928" s="11">
        <v>43.277999999999999</v>
      </c>
      <c r="AA928" s="11">
        <v>43.305</v>
      </c>
      <c r="AB928" s="11">
        <v>43.587000000000003</v>
      </c>
      <c r="AC928" s="11">
        <v>43.845999999999997</v>
      </c>
      <c r="AD928" s="11">
        <v>44.088000000000001</v>
      </c>
      <c r="AE928" s="11">
        <v>44.3</v>
      </c>
      <c r="AF928" s="11">
        <v>44.554000000000002</v>
      </c>
      <c r="AG928" s="11">
        <v>44.823</v>
      </c>
      <c r="AH928" s="11">
        <v>45.07</v>
      </c>
      <c r="AI928" s="11">
        <v>45.3</v>
      </c>
      <c r="AJ928" s="11">
        <v>45.53</v>
      </c>
      <c r="AK928" s="11">
        <v>45.709000000000003</v>
      </c>
      <c r="AL928" s="11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</row>
    <row r="929" spans="1:147" x14ac:dyDescent="0.3">
      <c r="A929" s="9">
        <f>DATE(2020, 8, 4)</f>
        <v>44047</v>
      </c>
      <c r="B929" s="10">
        <v>44.43</v>
      </c>
      <c r="C929" s="10">
        <v>44.84</v>
      </c>
      <c r="D929" s="10">
        <v>45.24</v>
      </c>
      <c r="E929" s="10">
        <v>45.59</v>
      </c>
      <c r="F929" s="10">
        <v>45.95</v>
      </c>
      <c r="G929" s="10">
        <v>46.27</v>
      </c>
      <c r="H929" s="10">
        <v>46.54</v>
      </c>
      <c r="I929" s="10">
        <v>46.79</v>
      </c>
      <c r="J929" s="10">
        <v>47.02</v>
      </c>
      <c r="K929" s="10">
        <v>47.22</v>
      </c>
      <c r="L929" s="10">
        <v>47.42</v>
      </c>
      <c r="M929" s="10">
        <v>47.6</v>
      </c>
      <c r="N929" s="10">
        <v>41.7</v>
      </c>
      <c r="O929" s="10">
        <v>41.91</v>
      </c>
      <c r="P929" s="10">
        <v>42.21</v>
      </c>
      <c r="Q929" s="10">
        <v>42.46</v>
      </c>
      <c r="R929" s="10">
        <v>42.72</v>
      </c>
      <c r="S929" s="10">
        <v>42.98</v>
      </c>
      <c r="T929" s="10">
        <v>43.25</v>
      </c>
      <c r="U929" s="10">
        <v>43.48</v>
      </c>
      <c r="V929" s="10">
        <v>43.69</v>
      </c>
      <c r="W929" s="10">
        <v>43.89</v>
      </c>
      <c r="X929" s="10">
        <v>44.04</v>
      </c>
      <c r="Y929" s="10">
        <v>44.18</v>
      </c>
      <c r="Z929" s="11">
        <v>43.384999999999998</v>
      </c>
      <c r="AA929" s="11">
        <v>43.728000000000002</v>
      </c>
      <c r="AB929" s="11">
        <v>44.026000000000003</v>
      </c>
      <c r="AC929" s="11">
        <v>44.307000000000002</v>
      </c>
      <c r="AD929" s="11">
        <v>44.558999999999997</v>
      </c>
      <c r="AE929" s="11">
        <v>44.774000000000001</v>
      </c>
      <c r="AF929" s="11">
        <v>45.042999999999999</v>
      </c>
      <c r="AG929" s="11">
        <v>45.29</v>
      </c>
      <c r="AH929" s="11">
        <v>45.51</v>
      </c>
      <c r="AI929" s="11">
        <v>45.719000000000001</v>
      </c>
      <c r="AJ929" s="11">
        <v>45.878</v>
      </c>
      <c r="AK929" s="11">
        <v>46.026000000000003</v>
      </c>
      <c r="AL929" s="11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</row>
    <row r="930" spans="1:147" x14ac:dyDescent="0.3">
      <c r="A930" s="9">
        <f>DATE(2020, 8, 5)</f>
        <v>44048</v>
      </c>
      <c r="B930" s="10">
        <v>45.17</v>
      </c>
      <c r="C930" s="10">
        <v>45.57</v>
      </c>
      <c r="D930" s="10">
        <v>45.97</v>
      </c>
      <c r="E930" s="10">
        <v>46.33</v>
      </c>
      <c r="F930" s="10">
        <v>46.68</v>
      </c>
      <c r="G930" s="10">
        <v>46.97</v>
      </c>
      <c r="H930" s="10">
        <v>47.22</v>
      </c>
      <c r="I930" s="10">
        <v>47.44</v>
      </c>
      <c r="J930" s="10">
        <v>47.63</v>
      </c>
      <c r="K930" s="10">
        <v>47.8</v>
      </c>
      <c r="L930" s="10">
        <v>47.98</v>
      </c>
      <c r="M930" s="10">
        <v>48.13</v>
      </c>
      <c r="N930" s="10">
        <v>42.19</v>
      </c>
      <c r="O930" s="10">
        <v>42.43</v>
      </c>
      <c r="P930" s="10">
        <v>42.76</v>
      </c>
      <c r="Q930" s="10">
        <v>43.04</v>
      </c>
      <c r="R930" s="10">
        <v>43.31</v>
      </c>
      <c r="S930" s="10">
        <v>43.56</v>
      </c>
      <c r="T930" s="10">
        <v>43.8</v>
      </c>
      <c r="U930" s="10">
        <v>44</v>
      </c>
      <c r="V930" s="10">
        <v>44.19</v>
      </c>
      <c r="W930" s="10">
        <v>44.34</v>
      </c>
      <c r="X930" s="10">
        <v>44.48</v>
      </c>
      <c r="Y930" s="10">
        <v>44.59</v>
      </c>
      <c r="Z930" s="11">
        <v>43.825000000000003</v>
      </c>
      <c r="AA930" s="11">
        <v>44.268000000000001</v>
      </c>
      <c r="AB930" s="11">
        <v>44.636000000000003</v>
      </c>
      <c r="AC930" s="11">
        <v>44.906999999999996</v>
      </c>
      <c r="AD930" s="11">
        <v>45.155999999999999</v>
      </c>
      <c r="AE930" s="11">
        <v>45.433</v>
      </c>
      <c r="AF930" s="11">
        <v>45.720999999999997</v>
      </c>
      <c r="AG930" s="11">
        <v>45.938000000000002</v>
      </c>
      <c r="AH930" s="11">
        <v>46.107999999999997</v>
      </c>
      <c r="AI930" s="11">
        <v>46.277000000000001</v>
      </c>
      <c r="AJ930" s="11">
        <v>46.427</v>
      </c>
      <c r="AK930" s="11">
        <v>46.575000000000003</v>
      </c>
      <c r="AL930" s="11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</row>
    <row r="931" spans="1:147" x14ac:dyDescent="0.3">
      <c r="A931" s="9">
        <f>DATE(2020, 8, 6)</f>
        <v>44049</v>
      </c>
      <c r="B931" s="10">
        <v>45.09</v>
      </c>
      <c r="C931" s="10">
        <v>45.46</v>
      </c>
      <c r="D931" s="10">
        <v>45.83</v>
      </c>
      <c r="E931" s="10">
        <v>46.17</v>
      </c>
      <c r="F931" s="10">
        <v>46.5</v>
      </c>
      <c r="G931" s="10">
        <v>46.8</v>
      </c>
      <c r="H931" s="10">
        <v>47.07</v>
      </c>
      <c r="I931" s="10">
        <v>47.32</v>
      </c>
      <c r="J931" s="10">
        <v>47.53</v>
      </c>
      <c r="K931" s="10">
        <v>47.71</v>
      </c>
      <c r="L931" s="10">
        <v>47.9</v>
      </c>
      <c r="M931" s="10">
        <v>48.06</v>
      </c>
      <c r="N931" s="10">
        <v>41.95</v>
      </c>
      <c r="O931" s="10">
        <v>42.2</v>
      </c>
      <c r="P931" s="10">
        <v>42.56</v>
      </c>
      <c r="Q931" s="10">
        <v>42.89</v>
      </c>
      <c r="R931" s="10">
        <v>43.18</v>
      </c>
      <c r="S931" s="10">
        <v>43.46</v>
      </c>
      <c r="T931" s="10">
        <v>43.73</v>
      </c>
      <c r="U931" s="10">
        <v>43.96</v>
      </c>
      <c r="V931" s="10">
        <v>44.18</v>
      </c>
      <c r="W931" s="10">
        <v>44.36</v>
      </c>
      <c r="X931" s="10">
        <v>44.5</v>
      </c>
      <c r="Y931" s="10">
        <v>44.62</v>
      </c>
      <c r="Z931" s="11">
        <v>43.841999999999999</v>
      </c>
      <c r="AA931" s="11">
        <v>44.216999999999999</v>
      </c>
      <c r="AB931" s="11">
        <v>44.545000000000002</v>
      </c>
      <c r="AC931" s="11">
        <v>44.786000000000001</v>
      </c>
      <c r="AD931" s="11">
        <v>45.027000000000001</v>
      </c>
      <c r="AE931" s="11">
        <v>45.304000000000002</v>
      </c>
      <c r="AF931" s="11">
        <v>45.582999999999998</v>
      </c>
      <c r="AG931" s="11">
        <v>45.838999999999999</v>
      </c>
      <c r="AH931" s="11">
        <v>46.098999999999997</v>
      </c>
      <c r="AI931" s="11">
        <v>46.287999999999997</v>
      </c>
      <c r="AJ931" s="11">
        <v>46.457000000000001</v>
      </c>
      <c r="AK931" s="11">
        <v>46.615000000000002</v>
      </c>
      <c r="AL931" s="11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</row>
    <row r="932" spans="1:147" x14ac:dyDescent="0.3">
      <c r="A932" s="9">
        <f>DATE(2020, 8, 7)</f>
        <v>44050</v>
      </c>
      <c r="B932" s="10">
        <v>44.4</v>
      </c>
      <c r="C932" s="10">
        <v>44.77</v>
      </c>
      <c r="D932" s="10">
        <v>45.11</v>
      </c>
      <c r="E932" s="10">
        <v>45.43</v>
      </c>
      <c r="F932" s="10">
        <v>45.76</v>
      </c>
      <c r="G932" s="10">
        <v>46.07</v>
      </c>
      <c r="H932" s="10">
        <v>46.34</v>
      </c>
      <c r="I932" s="10">
        <v>46.58</v>
      </c>
      <c r="J932" s="10">
        <v>46.79</v>
      </c>
      <c r="K932" s="10">
        <v>46.97</v>
      </c>
      <c r="L932" s="10">
        <v>47.15</v>
      </c>
      <c r="M932" s="10">
        <v>47.31</v>
      </c>
      <c r="N932" s="10">
        <v>41.22</v>
      </c>
      <c r="O932" s="10">
        <v>41.49</v>
      </c>
      <c r="P932" s="10">
        <v>41.86</v>
      </c>
      <c r="Q932" s="10">
        <v>42.19</v>
      </c>
      <c r="R932" s="10">
        <v>42.48</v>
      </c>
      <c r="S932" s="10">
        <v>42.76</v>
      </c>
      <c r="T932" s="10">
        <v>43.03</v>
      </c>
      <c r="U932" s="10">
        <v>43.26</v>
      </c>
      <c r="V932" s="10">
        <v>43.46</v>
      </c>
      <c r="W932" s="10">
        <v>43.63</v>
      </c>
      <c r="X932" s="10">
        <v>43.78</v>
      </c>
      <c r="Y932" s="10">
        <v>43.91</v>
      </c>
      <c r="Z932" s="11">
        <v>43.326000000000001</v>
      </c>
      <c r="AA932" s="11">
        <v>43.524999999999999</v>
      </c>
      <c r="AB932" s="11">
        <v>43.84</v>
      </c>
      <c r="AC932" s="11">
        <v>44.106000000000002</v>
      </c>
      <c r="AD932" s="11">
        <v>44.347999999999999</v>
      </c>
      <c r="AE932" s="11">
        <v>44.624000000000002</v>
      </c>
      <c r="AF932" s="11">
        <v>44.881999999999998</v>
      </c>
      <c r="AG932" s="11">
        <v>45.109000000000002</v>
      </c>
      <c r="AH932" s="11">
        <v>45.359000000000002</v>
      </c>
      <c r="AI932" s="11">
        <v>45.546999999999997</v>
      </c>
      <c r="AJ932" s="11">
        <v>45.716999999999999</v>
      </c>
      <c r="AK932" s="11">
        <v>45.886000000000003</v>
      </c>
      <c r="AL932" s="11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</row>
    <row r="933" spans="1:147" x14ac:dyDescent="0.3">
      <c r="A933" s="9">
        <f>DATE(2020, 8, 10)</f>
        <v>44053</v>
      </c>
      <c r="B933" s="10">
        <v>44.99</v>
      </c>
      <c r="C933" s="10">
        <v>45.39</v>
      </c>
      <c r="D933" s="10">
        <v>45.73</v>
      </c>
      <c r="E933" s="10">
        <v>46.05</v>
      </c>
      <c r="F933" s="10">
        <v>46.37</v>
      </c>
      <c r="G933" s="10">
        <v>46.67</v>
      </c>
      <c r="H933" s="10">
        <v>46.93</v>
      </c>
      <c r="I933" s="10">
        <v>47.17</v>
      </c>
      <c r="J933" s="10">
        <v>47.37</v>
      </c>
      <c r="K933" s="10">
        <v>47.54</v>
      </c>
      <c r="L933" s="10">
        <v>47.72</v>
      </c>
      <c r="M933" s="10">
        <v>47.86</v>
      </c>
      <c r="N933" s="10">
        <v>41.94</v>
      </c>
      <c r="O933" s="10">
        <v>42.17</v>
      </c>
      <c r="P933" s="10">
        <v>42.5</v>
      </c>
      <c r="Q933" s="10">
        <v>42.8</v>
      </c>
      <c r="R933" s="10">
        <v>43.08</v>
      </c>
      <c r="S933" s="10">
        <v>43.33</v>
      </c>
      <c r="T933" s="10">
        <v>43.58</v>
      </c>
      <c r="U933" s="10">
        <v>43.79</v>
      </c>
      <c r="V933" s="10">
        <v>43.98</v>
      </c>
      <c r="W933" s="10">
        <v>44.13</v>
      </c>
      <c r="X933" s="10">
        <v>44.25</v>
      </c>
      <c r="Y933" s="10">
        <v>44.36</v>
      </c>
      <c r="Z933" s="11">
        <v>43.761000000000003</v>
      </c>
      <c r="AA933" s="11">
        <v>44.104999999999997</v>
      </c>
      <c r="AB933" s="11">
        <v>44.424999999999997</v>
      </c>
      <c r="AC933" s="11">
        <v>44.695</v>
      </c>
      <c r="AD933" s="11">
        <v>44.947000000000003</v>
      </c>
      <c r="AE933" s="11">
        <v>45.232999999999997</v>
      </c>
      <c r="AF933" s="11">
        <v>45.472000000000001</v>
      </c>
      <c r="AG933" s="11">
        <v>45.689</v>
      </c>
      <c r="AH933" s="11">
        <v>45.878</v>
      </c>
      <c r="AI933" s="11">
        <v>46.087000000000003</v>
      </c>
      <c r="AJ933" s="11">
        <v>46.246000000000002</v>
      </c>
      <c r="AK933" s="11">
        <v>46.384999999999998</v>
      </c>
      <c r="AL933" s="11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</row>
    <row r="934" spans="1:147" x14ac:dyDescent="0.3">
      <c r="A934" s="9">
        <f>DATE(2020, 8, 11)</f>
        <v>44054</v>
      </c>
      <c r="B934" s="10">
        <v>44.5</v>
      </c>
      <c r="C934" s="10">
        <v>44.99</v>
      </c>
      <c r="D934" s="10">
        <v>45.37</v>
      </c>
      <c r="E934" s="10">
        <v>45.72</v>
      </c>
      <c r="F934" s="10">
        <v>46.06</v>
      </c>
      <c r="G934" s="10">
        <v>46.38</v>
      </c>
      <c r="H934" s="10">
        <v>46.65</v>
      </c>
      <c r="I934" s="10">
        <v>46.9</v>
      </c>
      <c r="J934" s="10">
        <v>47.1</v>
      </c>
      <c r="K934" s="10">
        <v>47.28</v>
      </c>
      <c r="L934" s="10">
        <v>47.45</v>
      </c>
      <c r="M934" s="10">
        <v>47.59</v>
      </c>
      <c r="N934" s="10">
        <v>41.61</v>
      </c>
      <c r="O934" s="10">
        <v>41.87</v>
      </c>
      <c r="P934" s="10">
        <v>42.2</v>
      </c>
      <c r="Q934" s="10">
        <v>42.51</v>
      </c>
      <c r="R934" s="10">
        <v>42.8</v>
      </c>
      <c r="S934" s="10">
        <v>43.06</v>
      </c>
      <c r="T934" s="10">
        <v>43.3</v>
      </c>
      <c r="U934" s="10">
        <v>43.51</v>
      </c>
      <c r="V934" s="10">
        <v>43.7</v>
      </c>
      <c r="W934" s="10">
        <v>43.85</v>
      </c>
      <c r="X934" s="10">
        <v>43.97</v>
      </c>
      <c r="Y934" s="10">
        <v>44.08</v>
      </c>
      <c r="Z934" s="11">
        <v>43.408999999999999</v>
      </c>
      <c r="AA934" s="11">
        <v>43.637</v>
      </c>
      <c r="AB934" s="11">
        <v>44.036000000000001</v>
      </c>
      <c r="AC934" s="11">
        <v>44.366</v>
      </c>
      <c r="AD934" s="11">
        <v>44.658999999999999</v>
      </c>
      <c r="AE934" s="11">
        <v>44.963999999999999</v>
      </c>
      <c r="AF934" s="11">
        <v>45.243000000000002</v>
      </c>
      <c r="AG934" s="11">
        <v>45.478999999999999</v>
      </c>
      <c r="AH934" s="11">
        <v>45.668999999999997</v>
      </c>
      <c r="AI934" s="11">
        <v>45.856000000000002</v>
      </c>
      <c r="AJ934" s="11">
        <v>45.996000000000002</v>
      </c>
      <c r="AK934" s="11">
        <v>46.145000000000003</v>
      </c>
      <c r="AL934" s="11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</row>
    <row r="935" spans="1:147" x14ac:dyDescent="0.3">
      <c r="A935" s="9">
        <f>DATE(2020, 8, 12)</f>
        <v>44055</v>
      </c>
      <c r="B935" s="10">
        <v>45.43</v>
      </c>
      <c r="C935" s="10">
        <v>45.91</v>
      </c>
      <c r="D935" s="10">
        <v>46.3</v>
      </c>
      <c r="E935" s="10">
        <v>46.64</v>
      </c>
      <c r="F935" s="10">
        <v>46.97</v>
      </c>
      <c r="G935" s="10">
        <v>47.28</v>
      </c>
      <c r="H935" s="10">
        <v>47.53</v>
      </c>
      <c r="I935" s="10">
        <v>47.76</v>
      </c>
      <c r="J935" s="10">
        <v>47.94</v>
      </c>
      <c r="K935" s="10">
        <v>48.1</v>
      </c>
      <c r="L935" s="10">
        <v>48.25</v>
      </c>
      <c r="M935" s="10">
        <v>48.38</v>
      </c>
      <c r="N935" s="10">
        <v>42.67</v>
      </c>
      <c r="O935" s="10">
        <v>42.95</v>
      </c>
      <c r="P935" s="10">
        <v>43.25</v>
      </c>
      <c r="Q935" s="10">
        <v>43.52</v>
      </c>
      <c r="R935" s="10">
        <v>43.78</v>
      </c>
      <c r="S935" s="10">
        <v>44.01</v>
      </c>
      <c r="T935" s="10">
        <v>44.24</v>
      </c>
      <c r="U935" s="10">
        <v>44.43</v>
      </c>
      <c r="V935" s="10">
        <v>44.59</v>
      </c>
      <c r="W935" s="10">
        <v>44.72</v>
      </c>
      <c r="X935" s="10">
        <v>44.82</v>
      </c>
      <c r="Y935" s="10">
        <v>44.91</v>
      </c>
      <c r="Z935" s="11">
        <v>43.871000000000002</v>
      </c>
      <c r="AA935" s="11">
        <v>44.387999999999998</v>
      </c>
      <c r="AB935" s="11">
        <v>44.884999999999998</v>
      </c>
      <c r="AC935" s="11">
        <v>45.256</v>
      </c>
      <c r="AD935" s="11">
        <v>45.567999999999998</v>
      </c>
      <c r="AE935" s="11">
        <v>45.893000000000001</v>
      </c>
      <c r="AF935" s="11">
        <v>46.192</v>
      </c>
      <c r="AG935" s="11">
        <v>46.368000000000002</v>
      </c>
      <c r="AH935" s="11">
        <v>46.537999999999997</v>
      </c>
      <c r="AI935" s="11">
        <v>46.683999999999997</v>
      </c>
      <c r="AJ935" s="11">
        <v>46.795999999999999</v>
      </c>
      <c r="AK935" s="11">
        <v>46.935000000000002</v>
      </c>
      <c r="AL935" s="11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</row>
    <row r="936" spans="1:147" x14ac:dyDescent="0.3">
      <c r="A936" s="9">
        <f>DATE(2020, 8, 13)</f>
        <v>44056</v>
      </c>
      <c r="B936" s="10">
        <v>44.96</v>
      </c>
      <c r="C936" s="10">
        <v>45.43</v>
      </c>
      <c r="D936" s="10">
        <v>45.82</v>
      </c>
      <c r="E936" s="10">
        <v>46.17</v>
      </c>
      <c r="F936" s="10">
        <v>46.52</v>
      </c>
      <c r="G936" s="10">
        <v>46.86</v>
      </c>
      <c r="H936" s="10">
        <v>47.14</v>
      </c>
      <c r="I936" s="10">
        <v>47.38</v>
      </c>
      <c r="J936" s="10">
        <v>47.57</v>
      </c>
      <c r="K936" s="10">
        <v>47.73</v>
      </c>
      <c r="L936" s="10">
        <v>47.9</v>
      </c>
      <c r="M936" s="10">
        <v>48.02</v>
      </c>
      <c r="N936" s="10">
        <v>42.24</v>
      </c>
      <c r="O936" s="10">
        <v>42.52</v>
      </c>
      <c r="P936" s="10">
        <v>42.84</v>
      </c>
      <c r="Q936" s="10">
        <v>43.15</v>
      </c>
      <c r="R936" s="10">
        <v>43.44</v>
      </c>
      <c r="S936" s="10">
        <v>43.7</v>
      </c>
      <c r="T936" s="10">
        <v>43.95</v>
      </c>
      <c r="U936" s="10">
        <v>44.16</v>
      </c>
      <c r="V936" s="10">
        <v>44.33</v>
      </c>
      <c r="W936" s="10">
        <v>44.47</v>
      </c>
      <c r="X936" s="10">
        <v>44.58</v>
      </c>
      <c r="Y936" s="10">
        <v>44.67</v>
      </c>
      <c r="Z936" s="11">
        <v>43.558</v>
      </c>
      <c r="AA936" s="11">
        <v>43.887999999999998</v>
      </c>
      <c r="AB936" s="11">
        <v>44.415999999999997</v>
      </c>
      <c r="AC936" s="11">
        <v>44.807000000000002</v>
      </c>
      <c r="AD936" s="11">
        <v>45.140999999999998</v>
      </c>
      <c r="AE936" s="11">
        <v>45.503999999999998</v>
      </c>
      <c r="AF936" s="11">
        <v>45.802</v>
      </c>
      <c r="AG936" s="11">
        <v>46.008000000000003</v>
      </c>
      <c r="AH936" s="11">
        <v>46.177999999999997</v>
      </c>
      <c r="AI936" s="11">
        <v>46.335999999999999</v>
      </c>
      <c r="AJ936" s="11">
        <v>46.465000000000003</v>
      </c>
      <c r="AK936" s="11">
        <v>46.594999999999999</v>
      </c>
      <c r="AL936" s="11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</row>
    <row r="937" spans="1:147" x14ac:dyDescent="0.3">
      <c r="A937" s="9">
        <f>DATE(2020, 8, 14)</f>
        <v>44057</v>
      </c>
      <c r="B937" s="10">
        <v>44.8</v>
      </c>
      <c r="C937" s="10">
        <v>45.33</v>
      </c>
      <c r="D937" s="10">
        <v>45.77</v>
      </c>
      <c r="E937" s="10">
        <v>46.15</v>
      </c>
      <c r="F937" s="10">
        <v>46.53</v>
      </c>
      <c r="G937" s="10">
        <v>46.88</v>
      </c>
      <c r="H937" s="10">
        <v>47.16</v>
      </c>
      <c r="I937" s="10">
        <v>47.39</v>
      </c>
      <c r="J937" s="10">
        <v>47.57</v>
      </c>
      <c r="K937" s="10">
        <v>47.72</v>
      </c>
      <c r="L937" s="10">
        <v>47.87</v>
      </c>
      <c r="M937" s="10">
        <v>47.99</v>
      </c>
      <c r="N937" s="10">
        <v>42.01</v>
      </c>
      <c r="O937" s="10">
        <v>42.31</v>
      </c>
      <c r="P937" s="10">
        <v>42.67</v>
      </c>
      <c r="Q937" s="10">
        <v>43</v>
      </c>
      <c r="R937" s="10">
        <v>43.3</v>
      </c>
      <c r="S937" s="10">
        <v>43.58</v>
      </c>
      <c r="T937" s="10">
        <v>43.84</v>
      </c>
      <c r="U937" s="10">
        <v>44.06</v>
      </c>
      <c r="V937" s="10">
        <v>44.24</v>
      </c>
      <c r="W937" s="10">
        <v>44.39</v>
      </c>
      <c r="X937" s="10">
        <v>44.51</v>
      </c>
      <c r="Y937" s="10">
        <v>44.6</v>
      </c>
      <c r="Z937" s="11">
        <v>43.436999999999998</v>
      </c>
      <c r="AA937" s="11">
        <v>43.65</v>
      </c>
      <c r="AB937" s="11">
        <v>44.277000000000001</v>
      </c>
      <c r="AC937" s="11">
        <v>44.758000000000003</v>
      </c>
      <c r="AD937" s="11">
        <v>45.142000000000003</v>
      </c>
      <c r="AE937" s="11">
        <v>45.524000000000001</v>
      </c>
      <c r="AF937" s="11">
        <v>45.841999999999999</v>
      </c>
      <c r="AG937" s="11">
        <v>46.067999999999998</v>
      </c>
      <c r="AH937" s="11">
        <v>46.207000000000001</v>
      </c>
      <c r="AI937" s="11">
        <v>46.344000000000001</v>
      </c>
      <c r="AJ937" s="11">
        <v>46.465000000000003</v>
      </c>
      <c r="AK937" s="11">
        <v>46.575000000000003</v>
      </c>
      <c r="AL937" s="11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</row>
    <row r="938" spans="1:147" x14ac:dyDescent="0.3">
      <c r="A938" s="9">
        <f>DATE(2020, 8, 17)</f>
        <v>44060</v>
      </c>
      <c r="B938" s="10">
        <v>45.37</v>
      </c>
      <c r="C938" s="10">
        <v>45.92</v>
      </c>
      <c r="D938" s="10">
        <v>46.39</v>
      </c>
      <c r="E938" s="10">
        <v>46.79</v>
      </c>
      <c r="F938" s="10">
        <v>47.16</v>
      </c>
      <c r="G938" s="10">
        <v>47.5</v>
      </c>
      <c r="H938" s="10">
        <v>47.78</v>
      </c>
      <c r="I938" s="10">
        <v>48</v>
      </c>
      <c r="J938" s="10">
        <v>48.17</v>
      </c>
      <c r="K938" s="10">
        <v>48.32</v>
      </c>
      <c r="L938" s="10">
        <v>48.47</v>
      </c>
      <c r="M938" s="10">
        <v>48.59</v>
      </c>
      <c r="N938" s="10">
        <v>42.89</v>
      </c>
      <c r="O938" s="10">
        <v>43.17</v>
      </c>
      <c r="P938" s="10">
        <v>43.48</v>
      </c>
      <c r="Q938" s="10">
        <v>43.78</v>
      </c>
      <c r="R938" s="10">
        <v>44.08</v>
      </c>
      <c r="S938" s="10">
        <v>44.34</v>
      </c>
      <c r="T938" s="10">
        <v>44.57</v>
      </c>
      <c r="U938" s="10">
        <v>44.76</v>
      </c>
      <c r="V938" s="10">
        <v>44.93</v>
      </c>
      <c r="W938" s="10">
        <v>45.05</v>
      </c>
      <c r="X938" s="10">
        <v>45.17</v>
      </c>
      <c r="Y938" s="10">
        <v>45.26</v>
      </c>
      <c r="Z938" s="11">
        <v>43.850999999999999</v>
      </c>
      <c r="AA938" s="11">
        <v>44.350999999999999</v>
      </c>
      <c r="AB938" s="11">
        <v>44.978000000000002</v>
      </c>
      <c r="AC938" s="11">
        <v>45.438000000000002</v>
      </c>
      <c r="AD938" s="11">
        <v>45.811</v>
      </c>
      <c r="AE938" s="11">
        <v>46.204000000000001</v>
      </c>
      <c r="AF938" s="11">
        <v>46.511000000000003</v>
      </c>
      <c r="AG938" s="11">
        <v>46.726999999999997</v>
      </c>
      <c r="AH938" s="11">
        <v>46.877000000000002</v>
      </c>
      <c r="AI938" s="11">
        <v>47.003999999999998</v>
      </c>
      <c r="AJ938" s="11">
        <v>47.094999999999999</v>
      </c>
      <c r="AK938" s="11">
        <v>47.215000000000003</v>
      </c>
      <c r="AL938" s="11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</row>
    <row r="939" spans="1:147" x14ac:dyDescent="0.3">
      <c r="A939" s="9">
        <f>DATE(2020, 8, 18)</f>
        <v>44061</v>
      </c>
      <c r="B939" s="10">
        <v>45.46</v>
      </c>
      <c r="C939" s="10">
        <v>46.01</v>
      </c>
      <c r="D939" s="10">
        <v>46.49</v>
      </c>
      <c r="E939" s="10">
        <v>46.87</v>
      </c>
      <c r="F939" s="10">
        <v>47.23</v>
      </c>
      <c r="G939" s="10">
        <v>47.56</v>
      </c>
      <c r="H939" s="10">
        <v>47.84</v>
      </c>
      <c r="I939" s="10">
        <v>48.06</v>
      </c>
      <c r="J939" s="10">
        <v>48.24</v>
      </c>
      <c r="K939" s="10">
        <v>48.39</v>
      </c>
      <c r="L939" s="10">
        <v>48.54</v>
      </c>
      <c r="M939" s="10">
        <v>48.65</v>
      </c>
      <c r="N939" s="10">
        <v>42.89</v>
      </c>
      <c r="O939" s="10">
        <v>43.12</v>
      </c>
      <c r="P939" s="10">
        <v>43.44</v>
      </c>
      <c r="Q939" s="10">
        <v>43.76</v>
      </c>
      <c r="R939" s="10">
        <v>44.06</v>
      </c>
      <c r="S939" s="10">
        <v>44.33</v>
      </c>
      <c r="T939" s="10">
        <v>44.57</v>
      </c>
      <c r="U939" s="10">
        <v>44.77</v>
      </c>
      <c r="V939" s="10">
        <v>44.94</v>
      </c>
      <c r="W939" s="10">
        <v>45.08</v>
      </c>
      <c r="X939" s="10">
        <v>45.19</v>
      </c>
      <c r="Y939" s="10">
        <v>45.28</v>
      </c>
      <c r="Z939" s="11">
        <v>44.003</v>
      </c>
      <c r="AA939" s="11">
        <v>44.552</v>
      </c>
      <c r="AB939" s="11">
        <v>45.137</v>
      </c>
      <c r="AC939" s="11">
        <v>45.557000000000002</v>
      </c>
      <c r="AD939" s="11">
        <v>45.92</v>
      </c>
      <c r="AE939" s="11">
        <v>46.274000000000001</v>
      </c>
      <c r="AF939" s="11">
        <v>46.570999999999998</v>
      </c>
      <c r="AG939" s="11">
        <v>46.787999999999997</v>
      </c>
      <c r="AH939" s="11">
        <v>46.947000000000003</v>
      </c>
      <c r="AI939" s="11">
        <v>47.084000000000003</v>
      </c>
      <c r="AJ939" s="11">
        <v>47.174999999999997</v>
      </c>
      <c r="AK939" s="11">
        <v>47.274999999999999</v>
      </c>
      <c r="AL939" s="11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</row>
    <row r="940" spans="1:147" x14ac:dyDescent="0.3">
      <c r="A940" s="9">
        <f>DATE(2020, 8, 19)</f>
        <v>44062</v>
      </c>
      <c r="B940" s="10">
        <v>45.37</v>
      </c>
      <c r="C940" s="10">
        <v>45.88</v>
      </c>
      <c r="D940" s="10">
        <v>46.36</v>
      </c>
      <c r="E940" s="10">
        <v>46.75</v>
      </c>
      <c r="F940" s="10">
        <v>47.13</v>
      </c>
      <c r="G940" s="10">
        <v>47.48</v>
      </c>
      <c r="H940" s="10">
        <v>47.78</v>
      </c>
      <c r="I940" s="10">
        <v>48.02</v>
      </c>
      <c r="J940" s="10">
        <v>48.22</v>
      </c>
      <c r="K940" s="10">
        <v>48.39</v>
      </c>
      <c r="L940" s="10">
        <v>48.56</v>
      </c>
      <c r="M940" s="10">
        <v>48.69</v>
      </c>
      <c r="N940" s="10">
        <v>42.93</v>
      </c>
      <c r="O940" s="10">
        <v>43.11</v>
      </c>
      <c r="P940" s="10">
        <v>43.39</v>
      </c>
      <c r="Q940" s="10">
        <v>43.69</v>
      </c>
      <c r="R940" s="10">
        <v>43.98</v>
      </c>
      <c r="S940" s="10">
        <v>44.26</v>
      </c>
      <c r="T940" s="10">
        <v>44.51</v>
      </c>
      <c r="U940" s="10">
        <v>44.72</v>
      </c>
      <c r="V940" s="10">
        <v>44.91</v>
      </c>
      <c r="W940" s="10">
        <v>45.06</v>
      </c>
      <c r="X940" s="10">
        <v>45.19</v>
      </c>
      <c r="Y940" s="10">
        <v>45.3</v>
      </c>
      <c r="Z940" s="11">
        <v>43.890999999999998</v>
      </c>
      <c r="AA940" s="11">
        <v>44.421999999999997</v>
      </c>
      <c r="AB940" s="11">
        <v>45.078000000000003</v>
      </c>
      <c r="AC940" s="11">
        <v>45.497999999999998</v>
      </c>
      <c r="AD940" s="11">
        <v>45.851999999999997</v>
      </c>
      <c r="AE940" s="11">
        <v>46.225000000000001</v>
      </c>
      <c r="AF940" s="11">
        <v>46.512</v>
      </c>
      <c r="AG940" s="11">
        <v>46.749000000000002</v>
      </c>
      <c r="AH940" s="11">
        <v>46.938000000000002</v>
      </c>
      <c r="AI940" s="11">
        <v>47.095999999999997</v>
      </c>
      <c r="AJ940" s="11">
        <v>47.216000000000001</v>
      </c>
      <c r="AK940" s="11">
        <v>47.325000000000003</v>
      </c>
      <c r="AL940" s="11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</row>
    <row r="941" spans="1:147" x14ac:dyDescent="0.3">
      <c r="A941" s="9">
        <f>DATE(2020, 8, 20)</f>
        <v>44063</v>
      </c>
      <c r="B941" s="10">
        <v>44.9</v>
      </c>
      <c r="C941" s="10">
        <v>45.48</v>
      </c>
      <c r="D941" s="10">
        <v>45.97</v>
      </c>
      <c r="E941" s="10">
        <v>46.37</v>
      </c>
      <c r="F941" s="10">
        <v>46.76</v>
      </c>
      <c r="G941" s="10">
        <v>47.12</v>
      </c>
      <c r="H941" s="10">
        <v>47.44</v>
      </c>
      <c r="I941" s="10">
        <v>47.7</v>
      </c>
      <c r="J941" s="10">
        <v>47.91</v>
      </c>
      <c r="K941" s="10">
        <v>48.09</v>
      </c>
      <c r="L941" s="10">
        <v>48.26</v>
      </c>
      <c r="M941" s="10">
        <v>48.41</v>
      </c>
      <c r="N941" s="10">
        <v>42.58</v>
      </c>
      <c r="O941" s="10">
        <v>42.82</v>
      </c>
      <c r="P941" s="10">
        <v>43.09</v>
      </c>
      <c r="Q941" s="10">
        <v>43.39</v>
      </c>
      <c r="R941" s="10">
        <v>43.7</v>
      </c>
      <c r="S941" s="10">
        <v>43.99</v>
      </c>
      <c r="T941" s="10">
        <v>44.25</v>
      </c>
      <c r="U941" s="10">
        <v>44.47</v>
      </c>
      <c r="V941" s="10">
        <v>44.68</v>
      </c>
      <c r="W941" s="10">
        <v>44.85</v>
      </c>
      <c r="X941" s="10">
        <v>44.99</v>
      </c>
      <c r="Y941" s="10">
        <v>45.1</v>
      </c>
      <c r="Z941" s="11">
        <v>43.761000000000003</v>
      </c>
      <c r="AA941" s="11">
        <v>44.161999999999999</v>
      </c>
      <c r="AB941" s="11">
        <v>44.728000000000002</v>
      </c>
      <c r="AC941" s="11">
        <v>45.098999999999997</v>
      </c>
      <c r="AD941" s="11">
        <v>45.442999999999998</v>
      </c>
      <c r="AE941" s="11">
        <v>45.786000000000001</v>
      </c>
      <c r="AF941" s="11">
        <v>46.103000000000002</v>
      </c>
      <c r="AG941" s="11">
        <v>46.359000000000002</v>
      </c>
      <c r="AH941" s="11">
        <v>46.569000000000003</v>
      </c>
      <c r="AI941" s="11">
        <v>46.746000000000002</v>
      </c>
      <c r="AJ941" s="11">
        <v>46.887</v>
      </c>
      <c r="AK941" s="11">
        <v>47.026000000000003</v>
      </c>
      <c r="AL941" s="11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</row>
    <row r="942" spans="1:147" x14ac:dyDescent="0.3">
      <c r="A942" s="9">
        <f>DATE(2020, 8, 21)</f>
        <v>44064</v>
      </c>
      <c r="B942" s="10">
        <v>44.35</v>
      </c>
      <c r="C942" s="10">
        <v>44.93</v>
      </c>
      <c r="D942" s="10">
        <v>45.39</v>
      </c>
      <c r="E942" s="10">
        <v>45.76</v>
      </c>
      <c r="F942" s="10">
        <v>46.12</v>
      </c>
      <c r="G942" s="10">
        <v>46.47</v>
      </c>
      <c r="H942" s="10">
        <v>46.78</v>
      </c>
      <c r="I942" s="10">
        <v>47.04</v>
      </c>
      <c r="J942" s="10">
        <v>47.26</v>
      </c>
      <c r="K942" s="10">
        <v>47.46</v>
      </c>
      <c r="L942" s="10">
        <v>47.65</v>
      </c>
      <c r="M942" s="10">
        <v>47.82</v>
      </c>
      <c r="N942" s="10">
        <v>42.34</v>
      </c>
      <c r="O942" s="10">
        <v>42.62</v>
      </c>
      <c r="P942" s="10">
        <v>42.93</v>
      </c>
      <c r="Q942" s="10">
        <v>43.23</v>
      </c>
      <c r="R942" s="10">
        <v>43.51</v>
      </c>
      <c r="S942" s="10">
        <v>43.77</v>
      </c>
      <c r="T942" s="10">
        <v>44</v>
      </c>
      <c r="U942" s="10">
        <v>44.21</v>
      </c>
      <c r="V942" s="10">
        <v>44.39</v>
      </c>
      <c r="W942" s="10">
        <v>44.54</v>
      </c>
      <c r="X942" s="10">
        <v>44.67</v>
      </c>
      <c r="Y942" s="10">
        <v>44.78</v>
      </c>
      <c r="Z942" s="11">
        <v>43.667000000000002</v>
      </c>
      <c r="AA942" s="11">
        <v>43.831000000000003</v>
      </c>
      <c r="AB942" s="11">
        <v>44.247</v>
      </c>
      <c r="AC942" s="11">
        <v>44.536999999999999</v>
      </c>
      <c r="AD942" s="11">
        <v>44.832000000000001</v>
      </c>
      <c r="AE942" s="11">
        <v>45.146000000000001</v>
      </c>
      <c r="AF942" s="11">
        <v>45.442999999999998</v>
      </c>
      <c r="AG942" s="11">
        <v>45.7</v>
      </c>
      <c r="AH942" s="11">
        <v>45.91</v>
      </c>
      <c r="AI942" s="11">
        <v>46.107999999999997</v>
      </c>
      <c r="AJ942" s="11">
        <v>46.277999999999999</v>
      </c>
      <c r="AK942" s="11">
        <v>46.427</v>
      </c>
      <c r="AL942" s="11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</row>
    <row r="943" spans="1:147" x14ac:dyDescent="0.3">
      <c r="A943" s="9">
        <f>DATE(2020, 8, 24)</f>
        <v>44067</v>
      </c>
      <c r="B943" s="10">
        <v>45.13</v>
      </c>
      <c r="C943" s="10">
        <v>45.64</v>
      </c>
      <c r="D943" s="10">
        <v>46.07</v>
      </c>
      <c r="E943" s="10">
        <v>46.42</v>
      </c>
      <c r="F943" s="10">
        <v>46.76</v>
      </c>
      <c r="G943" s="10">
        <v>47.09</v>
      </c>
      <c r="H943" s="10">
        <v>47.39</v>
      </c>
      <c r="I943" s="10">
        <v>47.64</v>
      </c>
      <c r="J943" s="10">
        <v>47.85</v>
      </c>
      <c r="K943" s="10">
        <v>48.04</v>
      </c>
      <c r="L943" s="10">
        <v>48.23</v>
      </c>
      <c r="M943" s="10">
        <v>48.4</v>
      </c>
      <c r="N943" s="10">
        <v>42.62</v>
      </c>
      <c r="O943" s="10">
        <v>42.93</v>
      </c>
      <c r="P943" s="10">
        <v>43.27</v>
      </c>
      <c r="Q943" s="10">
        <v>43.6</v>
      </c>
      <c r="R943" s="10">
        <v>43.9</v>
      </c>
      <c r="S943" s="10">
        <v>44.17</v>
      </c>
      <c r="T943" s="10">
        <v>44.42</v>
      </c>
      <c r="U943" s="10">
        <v>44.64</v>
      </c>
      <c r="V943" s="10">
        <v>44.83</v>
      </c>
      <c r="W943" s="10">
        <v>45</v>
      </c>
      <c r="X943" s="10">
        <v>45.14</v>
      </c>
      <c r="Y943" s="10">
        <v>45.26</v>
      </c>
      <c r="Z943" s="11">
        <v>43.817999999999998</v>
      </c>
      <c r="AA943" s="11">
        <v>44.58</v>
      </c>
      <c r="AB943" s="11">
        <v>44.985999999999997</v>
      </c>
      <c r="AC943" s="11">
        <v>45.216000000000001</v>
      </c>
      <c r="AD943" s="11">
        <v>45.49</v>
      </c>
      <c r="AE943" s="11">
        <v>45.765000000000001</v>
      </c>
      <c r="AF943" s="11">
        <v>46.052999999999997</v>
      </c>
      <c r="AG943" s="11">
        <v>46.298999999999999</v>
      </c>
      <c r="AH943" s="11">
        <v>46.499000000000002</v>
      </c>
      <c r="AI943" s="11">
        <v>46.698</v>
      </c>
      <c r="AJ943" s="11">
        <v>46.868000000000002</v>
      </c>
      <c r="AK943" s="11">
        <v>47.017000000000003</v>
      </c>
      <c r="AL943" s="11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</row>
    <row r="944" spans="1:147" x14ac:dyDescent="0.3">
      <c r="A944" s="9">
        <f>DATE(2020, 8, 25)</f>
        <v>44068</v>
      </c>
      <c r="B944" s="10">
        <v>45.86</v>
      </c>
      <c r="C944" s="10">
        <v>46.29</v>
      </c>
      <c r="D944" s="10">
        <v>46.66</v>
      </c>
      <c r="E944" s="10">
        <v>46.97</v>
      </c>
      <c r="F944" s="10">
        <v>47.28</v>
      </c>
      <c r="G944" s="10">
        <v>47.58</v>
      </c>
      <c r="H944" s="10">
        <v>47.86</v>
      </c>
      <c r="I944" s="10">
        <v>48.09</v>
      </c>
      <c r="J944" s="10">
        <v>48.29</v>
      </c>
      <c r="K944" s="10">
        <v>48.48</v>
      </c>
      <c r="L944" s="10">
        <v>48.66</v>
      </c>
      <c r="M944" s="10">
        <v>48.82</v>
      </c>
      <c r="N944" s="10">
        <v>43.35</v>
      </c>
      <c r="O944" s="10">
        <v>43.65</v>
      </c>
      <c r="P944" s="10">
        <v>43.94</v>
      </c>
      <c r="Q944" s="10">
        <v>44.24</v>
      </c>
      <c r="R944" s="10">
        <v>44.51</v>
      </c>
      <c r="S944" s="10">
        <v>44.75</v>
      </c>
      <c r="T944" s="10">
        <v>44.96</v>
      </c>
      <c r="U944" s="10">
        <v>45.15</v>
      </c>
      <c r="V944" s="10">
        <v>45.32</v>
      </c>
      <c r="W944" s="10">
        <v>45.47</v>
      </c>
      <c r="X944" s="10">
        <v>45.59</v>
      </c>
      <c r="Y944" s="10">
        <v>45.69</v>
      </c>
      <c r="Z944" s="11">
        <v>43.97</v>
      </c>
      <c r="AA944" s="11">
        <v>45.216999999999999</v>
      </c>
      <c r="AB944" s="11">
        <v>45.603999999999999</v>
      </c>
      <c r="AC944" s="11">
        <v>45.774999999999999</v>
      </c>
      <c r="AD944" s="11">
        <v>45.966999999999999</v>
      </c>
      <c r="AE944" s="11">
        <v>46.223999999999997</v>
      </c>
      <c r="AF944" s="11">
        <v>46.491999999999997</v>
      </c>
      <c r="AG944" s="11">
        <v>46.719000000000001</v>
      </c>
      <c r="AH944" s="11">
        <v>46.918999999999997</v>
      </c>
      <c r="AI944" s="11">
        <v>47.116999999999997</v>
      </c>
      <c r="AJ944" s="11">
        <v>47.277000000000001</v>
      </c>
      <c r="AK944" s="11">
        <v>47.426000000000002</v>
      </c>
      <c r="AL944" s="11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</row>
    <row r="945" spans="1:147" x14ac:dyDescent="0.3">
      <c r="A945" s="9">
        <f>DATE(2020, 8, 26)</f>
        <v>44069</v>
      </c>
      <c r="B945" s="10">
        <v>45.64</v>
      </c>
      <c r="C945" s="10">
        <v>46.16</v>
      </c>
      <c r="D945" s="10">
        <v>46.58</v>
      </c>
      <c r="E945" s="10">
        <v>46.93</v>
      </c>
      <c r="F945" s="10">
        <v>47.25</v>
      </c>
      <c r="G945" s="10">
        <v>47.55</v>
      </c>
      <c r="H945" s="10">
        <v>47.83</v>
      </c>
      <c r="I945" s="10">
        <v>48.07</v>
      </c>
      <c r="J945" s="10">
        <v>48.28</v>
      </c>
      <c r="K945" s="10">
        <v>48.45</v>
      </c>
      <c r="L945" s="10">
        <v>48.63</v>
      </c>
      <c r="M945" s="10">
        <v>48.79</v>
      </c>
      <c r="N945" s="10">
        <v>43.39</v>
      </c>
      <c r="O945" s="10">
        <v>43.69</v>
      </c>
      <c r="P945" s="10">
        <v>44</v>
      </c>
      <c r="Q945" s="10">
        <v>44.31</v>
      </c>
      <c r="R945" s="10">
        <v>44.58</v>
      </c>
      <c r="S945" s="10">
        <v>44.81</v>
      </c>
      <c r="T945" s="10">
        <v>45.02</v>
      </c>
      <c r="U945" s="10">
        <v>45.2</v>
      </c>
      <c r="V945" s="10">
        <v>45.35</v>
      </c>
      <c r="W945" s="10">
        <v>45.48</v>
      </c>
      <c r="X945" s="10">
        <v>45.59</v>
      </c>
      <c r="Y945" s="10">
        <v>45.69</v>
      </c>
      <c r="Z945" s="11">
        <v>43.948</v>
      </c>
      <c r="AA945" s="11">
        <v>45.048999999999999</v>
      </c>
      <c r="AB945" s="11">
        <v>45.466000000000001</v>
      </c>
      <c r="AC945" s="11">
        <v>45.695</v>
      </c>
      <c r="AD945" s="11">
        <v>45.936999999999998</v>
      </c>
      <c r="AE945" s="11">
        <v>46.204000000000001</v>
      </c>
      <c r="AF945" s="11">
        <v>46.481999999999999</v>
      </c>
      <c r="AG945" s="11">
        <v>46.719000000000001</v>
      </c>
      <c r="AH945" s="11">
        <v>46.917999999999999</v>
      </c>
      <c r="AI945" s="11">
        <v>47.087000000000003</v>
      </c>
      <c r="AJ945" s="11">
        <v>47.226999999999997</v>
      </c>
      <c r="AK945" s="11">
        <v>47.356000000000002</v>
      </c>
      <c r="AL945" s="11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</row>
    <row r="946" spans="1:147" x14ac:dyDescent="0.3">
      <c r="A946" s="9">
        <f>DATE(2020, 8, 27)</f>
        <v>44070</v>
      </c>
      <c r="B946" s="10">
        <v>45.09</v>
      </c>
      <c r="C946" s="10">
        <v>45.6</v>
      </c>
      <c r="D946" s="10">
        <v>46.01</v>
      </c>
      <c r="E946" s="10">
        <v>46.37</v>
      </c>
      <c r="F946" s="10">
        <v>46.7</v>
      </c>
      <c r="G946" s="10">
        <v>47.01</v>
      </c>
      <c r="H946" s="10">
        <v>47.29</v>
      </c>
      <c r="I946" s="10">
        <v>47.54</v>
      </c>
      <c r="J946" s="10">
        <v>47.75</v>
      </c>
      <c r="K946" s="10">
        <v>47.92</v>
      </c>
      <c r="L946" s="10">
        <v>48.09</v>
      </c>
      <c r="M946" s="10">
        <v>48.25</v>
      </c>
      <c r="N946" s="10">
        <v>43.04</v>
      </c>
      <c r="O946" s="10">
        <v>43.31</v>
      </c>
      <c r="P946" s="10">
        <v>43.61</v>
      </c>
      <c r="Q946" s="10">
        <v>43.91</v>
      </c>
      <c r="R946" s="10">
        <v>44.17</v>
      </c>
      <c r="S946" s="10">
        <v>44.4</v>
      </c>
      <c r="T946" s="10">
        <v>44.6</v>
      </c>
      <c r="U946" s="10">
        <v>44.77</v>
      </c>
      <c r="V946" s="10">
        <v>44.92</v>
      </c>
      <c r="W946" s="10">
        <v>45.05</v>
      </c>
      <c r="X946" s="10">
        <v>45.15</v>
      </c>
      <c r="Y946" s="10">
        <v>45.23</v>
      </c>
      <c r="Z946" s="11">
        <v>43.91</v>
      </c>
      <c r="AA946" s="11">
        <v>44.579000000000001</v>
      </c>
      <c r="AB946" s="11">
        <v>44.936</v>
      </c>
      <c r="AC946" s="11">
        <v>45.146000000000001</v>
      </c>
      <c r="AD946" s="11">
        <v>45.357999999999997</v>
      </c>
      <c r="AE946" s="11">
        <v>45.643999999999998</v>
      </c>
      <c r="AF946" s="11">
        <v>45.923000000000002</v>
      </c>
      <c r="AG946" s="11">
        <v>46.168999999999997</v>
      </c>
      <c r="AH946" s="11">
        <v>46.378</v>
      </c>
      <c r="AI946" s="11">
        <v>46.555999999999997</v>
      </c>
      <c r="AJ946" s="11">
        <v>46.686999999999998</v>
      </c>
      <c r="AK946" s="11">
        <v>46.835999999999999</v>
      </c>
      <c r="AL946" s="11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</row>
    <row r="947" spans="1:147" x14ac:dyDescent="0.3">
      <c r="A947" s="9">
        <f>DATE(2020, 8, 28)</f>
        <v>44071</v>
      </c>
      <c r="B947" s="10">
        <v>45.05</v>
      </c>
      <c r="C947" s="10">
        <v>45.81</v>
      </c>
      <c r="D947" s="10">
        <v>46.25</v>
      </c>
      <c r="E947" s="10">
        <v>46.64</v>
      </c>
      <c r="F947" s="10">
        <v>46.99</v>
      </c>
      <c r="G947" s="10">
        <v>47.32</v>
      </c>
      <c r="H947" s="10">
        <v>47.62</v>
      </c>
      <c r="I947" s="10">
        <v>47.88</v>
      </c>
      <c r="J947" s="10">
        <v>48.1</v>
      </c>
      <c r="K947" s="10">
        <v>48.28</v>
      </c>
      <c r="L947" s="10">
        <v>48.46</v>
      </c>
      <c r="M947" s="10">
        <v>48.63</v>
      </c>
      <c r="N947" s="10">
        <v>42.97</v>
      </c>
      <c r="O947" s="10">
        <v>43.29</v>
      </c>
      <c r="P947" s="10">
        <v>43.62</v>
      </c>
      <c r="Q947" s="10">
        <v>43.94</v>
      </c>
      <c r="R947" s="10">
        <v>44.24</v>
      </c>
      <c r="S947" s="10">
        <v>44.51</v>
      </c>
      <c r="T947" s="10">
        <v>44.74</v>
      </c>
      <c r="U947" s="10">
        <v>44.95</v>
      </c>
      <c r="V947" s="10">
        <v>45.12</v>
      </c>
      <c r="W947" s="10">
        <v>45.26</v>
      </c>
      <c r="X947" s="10">
        <v>45.38</v>
      </c>
      <c r="Y947" s="10">
        <v>45.48</v>
      </c>
      <c r="Z947" s="11">
        <v>43.917000000000002</v>
      </c>
      <c r="AA947" s="11">
        <v>44.86</v>
      </c>
      <c r="AB947" s="11">
        <v>45.218000000000004</v>
      </c>
      <c r="AC947" s="11">
        <v>45.436999999999998</v>
      </c>
      <c r="AD947" s="11">
        <v>45.65</v>
      </c>
      <c r="AE947" s="11">
        <v>45.935000000000002</v>
      </c>
      <c r="AF947" s="11">
        <v>46.232999999999997</v>
      </c>
      <c r="AG947" s="11">
        <v>46.49</v>
      </c>
      <c r="AH947" s="11">
        <v>46.728999999999999</v>
      </c>
      <c r="AI947" s="11">
        <v>46.917000000000002</v>
      </c>
      <c r="AJ947" s="11">
        <v>47.058</v>
      </c>
      <c r="AK947" s="11">
        <v>47.216000000000001</v>
      </c>
      <c r="AL947" s="11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</row>
    <row r="948" spans="1:147" x14ac:dyDescent="0.3">
      <c r="A948" s="9">
        <f>DATE(2020, 8, 31)</f>
        <v>44074</v>
      </c>
      <c r="B948" s="10">
        <v>45.28</v>
      </c>
      <c r="C948" s="10">
        <v>45.66</v>
      </c>
      <c r="D948" s="10">
        <v>46.03</v>
      </c>
      <c r="E948" s="10">
        <v>46.37</v>
      </c>
      <c r="F948" s="10">
        <v>46.69</v>
      </c>
      <c r="G948" s="10">
        <v>46.99</v>
      </c>
      <c r="H948" s="10">
        <v>47.25</v>
      </c>
      <c r="I948" s="10">
        <v>47.47</v>
      </c>
      <c r="J948" s="10">
        <v>47.65</v>
      </c>
      <c r="K948" s="10">
        <v>47.83</v>
      </c>
      <c r="L948" s="10">
        <v>47.99</v>
      </c>
      <c r="M948" s="10">
        <v>48.13</v>
      </c>
      <c r="N948" s="10">
        <v>42.61</v>
      </c>
      <c r="O948" s="10">
        <v>42.9</v>
      </c>
      <c r="P948" s="10">
        <v>43.21</v>
      </c>
      <c r="Q948" s="10">
        <v>43.53</v>
      </c>
      <c r="R948" s="10">
        <v>43.82</v>
      </c>
      <c r="S948" s="10">
        <v>44.06</v>
      </c>
      <c r="T948" s="10">
        <v>44.28</v>
      </c>
      <c r="U948" s="10">
        <v>44.47</v>
      </c>
      <c r="V948" s="10">
        <v>44.64</v>
      </c>
      <c r="W948" s="10">
        <v>44.78</v>
      </c>
      <c r="X948" s="10">
        <v>44.9</v>
      </c>
      <c r="Y948" s="10">
        <v>44.99</v>
      </c>
      <c r="Z948" s="11">
        <v>43.987000000000002</v>
      </c>
      <c r="AA948" s="11">
        <v>44.616999999999997</v>
      </c>
      <c r="AB948" s="11">
        <v>44.866999999999997</v>
      </c>
      <c r="AC948" s="11">
        <v>44.996000000000002</v>
      </c>
      <c r="AD948" s="11">
        <v>45.149000000000001</v>
      </c>
      <c r="AE948" s="11">
        <v>45.405000000000001</v>
      </c>
      <c r="AF948" s="11">
        <v>45.662999999999997</v>
      </c>
      <c r="AG948" s="11">
        <v>45.91</v>
      </c>
      <c r="AH948" s="11">
        <v>46.128999999999998</v>
      </c>
      <c r="AI948" s="11">
        <v>46.317</v>
      </c>
      <c r="AJ948" s="11">
        <v>46.457000000000001</v>
      </c>
      <c r="AK948" s="11">
        <v>46.595999999999997</v>
      </c>
      <c r="AL948" s="11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</row>
    <row r="949" spans="1:147" x14ac:dyDescent="0.3">
      <c r="A949" s="9">
        <f>DATE(2020, 9, 1)</f>
        <v>44075</v>
      </c>
      <c r="B949" s="10">
        <v>45.58</v>
      </c>
      <c r="C949" s="10">
        <v>46</v>
      </c>
      <c r="D949" s="10">
        <v>46.37</v>
      </c>
      <c r="E949" s="10">
        <v>46.7</v>
      </c>
      <c r="F949" s="10">
        <v>47.01</v>
      </c>
      <c r="G949" s="10">
        <v>47.32</v>
      </c>
      <c r="H949" s="10">
        <v>47.6</v>
      </c>
      <c r="I949" s="10">
        <v>47.82</v>
      </c>
      <c r="J949" s="10">
        <v>48.01</v>
      </c>
      <c r="K949" s="10">
        <v>48.2</v>
      </c>
      <c r="L949" s="10">
        <v>48.37</v>
      </c>
      <c r="M949" s="10">
        <v>48.52</v>
      </c>
      <c r="N949" s="10">
        <v>42.76</v>
      </c>
      <c r="O949" s="10">
        <v>43.08</v>
      </c>
      <c r="P949" s="10">
        <v>43.41</v>
      </c>
      <c r="Q949" s="10">
        <v>43.75</v>
      </c>
      <c r="R949" s="10">
        <v>44.05</v>
      </c>
      <c r="S949" s="10">
        <v>44.33</v>
      </c>
      <c r="T949" s="10">
        <v>44.57</v>
      </c>
      <c r="U949" s="10">
        <v>44.78</v>
      </c>
      <c r="V949" s="10">
        <v>44.95</v>
      </c>
      <c r="W949" s="10">
        <v>45.11</v>
      </c>
      <c r="X949" s="10">
        <v>45.23</v>
      </c>
      <c r="Y949" s="10">
        <v>45.33</v>
      </c>
      <c r="Z949" s="11">
        <v>43.987000000000002</v>
      </c>
      <c r="AA949" s="11">
        <v>44.896000000000001</v>
      </c>
      <c r="AB949" s="11">
        <v>45.106999999999999</v>
      </c>
      <c r="AC949" s="11">
        <v>45.225999999999999</v>
      </c>
      <c r="AD949" s="11">
        <v>45.387999999999998</v>
      </c>
      <c r="AE949" s="11">
        <v>45.646000000000001</v>
      </c>
      <c r="AF949" s="11">
        <v>45.933999999999997</v>
      </c>
      <c r="AG949" s="11">
        <v>46.19</v>
      </c>
      <c r="AH949" s="11">
        <v>46.418999999999997</v>
      </c>
      <c r="AI949" s="11">
        <v>46.618000000000002</v>
      </c>
      <c r="AJ949" s="11">
        <v>46.787999999999997</v>
      </c>
      <c r="AK949" s="11">
        <v>46.936999999999998</v>
      </c>
      <c r="AL949" s="11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</row>
    <row r="950" spans="1:147" x14ac:dyDescent="0.3">
      <c r="A950" s="9">
        <f>DATE(2020, 9, 2)</f>
        <v>44076</v>
      </c>
      <c r="B950" s="10">
        <v>44.43</v>
      </c>
      <c r="C950" s="10">
        <v>44.87</v>
      </c>
      <c r="D950" s="10">
        <v>45.27</v>
      </c>
      <c r="E950" s="10">
        <v>45.66</v>
      </c>
      <c r="F950" s="10">
        <v>46.04</v>
      </c>
      <c r="G950" s="10">
        <v>46.4</v>
      </c>
      <c r="H950" s="10">
        <v>46.72</v>
      </c>
      <c r="I950" s="10">
        <v>47</v>
      </c>
      <c r="J950" s="10">
        <v>47.21</v>
      </c>
      <c r="K950" s="10">
        <v>47.42</v>
      </c>
      <c r="L950" s="10">
        <v>47.61</v>
      </c>
      <c r="M950" s="10">
        <v>47.78</v>
      </c>
      <c r="N950" s="10">
        <v>41.51</v>
      </c>
      <c r="O950" s="10">
        <v>41.85</v>
      </c>
      <c r="P950" s="10">
        <v>42.22</v>
      </c>
      <c r="Q950" s="10">
        <v>42.6</v>
      </c>
      <c r="R950" s="10">
        <v>42.95</v>
      </c>
      <c r="S950" s="10">
        <v>43.27</v>
      </c>
      <c r="T950" s="10">
        <v>43.57</v>
      </c>
      <c r="U950" s="10">
        <v>43.82</v>
      </c>
      <c r="V950" s="10">
        <v>44.04</v>
      </c>
      <c r="W950" s="10">
        <v>44.23</v>
      </c>
      <c r="X950" s="10">
        <v>44.38</v>
      </c>
      <c r="Y950" s="10">
        <v>44.51</v>
      </c>
      <c r="Z950" s="11">
        <v>43.787999999999997</v>
      </c>
      <c r="AA950" s="11">
        <v>43.957999999999998</v>
      </c>
      <c r="AB950" s="11">
        <v>44.139000000000003</v>
      </c>
      <c r="AC950" s="11">
        <v>44.365000000000002</v>
      </c>
      <c r="AD950" s="11">
        <v>44.648000000000003</v>
      </c>
      <c r="AE950" s="11">
        <v>44.975999999999999</v>
      </c>
      <c r="AF950" s="11">
        <v>45.311999999999998</v>
      </c>
      <c r="AG950" s="11">
        <v>45.59</v>
      </c>
      <c r="AH950" s="11">
        <v>45.81</v>
      </c>
      <c r="AI950" s="11">
        <v>46.009</v>
      </c>
      <c r="AJ950" s="11">
        <v>46.188000000000002</v>
      </c>
      <c r="AK950" s="11">
        <v>46.344999999999999</v>
      </c>
      <c r="AL950" s="11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</row>
    <row r="951" spans="1:147" x14ac:dyDescent="0.3">
      <c r="A951" s="9">
        <f>DATE(2020, 9, 3)</f>
        <v>44077</v>
      </c>
      <c r="B951" s="10">
        <v>44.07</v>
      </c>
      <c r="C951" s="10">
        <v>44.59</v>
      </c>
      <c r="D951" s="10">
        <v>45.05</v>
      </c>
      <c r="E951" s="10">
        <v>45.48</v>
      </c>
      <c r="F951" s="10">
        <v>45.9</v>
      </c>
      <c r="G951" s="10">
        <v>46.29</v>
      </c>
      <c r="H951" s="10">
        <v>46.64</v>
      </c>
      <c r="I951" s="10">
        <v>46.93</v>
      </c>
      <c r="J951" s="10">
        <v>47.17</v>
      </c>
      <c r="K951" s="10">
        <v>47.39</v>
      </c>
      <c r="L951" s="10">
        <v>47.59</v>
      </c>
      <c r="M951" s="10">
        <v>47.78</v>
      </c>
      <c r="N951" s="10">
        <v>41.37</v>
      </c>
      <c r="O951" s="10">
        <v>41.72</v>
      </c>
      <c r="P951" s="10">
        <v>42.11</v>
      </c>
      <c r="Q951" s="10">
        <v>42.5</v>
      </c>
      <c r="R951" s="10">
        <v>42.87</v>
      </c>
      <c r="S951" s="10">
        <v>43.2</v>
      </c>
      <c r="T951" s="10">
        <v>43.51</v>
      </c>
      <c r="U951" s="10">
        <v>43.79</v>
      </c>
      <c r="V951" s="10">
        <v>44.03</v>
      </c>
      <c r="W951" s="10">
        <v>44.24</v>
      </c>
      <c r="X951" s="10">
        <v>44.41</v>
      </c>
      <c r="Y951" s="10">
        <v>44.56</v>
      </c>
      <c r="Z951" s="11">
        <v>43.390999999999998</v>
      </c>
      <c r="AA951" s="11">
        <v>43.701000000000001</v>
      </c>
      <c r="AB951" s="11">
        <v>43.93</v>
      </c>
      <c r="AC951" s="11">
        <v>44.198</v>
      </c>
      <c r="AD951" s="11">
        <v>44.52</v>
      </c>
      <c r="AE951" s="11">
        <v>44.878</v>
      </c>
      <c r="AF951" s="11">
        <v>45.222999999999999</v>
      </c>
      <c r="AG951" s="11">
        <v>45.491</v>
      </c>
      <c r="AH951" s="11">
        <v>45.731000000000002</v>
      </c>
      <c r="AI951" s="11">
        <v>45.939</v>
      </c>
      <c r="AJ951" s="11">
        <v>46.119</v>
      </c>
      <c r="AK951" s="11">
        <v>46.286000000000001</v>
      </c>
      <c r="AL951" s="11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</row>
    <row r="952" spans="1:147" x14ac:dyDescent="0.3">
      <c r="A952" s="9">
        <f>DATE(2020, 9, 4)</f>
        <v>44078</v>
      </c>
      <c r="B952" s="10">
        <v>42.66</v>
      </c>
      <c r="C952" s="10">
        <v>43.18</v>
      </c>
      <c r="D952" s="10">
        <v>43.65</v>
      </c>
      <c r="E952" s="10">
        <v>44.11</v>
      </c>
      <c r="F952" s="10">
        <v>44.55</v>
      </c>
      <c r="G952" s="10">
        <v>44.98</v>
      </c>
      <c r="H952" s="10">
        <v>45.37</v>
      </c>
      <c r="I952" s="10">
        <v>45.7</v>
      </c>
      <c r="J952" s="10">
        <v>45.97</v>
      </c>
      <c r="K952" s="10">
        <v>46.24</v>
      </c>
      <c r="L952" s="10">
        <v>46.48</v>
      </c>
      <c r="M952" s="10">
        <v>46.7</v>
      </c>
      <c r="N952" s="10">
        <v>39.770000000000003</v>
      </c>
      <c r="O952" s="10">
        <v>40.15</v>
      </c>
      <c r="P952" s="10">
        <v>40.590000000000003</v>
      </c>
      <c r="Q952" s="10">
        <v>41.02</v>
      </c>
      <c r="R952" s="10">
        <v>41.44</v>
      </c>
      <c r="S952" s="10">
        <v>41.83</v>
      </c>
      <c r="T952" s="10">
        <v>42.2</v>
      </c>
      <c r="U952" s="10">
        <v>42.53</v>
      </c>
      <c r="V952" s="10">
        <v>42.84</v>
      </c>
      <c r="W952" s="10">
        <v>43.09</v>
      </c>
      <c r="X952" s="10">
        <v>43.3</v>
      </c>
      <c r="Y952" s="10">
        <v>43.49</v>
      </c>
      <c r="Z952" s="11">
        <v>42.494</v>
      </c>
      <c r="AA952" s="11">
        <v>42.381</v>
      </c>
      <c r="AB952" s="11">
        <v>42.582000000000001</v>
      </c>
      <c r="AC952" s="11">
        <v>42.87</v>
      </c>
      <c r="AD952" s="11">
        <v>43.182000000000002</v>
      </c>
      <c r="AE952" s="11">
        <v>43.58</v>
      </c>
      <c r="AF952" s="11">
        <v>43.954000000000001</v>
      </c>
      <c r="AG952" s="11">
        <v>44.262999999999998</v>
      </c>
      <c r="AH952" s="11">
        <v>44.536000000000001</v>
      </c>
      <c r="AI952" s="11">
        <v>44.790999999999997</v>
      </c>
      <c r="AJ952" s="11">
        <v>45.03</v>
      </c>
      <c r="AK952" s="11">
        <v>45.238</v>
      </c>
      <c r="AL952" s="11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</row>
    <row r="953" spans="1:147" x14ac:dyDescent="0.3">
      <c r="A953" s="9">
        <f>DATE(2020, 9, 7)</f>
        <v>44081</v>
      </c>
      <c r="B953" s="10">
        <v>42.01</v>
      </c>
      <c r="C953" s="10">
        <v>42.54</v>
      </c>
      <c r="D953" s="10">
        <v>43.03</v>
      </c>
      <c r="E953" s="10">
        <v>43.49</v>
      </c>
      <c r="F953" s="10">
        <v>43.93</v>
      </c>
      <c r="G953" s="10">
        <v>44.36</v>
      </c>
      <c r="H953" s="10">
        <v>44.76</v>
      </c>
      <c r="I953" s="10">
        <v>45.12</v>
      </c>
      <c r="J953" s="10">
        <v>45.4</v>
      </c>
      <c r="K953" s="10">
        <v>45.67</v>
      </c>
      <c r="L953" s="10">
        <v>45.93</v>
      </c>
      <c r="M953" s="10">
        <v>46.17</v>
      </c>
      <c r="N953" s="10">
        <v>39.770000000000003</v>
      </c>
      <c r="O953" s="10">
        <v>40.15</v>
      </c>
      <c r="P953" s="10">
        <v>40.590000000000003</v>
      </c>
      <c r="Q953" s="10">
        <v>41.02</v>
      </c>
      <c r="R953" s="10">
        <v>41.44</v>
      </c>
      <c r="S953" s="10">
        <v>41.83</v>
      </c>
      <c r="T953" s="10">
        <v>42.2</v>
      </c>
      <c r="U953" s="10">
        <v>42.53</v>
      </c>
      <c r="V953" s="10">
        <v>42.84</v>
      </c>
      <c r="W953" s="10">
        <v>43.09</v>
      </c>
      <c r="X953" s="10">
        <v>43.3</v>
      </c>
      <c r="Y953" s="10">
        <v>43.49</v>
      </c>
      <c r="Z953" s="11">
        <v>41.911000000000001</v>
      </c>
      <c r="AA953" s="11">
        <v>41.661999999999999</v>
      </c>
      <c r="AB953" s="11">
        <v>41.921999999999997</v>
      </c>
      <c r="AC953" s="11">
        <v>42.21</v>
      </c>
      <c r="AD953" s="11">
        <v>42.572000000000003</v>
      </c>
      <c r="AE953" s="11">
        <v>43</v>
      </c>
      <c r="AF953" s="11">
        <v>43.375999999999998</v>
      </c>
      <c r="AG953" s="11">
        <v>43.703000000000003</v>
      </c>
      <c r="AH953" s="11">
        <v>43.996000000000002</v>
      </c>
      <c r="AI953" s="11">
        <v>44.231999999999999</v>
      </c>
      <c r="AJ953" s="11">
        <v>44.470999999999997</v>
      </c>
      <c r="AK953" s="11">
        <v>44.698999999999998</v>
      </c>
      <c r="AL953" s="11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</row>
    <row r="954" spans="1:147" x14ac:dyDescent="0.3">
      <c r="A954" s="9">
        <f>DATE(2020, 9, 8)</f>
        <v>44082</v>
      </c>
      <c r="B954" s="10">
        <v>39.78</v>
      </c>
      <c r="C954" s="10">
        <v>40.36</v>
      </c>
      <c r="D954" s="10">
        <v>40.89</v>
      </c>
      <c r="E954" s="10">
        <v>41.38</v>
      </c>
      <c r="F954" s="10">
        <v>41.83</v>
      </c>
      <c r="G954" s="10">
        <v>42.27</v>
      </c>
      <c r="H954" s="10">
        <v>42.69</v>
      </c>
      <c r="I954" s="10">
        <v>43.07</v>
      </c>
      <c r="J954" s="10">
        <v>43.37</v>
      </c>
      <c r="K954" s="10">
        <v>43.67</v>
      </c>
      <c r="L954" s="10">
        <v>43.96</v>
      </c>
      <c r="M954" s="10">
        <v>44.22</v>
      </c>
      <c r="N954" s="10">
        <v>36.76</v>
      </c>
      <c r="O954" s="10">
        <v>37.19</v>
      </c>
      <c r="P954" s="10">
        <v>37.71</v>
      </c>
      <c r="Q954" s="10">
        <v>38.21</v>
      </c>
      <c r="R954" s="10">
        <v>38.68</v>
      </c>
      <c r="S954" s="10">
        <v>39.11</v>
      </c>
      <c r="T954" s="10">
        <v>39.51</v>
      </c>
      <c r="U954" s="10">
        <v>39.880000000000003</v>
      </c>
      <c r="V954" s="10">
        <v>40.22</v>
      </c>
      <c r="W954" s="10">
        <v>40.520000000000003</v>
      </c>
      <c r="X954" s="10">
        <v>40.79</v>
      </c>
      <c r="Y954" s="10">
        <v>41.03</v>
      </c>
      <c r="Z954" s="11">
        <v>40.177999999999997</v>
      </c>
      <c r="AA954" s="11">
        <v>39.323999999999998</v>
      </c>
      <c r="AB954" s="11">
        <v>39.703000000000003</v>
      </c>
      <c r="AC954" s="11">
        <v>40.081000000000003</v>
      </c>
      <c r="AD954" s="11">
        <v>40.462000000000003</v>
      </c>
      <c r="AE954" s="11">
        <v>40.911000000000001</v>
      </c>
      <c r="AF954" s="11">
        <v>41.317</v>
      </c>
      <c r="AG954" s="11">
        <v>41.654000000000003</v>
      </c>
      <c r="AH954" s="11">
        <v>41.969000000000001</v>
      </c>
      <c r="AI954" s="11">
        <v>42.232999999999997</v>
      </c>
      <c r="AJ954" s="11">
        <v>42.502000000000002</v>
      </c>
      <c r="AK954" s="11">
        <v>42.75</v>
      </c>
      <c r="AL954" s="11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</row>
    <row r="955" spans="1:147" x14ac:dyDescent="0.3">
      <c r="A955" s="9">
        <f>DATE(2020, 9, 9)</f>
        <v>44083</v>
      </c>
      <c r="B955" s="10">
        <v>40.79</v>
      </c>
      <c r="C955" s="10">
        <v>41.34</v>
      </c>
      <c r="D955" s="10">
        <v>41.85</v>
      </c>
      <c r="E955" s="10">
        <v>42.32</v>
      </c>
      <c r="F955" s="10">
        <v>42.75</v>
      </c>
      <c r="G955" s="10">
        <v>43.18</v>
      </c>
      <c r="H955" s="10">
        <v>43.58</v>
      </c>
      <c r="I955" s="10">
        <v>43.95</v>
      </c>
      <c r="J955" s="10">
        <v>44.24</v>
      </c>
      <c r="K955" s="10">
        <v>44.53</v>
      </c>
      <c r="L955" s="10">
        <v>44.8</v>
      </c>
      <c r="M955" s="10">
        <v>45.06</v>
      </c>
      <c r="N955" s="10">
        <v>38.049999999999997</v>
      </c>
      <c r="O955" s="10">
        <v>38.409999999999997</v>
      </c>
      <c r="P955" s="10">
        <v>38.869999999999997</v>
      </c>
      <c r="Q955" s="10">
        <v>39.340000000000003</v>
      </c>
      <c r="R955" s="10">
        <v>39.78</v>
      </c>
      <c r="S955" s="10">
        <v>40.18</v>
      </c>
      <c r="T955" s="10">
        <v>40.549999999999997</v>
      </c>
      <c r="U955" s="10">
        <v>40.880000000000003</v>
      </c>
      <c r="V955" s="10">
        <v>41.19</v>
      </c>
      <c r="W955" s="10">
        <v>41.46</v>
      </c>
      <c r="X955" s="10">
        <v>41.71</v>
      </c>
      <c r="Y955" s="10">
        <v>41.93</v>
      </c>
      <c r="Z955" s="11">
        <v>40.845999999999997</v>
      </c>
      <c r="AA955" s="11">
        <v>40.273000000000003</v>
      </c>
      <c r="AB955" s="11">
        <v>40.622</v>
      </c>
      <c r="AC955" s="11">
        <v>41.009</v>
      </c>
      <c r="AD955" s="11">
        <v>41.362000000000002</v>
      </c>
      <c r="AE955" s="11">
        <v>41.79</v>
      </c>
      <c r="AF955" s="11">
        <v>42.195999999999998</v>
      </c>
      <c r="AG955" s="11">
        <v>42.543999999999997</v>
      </c>
      <c r="AH955" s="11">
        <v>42.838000000000001</v>
      </c>
      <c r="AI955" s="11">
        <v>43.101999999999997</v>
      </c>
      <c r="AJ955" s="11">
        <v>43.332000000000001</v>
      </c>
      <c r="AK955" s="11">
        <v>43.58</v>
      </c>
      <c r="AL955" s="11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</row>
    <row r="956" spans="1:147" x14ac:dyDescent="0.3">
      <c r="A956" s="9">
        <f>DATE(2020, 9, 10)</f>
        <v>44084</v>
      </c>
      <c r="B956" s="10">
        <v>40.06</v>
      </c>
      <c r="C956" s="10">
        <v>40.630000000000003</v>
      </c>
      <c r="D956" s="10">
        <v>41.15</v>
      </c>
      <c r="E956" s="10">
        <v>41.65</v>
      </c>
      <c r="F956" s="10">
        <v>42.1</v>
      </c>
      <c r="G956" s="10">
        <v>42.53</v>
      </c>
      <c r="H956" s="10">
        <v>42.94</v>
      </c>
      <c r="I956" s="10">
        <v>43.33</v>
      </c>
      <c r="J956" s="10">
        <v>43.64</v>
      </c>
      <c r="K956" s="10">
        <v>43.94</v>
      </c>
      <c r="L956" s="10">
        <v>44.23</v>
      </c>
      <c r="M956" s="10">
        <v>44.49</v>
      </c>
      <c r="N956" s="10">
        <v>37.299999999999997</v>
      </c>
      <c r="O956" s="10">
        <v>37.659999999999997</v>
      </c>
      <c r="P956" s="10">
        <v>38.11</v>
      </c>
      <c r="Q956" s="10">
        <v>38.6</v>
      </c>
      <c r="R956" s="10">
        <v>39.08</v>
      </c>
      <c r="S956" s="10">
        <v>39.520000000000003</v>
      </c>
      <c r="T956" s="10">
        <v>39.93</v>
      </c>
      <c r="U956" s="10">
        <v>40.299999999999997</v>
      </c>
      <c r="V956" s="10">
        <v>40.64</v>
      </c>
      <c r="W956" s="10">
        <v>40.94</v>
      </c>
      <c r="X956" s="10">
        <v>41.21</v>
      </c>
      <c r="Y956" s="10">
        <v>41.45</v>
      </c>
      <c r="Z956" s="11">
        <v>40.389000000000003</v>
      </c>
      <c r="AA956" s="11">
        <v>39.573999999999998</v>
      </c>
      <c r="AB956" s="11">
        <v>39.933999999999997</v>
      </c>
      <c r="AC956" s="11">
        <v>40.320999999999998</v>
      </c>
      <c r="AD956" s="11">
        <v>40.701999999999998</v>
      </c>
      <c r="AE956" s="11">
        <v>41.151000000000003</v>
      </c>
      <c r="AF956" s="11">
        <v>41.567</v>
      </c>
      <c r="AG956" s="11">
        <v>41.924999999999997</v>
      </c>
      <c r="AH956" s="11">
        <v>42.228999999999999</v>
      </c>
      <c r="AI956" s="11">
        <v>42.503</v>
      </c>
      <c r="AJ956" s="11">
        <v>42.762</v>
      </c>
      <c r="AK956" s="11">
        <v>43</v>
      </c>
      <c r="AL956" s="11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</row>
    <row r="957" spans="1:147" x14ac:dyDescent="0.3">
      <c r="A957" s="9">
        <f>DATE(2020, 9, 11)</f>
        <v>44085</v>
      </c>
      <c r="B957" s="10">
        <v>39.83</v>
      </c>
      <c r="C957" s="10">
        <v>40.43</v>
      </c>
      <c r="D957" s="10">
        <v>40.96</v>
      </c>
      <c r="E957" s="10">
        <v>41.47</v>
      </c>
      <c r="F957" s="10">
        <v>41.93</v>
      </c>
      <c r="G957" s="10">
        <v>42.38</v>
      </c>
      <c r="H957" s="10">
        <v>42.79</v>
      </c>
      <c r="I957" s="10">
        <v>43.18</v>
      </c>
      <c r="J957" s="10">
        <v>43.49</v>
      </c>
      <c r="K957" s="10">
        <v>43.79</v>
      </c>
      <c r="L957" s="10">
        <v>44.07</v>
      </c>
      <c r="M957" s="10">
        <v>44.33</v>
      </c>
      <c r="N957" s="10">
        <v>37.33</v>
      </c>
      <c r="O957" s="10">
        <v>37.65</v>
      </c>
      <c r="P957" s="10">
        <v>38.08</v>
      </c>
      <c r="Q957" s="10">
        <v>38.56</v>
      </c>
      <c r="R957" s="10">
        <v>39.020000000000003</v>
      </c>
      <c r="S957" s="10">
        <v>39.450000000000003</v>
      </c>
      <c r="T957" s="10">
        <v>39.85</v>
      </c>
      <c r="U957" s="10">
        <v>40.21</v>
      </c>
      <c r="V957" s="10">
        <v>40.54</v>
      </c>
      <c r="W957" s="10">
        <v>40.83</v>
      </c>
      <c r="X957" s="10">
        <v>41.09</v>
      </c>
      <c r="Y957" s="10">
        <v>41.33</v>
      </c>
      <c r="Z957" s="11">
        <v>40.265000000000001</v>
      </c>
      <c r="AA957" s="11">
        <v>39.363999999999997</v>
      </c>
      <c r="AB957" s="11">
        <v>39.744</v>
      </c>
      <c r="AC957" s="11">
        <v>40.161999999999999</v>
      </c>
      <c r="AD957" s="11">
        <v>40.563000000000002</v>
      </c>
      <c r="AE957" s="11">
        <v>41.021000000000001</v>
      </c>
      <c r="AF957" s="11">
        <v>41.417000000000002</v>
      </c>
      <c r="AG957" s="11">
        <v>41.784999999999997</v>
      </c>
      <c r="AH957" s="11">
        <v>42.088999999999999</v>
      </c>
      <c r="AI957" s="11">
        <v>42.343000000000004</v>
      </c>
      <c r="AJ957" s="11">
        <v>42.601999999999997</v>
      </c>
      <c r="AK957" s="11">
        <v>42.83</v>
      </c>
      <c r="AL957" s="11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</row>
    <row r="958" spans="1:147" x14ac:dyDescent="0.3">
      <c r="A958" s="9">
        <f>DATE(2020, 9, 14)</f>
        <v>44088</v>
      </c>
      <c r="B958" s="10">
        <v>39.61</v>
      </c>
      <c r="C958" s="10">
        <v>40.28</v>
      </c>
      <c r="D958" s="10">
        <v>40.86</v>
      </c>
      <c r="E958" s="10">
        <v>41.41</v>
      </c>
      <c r="F958" s="10">
        <v>41.91</v>
      </c>
      <c r="G958" s="10">
        <v>42.38</v>
      </c>
      <c r="H958" s="10">
        <v>42.82</v>
      </c>
      <c r="I958" s="10">
        <v>43.23</v>
      </c>
      <c r="J958" s="10">
        <v>43.56</v>
      </c>
      <c r="K958" s="10">
        <v>43.87</v>
      </c>
      <c r="L958" s="10">
        <v>44.16</v>
      </c>
      <c r="M958" s="10">
        <v>44.42</v>
      </c>
      <c r="N958" s="10">
        <v>37.26</v>
      </c>
      <c r="O958" s="10">
        <v>37.56</v>
      </c>
      <c r="P958" s="10">
        <v>37.99</v>
      </c>
      <c r="Q958" s="10">
        <v>38.47</v>
      </c>
      <c r="R958" s="10">
        <v>38.93</v>
      </c>
      <c r="S958" s="10">
        <v>39.369999999999997</v>
      </c>
      <c r="T958" s="10">
        <v>39.78</v>
      </c>
      <c r="U958" s="10">
        <v>40.15</v>
      </c>
      <c r="V958" s="10">
        <v>40.5</v>
      </c>
      <c r="W958" s="10">
        <v>40.799999999999997</v>
      </c>
      <c r="X958" s="10">
        <v>41.07</v>
      </c>
      <c r="Y958" s="10">
        <v>41.31</v>
      </c>
      <c r="Z958" s="11">
        <v>40.197000000000003</v>
      </c>
      <c r="AA958" s="11">
        <v>39.256</v>
      </c>
      <c r="AB958" s="11">
        <v>39.725999999999999</v>
      </c>
      <c r="AC958" s="11">
        <v>40.204999999999998</v>
      </c>
      <c r="AD958" s="11">
        <v>40.643999999999998</v>
      </c>
      <c r="AE958" s="11">
        <v>41.101999999999997</v>
      </c>
      <c r="AF958" s="11">
        <v>41.518000000000001</v>
      </c>
      <c r="AG958" s="11">
        <v>41.886000000000003</v>
      </c>
      <c r="AH958" s="11">
        <v>42.22</v>
      </c>
      <c r="AI958" s="11">
        <v>42.482999999999997</v>
      </c>
      <c r="AJ958" s="11">
        <v>42.752000000000002</v>
      </c>
      <c r="AK958" s="11">
        <v>42.99</v>
      </c>
      <c r="AL958" s="11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</row>
    <row r="959" spans="1:147" x14ac:dyDescent="0.3">
      <c r="A959" s="9">
        <f>DATE(2020, 9, 15)</f>
        <v>44089</v>
      </c>
      <c r="B959" s="10">
        <v>40.53</v>
      </c>
      <c r="C959" s="10">
        <v>41.15</v>
      </c>
      <c r="D959" s="10">
        <v>41.69</v>
      </c>
      <c r="E959" s="10">
        <v>42.18</v>
      </c>
      <c r="F959" s="10">
        <v>42.64</v>
      </c>
      <c r="G959" s="10">
        <v>43.08</v>
      </c>
      <c r="H959" s="10">
        <v>43.51</v>
      </c>
      <c r="I959" s="10">
        <v>43.9</v>
      </c>
      <c r="J959" s="10">
        <v>44.22</v>
      </c>
      <c r="K959" s="10">
        <v>44.53</v>
      </c>
      <c r="L959" s="10">
        <v>44.82</v>
      </c>
      <c r="M959" s="10">
        <v>45.08</v>
      </c>
      <c r="N959" s="10">
        <v>38.28</v>
      </c>
      <c r="O959" s="10">
        <v>38.549999999999997</v>
      </c>
      <c r="P959" s="10">
        <v>38.93</v>
      </c>
      <c r="Q959" s="10">
        <v>39.380000000000003</v>
      </c>
      <c r="R959" s="10">
        <v>39.83</v>
      </c>
      <c r="S959" s="10">
        <v>40.25</v>
      </c>
      <c r="T959" s="10">
        <v>40.64</v>
      </c>
      <c r="U959" s="10">
        <v>41.01</v>
      </c>
      <c r="V959" s="10">
        <v>41.34</v>
      </c>
      <c r="W959" s="10">
        <v>41.63</v>
      </c>
      <c r="X959" s="10">
        <v>41.89</v>
      </c>
      <c r="Y959" s="10">
        <v>42.12</v>
      </c>
      <c r="Z959" s="11">
        <v>40.777999999999999</v>
      </c>
      <c r="AA959" s="11">
        <v>40.395000000000003</v>
      </c>
      <c r="AB959" s="11">
        <v>40.743000000000002</v>
      </c>
      <c r="AC959" s="11">
        <v>41.131999999999998</v>
      </c>
      <c r="AD959" s="11">
        <v>41.531999999999996</v>
      </c>
      <c r="AE959" s="11">
        <v>41.942</v>
      </c>
      <c r="AF959" s="11">
        <v>42.326999999999998</v>
      </c>
      <c r="AG959" s="11">
        <v>42.634999999999998</v>
      </c>
      <c r="AH959" s="11">
        <v>42.94</v>
      </c>
      <c r="AI959" s="11">
        <v>43.213000000000001</v>
      </c>
      <c r="AJ959" s="11">
        <v>43.491999999999997</v>
      </c>
      <c r="AK959" s="11">
        <v>43.75</v>
      </c>
      <c r="AL959" s="11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</row>
    <row r="960" spans="1:147" x14ac:dyDescent="0.3">
      <c r="A960" s="9">
        <f>DATE(2020, 9, 16)</f>
        <v>44090</v>
      </c>
      <c r="B960" s="10">
        <v>42.22</v>
      </c>
      <c r="C960" s="10">
        <v>42.79</v>
      </c>
      <c r="D960" s="10">
        <v>43.27</v>
      </c>
      <c r="E960" s="10">
        <v>43.69</v>
      </c>
      <c r="F960" s="10">
        <v>44.09</v>
      </c>
      <c r="G960" s="10">
        <v>44.46</v>
      </c>
      <c r="H960" s="10">
        <v>44.84</v>
      </c>
      <c r="I960" s="10">
        <v>45.19</v>
      </c>
      <c r="J960" s="10">
        <v>45.47</v>
      </c>
      <c r="K960" s="10">
        <v>45.73</v>
      </c>
      <c r="L960" s="10">
        <v>45.98</v>
      </c>
      <c r="M960" s="10">
        <v>46.19</v>
      </c>
      <c r="N960" s="10">
        <v>40.159999999999997</v>
      </c>
      <c r="O960" s="10">
        <v>40.409999999999997</v>
      </c>
      <c r="P960" s="10">
        <v>40.72</v>
      </c>
      <c r="Q960" s="10">
        <v>41.1</v>
      </c>
      <c r="R960" s="10">
        <v>41.47</v>
      </c>
      <c r="S960" s="10">
        <v>41.83</v>
      </c>
      <c r="T960" s="10">
        <v>42.15</v>
      </c>
      <c r="U960" s="10">
        <v>42.44</v>
      </c>
      <c r="V960" s="10">
        <v>42.7</v>
      </c>
      <c r="W960" s="10">
        <v>42.92</v>
      </c>
      <c r="X960" s="10">
        <v>43.11</v>
      </c>
      <c r="Y960" s="10">
        <v>43.28</v>
      </c>
      <c r="Z960" s="11">
        <v>41.594999999999999</v>
      </c>
      <c r="AA960" s="11">
        <v>42.082000000000001</v>
      </c>
      <c r="AB960" s="11">
        <v>42.37</v>
      </c>
      <c r="AC960" s="11">
        <v>42.676000000000002</v>
      </c>
      <c r="AD960" s="11">
        <v>42.988999999999997</v>
      </c>
      <c r="AE960" s="11">
        <v>43.338999999999999</v>
      </c>
      <c r="AF960" s="11">
        <v>43.655000000000001</v>
      </c>
      <c r="AG960" s="11">
        <v>43.963000000000001</v>
      </c>
      <c r="AH960" s="11">
        <v>44.244999999999997</v>
      </c>
      <c r="AI960" s="11">
        <v>44.470999999999997</v>
      </c>
      <c r="AJ960" s="11">
        <v>44.69</v>
      </c>
      <c r="AK960" s="11">
        <v>44.878</v>
      </c>
      <c r="AL960" s="11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</row>
    <row r="961" spans="1:147" x14ac:dyDescent="0.3">
      <c r="A961" s="9">
        <f>DATE(2020, 9, 17)</f>
        <v>44091</v>
      </c>
      <c r="B961" s="10">
        <v>43.3</v>
      </c>
      <c r="C961" s="10">
        <v>43.82</v>
      </c>
      <c r="D961" s="10">
        <v>44.23</v>
      </c>
      <c r="E961" s="10">
        <v>44.58</v>
      </c>
      <c r="F961" s="10">
        <v>44.92</v>
      </c>
      <c r="G961" s="10">
        <v>45.24</v>
      </c>
      <c r="H961" s="10">
        <v>45.56</v>
      </c>
      <c r="I961" s="10">
        <v>45.87</v>
      </c>
      <c r="J961" s="10">
        <v>46.11</v>
      </c>
      <c r="K961" s="10">
        <v>46.34</v>
      </c>
      <c r="L961" s="10">
        <v>46.55</v>
      </c>
      <c r="M961" s="10">
        <v>46.73</v>
      </c>
      <c r="N961" s="10">
        <v>40.97</v>
      </c>
      <c r="O961" s="10">
        <v>41.22</v>
      </c>
      <c r="P961" s="10">
        <v>41.53</v>
      </c>
      <c r="Q961" s="10">
        <v>41.87</v>
      </c>
      <c r="R961" s="10">
        <v>42.22</v>
      </c>
      <c r="S961" s="10">
        <v>42.53</v>
      </c>
      <c r="T961" s="10">
        <v>42.82</v>
      </c>
      <c r="U961" s="10">
        <v>43.07</v>
      </c>
      <c r="V961" s="10">
        <v>43.28</v>
      </c>
      <c r="W961" s="10">
        <v>43.47</v>
      </c>
      <c r="X961" s="10">
        <v>43.63</v>
      </c>
      <c r="Y961" s="10">
        <v>43.76</v>
      </c>
      <c r="Z961" s="11">
        <v>42.011000000000003</v>
      </c>
      <c r="AA961" s="11">
        <v>43.109000000000002</v>
      </c>
      <c r="AB961" s="11">
        <v>43.277000000000001</v>
      </c>
      <c r="AC961" s="11">
        <v>43.481000000000002</v>
      </c>
      <c r="AD961" s="11">
        <v>43.746000000000002</v>
      </c>
      <c r="AE961" s="11">
        <v>44.055999999999997</v>
      </c>
      <c r="AF961" s="11">
        <v>44.372999999999998</v>
      </c>
      <c r="AG961" s="11">
        <v>44.621000000000002</v>
      </c>
      <c r="AH961" s="11">
        <v>44.841999999999999</v>
      </c>
      <c r="AI961" s="11">
        <v>45.03</v>
      </c>
      <c r="AJ961" s="11">
        <v>45.218000000000004</v>
      </c>
      <c r="AK961" s="11">
        <v>45.375999999999998</v>
      </c>
      <c r="AL961" s="11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</row>
    <row r="962" spans="1:147" x14ac:dyDescent="0.3">
      <c r="A962" s="9">
        <f>DATE(2020, 9, 18)</f>
        <v>44092</v>
      </c>
      <c r="B962" s="10">
        <v>43.15</v>
      </c>
      <c r="C962" s="10">
        <v>43.68</v>
      </c>
      <c r="D962" s="10">
        <v>44.1</v>
      </c>
      <c r="E962" s="10">
        <v>44.46</v>
      </c>
      <c r="F962" s="10">
        <v>44.8</v>
      </c>
      <c r="G962" s="10">
        <v>45.12</v>
      </c>
      <c r="H962" s="10">
        <v>45.43</v>
      </c>
      <c r="I962" s="10">
        <v>45.73</v>
      </c>
      <c r="J962" s="10">
        <v>45.96</v>
      </c>
      <c r="K962" s="10">
        <v>46.17</v>
      </c>
      <c r="L962" s="10">
        <v>46.38</v>
      </c>
      <c r="M962" s="10">
        <v>46.56</v>
      </c>
      <c r="N962" s="10">
        <v>41.11</v>
      </c>
      <c r="O962" s="10">
        <v>41.32</v>
      </c>
      <c r="P962" s="10">
        <v>41.61</v>
      </c>
      <c r="Q962" s="10">
        <v>41.93</v>
      </c>
      <c r="R962" s="10">
        <v>42.24</v>
      </c>
      <c r="S962" s="10">
        <v>42.54</v>
      </c>
      <c r="T962" s="10">
        <v>42.81</v>
      </c>
      <c r="U962" s="10">
        <v>43.04</v>
      </c>
      <c r="V962" s="10">
        <v>43.24</v>
      </c>
      <c r="W962" s="10">
        <v>43.41</v>
      </c>
      <c r="X962" s="10">
        <v>43.55</v>
      </c>
      <c r="Y962" s="10">
        <v>43.68</v>
      </c>
      <c r="Z962" s="11">
        <v>41.994999999999997</v>
      </c>
      <c r="AA962" s="11">
        <v>43.039000000000001</v>
      </c>
      <c r="AB962" s="11">
        <v>43.216999999999999</v>
      </c>
      <c r="AC962" s="11">
        <v>43.420999999999999</v>
      </c>
      <c r="AD962" s="11">
        <v>43.706000000000003</v>
      </c>
      <c r="AE962" s="11">
        <v>44.006</v>
      </c>
      <c r="AF962" s="11">
        <v>44.283000000000001</v>
      </c>
      <c r="AG962" s="11">
        <v>44.540999999999997</v>
      </c>
      <c r="AH962" s="11">
        <v>44.75</v>
      </c>
      <c r="AI962" s="11">
        <v>44.92</v>
      </c>
      <c r="AJ962" s="11">
        <v>45.097999999999999</v>
      </c>
      <c r="AK962" s="11">
        <v>45.256999999999998</v>
      </c>
      <c r="AL962" s="11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</row>
    <row r="963" spans="1:147" x14ac:dyDescent="0.3">
      <c r="A963" s="9">
        <f>DATE(2020, 9, 21)</f>
        <v>44095</v>
      </c>
      <c r="B963" s="10">
        <v>41.44</v>
      </c>
      <c r="C963" s="10">
        <v>41.96</v>
      </c>
      <c r="D963" s="10">
        <v>42.41</v>
      </c>
      <c r="E963" s="10">
        <v>42.81</v>
      </c>
      <c r="F963" s="10">
        <v>43.18</v>
      </c>
      <c r="G963" s="10">
        <v>43.53</v>
      </c>
      <c r="H963" s="10">
        <v>43.87</v>
      </c>
      <c r="I963" s="10">
        <v>44.19</v>
      </c>
      <c r="J963" s="10">
        <v>44.45</v>
      </c>
      <c r="K963" s="10">
        <v>44.69</v>
      </c>
      <c r="L963" s="10">
        <v>44.92</v>
      </c>
      <c r="M963" s="10">
        <v>45.11</v>
      </c>
      <c r="N963" s="10">
        <v>39.31</v>
      </c>
      <c r="O963" s="10">
        <v>39.54</v>
      </c>
      <c r="P963" s="10">
        <v>39.85</v>
      </c>
      <c r="Q963" s="10">
        <v>40.19</v>
      </c>
      <c r="R963" s="10">
        <v>40.54</v>
      </c>
      <c r="S963" s="10">
        <v>40.869999999999997</v>
      </c>
      <c r="T963" s="10">
        <v>41.17</v>
      </c>
      <c r="U963" s="10">
        <v>41.44</v>
      </c>
      <c r="V963" s="10">
        <v>41.66</v>
      </c>
      <c r="W963" s="10">
        <v>41.85</v>
      </c>
      <c r="X963" s="10">
        <v>42.02</v>
      </c>
      <c r="Y963" s="10">
        <v>42.16</v>
      </c>
      <c r="Z963" s="11">
        <v>41.402999999999999</v>
      </c>
      <c r="AA963" s="11">
        <v>41.34</v>
      </c>
      <c r="AB963" s="11">
        <v>41.548999999999999</v>
      </c>
      <c r="AC963" s="11">
        <v>41.814</v>
      </c>
      <c r="AD963" s="11">
        <v>42.118000000000002</v>
      </c>
      <c r="AE963" s="11">
        <v>42.417000000000002</v>
      </c>
      <c r="AF963" s="11">
        <v>42.713999999999999</v>
      </c>
      <c r="AG963" s="11">
        <v>42.981999999999999</v>
      </c>
      <c r="AH963" s="11">
        <v>43.243000000000002</v>
      </c>
      <c r="AI963" s="11">
        <v>43.45</v>
      </c>
      <c r="AJ963" s="11">
        <v>43.658999999999999</v>
      </c>
      <c r="AK963" s="11">
        <v>43.838000000000001</v>
      </c>
      <c r="AL963" s="11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</row>
    <row r="964" spans="1:147" x14ac:dyDescent="0.3">
      <c r="A964" s="9">
        <f>DATE(2020, 9, 22)</f>
        <v>44096</v>
      </c>
      <c r="B964" s="10">
        <v>41.72</v>
      </c>
      <c r="C964" s="10">
        <v>42.19</v>
      </c>
      <c r="D964" s="10">
        <v>42.58</v>
      </c>
      <c r="E964" s="10">
        <v>42.95</v>
      </c>
      <c r="F964" s="10">
        <v>43.31</v>
      </c>
      <c r="G964" s="10">
        <v>43.66</v>
      </c>
      <c r="H964" s="10">
        <v>44</v>
      </c>
      <c r="I964" s="10">
        <v>44.32</v>
      </c>
      <c r="J964" s="10">
        <v>44.58</v>
      </c>
      <c r="K964" s="10">
        <v>44.82</v>
      </c>
      <c r="L964" s="10">
        <v>45.04</v>
      </c>
      <c r="M964" s="10">
        <v>45.24</v>
      </c>
      <c r="N964" s="10">
        <v>39.6</v>
      </c>
      <c r="O964" s="10">
        <v>39.799999999999997</v>
      </c>
      <c r="P964" s="10">
        <v>40.090000000000003</v>
      </c>
      <c r="Q964" s="10">
        <v>40.4</v>
      </c>
      <c r="R964" s="10">
        <v>40.729999999999997</v>
      </c>
      <c r="S964" s="10">
        <v>41.06</v>
      </c>
      <c r="T964" s="10">
        <v>41.35</v>
      </c>
      <c r="U964" s="10">
        <v>41.62</v>
      </c>
      <c r="V964" s="10">
        <v>41.85</v>
      </c>
      <c r="W964" s="10">
        <v>42.04</v>
      </c>
      <c r="X964" s="10">
        <v>42.21</v>
      </c>
      <c r="Y964" s="10">
        <v>42.37</v>
      </c>
      <c r="Z964" s="11">
        <v>41.5</v>
      </c>
      <c r="AA964" s="11">
        <v>41.677999999999997</v>
      </c>
      <c r="AB964" s="11">
        <v>41.817999999999998</v>
      </c>
      <c r="AC964" s="11">
        <v>42.042999999999999</v>
      </c>
      <c r="AD964" s="11">
        <v>42.308</v>
      </c>
      <c r="AE964" s="11">
        <v>42.587000000000003</v>
      </c>
      <c r="AF964" s="11">
        <v>42.884</v>
      </c>
      <c r="AG964" s="11">
        <v>43.161999999999999</v>
      </c>
      <c r="AH964" s="11">
        <v>43.412999999999997</v>
      </c>
      <c r="AI964" s="11">
        <v>43.61</v>
      </c>
      <c r="AJ964" s="11">
        <v>43.789000000000001</v>
      </c>
      <c r="AK964" s="11">
        <v>43.957000000000001</v>
      </c>
      <c r="AL964" s="11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</row>
    <row r="965" spans="1:147" x14ac:dyDescent="0.3">
      <c r="A965" s="9">
        <f>DATE(2020, 9, 23)</f>
        <v>44097</v>
      </c>
      <c r="B965" s="10">
        <v>41.77</v>
      </c>
      <c r="C965" s="10">
        <v>42.26</v>
      </c>
      <c r="D965" s="10">
        <v>42.66</v>
      </c>
      <c r="E965" s="10">
        <v>43.03</v>
      </c>
      <c r="F965" s="10">
        <v>43.38</v>
      </c>
      <c r="G965" s="10">
        <v>43.72</v>
      </c>
      <c r="H965" s="10">
        <v>44.04</v>
      </c>
      <c r="I965" s="10">
        <v>44.36</v>
      </c>
      <c r="J965" s="10">
        <v>44.61</v>
      </c>
      <c r="K965" s="10">
        <v>44.85</v>
      </c>
      <c r="L965" s="10">
        <v>45.07</v>
      </c>
      <c r="M965" s="10">
        <v>45.26</v>
      </c>
      <c r="N965" s="10">
        <v>39.93</v>
      </c>
      <c r="O965" s="10">
        <v>40.22</v>
      </c>
      <c r="P965" s="10">
        <v>40.53</v>
      </c>
      <c r="Q965" s="10">
        <v>40.86</v>
      </c>
      <c r="R965" s="10">
        <v>41.18</v>
      </c>
      <c r="S965" s="10">
        <v>41.46</v>
      </c>
      <c r="T965" s="10">
        <v>41.73</v>
      </c>
      <c r="U965" s="10">
        <v>41.95</v>
      </c>
      <c r="V965" s="10">
        <v>42.15</v>
      </c>
      <c r="W965" s="10">
        <v>42.31</v>
      </c>
      <c r="X965" s="10">
        <v>42.46</v>
      </c>
      <c r="Y965" s="10">
        <v>42.59</v>
      </c>
      <c r="Z965" s="11">
        <v>41.512999999999998</v>
      </c>
      <c r="AA965" s="11">
        <v>41.738</v>
      </c>
      <c r="AB965" s="11">
        <v>41.927999999999997</v>
      </c>
      <c r="AC965" s="11">
        <v>42.161999999999999</v>
      </c>
      <c r="AD965" s="11">
        <v>42.406999999999996</v>
      </c>
      <c r="AE965" s="11">
        <v>42.695999999999998</v>
      </c>
      <c r="AF965" s="11">
        <v>42.994</v>
      </c>
      <c r="AG965" s="11">
        <v>43.281999999999996</v>
      </c>
      <c r="AH965" s="11">
        <v>43.523000000000003</v>
      </c>
      <c r="AI965" s="11">
        <v>43.72</v>
      </c>
      <c r="AJ965" s="11">
        <v>43.889000000000003</v>
      </c>
      <c r="AK965" s="11">
        <v>44.017000000000003</v>
      </c>
      <c r="AL965" s="11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</row>
    <row r="966" spans="1:147" x14ac:dyDescent="0.3">
      <c r="A966" s="9">
        <f>DATE(2020, 9, 24)</f>
        <v>44098</v>
      </c>
      <c r="B966" s="10">
        <v>41.94</v>
      </c>
      <c r="C966" s="10">
        <v>42.46</v>
      </c>
      <c r="D966" s="10">
        <v>42.91</v>
      </c>
      <c r="E966" s="10">
        <v>43.32</v>
      </c>
      <c r="F966" s="10">
        <v>43.68</v>
      </c>
      <c r="G966" s="10">
        <v>44.02</v>
      </c>
      <c r="H966" s="10">
        <v>44.35</v>
      </c>
      <c r="I966" s="10">
        <v>44.66</v>
      </c>
      <c r="J966" s="10">
        <v>44.91</v>
      </c>
      <c r="K966" s="10">
        <v>45.14</v>
      </c>
      <c r="L966" s="10">
        <v>45.35</v>
      </c>
      <c r="M966" s="10">
        <v>45.53</v>
      </c>
      <c r="N966" s="10">
        <v>40.31</v>
      </c>
      <c r="O966" s="10">
        <v>40.58</v>
      </c>
      <c r="P966" s="10">
        <v>40.9</v>
      </c>
      <c r="Q966" s="10">
        <v>41.24</v>
      </c>
      <c r="R966" s="10">
        <v>41.57</v>
      </c>
      <c r="S966" s="10">
        <v>41.87</v>
      </c>
      <c r="T966" s="10">
        <v>42.14</v>
      </c>
      <c r="U966" s="10">
        <v>42.36</v>
      </c>
      <c r="V966" s="10">
        <v>42.56</v>
      </c>
      <c r="W966" s="10">
        <v>42.72</v>
      </c>
      <c r="X966" s="10">
        <v>42.87</v>
      </c>
      <c r="Y966" s="10">
        <v>42.99</v>
      </c>
      <c r="Z966" s="11">
        <v>41.554000000000002</v>
      </c>
      <c r="AA966" s="11">
        <v>42.02</v>
      </c>
      <c r="AB966" s="11">
        <v>42.21</v>
      </c>
      <c r="AC966" s="11">
        <v>42.453000000000003</v>
      </c>
      <c r="AD966" s="11">
        <v>42.716999999999999</v>
      </c>
      <c r="AE966" s="11">
        <v>42.997</v>
      </c>
      <c r="AF966" s="11">
        <v>43.292999999999999</v>
      </c>
      <c r="AG966" s="11">
        <v>43.552</v>
      </c>
      <c r="AH966" s="11">
        <v>43.771999999999998</v>
      </c>
      <c r="AI966" s="11">
        <v>43.93</v>
      </c>
      <c r="AJ966" s="11">
        <v>44.088000000000001</v>
      </c>
      <c r="AK966" s="11">
        <v>44.237000000000002</v>
      </c>
      <c r="AL966" s="11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</row>
    <row r="967" spans="1:147" x14ac:dyDescent="0.3">
      <c r="A967" s="9">
        <f>DATE(2020, 9, 25)</f>
        <v>44099</v>
      </c>
      <c r="B967" s="10">
        <v>41.92</v>
      </c>
      <c r="C967" s="10">
        <v>42.41</v>
      </c>
      <c r="D967" s="10">
        <v>42.84</v>
      </c>
      <c r="E967" s="10">
        <v>43.2</v>
      </c>
      <c r="F967" s="10">
        <v>43.54</v>
      </c>
      <c r="G967" s="10">
        <v>43.86</v>
      </c>
      <c r="H967" s="10">
        <v>44.17</v>
      </c>
      <c r="I967" s="10">
        <v>44.47</v>
      </c>
      <c r="J967" s="10">
        <v>44.71</v>
      </c>
      <c r="K967" s="10">
        <v>44.94</v>
      </c>
      <c r="L967" s="10">
        <v>45.15</v>
      </c>
      <c r="M967" s="10">
        <v>45.33</v>
      </c>
      <c r="N967" s="10">
        <v>40.25</v>
      </c>
      <c r="O967" s="10">
        <v>40.51</v>
      </c>
      <c r="P967" s="10">
        <v>40.81</v>
      </c>
      <c r="Q967" s="10">
        <v>41.13</v>
      </c>
      <c r="R967" s="10">
        <v>41.45</v>
      </c>
      <c r="S967" s="10">
        <v>41.74</v>
      </c>
      <c r="T967" s="10">
        <v>42</v>
      </c>
      <c r="U967" s="10">
        <v>42.22</v>
      </c>
      <c r="V967" s="10">
        <v>42.41</v>
      </c>
      <c r="W967" s="10">
        <v>42.57</v>
      </c>
      <c r="X967" s="10">
        <v>42.71</v>
      </c>
      <c r="Y967" s="10">
        <v>42.82</v>
      </c>
      <c r="Z967" s="11">
        <v>41.57</v>
      </c>
      <c r="AA967" s="11">
        <v>42.04</v>
      </c>
      <c r="AB967" s="11">
        <v>42.167000000000002</v>
      </c>
      <c r="AC967" s="11">
        <v>42.381</v>
      </c>
      <c r="AD967" s="11">
        <v>42.625999999999998</v>
      </c>
      <c r="AE967" s="11">
        <v>42.896000000000001</v>
      </c>
      <c r="AF967" s="11">
        <v>43.192999999999998</v>
      </c>
      <c r="AG967" s="11">
        <v>43.420999999999999</v>
      </c>
      <c r="AH967" s="11">
        <v>43.652000000000001</v>
      </c>
      <c r="AI967" s="11">
        <v>43.8</v>
      </c>
      <c r="AJ967" s="11">
        <v>43.938000000000002</v>
      </c>
      <c r="AK967" s="11">
        <v>44.045999999999999</v>
      </c>
      <c r="AL967" s="11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</row>
    <row r="968" spans="1:147" x14ac:dyDescent="0.3">
      <c r="A968" s="9">
        <f>DATE(2020, 9, 28)</f>
        <v>44102</v>
      </c>
      <c r="B968" s="10">
        <v>42.43</v>
      </c>
      <c r="C968" s="10">
        <v>42.87</v>
      </c>
      <c r="D968" s="10">
        <v>43.26</v>
      </c>
      <c r="E968" s="10">
        <v>43.6</v>
      </c>
      <c r="F968" s="10">
        <v>43.91</v>
      </c>
      <c r="G968" s="10">
        <v>44.21</v>
      </c>
      <c r="H968" s="10">
        <v>44.49</v>
      </c>
      <c r="I968" s="10">
        <v>44.77</v>
      </c>
      <c r="J968" s="10">
        <v>44.99</v>
      </c>
      <c r="K968" s="10">
        <v>45.2</v>
      </c>
      <c r="L968" s="10">
        <v>45.39</v>
      </c>
      <c r="M968" s="10">
        <v>45.56</v>
      </c>
      <c r="N968" s="10">
        <v>40.6</v>
      </c>
      <c r="O968" s="10">
        <v>40.869999999999997</v>
      </c>
      <c r="P968" s="10">
        <v>41.18</v>
      </c>
      <c r="Q968" s="10">
        <v>41.5</v>
      </c>
      <c r="R968" s="10">
        <v>41.82</v>
      </c>
      <c r="S968" s="10">
        <v>42.11</v>
      </c>
      <c r="T968" s="10">
        <v>42.36</v>
      </c>
      <c r="U968" s="10">
        <v>42.57</v>
      </c>
      <c r="V968" s="10">
        <v>42.76</v>
      </c>
      <c r="W968" s="10">
        <v>42.91</v>
      </c>
      <c r="X968" s="10">
        <v>43.04</v>
      </c>
      <c r="Y968" s="10">
        <v>43.16</v>
      </c>
      <c r="Z968" s="11">
        <v>41.584000000000003</v>
      </c>
      <c r="AA968" s="11">
        <v>42.378</v>
      </c>
      <c r="AB968" s="11">
        <v>42.536000000000001</v>
      </c>
      <c r="AC968" s="11">
        <v>42.765000000000001</v>
      </c>
      <c r="AD968" s="11">
        <v>42.996000000000002</v>
      </c>
      <c r="AE968" s="11">
        <v>43.267000000000003</v>
      </c>
      <c r="AF968" s="11">
        <v>43.548000000000002</v>
      </c>
      <c r="AG968" s="11">
        <v>43.78</v>
      </c>
      <c r="AH968" s="11">
        <v>43.97</v>
      </c>
      <c r="AI968" s="11">
        <v>44.109000000000002</v>
      </c>
      <c r="AJ968" s="11">
        <v>44.238</v>
      </c>
      <c r="AK968" s="11">
        <v>44.356000000000002</v>
      </c>
      <c r="AL968" s="11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</row>
    <row r="969" spans="1:147" x14ac:dyDescent="0.3">
      <c r="A969" s="9">
        <f>DATE(2020, 9, 29)</f>
        <v>44103</v>
      </c>
      <c r="B969" s="10">
        <v>41.03</v>
      </c>
      <c r="C969" s="10">
        <v>41.56</v>
      </c>
      <c r="D969" s="10">
        <v>41.98</v>
      </c>
      <c r="E969" s="10">
        <v>42.33</v>
      </c>
      <c r="F969" s="10">
        <v>42.65</v>
      </c>
      <c r="G969" s="10">
        <v>42.96</v>
      </c>
      <c r="H969" s="10">
        <v>43.27</v>
      </c>
      <c r="I969" s="10">
        <v>43.57</v>
      </c>
      <c r="J969" s="10">
        <v>43.81</v>
      </c>
      <c r="K969" s="10">
        <v>44.04</v>
      </c>
      <c r="L969" s="10">
        <v>44.25</v>
      </c>
      <c r="M969" s="10">
        <v>44.44</v>
      </c>
      <c r="N969" s="10">
        <v>39.29</v>
      </c>
      <c r="O969" s="10">
        <v>39.56</v>
      </c>
      <c r="P969" s="10">
        <v>39.880000000000003</v>
      </c>
      <c r="Q969" s="10">
        <v>40.229999999999997</v>
      </c>
      <c r="R969" s="10">
        <v>40.57</v>
      </c>
      <c r="S969" s="10">
        <v>40.880000000000003</v>
      </c>
      <c r="T969" s="10">
        <v>41.15</v>
      </c>
      <c r="U969" s="10">
        <v>41.38</v>
      </c>
      <c r="V969" s="10">
        <v>41.58</v>
      </c>
      <c r="W969" s="10">
        <v>41.74</v>
      </c>
      <c r="X969" s="10">
        <v>41.88</v>
      </c>
      <c r="Y969" s="10">
        <v>42.01</v>
      </c>
      <c r="Z969" s="11">
        <v>41.511000000000003</v>
      </c>
      <c r="AA969" s="11">
        <v>40.978999999999999</v>
      </c>
      <c r="AB969" s="11">
        <v>41.139000000000003</v>
      </c>
      <c r="AC969" s="11">
        <v>41.389000000000003</v>
      </c>
      <c r="AD969" s="11">
        <v>41.655999999999999</v>
      </c>
      <c r="AE969" s="11">
        <v>41.945999999999998</v>
      </c>
      <c r="AF969" s="11">
        <v>42.243000000000002</v>
      </c>
      <c r="AG969" s="11">
        <v>42.500999999999998</v>
      </c>
      <c r="AH969" s="11">
        <v>42.722000000000001</v>
      </c>
      <c r="AI969" s="11">
        <v>42.89</v>
      </c>
      <c r="AJ969" s="11">
        <v>43.048999999999999</v>
      </c>
      <c r="AK969" s="11">
        <v>43.186999999999998</v>
      </c>
      <c r="AL969" s="11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</row>
    <row r="970" spans="1:147" x14ac:dyDescent="0.3">
      <c r="A970" s="9">
        <f>DATE(2020, 9, 30)</f>
        <v>44104</v>
      </c>
      <c r="B970" s="10">
        <v>40.950000000000003</v>
      </c>
      <c r="C970" s="10">
        <v>42.3</v>
      </c>
      <c r="D970" s="10">
        <v>42.75</v>
      </c>
      <c r="E970" s="10">
        <v>43.12</v>
      </c>
      <c r="F970" s="10">
        <v>43.46</v>
      </c>
      <c r="G970" s="10">
        <v>43.78</v>
      </c>
      <c r="H970" s="10">
        <v>44.09</v>
      </c>
      <c r="I970" s="10">
        <v>44.39</v>
      </c>
      <c r="J970" s="10">
        <v>44.63</v>
      </c>
      <c r="K970" s="10">
        <v>44.86</v>
      </c>
      <c r="L970" s="10">
        <v>45.06</v>
      </c>
      <c r="M970" s="10">
        <v>45.25</v>
      </c>
      <c r="N970" s="10">
        <v>40.22</v>
      </c>
      <c r="O970" s="10">
        <v>40.47</v>
      </c>
      <c r="P970" s="10">
        <v>40.79</v>
      </c>
      <c r="Q970" s="10">
        <v>41.13</v>
      </c>
      <c r="R970" s="10">
        <v>41.47</v>
      </c>
      <c r="S970" s="10">
        <v>41.78</v>
      </c>
      <c r="T970" s="10">
        <v>42.04</v>
      </c>
      <c r="U970" s="10">
        <v>42.28</v>
      </c>
      <c r="V970" s="10">
        <v>42.47</v>
      </c>
      <c r="W970" s="10">
        <v>42.64</v>
      </c>
      <c r="X970" s="10">
        <v>42.79</v>
      </c>
      <c r="Y970" s="10">
        <v>42.92</v>
      </c>
      <c r="Z970" s="11">
        <v>41.494999999999997</v>
      </c>
      <c r="AA970" s="11">
        <v>41.777999999999999</v>
      </c>
      <c r="AB970" s="11">
        <v>41.957999999999998</v>
      </c>
      <c r="AC970" s="11">
        <v>42.201000000000001</v>
      </c>
      <c r="AD970" s="11">
        <v>42.475999999999999</v>
      </c>
      <c r="AE970" s="11">
        <v>42.786000000000001</v>
      </c>
      <c r="AF970" s="11">
        <v>43.082999999999998</v>
      </c>
      <c r="AG970" s="11">
        <v>43.320999999999998</v>
      </c>
      <c r="AH970" s="11">
        <v>43.542000000000002</v>
      </c>
      <c r="AI970" s="11">
        <v>43.709000000000003</v>
      </c>
      <c r="AJ970" s="11">
        <v>43.859000000000002</v>
      </c>
      <c r="AK970" s="11">
        <v>43.997</v>
      </c>
      <c r="AL970" s="11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</row>
    <row r="971" spans="1:147" x14ac:dyDescent="0.3">
      <c r="A971" s="9">
        <f>DATE(2020, 10, 1)</f>
        <v>44105</v>
      </c>
      <c r="B971" s="10">
        <v>40.93</v>
      </c>
      <c r="C971" s="10">
        <v>41.44</v>
      </c>
      <c r="D971" s="10">
        <v>41.87</v>
      </c>
      <c r="E971" s="10">
        <v>42.26</v>
      </c>
      <c r="F971" s="10">
        <v>42.62</v>
      </c>
      <c r="G971" s="10">
        <v>42.96</v>
      </c>
      <c r="H971" s="10">
        <v>43.29</v>
      </c>
      <c r="I971" s="10">
        <v>43.55</v>
      </c>
      <c r="J971" s="10">
        <v>43.8</v>
      </c>
      <c r="K971" s="10">
        <v>44.03</v>
      </c>
      <c r="L971" s="10">
        <v>44.24</v>
      </c>
      <c r="M971" s="10">
        <v>44.41</v>
      </c>
      <c r="N971" s="10">
        <v>38.72</v>
      </c>
      <c r="O971" s="10">
        <v>39.01</v>
      </c>
      <c r="P971" s="10">
        <v>39.380000000000003</v>
      </c>
      <c r="Q971" s="10">
        <v>39.76</v>
      </c>
      <c r="R971" s="10">
        <v>40.14</v>
      </c>
      <c r="S971" s="10">
        <v>40.479999999999997</v>
      </c>
      <c r="T971" s="10">
        <v>40.799999999999997</v>
      </c>
      <c r="U971" s="10">
        <v>41.08</v>
      </c>
      <c r="V971" s="10">
        <v>41.31</v>
      </c>
      <c r="W971" s="10">
        <v>41.51</v>
      </c>
      <c r="X971" s="10">
        <v>41.69</v>
      </c>
      <c r="Y971" s="10">
        <v>41.85</v>
      </c>
      <c r="Z971" s="11">
        <v>41.494999999999997</v>
      </c>
      <c r="AA971" s="11">
        <v>40.11</v>
      </c>
      <c r="AB971" s="11">
        <v>40.47</v>
      </c>
      <c r="AC971" s="11">
        <v>40.835000000000001</v>
      </c>
      <c r="AD971" s="11">
        <v>41.167999999999999</v>
      </c>
      <c r="AE971" s="11">
        <v>41.517000000000003</v>
      </c>
      <c r="AF971" s="11">
        <v>41.874000000000002</v>
      </c>
      <c r="AG971" s="11">
        <v>42.161999999999999</v>
      </c>
      <c r="AH971" s="11">
        <v>42.404000000000003</v>
      </c>
      <c r="AI971" s="11">
        <v>42.61</v>
      </c>
      <c r="AJ971" s="11">
        <v>42.83</v>
      </c>
      <c r="AK971" s="11">
        <v>42.988</v>
      </c>
      <c r="AL971" s="11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</row>
    <row r="972" spans="1:147" x14ac:dyDescent="0.3">
      <c r="A972" s="9">
        <f>DATE(2020, 10, 2)</f>
        <v>44106</v>
      </c>
      <c r="B972" s="10">
        <v>39.270000000000003</v>
      </c>
      <c r="C972" s="10">
        <v>39.81</v>
      </c>
      <c r="D972" s="10">
        <v>40.26</v>
      </c>
      <c r="E972" s="10">
        <v>40.68</v>
      </c>
      <c r="F972" s="10">
        <v>41.07</v>
      </c>
      <c r="G972" s="10">
        <v>41.44</v>
      </c>
      <c r="H972" s="10">
        <v>41.79</v>
      </c>
      <c r="I972" s="10">
        <v>42.07</v>
      </c>
      <c r="J972" s="10">
        <v>42.33</v>
      </c>
      <c r="K972" s="10">
        <v>42.57</v>
      </c>
      <c r="L972" s="10">
        <v>42.79</v>
      </c>
      <c r="M972" s="10">
        <v>42.98</v>
      </c>
      <c r="N972" s="10">
        <v>37.049999999999997</v>
      </c>
      <c r="O972" s="10">
        <v>37.340000000000003</v>
      </c>
      <c r="P972" s="10">
        <v>37.74</v>
      </c>
      <c r="Q972" s="10">
        <v>38.15</v>
      </c>
      <c r="R972" s="10">
        <v>38.549999999999997</v>
      </c>
      <c r="S972" s="10">
        <v>38.92</v>
      </c>
      <c r="T972" s="10">
        <v>39.26</v>
      </c>
      <c r="U972" s="10">
        <v>39.56</v>
      </c>
      <c r="V972" s="10">
        <v>39.81</v>
      </c>
      <c r="W972" s="10">
        <v>40.03</v>
      </c>
      <c r="X972" s="10">
        <v>40.22</v>
      </c>
      <c r="Y972" s="10">
        <v>40.39</v>
      </c>
      <c r="Z972" s="11">
        <v>38.555</v>
      </c>
      <c r="AA972" s="11">
        <v>38.881</v>
      </c>
      <c r="AB972" s="11">
        <v>39.247999999999998</v>
      </c>
      <c r="AC972" s="11">
        <v>39.619999999999997</v>
      </c>
      <c r="AD972" s="11">
        <v>39.997</v>
      </c>
      <c r="AE972" s="11">
        <v>40.375</v>
      </c>
      <c r="AF972" s="11">
        <v>40.713000000000001</v>
      </c>
      <c r="AG972" s="11">
        <v>40.975000000000001</v>
      </c>
      <c r="AH972" s="11">
        <v>41.191000000000003</v>
      </c>
      <c r="AI972" s="11">
        <v>41.38</v>
      </c>
      <c r="AJ972" s="11">
        <v>41.539000000000001</v>
      </c>
      <c r="AK972" s="11">
        <v>41.677999999999997</v>
      </c>
      <c r="AL972" s="11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</row>
    <row r="973" spans="1:147" x14ac:dyDescent="0.3">
      <c r="A973" s="9">
        <f>DATE(2020, 10, 5)</f>
        <v>44109</v>
      </c>
      <c r="B973" s="10">
        <v>41.29</v>
      </c>
      <c r="C973" s="10">
        <v>41.82</v>
      </c>
      <c r="D973" s="10">
        <v>42.25</v>
      </c>
      <c r="E973" s="10">
        <v>42.66</v>
      </c>
      <c r="F973" s="10">
        <v>43.02</v>
      </c>
      <c r="G973" s="10">
        <v>43.36</v>
      </c>
      <c r="H973" s="10">
        <v>43.69</v>
      </c>
      <c r="I973" s="10">
        <v>43.94</v>
      </c>
      <c r="J973" s="10">
        <v>44.19</v>
      </c>
      <c r="K973" s="10">
        <v>44.4</v>
      </c>
      <c r="L973" s="10">
        <v>44.6</v>
      </c>
      <c r="M973" s="10">
        <v>44.77</v>
      </c>
      <c r="N973" s="10">
        <v>39.22</v>
      </c>
      <c r="O973" s="10">
        <v>39.5</v>
      </c>
      <c r="P973" s="10">
        <v>39.89</v>
      </c>
      <c r="Q973" s="10">
        <v>40.28</v>
      </c>
      <c r="R973" s="10">
        <v>40.65</v>
      </c>
      <c r="S973" s="10">
        <v>40.98</v>
      </c>
      <c r="T973" s="10">
        <v>41.29</v>
      </c>
      <c r="U973" s="10">
        <v>41.56</v>
      </c>
      <c r="V973" s="10">
        <v>41.78</v>
      </c>
      <c r="W973" s="10">
        <v>41.97</v>
      </c>
      <c r="X973" s="10">
        <v>42.12</v>
      </c>
      <c r="Y973" s="10">
        <v>42.26</v>
      </c>
      <c r="Z973" s="11">
        <v>40.503</v>
      </c>
      <c r="AA973" s="11">
        <v>41.05</v>
      </c>
      <c r="AB973" s="11">
        <v>41.366999999999997</v>
      </c>
      <c r="AC973" s="11">
        <v>41.677999999999997</v>
      </c>
      <c r="AD973" s="11">
        <v>42.027000000000001</v>
      </c>
      <c r="AE973" s="11">
        <v>42.374000000000002</v>
      </c>
      <c r="AF973" s="11">
        <v>42.682000000000002</v>
      </c>
      <c r="AG973" s="11">
        <v>42.923999999999999</v>
      </c>
      <c r="AH973" s="11">
        <v>43.09</v>
      </c>
      <c r="AI973" s="11">
        <v>43.189</v>
      </c>
      <c r="AJ973" s="11">
        <v>43.328000000000003</v>
      </c>
      <c r="AK973" s="11">
        <v>43.447000000000003</v>
      </c>
      <c r="AL973" s="11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</row>
    <row r="974" spans="1:147" x14ac:dyDescent="0.3">
      <c r="A974" s="9">
        <f>DATE(2020, 10, 6)</f>
        <v>44110</v>
      </c>
      <c r="B974" s="10">
        <v>42.65</v>
      </c>
      <c r="C974" s="10">
        <v>43.13</v>
      </c>
      <c r="D974" s="10">
        <v>43.51</v>
      </c>
      <c r="E974" s="10">
        <v>43.87</v>
      </c>
      <c r="F974" s="10">
        <v>44.2</v>
      </c>
      <c r="G974" s="10">
        <v>44.51</v>
      </c>
      <c r="H974" s="10">
        <v>44.81</v>
      </c>
      <c r="I974" s="10">
        <v>45.04</v>
      </c>
      <c r="J974" s="10">
        <v>45.27</v>
      </c>
      <c r="K974" s="10">
        <v>45.47</v>
      </c>
      <c r="L974" s="10">
        <v>45.64</v>
      </c>
      <c r="M974" s="10">
        <v>45.8</v>
      </c>
      <c r="N974" s="10">
        <v>40.67</v>
      </c>
      <c r="O974" s="10">
        <v>40.93</v>
      </c>
      <c r="P974" s="10">
        <v>41.27</v>
      </c>
      <c r="Q974" s="10">
        <v>41.61</v>
      </c>
      <c r="R974" s="10">
        <v>41.93</v>
      </c>
      <c r="S974" s="10">
        <v>42.23</v>
      </c>
      <c r="T974" s="10">
        <v>42.49</v>
      </c>
      <c r="U974" s="10">
        <v>42.72</v>
      </c>
      <c r="V974" s="10">
        <v>42.9</v>
      </c>
      <c r="W974" s="10">
        <v>43.06</v>
      </c>
      <c r="X974" s="10">
        <v>43.18</v>
      </c>
      <c r="Y974" s="10">
        <v>43.29</v>
      </c>
      <c r="Z974" s="11">
        <v>41.51</v>
      </c>
      <c r="AA974" s="11">
        <v>42.317999999999998</v>
      </c>
      <c r="AB974" s="11">
        <v>42.622999999999998</v>
      </c>
      <c r="AC974" s="11">
        <v>42.906999999999996</v>
      </c>
      <c r="AD974" s="11">
        <v>43.225999999999999</v>
      </c>
      <c r="AE974" s="11">
        <v>43.563000000000002</v>
      </c>
      <c r="AF974" s="11">
        <v>43.841000000000001</v>
      </c>
      <c r="AG974" s="11">
        <v>44.061999999999998</v>
      </c>
      <c r="AH974" s="11">
        <v>44.179000000000002</v>
      </c>
      <c r="AI974" s="11">
        <v>44.287999999999997</v>
      </c>
      <c r="AJ974" s="11">
        <v>44.396999999999998</v>
      </c>
      <c r="AK974" s="11">
        <v>44.506</v>
      </c>
      <c r="AL974" s="11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</row>
    <row r="975" spans="1:147" x14ac:dyDescent="0.3">
      <c r="A975" s="9">
        <f>DATE(2020, 10, 7)</f>
        <v>44111</v>
      </c>
      <c r="B975" s="10">
        <v>41.99</v>
      </c>
      <c r="C975" s="10">
        <v>42.46</v>
      </c>
      <c r="D975" s="10">
        <v>42.85</v>
      </c>
      <c r="E975" s="10">
        <v>43.21</v>
      </c>
      <c r="F975" s="10">
        <v>43.55</v>
      </c>
      <c r="G975" s="10">
        <v>43.87</v>
      </c>
      <c r="H975" s="10">
        <v>44.16</v>
      </c>
      <c r="I975" s="10">
        <v>44.4</v>
      </c>
      <c r="J975" s="10">
        <v>44.63</v>
      </c>
      <c r="K975" s="10">
        <v>44.83</v>
      </c>
      <c r="L975" s="10">
        <v>45</v>
      </c>
      <c r="M975" s="10">
        <v>45.15</v>
      </c>
      <c r="N975" s="10">
        <v>39.950000000000003</v>
      </c>
      <c r="O975" s="10">
        <v>40.229999999999997</v>
      </c>
      <c r="P975" s="10">
        <v>40.590000000000003</v>
      </c>
      <c r="Q975" s="10">
        <v>40.94</v>
      </c>
      <c r="R975" s="10">
        <v>41.27</v>
      </c>
      <c r="S975" s="10">
        <v>41.57</v>
      </c>
      <c r="T975" s="10">
        <v>41.83</v>
      </c>
      <c r="U975" s="10">
        <v>42.06</v>
      </c>
      <c r="V975" s="10">
        <v>42.24</v>
      </c>
      <c r="W975" s="10">
        <v>42.39</v>
      </c>
      <c r="X975" s="10">
        <v>42.51</v>
      </c>
      <c r="Y975" s="10">
        <v>42.62</v>
      </c>
      <c r="Z975" s="11">
        <v>40.954999999999998</v>
      </c>
      <c r="AA975" s="11">
        <v>41.609000000000002</v>
      </c>
      <c r="AB975" s="11">
        <v>41.893000000000001</v>
      </c>
      <c r="AC975" s="11">
        <v>42.197000000000003</v>
      </c>
      <c r="AD975" s="11">
        <v>42.526000000000003</v>
      </c>
      <c r="AE975" s="11">
        <v>42.872999999999998</v>
      </c>
      <c r="AF975" s="11">
        <v>43.140999999999998</v>
      </c>
      <c r="AG975" s="11">
        <v>43.381999999999998</v>
      </c>
      <c r="AH975" s="11">
        <v>43.509</v>
      </c>
      <c r="AI975" s="11">
        <v>43.637999999999998</v>
      </c>
      <c r="AJ975" s="11">
        <v>43.747</v>
      </c>
      <c r="AK975" s="11">
        <v>43.856000000000002</v>
      </c>
      <c r="AL975" s="11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</row>
    <row r="976" spans="1:147" x14ac:dyDescent="0.3">
      <c r="A976" s="9">
        <f>DATE(2020, 10, 8)</f>
        <v>44112</v>
      </c>
      <c r="B976" s="10">
        <v>43.34</v>
      </c>
      <c r="C976" s="10">
        <v>43.77</v>
      </c>
      <c r="D976" s="10">
        <v>44.1</v>
      </c>
      <c r="E976" s="10">
        <v>44.41</v>
      </c>
      <c r="F976" s="10">
        <v>44.7</v>
      </c>
      <c r="G976" s="10">
        <v>44.97</v>
      </c>
      <c r="H976" s="10">
        <v>45.23</v>
      </c>
      <c r="I976" s="10">
        <v>45.43</v>
      </c>
      <c r="J976" s="10">
        <v>45.63</v>
      </c>
      <c r="K976" s="10">
        <v>45.8</v>
      </c>
      <c r="L976" s="10">
        <v>45.94</v>
      </c>
      <c r="M976" s="10">
        <v>46.06</v>
      </c>
      <c r="N976" s="10">
        <v>41.19</v>
      </c>
      <c r="O976" s="10">
        <v>41.47</v>
      </c>
      <c r="P976" s="10">
        <v>41.81</v>
      </c>
      <c r="Q976" s="10">
        <v>42.14</v>
      </c>
      <c r="R976" s="10">
        <v>42.43</v>
      </c>
      <c r="S976" s="10">
        <v>42.68</v>
      </c>
      <c r="T976" s="10">
        <v>42.9</v>
      </c>
      <c r="U976" s="10">
        <v>43.09</v>
      </c>
      <c r="V976" s="10">
        <v>43.22</v>
      </c>
      <c r="W976" s="10">
        <v>43.32</v>
      </c>
      <c r="X976" s="10">
        <v>43.41</v>
      </c>
      <c r="Y976" s="10">
        <v>43.49</v>
      </c>
      <c r="Z976" s="11">
        <v>41.838000000000001</v>
      </c>
      <c r="AA976" s="11">
        <v>42.786000000000001</v>
      </c>
      <c r="AB976" s="11">
        <v>43.048000000000002</v>
      </c>
      <c r="AC976" s="11">
        <v>43.314999999999998</v>
      </c>
      <c r="AD976" s="11">
        <v>43.603999999999999</v>
      </c>
      <c r="AE976" s="11">
        <v>43.901000000000003</v>
      </c>
      <c r="AF976" s="11">
        <v>44.15</v>
      </c>
      <c r="AG976" s="11">
        <v>44.359000000000002</v>
      </c>
      <c r="AH976" s="11">
        <v>44.497999999999998</v>
      </c>
      <c r="AI976" s="11">
        <v>44.555999999999997</v>
      </c>
      <c r="AJ976" s="11">
        <v>44.645000000000003</v>
      </c>
      <c r="AK976" s="11">
        <v>44.704999999999998</v>
      </c>
      <c r="AL976" s="11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</row>
    <row r="977" spans="1:147" x14ac:dyDescent="0.3">
      <c r="A977" s="9">
        <f>DATE(2020, 10, 9)</f>
        <v>44113</v>
      </c>
      <c r="B977" s="10">
        <v>42.85</v>
      </c>
      <c r="C977" s="10">
        <v>43.32</v>
      </c>
      <c r="D977" s="10">
        <v>43.68</v>
      </c>
      <c r="E977" s="10">
        <v>44.01</v>
      </c>
      <c r="F977" s="10">
        <v>44.3</v>
      </c>
      <c r="G977" s="10">
        <v>44.56</v>
      </c>
      <c r="H977" s="10">
        <v>44.8</v>
      </c>
      <c r="I977" s="10">
        <v>45</v>
      </c>
      <c r="J977" s="10">
        <v>45.19</v>
      </c>
      <c r="K977" s="10">
        <v>45.36</v>
      </c>
      <c r="L977" s="10">
        <v>45.49</v>
      </c>
      <c r="M977" s="10">
        <v>45.62</v>
      </c>
      <c r="N977" s="10">
        <v>40.6</v>
      </c>
      <c r="O977" s="10">
        <v>40.909999999999997</v>
      </c>
      <c r="P977" s="10">
        <v>41.27</v>
      </c>
      <c r="Q977" s="10">
        <v>41.6</v>
      </c>
      <c r="R977" s="10">
        <v>41.9</v>
      </c>
      <c r="S977" s="10">
        <v>42.16</v>
      </c>
      <c r="T977" s="10">
        <v>42.38</v>
      </c>
      <c r="U977" s="10">
        <v>42.57</v>
      </c>
      <c r="V977" s="10">
        <v>42.71</v>
      </c>
      <c r="W977" s="10">
        <v>42.81</v>
      </c>
      <c r="X977" s="10">
        <v>42.9</v>
      </c>
      <c r="Y977" s="10">
        <v>42.97</v>
      </c>
      <c r="Z977" s="11">
        <v>41.518000000000001</v>
      </c>
      <c r="AA977" s="11">
        <v>42.337000000000003</v>
      </c>
      <c r="AB977" s="11">
        <v>42.62</v>
      </c>
      <c r="AC977" s="11">
        <v>42.895000000000003</v>
      </c>
      <c r="AD977" s="11">
        <v>43.183</v>
      </c>
      <c r="AE977" s="11">
        <v>43.48</v>
      </c>
      <c r="AF977" s="11">
        <v>43.72</v>
      </c>
      <c r="AG977" s="11">
        <v>43.917999999999999</v>
      </c>
      <c r="AH977" s="11">
        <v>44.008000000000003</v>
      </c>
      <c r="AI977" s="11">
        <v>44.116</v>
      </c>
      <c r="AJ977" s="11">
        <v>44.195999999999998</v>
      </c>
      <c r="AK977" s="11">
        <v>44.265000000000001</v>
      </c>
      <c r="AL977" s="11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</row>
    <row r="978" spans="1:147" x14ac:dyDescent="0.3">
      <c r="A978" s="9">
        <f>DATE(2020, 10, 12)</f>
        <v>44116</v>
      </c>
      <c r="B978" s="10">
        <v>41.72</v>
      </c>
      <c r="C978" s="10">
        <v>42.2</v>
      </c>
      <c r="D978" s="10">
        <v>42.57</v>
      </c>
      <c r="E978" s="10">
        <v>42.93</v>
      </c>
      <c r="F978" s="10">
        <v>43.24</v>
      </c>
      <c r="G978" s="10">
        <v>43.53</v>
      </c>
      <c r="H978" s="10">
        <v>43.8</v>
      </c>
      <c r="I978" s="10">
        <v>44.02</v>
      </c>
      <c r="J978" s="10">
        <v>44.23</v>
      </c>
      <c r="K978" s="10">
        <v>44.42</v>
      </c>
      <c r="L978" s="10">
        <v>44.58</v>
      </c>
      <c r="M978" s="10">
        <v>44.72</v>
      </c>
      <c r="N978" s="10">
        <v>39.43</v>
      </c>
      <c r="O978" s="10">
        <v>39.729999999999997</v>
      </c>
      <c r="P978" s="10">
        <v>40.11</v>
      </c>
      <c r="Q978" s="10">
        <v>40.47</v>
      </c>
      <c r="R978" s="10">
        <v>40.82</v>
      </c>
      <c r="S978" s="10">
        <v>41.12</v>
      </c>
      <c r="T978" s="10">
        <v>41.39</v>
      </c>
      <c r="U978" s="10">
        <v>41.61</v>
      </c>
      <c r="V978" s="10">
        <v>41.8</v>
      </c>
      <c r="W978" s="10">
        <v>41.94</v>
      </c>
      <c r="X978" s="10">
        <v>42.06</v>
      </c>
      <c r="Y978" s="10">
        <v>42.15</v>
      </c>
      <c r="Z978" s="11">
        <v>40.762</v>
      </c>
      <c r="AA978" s="11">
        <v>41.277999999999999</v>
      </c>
      <c r="AB978" s="11">
        <v>41.573</v>
      </c>
      <c r="AC978" s="11">
        <v>41.866</v>
      </c>
      <c r="AD978" s="11">
        <v>42.164999999999999</v>
      </c>
      <c r="AE978" s="11">
        <v>42.491999999999997</v>
      </c>
      <c r="AF978" s="11">
        <v>42.76</v>
      </c>
      <c r="AG978" s="11">
        <v>42.99</v>
      </c>
      <c r="AH978" s="11">
        <v>43.119</v>
      </c>
      <c r="AI978" s="11">
        <v>43.186999999999998</v>
      </c>
      <c r="AJ978" s="11">
        <v>43.345999999999997</v>
      </c>
      <c r="AK978" s="11">
        <v>43.435000000000002</v>
      </c>
      <c r="AL978" s="11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</row>
    <row r="979" spans="1:147" x14ac:dyDescent="0.3">
      <c r="A979" s="9">
        <f>DATE(2020, 10, 13)</f>
        <v>44117</v>
      </c>
      <c r="B979" s="10">
        <v>42.45</v>
      </c>
      <c r="C979" s="10">
        <v>42.9</v>
      </c>
      <c r="D979" s="10">
        <v>43.24</v>
      </c>
      <c r="E979" s="10">
        <v>43.56</v>
      </c>
      <c r="F979" s="10">
        <v>43.85</v>
      </c>
      <c r="G979" s="10">
        <v>44.12</v>
      </c>
      <c r="H979" s="10">
        <v>44.37</v>
      </c>
      <c r="I979" s="10">
        <v>44.57</v>
      </c>
      <c r="J979" s="10">
        <v>44.77</v>
      </c>
      <c r="K979" s="10">
        <v>44.94</v>
      </c>
      <c r="L979" s="10">
        <v>45.09</v>
      </c>
      <c r="M979" s="10">
        <v>45.22</v>
      </c>
      <c r="N979" s="10">
        <v>40.200000000000003</v>
      </c>
      <c r="O979" s="10">
        <v>40.49</v>
      </c>
      <c r="P979" s="10">
        <v>40.85</v>
      </c>
      <c r="Q979" s="10">
        <v>41.19</v>
      </c>
      <c r="R979" s="10">
        <v>41.52</v>
      </c>
      <c r="S979" s="10">
        <v>41.8</v>
      </c>
      <c r="T979" s="10">
        <v>42.04</v>
      </c>
      <c r="U979" s="10">
        <v>42.25</v>
      </c>
      <c r="V979" s="10">
        <v>42.41</v>
      </c>
      <c r="W979" s="10">
        <v>42.53</v>
      </c>
      <c r="X979" s="10">
        <v>42.62</v>
      </c>
      <c r="Y979" s="10">
        <v>42.69</v>
      </c>
      <c r="Z979" s="11">
        <v>41.302999999999997</v>
      </c>
      <c r="AA979" s="11">
        <v>42.036000000000001</v>
      </c>
      <c r="AB979" s="11">
        <v>42.268999999999998</v>
      </c>
      <c r="AC979" s="11">
        <v>42.505000000000003</v>
      </c>
      <c r="AD979" s="11">
        <v>42.783999999999999</v>
      </c>
      <c r="AE979" s="11">
        <v>43.081000000000003</v>
      </c>
      <c r="AF979" s="11">
        <v>43.33</v>
      </c>
      <c r="AG979" s="11">
        <v>43.548999999999999</v>
      </c>
      <c r="AH979" s="11">
        <v>43.677999999999997</v>
      </c>
      <c r="AI979" s="11">
        <v>43.747</v>
      </c>
      <c r="AJ979" s="11">
        <v>43.845999999999997</v>
      </c>
      <c r="AK979" s="11">
        <v>43.935000000000002</v>
      </c>
      <c r="AL979" s="11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</row>
    <row r="980" spans="1:147" x14ac:dyDescent="0.3">
      <c r="A980" s="9">
        <f>DATE(2020, 10, 14)</f>
        <v>44118</v>
      </c>
      <c r="B980" s="10">
        <v>43.32</v>
      </c>
      <c r="C980" s="10">
        <v>43.7</v>
      </c>
      <c r="D980" s="10">
        <v>43.99</v>
      </c>
      <c r="E980" s="10">
        <v>44.25</v>
      </c>
      <c r="F980" s="10">
        <v>44.51</v>
      </c>
      <c r="G980" s="10">
        <v>44.75</v>
      </c>
      <c r="H980" s="10">
        <v>44.96</v>
      </c>
      <c r="I980" s="10">
        <v>45.14</v>
      </c>
      <c r="J980" s="10">
        <v>45.31</v>
      </c>
      <c r="K980" s="10">
        <v>45.46</v>
      </c>
      <c r="L980" s="10">
        <v>45.58</v>
      </c>
      <c r="M980" s="10">
        <v>45.69</v>
      </c>
      <c r="N980" s="10">
        <v>41.04</v>
      </c>
      <c r="O980" s="10">
        <v>41.34</v>
      </c>
      <c r="P980" s="10">
        <v>41.66</v>
      </c>
      <c r="Q980" s="10">
        <v>41.97</v>
      </c>
      <c r="R980" s="10">
        <v>42.24</v>
      </c>
      <c r="S980" s="10">
        <v>42.48</v>
      </c>
      <c r="T980" s="10">
        <v>42.7</v>
      </c>
      <c r="U980" s="10">
        <v>42.88</v>
      </c>
      <c r="V980" s="10">
        <v>43.01</v>
      </c>
      <c r="W980" s="10">
        <v>43.1</v>
      </c>
      <c r="X980" s="10">
        <v>43.17</v>
      </c>
      <c r="Y980" s="10">
        <v>43.22</v>
      </c>
      <c r="Z980" s="11">
        <v>41.75</v>
      </c>
      <c r="AA980" s="11">
        <v>42.814</v>
      </c>
      <c r="AB980" s="11">
        <v>43.003999999999998</v>
      </c>
      <c r="AC980" s="11">
        <v>43.232999999999997</v>
      </c>
      <c r="AD980" s="11">
        <v>43.472000000000001</v>
      </c>
      <c r="AE980" s="11">
        <v>43.749000000000002</v>
      </c>
      <c r="AF980" s="11">
        <v>43.969000000000001</v>
      </c>
      <c r="AG980" s="11">
        <v>44.146000000000001</v>
      </c>
      <c r="AH980" s="11">
        <v>44.197000000000003</v>
      </c>
      <c r="AI980" s="11">
        <v>44.274999999999999</v>
      </c>
      <c r="AJ980" s="11">
        <v>44.344999999999999</v>
      </c>
      <c r="AK980" s="11">
        <v>44.424999999999997</v>
      </c>
      <c r="AL980" s="11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</row>
    <row r="981" spans="1:147" x14ac:dyDescent="0.3">
      <c r="A981" s="9">
        <f>DATE(2020, 10, 15)</f>
        <v>44119</v>
      </c>
      <c r="B981" s="10">
        <v>43.16</v>
      </c>
      <c r="C981" s="10">
        <v>43.52</v>
      </c>
      <c r="D981" s="10">
        <v>43.81</v>
      </c>
      <c r="E981" s="10">
        <v>44.08</v>
      </c>
      <c r="F981" s="10">
        <v>44.33</v>
      </c>
      <c r="G981" s="10">
        <v>44.57</v>
      </c>
      <c r="H981" s="10">
        <v>44.79</v>
      </c>
      <c r="I981" s="10">
        <v>44.97</v>
      </c>
      <c r="J981" s="10">
        <v>45.14</v>
      </c>
      <c r="K981" s="10">
        <v>45.29</v>
      </c>
      <c r="L981" s="10">
        <v>45.42</v>
      </c>
      <c r="M981" s="10">
        <v>45.54</v>
      </c>
      <c r="N981" s="10">
        <v>40.96</v>
      </c>
      <c r="O981" s="10">
        <v>41.24</v>
      </c>
      <c r="P981" s="10">
        <v>41.55</v>
      </c>
      <c r="Q981" s="10">
        <v>41.84</v>
      </c>
      <c r="R981" s="10">
        <v>42.09</v>
      </c>
      <c r="S981" s="10">
        <v>42.32</v>
      </c>
      <c r="T981" s="10">
        <v>42.52</v>
      </c>
      <c r="U981" s="10">
        <v>42.67</v>
      </c>
      <c r="V981" s="10">
        <v>42.8</v>
      </c>
      <c r="W981" s="10">
        <v>42.89</v>
      </c>
      <c r="X981" s="10">
        <v>42.96</v>
      </c>
      <c r="Y981" s="10">
        <v>43.02</v>
      </c>
      <c r="Z981" s="11">
        <v>41.640999999999998</v>
      </c>
      <c r="AA981" s="11">
        <v>42.654000000000003</v>
      </c>
      <c r="AB981" s="11">
        <v>42.844999999999999</v>
      </c>
      <c r="AC981" s="11">
        <v>43.073</v>
      </c>
      <c r="AD981" s="11">
        <v>43.302</v>
      </c>
      <c r="AE981" s="11">
        <v>43.55</v>
      </c>
      <c r="AF981" s="11">
        <v>43.779000000000003</v>
      </c>
      <c r="AG981" s="11">
        <v>43.985999999999997</v>
      </c>
      <c r="AH981" s="11">
        <v>44.106999999999999</v>
      </c>
      <c r="AI981" s="11">
        <v>44.146000000000001</v>
      </c>
      <c r="AJ981" s="11">
        <v>44.195</v>
      </c>
      <c r="AK981" s="11">
        <v>44.284999999999997</v>
      </c>
      <c r="AL981" s="11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</row>
    <row r="982" spans="1:147" x14ac:dyDescent="0.3">
      <c r="A982" s="9">
        <f>DATE(2020, 10, 16)</f>
        <v>44120</v>
      </c>
      <c r="B982" s="10">
        <v>42.93</v>
      </c>
      <c r="C982" s="10">
        <v>43.27</v>
      </c>
      <c r="D982" s="10">
        <v>43.57</v>
      </c>
      <c r="E982" s="10">
        <v>43.87</v>
      </c>
      <c r="F982" s="10">
        <v>44.13</v>
      </c>
      <c r="G982" s="10">
        <v>44.37</v>
      </c>
      <c r="H982" s="10">
        <v>44.59</v>
      </c>
      <c r="I982" s="10">
        <v>44.77</v>
      </c>
      <c r="J982" s="10">
        <v>44.95</v>
      </c>
      <c r="K982" s="10">
        <v>45.11</v>
      </c>
      <c r="L982" s="10">
        <v>45.24</v>
      </c>
      <c r="M982" s="10">
        <v>45.36</v>
      </c>
      <c r="N982" s="10">
        <v>40.880000000000003</v>
      </c>
      <c r="O982" s="10">
        <v>41.12</v>
      </c>
      <c r="P982" s="10">
        <v>41.42</v>
      </c>
      <c r="Q982" s="10">
        <v>41.7</v>
      </c>
      <c r="R982" s="10">
        <v>41.95</v>
      </c>
      <c r="S982" s="10">
        <v>42.17</v>
      </c>
      <c r="T982" s="10">
        <v>42.37</v>
      </c>
      <c r="U982" s="10">
        <v>42.51</v>
      </c>
      <c r="V982" s="10">
        <v>42.63</v>
      </c>
      <c r="W982" s="10">
        <v>42.73</v>
      </c>
      <c r="X982" s="10">
        <v>42.81</v>
      </c>
      <c r="Y982" s="10">
        <v>42.88</v>
      </c>
      <c r="Z982" s="11">
        <v>41.47</v>
      </c>
      <c r="AA982" s="11">
        <v>42.314</v>
      </c>
      <c r="AB982" s="11">
        <v>42.517000000000003</v>
      </c>
      <c r="AC982" s="11">
        <v>42.773000000000003</v>
      </c>
      <c r="AD982" s="11">
        <v>43.021999999999998</v>
      </c>
      <c r="AE982" s="11">
        <v>43.28</v>
      </c>
      <c r="AF982" s="11">
        <v>43.539000000000001</v>
      </c>
      <c r="AG982" s="11">
        <v>43.726999999999997</v>
      </c>
      <c r="AH982" s="11">
        <v>43.866999999999997</v>
      </c>
      <c r="AI982" s="11">
        <v>43.945999999999998</v>
      </c>
      <c r="AJ982" s="11">
        <v>44.015000000000001</v>
      </c>
      <c r="AK982" s="11">
        <v>44.085000000000001</v>
      </c>
      <c r="AL982" s="11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</row>
    <row r="983" spans="1:147" x14ac:dyDescent="0.3">
      <c r="A983" s="9">
        <f>DATE(2020, 10, 19)</f>
        <v>44123</v>
      </c>
      <c r="B983" s="10">
        <v>42.62</v>
      </c>
      <c r="C983" s="10">
        <v>42.98</v>
      </c>
      <c r="D983" s="10">
        <v>43.32</v>
      </c>
      <c r="E983" s="10">
        <v>43.66</v>
      </c>
      <c r="F983" s="10">
        <v>43.96</v>
      </c>
      <c r="G983" s="10">
        <v>44.23</v>
      </c>
      <c r="H983" s="10">
        <v>44.48</v>
      </c>
      <c r="I983" s="10">
        <v>44.68</v>
      </c>
      <c r="J983" s="10">
        <v>44.87</v>
      </c>
      <c r="K983" s="10">
        <v>45.04</v>
      </c>
      <c r="L983" s="10">
        <v>45.18</v>
      </c>
      <c r="M983" s="10">
        <v>45.31</v>
      </c>
      <c r="N983" s="10">
        <v>40.83</v>
      </c>
      <c r="O983" s="10">
        <v>41.06</v>
      </c>
      <c r="P983" s="10">
        <v>41.34</v>
      </c>
      <c r="Q983" s="10">
        <v>41.63</v>
      </c>
      <c r="R983" s="10">
        <v>41.9</v>
      </c>
      <c r="S983" s="10">
        <v>42.13</v>
      </c>
      <c r="T983" s="10">
        <v>42.34</v>
      </c>
      <c r="U983" s="10">
        <v>42.5</v>
      </c>
      <c r="V983" s="10">
        <v>42.65</v>
      </c>
      <c r="W983" s="10">
        <v>42.73</v>
      </c>
      <c r="X983" s="10">
        <v>42.83</v>
      </c>
      <c r="Y983" s="10">
        <v>42.9</v>
      </c>
      <c r="Z983" s="11">
        <v>41.384999999999998</v>
      </c>
      <c r="AA983" s="11">
        <v>42.116</v>
      </c>
      <c r="AB983" s="11">
        <v>42.311</v>
      </c>
      <c r="AC983" s="11">
        <v>42.555</v>
      </c>
      <c r="AD983" s="11">
        <v>42.823999999999998</v>
      </c>
      <c r="AE983" s="11">
        <v>43.091000000000001</v>
      </c>
      <c r="AF983" s="11">
        <v>43.36</v>
      </c>
      <c r="AG983" s="11">
        <v>43.578000000000003</v>
      </c>
      <c r="AH983" s="11">
        <v>43.758000000000003</v>
      </c>
      <c r="AI983" s="11">
        <v>43.866</v>
      </c>
      <c r="AJ983" s="11">
        <v>43.936</v>
      </c>
      <c r="AK983" s="11">
        <v>44.015000000000001</v>
      </c>
      <c r="AL983" s="11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</row>
    <row r="984" spans="1:147" x14ac:dyDescent="0.3">
      <c r="A984" s="9">
        <f>DATE(2020, 10, 20)</f>
        <v>44124</v>
      </c>
      <c r="B984" s="10">
        <v>43.16</v>
      </c>
      <c r="C984" s="10">
        <v>43.53</v>
      </c>
      <c r="D984" s="10">
        <v>43.86</v>
      </c>
      <c r="E984" s="10">
        <v>44.18</v>
      </c>
      <c r="F984" s="10">
        <v>44.47</v>
      </c>
      <c r="G984" s="10">
        <v>44.74</v>
      </c>
      <c r="H984" s="10">
        <v>44.99</v>
      </c>
      <c r="I984" s="10">
        <v>45.19</v>
      </c>
      <c r="J984" s="10">
        <v>45.37</v>
      </c>
      <c r="K984" s="10">
        <v>45.53</v>
      </c>
      <c r="L984" s="10">
        <v>45.66</v>
      </c>
      <c r="M984" s="10">
        <v>45.79</v>
      </c>
      <c r="N984" s="10">
        <v>41.46</v>
      </c>
      <c r="O984" s="10">
        <v>41.7</v>
      </c>
      <c r="P984" s="10">
        <v>41.97</v>
      </c>
      <c r="Q984" s="10">
        <v>42.24</v>
      </c>
      <c r="R984" s="10">
        <v>42.5</v>
      </c>
      <c r="S984" s="10">
        <v>42.72</v>
      </c>
      <c r="T984" s="10">
        <v>42.91</v>
      </c>
      <c r="U984" s="10">
        <v>43.08</v>
      </c>
      <c r="V984" s="10">
        <v>43.2</v>
      </c>
      <c r="W984" s="10">
        <v>43.29</v>
      </c>
      <c r="X984" s="10">
        <v>43.36</v>
      </c>
      <c r="Y984" s="10">
        <v>43.41</v>
      </c>
      <c r="Z984" s="11">
        <v>41.552</v>
      </c>
      <c r="AA984" s="11">
        <v>42.625999999999998</v>
      </c>
      <c r="AB984" s="11">
        <v>42.838999999999999</v>
      </c>
      <c r="AC984" s="11">
        <v>43.064999999999998</v>
      </c>
      <c r="AD984" s="11">
        <v>43.323999999999998</v>
      </c>
      <c r="AE984" s="11">
        <v>43.600999999999999</v>
      </c>
      <c r="AF984" s="11">
        <v>43.84</v>
      </c>
      <c r="AG984" s="11">
        <v>44.076999999999998</v>
      </c>
      <c r="AH984" s="11">
        <v>44.237000000000002</v>
      </c>
      <c r="AI984" s="11">
        <v>44.316000000000003</v>
      </c>
      <c r="AJ984" s="11">
        <v>44.396000000000001</v>
      </c>
      <c r="AK984" s="11">
        <v>44.484999999999999</v>
      </c>
      <c r="AL984" s="11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</row>
    <row r="985" spans="1:147" x14ac:dyDescent="0.3">
      <c r="A985" s="9">
        <f>DATE(2020, 10, 21)</f>
        <v>44125</v>
      </c>
      <c r="B985" s="10">
        <v>41.73</v>
      </c>
      <c r="C985" s="10">
        <v>42.07</v>
      </c>
      <c r="D985" s="10">
        <v>42.4</v>
      </c>
      <c r="E985" s="10">
        <v>42.72</v>
      </c>
      <c r="F985" s="10">
        <v>43.02</v>
      </c>
      <c r="G985" s="10">
        <v>43.3</v>
      </c>
      <c r="H985" s="10">
        <v>43.57</v>
      </c>
      <c r="I985" s="10">
        <v>43.77</v>
      </c>
      <c r="J985" s="10">
        <v>43.96</v>
      </c>
      <c r="K985" s="10">
        <v>44.13</v>
      </c>
      <c r="L985" s="10">
        <v>44.27</v>
      </c>
      <c r="M985" s="10">
        <v>44.41</v>
      </c>
      <c r="N985" s="10">
        <v>40.03</v>
      </c>
      <c r="O985" s="10">
        <v>40.31</v>
      </c>
      <c r="P985" s="10">
        <v>40.61</v>
      </c>
      <c r="Q985" s="10">
        <v>40.9</v>
      </c>
      <c r="R985" s="10">
        <v>41.15</v>
      </c>
      <c r="S985" s="10">
        <v>41.37</v>
      </c>
      <c r="T985" s="10">
        <v>41.56</v>
      </c>
      <c r="U985" s="10">
        <v>41.71</v>
      </c>
      <c r="V985" s="10">
        <v>41.83</v>
      </c>
      <c r="W985" s="10">
        <v>41.92</v>
      </c>
      <c r="X985" s="10">
        <v>42</v>
      </c>
      <c r="Y985" s="10">
        <v>42.07</v>
      </c>
      <c r="Z985" s="11">
        <v>41.061999999999998</v>
      </c>
      <c r="AA985" s="11">
        <v>41.176000000000002</v>
      </c>
      <c r="AB985" s="11">
        <v>41.378999999999998</v>
      </c>
      <c r="AC985" s="11">
        <v>41.604999999999997</v>
      </c>
      <c r="AD985" s="11">
        <v>41.853999999999999</v>
      </c>
      <c r="AE985" s="11">
        <v>42.142000000000003</v>
      </c>
      <c r="AF985" s="11">
        <v>42.4</v>
      </c>
      <c r="AG985" s="11">
        <v>42.628</v>
      </c>
      <c r="AH985" s="11">
        <v>42.787999999999997</v>
      </c>
      <c r="AI985" s="11">
        <v>42.886000000000003</v>
      </c>
      <c r="AJ985" s="11">
        <v>42.975999999999999</v>
      </c>
      <c r="AK985" s="11">
        <v>43.075000000000003</v>
      </c>
      <c r="AL985" s="11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</row>
    <row r="986" spans="1:147" x14ac:dyDescent="0.3">
      <c r="A986" s="9">
        <f>DATE(2020, 10, 22)</f>
        <v>44126</v>
      </c>
      <c r="B986" s="10">
        <v>42.46</v>
      </c>
      <c r="C986" s="10">
        <v>42.78</v>
      </c>
      <c r="D986" s="10">
        <v>43.07</v>
      </c>
      <c r="E986" s="10">
        <v>43.36</v>
      </c>
      <c r="F986" s="10">
        <v>43.64</v>
      </c>
      <c r="G986" s="10">
        <v>43.89</v>
      </c>
      <c r="H986" s="10">
        <v>44.14</v>
      </c>
      <c r="I986" s="10">
        <v>44.33</v>
      </c>
      <c r="J986" s="10">
        <v>44.51</v>
      </c>
      <c r="K986" s="10">
        <v>44.68</v>
      </c>
      <c r="L986" s="10">
        <v>44.82</v>
      </c>
      <c r="M986" s="10">
        <v>44.94</v>
      </c>
      <c r="N986" s="10">
        <v>40.64</v>
      </c>
      <c r="O986" s="10">
        <v>40.94</v>
      </c>
      <c r="P986" s="10">
        <v>41.23</v>
      </c>
      <c r="Q986" s="10">
        <v>41.5</v>
      </c>
      <c r="R986" s="10">
        <v>41.74</v>
      </c>
      <c r="S986" s="10">
        <v>41.95</v>
      </c>
      <c r="T986" s="10">
        <v>42.13</v>
      </c>
      <c r="U986" s="10">
        <v>42.27</v>
      </c>
      <c r="V986" s="10">
        <v>42.38</v>
      </c>
      <c r="W986" s="10">
        <v>42.47</v>
      </c>
      <c r="X986" s="10">
        <v>42.54</v>
      </c>
      <c r="Y986" s="10">
        <v>42.6</v>
      </c>
      <c r="Z986" s="11">
        <v>41.29</v>
      </c>
      <c r="AA986" s="11">
        <v>41.914000000000001</v>
      </c>
      <c r="AB986" s="11">
        <v>42.076000000000001</v>
      </c>
      <c r="AC986" s="11">
        <v>42.274000000000001</v>
      </c>
      <c r="AD986" s="11">
        <v>42.503</v>
      </c>
      <c r="AE986" s="11">
        <v>42.761000000000003</v>
      </c>
      <c r="AF986" s="11">
        <v>43.009</v>
      </c>
      <c r="AG986" s="11">
        <v>43.216999999999999</v>
      </c>
      <c r="AH986" s="11">
        <v>43.398000000000003</v>
      </c>
      <c r="AI986" s="11">
        <v>43.475999999999999</v>
      </c>
      <c r="AJ986" s="11">
        <v>43.555</v>
      </c>
      <c r="AK986" s="11">
        <v>43.625</v>
      </c>
      <c r="AL986" s="11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</row>
    <row r="987" spans="1:147" x14ac:dyDescent="0.3">
      <c r="A987" s="9">
        <f>DATE(2020, 10, 23)</f>
        <v>44127</v>
      </c>
      <c r="B987" s="10">
        <v>41.77</v>
      </c>
      <c r="C987" s="10">
        <v>42.07</v>
      </c>
      <c r="D987" s="10">
        <v>42.35</v>
      </c>
      <c r="E987" s="10">
        <v>42.63</v>
      </c>
      <c r="F987" s="10">
        <v>42.89</v>
      </c>
      <c r="G987" s="10">
        <v>43.14</v>
      </c>
      <c r="H987" s="10">
        <v>43.39</v>
      </c>
      <c r="I987" s="10">
        <v>43.58</v>
      </c>
      <c r="J987" s="10">
        <v>43.76</v>
      </c>
      <c r="K987" s="10">
        <v>43.93</v>
      </c>
      <c r="L987" s="10">
        <v>44.07</v>
      </c>
      <c r="M987" s="10">
        <v>44.2</v>
      </c>
      <c r="N987" s="10">
        <v>39.85</v>
      </c>
      <c r="O987" s="10">
        <v>40.15</v>
      </c>
      <c r="P987" s="10">
        <v>40.450000000000003</v>
      </c>
      <c r="Q987" s="10">
        <v>40.729999999999997</v>
      </c>
      <c r="R987" s="10">
        <v>40.97</v>
      </c>
      <c r="S987" s="10">
        <v>41.18</v>
      </c>
      <c r="T987" s="10">
        <v>41.36</v>
      </c>
      <c r="U987" s="10">
        <v>41.51</v>
      </c>
      <c r="V987" s="10">
        <v>41.63</v>
      </c>
      <c r="W987" s="10">
        <v>41.72</v>
      </c>
      <c r="X987" s="10">
        <v>41.79</v>
      </c>
      <c r="Y987" s="10">
        <v>41.86</v>
      </c>
      <c r="Z987" s="11">
        <v>41.164000000000001</v>
      </c>
      <c r="AA987" s="11">
        <v>41.302999999999997</v>
      </c>
      <c r="AB987" s="11">
        <v>41.465000000000003</v>
      </c>
      <c r="AC987" s="11">
        <v>41.652999999999999</v>
      </c>
      <c r="AD987" s="11">
        <v>41.843000000000004</v>
      </c>
      <c r="AE987" s="11">
        <v>42.081000000000003</v>
      </c>
      <c r="AF987" s="11">
        <v>42.329000000000001</v>
      </c>
      <c r="AG987" s="11">
        <v>42.557000000000002</v>
      </c>
      <c r="AH987" s="11">
        <v>42.688000000000002</v>
      </c>
      <c r="AI987" s="11">
        <v>42.776000000000003</v>
      </c>
      <c r="AJ987" s="11">
        <v>42.845999999999997</v>
      </c>
      <c r="AK987" s="11">
        <v>42.914999999999999</v>
      </c>
      <c r="AL987" s="11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</row>
    <row r="988" spans="1:147" x14ac:dyDescent="0.3">
      <c r="A988" s="9">
        <f>DATE(2020, 10, 26)</f>
        <v>44130</v>
      </c>
      <c r="B988" s="10">
        <v>40.46</v>
      </c>
      <c r="C988" s="10">
        <v>40.81</v>
      </c>
      <c r="D988" s="10">
        <v>41.16</v>
      </c>
      <c r="E988" s="10">
        <v>41.5</v>
      </c>
      <c r="F988" s="10">
        <v>41.8</v>
      </c>
      <c r="G988" s="10">
        <v>42.08</v>
      </c>
      <c r="H988" s="10">
        <v>42.35</v>
      </c>
      <c r="I988" s="10">
        <v>42.55</v>
      </c>
      <c r="J988" s="10">
        <v>42.74</v>
      </c>
      <c r="K988" s="10">
        <v>42.92</v>
      </c>
      <c r="L988" s="10">
        <v>43.07</v>
      </c>
      <c r="M988" s="10">
        <v>43.21</v>
      </c>
      <c r="N988" s="10">
        <v>38.56</v>
      </c>
      <c r="O988" s="10">
        <v>38.89</v>
      </c>
      <c r="P988" s="10">
        <v>39.22</v>
      </c>
      <c r="Q988" s="10">
        <v>39.54</v>
      </c>
      <c r="R988" s="10">
        <v>39.82</v>
      </c>
      <c r="S988" s="10">
        <v>40.07</v>
      </c>
      <c r="T988" s="10">
        <v>40.28</v>
      </c>
      <c r="U988" s="10">
        <v>40.450000000000003</v>
      </c>
      <c r="V988" s="10">
        <v>40.590000000000003</v>
      </c>
      <c r="W988" s="10">
        <v>40.71</v>
      </c>
      <c r="X988" s="10">
        <v>40.799999999999997</v>
      </c>
      <c r="Y988" s="10">
        <v>40.89</v>
      </c>
      <c r="Z988" s="11">
        <v>40.865000000000002</v>
      </c>
      <c r="AA988" s="11">
        <v>40.036999999999999</v>
      </c>
      <c r="AB988" s="11">
        <v>40.250999999999998</v>
      </c>
      <c r="AC988" s="11">
        <v>40.465000000000003</v>
      </c>
      <c r="AD988" s="11">
        <v>40.694000000000003</v>
      </c>
      <c r="AE988" s="11">
        <v>40.972000000000001</v>
      </c>
      <c r="AF988" s="11">
        <v>41.24</v>
      </c>
      <c r="AG988" s="11">
        <v>41.468000000000004</v>
      </c>
      <c r="AH988" s="11">
        <v>41.597999999999999</v>
      </c>
      <c r="AI988" s="11">
        <v>41.707000000000001</v>
      </c>
      <c r="AJ988" s="11">
        <v>41.826000000000001</v>
      </c>
      <c r="AK988" s="11">
        <v>41.926000000000002</v>
      </c>
      <c r="AL988" s="11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</row>
    <row r="989" spans="1:147" x14ac:dyDescent="0.3">
      <c r="A989" s="9">
        <f>DATE(2020, 10, 27)</f>
        <v>44131</v>
      </c>
      <c r="B989" s="10">
        <v>41.2</v>
      </c>
      <c r="C989" s="10">
        <v>41.61</v>
      </c>
      <c r="D989" s="10">
        <v>41.95</v>
      </c>
      <c r="E989" s="10">
        <v>42.28</v>
      </c>
      <c r="F989" s="10">
        <v>42.56</v>
      </c>
      <c r="G989" s="10">
        <v>42.83</v>
      </c>
      <c r="H989" s="10">
        <v>43.08</v>
      </c>
      <c r="I989" s="10">
        <v>43.27</v>
      </c>
      <c r="J989" s="10">
        <v>43.44</v>
      </c>
      <c r="K989" s="10">
        <v>43.61</v>
      </c>
      <c r="L989" s="10">
        <v>43.76</v>
      </c>
      <c r="M989" s="10">
        <v>43.9</v>
      </c>
      <c r="N989" s="10">
        <v>39.57</v>
      </c>
      <c r="O989" s="10">
        <v>39.869999999999997</v>
      </c>
      <c r="P989" s="10">
        <v>40.18</v>
      </c>
      <c r="Q989" s="10">
        <v>40.46</v>
      </c>
      <c r="R989" s="10">
        <v>40.72</v>
      </c>
      <c r="S989" s="10">
        <v>40.94</v>
      </c>
      <c r="T989" s="10">
        <v>41.14</v>
      </c>
      <c r="U989" s="10">
        <v>41.28</v>
      </c>
      <c r="V989" s="10">
        <v>41.4</v>
      </c>
      <c r="W989" s="10">
        <v>41.52</v>
      </c>
      <c r="X989" s="10">
        <v>41.59</v>
      </c>
      <c r="Y989" s="10">
        <v>41.66</v>
      </c>
      <c r="Z989" s="11">
        <v>40.966999999999999</v>
      </c>
      <c r="AA989" s="11">
        <v>40.805999999999997</v>
      </c>
      <c r="AB989" s="11">
        <v>41.05</v>
      </c>
      <c r="AC989" s="11">
        <v>41.264000000000003</v>
      </c>
      <c r="AD989" s="11">
        <v>41.484000000000002</v>
      </c>
      <c r="AE989" s="11">
        <v>41.750999999999998</v>
      </c>
      <c r="AF989" s="11">
        <v>41.988999999999997</v>
      </c>
      <c r="AG989" s="11">
        <v>42.195999999999998</v>
      </c>
      <c r="AH989" s="11">
        <v>42.347999999999999</v>
      </c>
      <c r="AI989" s="11">
        <v>42.417000000000002</v>
      </c>
      <c r="AJ989" s="11">
        <v>42.515999999999998</v>
      </c>
      <c r="AK989" s="11">
        <v>42.615000000000002</v>
      </c>
      <c r="AL989" s="11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</row>
    <row r="990" spans="1:147" x14ac:dyDescent="0.3">
      <c r="A990" s="9">
        <f>DATE(2020, 10, 28)</f>
        <v>44132</v>
      </c>
      <c r="B990" s="10">
        <v>39.119999999999997</v>
      </c>
      <c r="C990" s="10">
        <v>39.64</v>
      </c>
      <c r="D990" s="10">
        <v>40.03</v>
      </c>
      <c r="E990" s="10">
        <v>40.4</v>
      </c>
      <c r="F990" s="10">
        <v>40.74</v>
      </c>
      <c r="G990" s="10">
        <v>41.05</v>
      </c>
      <c r="H990" s="10">
        <v>41.34</v>
      </c>
      <c r="I990" s="10">
        <v>41.56</v>
      </c>
      <c r="J990" s="10">
        <v>41.76</v>
      </c>
      <c r="K990" s="10">
        <v>41.96</v>
      </c>
      <c r="L990" s="10">
        <v>42.13</v>
      </c>
      <c r="M990" s="10">
        <v>42.28</v>
      </c>
      <c r="N990" s="10">
        <v>37.39</v>
      </c>
      <c r="O990" s="10">
        <v>37.72</v>
      </c>
      <c r="P990" s="10">
        <v>38.08</v>
      </c>
      <c r="Q990" s="10">
        <v>38.43</v>
      </c>
      <c r="R990" s="10">
        <v>38.75</v>
      </c>
      <c r="S990" s="10">
        <v>39.04</v>
      </c>
      <c r="T990" s="10">
        <v>39.299999999999997</v>
      </c>
      <c r="U990" s="10">
        <v>39.51</v>
      </c>
      <c r="V990" s="10">
        <v>39.68</v>
      </c>
      <c r="W990" s="10">
        <v>39.82</v>
      </c>
      <c r="X990" s="10">
        <v>39.93</v>
      </c>
      <c r="Y990" s="10">
        <v>40.04</v>
      </c>
      <c r="Z990" s="11">
        <v>40.731999999999999</v>
      </c>
      <c r="AA990" s="11">
        <v>38.929000000000002</v>
      </c>
      <c r="AB990" s="11">
        <v>39.154000000000003</v>
      </c>
      <c r="AC990" s="11">
        <v>39.406999999999996</v>
      </c>
      <c r="AD990" s="11">
        <v>39.686</v>
      </c>
      <c r="AE990" s="11">
        <v>39.982999999999997</v>
      </c>
      <c r="AF990" s="11">
        <v>40.26</v>
      </c>
      <c r="AG990" s="11">
        <v>40.518999999999998</v>
      </c>
      <c r="AH990" s="11">
        <v>40.679000000000002</v>
      </c>
      <c r="AI990" s="11">
        <v>40.808</v>
      </c>
      <c r="AJ990" s="11">
        <v>40.917000000000002</v>
      </c>
      <c r="AK990" s="11">
        <v>41.017000000000003</v>
      </c>
      <c r="AL990" s="11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</row>
    <row r="991" spans="1:147" x14ac:dyDescent="0.3">
      <c r="A991" s="9">
        <f>DATE(2020, 10, 29)</f>
        <v>44133</v>
      </c>
      <c r="B991" s="10">
        <v>37.65</v>
      </c>
      <c r="C991" s="10">
        <v>38.26</v>
      </c>
      <c r="D991" s="10">
        <v>38.69</v>
      </c>
      <c r="E991" s="10">
        <v>39.11</v>
      </c>
      <c r="F991" s="10">
        <v>39.5</v>
      </c>
      <c r="G991" s="10">
        <v>39.85</v>
      </c>
      <c r="H991" s="10">
        <v>40.159999999999997</v>
      </c>
      <c r="I991" s="10">
        <v>40.409999999999997</v>
      </c>
      <c r="J991" s="10">
        <v>40.64</v>
      </c>
      <c r="K991" s="10">
        <v>40.869999999999997</v>
      </c>
      <c r="L991" s="10">
        <v>41.07</v>
      </c>
      <c r="M991" s="10">
        <v>41.26</v>
      </c>
      <c r="N991" s="10">
        <v>36.17</v>
      </c>
      <c r="O991" s="10">
        <v>36.51</v>
      </c>
      <c r="P991" s="10">
        <v>36.869999999999997</v>
      </c>
      <c r="Q991" s="10">
        <v>37.25</v>
      </c>
      <c r="R991" s="10">
        <v>37.6</v>
      </c>
      <c r="S991" s="10">
        <v>37.9</v>
      </c>
      <c r="T991" s="10">
        <v>38.18</v>
      </c>
      <c r="U991" s="10">
        <v>38.409999999999997</v>
      </c>
      <c r="V991" s="10">
        <v>38.61</v>
      </c>
      <c r="W991" s="10">
        <v>38.770000000000003</v>
      </c>
      <c r="X991" s="10">
        <v>38.92</v>
      </c>
      <c r="Y991" s="10">
        <v>39.06</v>
      </c>
      <c r="Z991" s="11">
        <v>40.664999999999999</v>
      </c>
      <c r="AA991" s="11">
        <v>37.65</v>
      </c>
      <c r="AB991" s="11">
        <v>37.887999999999998</v>
      </c>
      <c r="AC991" s="11">
        <v>38.159999999999997</v>
      </c>
      <c r="AD991" s="11">
        <v>38.468000000000004</v>
      </c>
      <c r="AE991" s="11">
        <v>38.792999999999999</v>
      </c>
      <c r="AF991" s="11">
        <v>39.101999999999997</v>
      </c>
      <c r="AG991" s="11">
        <v>39.392000000000003</v>
      </c>
      <c r="AH991" s="11">
        <v>39.56</v>
      </c>
      <c r="AI991" s="11">
        <v>39.728999999999999</v>
      </c>
      <c r="AJ991" s="11">
        <v>39.878999999999998</v>
      </c>
      <c r="AK991" s="11">
        <v>40.006999999999998</v>
      </c>
      <c r="AL991" s="11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</row>
    <row r="992" spans="1:147" x14ac:dyDescent="0.3">
      <c r="A992" s="9">
        <f>DATE(2020, 10, 30)</f>
        <v>44134</v>
      </c>
      <c r="B992" s="10">
        <v>37.46</v>
      </c>
      <c r="C992" s="10">
        <v>37.94</v>
      </c>
      <c r="D992" s="10">
        <v>38.4</v>
      </c>
      <c r="E992" s="10">
        <v>38.85</v>
      </c>
      <c r="F992" s="10">
        <v>39.28</v>
      </c>
      <c r="G992" s="10">
        <v>39.69</v>
      </c>
      <c r="H992" s="10">
        <v>40.04</v>
      </c>
      <c r="I992" s="10">
        <v>40.31</v>
      </c>
      <c r="J992" s="10">
        <v>40.58</v>
      </c>
      <c r="K992" s="10">
        <v>40.840000000000003</v>
      </c>
      <c r="L992" s="10">
        <v>41.07</v>
      </c>
      <c r="M992" s="10">
        <v>41.28</v>
      </c>
      <c r="N992" s="10">
        <v>35.79</v>
      </c>
      <c r="O992" s="10">
        <v>36.15</v>
      </c>
      <c r="P992" s="10">
        <v>36.57</v>
      </c>
      <c r="Q992" s="10">
        <v>37</v>
      </c>
      <c r="R992" s="10">
        <v>37.4</v>
      </c>
      <c r="S992" s="10">
        <v>37.76</v>
      </c>
      <c r="T992" s="10">
        <v>38.07</v>
      </c>
      <c r="U992" s="10">
        <v>38.35</v>
      </c>
      <c r="V992" s="10">
        <v>38.58</v>
      </c>
      <c r="W992" s="10">
        <v>38.770000000000003</v>
      </c>
      <c r="X992" s="10">
        <v>38.950000000000003</v>
      </c>
      <c r="Y992" s="10">
        <v>39.119999999999997</v>
      </c>
      <c r="Z992" s="11">
        <v>40.661000000000001</v>
      </c>
      <c r="AA992" s="11">
        <v>37.322000000000003</v>
      </c>
      <c r="AB992" s="11">
        <v>37.581000000000003</v>
      </c>
      <c r="AC992" s="11">
        <v>37.851999999999997</v>
      </c>
      <c r="AD992" s="11">
        <v>38.201000000000001</v>
      </c>
      <c r="AE992" s="11">
        <v>38.575000000000003</v>
      </c>
      <c r="AF992" s="11">
        <v>38.933</v>
      </c>
      <c r="AG992" s="11">
        <v>39.225999999999999</v>
      </c>
      <c r="AH992" s="11">
        <v>39.462000000000003</v>
      </c>
      <c r="AI992" s="11">
        <v>39.68</v>
      </c>
      <c r="AJ992" s="11">
        <v>39.869999999999997</v>
      </c>
      <c r="AK992" s="11">
        <v>40.029000000000003</v>
      </c>
      <c r="AL992" s="11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</row>
    <row r="993" spans="1:147" x14ac:dyDescent="0.3">
      <c r="A993" s="9">
        <f>DATE(2020, 11, 2)</f>
        <v>44137</v>
      </c>
      <c r="B993" s="10">
        <v>38.97</v>
      </c>
      <c r="C993" s="10">
        <v>39.46</v>
      </c>
      <c r="D993" s="10">
        <v>39.94</v>
      </c>
      <c r="E993" s="10">
        <v>40.39</v>
      </c>
      <c r="F993" s="10">
        <v>40.81</v>
      </c>
      <c r="G993" s="10">
        <v>41.18</v>
      </c>
      <c r="H993" s="10">
        <v>41.47</v>
      </c>
      <c r="I993" s="10">
        <v>41.74</v>
      </c>
      <c r="J993" s="10">
        <v>42.01</v>
      </c>
      <c r="K993" s="10">
        <v>42.24</v>
      </c>
      <c r="L993" s="10">
        <v>42.46</v>
      </c>
      <c r="M993" s="10">
        <v>42.67</v>
      </c>
      <c r="N993" s="10">
        <v>36.81</v>
      </c>
      <c r="O993" s="10">
        <v>37.18</v>
      </c>
      <c r="P993" s="10">
        <v>37.630000000000003</v>
      </c>
      <c r="Q993" s="10">
        <v>38.08</v>
      </c>
      <c r="R993" s="10">
        <v>38.51</v>
      </c>
      <c r="S993" s="10">
        <v>38.89</v>
      </c>
      <c r="T993" s="10">
        <v>39.24</v>
      </c>
      <c r="U993" s="10">
        <v>39.54</v>
      </c>
      <c r="V993" s="10">
        <v>39.79</v>
      </c>
      <c r="W993" s="10">
        <v>40.020000000000003</v>
      </c>
      <c r="X993" s="10">
        <v>40.22</v>
      </c>
      <c r="Y993" s="10">
        <v>40.409999999999997</v>
      </c>
      <c r="Z993" s="11">
        <v>40.661000000000001</v>
      </c>
      <c r="AA993" s="11">
        <v>38.445</v>
      </c>
      <c r="AB993" s="11">
        <v>38.774000000000001</v>
      </c>
      <c r="AC993" s="11">
        <v>39.052999999999997</v>
      </c>
      <c r="AD993" s="11">
        <v>39.350999999999999</v>
      </c>
      <c r="AE993" s="11">
        <v>39.706000000000003</v>
      </c>
      <c r="AF993" s="11">
        <v>40.084000000000003</v>
      </c>
      <c r="AG993" s="11">
        <v>40.375999999999998</v>
      </c>
      <c r="AH993" s="11">
        <v>40.612000000000002</v>
      </c>
      <c r="AI993" s="11">
        <v>40.82</v>
      </c>
      <c r="AJ993" s="11">
        <v>41.01</v>
      </c>
      <c r="AK993" s="11">
        <v>41.17</v>
      </c>
      <c r="AL993" s="11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</row>
    <row r="994" spans="1:147" x14ac:dyDescent="0.3">
      <c r="A994" s="9">
        <f>DATE(2020, 11, 3)</f>
        <v>44138</v>
      </c>
      <c r="B994" s="10">
        <v>39.71</v>
      </c>
      <c r="C994" s="10">
        <v>40.15</v>
      </c>
      <c r="D994" s="10">
        <v>40.6</v>
      </c>
      <c r="E994" s="10">
        <v>41.01</v>
      </c>
      <c r="F994" s="10">
        <v>41.39</v>
      </c>
      <c r="G994" s="10">
        <v>41.73</v>
      </c>
      <c r="H994" s="10">
        <v>42</v>
      </c>
      <c r="I994" s="10">
        <v>42.25</v>
      </c>
      <c r="J994" s="10">
        <v>42.51</v>
      </c>
      <c r="K994" s="10">
        <v>42.72</v>
      </c>
      <c r="L994" s="10">
        <v>42.91</v>
      </c>
      <c r="M994" s="10">
        <v>43.09</v>
      </c>
      <c r="N994" s="10">
        <v>37.659999999999997</v>
      </c>
      <c r="O994" s="10">
        <v>37.99</v>
      </c>
      <c r="P994" s="10">
        <v>38.409999999999997</v>
      </c>
      <c r="Q994" s="10">
        <v>38.83</v>
      </c>
      <c r="R994" s="10">
        <v>39.21</v>
      </c>
      <c r="S994" s="10">
        <v>39.549999999999997</v>
      </c>
      <c r="T994" s="10">
        <v>39.85</v>
      </c>
      <c r="U994" s="10">
        <v>40.11</v>
      </c>
      <c r="V994" s="10">
        <v>40.32</v>
      </c>
      <c r="W994" s="10">
        <v>40.51</v>
      </c>
      <c r="X994" s="10">
        <v>40.67</v>
      </c>
      <c r="Y994" s="10">
        <v>40.82</v>
      </c>
      <c r="Z994" s="11">
        <v>39.226999999999997</v>
      </c>
      <c r="AA994" s="11">
        <v>39.540999999999997</v>
      </c>
      <c r="AB994" s="11">
        <v>39.780999999999999</v>
      </c>
      <c r="AC994" s="11">
        <v>40.039000000000001</v>
      </c>
      <c r="AD994" s="11">
        <v>40.365000000000002</v>
      </c>
      <c r="AE994" s="11">
        <v>40.692999999999998</v>
      </c>
      <c r="AF994" s="11">
        <v>40.973999999999997</v>
      </c>
      <c r="AG994" s="11">
        <v>41.182000000000002</v>
      </c>
      <c r="AH994" s="11">
        <v>41.35</v>
      </c>
      <c r="AI994" s="11">
        <v>41.488999999999997</v>
      </c>
      <c r="AJ994" s="11">
        <v>41.607999999999997</v>
      </c>
      <c r="AK994" s="11">
        <v>41.728000000000002</v>
      </c>
      <c r="AL994" s="11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</row>
    <row r="995" spans="1:147" x14ac:dyDescent="0.3">
      <c r="A995" s="9">
        <f>DATE(2020, 11, 4)</f>
        <v>44139</v>
      </c>
      <c r="B995" s="10">
        <v>41.23</v>
      </c>
      <c r="C995" s="10">
        <v>41.61</v>
      </c>
      <c r="D995" s="10">
        <v>41.99</v>
      </c>
      <c r="E995" s="10">
        <v>42.36</v>
      </c>
      <c r="F995" s="10">
        <v>42.71</v>
      </c>
      <c r="G995" s="10">
        <v>43.02</v>
      </c>
      <c r="H995" s="10">
        <v>43.24</v>
      </c>
      <c r="I995" s="10">
        <v>43.47</v>
      </c>
      <c r="J995" s="10">
        <v>43.69</v>
      </c>
      <c r="K995" s="10">
        <v>43.88</v>
      </c>
      <c r="L995" s="10">
        <v>44.05</v>
      </c>
      <c r="M995" s="10">
        <v>44.21</v>
      </c>
      <c r="N995" s="10">
        <v>39.15</v>
      </c>
      <c r="O995" s="10">
        <v>39.47</v>
      </c>
      <c r="P995" s="10">
        <v>39.86</v>
      </c>
      <c r="Q995" s="10">
        <v>40.24</v>
      </c>
      <c r="R995" s="10">
        <v>40.590000000000003</v>
      </c>
      <c r="S995" s="10">
        <v>40.89</v>
      </c>
      <c r="T995" s="10">
        <v>41.15</v>
      </c>
      <c r="U995" s="10">
        <v>41.38</v>
      </c>
      <c r="V995" s="10">
        <v>41.56</v>
      </c>
      <c r="W995" s="10">
        <v>41.72</v>
      </c>
      <c r="X995" s="10">
        <v>41.85</v>
      </c>
      <c r="Y995" s="10">
        <v>41.98</v>
      </c>
      <c r="Z995" s="11">
        <v>40.473999999999997</v>
      </c>
      <c r="AA995" s="11">
        <v>40.975000000000001</v>
      </c>
      <c r="AB995" s="11">
        <v>41.179000000000002</v>
      </c>
      <c r="AC995" s="11">
        <v>41.417999999999999</v>
      </c>
      <c r="AD995" s="11">
        <v>41.703000000000003</v>
      </c>
      <c r="AE995" s="11">
        <v>42.01</v>
      </c>
      <c r="AF995" s="11">
        <v>42.271999999999998</v>
      </c>
      <c r="AG995" s="11">
        <v>42.46</v>
      </c>
      <c r="AH995" s="11">
        <v>42.598999999999997</v>
      </c>
      <c r="AI995" s="11">
        <v>42.707999999999998</v>
      </c>
      <c r="AJ995" s="11">
        <v>42.807000000000002</v>
      </c>
      <c r="AK995" s="11">
        <v>42.906999999999996</v>
      </c>
      <c r="AL995" s="11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</row>
    <row r="996" spans="1:147" x14ac:dyDescent="0.3">
      <c r="A996" s="9">
        <f>DATE(2020, 11, 5)</f>
        <v>44140</v>
      </c>
      <c r="B996" s="10">
        <v>40.93</v>
      </c>
      <c r="C996" s="10">
        <v>41.3</v>
      </c>
      <c r="D996" s="10">
        <v>41.66</v>
      </c>
      <c r="E996" s="10">
        <v>42.02</v>
      </c>
      <c r="F996" s="10">
        <v>42.35</v>
      </c>
      <c r="G996" s="10">
        <v>42.65</v>
      </c>
      <c r="H996" s="10">
        <v>42.88</v>
      </c>
      <c r="I996" s="10">
        <v>43.1</v>
      </c>
      <c r="J996" s="10">
        <v>43.32</v>
      </c>
      <c r="K996" s="10">
        <v>43.51</v>
      </c>
      <c r="L996" s="10">
        <v>43.68</v>
      </c>
      <c r="M996" s="10">
        <v>43.84</v>
      </c>
      <c r="N996" s="10">
        <v>38.79</v>
      </c>
      <c r="O996" s="10">
        <v>39.11</v>
      </c>
      <c r="P996" s="10">
        <v>39.479999999999997</v>
      </c>
      <c r="Q996" s="10">
        <v>39.869999999999997</v>
      </c>
      <c r="R996" s="10">
        <v>40.22</v>
      </c>
      <c r="S996" s="10">
        <v>40.520000000000003</v>
      </c>
      <c r="T996" s="10">
        <v>40.79</v>
      </c>
      <c r="U996" s="10">
        <v>41.02</v>
      </c>
      <c r="V996" s="10">
        <v>41.2</v>
      </c>
      <c r="W996" s="10">
        <v>41.37</v>
      </c>
      <c r="X996" s="10">
        <v>41.5</v>
      </c>
      <c r="Y996" s="10">
        <v>41.63</v>
      </c>
      <c r="Z996" s="11">
        <v>40.232999999999997</v>
      </c>
      <c r="AA996" s="11">
        <v>40.643000000000001</v>
      </c>
      <c r="AB996" s="11">
        <v>40.798000000000002</v>
      </c>
      <c r="AC996" s="11">
        <v>41.027000000000001</v>
      </c>
      <c r="AD996" s="11">
        <v>41.292999999999999</v>
      </c>
      <c r="AE996" s="11">
        <v>41.591000000000001</v>
      </c>
      <c r="AF996" s="11">
        <v>41.850999999999999</v>
      </c>
      <c r="AG996" s="11">
        <v>42.07</v>
      </c>
      <c r="AH996" s="11">
        <v>42.219000000000001</v>
      </c>
      <c r="AI996" s="11">
        <v>42.338000000000001</v>
      </c>
      <c r="AJ996" s="11">
        <v>42.436999999999998</v>
      </c>
      <c r="AK996" s="11">
        <v>42.536000000000001</v>
      </c>
      <c r="AL996" s="11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</row>
    <row r="997" spans="1:147" x14ac:dyDescent="0.3">
      <c r="A997" s="9">
        <f>DATE(2020, 11, 6)</f>
        <v>44141</v>
      </c>
      <c r="B997" s="10">
        <v>39.450000000000003</v>
      </c>
      <c r="C997" s="10">
        <v>39.840000000000003</v>
      </c>
      <c r="D997" s="10">
        <v>40.22</v>
      </c>
      <c r="E997" s="10">
        <v>40.590000000000003</v>
      </c>
      <c r="F997" s="10">
        <v>40.950000000000003</v>
      </c>
      <c r="G997" s="10">
        <v>41.29</v>
      </c>
      <c r="H997" s="10">
        <v>41.54</v>
      </c>
      <c r="I997" s="10">
        <v>41.8</v>
      </c>
      <c r="J997" s="10">
        <v>42.05</v>
      </c>
      <c r="K997" s="10">
        <v>42.26</v>
      </c>
      <c r="L997" s="10">
        <v>42.46</v>
      </c>
      <c r="M997" s="10">
        <v>42.64</v>
      </c>
      <c r="N997" s="10">
        <v>37.14</v>
      </c>
      <c r="O997" s="10">
        <v>37.49</v>
      </c>
      <c r="P997" s="10">
        <v>37.9</v>
      </c>
      <c r="Q997" s="10">
        <v>38.340000000000003</v>
      </c>
      <c r="R997" s="10">
        <v>38.74</v>
      </c>
      <c r="S997" s="10">
        <v>39.1</v>
      </c>
      <c r="T997" s="10">
        <v>39.4</v>
      </c>
      <c r="U997" s="10">
        <v>39.67</v>
      </c>
      <c r="V997" s="10">
        <v>39.9</v>
      </c>
      <c r="W997" s="10">
        <v>40.08</v>
      </c>
      <c r="X997" s="10">
        <v>40.25</v>
      </c>
      <c r="Y997" s="10">
        <v>40.409999999999997</v>
      </c>
      <c r="Z997" s="11">
        <v>39.246000000000002</v>
      </c>
      <c r="AA997" s="11">
        <v>39.244999999999997</v>
      </c>
      <c r="AB997" s="11">
        <v>39.369</v>
      </c>
      <c r="AC997" s="11">
        <v>39.607999999999997</v>
      </c>
      <c r="AD997" s="11">
        <v>39.884999999999998</v>
      </c>
      <c r="AE997" s="11">
        <v>40.201999999999998</v>
      </c>
      <c r="AF997" s="11">
        <v>40.465000000000003</v>
      </c>
      <c r="AG997" s="11">
        <v>40.720999999999997</v>
      </c>
      <c r="AH997" s="11">
        <v>40.92</v>
      </c>
      <c r="AI997" s="11">
        <v>41.088999999999999</v>
      </c>
      <c r="AJ997" s="11">
        <v>41.218000000000004</v>
      </c>
      <c r="AK997" s="11">
        <v>41.338000000000001</v>
      </c>
      <c r="AL997" s="11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</row>
    <row r="998" spans="1:147" x14ac:dyDescent="0.3">
      <c r="A998" s="9">
        <f>DATE(2020, 11, 9)</f>
        <v>44144</v>
      </c>
      <c r="B998" s="10">
        <v>42.4</v>
      </c>
      <c r="C998" s="10">
        <v>42.75</v>
      </c>
      <c r="D998" s="10">
        <v>43.08</v>
      </c>
      <c r="E998" s="10">
        <v>43.4</v>
      </c>
      <c r="F998" s="10">
        <v>43.7</v>
      </c>
      <c r="G998" s="10">
        <v>43.97</v>
      </c>
      <c r="H998" s="10">
        <v>44.14</v>
      </c>
      <c r="I998" s="10">
        <v>44.32</v>
      </c>
      <c r="J998" s="10">
        <v>44.5</v>
      </c>
      <c r="K998" s="10">
        <v>44.63</v>
      </c>
      <c r="L998" s="10">
        <v>44.75</v>
      </c>
      <c r="M998" s="10">
        <v>44.87</v>
      </c>
      <c r="N998" s="10">
        <v>40.29</v>
      </c>
      <c r="O998" s="10">
        <v>40.619999999999997</v>
      </c>
      <c r="P998" s="10">
        <v>40.97</v>
      </c>
      <c r="Q998" s="10">
        <v>41.31</v>
      </c>
      <c r="R998" s="10">
        <v>41.61</v>
      </c>
      <c r="S998" s="10">
        <v>41.87</v>
      </c>
      <c r="T998" s="10">
        <v>42.09</v>
      </c>
      <c r="U998" s="10">
        <v>42.27</v>
      </c>
      <c r="V998" s="10">
        <v>42.4</v>
      </c>
      <c r="W998" s="10">
        <v>42.53</v>
      </c>
      <c r="X998" s="10">
        <v>42.61</v>
      </c>
      <c r="Y998" s="10">
        <v>42.71</v>
      </c>
      <c r="Z998" s="11">
        <v>41.366</v>
      </c>
      <c r="AA998" s="11">
        <v>42.03</v>
      </c>
      <c r="AB998" s="11">
        <v>42.116</v>
      </c>
      <c r="AC998" s="11">
        <v>42.335000000000001</v>
      </c>
      <c r="AD998" s="11">
        <v>42.572000000000003</v>
      </c>
      <c r="AE998" s="11">
        <v>42.857999999999997</v>
      </c>
      <c r="AF998" s="11">
        <v>43.097000000000001</v>
      </c>
      <c r="AG998" s="11">
        <v>43.238</v>
      </c>
      <c r="AH998" s="11">
        <v>43.335999999999999</v>
      </c>
      <c r="AI998" s="11">
        <v>43.414999999999999</v>
      </c>
      <c r="AJ998" s="11">
        <v>43.494999999999997</v>
      </c>
      <c r="AK998" s="11">
        <v>43.575000000000003</v>
      </c>
      <c r="AL998" s="11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</row>
    <row r="999" spans="1:147" x14ac:dyDescent="0.3">
      <c r="A999" s="9">
        <f>DATE(2020, 11, 10)</f>
        <v>44145</v>
      </c>
      <c r="B999" s="10">
        <v>43.61</v>
      </c>
      <c r="C999" s="10">
        <v>43.91</v>
      </c>
      <c r="D999" s="10">
        <v>44.19</v>
      </c>
      <c r="E999" s="10">
        <v>44.46</v>
      </c>
      <c r="F999" s="10">
        <v>44.7</v>
      </c>
      <c r="G999" s="10">
        <v>44.91</v>
      </c>
      <c r="H999" s="10">
        <v>45.04</v>
      </c>
      <c r="I999" s="10">
        <v>45.17</v>
      </c>
      <c r="J999" s="10">
        <v>45.3</v>
      </c>
      <c r="K999" s="10">
        <v>45.38</v>
      </c>
      <c r="L999" s="10">
        <v>45.46</v>
      </c>
      <c r="M999" s="10">
        <v>45.54</v>
      </c>
      <c r="N999" s="10">
        <v>41.36</v>
      </c>
      <c r="O999" s="10">
        <v>41.67</v>
      </c>
      <c r="P999" s="10">
        <v>41.98</v>
      </c>
      <c r="Q999" s="10">
        <v>42.27</v>
      </c>
      <c r="R999" s="10">
        <v>42.51</v>
      </c>
      <c r="S999" s="10">
        <v>42.71</v>
      </c>
      <c r="T999" s="10">
        <v>42.87</v>
      </c>
      <c r="U999" s="10">
        <v>42.99</v>
      </c>
      <c r="V999" s="10">
        <v>43.07</v>
      </c>
      <c r="W999" s="10">
        <v>43.15</v>
      </c>
      <c r="X999" s="10">
        <v>43.2</v>
      </c>
      <c r="Y999" s="10">
        <v>43.25</v>
      </c>
      <c r="Z999" s="11">
        <v>42.173000000000002</v>
      </c>
      <c r="AA999" s="11">
        <v>43.185000000000002</v>
      </c>
      <c r="AB999" s="11">
        <v>43.234000000000002</v>
      </c>
      <c r="AC999" s="11">
        <v>43.392000000000003</v>
      </c>
      <c r="AD999" s="11">
        <v>43.609000000000002</v>
      </c>
      <c r="AE999" s="11">
        <v>43.845999999999997</v>
      </c>
      <c r="AF999" s="11">
        <v>44.021999999999998</v>
      </c>
      <c r="AG999" s="11">
        <v>44.085999999999999</v>
      </c>
      <c r="AH999" s="11">
        <v>44.143999999999998</v>
      </c>
      <c r="AI999" s="11">
        <v>44.173999999999999</v>
      </c>
      <c r="AJ999" s="11">
        <v>44.213999999999999</v>
      </c>
      <c r="AK999" s="11">
        <v>44.262999999999998</v>
      </c>
      <c r="AL999" s="11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</row>
    <row r="1000" spans="1:147" x14ac:dyDescent="0.3">
      <c r="A1000" s="9">
        <f>DATE(2020, 11, 11)</f>
        <v>44146</v>
      </c>
      <c r="B1000" s="10">
        <v>43.8</v>
      </c>
      <c r="C1000" s="10">
        <v>44.08</v>
      </c>
      <c r="D1000" s="10">
        <v>44.34</v>
      </c>
      <c r="E1000" s="10">
        <v>44.6</v>
      </c>
      <c r="F1000" s="10">
        <v>44.84</v>
      </c>
      <c r="G1000" s="10">
        <v>45.06</v>
      </c>
      <c r="H1000" s="10">
        <v>45.19</v>
      </c>
      <c r="I1000" s="10">
        <v>45.34</v>
      </c>
      <c r="J1000" s="10">
        <v>45.47</v>
      </c>
      <c r="K1000" s="10">
        <v>45.56</v>
      </c>
      <c r="L1000" s="10">
        <v>45.64</v>
      </c>
      <c r="M1000" s="10">
        <v>45.72</v>
      </c>
      <c r="N1000" s="10">
        <v>41.45</v>
      </c>
      <c r="O1000" s="10">
        <v>41.74</v>
      </c>
      <c r="P1000" s="10">
        <v>42.06</v>
      </c>
      <c r="Q1000" s="10">
        <v>42.37</v>
      </c>
      <c r="R1000" s="10">
        <v>42.64</v>
      </c>
      <c r="S1000" s="10">
        <v>42.86</v>
      </c>
      <c r="T1000" s="10">
        <v>43.04</v>
      </c>
      <c r="U1000" s="10">
        <v>43.17</v>
      </c>
      <c r="V1000" s="10">
        <v>43.27</v>
      </c>
      <c r="W1000" s="10">
        <v>43.33</v>
      </c>
      <c r="X1000" s="10">
        <v>43.39</v>
      </c>
      <c r="Y1000" s="10">
        <v>43.46</v>
      </c>
      <c r="Z1000" s="11">
        <v>42.472999999999999</v>
      </c>
      <c r="AA1000" s="11">
        <v>43.473999999999997</v>
      </c>
      <c r="AB1000" s="11">
        <v>43.482999999999997</v>
      </c>
      <c r="AC1000" s="11">
        <v>43.591999999999999</v>
      </c>
      <c r="AD1000" s="11">
        <v>43.76</v>
      </c>
      <c r="AE1000" s="11">
        <v>43.966000000000001</v>
      </c>
      <c r="AF1000" s="11">
        <v>44.134</v>
      </c>
      <c r="AG1000" s="11">
        <v>44.265999999999998</v>
      </c>
      <c r="AH1000" s="11">
        <v>44.323999999999998</v>
      </c>
      <c r="AI1000" s="11">
        <v>44.374000000000002</v>
      </c>
      <c r="AJ1000" s="11">
        <v>44.414000000000001</v>
      </c>
      <c r="AK1000" s="11">
        <v>44.444000000000003</v>
      </c>
      <c r="AL1000" s="11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</row>
    <row r="1001" spans="1:147" x14ac:dyDescent="0.3">
      <c r="A1001" s="9">
        <f>DATE(2020, 11, 12)</f>
        <v>44147</v>
      </c>
      <c r="B1001" s="10">
        <v>43.53</v>
      </c>
      <c r="C1001" s="10">
        <v>43.79</v>
      </c>
      <c r="D1001" s="10">
        <v>44.05</v>
      </c>
      <c r="E1001" s="10">
        <v>44.31</v>
      </c>
      <c r="F1001" s="10">
        <v>44.56</v>
      </c>
      <c r="G1001" s="10">
        <v>44.78</v>
      </c>
      <c r="H1001" s="10">
        <v>44.92</v>
      </c>
      <c r="I1001" s="10">
        <v>45.07</v>
      </c>
      <c r="J1001" s="10">
        <v>45.21</v>
      </c>
      <c r="K1001" s="10">
        <v>45.3</v>
      </c>
      <c r="L1001" s="10">
        <v>45.38</v>
      </c>
      <c r="M1001" s="10">
        <v>45.46</v>
      </c>
      <c r="N1001" s="10">
        <v>41.12</v>
      </c>
      <c r="O1001" s="10">
        <v>41.41</v>
      </c>
      <c r="P1001" s="10">
        <v>41.74</v>
      </c>
      <c r="Q1001" s="10">
        <v>42.05</v>
      </c>
      <c r="R1001" s="10">
        <v>42.32</v>
      </c>
      <c r="S1001" s="10">
        <v>42.54</v>
      </c>
      <c r="T1001" s="10">
        <v>42.71</v>
      </c>
      <c r="U1001" s="10">
        <v>42.84</v>
      </c>
      <c r="V1001" s="10">
        <v>42.94</v>
      </c>
      <c r="W1001" s="10">
        <v>43.02</v>
      </c>
      <c r="X1001" s="10">
        <v>43.09</v>
      </c>
      <c r="Y1001" s="10">
        <v>43.13</v>
      </c>
      <c r="Z1001" s="11">
        <v>42.293999999999997</v>
      </c>
      <c r="AA1001" s="11">
        <v>43.204000000000001</v>
      </c>
      <c r="AB1001" s="11">
        <v>43.213000000000001</v>
      </c>
      <c r="AC1001" s="11">
        <v>43.323</v>
      </c>
      <c r="AD1001" s="11">
        <v>43.5</v>
      </c>
      <c r="AE1001" s="11">
        <v>43.707000000000001</v>
      </c>
      <c r="AF1001" s="11">
        <v>43.893999999999998</v>
      </c>
      <c r="AG1001" s="11">
        <v>44.006</v>
      </c>
      <c r="AH1001" s="11">
        <v>44.073999999999998</v>
      </c>
      <c r="AI1001" s="11">
        <v>44.124000000000002</v>
      </c>
      <c r="AJ1001" s="11">
        <v>44.173999999999999</v>
      </c>
      <c r="AK1001" s="11">
        <v>44.213999999999999</v>
      </c>
      <c r="AL1001" s="11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  <c r="EP1001" s="3"/>
      <c r="EQ1001" s="3"/>
    </row>
    <row r="1002" spans="1:147" x14ac:dyDescent="0.3">
      <c r="A1002" s="9">
        <f>DATE(2020, 11, 13)</f>
        <v>44148</v>
      </c>
      <c r="B1002" s="10">
        <v>42.78</v>
      </c>
      <c r="C1002" s="10">
        <v>42.96</v>
      </c>
      <c r="D1002" s="10">
        <v>43.19</v>
      </c>
      <c r="E1002" s="10">
        <v>43.45</v>
      </c>
      <c r="F1002" s="10">
        <v>43.71</v>
      </c>
      <c r="G1002" s="10">
        <v>43.95</v>
      </c>
      <c r="H1002" s="10">
        <v>44.1</v>
      </c>
      <c r="I1002" s="10">
        <v>44.26</v>
      </c>
      <c r="J1002" s="10">
        <v>44.41</v>
      </c>
      <c r="K1002" s="10">
        <v>44.52</v>
      </c>
      <c r="L1002" s="10">
        <v>44.61</v>
      </c>
      <c r="M1002" s="10">
        <v>44.69</v>
      </c>
      <c r="N1002" s="10">
        <v>40.130000000000003</v>
      </c>
      <c r="O1002" s="10">
        <v>40.4</v>
      </c>
      <c r="P1002" s="10">
        <v>40.700000000000003</v>
      </c>
      <c r="Q1002" s="10">
        <v>41.01</v>
      </c>
      <c r="R1002" s="10">
        <v>41.3</v>
      </c>
      <c r="S1002" s="10">
        <v>41.55</v>
      </c>
      <c r="T1002" s="10">
        <v>41.76</v>
      </c>
      <c r="U1002" s="10">
        <v>41.92</v>
      </c>
      <c r="V1002" s="10">
        <v>42.04</v>
      </c>
      <c r="W1002" s="10">
        <v>42.16</v>
      </c>
      <c r="X1002" s="10">
        <v>42.24</v>
      </c>
      <c r="Y1002" s="10">
        <v>42.32</v>
      </c>
      <c r="Z1002" s="11">
        <v>41.945</v>
      </c>
      <c r="AA1002" s="11">
        <v>42.390999999999998</v>
      </c>
      <c r="AB1002" s="11">
        <v>42.323</v>
      </c>
      <c r="AC1002" s="11">
        <v>42.433</v>
      </c>
      <c r="AD1002" s="11">
        <v>42.61</v>
      </c>
      <c r="AE1002" s="11">
        <v>42.826999999999998</v>
      </c>
      <c r="AF1002" s="11">
        <v>43.045000000000002</v>
      </c>
      <c r="AG1002" s="11">
        <v>43.177</v>
      </c>
      <c r="AH1002" s="11">
        <v>43.255000000000003</v>
      </c>
      <c r="AI1002" s="11">
        <v>43.323999999999998</v>
      </c>
      <c r="AJ1002" s="11">
        <v>43.374000000000002</v>
      </c>
      <c r="AK1002" s="11">
        <v>43.423999999999999</v>
      </c>
      <c r="AL1002" s="11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/>
      <c r="EM1002" s="3"/>
      <c r="EN1002" s="3"/>
      <c r="EO1002" s="3"/>
      <c r="EP1002" s="3"/>
      <c r="EQ1002" s="3"/>
    </row>
    <row r="1003" spans="1:147" x14ac:dyDescent="0.3">
      <c r="A1003" s="9">
        <f>DATE(2020, 11, 16)</f>
        <v>44151</v>
      </c>
      <c r="B1003" s="10">
        <v>43.82</v>
      </c>
      <c r="C1003" s="10">
        <v>43.99</v>
      </c>
      <c r="D1003" s="10">
        <v>44.19</v>
      </c>
      <c r="E1003" s="10">
        <v>44.41</v>
      </c>
      <c r="F1003" s="10">
        <v>44.62</v>
      </c>
      <c r="G1003" s="10">
        <v>44.81</v>
      </c>
      <c r="H1003" s="10">
        <v>44.92</v>
      </c>
      <c r="I1003" s="10">
        <v>45.03</v>
      </c>
      <c r="J1003" s="10">
        <v>45.13</v>
      </c>
      <c r="K1003" s="10">
        <v>45.21</v>
      </c>
      <c r="L1003" s="10">
        <v>45.26</v>
      </c>
      <c r="M1003" s="10">
        <v>45.33</v>
      </c>
      <c r="N1003" s="10">
        <v>41.34</v>
      </c>
      <c r="O1003" s="10">
        <v>41.57</v>
      </c>
      <c r="P1003" s="10">
        <v>41.82</v>
      </c>
      <c r="Q1003" s="10">
        <v>42.09</v>
      </c>
      <c r="R1003" s="10">
        <v>42.33</v>
      </c>
      <c r="S1003" s="10">
        <v>42.54</v>
      </c>
      <c r="T1003" s="10">
        <v>42.71</v>
      </c>
      <c r="U1003" s="10">
        <v>42.83</v>
      </c>
      <c r="V1003" s="10">
        <v>42.91</v>
      </c>
      <c r="W1003" s="10">
        <v>42.97</v>
      </c>
      <c r="X1003" s="10">
        <v>43.02</v>
      </c>
      <c r="Y1003" s="10">
        <v>43.06</v>
      </c>
      <c r="Z1003" s="11">
        <v>42.537999999999997</v>
      </c>
      <c r="AA1003" s="11">
        <v>43.518000000000001</v>
      </c>
      <c r="AB1003" s="11">
        <v>43.401000000000003</v>
      </c>
      <c r="AC1003" s="11">
        <v>43.451000000000001</v>
      </c>
      <c r="AD1003" s="11">
        <v>43.597999999999999</v>
      </c>
      <c r="AE1003" s="11">
        <v>43.744999999999997</v>
      </c>
      <c r="AF1003" s="11">
        <v>43.9</v>
      </c>
      <c r="AG1003" s="11">
        <v>44.005000000000003</v>
      </c>
      <c r="AH1003" s="11">
        <v>44.024000000000001</v>
      </c>
      <c r="AI1003" s="11">
        <v>44.052</v>
      </c>
      <c r="AJ1003" s="11">
        <v>44.052999999999997</v>
      </c>
      <c r="AK1003" s="11">
        <v>44.073</v>
      </c>
      <c r="AL1003" s="11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  <c r="EK1003" s="3"/>
      <c r="EL1003" s="3"/>
      <c r="EM1003" s="3"/>
      <c r="EN1003" s="3"/>
      <c r="EO1003" s="3"/>
      <c r="EP1003" s="3"/>
      <c r="EQ1003" s="3"/>
    </row>
    <row r="1004" spans="1:147" x14ac:dyDescent="0.3">
      <c r="A1004" s="9">
        <f>DATE(2020, 11, 17)</f>
        <v>44152</v>
      </c>
      <c r="B1004" s="10">
        <v>43.75</v>
      </c>
      <c r="C1004" s="10">
        <v>43.96</v>
      </c>
      <c r="D1004" s="10">
        <v>44.18</v>
      </c>
      <c r="E1004" s="10">
        <v>44.41</v>
      </c>
      <c r="F1004" s="10">
        <v>44.62</v>
      </c>
      <c r="G1004" s="10">
        <v>44.81</v>
      </c>
      <c r="H1004" s="10">
        <v>44.92</v>
      </c>
      <c r="I1004" s="10">
        <v>45.03</v>
      </c>
      <c r="J1004" s="10">
        <v>45.13</v>
      </c>
      <c r="K1004" s="10">
        <v>45.2</v>
      </c>
      <c r="L1004" s="10">
        <v>45.25</v>
      </c>
      <c r="M1004" s="10">
        <v>45.31</v>
      </c>
      <c r="N1004" s="10">
        <v>41.43</v>
      </c>
      <c r="O1004" s="10">
        <v>41.65</v>
      </c>
      <c r="P1004" s="10">
        <v>41.9</v>
      </c>
      <c r="Q1004" s="10">
        <v>42.17</v>
      </c>
      <c r="R1004" s="10">
        <v>42.41</v>
      </c>
      <c r="S1004" s="10">
        <v>42.61</v>
      </c>
      <c r="T1004" s="10">
        <v>42.77</v>
      </c>
      <c r="U1004" s="10">
        <v>42.88</v>
      </c>
      <c r="V1004" s="10">
        <v>42.96</v>
      </c>
      <c r="W1004" s="10">
        <v>43.03</v>
      </c>
      <c r="X1004" s="10">
        <v>43.07</v>
      </c>
      <c r="Y1004" s="10">
        <v>43.11</v>
      </c>
      <c r="Z1004" s="11">
        <v>42.465000000000003</v>
      </c>
      <c r="AA1004" s="11">
        <v>43.45</v>
      </c>
      <c r="AB1004" s="11">
        <v>43.362000000000002</v>
      </c>
      <c r="AC1004" s="11">
        <v>43.441000000000003</v>
      </c>
      <c r="AD1004" s="11">
        <v>43.588000000000001</v>
      </c>
      <c r="AE1004" s="11">
        <v>43.744999999999997</v>
      </c>
      <c r="AF1004" s="11">
        <v>43.9</v>
      </c>
      <c r="AG1004" s="11">
        <v>43.984999999999999</v>
      </c>
      <c r="AH1004" s="11">
        <v>44.012999999999998</v>
      </c>
      <c r="AI1004" s="11">
        <v>44.031999999999996</v>
      </c>
      <c r="AJ1004" s="11">
        <v>44.033000000000001</v>
      </c>
      <c r="AK1004" s="11">
        <v>44.031999999999996</v>
      </c>
      <c r="AL1004" s="11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  <c r="DW1004" s="3"/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/>
      <c r="EM1004" s="3"/>
      <c r="EN1004" s="3"/>
      <c r="EO1004" s="3"/>
      <c r="EP1004" s="3"/>
      <c r="EQ1004" s="3"/>
    </row>
    <row r="1005" spans="1:147" x14ac:dyDescent="0.3">
      <c r="A1005" s="9">
        <f>DATE(2020, 11, 18)</f>
        <v>44153</v>
      </c>
      <c r="B1005" s="10">
        <v>44.34</v>
      </c>
      <c r="C1005" s="10">
        <v>44.49</v>
      </c>
      <c r="D1005" s="10">
        <v>44.66</v>
      </c>
      <c r="E1005" s="10">
        <v>44.84</v>
      </c>
      <c r="F1005" s="10">
        <v>45.02</v>
      </c>
      <c r="G1005" s="10">
        <v>45.18</v>
      </c>
      <c r="H1005" s="10">
        <v>45.27</v>
      </c>
      <c r="I1005" s="10">
        <v>45.36</v>
      </c>
      <c r="J1005" s="10">
        <v>45.45</v>
      </c>
      <c r="K1005" s="10">
        <v>45.52</v>
      </c>
      <c r="L1005" s="10">
        <v>45.57</v>
      </c>
      <c r="M1005" s="10">
        <v>45.62</v>
      </c>
      <c r="N1005" s="10">
        <v>41.82</v>
      </c>
      <c r="O1005" s="10">
        <v>42.01</v>
      </c>
      <c r="P1005" s="10">
        <v>42.24</v>
      </c>
      <c r="Q1005" s="10">
        <v>42.49</v>
      </c>
      <c r="R1005" s="10">
        <v>42.72</v>
      </c>
      <c r="S1005" s="10">
        <v>42.92</v>
      </c>
      <c r="T1005" s="10">
        <v>43.08</v>
      </c>
      <c r="U1005" s="10">
        <v>43.18</v>
      </c>
      <c r="V1005" s="10">
        <v>43.27</v>
      </c>
      <c r="W1005" s="10">
        <v>43.33</v>
      </c>
      <c r="X1005" s="10">
        <v>43.37</v>
      </c>
      <c r="Y1005" s="10">
        <v>43.42</v>
      </c>
      <c r="Z1005" s="11">
        <v>42.655000000000001</v>
      </c>
      <c r="AA1005" s="11">
        <v>43.905000000000001</v>
      </c>
      <c r="AB1005" s="11">
        <v>43.789000000000001</v>
      </c>
      <c r="AC1005" s="11">
        <v>43.878999999999998</v>
      </c>
      <c r="AD1005" s="11">
        <v>44.017000000000003</v>
      </c>
      <c r="AE1005" s="11">
        <v>44.154000000000003</v>
      </c>
      <c r="AF1005" s="11">
        <v>44.279000000000003</v>
      </c>
      <c r="AG1005" s="11">
        <v>44.344000000000001</v>
      </c>
      <c r="AH1005" s="11">
        <v>44.363</v>
      </c>
      <c r="AI1005" s="11">
        <v>44.381999999999998</v>
      </c>
      <c r="AJ1005" s="11">
        <v>44.381999999999998</v>
      </c>
      <c r="AK1005" s="11">
        <v>44.372999999999998</v>
      </c>
      <c r="AL1005" s="11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  <c r="EK1005" s="3"/>
      <c r="EL1005" s="3"/>
      <c r="EM1005" s="3"/>
      <c r="EN1005" s="3"/>
      <c r="EO1005" s="3"/>
      <c r="EP1005" s="3"/>
      <c r="EQ1005" s="3"/>
    </row>
    <row r="1006" spans="1:147" x14ac:dyDescent="0.3">
      <c r="A1006" s="9">
        <f>DATE(2020, 11, 19)</f>
        <v>44154</v>
      </c>
      <c r="B1006" s="10">
        <v>44.2</v>
      </c>
      <c r="C1006" s="10">
        <v>44.37</v>
      </c>
      <c r="D1006" s="10">
        <v>44.52</v>
      </c>
      <c r="E1006" s="10">
        <v>44.69</v>
      </c>
      <c r="F1006" s="10">
        <v>44.85</v>
      </c>
      <c r="G1006" s="10">
        <v>45</v>
      </c>
      <c r="H1006" s="10">
        <v>45.09</v>
      </c>
      <c r="I1006" s="10">
        <v>45.18</v>
      </c>
      <c r="J1006" s="10">
        <v>45.26</v>
      </c>
      <c r="K1006" s="10">
        <v>45.32</v>
      </c>
      <c r="L1006" s="10">
        <v>45.36</v>
      </c>
      <c r="M1006" s="10">
        <v>45.41</v>
      </c>
      <c r="N1006" s="10">
        <v>41.74</v>
      </c>
      <c r="O1006" s="10">
        <v>41.9</v>
      </c>
      <c r="P1006" s="10">
        <v>42.11</v>
      </c>
      <c r="Q1006" s="10">
        <v>42.34</v>
      </c>
      <c r="R1006" s="10">
        <v>42.55</v>
      </c>
      <c r="S1006" s="10">
        <v>42.74</v>
      </c>
      <c r="T1006" s="10">
        <v>42.88</v>
      </c>
      <c r="U1006" s="10">
        <v>42.98</v>
      </c>
      <c r="V1006" s="10">
        <v>43.06</v>
      </c>
      <c r="W1006" s="10">
        <v>43.11</v>
      </c>
      <c r="X1006" s="10">
        <v>43.15</v>
      </c>
      <c r="Y1006" s="10">
        <v>43.19</v>
      </c>
      <c r="Z1006" s="11">
        <v>42.610999999999997</v>
      </c>
      <c r="AA1006" s="11">
        <v>43.923999999999999</v>
      </c>
      <c r="AB1006" s="11">
        <v>43.798999999999999</v>
      </c>
      <c r="AC1006" s="11">
        <v>43.823</v>
      </c>
      <c r="AD1006" s="11">
        <v>43.936999999999998</v>
      </c>
      <c r="AE1006" s="11">
        <v>44.054000000000002</v>
      </c>
      <c r="AF1006" s="11">
        <v>44.179000000000002</v>
      </c>
      <c r="AG1006" s="11">
        <v>44.253999999999998</v>
      </c>
      <c r="AH1006" s="11">
        <v>44.262999999999998</v>
      </c>
      <c r="AI1006" s="11">
        <v>44.271999999999998</v>
      </c>
      <c r="AJ1006" s="11">
        <v>44.252000000000002</v>
      </c>
      <c r="AK1006" s="11">
        <v>44.222999999999999</v>
      </c>
      <c r="AL1006" s="11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/>
      <c r="EM1006" s="3"/>
      <c r="EN1006" s="3"/>
      <c r="EO1006" s="3"/>
      <c r="EP1006" s="3"/>
      <c r="EQ1006" s="3"/>
    </row>
    <row r="1007" spans="1:147" x14ac:dyDescent="0.3">
      <c r="A1007" s="9">
        <f>DATE(2020, 11, 20)</f>
        <v>44155</v>
      </c>
      <c r="B1007" s="10">
        <v>44.96</v>
      </c>
      <c r="C1007" s="10">
        <v>45.07</v>
      </c>
      <c r="D1007" s="10">
        <v>45.14</v>
      </c>
      <c r="E1007" s="10">
        <v>45.25</v>
      </c>
      <c r="F1007" s="10">
        <v>45.36</v>
      </c>
      <c r="G1007" s="10">
        <v>45.47</v>
      </c>
      <c r="H1007" s="10">
        <v>45.52</v>
      </c>
      <c r="I1007" s="10">
        <v>45.59</v>
      </c>
      <c r="J1007" s="10">
        <v>45.66</v>
      </c>
      <c r="K1007" s="10">
        <v>45.7</v>
      </c>
      <c r="L1007" s="10">
        <v>45.74</v>
      </c>
      <c r="M1007" s="10">
        <v>45.79</v>
      </c>
      <c r="N1007" s="10">
        <v>42.15</v>
      </c>
      <c r="O1007" s="10">
        <v>42.42</v>
      </c>
      <c r="P1007" s="10">
        <v>42.64</v>
      </c>
      <c r="Q1007" s="10">
        <v>42.84</v>
      </c>
      <c r="R1007" s="10">
        <v>43.02</v>
      </c>
      <c r="S1007" s="10">
        <v>43.15</v>
      </c>
      <c r="T1007" s="10">
        <v>43.27</v>
      </c>
      <c r="U1007" s="10">
        <v>43.35</v>
      </c>
      <c r="V1007" s="10">
        <v>43.4</v>
      </c>
      <c r="W1007" s="10">
        <v>43.43</v>
      </c>
      <c r="X1007" s="10">
        <v>43.45</v>
      </c>
      <c r="Y1007" s="10">
        <v>43.48</v>
      </c>
      <c r="Z1007" s="11">
        <v>42.823</v>
      </c>
      <c r="AA1007" s="11">
        <v>44.595999999999997</v>
      </c>
      <c r="AB1007" s="11">
        <v>44.405999999999999</v>
      </c>
      <c r="AC1007" s="11">
        <v>44.396000000000001</v>
      </c>
      <c r="AD1007" s="11">
        <v>44.465000000000003</v>
      </c>
      <c r="AE1007" s="11">
        <v>44.531999999999996</v>
      </c>
      <c r="AF1007" s="11">
        <v>44.606999999999999</v>
      </c>
      <c r="AG1007" s="11">
        <v>44.652999999999999</v>
      </c>
      <c r="AH1007" s="11">
        <v>44.671999999999997</v>
      </c>
      <c r="AI1007" s="11">
        <v>44.661999999999999</v>
      </c>
      <c r="AJ1007" s="11">
        <v>44.652000000000001</v>
      </c>
      <c r="AK1007" s="11">
        <v>44.642000000000003</v>
      </c>
      <c r="AL1007" s="11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</row>
    <row r="1008" spans="1:147" x14ac:dyDescent="0.3">
      <c r="A1008" s="9">
        <f>DATE(2020, 11, 23)</f>
        <v>44158</v>
      </c>
      <c r="B1008" s="10">
        <v>46.06</v>
      </c>
      <c r="C1008" s="10">
        <v>46.04</v>
      </c>
      <c r="D1008" s="10">
        <v>46.03</v>
      </c>
      <c r="E1008" s="10">
        <v>46.05</v>
      </c>
      <c r="F1008" s="10">
        <v>46.09</v>
      </c>
      <c r="G1008" s="10">
        <v>46.14</v>
      </c>
      <c r="H1008" s="10">
        <v>46.14</v>
      </c>
      <c r="I1008" s="10">
        <v>46.18</v>
      </c>
      <c r="J1008" s="10">
        <v>46.22</v>
      </c>
      <c r="K1008" s="10">
        <v>46.24</v>
      </c>
      <c r="L1008" s="10">
        <v>46.26</v>
      </c>
      <c r="M1008" s="10">
        <v>46.29</v>
      </c>
      <c r="N1008" s="10">
        <v>43.06</v>
      </c>
      <c r="O1008" s="10">
        <v>43.28</v>
      </c>
      <c r="P1008" s="10">
        <v>43.46</v>
      </c>
      <c r="Q1008" s="10">
        <v>43.59</v>
      </c>
      <c r="R1008" s="10">
        <v>43.7</v>
      </c>
      <c r="S1008" s="10">
        <v>43.77</v>
      </c>
      <c r="T1008" s="10">
        <v>43.81</v>
      </c>
      <c r="U1008" s="10">
        <v>43.83</v>
      </c>
      <c r="V1008" s="10">
        <v>43.84</v>
      </c>
      <c r="W1008" s="10">
        <v>43.83</v>
      </c>
      <c r="X1008" s="10">
        <v>43.83</v>
      </c>
      <c r="Y1008" s="10">
        <v>43.83</v>
      </c>
      <c r="Z1008" s="11">
        <v>43.04</v>
      </c>
      <c r="AA1008" s="11">
        <v>45.378999999999998</v>
      </c>
      <c r="AB1008" s="11">
        <v>45.191000000000003</v>
      </c>
      <c r="AC1008" s="11">
        <v>45.182000000000002</v>
      </c>
      <c r="AD1008" s="11">
        <v>45.201999999999998</v>
      </c>
      <c r="AE1008" s="11">
        <v>45.24</v>
      </c>
      <c r="AF1008" s="11">
        <v>45.253999999999998</v>
      </c>
      <c r="AG1008" s="11">
        <v>45.212000000000003</v>
      </c>
      <c r="AH1008" s="11">
        <v>45.210999999999999</v>
      </c>
      <c r="AI1008" s="11">
        <v>45.180999999999997</v>
      </c>
      <c r="AJ1008" s="11">
        <v>45.161000000000001</v>
      </c>
      <c r="AK1008" s="11">
        <v>45.13</v>
      </c>
      <c r="AL1008" s="11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/>
      <c r="EM1008" s="3"/>
      <c r="EN1008" s="3"/>
      <c r="EO1008" s="3"/>
      <c r="EP1008" s="3"/>
      <c r="EQ1008" s="3"/>
    </row>
    <row r="1009" spans="1:147" x14ac:dyDescent="0.3">
      <c r="A1009" s="9">
        <f>DATE(2020, 11, 24)</f>
        <v>44159</v>
      </c>
      <c r="B1009" s="10">
        <v>47.86</v>
      </c>
      <c r="C1009" s="10">
        <v>47.78</v>
      </c>
      <c r="D1009" s="10">
        <v>47.78</v>
      </c>
      <c r="E1009" s="10">
        <v>47.8</v>
      </c>
      <c r="F1009" s="10">
        <v>47.83</v>
      </c>
      <c r="G1009" s="10">
        <v>47.84</v>
      </c>
      <c r="H1009" s="10">
        <v>47.8</v>
      </c>
      <c r="I1009" s="10">
        <v>47.79</v>
      </c>
      <c r="J1009" s="10">
        <v>47.78</v>
      </c>
      <c r="K1009" s="10">
        <v>47.76</v>
      </c>
      <c r="L1009" s="10">
        <v>47.73</v>
      </c>
      <c r="M1009" s="10">
        <v>47.71</v>
      </c>
      <c r="N1009" s="10">
        <v>44.91</v>
      </c>
      <c r="O1009" s="10">
        <v>45.11</v>
      </c>
      <c r="P1009" s="10">
        <v>45.25</v>
      </c>
      <c r="Q1009" s="10">
        <v>45.35</v>
      </c>
      <c r="R1009" s="10">
        <v>45.41</v>
      </c>
      <c r="S1009" s="10">
        <v>45.41</v>
      </c>
      <c r="T1009" s="10">
        <v>45.38</v>
      </c>
      <c r="U1009" s="10">
        <v>45.31</v>
      </c>
      <c r="V1009" s="10">
        <v>45.24</v>
      </c>
      <c r="W1009" s="10">
        <v>45.16</v>
      </c>
      <c r="X1009" s="10">
        <v>45.09</v>
      </c>
      <c r="Y1009" s="10">
        <v>45.03</v>
      </c>
      <c r="Z1009" s="11">
        <v>43.363</v>
      </c>
      <c r="AA1009" s="11">
        <v>47.13</v>
      </c>
      <c r="AB1009" s="11">
        <v>46.951000000000001</v>
      </c>
      <c r="AC1009" s="11">
        <v>46.911999999999999</v>
      </c>
      <c r="AD1009" s="11">
        <v>46.91</v>
      </c>
      <c r="AE1009" s="11">
        <v>46.917999999999999</v>
      </c>
      <c r="AF1009" s="11">
        <v>46.908999999999999</v>
      </c>
      <c r="AG1009" s="11">
        <v>46.88</v>
      </c>
      <c r="AH1009" s="11">
        <v>46.779000000000003</v>
      </c>
      <c r="AI1009" s="11">
        <v>46.719000000000001</v>
      </c>
      <c r="AJ1009" s="11">
        <v>46.639000000000003</v>
      </c>
      <c r="AK1009" s="11">
        <v>46.588999999999999</v>
      </c>
      <c r="AL1009" s="11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  <c r="EP1009" s="3"/>
      <c r="EQ1009" s="3"/>
    </row>
    <row r="1010" spans="1:147" x14ac:dyDescent="0.3">
      <c r="A1010" s="9">
        <f>DATE(2020, 11, 25)</f>
        <v>44160</v>
      </c>
      <c r="B1010" s="10">
        <v>48.61</v>
      </c>
      <c r="C1010" s="10">
        <v>48.53</v>
      </c>
      <c r="D1010" s="10">
        <v>48.54</v>
      </c>
      <c r="E1010" s="10">
        <v>48.55</v>
      </c>
      <c r="F1010" s="10">
        <v>48.57</v>
      </c>
      <c r="G1010" s="10">
        <v>48.58</v>
      </c>
      <c r="H1010" s="10">
        <v>48.53</v>
      </c>
      <c r="I1010" s="10">
        <v>48.51</v>
      </c>
      <c r="J1010" s="10">
        <v>48.49</v>
      </c>
      <c r="K1010" s="10">
        <v>48.46</v>
      </c>
      <c r="L1010" s="10">
        <v>48.43</v>
      </c>
      <c r="M1010" s="10">
        <v>48.41</v>
      </c>
      <c r="N1010" s="10">
        <v>45.71</v>
      </c>
      <c r="O1010" s="10">
        <v>45.91</v>
      </c>
      <c r="P1010" s="10">
        <v>46.03</v>
      </c>
      <c r="Q1010" s="10">
        <v>46.11</v>
      </c>
      <c r="R1010" s="10">
        <v>46.14</v>
      </c>
      <c r="S1010" s="10">
        <v>46.12</v>
      </c>
      <c r="T1010" s="10">
        <v>46.07</v>
      </c>
      <c r="U1010" s="10">
        <v>45.98</v>
      </c>
      <c r="V1010" s="10">
        <v>45.91</v>
      </c>
      <c r="W1010" s="10">
        <v>45.81</v>
      </c>
      <c r="X1010" s="10">
        <v>45.74</v>
      </c>
      <c r="Y1010" s="10">
        <v>45.67</v>
      </c>
      <c r="Z1010" s="11">
        <v>43.542999999999999</v>
      </c>
      <c r="AA1010" s="11">
        <v>47.960999999999999</v>
      </c>
      <c r="AB1010" s="11">
        <v>47.761000000000003</v>
      </c>
      <c r="AC1010" s="11">
        <v>47.670999999999999</v>
      </c>
      <c r="AD1010" s="11">
        <v>47.65</v>
      </c>
      <c r="AE1010" s="11">
        <v>47.648000000000003</v>
      </c>
      <c r="AF1010" s="11">
        <v>47.618000000000002</v>
      </c>
      <c r="AG1010" s="11">
        <v>47.579000000000001</v>
      </c>
      <c r="AH1010" s="11">
        <v>47.518999999999998</v>
      </c>
      <c r="AI1010" s="11">
        <v>47.448999999999998</v>
      </c>
      <c r="AJ1010" s="11">
        <v>47.389000000000003</v>
      </c>
      <c r="AK1010" s="11">
        <v>47.308999999999997</v>
      </c>
      <c r="AL1010" s="11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/>
      <c r="EM1010" s="3"/>
      <c r="EN1010" s="3"/>
      <c r="EO1010" s="3"/>
      <c r="EP1010" s="3"/>
      <c r="EQ1010" s="3"/>
    </row>
    <row r="1011" spans="1:147" x14ac:dyDescent="0.3">
      <c r="A1011" s="9">
        <f>DATE(2020, 11, 26)</f>
        <v>44161</v>
      </c>
      <c r="B1011" s="10">
        <v>47.8</v>
      </c>
      <c r="C1011" s="10">
        <v>47.79</v>
      </c>
      <c r="D1011" s="10">
        <v>47.82</v>
      </c>
      <c r="E1011" s="10">
        <v>47.86</v>
      </c>
      <c r="F1011" s="10">
        <v>47.91</v>
      </c>
      <c r="G1011" s="10">
        <v>47.92</v>
      </c>
      <c r="H1011" s="10">
        <v>47.88</v>
      </c>
      <c r="I1011" s="10">
        <v>47.86</v>
      </c>
      <c r="J1011" s="10">
        <v>47.86</v>
      </c>
      <c r="K1011" s="10">
        <v>47.83</v>
      </c>
      <c r="L1011" s="10">
        <v>47.81</v>
      </c>
      <c r="M1011" s="10">
        <v>47.8</v>
      </c>
      <c r="N1011" s="10">
        <v>45.71</v>
      </c>
      <c r="O1011" s="10">
        <v>45.91</v>
      </c>
      <c r="P1011" s="10">
        <v>46.03</v>
      </c>
      <c r="Q1011" s="10">
        <v>46.11</v>
      </c>
      <c r="R1011" s="10">
        <v>46.14</v>
      </c>
      <c r="S1011" s="10">
        <v>46.12</v>
      </c>
      <c r="T1011" s="10">
        <v>46.07</v>
      </c>
      <c r="U1011" s="10">
        <v>45.98</v>
      </c>
      <c r="V1011" s="10">
        <v>45.91</v>
      </c>
      <c r="W1011" s="10">
        <v>45.81</v>
      </c>
      <c r="X1011" s="10">
        <v>45.74</v>
      </c>
      <c r="Y1011" s="10">
        <v>45.67</v>
      </c>
      <c r="Z1011" s="11">
        <v>43.44</v>
      </c>
      <c r="AA1011" s="11">
        <v>47.283000000000001</v>
      </c>
      <c r="AB1011" s="11">
        <v>47.101999999999997</v>
      </c>
      <c r="AC1011" s="11">
        <v>47.012999999999998</v>
      </c>
      <c r="AD1011" s="11">
        <v>47</v>
      </c>
      <c r="AE1011" s="11">
        <v>46.978000000000002</v>
      </c>
      <c r="AF1011" s="11">
        <v>46.968000000000004</v>
      </c>
      <c r="AG1011" s="11">
        <v>46.94</v>
      </c>
      <c r="AH1011" s="11">
        <v>46.899000000000001</v>
      </c>
      <c r="AI1011" s="11">
        <v>46.838999999999999</v>
      </c>
      <c r="AJ1011" s="11">
        <v>46.78</v>
      </c>
      <c r="AK1011" s="11">
        <v>46.71</v>
      </c>
      <c r="AL1011" s="11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3"/>
      <c r="DW1011" s="3"/>
      <c r="DX1011" s="3"/>
      <c r="DY1011" s="3"/>
      <c r="DZ1011" s="3"/>
      <c r="EA1011" s="3"/>
      <c r="EB1011" s="3"/>
      <c r="EC1011" s="3"/>
      <c r="ED1011" s="3"/>
      <c r="EE1011" s="3"/>
      <c r="EF1011" s="3"/>
      <c r="EG1011" s="3"/>
      <c r="EH1011" s="3"/>
      <c r="EI1011" s="3"/>
      <c r="EJ1011" s="3"/>
      <c r="EK1011" s="3"/>
      <c r="EL1011" s="3"/>
      <c r="EM1011" s="3"/>
      <c r="EN1011" s="3"/>
      <c r="EO1011" s="3"/>
      <c r="EP1011" s="3"/>
      <c r="EQ1011" s="3"/>
    </row>
    <row r="1012" spans="1:147" x14ac:dyDescent="0.3">
      <c r="A1012" s="9">
        <f>DATE(2020, 11, 27)</f>
        <v>44162</v>
      </c>
      <c r="B1012" s="10">
        <v>48.18</v>
      </c>
      <c r="C1012" s="10">
        <v>48.25</v>
      </c>
      <c r="D1012" s="10">
        <v>48.31</v>
      </c>
      <c r="E1012" s="10">
        <v>48.37</v>
      </c>
      <c r="F1012" s="10">
        <v>48.43</v>
      </c>
      <c r="G1012" s="10">
        <v>48.46</v>
      </c>
      <c r="H1012" s="10">
        <v>48.41</v>
      </c>
      <c r="I1012" s="10">
        <v>48.39</v>
      </c>
      <c r="J1012" s="10">
        <v>48.37</v>
      </c>
      <c r="K1012" s="10">
        <v>48.34</v>
      </c>
      <c r="L1012" s="10">
        <v>48.31</v>
      </c>
      <c r="M1012" s="10">
        <v>48.28</v>
      </c>
      <c r="N1012" s="10">
        <v>45.53</v>
      </c>
      <c r="O1012" s="10">
        <v>45.74</v>
      </c>
      <c r="P1012" s="10">
        <v>45.91</v>
      </c>
      <c r="Q1012" s="10">
        <v>46.01</v>
      </c>
      <c r="R1012" s="10">
        <v>46.06</v>
      </c>
      <c r="S1012" s="10">
        <v>46.07</v>
      </c>
      <c r="T1012" s="10">
        <v>46.03</v>
      </c>
      <c r="U1012" s="10">
        <v>45.96</v>
      </c>
      <c r="V1012" s="10">
        <v>45.87</v>
      </c>
      <c r="W1012" s="10">
        <v>45.77</v>
      </c>
      <c r="X1012" s="10">
        <v>45.69</v>
      </c>
      <c r="Y1012" s="10">
        <v>45.62</v>
      </c>
      <c r="Z1012" s="11">
        <v>43.430999999999997</v>
      </c>
      <c r="AA1012" s="11">
        <v>47.685000000000002</v>
      </c>
      <c r="AB1012" s="11">
        <v>47.563000000000002</v>
      </c>
      <c r="AC1012" s="11">
        <v>47.493000000000002</v>
      </c>
      <c r="AD1012" s="11">
        <v>47.500999999999998</v>
      </c>
      <c r="AE1012" s="11">
        <v>47.508000000000003</v>
      </c>
      <c r="AF1012" s="11">
        <v>47.508000000000003</v>
      </c>
      <c r="AG1012" s="11">
        <v>47.499000000000002</v>
      </c>
      <c r="AH1012" s="11">
        <v>47.459000000000003</v>
      </c>
      <c r="AI1012" s="11">
        <v>47.399000000000001</v>
      </c>
      <c r="AJ1012" s="11">
        <v>47.338999999999999</v>
      </c>
      <c r="AK1012" s="11">
        <v>47.26</v>
      </c>
      <c r="AL1012" s="11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  <c r="DI1012" s="3"/>
      <c r="DJ1012" s="3"/>
      <c r="DK1012" s="3"/>
      <c r="DL1012" s="3"/>
      <c r="DM1012" s="3"/>
      <c r="DN1012" s="3"/>
      <c r="DO1012" s="3"/>
      <c r="DP1012" s="3"/>
      <c r="DQ1012" s="3"/>
      <c r="DR1012" s="3"/>
      <c r="DS1012" s="3"/>
      <c r="DT1012" s="3"/>
      <c r="DU1012" s="3"/>
      <c r="DV1012" s="3"/>
      <c r="DW1012" s="3"/>
      <c r="DX1012" s="3"/>
      <c r="DY1012" s="3"/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/>
      <c r="EL1012" s="3"/>
      <c r="EM1012" s="3"/>
      <c r="EN1012" s="3"/>
      <c r="EO1012" s="3"/>
      <c r="EP1012" s="3"/>
      <c r="EQ1012" s="3"/>
    </row>
    <row r="1013" spans="1:147" x14ac:dyDescent="0.3">
      <c r="A1013" s="9">
        <f>DATE(2020, 11, 30)</f>
        <v>44165</v>
      </c>
      <c r="B1013" s="10">
        <v>47.59</v>
      </c>
      <c r="C1013" s="10">
        <v>47.88</v>
      </c>
      <c r="D1013" s="10">
        <v>47.95</v>
      </c>
      <c r="E1013" s="10">
        <v>48.03</v>
      </c>
      <c r="F1013" s="10">
        <v>48.1</v>
      </c>
      <c r="G1013" s="10">
        <v>48.14</v>
      </c>
      <c r="H1013" s="10">
        <v>48.11</v>
      </c>
      <c r="I1013" s="10">
        <v>48.11</v>
      </c>
      <c r="J1013" s="10">
        <v>48.09</v>
      </c>
      <c r="K1013" s="10">
        <v>48.07</v>
      </c>
      <c r="L1013" s="10">
        <v>48.05</v>
      </c>
      <c r="M1013" s="10">
        <v>48.04</v>
      </c>
      <c r="N1013" s="10">
        <v>45.34</v>
      </c>
      <c r="O1013" s="10">
        <v>45.51</v>
      </c>
      <c r="P1013" s="10">
        <v>45.65</v>
      </c>
      <c r="Q1013" s="10">
        <v>45.74</v>
      </c>
      <c r="R1013" s="10">
        <v>45.78</v>
      </c>
      <c r="S1013" s="10">
        <v>45.77</v>
      </c>
      <c r="T1013" s="10">
        <v>45.72</v>
      </c>
      <c r="U1013" s="10">
        <v>45.65</v>
      </c>
      <c r="V1013" s="10">
        <v>45.56</v>
      </c>
      <c r="W1013" s="10">
        <v>45.47</v>
      </c>
      <c r="X1013" s="10">
        <v>45.39</v>
      </c>
      <c r="Y1013" s="10">
        <v>45.32</v>
      </c>
      <c r="Z1013" s="11">
        <v>43.393999999999998</v>
      </c>
      <c r="AA1013" s="11">
        <v>47.235999999999997</v>
      </c>
      <c r="AB1013" s="11">
        <v>47.164000000000001</v>
      </c>
      <c r="AC1013" s="11">
        <v>47.154000000000003</v>
      </c>
      <c r="AD1013" s="11">
        <v>47.182000000000002</v>
      </c>
      <c r="AE1013" s="11">
        <v>47.198999999999998</v>
      </c>
      <c r="AF1013" s="11">
        <v>47.21</v>
      </c>
      <c r="AG1013" s="11">
        <v>47.198999999999998</v>
      </c>
      <c r="AH1013" s="11">
        <v>47.149000000000001</v>
      </c>
      <c r="AI1013" s="11">
        <v>47.098999999999997</v>
      </c>
      <c r="AJ1013" s="11">
        <v>47.06</v>
      </c>
      <c r="AK1013" s="11">
        <v>47</v>
      </c>
      <c r="AL1013" s="11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  <c r="DG1013" s="3"/>
      <c r="DH1013" s="3"/>
      <c r="DI1013" s="3"/>
      <c r="DJ1013" s="3"/>
      <c r="DK1013" s="3"/>
      <c r="DL1013" s="3"/>
      <c r="DM1013" s="3"/>
      <c r="DN1013" s="3"/>
      <c r="DO1013" s="3"/>
      <c r="DP1013" s="3"/>
      <c r="DQ1013" s="3"/>
      <c r="DR1013" s="3"/>
      <c r="DS1013" s="3"/>
      <c r="DT1013" s="3"/>
      <c r="DU1013" s="3"/>
      <c r="DV1013" s="3"/>
      <c r="DW1013" s="3"/>
      <c r="DX1013" s="3"/>
      <c r="DY1013" s="3"/>
      <c r="DZ1013" s="3"/>
      <c r="EA1013" s="3"/>
      <c r="EB1013" s="3"/>
      <c r="EC1013" s="3"/>
      <c r="ED1013" s="3"/>
      <c r="EE1013" s="3"/>
      <c r="EF1013" s="3"/>
      <c r="EG1013" s="3"/>
      <c r="EH1013" s="3"/>
      <c r="EI1013" s="3"/>
      <c r="EJ1013" s="3"/>
      <c r="EK1013" s="3"/>
      <c r="EL1013" s="3"/>
      <c r="EM1013" s="3"/>
      <c r="EN1013" s="3"/>
      <c r="EO1013" s="3"/>
      <c r="EP1013" s="3"/>
      <c r="EQ1013" s="3"/>
    </row>
    <row r="1014" spans="1:147" x14ac:dyDescent="0.3">
      <c r="A1014" s="9">
        <f>DATE(2020, 12, 1)</f>
        <v>44166</v>
      </c>
      <c r="B1014" s="10">
        <v>47.42</v>
      </c>
      <c r="C1014" s="10">
        <v>47.4</v>
      </c>
      <c r="D1014" s="10">
        <v>47.41</v>
      </c>
      <c r="E1014" s="10">
        <v>47.44</v>
      </c>
      <c r="F1014" s="10">
        <v>47.45</v>
      </c>
      <c r="G1014" s="10">
        <v>47.42</v>
      </c>
      <c r="H1014" s="10">
        <v>47.4</v>
      </c>
      <c r="I1014" s="10">
        <v>47.37</v>
      </c>
      <c r="J1014" s="10">
        <v>47.34</v>
      </c>
      <c r="K1014" s="10">
        <v>47.3</v>
      </c>
      <c r="L1014" s="10">
        <v>47.27</v>
      </c>
      <c r="M1014" s="10">
        <v>47.25</v>
      </c>
      <c r="N1014" s="10">
        <v>44.55</v>
      </c>
      <c r="O1014" s="10">
        <v>44.73</v>
      </c>
      <c r="P1014" s="10">
        <v>44.88</v>
      </c>
      <c r="Q1014" s="10">
        <v>44.98</v>
      </c>
      <c r="R1014" s="10">
        <v>45.04</v>
      </c>
      <c r="S1014" s="10">
        <v>45.04</v>
      </c>
      <c r="T1014" s="10">
        <v>45</v>
      </c>
      <c r="U1014" s="10">
        <v>44.94</v>
      </c>
      <c r="V1014" s="10">
        <v>44.85</v>
      </c>
      <c r="W1014" s="10">
        <v>44.76</v>
      </c>
      <c r="X1014" s="10">
        <v>44.67</v>
      </c>
      <c r="Y1014" s="10">
        <v>44.59</v>
      </c>
      <c r="Z1014" s="11">
        <v>43.393999999999998</v>
      </c>
      <c r="AA1014" s="11">
        <v>46.854999999999997</v>
      </c>
      <c r="AB1014" s="11">
        <v>46.640999999999998</v>
      </c>
      <c r="AC1014" s="11">
        <v>46.572000000000003</v>
      </c>
      <c r="AD1014" s="11">
        <v>46.59</v>
      </c>
      <c r="AE1014" s="11">
        <v>46.588999999999999</v>
      </c>
      <c r="AF1014" s="11">
        <v>46.567999999999998</v>
      </c>
      <c r="AG1014" s="11">
        <v>46.539000000000001</v>
      </c>
      <c r="AH1014" s="11">
        <v>46.488999999999997</v>
      </c>
      <c r="AI1014" s="11">
        <v>46.438000000000002</v>
      </c>
      <c r="AJ1014" s="11">
        <v>46.359000000000002</v>
      </c>
      <c r="AK1014" s="11">
        <v>46.268999999999998</v>
      </c>
      <c r="AL1014" s="11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  <c r="DI1014" s="3"/>
      <c r="DJ1014" s="3"/>
      <c r="DK1014" s="3"/>
      <c r="DL1014" s="3"/>
      <c r="DM1014" s="3"/>
      <c r="DN1014" s="3"/>
      <c r="DO1014" s="3"/>
      <c r="DP1014" s="3"/>
      <c r="DQ1014" s="3"/>
      <c r="DR1014" s="3"/>
      <c r="DS1014" s="3"/>
      <c r="DT1014" s="3"/>
      <c r="DU1014" s="3"/>
      <c r="DV1014" s="3"/>
      <c r="DW1014" s="3"/>
      <c r="DX1014" s="3"/>
      <c r="DY1014" s="3"/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/>
      <c r="EL1014" s="3"/>
      <c r="EM1014" s="3"/>
      <c r="EN1014" s="3"/>
      <c r="EO1014" s="3"/>
      <c r="EP1014" s="3"/>
      <c r="EQ1014" s="3"/>
    </row>
    <row r="1015" spans="1:147" x14ac:dyDescent="0.3">
      <c r="A1015" s="9">
        <f>DATE(2020, 12, 2)</f>
        <v>44167</v>
      </c>
      <c r="B1015" s="10">
        <v>48.25</v>
      </c>
      <c r="C1015" s="10">
        <v>48.19</v>
      </c>
      <c r="D1015" s="10">
        <v>48.16</v>
      </c>
      <c r="E1015" s="10">
        <v>48.15</v>
      </c>
      <c r="F1015" s="10">
        <v>48.12</v>
      </c>
      <c r="G1015" s="10">
        <v>48.05</v>
      </c>
      <c r="H1015" s="10">
        <v>48</v>
      </c>
      <c r="I1015" s="10">
        <v>47.94</v>
      </c>
      <c r="J1015" s="10">
        <v>47.87</v>
      </c>
      <c r="K1015" s="10">
        <v>47.79</v>
      </c>
      <c r="L1015" s="10">
        <v>47.73</v>
      </c>
      <c r="M1015" s="10">
        <v>47.69</v>
      </c>
      <c r="N1015" s="10">
        <v>45.28</v>
      </c>
      <c r="O1015" s="10">
        <v>45.44</v>
      </c>
      <c r="P1015" s="10">
        <v>45.57</v>
      </c>
      <c r="Q1015" s="10">
        <v>45.64</v>
      </c>
      <c r="R1015" s="10">
        <v>45.66</v>
      </c>
      <c r="S1015" s="10">
        <v>45.64</v>
      </c>
      <c r="T1015" s="10">
        <v>45.57</v>
      </c>
      <c r="U1015" s="10">
        <v>45.46</v>
      </c>
      <c r="V1015" s="10">
        <v>45.34</v>
      </c>
      <c r="W1015" s="10">
        <v>45.2</v>
      </c>
      <c r="X1015" s="10">
        <v>45.08</v>
      </c>
      <c r="Y1015" s="10">
        <v>44.99</v>
      </c>
      <c r="Z1015" s="11">
        <v>47.662999999999997</v>
      </c>
      <c r="AA1015" s="11">
        <v>47.399000000000001</v>
      </c>
      <c r="AB1015" s="11">
        <v>47.32</v>
      </c>
      <c r="AC1015" s="11">
        <v>47.289000000000001</v>
      </c>
      <c r="AD1015" s="11">
        <v>47.256999999999998</v>
      </c>
      <c r="AE1015" s="11">
        <v>47.225000000000001</v>
      </c>
      <c r="AF1015" s="11">
        <v>47.146999999999998</v>
      </c>
      <c r="AG1015" s="11">
        <v>47.057000000000002</v>
      </c>
      <c r="AH1015" s="11">
        <v>46.966000000000001</v>
      </c>
      <c r="AI1015" s="11">
        <v>46.877000000000002</v>
      </c>
      <c r="AJ1015" s="11">
        <v>46.798000000000002</v>
      </c>
      <c r="AK1015" s="11">
        <v>46.677999999999997</v>
      </c>
      <c r="AL1015" s="11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3"/>
      <c r="DW1015" s="3"/>
      <c r="DX1015" s="3"/>
      <c r="DY1015" s="3"/>
      <c r="DZ1015" s="3"/>
      <c r="EA1015" s="3"/>
      <c r="EB1015" s="3"/>
      <c r="EC1015" s="3"/>
      <c r="ED1015" s="3"/>
      <c r="EE1015" s="3"/>
      <c r="EF1015" s="3"/>
      <c r="EG1015" s="3"/>
      <c r="EH1015" s="3"/>
      <c r="EI1015" s="3"/>
      <c r="EJ1015" s="3"/>
      <c r="EK1015" s="3"/>
      <c r="EL1015" s="3"/>
      <c r="EM1015" s="3"/>
      <c r="EN1015" s="3"/>
      <c r="EO1015" s="3"/>
      <c r="EP1015" s="3"/>
      <c r="EQ1015" s="3"/>
    </row>
    <row r="1016" spans="1:147" x14ac:dyDescent="0.3">
      <c r="A1016" s="9">
        <f>DATE(2020, 12, 3)</f>
        <v>44168</v>
      </c>
      <c r="B1016" s="10">
        <v>48.71</v>
      </c>
      <c r="C1016" s="10">
        <v>48.6</v>
      </c>
      <c r="D1016" s="10">
        <v>48.54</v>
      </c>
      <c r="E1016" s="10">
        <v>48.51</v>
      </c>
      <c r="F1016" s="10">
        <v>48.46</v>
      </c>
      <c r="G1016" s="10">
        <v>48.36</v>
      </c>
      <c r="H1016" s="10">
        <v>48.28</v>
      </c>
      <c r="I1016" s="10">
        <v>48.17</v>
      </c>
      <c r="J1016" s="10">
        <v>48.06</v>
      </c>
      <c r="K1016" s="10">
        <v>47.94</v>
      </c>
      <c r="L1016" s="10">
        <v>47.82</v>
      </c>
      <c r="M1016" s="10">
        <v>47.72</v>
      </c>
      <c r="N1016" s="10">
        <v>45.64</v>
      </c>
      <c r="O1016" s="10">
        <v>45.79</v>
      </c>
      <c r="P1016" s="10">
        <v>45.91</v>
      </c>
      <c r="Q1016" s="10">
        <v>45.96</v>
      </c>
      <c r="R1016" s="10">
        <v>45.97</v>
      </c>
      <c r="S1016" s="10">
        <v>45.93</v>
      </c>
      <c r="T1016" s="10">
        <v>45.83</v>
      </c>
      <c r="U1016" s="10">
        <v>45.68</v>
      </c>
      <c r="V1016" s="10">
        <v>45.5</v>
      </c>
      <c r="W1016" s="10">
        <v>45.32</v>
      </c>
      <c r="X1016" s="10">
        <v>45.15</v>
      </c>
      <c r="Y1016" s="10">
        <v>45</v>
      </c>
      <c r="Z1016" s="11">
        <v>47.892000000000003</v>
      </c>
      <c r="AA1016" s="11">
        <v>47.697000000000003</v>
      </c>
      <c r="AB1016" s="11">
        <v>47.569000000000003</v>
      </c>
      <c r="AC1016" s="11">
        <v>47.537999999999997</v>
      </c>
      <c r="AD1016" s="11">
        <v>47.494999999999997</v>
      </c>
      <c r="AE1016" s="11">
        <v>47.442</v>
      </c>
      <c r="AF1016" s="11">
        <v>47.354999999999997</v>
      </c>
      <c r="AG1016" s="11">
        <v>47.225000000000001</v>
      </c>
      <c r="AH1016" s="11">
        <v>47.094999999999999</v>
      </c>
      <c r="AI1016" s="11">
        <v>46.954999999999998</v>
      </c>
      <c r="AJ1016" s="11">
        <v>46.814999999999998</v>
      </c>
      <c r="AK1016" s="11">
        <v>46.665999999999997</v>
      </c>
      <c r="AL1016" s="11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  <c r="DJ1016" s="3"/>
      <c r="DK1016" s="3"/>
      <c r="DL1016" s="3"/>
      <c r="DM1016" s="3"/>
      <c r="DN1016" s="3"/>
      <c r="DO1016" s="3"/>
      <c r="DP1016" s="3"/>
      <c r="DQ1016" s="3"/>
      <c r="DR1016" s="3"/>
      <c r="DS1016" s="3"/>
      <c r="DT1016" s="3"/>
      <c r="DU1016" s="3"/>
      <c r="DV1016" s="3"/>
      <c r="DW1016" s="3"/>
      <c r="DX1016" s="3"/>
      <c r="DY1016" s="3"/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/>
      <c r="EL1016" s="3"/>
      <c r="EM1016" s="3"/>
      <c r="EN1016" s="3"/>
      <c r="EO1016" s="3"/>
      <c r="EP1016" s="3"/>
      <c r="EQ1016" s="3"/>
    </row>
    <row r="1017" spans="1:147" x14ac:dyDescent="0.3">
      <c r="A1017" s="9">
        <f>DATE(2020, 12, 4)</f>
        <v>44169</v>
      </c>
      <c r="B1017" s="10">
        <v>49.25</v>
      </c>
      <c r="C1017" s="10">
        <v>49.19</v>
      </c>
      <c r="D1017" s="10">
        <v>49.16</v>
      </c>
      <c r="E1017" s="10">
        <v>49.16</v>
      </c>
      <c r="F1017" s="10">
        <v>49.12</v>
      </c>
      <c r="G1017" s="10">
        <v>49.02</v>
      </c>
      <c r="H1017" s="10">
        <v>48.95</v>
      </c>
      <c r="I1017" s="10">
        <v>48.84</v>
      </c>
      <c r="J1017" s="10">
        <v>48.72</v>
      </c>
      <c r="K1017" s="10">
        <v>48.59</v>
      </c>
      <c r="L1017" s="10">
        <v>48.47</v>
      </c>
      <c r="M1017" s="10">
        <v>48.37</v>
      </c>
      <c r="N1017" s="10">
        <v>46.26</v>
      </c>
      <c r="O1017" s="10">
        <v>46.42</v>
      </c>
      <c r="P1017" s="10">
        <v>46.54</v>
      </c>
      <c r="Q1017" s="10">
        <v>46.6</v>
      </c>
      <c r="R1017" s="10">
        <v>46.61</v>
      </c>
      <c r="S1017" s="10">
        <v>46.56</v>
      </c>
      <c r="T1017" s="10">
        <v>46.46</v>
      </c>
      <c r="U1017" s="10">
        <v>46.32</v>
      </c>
      <c r="V1017" s="10">
        <v>46.14</v>
      </c>
      <c r="W1017" s="10">
        <v>45.99</v>
      </c>
      <c r="X1017" s="10">
        <v>45.82</v>
      </c>
      <c r="Y1017" s="10">
        <v>45.63</v>
      </c>
      <c r="Z1017" s="11">
        <v>48.500999999999998</v>
      </c>
      <c r="AA1017" s="11">
        <v>48.329000000000001</v>
      </c>
      <c r="AB1017" s="11">
        <v>48.17</v>
      </c>
      <c r="AC1017" s="11">
        <v>48.137999999999998</v>
      </c>
      <c r="AD1017" s="11">
        <v>48.115000000000002</v>
      </c>
      <c r="AE1017" s="11">
        <v>48.073</v>
      </c>
      <c r="AF1017" s="11">
        <v>48.015000000000001</v>
      </c>
      <c r="AG1017" s="11">
        <v>47.875</v>
      </c>
      <c r="AH1017" s="11">
        <v>47.734000000000002</v>
      </c>
      <c r="AI1017" s="11">
        <v>47.604999999999997</v>
      </c>
      <c r="AJ1017" s="11">
        <v>47.465000000000003</v>
      </c>
      <c r="AK1017" s="11">
        <v>47.316000000000003</v>
      </c>
      <c r="AL1017" s="11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/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/>
      <c r="DW1017" s="3"/>
      <c r="DX1017" s="3"/>
      <c r="DY1017" s="3"/>
      <c r="DZ1017" s="3"/>
      <c r="EA1017" s="3"/>
      <c r="EB1017" s="3"/>
      <c r="EC1017" s="3"/>
      <c r="ED1017" s="3"/>
      <c r="EE1017" s="3"/>
      <c r="EF1017" s="3"/>
      <c r="EG1017" s="3"/>
      <c r="EH1017" s="3"/>
      <c r="EI1017" s="3"/>
      <c r="EJ1017" s="3"/>
      <c r="EK1017" s="3"/>
      <c r="EL1017" s="3"/>
      <c r="EM1017" s="3"/>
      <c r="EN1017" s="3"/>
      <c r="EO1017" s="3"/>
      <c r="EP1017" s="3"/>
      <c r="EQ1017" s="3"/>
    </row>
    <row r="1018" spans="1:147" x14ac:dyDescent="0.3">
      <c r="A1018" s="9">
        <f>DATE(2020, 12, 7)</f>
        <v>44172</v>
      </c>
      <c r="B1018" s="10">
        <v>48.79</v>
      </c>
      <c r="C1018" s="10">
        <v>48.8</v>
      </c>
      <c r="D1018" s="10">
        <v>48.82</v>
      </c>
      <c r="E1018" s="10">
        <v>48.86</v>
      </c>
      <c r="F1018" s="10">
        <v>48.86</v>
      </c>
      <c r="G1018" s="10">
        <v>48.8</v>
      </c>
      <c r="H1018" s="10">
        <v>48.76</v>
      </c>
      <c r="I1018" s="10">
        <v>48.69</v>
      </c>
      <c r="J1018" s="10">
        <v>48.6</v>
      </c>
      <c r="K1018" s="10">
        <v>48.49</v>
      </c>
      <c r="L1018" s="10">
        <v>48.39</v>
      </c>
      <c r="M1018" s="10">
        <v>48.3</v>
      </c>
      <c r="N1018" s="10">
        <v>45.76</v>
      </c>
      <c r="O1018" s="10">
        <v>45.95</v>
      </c>
      <c r="P1018" s="10">
        <v>46.09</v>
      </c>
      <c r="Q1018" s="10">
        <v>46.19</v>
      </c>
      <c r="R1018" s="10">
        <v>46.23</v>
      </c>
      <c r="S1018" s="10">
        <v>46.23</v>
      </c>
      <c r="T1018" s="10">
        <v>46.17</v>
      </c>
      <c r="U1018" s="10">
        <v>46.08</v>
      </c>
      <c r="V1018" s="10">
        <v>45.96</v>
      </c>
      <c r="W1018" s="10">
        <v>45.82</v>
      </c>
      <c r="X1018" s="10">
        <v>45.69</v>
      </c>
      <c r="Y1018" s="10">
        <v>45.57</v>
      </c>
      <c r="Z1018" s="11">
        <v>48.253</v>
      </c>
      <c r="AA1018" s="11">
        <v>48.011000000000003</v>
      </c>
      <c r="AB1018" s="11">
        <v>47.881999999999998</v>
      </c>
      <c r="AC1018" s="11">
        <v>47.86</v>
      </c>
      <c r="AD1018" s="11">
        <v>47.847000000000001</v>
      </c>
      <c r="AE1018" s="11">
        <v>47.835999999999999</v>
      </c>
      <c r="AF1018" s="11">
        <v>47.786999999999999</v>
      </c>
      <c r="AG1018" s="11">
        <v>47.706000000000003</v>
      </c>
      <c r="AH1018" s="11">
        <v>47.594999999999999</v>
      </c>
      <c r="AI1018" s="11">
        <v>47.454999999999998</v>
      </c>
      <c r="AJ1018" s="11">
        <v>47.345999999999997</v>
      </c>
      <c r="AK1018" s="11">
        <v>47.225999999999999</v>
      </c>
      <c r="AL1018" s="11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  <c r="DG1018" s="3"/>
      <c r="DH1018" s="3"/>
      <c r="DI1018" s="3"/>
      <c r="DJ1018" s="3"/>
      <c r="DK1018" s="3"/>
      <c r="DL1018" s="3"/>
      <c r="DM1018" s="3"/>
      <c r="DN1018" s="3"/>
      <c r="DO1018" s="3"/>
      <c r="DP1018" s="3"/>
      <c r="DQ1018" s="3"/>
      <c r="DR1018" s="3"/>
      <c r="DS1018" s="3"/>
      <c r="DT1018" s="3"/>
      <c r="DU1018" s="3"/>
      <c r="DV1018" s="3"/>
      <c r="DW1018" s="3"/>
      <c r="DX1018" s="3"/>
      <c r="DY1018" s="3"/>
      <c r="DZ1018" s="3"/>
      <c r="EA1018" s="3"/>
      <c r="EB1018" s="3"/>
      <c r="EC1018" s="3"/>
      <c r="ED1018" s="3"/>
      <c r="EE1018" s="3"/>
      <c r="EF1018" s="3"/>
      <c r="EG1018" s="3"/>
      <c r="EH1018" s="3"/>
      <c r="EI1018" s="3"/>
      <c r="EJ1018" s="3"/>
      <c r="EK1018" s="3"/>
      <c r="EL1018" s="3"/>
      <c r="EM1018" s="3"/>
      <c r="EN1018" s="3"/>
      <c r="EO1018" s="3"/>
      <c r="EP1018" s="3"/>
      <c r="EQ1018" s="3"/>
    </row>
    <row r="1019" spans="1:147" x14ac:dyDescent="0.3">
      <c r="A1019" s="9">
        <f>DATE(2020, 12, 8)</f>
        <v>44173</v>
      </c>
      <c r="B1019" s="10">
        <v>48.84</v>
      </c>
      <c r="C1019" s="10">
        <v>48.81</v>
      </c>
      <c r="D1019" s="10">
        <v>48.83</v>
      </c>
      <c r="E1019" s="10">
        <v>48.86</v>
      </c>
      <c r="F1019" s="10">
        <v>48.86</v>
      </c>
      <c r="G1019" s="10">
        <v>48.81</v>
      </c>
      <c r="H1019" s="10">
        <v>48.79</v>
      </c>
      <c r="I1019" s="10">
        <v>48.73</v>
      </c>
      <c r="J1019" s="10">
        <v>48.64</v>
      </c>
      <c r="K1019" s="10">
        <v>48.54</v>
      </c>
      <c r="L1019" s="10">
        <v>48.45</v>
      </c>
      <c r="M1019" s="10">
        <v>48.36</v>
      </c>
      <c r="N1019" s="10">
        <v>45.6</v>
      </c>
      <c r="O1019" s="10">
        <v>45.8</v>
      </c>
      <c r="P1019" s="10">
        <v>45.96</v>
      </c>
      <c r="Q1019" s="10">
        <v>46.09</v>
      </c>
      <c r="R1019" s="10">
        <v>46.16</v>
      </c>
      <c r="S1019" s="10">
        <v>46.17</v>
      </c>
      <c r="T1019" s="10">
        <v>46.13</v>
      </c>
      <c r="U1019" s="10">
        <v>46.06</v>
      </c>
      <c r="V1019" s="10">
        <v>45.96</v>
      </c>
      <c r="W1019" s="10">
        <v>45.84</v>
      </c>
      <c r="X1019" s="10">
        <v>45.73</v>
      </c>
      <c r="Y1019" s="10">
        <v>45.62</v>
      </c>
      <c r="Z1019" s="11">
        <v>48.368000000000002</v>
      </c>
      <c r="AA1019" s="11">
        <v>48.051000000000002</v>
      </c>
      <c r="AB1019" s="11">
        <v>47.911999999999999</v>
      </c>
      <c r="AC1019" s="11">
        <v>47.89</v>
      </c>
      <c r="AD1019" s="11">
        <v>47.887999999999998</v>
      </c>
      <c r="AE1019" s="11">
        <v>47.898000000000003</v>
      </c>
      <c r="AF1019" s="11">
        <v>47.877000000000002</v>
      </c>
      <c r="AG1019" s="11">
        <v>47.805999999999997</v>
      </c>
      <c r="AH1019" s="11">
        <v>47.674999999999997</v>
      </c>
      <c r="AI1019" s="11">
        <v>47.545999999999999</v>
      </c>
      <c r="AJ1019" s="11">
        <v>47.426000000000002</v>
      </c>
      <c r="AK1019" s="11">
        <v>47.307000000000002</v>
      </c>
      <c r="AL1019" s="11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  <c r="DG1019" s="3"/>
      <c r="DH1019" s="3"/>
      <c r="DI1019" s="3"/>
      <c r="DJ1019" s="3"/>
      <c r="DK1019" s="3"/>
      <c r="DL1019" s="3"/>
      <c r="DM1019" s="3"/>
      <c r="DN1019" s="3"/>
      <c r="DO1019" s="3"/>
      <c r="DP1019" s="3"/>
      <c r="DQ1019" s="3"/>
      <c r="DR1019" s="3"/>
      <c r="DS1019" s="3"/>
      <c r="DT1019" s="3"/>
      <c r="DU1019" s="3"/>
      <c r="DV1019" s="3"/>
      <c r="DW1019" s="3"/>
      <c r="DX1019" s="3"/>
      <c r="DY1019" s="3"/>
      <c r="DZ1019" s="3"/>
      <c r="EA1019" s="3"/>
      <c r="EB1019" s="3"/>
      <c r="EC1019" s="3"/>
      <c r="ED1019" s="3"/>
      <c r="EE1019" s="3"/>
      <c r="EF1019" s="3"/>
      <c r="EG1019" s="3"/>
      <c r="EH1019" s="3"/>
      <c r="EI1019" s="3"/>
      <c r="EJ1019" s="3"/>
      <c r="EK1019" s="3"/>
      <c r="EL1019" s="3"/>
      <c r="EM1019" s="3"/>
      <c r="EN1019" s="3"/>
      <c r="EO1019" s="3"/>
      <c r="EP1019" s="3"/>
      <c r="EQ1019" s="3"/>
    </row>
    <row r="1020" spans="1:147" x14ac:dyDescent="0.3">
      <c r="A1020" s="9">
        <f>DATE(2020, 12, 9)</f>
        <v>44174</v>
      </c>
      <c r="B1020" s="10">
        <v>48.86</v>
      </c>
      <c r="C1020" s="10">
        <v>48.77</v>
      </c>
      <c r="D1020" s="10">
        <v>48.74</v>
      </c>
      <c r="E1020" s="10">
        <v>48.74</v>
      </c>
      <c r="F1020" s="10">
        <v>48.73</v>
      </c>
      <c r="G1020" s="10">
        <v>48.66</v>
      </c>
      <c r="H1020" s="10">
        <v>48.63</v>
      </c>
      <c r="I1020" s="10">
        <v>48.57</v>
      </c>
      <c r="J1020" s="10">
        <v>48.48</v>
      </c>
      <c r="K1020" s="10">
        <v>48.38</v>
      </c>
      <c r="L1020" s="10">
        <v>48.29</v>
      </c>
      <c r="M1020" s="10">
        <v>48.2</v>
      </c>
      <c r="N1020" s="10">
        <v>45.52</v>
      </c>
      <c r="O1020" s="10">
        <v>45.72</v>
      </c>
      <c r="P1020" s="10">
        <v>45.87</v>
      </c>
      <c r="Q1020" s="10">
        <v>45.99</v>
      </c>
      <c r="R1020" s="10">
        <v>46.06</v>
      </c>
      <c r="S1020" s="10">
        <v>46.07</v>
      </c>
      <c r="T1020" s="10">
        <v>46.04</v>
      </c>
      <c r="U1020" s="10">
        <v>45.98</v>
      </c>
      <c r="V1020" s="10">
        <v>45.9</v>
      </c>
      <c r="W1020" s="10">
        <v>45.78</v>
      </c>
      <c r="X1020" s="10">
        <v>45.68</v>
      </c>
      <c r="Y1020" s="10">
        <v>45.58</v>
      </c>
      <c r="Z1020" s="11">
        <v>48.36</v>
      </c>
      <c r="AA1020" s="11">
        <v>48.058999999999997</v>
      </c>
      <c r="AB1020" s="11">
        <v>47.88</v>
      </c>
      <c r="AC1020" s="11">
        <v>47.82</v>
      </c>
      <c r="AD1020" s="11">
        <v>47.796999999999997</v>
      </c>
      <c r="AE1020" s="11">
        <v>47.777000000000001</v>
      </c>
      <c r="AF1020" s="11">
        <v>47.737000000000002</v>
      </c>
      <c r="AG1020" s="11">
        <v>47.636000000000003</v>
      </c>
      <c r="AH1020" s="11">
        <v>47.505000000000003</v>
      </c>
      <c r="AI1020" s="11">
        <v>47.386000000000003</v>
      </c>
      <c r="AJ1020" s="11">
        <v>47.265999999999998</v>
      </c>
      <c r="AK1020" s="11">
        <v>47.137</v>
      </c>
      <c r="AL1020" s="11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  <c r="DG1020" s="3"/>
      <c r="DH1020" s="3"/>
      <c r="DI1020" s="3"/>
      <c r="DJ1020" s="3"/>
      <c r="DK1020" s="3"/>
      <c r="DL1020" s="3"/>
      <c r="DM1020" s="3"/>
      <c r="DN1020" s="3"/>
      <c r="DO1020" s="3"/>
      <c r="DP1020" s="3"/>
      <c r="DQ1020" s="3"/>
      <c r="DR1020" s="3"/>
      <c r="DS1020" s="3"/>
      <c r="DT1020" s="3"/>
      <c r="DU1020" s="3"/>
      <c r="DV1020" s="3"/>
      <c r="DW1020" s="3"/>
      <c r="DX1020" s="3"/>
      <c r="DY1020" s="3"/>
      <c r="DZ1020" s="3"/>
      <c r="EA1020" s="3"/>
      <c r="EB1020" s="3"/>
      <c r="EC1020" s="3"/>
      <c r="ED1020" s="3"/>
      <c r="EE1020" s="3"/>
      <c r="EF1020" s="3"/>
      <c r="EG1020" s="3"/>
      <c r="EH1020" s="3"/>
      <c r="EI1020" s="3"/>
      <c r="EJ1020" s="3"/>
      <c r="EK1020" s="3"/>
      <c r="EL1020" s="3"/>
      <c r="EM1020" s="3"/>
      <c r="EN1020" s="3"/>
      <c r="EO1020" s="3"/>
      <c r="EP1020" s="3"/>
      <c r="EQ1020" s="3"/>
    </row>
    <row r="1021" spans="1:147" x14ac:dyDescent="0.3">
      <c r="A1021" s="9">
        <f>DATE(2020, 12, 10)</f>
        <v>44175</v>
      </c>
      <c r="B1021" s="10">
        <v>50.25</v>
      </c>
      <c r="C1021" s="10">
        <v>50.12</v>
      </c>
      <c r="D1021" s="10">
        <v>50.04</v>
      </c>
      <c r="E1021" s="10">
        <v>49.98</v>
      </c>
      <c r="F1021" s="10">
        <v>49.92</v>
      </c>
      <c r="G1021" s="10">
        <v>49.8</v>
      </c>
      <c r="H1021" s="10">
        <v>49.71</v>
      </c>
      <c r="I1021" s="10">
        <v>49.6</v>
      </c>
      <c r="J1021" s="10">
        <v>49.48</v>
      </c>
      <c r="K1021" s="10">
        <v>49.35</v>
      </c>
      <c r="L1021" s="10">
        <v>49.22</v>
      </c>
      <c r="M1021" s="10">
        <v>49.09</v>
      </c>
      <c r="N1021" s="10">
        <v>46.78</v>
      </c>
      <c r="O1021" s="10">
        <v>46.96</v>
      </c>
      <c r="P1021" s="10">
        <v>47.07</v>
      </c>
      <c r="Q1021" s="10">
        <v>47.15</v>
      </c>
      <c r="R1021" s="10">
        <v>47.17</v>
      </c>
      <c r="S1021" s="10">
        <v>47.14</v>
      </c>
      <c r="T1021" s="10">
        <v>47.06</v>
      </c>
      <c r="U1021" s="10">
        <v>46.95</v>
      </c>
      <c r="V1021" s="10">
        <v>46.82</v>
      </c>
      <c r="W1021" s="10">
        <v>46.67</v>
      </c>
      <c r="X1021" s="10">
        <v>46.53</v>
      </c>
      <c r="Y1021" s="10">
        <v>46.39</v>
      </c>
      <c r="Z1021" s="11">
        <v>49.332000000000001</v>
      </c>
      <c r="AA1021" s="11">
        <v>49.475999999999999</v>
      </c>
      <c r="AB1021" s="11">
        <v>49.186999999999998</v>
      </c>
      <c r="AC1021" s="11">
        <v>49.046999999999997</v>
      </c>
      <c r="AD1021" s="11">
        <v>48.984000000000002</v>
      </c>
      <c r="AE1021" s="11">
        <v>48.920999999999999</v>
      </c>
      <c r="AF1021" s="11">
        <v>48.835000000000001</v>
      </c>
      <c r="AG1021" s="11">
        <v>48.664999999999999</v>
      </c>
      <c r="AH1021" s="11">
        <v>48.484000000000002</v>
      </c>
      <c r="AI1021" s="11">
        <v>48.323999999999998</v>
      </c>
      <c r="AJ1021" s="11">
        <v>48.183999999999997</v>
      </c>
      <c r="AK1021" s="11">
        <v>48.034999999999997</v>
      </c>
      <c r="AL1021" s="11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  <c r="DG1021" s="3"/>
      <c r="DH1021" s="3"/>
      <c r="DI1021" s="3"/>
      <c r="DJ1021" s="3"/>
      <c r="DK1021" s="3"/>
      <c r="DL1021" s="3"/>
      <c r="DM1021" s="3"/>
      <c r="DN1021" s="3"/>
      <c r="DO1021" s="3"/>
      <c r="DP1021" s="3"/>
      <c r="DQ1021" s="3"/>
      <c r="DR1021" s="3"/>
      <c r="DS1021" s="3"/>
      <c r="DT1021" s="3"/>
      <c r="DU1021" s="3"/>
      <c r="DV1021" s="3"/>
      <c r="DW1021" s="3"/>
      <c r="DX1021" s="3"/>
      <c r="DY1021" s="3"/>
      <c r="DZ1021" s="3"/>
      <c r="EA1021" s="3"/>
      <c r="EB1021" s="3"/>
      <c r="EC1021" s="3"/>
      <c r="ED1021" s="3"/>
      <c r="EE1021" s="3"/>
      <c r="EF1021" s="3"/>
      <c r="EG1021" s="3"/>
      <c r="EH1021" s="3"/>
      <c r="EI1021" s="3"/>
      <c r="EJ1021" s="3"/>
      <c r="EK1021" s="3"/>
      <c r="EL1021" s="3"/>
      <c r="EM1021" s="3"/>
      <c r="EN1021" s="3"/>
      <c r="EO1021" s="3"/>
      <c r="EP1021" s="3"/>
      <c r="EQ1021" s="3"/>
    </row>
    <row r="1022" spans="1:147" x14ac:dyDescent="0.3">
      <c r="A1022" s="9">
        <f>DATE(2020, 12, 11)</f>
        <v>44176</v>
      </c>
      <c r="B1022" s="10">
        <v>49.97</v>
      </c>
      <c r="C1022" s="10">
        <v>49.9</v>
      </c>
      <c r="D1022" s="10">
        <v>49.84</v>
      </c>
      <c r="E1022" s="10">
        <v>49.79</v>
      </c>
      <c r="F1022" s="10">
        <v>49.73</v>
      </c>
      <c r="G1022" s="10">
        <v>49.62</v>
      </c>
      <c r="H1022" s="10">
        <v>49.53</v>
      </c>
      <c r="I1022" s="10">
        <v>49.42</v>
      </c>
      <c r="J1022" s="10">
        <v>49.29</v>
      </c>
      <c r="K1022" s="10">
        <v>49.16</v>
      </c>
      <c r="L1022" s="10">
        <v>49.04</v>
      </c>
      <c r="M1022" s="10">
        <v>48.92</v>
      </c>
      <c r="N1022" s="10">
        <v>46.57</v>
      </c>
      <c r="O1022" s="10">
        <v>46.75</v>
      </c>
      <c r="P1022" s="10">
        <v>46.87</v>
      </c>
      <c r="Q1022" s="10">
        <v>46.96</v>
      </c>
      <c r="R1022" s="10">
        <v>47</v>
      </c>
      <c r="S1022" s="10">
        <v>46.97</v>
      </c>
      <c r="T1022" s="10">
        <v>46.89</v>
      </c>
      <c r="U1022" s="10">
        <v>46.78</v>
      </c>
      <c r="V1022" s="10">
        <v>46.64</v>
      </c>
      <c r="W1022" s="10">
        <v>46.49</v>
      </c>
      <c r="X1022" s="10">
        <v>46.35</v>
      </c>
      <c r="Y1022" s="10">
        <v>46.2</v>
      </c>
      <c r="Z1022" s="11">
        <v>49.226999999999997</v>
      </c>
      <c r="AA1022" s="11">
        <v>49.237000000000002</v>
      </c>
      <c r="AB1022" s="11">
        <v>48.917999999999999</v>
      </c>
      <c r="AC1022" s="11">
        <v>48.817</v>
      </c>
      <c r="AD1022" s="11">
        <v>48.744999999999997</v>
      </c>
      <c r="AE1022" s="11">
        <v>48.680999999999997</v>
      </c>
      <c r="AF1022" s="11">
        <v>48.594999999999999</v>
      </c>
      <c r="AG1022" s="11">
        <v>48.463999999999999</v>
      </c>
      <c r="AH1022" s="11">
        <v>48.314</v>
      </c>
      <c r="AI1022" s="11">
        <v>48.174999999999997</v>
      </c>
      <c r="AJ1022" s="11">
        <v>48.024000000000001</v>
      </c>
      <c r="AK1022" s="11">
        <v>47.875</v>
      </c>
      <c r="AL1022" s="11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  <c r="DP1022" s="3"/>
      <c r="DQ1022" s="3"/>
      <c r="DR1022" s="3"/>
      <c r="DS1022" s="3"/>
      <c r="DT1022" s="3"/>
      <c r="DU1022" s="3"/>
      <c r="DV1022" s="3"/>
      <c r="DW1022" s="3"/>
      <c r="DX1022" s="3"/>
      <c r="DY1022" s="3"/>
      <c r="DZ1022" s="3"/>
      <c r="EA1022" s="3"/>
      <c r="EB1022" s="3"/>
      <c r="EC1022" s="3"/>
      <c r="ED1022" s="3"/>
      <c r="EE1022" s="3"/>
      <c r="EF1022" s="3"/>
      <c r="EG1022" s="3"/>
      <c r="EH1022" s="3"/>
      <c r="EI1022" s="3"/>
      <c r="EJ1022" s="3"/>
      <c r="EK1022" s="3"/>
      <c r="EL1022" s="3"/>
      <c r="EM1022" s="3"/>
      <c r="EN1022" s="3"/>
      <c r="EO1022" s="3"/>
      <c r="EP1022" s="3"/>
      <c r="EQ1022" s="3"/>
    </row>
    <row r="1023" spans="1:147" x14ac:dyDescent="0.3">
      <c r="A1023" s="9">
        <f>DATE(2020, 12, 14)</f>
        <v>44179</v>
      </c>
      <c r="B1023" s="10">
        <v>50.29</v>
      </c>
      <c r="C1023" s="10">
        <v>50.25</v>
      </c>
      <c r="D1023" s="10">
        <v>50.22</v>
      </c>
      <c r="E1023" s="10">
        <v>50.19</v>
      </c>
      <c r="F1023" s="10">
        <v>50.14</v>
      </c>
      <c r="G1023" s="10">
        <v>50.03</v>
      </c>
      <c r="H1023" s="10">
        <v>49.95</v>
      </c>
      <c r="I1023" s="10">
        <v>49.84</v>
      </c>
      <c r="J1023" s="10">
        <v>49.73</v>
      </c>
      <c r="K1023" s="10">
        <v>49.61</v>
      </c>
      <c r="L1023" s="10">
        <v>49.51</v>
      </c>
      <c r="M1023" s="10">
        <v>49.4</v>
      </c>
      <c r="N1023" s="10">
        <v>46.99</v>
      </c>
      <c r="O1023" s="10">
        <v>47.15</v>
      </c>
      <c r="P1023" s="10">
        <v>47.27</v>
      </c>
      <c r="Q1023" s="10">
        <v>47.36</v>
      </c>
      <c r="R1023" s="10">
        <v>47.39</v>
      </c>
      <c r="S1023" s="10">
        <v>47.38</v>
      </c>
      <c r="T1023" s="10">
        <v>47.31</v>
      </c>
      <c r="U1023" s="10">
        <v>47.2</v>
      </c>
      <c r="V1023" s="10">
        <v>47.05</v>
      </c>
      <c r="W1023" s="10">
        <v>46.9</v>
      </c>
      <c r="X1023" s="10">
        <v>46.75</v>
      </c>
      <c r="Y1023" s="10">
        <v>46.61</v>
      </c>
      <c r="Z1023" s="11">
        <v>49.56</v>
      </c>
      <c r="AA1023" s="11">
        <v>49.654000000000003</v>
      </c>
      <c r="AB1023" s="11">
        <v>49.348999999999997</v>
      </c>
      <c r="AC1023" s="11">
        <v>49.277999999999999</v>
      </c>
      <c r="AD1023" s="11">
        <v>49.215000000000003</v>
      </c>
      <c r="AE1023" s="11">
        <v>49.142000000000003</v>
      </c>
      <c r="AF1023" s="11">
        <v>49.045000000000002</v>
      </c>
      <c r="AG1023" s="11">
        <v>48.924999999999997</v>
      </c>
      <c r="AH1023" s="11">
        <v>48.805</v>
      </c>
      <c r="AI1023" s="11">
        <v>48.655000000000001</v>
      </c>
      <c r="AJ1023" s="11">
        <v>48.494999999999997</v>
      </c>
      <c r="AK1023" s="11">
        <v>48.365000000000002</v>
      </c>
      <c r="AL1023" s="11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  <c r="DP1023" s="3"/>
      <c r="DQ1023" s="3"/>
      <c r="DR1023" s="3"/>
      <c r="DS1023" s="3"/>
      <c r="DT1023" s="3"/>
      <c r="DU1023" s="3"/>
      <c r="DV1023" s="3"/>
      <c r="DW1023" s="3"/>
      <c r="DX1023" s="3"/>
      <c r="DY1023" s="3"/>
      <c r="DZ1023" s="3"/>
      <c r="EA1023" s="3"/>
      <c r="EB1023" s="3"/>
      <c r="EC1023" s="3"/>
      <c r="ED1023" s="3"/>
      <c r="EE1023" s="3"/>
      <c r="EF1023" s="3"/>
      <c r="EG1023" s="3"/>
      <c r="EH1023" s="3"/>
      <c r="EI1023" s="3"/>
      <c r="EJ1023" s="3"/>
      <c r="EK1023" s="3"/>
      <c r="EL1023" s="3"/>
      <c r="EM1023" s="3"/>
      <c r="EN1023" s="3"/>
      <c r="EO1023" s="3"/>
      <c r="EP1023" s="3"/>
      <c r="EQ1023" s="3"/>
    </row>
    <row r="1024" spans="1:147" x14ac:dyDescent="0.3">
      <c r="A1024" s="9">
        <f>DATE(2020, 12, 15)</f>
        <v>44180</v>
      </c>
      <c r="B1024" s="10">
        <v>50.76</v>
      </c>
      <c r="C1024" s="10">
        <v>50.71</v>
      </c>
      <c r="D1024" s="10">
        <v>50.66</v>
      </c>
      <c r="E1024" s="10">
        <v>50.62</v>
      </c>
      <c r="F1024" s="10">
        <v>50.56</v>
      </c>
      <c r="G1024" s="10">
        <v>50.43</v>
      </c>
      <c r="H1024" s="10">
        <v>50.34</v>
      </c>
      <c r="I1024" s="10">
        <v>50.22</v>
      </c>
      <c r="J1024" s="10">
        <v>50.1</v>
      </c>
      <c r="K1024" s="10">
        <v>49.98</v>
      </c>
      <c r="L1024" s="10">
        <v>49.87</v>
      </c>
      <c r="M1024" s="10">
        <v>49.76</v>
      </c>
      <c r="N1024" s="10">
        <v>47.62</v>
      </c>
      <c r="O1024" s="10">
        <v>47.78</v>
      </c>
      <c r="P1024" s="10">
        <v>47.88</v>
      </c>
      <c r="Q1024" s="10">
        <v>47.95</v>
      </c>
      <c r="R1024" s="10">
        <v>47.95</v>
      </c>
      <c r="S1024" s="10">
        <v>47.9</v>
      </c>
      <c r="T1024" s="10">
        <v>47.8</v>
      </c>
      <c r="U1024" s="10">
        <v>47.66</v>
      </c>
      <c r="V1024" s="10">
        <v>47.5</v>
      </c>
      <c r="W1024" s="10">
        <v>47.34</v>
      </c>
      <c r="X1024" s="10">
        <v>47.19</v>
      </c>
      <c r="Y1024" s="10">
        <v>47.04</v>
      </c>
      <c r="Z1024" s="11">
        <v>49.792999999999999</v>
      </c>
      <c r="AA1024" s="11">
        <v>50.118000000000002</v>
      </c>
      <c r="AB1024" s="11">
        <v>49.817999999999998</v>
      </c>
      <c r="AC1024" s="11">
        <v>49.686999999999998</v>
      </c>
      <c r="AD1024" s="11">
        <v>49.594000000000001</v>
      </c>
      <c r="AE1024" s="11">
        <v>49.500999999999998</v>
      </c>
      <c r="AF1024" s="11">
        <v>49.414999999999999</v>
      </c>
      <c r="AG1024" s="11">
        <v>49.305</v>
      </c>
      <c r="AH1024" s="11">
        <v>49.134999999999998</v>
      </c>
      <c r="AI1024" s="11">
        <v>48.975000000000001</v>
      </c>
      <c r="AJ1024" s="11">
        <v>48.844999999999999</v>
      </c>
      <c r="AK1024" s="11">
        <v>48.695999999999998</v>
      </c>
      <c r="AL1024" s="11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  <c r="DP1024" s="3"/>
      <c r="DQ1024" s="3"/>
      <c r="DR1024" s="3"/>
      <c r="DS1024" s="3"/>
      <c r="DT1024" s="3"/>
      <c r="DU1024" s="3"/>
      <c r="DV1024" s="3"/>
      <c r="DW1024" s="3"/>
      <c r="DX1024" s="3"/>
      <c r="DY1024" s="3"/>
      <c r="DZ1024" s="3"/>
      <c r="EA1024" s="3"/>
      <c r="EB1024" s="3"/>
      <c r="EC1024" s="3"/>
      <c r="ED1024" s="3"/>
      <c r="EE1024" s="3"/>
      <c r="EF1024" s="3"/>
      <c r="EG1024" s="3"/>
      <c r="EH1024" s="3"/>
      <c r="EI1024" s="3"/>
      <c r="EJ1024" s="3"/>
      <c r="EK1024" s="3"/>
      <c r="EL1024" s="3"/>
      <c r="EM1024" s="3"/>
      <c r="EN1024" s="3"/>
      <c r="EO1024" s="3"/>
      <c r="EP1024" s="3"/>
      <c r="EQ1024" s="3"/>
    </row>
    <row r="1025" spans="1:147" x14ac:dyDescent="0.3">
      <c r="A1025" s="9">
        <f>DATE(2020, 12, 16)</f>
        <v>44181</v>
      </c>
      <c r="B1025" s="10">
        <v>51.08</v>
      </c>
      <c r="C1025" s="10">
        <v>51.06</v>
      </c>
      <c r="D1025" s="10">
        <v>51.04</v>
      </c>
      <c r="E1025" s="10">
        <v>51.01</v>
      </c>
      <c r="F1025" s="10">
        <v>50.95</v>
      </c>
      <c r="G1025" s="10">
        <v>50.82</v>
      </c>
      <c r="H1025" s="10">
        <v>50.72</v>
      </c>
      <c r="I1025" s="10">
        <v>50.59</v>
      </c>
      <c r="J1025" s="10">
        <v>50.47</v>
      </c>
      <c r="K1025" s="10">
        <v>50.34</v>
      </c>
      <c r="L1025" s="10">
        <v>50.22</v>
      </c>
      <c r="M1025" s="10">
        <v>50.1</v>
      </c>
      <c r="N1025" s="10">
        <v>47.82</v>
      </c>
      <c r="O1025" s="10">
        <v>48</v>
      </c>
      <c r="P1025" s="10">
        <v>48.12</v>
      </c>
      <c r="Q1025" s="10">
        <v>48.19</v>
      </c>
      <c r="R1025" s="10">
        <v>48.2</v>
      </c>
      <c r="S1025" s="10">
        <v>48.15</v>
      </c>
      <c r="T1025" s="10">
        <v>48.04</v>
      </c>
      <c r="U1025" s="10">
        <v>47.9</v>
      </c>
      <c r="V1025" s="10">
        <v>47.74</v>
      </c>
      <c r="W1025" s="10">
        <v>47.58</v>
      </c>
      <c r="X1025" s="10">
        <v>47.43</v>
      </c>
      <c r="Y1025" s="10">
        <v>47.29</v>
      </c>
      <c r="Z1025" s="11">
        <v>49.929000000000002</v>
      </c>
      <c r="AA1025" s="11">
        <v>50.469000000000001</v>
      </c>
      <c r="AB1025" s="11">
        <v>50.179000000000002</v>
      </c>
      <c r="AC1025" s="11">
        <v>50.076999999999998</v>
      </c>
      <c r="AD1025" s="11">
        <v>50.003999999999998</v>
      </c>
      <c r="AE1025" s="11">
        <v>49.91</v>
      </c>
      <c r="AF1025" s="11">
        <v>49.834000000000003</v>
      </c>
      <c r="AG1025" s="11">
        <v>49.664999999999999</v>
      </c>
      <c r="AH1025" s="11">
        <v>49.503999999999998</v>
      </c>
      <c r="AI1025" s="11">
        <v>49.344999999999999</v>
      </c>
      <c r="AJ1025" s="11">
        <v>49.194000000000003</v>
      </c>
      <c r="AK1025" s="11">
        <v>49.034999999999997</v>
      </c>
      <c r="AL1025" s="11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  <c r="DP1025" s="3"/>
      <c r="DQ1025" s="3"/>
      <c r="DR1025" s="3"/>
      <c r="DS1025" s="3"/>
      <c r="DT1025" s="3"/>
      <c r="DU1025" s="3"/>
      <c r="DV1025" s="3"/>
      <c r="DW1025" s="3"/>
      <c r="DX1025" s="3"/>
      <c r="DY1025" s="3"/>
      <c r="DZ1025" s="3"/>
      <c r="EA1025" s="3"/>
      <c r="EB1025" s="3"/>
      <c r="EC1025" s="3"/>
      <c r="ED1025" s="3"/>
      <c r="EE1025" s="3"/>
      <c r="EF1025" s="3"/>
      <c r="EG1025" s="3"/>
      <c r="EH1025" s="3"/>
      <c r="EI1025" s="3"/>
      <c r="EJ1025" s="3"/>
      <c r="EK1025" s="3"/>
      <c r="EL1025" s="3"/>
      <c r="EM1025" s="3"/>
      <c r="EN1025" s="3"/>
      <c r="EO1025" s="3"/>
      <c r="EP1025" s="3"/>
      <c r="EQ1025" s="3"/>
    </row>
    <row r="1026" spans="1:147" x14ac:dyDescent="0.3">
      <c r="A1026" s="9">
        <f>DATE(2020, 12, 17)</f>
        <v>44182</v>
      </c>
      <c r="B1026" s="10">
        <v>51.5</v>
      </c>
      <c r="C1026" s="10">
        <v>51.56</v>
      </c>
      <c r="D1026" s="10">
        <v>51.58</v>
      </c>
      <c r="E1026" s="10">
        <v>51.57</v>
      </c>
      <c r="F1026" s="10">
        <v>51.52</v>
      </c>
      <c r="G1026" s="10">
        <v>51.41</v>
      </c>
      <c r="H1026" s="10">
        <v>51.32</v>
      </c>
      <c r="I1026" s="10">
        <v>51.2</v>
      </c>
      <c r="J1026" s="10">
        <v>51.07</v>
      </c>
      <c r="K1026" s="10">
        <v>50.94</v>
      </c>
      <c r="L1026" s="10">
        <v>50.81</v>
      </c>
      <c r="M1026" s="10">
        <v>50.69</v>
      </c>
      <c r="N1026" s="10">
        <v>48.36</v>
      </c>
      <c r="O1026" s="10">
        <v>48.54</v>
      </c>
      <c r="P1026" s="10">
        <v>48.65</v>
      </c>
      <c r="Q1026" s="10">
        <v>48.73</v>
      </c>
      <c r="R1026" s="10">
        <v>48.76</v>
      </c>
      <c r="S1026" s="10">
        <v>48.74</v>
      </c>
      <c r="T1026" s="10">
        <v>48.65</v>
      </c>
      <c r="U1026" s="10">
        <v>48.53</v>
      </c>
      <c r="V1026" s="10">
        <v>48.38</v>
      </c>
      <c r="W1026" s="10">
        <v>48.22</v>
      </c>
      <c r="X1026" s="10">
        <v>48.08</v>
      </c>
      <c r="Y1026" s="10">
        <v>47.93</v>
      </c>
      <c r="Z1026" s="11">
        <v>50.067999999999998</v>
      </c>
      <c r="AA1026" s="11">
        <v>50.820999999999998</v>
      </c>
      <c r="AB1026" s="11">
        <v>50.64</v>
      </c>
      <c r="AC1026" s="11">
        <v>50.588000000000001</v>
      </c>
      <c r="AD1026" s="11">
        <v>50.545000000000002</v>
      </c>
      <c r="AE1026" s="11">
        <v>50.441000000000003</v>
      </c>
      <c r="AF1026" s="11">
        <v>50.365000000000002</v>
      </c>
      <c r="AG1026" s="11">
        <v>50.213999999999999</v>
      </c>
      <c r="AH1026" s="11">
        <v>50.064</v>
      </c>
      <c r="AI1026" s="11">
        <v>49.914000000000001</v>
      </c>
      <c r="AJ1026" s="11">
        <v>49.753999999999998</v>
      </c>
      <c r="AK1026" s="11">
        <v>49.585999999999999</v>
      </c>
      <c r="AL1026" s="11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  <c r="DG1026" s="3"/>
      <c r="DH1026" s="3"/>
      <c r="DI1026" s="3"/>
      <c r="DJ1026" s="3"/>
      <c r="DK1026" s="3"/>
      <c r="DL1026" s="3"/>
      <c r="DM1026" s="3"/>
      <c r="DN1026" s="3"/>
      <c r="DO1026" s="3"/>
      <c r="DP1026" s="3"/>
      <c r="DQ1026" s="3"/>
      <c r="DR1026" s="3"/>
      <c r="DS1026" s="3"/>
      <c r="DT1026" s="3"/>
      <c r="DU1026" s="3"/>
      <c r="DV1026" s="3"/>
      <c r="DW1026" s="3"/>
      <c r="DX1026" s="3"/>
      <c r="DY1026" s="3"/>
      <c r="DZ1026" s="3"/>
      <c r="EA1026" s="3"/>
      <c r="EB1026" s="3"/>
      <c r="EC1026" s="3"/>
      <c r="ED1026" s="3"/>
      <c r="EE1026" s="3"/>
      <c r="EF1026" s="3"/>
      <c r="EG1026" s="3"/>
      <c r="EH1026" s="3"/>
      <c r="EI1026" s="3"/>
      <c r="EJ1026" s="3"/>
      <c r="EK1026" s="3"/>
      <c r="EL1026" s="3"/>
      <c r="EM1026" s="3"/>
      <c r="EN1026" s="3"/>
      <c r="EO1026" s="3"/>
      <c r="EP1026" s="3"/>
      <c r="EQ1026" s="3"/>
    </row>
    <row r="1027" spans="1:147" x14ac:dyDescent="0.3">
      <c r="A1027" s="9">
        <f>DATE(2020, 12, 18)</f>
        <v>44183</v>
      </c>
      <c r="B1027" s="10">
        <v>52.26</v>
      </c>
      <c r="C1027" s="10">
        <v>52.26</v>
      </c>
      <c r="D1027" s="10">
        <v>52.25</v>
      </c>
      <c r="E1027" s="10">
        <v>52.22</v>
      </c>
      <c r="F1027" s="10">
        <v>52.15</v>
      </c>
      <c r="G1027" s="10">
        <v>52.02</v>
      </c>
      <c r="H1027" s="10">
        <v>51.91</v>
      </c>
      <c r="I1027" s="10">
        <v>51.76</v>
      </c>
      <c r="J1027" s="10">
        <v>51.61</v>
      </c>
      <c r="K1027" s="10">
        <v>51.46</v>
      </c>
      <c r="L1027" s="10">
        <v>51.31</v>
      </c>
      <c r="M1027" s="10">
        <v>51.18</v>
      </c>
      <c r="N1027" s="10">
        <v>49.1</v>
      </c>
      <c r="O1027" s="10">
        <v>49.24</v>
      </c>
      <c r="P1027" s="10">
        <v>49.34</v>
      </c>
      <c r="Q1027" s="10">
        <v>49.4</v>
      </c>
      <c r="R1027" s="10">
        <v>49.4</v>
      </c>
      <c r="S1027" s="10">
        <v>49.33</v>
      </c>
      <c r="T1027" s="10">
        <v>49.21</v>
      </c>
      <c r="U1027" s="10">
        <v>49.05</v>
      </c>
      <c r="V1027" s="10">
        <v>48.89</v>
      </c>
      <c r="W1027" s="10">
        <v>48.71</v>
      </c>
      <c r="X1027" s="10">
        <v>48.54</v>
      </c>
      <c r="Y1027" s="10">
        <v>48.37</v>
      </c>
      <c r="Z1027" s="11">
        <v>50.353000000000002</v>
      </c>
      <c r="AA1027" s="11">
        <v>51.61</v>
      </c>
      <c r="AB1027" s="11">
        <v>51.399000000000001</v>
      </c>
      <c r="AC1027" s="11">
        <v>51.296999999999997</v>
      </c>
      <c r="AD1027" s="11">
        <v>51.204000000000001</v>
      </c>
      <c r="AE1027" s="11">
        <v>51.09</v>
      </c>
      <c r="AF1027" s="11">
        <v>50.993000000000002</v>
      </c>
      <c r="AG1027" s="11">
        <v>50.813000000000002</v>
      </c>
      <c r="AH1027" s="11">
        <v>50.613</v>
      </c>
      <c r="AI1027" s="11">
        <v>50.412999999999997</v>
      </c>
      <c r="AJ1027" s="11">
        <v>50.244</v>
      </c>
      <c r="AK1027" s="11">
        <v>50.075000000000003</v>
      </c>
      <c r="AL1027" s="11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  <c r="DG1027" s="3"/>
      <c r="DH1027" s="3"/>
      <c r="DI1027" s="3"/>
      <c r="DJ1027" s="3"/>
      <c r="DK1027" s="3"/>
      <c r="DL1027" s="3"/>
      <c r="DM1027" s="3"/>
      <c r="DN1027" s="3"/>
      <c r="DO1027" s="3"/>
      <c r="DP1027" s="3"/>
      <c r="DQ1027" s="3"/>
      <c r="DR1027" s="3"/>
      <c r="DS1027" s="3"/>
      <c r="DT1027" s="3"/>
      <c r="DU1027" s="3"/>
      <c r="DV1027" s="3"/>
      <c r="DW1027" s="3"/>
      <c r="DX1027" s="3"/>
      <c r="DY1027" s="3"/>
      <c r="DZ1027" s="3"/>
      <c r="EA1027" s="3"/>
      <c r="EB1027" s="3"/>
      <c r="EC1027" s="3"/>
      <c r="ED1027" s="3"/>
      <c r="EE1027" s="3"/>
      <c r="EF1027" s="3"/>
      <c r="EG1027" s="3"/>
      <c r="EH1027" s="3"/>
      <c r="EI1027" s="3"/>
      <c r="EJ1027" s="3"/>
      <c r="EK1027" s="3"/>
      <c r="EL1027" s="3"/>
      <c r="EM1027" s="3"/>
      <c r="EN1027" s="3"/>
      <c r="EO1027" s="3"/>
      <c r="EP1027" s="3"/>
      <c r="EQ1027" s="3"/>
    </row>
    <row r="1028" spans="1:147" x14ac:dyDescent="0.3">
      <c r="A1028" s="9">
        <f>DATE(2020, 12, 21)</f>
        <v>44186</v>
      </c>
      <c r="B1028" s="10">
        <v>50.91</v>
      </c>
      <c r="C1028" s="10">
        <v>50.98</v>
      </c>
      <c r="D1028" s="10">
        <v>51.02</v>
      </c>
      <c r="E1028" s="10">
        <v>51.04</v>
      </c>
      <c r="F1028" s="10">
        <v>50.99</v>
      </c>
      <c r="G1028" s="10">
        <v>50.88</v>
      </c>
      <c r="H1028" s="10">
        <v>50.8</v>
      </c>
      <c r="I1028" s="10">
        <v>50.68</v>
      </c>
      <c r="J1028" s="10">
        <v>50.56</v>
      </c>
      <c r="K1028" s="10">
        <v>50.43</v>
      </c>
      <c r="L1028" s="10">
        <v>50.3</v>
      </c>
      <c r="M1028" s="10">
        <v>50.18</v>
      </c>
      <c r="N1028" s="10">
        <v>47.74</v>
      </c>
      <c r="O1028" s="10">
        <v>47.97</v>
      </c>
      <c r="P1028" s="10">
        <v>48.09</v>
      </c>
      <c r="Q1028" s="10">
        <v>48.17</v>
      </c>
      <c r="R1028" s="10">
        <v>48.2</v>
      </c>
      <c r="S1028" s="10">
        <v>48.16</v>
      </c>
      <c r="T1028" s="10">
        <v>48.08</v>
      </c>
      <c r="U1028" s="10">
        <v>47.95</v>
      </c>
      <c r="V1028" s="10">
        <v>47.81</v>
      </c>
      <c r="W1028" s="10">
        <v>47.66</v>
      </c>
      <c r="X1028" s="10">
        <v>47.51</v>
      </c>
      <c r="Y1028" s="10">
        <v>47.37</v>
      </c>
      <c r="Z1028" s="11">
        <v>49.819000000000003</v>
      </c>
      <c r="AA1028" s="11">
        <v>50.341999999999999</v>
      </c>
      <c r="AB1028" s="11">
        <v>50.191000000000003</v>
      </c>
      <c r="AC1028" s="11">
        <v>50.137999999999998</v>
      </c>
      <c r="AD1028" s="11">
        <v>50.064999999999998</v>
      </c>
      <c r="AE1028" s="11">
        <v>49.981999999999999</v>
      </c>
      <c r="AF1028" s="11">
        <v>49.875</v>
      </c>
      <c r="AG1028" s="11">
        <v>49.715000000000003</v>
      </c>
      <c r="AH1028" s="11">
        <v>49.564</v>
      </c>
      <c r="AI1028" s="11">
        <v>49.404000000000003</v>
      </c>
      <c r="AJ1028" s="11">
        <v>49.244</v>
      </c>
      <c r="AK1028" s="11">
        <v>49.095999999999997</v>
      </c>
      <c r="AL1028" s="11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  <c r="DG1028" s="3"/>
      <c r="DH1028" s="3"/>
      <c r="DI1028" s="3"/>
      <c r="DJ1028" s="3"/>
      <c r="DK1028" s="3"/>
      <c r="DL1028" s="3"/>
      <c r="DM1028" s="3"/>
      <c r="DN1028" s="3"/>
      <c r="DO1028" s="3"/>
      <c r="DP1028" s="3"/>
      <c r="DQ1028" s="3"/>
      <c r="DR1028" s="3"/>
      <c r="DS1028" s="3"/>
      <c r="DT1028" s="3"/>
      <c r="DU1028" s="3"/>
      <c r="DV1028" s="3"/>
      <c r="DW1028" s="3"/>
      <c r="DX1028" s="3"/>
      <c r="DY1028" s="3"/>
      <c r="DZ1028" s="3"/>
      <c r="EA1028" s="3"/>
      <c r="EB1028" s="3"/>
      <c r="EC1028" s="3"/>
      <c r="ED1028" s="3"/>
      <c r="EE1028" s="3"/>
      <c r="EF1028" s="3"/>
      <c r="EG1028" s="3"/>
      <c r="EH1028" s="3"/>
      <c r="EI1028" s="3"/>
      <c r="EJ1028" s="3"/>
      <c r="EK1028" s="3"/>
      <c r="EL1028" s="3"/>
      <c r="EM1028" s="3"/>
      <c r="EN1028" s="3"/>
      <c r="EO1028" s="3"/>
      <c r="EP1028" s="3"/>
      <c r="EQ1028" s="3"/>
    </row>
    <row r="1029" spans="1:147" x14ac:dyDescent="0.3">
      <c r="A1029" s="9">
        <f>DATE(2020, 12, 22)</f>
        <v>44187</v>
      </c>
      <c r="B1029" s="10">
        <v>50.08</v>
      </c>
      <c r="C1029" s="10">
        <v>50.16</v>
      </c>
      <c r="D1029" s="10">
        <v>50.23</v>
      </c>
      <c r="E1029" s="10">
        <v>50.27</v>
      </c>
      <c r="F1029" s="10">
        <v>50.25</v>
      </c>
      <c r="G1029" s="10">
        <v>50.15</v>
      </c>
      <c r="H1029" s="10">
        <v>50.09</v>
      </c>
      <c r="I1029" s="10">
        <v>49.99</v>
      </c>
      <c r="J1029" s="10">
        <v>49.88</v>
      </c>
      <c r="K1029" s="10">
        <v>49.77</v>
      </c>
      <c r="L1029" s="10">
        <v>49.66</v>
      </c>
      <c r="M1029" s="10">
        <v>49.56</v>
      </c>
      <c r="N1029" s="10">
        <v>47.02</v>
      </c>
      <c r="O1029" s="10">
        <v>47.16</v>
      </c>
      <c r="P1029" s="10">
        <v>47.26</v>
      </c>
      <c r="Q1029" s="10">
        <v>47.32</v>
      </c>
      <c r="R1029" s="10">
        <v>47.32</v>
      </c>
      <c r="S1029" s="10">
        <v>47.26</v>
      </c>
      <c r="T1029" s="10">
        <v>47.17</v>
      </c>
      <c r="U1029" s="10">
        <v>47.05</v>
      </c>
      <c r="V1029" s="10">
        <v>46.92</v>
      </c>
      <c r="W1029" s="10">
        <v>46.79</v>
      </c>
      <c r="X1029" s="10">
        <v>46.66</v>
      </c>
      <c r="Y1029" s="10">
        <v>46.5</v>
      </c>
      <c r="Z1029" s="11">
        <v>49.561</v>
      </c>
      <c r="AA1029" s="11">
        <v>49.554000000000002</v>
      </c>
      <c r="AB1029" s="11">
        <v>49.421999999999997</v>
      </c>
      <c r="AC1029" s="11">
        <v>49.389000000000003</v>
      </c>
      <c r="AD1029" s="11">
        <v>49.335000000000001</v>
      </c>
      <c r="AE1029" s="11">
        <v>49.253999999999998</v>
      </c>
      <c r="AF1029" s="11">
        <v>49.164999999999999</v>
      </c>
      <c r="AG1029" s="11">
        <v>49.055</v>
      </c>
      <c r="AH1029" s="11">
        <v>48.905000000000001</v>
      </c>
      <c r="AI1029" s="11">
        <v>48.755000000000003</v>
      </c>
      <c r="AJ1029" s="11">
        <v>48.615000000000002</v>
      </c>
      <c r="AK1029" s="11">
        <v>48.466000000000001</v>
      </c>
      <c r="AL1029" s="11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  <c r="DG1029" s="3"/>
      <c r="DH1029" s="3"/>
      <c r="DI1029" s="3"/>
      <c r="DJ1029" s="3"/>
      <c r="DK1029" s="3"/>
      <c r="DL1029" s="3"/>
      <c r="DM1029" s="3"/>
      <c r="DN1029" s="3"/>
      <c r="DO1029" s="3"/>
      <c r="DP1029" s="3"/>
      <c r="DQ1029" s="3"/>
      <c r="DR1029" s="3"/>
      <c r="DS1029" s="3"/>
      <c r="DT1029" s="3"/>
      <c r="DU1029" s="3"/>
      <c r="DV1029" s="3"/>
      <c r="DW1029" s="3"/>
      <c r="DX1029" s="3"/>
      <c r="DY1029" s="3"/>
      <c r="DZ1029" s="3"/>
      <c r="EA1029" s="3"/>
      <c r="EB1029" s="3"/>
      <c r="EC1029" s="3"/>
      <c r="ED1029" s="3"/>
      <c r="EE1029" s="3"/>
      <c r="EF1029" s="3"/>
      <c r="EG1029" s="3"/>
      <c r="EH1029" s="3"/>
      <c r="EI1029" s="3"/>
      <c r="EJ1029" s="3"/>
      <c r="EK1029" s="3"/>
      <c r="EL1029" s="3"/>
      <c r="EM1029" s="3"/>
      <c r="EN1029" s="3"/>
      <c r="EO1029" s="3"/>
      <c r="EP1029" s="3"/>
      <c r="EQ1029" s="3"/>
    </row>
    <row r="1030" spans="1:147" x14ac:dyDescent="0.3">
      <c r="A1030" s="9">
        <f>DATE(2020, 12, 23)</f>
        <v>44188</v>
      </c>
      <c r="B1030" s="10">
        <v>51.2</v>
      </c>
      <c r="C1030" s="10">
        <v>51.24</v>
      </c>
      <c r="D1030" s="10">
        <v>51.3</v>
      </c>
      <c r="E1030" s="10">
        <v>51.32</v>
      </c>
      <c r="F1030" s="10">
        <v>51.27</v>
      </c>
      <c r="G1030" s="10">
        <v>51.15</v>
      </c>
      <c r="H1030" s="10">
        <v>51.06</v>
      </c>
      <c r="I1030" s="10">
        <v>50.94</v>
      </c>
      <c r="J1030" s="10">
        <v>50.8</v>
      </c>
      <c r="K1030" s="10">
        <v>50.67</v>
      </c>
      <c r="L1030" s="10">
        <v>50.55</v>
      </c>
      <c r="M1030" s="10">
        <v>50.43</v>
      </c>
      <c r="N1030" s="10">
        <v>48.12</v>
      </c>
      <c r="O1030" s="10">
        <v>48.24</v>
      </c>
      <c r="P1030" s="10">
        <v>48.33</v>
      </c>
      <c r="Q1030" s="10">
        <v>48.37</v>
      </c>
      <c r="R1030" s="10">
        <v>48.34</v>
      </c>
      <c r="S1030" s="10">
        <v>48.26</v>
      </c>
      <c r="T1030" s="10">
        <v>48.15</v>
      </c>
      <c r="U1030" s="10">
        <v>48.01</v>
      </c>
      <c r="V1030" s="10">
        <v>47.86</v>
      </c>
      <c r="W1030" s="10">
        <v>47.72</v>
      </c>
      <c r="X1030" s="10">
        <v>47.57</v>
      </c>
      <c r="Y1030" s="10">
        <v>47.4</v>
      </c>
      <c r="Z1030" s="11">
        <v>49.798999999999999</v>
      </c>
      <c r="AA1030" s="11">
        <v>50.662999999999997</v>
      </c>
      <c r="AB1030" s="11">
        <v>50.511000000000003</v>
      </c>
      <c r="AC1030" s="11">
        <v>50.448</v>
      </c>
      <c r="AD1030" s="11">
        <v>50.374000000000002</v>
      </c>
      <c r="AE1030" s="11">
        <v>50.261000000000003</v>
      </c>
      <c r="AF1030" s="11">
        <v>50.164999999999999</v>
      </c>
      <c r="AG1030" s="11">
        <v>50.014000000000003</v>
      </c>
      <c r="AH1030" s="11">
        <v>49.823999999999998</v>
      </c>
      <c r="AI1030" s="11">
        <v>49.645000000000003</v>
      </c>
      <c r="AJ1030" s="11">
        <v>49.473999999999997</v>
      </c>
      <c r="AK1030" s="11">
        <v>49.335000000000001</v>
      </c>
      <c r="AL1030" s="11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  <c r="DG1030" s="3"/>
      <c r="DH1030" s="3"/>
      <c r="DI1030" s="3"/>
      <c r="DJ1030" s="3"/>
      <c r="DK1030" s="3"/>
      <c r="DL1030" s="3"/>
      <c r="DM1030" s="3"/>
      <c r="DN1030" s="3"/>
      <c r="DO1030" s="3"/>
      <c r="DP1030" s="3"/>
      <c r="DQ1030" s="3"/>
      <c r="DR1030" s="3"/>
      <c r="DS1030" s="3"/>
      <c r="DT1030" s="3"/>
      <c r="DU1030" s="3"/>
      <c r="DV1030" s="3"/>
      <c r="DW1030" s="3"/>
      <c r="DX1030" s="3"/>
      <c r="DY1030" s="3"/>
      <c r="DZ1030" s="3"/>
      <c r="EA1030" s="3"/>
      <c r="EB1030" s="3"/>
      <c r="EC1030" s="3"/>
      <c r="ED1030" s="3"/>
      <c r="EE1030" s="3"/>
      <c r="EF1030" s="3"/>
      <c r="EG1030" s="3"/>
      <c r="EH1030" s="3"/>
      <c r="EI1030" s="3"/>
      <c r="EJ1030" s="3"/>
      <c r="EK1030" s="3"/>
      <c r="EL1030" s="3"/>
      <c r="EM1030" s="3"/>
      <c r="EN1030" s="3"/>
      <c r="EO1030" s="3"/>
      <c r="EP1030" s="3"/>
      <c r="EQ1030" s="3"/>
    </row>
    <row r="1031" spans="1:147" x14ac:dyDescent="0.3">
      <c r="A1031" s="9">
        <f>DATE(2020, 12, 24)</f>
        <v>44189</v>
      </c>
      <c r="B1031" s="10">
        <v>51.29</v>
      </c>
      <c r="C1031" s="10">
        <v>51.34</v>
      </c>
      <c r="D1031" s="10">
        <v>51.42</v>
      </c>
      <c r="E1031" s="10">
        <v>51.45</v>
      </c>
      <c r="F1031" s="10">
        <v>51.41</v>
      </c>
      <c r="G1031" s="10">
        <v>51.3</v>
      </c>
      <c r="H1031" s="10">
        <v>51.21</v>
      </c>
      <c r="I1031" s="10">
        <v>51.09</v>
      </c>
      <c r="J1031" s="10">
        <v>50.96</v>
      </c>
      <c r="K1031" s="10">
        <v>50.83</v>
      </c>
      <c r="L1031" s="10">
        <v>50.7</v>
      </c>
      <c r="M1031" s="10">
        <v>50.59</v>
      </c>
      <c r="N1031" s="10">
        <v>48.23</v>
      </c>
      <c r="O1031" s="10">
        <v>48.35</v>
      </c>
      <c r="P1031" s="10">
        <v>48.43</v>
      </c>
      <c r="Q1031" s="10">
        <v>48.45</v>
      </c>
      <c r="R1031" s="10">
        <v>48.43</v>
      </c>
      <c r="S1031" s="10">
        <v>48.34</v>
      </c>
      <c r="T1031" s="10">
        <v>48.23</v>
      </c>
      <c r="U1031" s="10">
        <v>48.08</v>
      </c>
      <c r="V1031" s="10">
        <v>47.92</v>
      </c>
      <c r="W1031" s="10">
        <v>47.78</v>
      </c>
      <c r="X1031" s="10">
        <v>47.65</v>
      </c>
      <c r="Y1031" s="10">
        <v>47.49</v>
      </c>
      <c r="Z1031" s="11">
        <v>49.783999999999999</v>
      </c>
      <c r="AA1031" s="11">
        <v>50.764000000000003</v>
      </c>
      <c r="AB1031" s="11">
        <v>50.631999999999998</v>
      </c>
      <c r="AC1031" s="11">
        <v>50.597999999999999</v>
      </c>
      <c r="AD1031" s="11">
        <v>50.515000000000001</v>
      </c>
      <c r="AE1031" s="11">
        <v>50.411000000000001</v>
      </c>
      <c r="AF1031" s="11">
        <v>50.314999999999998</v>
      </c>
      <c r="AG1031" s="11">
        <v>50.164000000000001</v>
      </c>
      <c r="AH1031" s="11">
        <v>49.984000000000002</v>
      </c>
      <c r="AI1031" s="11">
        <v>49.804000000000002</v>
      </c>
      <c r="AJ1031" s="11">
        <v>49.625</v>
      </c>
      <c r="AK1031" s="11">
        <v>49.496000000000002</v>
      </c>
      <c r="AL1031" s="11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  <c r="DG1031" s="3"/>
      <c r="DH1031" s="3"/>
      <c r="DI1031" s="3"/>
      <c r="DJ1031" s="3"/>
      <c r="DK1031" s="3"/>
      <c r="DL1031" s="3"/>
      <c r="DM1031" s="3"/>
      <c r="DN1031" s="3"/>
      <c r="DO1031" s="3"/>
      <c r="DP1031" s="3"/>
      <c r="DQ1031" s="3"/>
      <c r="DR1031" s="3"/>
      <c r="DS1031" s="3"/>
      <c r="DT1031" s="3"/>
      <c r="DU1031" s="3"/>
      <c r="DV1031" s="3"/>
      <c r="DW1031" s="3"/>
      <c r="DX1031" s="3"/>
      <c r="DY1031" s="3"/>
      <c r="DZ1031" s="3"/>
      <c r="EA1031" s="3"/>
      <c r="EB1031" s="3"/>
      <c r="EC1031" s="3"/>
      <c r="ED1031" s="3"/>
      <c r="EE1031" s="3"/>
      <c r="EF1031" s="3"/>
      <c r="EG1031" s="3"/>
      <c r="EH1031" s="3"/>
      <c r="EI1031" s="3"/>
      <c r="EJ1031" s="3"/>
      <c r="EK1031" s="3"/>
      <c r="EL1031" s="3"/>
      <c r="EM1031" s="3"/>
      <c r="EN1031" s="3"/>
      <c r="EO1031" s="3"/>
      <c r="EP1031" s="3"/>
      <c r="EQ1031" s="3"/>
    </row>
    <row r="1032" spans="1:147" x14ac:dyDescent="0.3">
      <c r="A1032" s="9">
        <f>DATE(2020, 12, 28)</f>
        <v>44193</v>
      </c>
      <c r="B1032" s="10">
        <v>50.86</v>
      </c>
      <c r="C1032" s="10">
        <v>50.9</v>
      </c>
      <c r="D1032" s="10">
        <v>50.99</v>
      </c>
      <c r="E1032" s="10">
        <v>51.03</v>
      </c>
      <c r="F1032" s="10">
        <v>50.99</v>
      </c>
      <c r="G1032" s="10">
        <v>50.89</v>
      </c>
      <c r="H1032" s="10">
        <v>50.81</v>
      </c>
      <c r="I1032" s="10">
        <v>50.69</v>
      </c>
      <c r="J1032" s="10">
        <v>50.57</v>
      </c>
      <c r="K1032" s="10">
        <v>50.45</v>
      </c>
      <c r="L1032" s="10">
        <v>50.33</v>
      </c>
      <c r="M1032" s="10">
        <v>50.21</v>
      </c>
      <c r="N1032" s="10">
        <v>47.62</v>
      </c>
      <c r="O1032" s="10">
        <v>47.77</v>
      </c>
      <c r="P1032" s="10">
        <v>47.87</v>
      </c>
      <c r="Q1032" s="10">
        <v>47.93</v>
      </c>
      <c r="R1032" s="10">
        <v>47.95</v>
      </c>
      <c r="S1032" s="10">
        <v>47.89</v>
      </c>
      <c r="T1032" s="10">
        <v>47.79</v>
      </c>
      <c r="U1032" s="10">
        <v>47.67</v>
      </c>
      <c r="V1032" s="10">
        <v>47.53</v>
      </c>
      <c r="W1032" s="10">
        <v>47.4</v>
      </c>
      <c r="X1032" s="10">
        <v>47.27</v>
      </c>
      <c r="Y1032" s="10">
        <v>47.11</v>
      </c>
      <c r="Z1032" s="11">
        <v>49.726999999999997</v>
      </c>
      <c r="AA1032" s="11">
        <v>50.284999999999997</v>
      </c>
      <c r="AB1032" s="11">
        <v>50.171999999999997</v>
      </c>
      <c r="AC1032" s="11">
        <v>50.148000000000003</v>
      </c>
      <c r="AD1032" s="11">
        <v>50.085000000000001</v>
      </c>
      <c r="AE1032" s="11">
        <v>49.981999999999999</v>
      </c>
      <c r="AF1032" s="11">
        <v>49.875</v>
      </c>
      <c r="AG1032" s="11">
        <v>49.744999999999997</v>
      </c>
      <c r="AH1032" s="11">
        <v>49.594999999999999</v>
      </c>
      <c r="AI1032" s="11">
        <v>49.424999999999997</v>
      </c>
      <c r="AJ1032" s="11">
        <v>49.253999999999998</v>
      </c>
      <c r="AK1032" s="11">
        <v>49.116</v>
      </c>
      <c r="AL1032" s="11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  <c r="DG1032" s="3"/>
      <c r="DH1032" s="3"/>
      <c r="DI1032" s="3"/>
      <c r="DJ1032" s="3"/>
      <c r="DK1032" s="3"/>
      <c r="DL1032" s="3"/>
      <c r="DM1032" s="3"/>
      <c r="DN1032" s="3"/>
      <c r="DO1032" s="3"/>
      <c r="DP1032" s="3"/>
      <c r="DQ1032" s="3"/>
      <c r="DR1032" s="3"/>
      <c r="DS1032" s="3"/>
      <c r="DT1032" s="3"/>
      <c r="DU1032" s="3"/>
      <c r="DV1032" s="3"/>
      <c r="DW1032" s="3"/>
      <c r="DX1032" s="3"/>
      <c r="DY1032" s="3"/>
      <c r="DZ1032" s="3"/>
      <c r="EA1032" s="3"/>
      <c r="EB1032" s="3"/>
      <c r="EC1032" s="3"/>
      <c r="ED1032" s="3"/>
      <c r="EE1032" s="3"/>
      <c r="EF1032" s="3"/>
      <c r="EG1032" s="3"/>
      <c r="EH1032" s="3"/>
      <c r="EI1032" s="3"/>
      <c r="EJ1032" s="3"/>
      <c r="EK1032" s="3"/>
      <c r="EL1032" s="3"/>
      <c r="EM1032" s="3"/>
      <c r="EN1032" s="3"/>
      <c r="EO1032" s="3"/>
      <c r="EP1032" s="3"/>
      <c r="EQ1032" s="3"/>
    </row>
    <row r="1033" spans="1:147" x14ac:dyDescent="0.3">
      <c r="A1033" s="9">
        <f>DATE(2020, 12, 29)</f>
        <v>44194</v>
      </c>
      <c r="B1033" s="10">
        <v>51.09</v>
      </c>
      <c r="C1033" s="10">
        <v>51.23</v>
      </c>
      <c r="D1033" s="10">
        <v>51.32</v>
      </c>
      <c r="E1033" s="10">
        <v>51.35</v>
      </c>
      <c r="F1033" s="10">
        <v>51.3</v>
      </c>
      <c r="G1033" s="10">
        <v>51.19</v>
      </c>
      <c r="H1033" s="10">
        <v>51.11</v>
      </c>
      <c r="I1033" s="10">
        <v>50.99</v>
      </c>
      <c r="J1033" s="10">
        <v>50.87</v>
      </c>
      <c r="K1033" s="10">
        <v>50.75</v>
      </c>
      <c r="L1033" s="10">
        <v>50.63</v>
      </c>
      <c r="M1033" s="10">
        <v>50.51</v>
      </c>
      <c r="N1033" s="10">
        <v>48</v>
      </c>
      <c r="O1033" s="10">
        <v>48.14</v>
      </c>
      <c r="P1033" s="10">
        <v>48.25</v>
      </c>
      <c r="Q1033" s="10">
        <v>48.3</v>
      </c>
      <c r="R1033" s="10">
        <v>48.29</v>
      </c>
      <c r="S1033" s="10">
        <v>48.22</v>
      </c>
      <c r="T1033" s="10">
        <v>48.12</v>
      </c>
      <c r="U1033" s="10">
        <v>47.99</v>
      </c>
      <c r="V1033" s="10">
        <v>47.84</v>
      </c>
      <c r="W1033" s="10">
        <v>47.71</v>
      </c>
      <c r="X1033" s="10">
        <v>47.57</v>
      </c>
      <c r="Y1033" s="10">
        <v>47.41</v>
      </c>
      <c r="Z1033" s="11">
        <v>49.784999999999997</v>
      </c>
      <c r="AA1033" s="11">
        <v>50.564999999999998</v>
      </c>
      <c r="AB1033" s="11">
        <v>50.462000000000003</v>
      </c>
      <c r="AC1033" s="11">
        <v>50.441000000000003</v>
      </c>
      <c r="AD1033" s="11">
        <v>50.387999999999998</v>
      </c>
      <c r="AE1033" s="11">
        <v>50.281999999999996</v>
      </c>
      <c r="AF1033" s="11">
        <v>50.174999999999997</v>
      </c>
      <c r="AG1033" s="11">
        <v>50.045000000000002</v>
      </c>
      <c r="AH1033" s="11">
        <v>49.875</v>
      </c>
      <c r="AI1033" s="11">
        <v>49.695</v>
      </c>
      <c r="AJ1033" s="11">
        <v>49.533999999999999</v>
      </c>
      <c r="AK1033" s="11">
        <v>49.415999999999997</v>
      </c>
      <c r="AL1033" s="11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/>
      <c r="DV1033" s="3"/>
      <c r="DW1033" s="3"/>
      <c r="DX1033" s="3"/>
      <c r="DY1033" s="3"/>
      <c r="DZ1033" s="3"/>
      <c r="EA1033" s="3"/>
      <c r="EB1033" s="3"/>
      <c r="EC1033" s="3"/>
      <c r="ED1033" s="3"/>
      <c r="EE1033" s="3"/>
      <c r="EF1033" s="3"/>
      <c r="EG1033" s="3"/>
      <c r="EH1033" s="3"/>
      <c r="EI1033" s="3"/>
      <c r="EJ1033" s="3"/>
      <c r="EK1033" s="3"/>
      <c r="EL1033" s="3"/>
      <c r="EM1033" s="3"/>
      <c r="EN1033" s="3"/>
      <c r="EO1033" s="3"/>
      <c r="EP1033" s="3"/>
      <c r="EQ1033" s="3"/>
    </row>
    <row r="1034" spans="1:147" x14ac:dyDescent="0.3">
      <c r="A1034" s="9">
        <f>DATE(2020, 12, 30)</f>
        <v>44195</v>
      </c>
      <c r="B1034" s="10">
        <v>51.34</v>
      </c>
      <c r="C1034" s="10">
        <v>51.63</v>
      </c>
      <c r="D1034" s="10">
        <v>51.68</v>
      </c>
      <c r="E1034" s="10">
        <v>51.67</v>
      </c>
      <c r="F1034" s="10">
        <v>51.58</v>
      </c>
      <c r="G1034" s="10">
        <v>51.43</v>
      </c>
      <c r="H1034" s="10">
        <v>51.32</v>
      </c>
      <c r="I1034" s="10">
        <v>51.19</v>
      </c>
      <c r="J1034" s="10">
        <v>51.03</v>
      </c>
      <c r="K1034" s="10">
        <v>50.89</v>
      </c>
      <c r="L1034" s="10">
        <v>50.76</v>
      </c>
      <c r="M1034" s="10">
        <v>50.62</v>
      </c>
      <c r="N1034" s="10">
        <v>48.4</v>
      </c>
      <c r="O1034" s="10">
        <v>48.5</v>
      </c>
      <c r="P1034" s="10">
        <v>48.57</v>
      </c>
      <c r="Q1034" s="10">
        <v>48.59</v>
      </c>
      <c r="R1034" s="10">
        <v>48.55</v>
      </c>
      <c r="S1034" s="10">
        <v>48.45</v>
      </c>
      <c r="T1034" s="10">
        <v>48.32</v>
      </c>
      <c r="U1034" s="10">
        <v>48.16</v>
      </c>
      <c r="V1034" s="10">
        <v>47.99</v>
      </c>
      <c r="W1034" s="10">
        <v>47.84</v>
      </c>
      <c r="X1034" s="10">
        <v>47.68</v>
      </c>
      <c r="Y1034" s="10">
        <v>47.5</v>
      </c>
      <c r="Z1034" s="11">
        <v>49.814999999999998</v>
      </c>
      <c r="AA1034" s="11">
        <v>50.933999999999997</v>
      </c>
      <c r="AB1034" s="11">
        <v>50.832000000000001</v>
      </c>
      <c r="AC1034" s="11">
        <v>50.814999999999998</v>
      </c>
      <c r="AD1034" s="11">
        <v>50.718000000000004</v>
      </c>
      <c r="AE1034" s="11">
        <v>50.55</v>
      </c>
      <c r="AF1034" s="11">
        <v>50.384</v>
      </c>
      <c r="AG1034" s="11">
        <v>50.213000000000001</v>
      </c>
      <c r="AH1034" s="11">
        <v>50.033999999999999</v>
      </c>
      <c r="AI1034" s="11">
        <v>49.853999999999999</v>
      </c>
      <c r="AJ1034" s="11">
        <v>49.662999999999997</v>
      </c>
      <c r="AK1034" s="11">
        <v>49.494999999999997</v>
      </c>
      <c r="AL1034" s="11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  <c r="DG1034" s="3"/>
      <c r="DH1034" s="3"/>
      <c r="DI1034" s="3"/>
      <c r="DJ1034" s="3"/>
      <c r="DK1034" s="3"/>
      <c r="DL1034" s="3"/>
      <c r="DM1034" s="3"/>
      <c r="DN1034" s="3"/>
      <c r="DO1034" s="3"/>
      <c r="DP1034" s="3"/>
      <c r="DQ1034" s="3"/>
      <c r="DR1034" s="3"/>
      <c r="DS1034" s="3"/>
      <c r="DT1034" s="3"/>
      <c r="DU1034" s="3"/>
      <c r="DV1034" s="3"/>
      <c r="DW1034" s="3"/>
      <c r="DX1034" s="3"/>
      <c r="DY1034" s="3"/>
      <c r="DZ1034" s="3"/>
      <c r="EA1034" s="3"/>
      <c r="EB1034" s="3"/>
      <c r="EC1034" s="3"/>
      <c r="ED1034" s="3"/>
      <c r="EE1034" s="3"/>
      <c r="EF1034" s="3"/>
      <c r="EG1034" s="3"/>
      <c r="EH1034" s="3"/>
      <c r="EI1034" s="3"/>
      <c r="EJ1034" s="3"/>
      <c r="EK1034" s="3"/>
      <c r="EL1034" s="3"/>
      <c r="EM1034" s="3"/>
      <c r="EN1034" s="3"/>
      <c r="EO1034" s="3"/>
      <c r="EP1034" s="3"/>
      <c r="EQ1034" s="3"/>
    </row>
    <row r="1035" spans="1:147" x14ac:dyDescent="0.3">
      <c r="A1035" s="9">
        <f>DATE(2020, 12, 31)</f>
        <v>44196</v>
      </c>
      <c r="B1035" s="10">
        <v>51.8</v>
      </c>
      <c r="C1035" s="10">
        <v>51.82</v>
      </c>
      <c r="D1035" s="10">
        <v>51.78</v>
      </c>
      <c r="E1035" s="10">
        <v>51.66</v>
      </c>
      <c r="F1035" s="10">
        <v>51.49</v>
      </c>
      <c r="G1035" s="10">
        <v>51.35</v>
      </c>
      <c r="H1035" s="10">
        <v>51.2</v>
      </c>
      <c r="I1035" s="10">
        <v>51.05</v>
      </c>
      <c r="J1035" s="10">
        <v>50.9</v>
      </c>
      <c r="K1035" s="10">
        <v>50.75</v>
      </c>
      <c r="L1035" s="10">
        <v>50.61</v>
      </c>
      <c r="M1035" s="10">
        <v>50.49</v>
      </c>
      <c r="N1035" s="10">
        <v>48.52</v>
      </c>
      <c r="O1035" s="10">
        <v>48.63</v>
      </c>
      <c r="P1035" s="10">
        <v>48.69</v>
      </c>
      <c r="Q1035" s="10">
        <v>48.69</v>
      </c>
      <c r="R1035" s="10">
        <v>48.63</v>
      </c>
      <c r="S1035" s="10">
        <v>48.52</v>
      </c>
      <c r="T1035" s="10">
        <v>48.37</v>
      </c>
      <c r="U1035" s="10">
        <v>48.19</v>
      </c>
      <c r="V1035" s="10">
        <v>48.01</v>
      </c>
      <c r="W1035" s="10">
        <v>47.85</v>
      </c>
      <c r="X1035" s="10">
        <v>47.68</v>
      </c>
      <c r="Y1035" s="10">
        <v>47.49</v>
      </c>
      <c r="Z1035" s="11">
        <v>49.814999999999998</v>
      </c>
      <c r="AA1035" s="11">
        <v>51.131</v>
      </c>
      <c r="AB1035" s="11">
        <v>51.008000000000003</v>
      </c>
      <c r="AC1035" s="11">
        <v>50.965000000000003</v>
      </c>
      <c r="AD1035" s="11">
        <v>50.816000000000003</v>
      </c>
      <c r="AE1035" s="11">
        <v>50.627000000000002</v>
      </c>
      <c r="AF1035" s="11">
        <v>50.42</v>
      </c>
      <c r="AG1035" s="11">
        <v>50.232999999999997</v>
      </c>
      <c r="AH1035" s="11">
        <v>50.042999999999999</v>
      </c>
      <c r="AI1035" s="11">
        <v>49.853000000000002</v>
      </c>
      <c r="AJ1035" s="11">
        <v>49.652999999999999</v>
      </c>
      <c r="AK1035" s="11">
        <v>49.465000000000003</v>
      </c>
      <c r="AL1035" s="11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  <c r="DG1035" s="3"/>
      <c r="DH1035" s="3"/>
      <c r="DI1035" s="3"/>
      <c r="DJ1035" s="3"/>
      <c r="DK1035" s="3"/>
      <c r="DL1035" s="3"/>
      <c r="DM1035" s="3"/>
      <c r="DN1035" s="3"/>
      <c r="DO1035" s="3"/>
      <c r="DP1035" s="3"/>
      <c r="DQ1035" s="3"/>
      <c r="DR1035" s="3"/>
      <c r="DS1035" s="3"/>
      <c r="DT1035" s="3"/>
      <c r="DU1035" s="3"/>
      <c r="DV1035" s="3"/>
      <c r="DW1035" s="3"/>
      <c r="DX1035" s="3"/>
      <c r="DY1035" s="3"/>
      <c r="DZ1035" s="3"/>
      <c r="EA1035" s="3"/>
      <c r="EB1035" s="3"/>
      <c r="EC1035" s="3"/>
      <c r="ED1035" s="3"/>
      <c r="EE1035" s="3"/>
      <c r="EF1035" s="3"/>
      <c r="EG1035" s="3"/>
      <c r="EH1035" s="3"/>
      <c r="EI1035" s="3"/>
      <c r="EJ1035" s="3"/>
      <c r="EK1035" s="3"/>
      <c r="EL1035" s="3"/>
      <c r="EM1035" s="3"/>
      <c r="EN1035" s="3"/>
      <c r="EO1035" s="3"/>
      <c r="EP1035" s="3"/>
      <c r="EQ1035" s="3"/>
    </row>
    <row r="1036" spans="1:147" x14ac:dyDescent="0.3">
      <c r="A1036" s="9">
        <f>DATE(2021, 1, 4)</f>
        <v>44200</v>
      </c>
      <c r="B1036" s="10">
        <v>51.09</v>
      </c>
      <c r="C1036" s="10">
        <v>51.16</v>
      </c>
      <c r="D1036" s="10">
        <v>51.16</v>
      </c>
      <c r="E1036" s="10">
        <v>51.08</v>
      </c>
      <c r="F1036" s="10">
        <v>50.94</v>
      </c>
      <c r="G1036" s="10">
        <v>50.8</v>
      </c>
      <c r="H1036" s="10">
        <v>50.66</v>
      </c>
      <c r="I1036" s="10">
        <v>50.5</v>
      </c>
      <c r="J1036" s="10">
        <v>50.36</v>
      </c>
      <c r="K1036" s="10">
        <v>50.23</v>
      </c>
      <c r="L1036" s="10">
        <v>50.1</v>
      </c>
      <c r="M1036" s="10">
        <v>49.99</v>
      </c>
      <c r="N1036" s="10">
        <v>47.62</v>
      </c>
      <c r="O1036" s="10">
        <v>47.76</v>
      </c>
      <c r="P1036" s="10">
        <v>47.87</v>
      </c>
      <c r="Q1036" s="10">
        <v>47.92</v>
      </c>
      <c r="R1036" s="10">
        <v>47.92</v>
      </c>
      <c r="S1036" s="10">
        <v>47.86</v>
      </c>
      <c r="T1036" s="10">
        <v>47.76</v>
      </c>
      <c r="U1036" s="10">
        <v>47.62</v>
      </c>
      <c r="V1036" s="10">
        <v>47.46</v>
      </c>
      <c r="W1036" s="10">
        <v>47.32</v>
      </c>
      <c r="X1036" s="10">
        <v>47.18</v>
      </c>
      <c r="Y1036" s="10">
        <v>47.02</v>
      </c>
      <c r="Z1036" s="11">
        <v>49.814999999999998</v>
      </c>
      <c r="AA1036" s="11">
        <v>50.569000000000003</v>
      </c>
      <c r="AB1036" s="11">
        <v>50.37</v>
      </c>
      <c r="AC1036" s="11">
        <v>50.307000000000002</v>
      </c>
      <c r="AD1036" s="11">
        <v>50.203000000000003</v>
      </c>
      <c r="AE1036" s="11">
        <v>50.036999999999999</v>
      </c>
      <c r="AF1036" s="11">
        <v>49.863999999999997</v>
      </c>
      <c r="AG1036" s="11">
        <v>49.673000000000002</v>
      </c>
      <c r="AH1036" s="11">
        <v>49.463999999999999</v>
      </c>
      <c r="AI1036" s="11">
        <v>49.283999999999999</v>
      </c>
      <c r="AJ1036" s="11">
        <v>49.094000000000001</v>
      </c>
      <c r="AK1036" s="11">
        <v>48.945</v>
      </c>
      <c r="AL1036" s="11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  <c r="DG1036" s="3"/>
      <c r="DH1036" s="3"/>
      <c r="DI1036" s="3"/>
      <c r="DJ1036" s="3"/>
      <c r="DK1036" s="3"/>
      <c r="DL1036" s="3"/>
      <c r="DM1036" s="3"/>
      <c r="DN1036" s="3"/>
      <c r="DO1036" s="3"/>
      <c r="DP1036" s="3"/>
      <c r="DQ1036" s="3"/>
      <c r="DR1036" s="3"/>
      <c r="DS1036" s="3"/>
      <c r="DT1036" s="3"/>
      <c r="DU1036" s="3"/>
      <c r="DV1036" s="3"/>
      <c r="DW1036" s="3"/>
      <c r="DX1036" s="3"/>
      <c r="DY1036" s="3"/>
      <c r="DZ1036" s="3"/>
      <c r="EA1036" s="3"/>
      <c r="EB1036" s="3"/>
      <c r="EC1036" s="3"/>
      <c r="ED1036" s="3"/>
      <c r="EE1036" s="3"/>
      <c r="EF1036" s="3"/>
      <c r="EG1036" s="3"/>
      <c r="EH1036" s="3"/>
      <c r="EI1036" s="3"/>
      <c r="EJ1036" s="3"/>
      <c r="EK1036" s="3"/>
      <c r="EL1036" s="3"/>
      <c r="EM1036" s="3"/>
      <c r="EN1036" s="3"/>
      <c r="EO1036" s="3"/>
      <c r="EP1036" s="3"/>
      <c r="EQ1036" s="3"/>
    </row>
    <row r="1037" spans="1:147" x14ac:dyDescent="0.3">
      <c r="A1037" s="9">
        <f>DATE(2021, 1, 5)</f>
        <v>44201</v>
      </c>
      <c r="B1037" s="10">
        <v>53.6</v>
      </c>
      <c r="C1037" s="10">
        <v>53.54</v>
      </c>
      <c r="D1037" s="10">
        <v>53.43</v>
      </c>
      <c r="E1037" s="10">
        <v>53.24</v>
      </c>
      <c r="F1037" s="10">
        <v>53</v>
      </c>
      <c r="G1037" s="10">
        <v>52.77</v>
      </c>
      <c r="H1037" s="10">
        <v>52.54</v>
      </c>
      <c r="I1037" s="10">
        <v>52.31</v>
      </c>
      <c r="J1037" s="10">
        <v>52.09</v>
      </c>
      <c r="K1037" s="10">
        <v>51.87</v>
      </c>
      <c r="L1037" s="10">
        <v>51.67</v>
      </c>
      <c r="M1037" s="10">
        <v>51.49</v>
      </c>
      <c r="N1037" s="10">
        <v>49.93</v>
      </c>
      <c r="O1037" s="10">
        <v>50.01</v>
      </c>
      <c r="P1037" s="10">
        <v>50.04</v>
      </c>
      <c r="Q1037" s="10">
        <v>50.01</v>
      </c>
      <c r="R1037" s="10">
        <v>49.92</v>
      </c>
      <c r="S1037" s="10">
        <v>49.77</v>
      </c>
      <c r="T1037" s="10">
        <v>49.57</v>
      </c>
      <c r="U1037" s="10">
        <v>49.35</v>
      </c>
      <c r="V1037" s="10">
        <v>49.12</v>
      </c>
      <c r="W1037" s="10">
        <v>48.9</v>
      </c>
      <c r="X1037" s="10">
        <v>48.69</v>
      </c>
      <c r="Y1037" s="10">
        <v>48.45</v>
      </c>
      <c r="Z1037" s="11">
        <v>52.786000000000001</v>
      </c>
      <c r="AA1037" s="11">
        <v>52.774999999999999</v>
      </c>
      <c r="AB1037" s="11">
        <v>52.622</v>
      </c>
      <c r="AC1037" s="11">
        <v>52.359000000000002</v>
      </c>
      <c r="AD1037" s="11">
        <v>52.067999999999998</v>
      </c>
      <c r="AE1037" s="11">
        <v>51.81</v>
      </c>
      <c r="AF1037" s="11">
        <v>51.55</v>
      </c>
      <c r="AG1037" s="11">
        <v>51.27</v>
      </c>
      <c r="AH1037" s="11">
        <v>51.01</v>
      </c>
      <c r="AI1037" s="11">
        <v>50.73</v>
      </c>
      <c r="AJ1037" s="11">
        <v>50.502000000000002</v>
      </c>
      <c r="AK1037" s="11">
        <v>50.298000000000002</v>
      </c>
      <c r="AL1037" s="11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  <c r="DG1037" s="3"/>
      <c r="DH1037" s="3"/>
      <c r="DI1037" s="3"/>
      <c r="DJ1037" s="3"/>
      <c r="DK1037" s="3"/>
      <c r="DL1037" s="3"/>
      <c r="DM1037" s="3"/>
      <c r="DN1037" s="3"/>
      <c r="DO1037" s="3"/>
      <c r="DP1037" s="3"/>
      <c r="DQ1037" s="3"/>
      <c r="DR1037" s="3"/>
      <c r="DS1037" s="3"/>
      <c r="DT1037" s="3"/>
      <c r="DU1037" s="3"/>
      <c r="DV1037" s="3"/>
      <c r="DW1037" s="3"/>
      <c r="DX1037" s="3"/>
      <c r="DY1037" s="3"/>
      <c r="DZ1037" s="3"/>
      <c r="EA1037" s="3"/>
      <c r="EB1037" s="3"/>
      <c r="EC1037" s="3"/>
      <c r="ED1037" s="3"/>
      <c r="EE1037" s="3"/>
      <c r="EF1037" s="3"/>
      <c r="EG1037" s="3"/>
      <c r="EH1037" s="3"/>
      <c r="EI1037" s="3"/>
      <c r="EJ1037" s="3"/>
      <c r="EK1037" s="3"/>
      <c r="EL1037" s="3"/>
      <c r="EM1037" s="3"/>
      <c r="EN1037" s="3"/>
      <c r="EO1037" s="3"/>
      <c r="EP1037" s="3"/>
      <c r="EQ1037" s="3"/>
    </row>
    <row r="1038" spans="1:147" x14ac:dyDescent="0.3">
      <c r="A1038" s="9">
        <f>DATE(2021, 1, 6)</f>
        <v>44202</v>
      </c>
      <c r="B1038" s="10">
        <v>54.3</v>
      </c>
      <c r="C1038" s="10">
        <v>54.18</v>
      </c>
      <c r="D1038" s="10">
        <v>54</v>
      </c>
      <c r="E1038" s="10">
        <v>53.75</v>
      </c>
      <c r="F1038" s="10">
        <v>53.45</v>
      </c>
      <c r="G1038" s="10">
        <v>53.16</v>
      </c>
      <c r="H1038" s="10">
        <v>52.86</v>
      </c>
      <c r="I1038" s="10">
        <v>52.56</v>
      </c>
      <c r="J1038" s="10">
        <v>52.28</v>
      </c>
      <c r="K1038" s="10">
        <v>52.02</v>
      </c>
      <c r="L1038" s="10">
        <v>51.77</v>
      </c>
      <c r="M1038" s="10">
        <v>51.55</v>
      </c>
      <c r="N1038" s="10">
        <v>50.63</v>
      </c>
      <c r="O1038" s="10">
        <v>50.69</v>
      </c>
      <c r="P1038" s="10">
        <v>50.67</v>
      </c>
      <c r="Q1038" s="10">
        <v>50.57</v>
      </c>
      <c r="R1038" s="10">
        <v>50.41</v>
      </c>
      <c r="S1038" s="10">
        <v>50.19</v>
      </c>
      <c r="T1038" s="10">
        <v>49.93</v>
      </c>
      <c r="U1038" s="10">
        <v>49.65</v>
      </c>
      <c r="V1038" s="10">
        <v>49.37</v>
      </c>
      <c r="W1038" s="10">
        <v>49.1</v>
      </c>
      <c r="X1038" s="10">
        <v>48.82</v>
      </c>
      <c r="Y1038" s="10">
        <v>48.55</v>
      </c>
      <c r="Z1038" s="11">
        <v>53.7</v>
      </c>
      <c r="AA1038" s="11">
        <v>53.670999999999999</v>
      </c>
      <c r="AB1038" s="11">
        <v>53.348999999999997</v>
      </c>
      <c r="AC1038" s="11">
        <v>53.026000000000003</v>
      </c>
      <c r="AD1038" s="11">
        <v>52.642000000000003</v>
      </c>
      <c r="AE1038" s="11">
        <v>52.265999999999998</v>
      </c>
      <c r="AF1038" s="11">
        <v>51.905999999999999</v>
      </c>
      <c r="AG1038" s="11">
        <v>51.567</v>
      </c>
      <c r="AH1038" s="11">
        <v>51.238</v>
      </c>
      <c r="AI1038" s="11">
        <v>50.887999999999998</v>
      </c>
      <c r="AJ1038" s="11">
        <v>50.59</v>
      </c>
      <c r="AK1038" s="11">
        <v>50.354999999999997</v>
      </c>
      <c r="AL1038" s="11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  <c r="DG1038" s="3"/>
      <c r="DH1038" s="3"/>
      <c r="DI1038" s="3"/>
      <c r="DJ1038" s="3"/>
      <c r="DK1038" s="3"/>
      <c r="DL1038" s="3"/>
      <c r="DM1038" s="3"/>
      <c r="DN1038" s="3"/>
      <c r="DO1038" s="3"/>
      <c r="DP1038" s="3"/>
      <c r="DQ1038" s="3"/>
      <c r="DR1038" s="3"/>
      <c r="DS1038" s="3"/>
      <c r="DT1038" s="3"/>
      <c r="DU1038" s="3"/>
      <c r="DV1038" s="3"/>
      <c r="DW1038" s="3"/>
      <c r="DX1038" s="3"/>
      <c r="DY1038" s="3"/>
      <c r="DZ1038" s="3"/>
      <c r="EA1038" s="3"/>
      <c r="EB1038" s="3"/>
      <c r="EC1038" s="3"/>
      <c r="ED1038" s="3"/>
      <c r="EE1038" s="3"/>
      <c r="EF1038" s="3"/>
      <c r="EG1038" s="3"/>
      <c r="EH1038" s="3"/>
      <c r="EI1038" s="3"/>
      <c r="EJ1038" s="3"/>
      <c r="EK1038" s="3"/>
      <c r="EL1038" s="3"/>
      <c r="EM1038" s="3"/>
      <c r="EN1038" s="3"/>
      <c r="EO1038" s="3"/>
      <c r="EP1038" s="3"/>
      <c r="EQ1038" s="3"/>
    </row>
    <row r="1039" spans="1:147" x14ac:dyDescent="0.3">
      <c r="A1039" s="9">
        <f>DATE(2021, 1, 7)</f>
        <v>44203</v>
      </c>
      <c r="B1039" s="10">
        <v>54.38</v>
      </c>
      <c r="C1039" s="10">
        <v>54.3</v>
      </c>
      <c r="D1039" s="10">
        <v>54.13</v>
      </c>
      <c r="E1039" s="10">
        <v>53.89</v>
      </c>
      <c r="F1039" s="10">
        <v>53.59</v>
      </c>
      <c r="G1039" s="10">
        <v>53.3</v>
      </c>
      <c r="H1039" s="10">
        <v>53.01</v>
      </c>
      <c r="I1039" s="10">
        <v>52.72</v>
      </c>
      <c r="J1039" s="10">
        <v>52.44</v>
      </c>
      <c r="K1039" s="10">
        <v>52.2</v>
      </c>
      <c r="L1039" s="10">
        <v>51.97</v>
      </c>
      <c r="M1039" s="10">
        <v>51.77</v>
      </c>
      <c r="N1039" s="10">
        <v>50.83</v>
      </c>
      <c r="O1039" s="10">
        <v>50.87</v>
      </c>
      <c r="P1039" s="10">
        <v>50.83</v>
      </c>
      <c r="Q1039" s="10">
        <v>50.73</v>
      </c>
      <c r="R1039" s="10">
        <v>50.57</v>
      </c>
      <c r="S1039" s="10">
        <v>50.34</v>
      </c>
      <c r="T1039" s="10">
        <v>50.09</v>
      </c>
      <c r="U1039" s="10">
        <v>49.82</v>
      </c>
      <c r="V1039" s="10">
        <v>49.55</v>
      </c>
      <c r="W1039" s="10">
        <v>49.28</v>
      </c>
      <c r="X1039" s="10">
        <v>49.02</v>
      </c>
      <c r="Y1039" s="10">
        <v>48.75</v>
      </c>
      <c r="Z1039" s="11">
        <v>53.860999999999997</v>
      </c>
      <c r="AA1039" s="11">
        <v>53.841999999999999</v>
      </c>
      <c r="AB1039" s="11">
        <v>53.59</v>
      </c>
      <c r="AC1039" s="11">
        <v>53.305999999999997</v>
      </c>
      <c r="AD1039" s="11">
        <v>52.911999999999999</v>
      </c>
      <c r="AE1039" s="11">
        <v>52.546999999999997</v>
      </c>
      <c r="AF1039" s="11">
        <v>52.167000000000002</v>
      </c>
      <c r="AG1039" s="11">
        <v>51.796999999999997</v>
      </c>
      <c r="AH1039" s="11">
        <v>51.439</v>
      </c>
      <c r="AI1039" s="11">
        <v>51.109000000000002</v>
      </c>
      <c r="AJ1039" s="11">
        <v>50.801000000000002</v>
      </c>
      <c r="AK1039" s="11">
        <v>50.555999999999997</v>
      </c>
      <c r="AL1039" s="11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  <c r="DG1039" s="3"/>
      <c r="DH1039" s="3"/>
      <c r="DI1039" s="3"/>
      <c r="DJ1039" s="3"/>
      <c r="DK1039" s="3"/>
      <c r="DL1039" s="3"/>
      <c r="DM1039" s="3"/>
      <c r="DN1039" s="3"/>
      <c r="DO1039" s="3"/>
      <c r="DP1039" s="3"/>
      <c r="DQ1039" s="3"/>
      <c r="DR1039" s="3"/>
      <c r="DS1039" s="3"/>
      <c r="DT1039" s="3"/>
      <c r="DU1039" s="3"/>
      <c r="DV1039" s="3"/>
      <c r="DW1039" s="3"/>
      <c r="DX1039" s="3"/>
      <c r="DY1039" s="3"/>
      <c r="DZ1039" s="3"/>
      <c r="EA1039" s="3"/>
      <c r="EB1039" s="3"/>
      <c r="EC1039" s="3"/>
      <c r="ED1039" s="3"/>
      <c r="EE1039" s="3"/>
      <c r="EF1039" s="3"/>
      <c r="EG1039" s="3"/>
      <c r="EH1039" s="3"/>
      <c r="EI1039" s="3"/>
      <c r="EJ1039" s="3"/>
      <c r="EK1039" s="3"/>
      <c r="EL1039" s="3"/>
      <c r="EM1039" s="3"/>
      <c r="EN1039" s="3"/>
      <c r="EO1039" s="3"/>
      <c r="EP1039" s="3"/>
      <c r="EQ1039" s="3"/>
    </row>
    <row r="1040" spans="1:147" x14ac:dyDescent="0.3">
      <c r="A1040" s="9">
        <f>DATE(2021, 1, 8)</f>
        <v>44204</v>
      </c>
      <c r="B1040" s="10">
        <v>55.99</v>
      </c>
      <c r="C1040" s="10">
        <v>55.83</v>
      </c>
      <c r="D1040" s="10">
        <v>55.58</v>
      </c>
      <c r="E1040" s="10">
        <v>55.27</v>
      </c>
      <c r="F1040" s="10">
        <v>54.91</v>
      </c>
      <c r="G1040" s="10">
        <v>54.57</v>
      </c>
      <c r="H1040" s="10">
        <v>54.24</v>
      </c>
      <c r="I1040" s="10">
        <v>53.92</v>
      </c>
      <c r="J1040" s="10">
        <v>53.61</v>
      </c>
      <c r="K1040" s="10">
        <v>53.33</v>
      </c>
      <c r="L1040" s="10">
        <v>53.07</v>
      </c>
      <c r="M1040" s="10">
        <v>52.84</v>
      </c>
      <c r="N1040" s="10">
        <v>52.24</v>
      </c>
      <c r="O1040" s="10">
        <v>52.26</v>
      </c>
      <c r="P1040" s="10">
        <v>52.19</v>
      </c>
      <c r="Q1040" s="10">
        <v>52.04</v>
      </c>
      <c r="R1040" s="10">
        <v>51.82</v>
      </c>
      <c r="S1040" s="10">
        <v>51.54</v>
      </c>
      <c r="T1040" s="10">
        <v>51.23</v>
      </c>
      <c r="U1040" s="10">
        <v>50.91</v>
      </c>
      <c r="V1040" s="10">
        <v>50.58</v>
      </c>
      <c r="W1040" s="10">
        <v>50.27</v>
      </c>
      <c r="X1040" s="10">
        <v>49.98</v>
      </c>
      <c r="Y1040" s="10">
        <v>49.67</v>
      </c>
      <c r="Z1040" s="11">
        <v>55.011000000000003</v>
      </c>
      <c r="AA1040" s="11">
        <v>55.298000000000002</v>
      </c>
      <c r="AB1040" s="11">
        <v>54.987000000000002</v>
      </c>
      <c r="AC1040" s="11">
        <v>54.643000000000001</v>
      </c>
      <c r="AD1040" s="11">
        <v>54.207999999999998</v>
      </c>
      <c r="AE1040" s="11">
        <v>53.814999999999998</v>
      </c>
      <c r="AF1040" s="11">
        <v>53.414999999999999</v>
      </c>
      <c r="AG1040" s="11">
        <v>53.026000000000003</v>
      </c>
      <c r="AH1040" s="11">
        <v>52.627000000000002</v>
      </c>
      <c r="AI1040" s="11">
        <v>52.228000000000002</v>
      </c>
      <c r="AJ1040" s="11">
        <v>51.91</v>
      </c>
      <c r="AK1040" s="11">
        <v>51.643000000000001</v>
      </c>
      <c r="AL1040" s="11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  <c r="DI1040" s="3"/>
      <c r="DJ1040" s="3"/>
      <c r="DK1040" s="3"/>
      <c r="DL1040" s="3"/>
      <c r="DM1040" s="3"/>
      <c r="DN1040" s="3"/>
      <c r="DO1040" s="3"/>
      <c r="DP1040" s="3"/>
      <c r="DQ1040" s="3"/>
      <c r="DR1040" s="3"/>
      <c r="DS1040" s="3"/>
      <c r="DT1040" s="3"/>
      <c r="DU1040" s="3"/>
      <c r="DV1040" s="3"/>
      <c r="DW1040" s="3"/>
      <c r="DX1040" s="3"/>
      <c r="DY1040" s="3"/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/>
      <c r="EL1040" s="3"/>
      <c r="EM1040" s="3"/>
      <c r="EN1040" s="3"/>
      <c r="EO1040" s="3"/>
      <c r="EP1040" s="3"/>
      <c r="EQ1040" s="3"/>
    </row>
    <row r="1041" spans="1:147" x14ac:dyDescent="0.3">
      <c r="A1041" s="9">
        <f>DATE(2021, 1, 11)</f>
        <v>44207</v>
      </c>
      <c r="B1041" s="10">
        <v>55.66</v>
      </c>
      <c r="C1041" s="10">
        <v>55.59</v>
      </c>
      <c r="D1041" s="10">
        <v>55.4</v>
      </c>
      <c r="E1041" s="10">
        <v>55.13</v>
      </c>
      <c r="F1041" s="10">
        <v>54.82</v>
      </c>
      <c r="G1041" s="10">
        <v>54.52</v>
      </c>
      <c r="H1041" s="10">
        <v>54.21</v>
      </c>
      <c r="I1041" s="10">
        <v>53.91</v>
      </c>
      <c r="J1041" s="10">
        <v>53.61</v>
      </c>
      <c r="K1041" s="10">
        <v>53.33</v>
      </c>
      <c r="L1041" s="10">
        <v>53.09</v>
      </c>
      <c r="M1041" s="10">
        <v>52.87</v>
      </c>
      <c r="N1041" s="10">
        <v>52.25</v>
      </c>
      <c r="O1041" s="10">
        <v>52.27</v>
      </c>
      <c r="P1041" s="10">
        <v>52.2</v>
      </c>
      <c r="Q1041" s="10">
        <v>52.06</v>
      </c>
      <c r="R1041" s="10">
        <v>51.86</v>
      </c>
      <c r="S1041" s="10">
        <v>51.6</v>
      </c>
      <c r="T1041" s="10">
        <v>51.31</v>
      </c>
      <c r="U1041" s="10">
        <v>51.01</v>
      </c>
      <c r="V1041" s="10">
        <v>50.71</v>
      </c>
      <c r="W1041" s="10">
        <v>50.43</v>
      </c>
      <c r="X1041" s="10">
        <v>50.14</v>
      </c>
      <c r="Y1041" s="10">
        <v>49.84</v>
      </c>
      <c r="Z1041" s="11">
        <v>54.853000000000002</v>
      </c>
      <c r="AA1041" s="11">
        <v>55.061</v>
      </c>
      <c r="AB1041" s="11">
        <v>54.808</v>
      </c>
      <c r="AC1041" s="11">
        <v>54.484999999999999</v>
      </c>
      <c r="AD1041" s="11">
        <v>54.081000000000003</v>
      </c>
      <c r="AE1041" s="11">
        <v>53.706000000000003</v>
      </c>
      <c r="AF1041" s="11">
        <v>53.356000000000002</v>
      </c>
      <c r="AG1041" s="11">
        <v>53.026000000000003</v>
      </c>
      <c r="AH1041" s="11">
        <v>52.656999999999996</v>
      </c>
      <c r="AI1041" s="11">
        <v>52.219000000000001</v>
      </c>
      <c r="AJ1041" s="11">
        <v>51.92</v>
      </c>
      <c r="AK1041" s="11">
        <v>51.643999999999998</v>
      </c>
      <c r="AL1041" s="11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  <c r="DG1041" s="3"/>
      <c r="DH1041" s="3"/>
      <c r="DI1041" s="3"/>
      <c r="DJ1041" s="3"/>
      <c r="DK1041" s="3"/>
      <c r="DL1041" s="3"/>
      <c r="DM1041" s="3"/>
      <c r="DN1041" s="3"/>
      <c r="DO1041" s="3"/>
      <c r="DP1041" s="3"/>
      <c r="DQ1041" s="3"/>
      <c r="DR1041" s="3"/>
      <c r="DS1041" s="3"/>
      <c r="DT1041" s="3"/>
      <c r="DU1041" s="3"/>
      <c r="DV1041" s="3"/>
      <c r="DW1041" s="3"/>
      <c r="DX1041" s="3"/>
      <c r="DY1041" s="3"/>
      <c r="DZ1041" s="3"/>
      <c r="EA1041" s="3"/>
      <c r="EB1041" s="3"/>
      <c r="EC1041" s="3"/>
      <c r="ED1041" s="3"/>
      <c r="EE1041" s="3"/>
      <c r="EF1041" s="3"/>
      <c r="EG1041" s="3"/>
      <c r="EH1041" s="3"/>
      <c r="EI1041" s="3"/>
      <c r="EJ1041" s="3"/>
      <c r="EK1041" s="3"/>
      <c r="EL1041" s="3"/>
      <c r="EM1041" s="3"/>
      <c r="EN1041" s="3"/>
      <c r="EO1041" s="3"/>
      <c r="EP1041" s="3"/>
      <c r="EQ1041" s="3"/>
    </row>
    <row r="1042" spans="1:147" x14ac:dyDescent="0.3">
      <c r="A1042" s="9">
        <f>DATE(2021, 1, 12)</f>
        <v>44208</v>
      </c>
      <c r="B1042" s="10">
        <v>56.58</v>
      </c>
      <c r="C1042" s="10">
        <v>56.49</v>
      </c>
      <c r="D1042" s="10">
        <v>56.29</v>
      </c>
      <c r="E1042" s="10">
        <v>56.01</v>
      </c>
      <c r="F1042" s="10">
        <v>55.68</v>
      </c>
      <c r="G1042" s="10">
        <v>55.37</v>
      </c>
      <c r="H1042" s="10">
        <v>55.05</v>
      </c>
      <c r="I1042" s="10">
        <v>54.74</v>
      </c>
      <c r="J1042" s="10">
        <v>54.42</v>
      </c>
      <c r="K1042" s="10">
        <v>54.12</v>
      </c>
      <c r="L1042" s="10">
        <v>53.86</v>
      </c>
      <c r="M1042" s="10">
        <v>53.61</v>
      </c>
      <c r="N1042" s="10">
        <v>53.21</v>
      </c>
      <c r="O1042" s="10">
        <v>53.24</v>
      </c>
      <c r="P1042" s="10">
        <v>53.16</v>
      </c>
      <c r="Q1042" s="10">
        <v>53</v>
      </c>
      <c r="R1042" s="10">
        <v>52.77</v>
      </c>
      <c r="S1042" s="10">
        <v>52.5</v>
      </c>
      <c r="T1042" s="10">
        <v>52.2</v>
      </c>
      <c r="U1042" s="10">
        <v>51.89</v>
      </c>
      <c r="V1042" s="10">
        <v>51.56</v>
      </c>
      <c r="W1042" s="10">
        <v>51.26</v>
      </c>
      <c r="X1042" s="10">
        <v>50.95</v>
      </c>
      <c r="Y1042" s="10">
        <v>50.62</v>
      </c>
      <c r="Z1042" s="11">
        <v>55.323</v>
      </c>
      <c r="AA1042" s="11">
        <v>55.82</v>
      </c>
      <c r="AB1042" s="11">
        <v>55.628</v>
      </c>
      <c r="AC1042" s="11">
        <v>55.363999999999997</v>
      </c>
      <c r="AD1042" s="11">
        <v>54.99</v>
      </c>
      <c r="AE1042" s="11">
        <v>54.634999999999998</v>
      </c>
      <c r="AF1042" s="11">
        <v>54.235999999999997</v>
      </c>
      <c r="AG1042" s="11">
        <v>53.854999999999997</v>
      </c>
      <c r="AH1042" s="11">
        <v>53.466000000000001</v>
      </c>
      <c r="AI1042" s="11">
        <v>53.008000000000003</v>
      </c>
      <c r="AJ1042" s="11">
        <v>52.689</v>
      </c>
      <c r="AK1042" s="11">
        <v>52.383000000000003</v>
      </c>
      <c r="AL1042" s="11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  <c r="DG1042" s="3"/>
      <c r="DH1042" s="3"/>
      <c r="DI1042" s="3"/>
      <c r="DJ1042" s="3"/>
      <c r="DK1042" s="3"/>
      <c r="DL1042" s="3"/>
      <c r="DM1042" s="3"/>
      <c r="DN1042" s="3"/>
      <c r="DO1042" s="3"/>
      <c r="DP1042" s="3"/>
      <c r="DQ1042" s="3"/>
      <c r="DR1042" s="3"/>
      <c r="DS1042" s="3"/>
      <c r="DT1042" s="3"/>
      <c r="DU1042" s="3"/>
      <c r="DV1042" s="3"/>
      <c r="DW1042" s="3"/>
      <c r="DX1042" s="3"/>
      <c r="DY1042" s="3"/>
      <c r="DZ1042" s="3"/>
      <c r="EA1042" s="3"/>
      <c r="EB1042" s="3"/>
      <c r="EC1042" s="3"/>
      <c r="ED1042" s="3"/>
      <c r="EE1042" s="3"/>
      <c r="EF1042" s="3"/>
      <c r="EG1042" s="3"/>
      <c r="EH1042" s="3"/>
      <c r="EI1042" s="3"/>
      <c r="EJ1042" s="3"/>
      <c r="EK1042" s="3"/>
      <c r="EL1042" s="3"/>
      <c r="EM1042" s="3"/>
      <c r="EN1042" s="3"/>
      <c r="EO1042" s="3"/>
      <c r="EP1042" s="3"/>
      <c r="EQ1042" s="3"/>
    </row>
    <row r="1043" spans="1:147" x14ac:dyDescent="0.3">
      <c r="A1043" s="9">
        <f>DATE(2021, 1, 13)</f>
        <v>44209</v>
      </c>
      <c r="B1043" s="10">
        <v>56.06</v>
      </c>
      <c r="C1043" s="10">
        <v>56.04</v>
      </c>
      <c r="D1043" s="10">
        <v>55.94</v>
      </c>
      <c r="E1043" s="10">
        <v>55.75</v>
      </c>
      <c r="F1043" s="10">
        <v>55.48</v>
      </c>
      <c r="G1043" s="10">
        <v>55.23</v>
      </c>
      <c r="H1043" s="10">
        <v>54.95</v>
      </c>
      <c r="I1043" s="10">
        <v>54.68</v>
      </c>
      <c r="J1043" s="10">
        <v>54.4</v>
      </c>
      <c r="K1043" s="10">
        <v>54.13</v>
      </c>
      <c r="L1043" s="10">
        <v>53.9</v>
      </c>
      <c r="M1043" s="10">
        <v>53.69</v>
      </c>
      <c r="N1043" s="10">
        <v>52.91</v>
      </c>
      <c r="O1043" s="10">
        <v>52.96</v>
      </c>
      <c r="P1043" s="10">
        <v>52.92</v>
      </c>
      <c r="Q1043" s="10">
        <v>52.81</v>
      </c>
      <c r="R1043" s="10">
        <v>52.63</v>
      </c>
      <c r="S1043" s="10">
        <v>52.4</v>
      </c>
      <c r="T1043" s="10">
        <v>52.15</v>
      </c>
      <c r="U1043" s="10">
        <v>51.88</v>
      </c>
      <c r="V1043" s="10">
        <v>51.61</v>
      </c>
      <c r="W1043" s="10">
        <v>51.33</v>
      </c>
      <c r="X1043" s="10">
        <v>51.06</v>
      </c>
      <c r="Y1043" s="10">
        <v>50.78</v>
      </c>
      <c r="Z1043" s="11">
        <v>54.976999999999997</v>
      </c>
      <c r="AA1043" s="11">
        <v>55.274999999999999</v>
      </c>
      <c r="AB1043" s="11">
        <v>55.192</v>
      </c>
      <c r="AC1043" s="11">
        <v>55.036999999999999</v>
      </c>
      <c r="AD1043" s="11">
        <v>54.765999999999998</v>
      </c>
      <c r="AE1043" s="11">
        <v>54.466999999999999</v>
      </c>
      <c r="AF1043" s="11">
        <v>54.128</v>
      </c>
      <c r="AG1043" s="11">
        <v>53.817</v>
      </c>
      <c r="AH1043" s="11">
        <v>53.468000000000004</v>
      </c>
      <c r="AI1043" s="11">
        <v>53.079000000000001</v>
      </c>
      <c r="AJ1043" s="11">
        <v>52.71</v>
      </c>
      <c r="AK1043" s="11">
        <v>52.494999999999997</v>
      </c>
      <c r="AL1043" s="11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  <c r="DG1043" s="3"/>
      <c r="DH1043" s="3"/>
      <c r="DI1043" s="3"/>
      <c r="DJ1043" s="3"/>
      <c r="DK1043" s="3"/>
      <c r="DL1043" s="3"/>
      <c r="DM1043" s="3"/>
      <c r="DN1043" s="3"/>
      <c r="DO1043" s="3"/>
      <c r="DP1043" s="3"/>
      <c r="DQ1043" s="3"/>
      <c r="DR1043" s="3"/>
      <c r="DS1043" s="3"/>
      <c r="DT1043" s="3"/>
      <c r="DU1043" s="3"/>
      <c r="DV1043" s="3"/>
      <c r="DW1043" s="3"/>
      <c r="DX1043" s="3"/>
      <c r="DY1043" s="3"/>
      <c r="DZ1043" s="3"/>
      <c r="EA1043" s="3"/>
      <c r="EB1043" s="3"/>
      <c r="EC1043" s="3"/>
      <c r="ED1043" s="3"/>
      <c r="EE1043" s="3"/>
      <c r="EF1043" s="3"/>
      <c r="EG1043" s="3"/>
      <c r="EH1043" s="3"/>
      <c r="EI1043" s="3"/>
      <c r="EJ1043" s="3"/>
      <c r="EK1043" s="3"/>
      <c r="EL1043" s="3"/>
      <c r="EM1043" s="3"/>
      <c r="EN1043" s="3"/>
      <c r="EO1043" s="3"/>
      <c r="EP1043" s="3"/>
      <c r="EQ1043" s="3"/>
    </row>
    <row r="1044" spans="1:147" x14ac:dyDescent="0.3">
      <c r="A1044" s="9">
        <f>DATE(2021, 1, 14)</f>
        <v>44210</v>
      </c>
      <c r="B1044" s="10">
        <v>56.42</v>
      </c>
      <c r="C1044" s="10">
        <v>56.39</v>
      </c>
      <c r="D1044" s="10">
        <v>56.3</v>
      </c>
      <c r="E1044" s="10">
        <v>56.11</v>
      </c>
      <c r="F1044" s="10">
        <v>55.83</v>
      </c>
      <c r="G1044" s="10">
        <v>55.57</v>
      </c>
      <c r="H1044" s="10">
        <v>55.28</v>
      </c>
      <c r="I1044" s="10">
        <v>55</v>
      </c>
      <c r="J1044" s="10">
        <v>54.71</v>
      </c>
      <c r="K1044" s="10">
        <v>54.43</v>
      </c>
      <c r="L1044" s="10">
        <v>54.2</v>
      </c>
      <c r="M1044" s="10">
        <v>53.98</v>
      </c>
      <c r="N1044" s="10">
        <v>53.57</v>
      </c>
      <c r="O1044" s="10">
        <v>53.62</v>
      </c>
      <c r="P1044" s="10">
        <v>53.53</v>
      </c>
      <c r="Q1044" s="10">
        <v>53.37</v>
      </c>
      <c r="R1044" s="10">
        <v>53.14</v>
      </c>
      <c r="S1044" s="10">
        <v>52.87</v>
      </c>
      <c r="T1044" s="10">
        <v>52.58</v>
      </c>
      <c r="U1044" s="10">
        <v>52.27</v>
      </c>
      <c r="V1044" s="10">
        <v>51.96</v>
      </c>
      <c r="W1044" s="10">
        <v>51.66</v>
      </c>
      <c r="X1044" s="10">
        <v>51.36</v>
      </c>
      <c r="Y1044" s="10">
        <v>51.05</v>
      </c>
      <c r="Z1044" s="11">
        <v>55.173000000000002</v>
      </c>
      <c r="AA1044" s="11">
        <v>55.676000000000002</v>
      </c>
      <c r="AB1044" s="11">
        <v>55.601999999999997</v>
      </c>
      <c r="AC1044" s="11">
        <v>55.447000000000003</v>
      </c>
      <c r="AD1044" s="11">
        <v>55.174999999999997</v>
      </c>
      <c r="AE1044" s="11">
        <v>54.877000000000002</v>
      </c>
      <c r="AF1044" s="11">
        <v>54.546999999999997</v>
      </c>
      <c r="AG1044" s="11">
        <v>54.156999999999996</v>
      </c>
      <c r="AH1044" s="11">
        <v>53.786999999999999</v>
      </c>
      <c r="AI1044" s="11">
        <v>53.418999999999997</v>
      </c>
      <c r="AJ1044" s="11">
        <v>53.07</v>
      </c>
      <c r="AK1044" s="11">
        <v>52.844999999999999</v>
      </c>
      <c r="AL1044" s="11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  <c r="DG1044" s="3"/>
      <c r="DH1044" s="3"/>
      <c r="DI1044" s="3"/>
      <c r="DJ1044" s="3"/>
      <c r="DK1044" s="3"/>
      <c r="DL1044" s="3"/>
      <c r="DM1044" s="3"/>
      <c r="DN1044" s="3"/>
      <c r="DO1044" s="3"/>
      <c r="DP1044" s="3"/>
      <c r="DQ1044" s="3"/>
      <c r="DR1044" s="3"/>
      <c r="DS1044" s="3"/>
      <c r="DT1044" s="3"/>
      <c r="DU1044" s="3"/>
      <c r="DV1044" s="3"/>
      <c r="DW1044" s="3"/>
      <c r="DX1044" s="3"/>
      <c r="DY1044" s="3"/>
      <c r="DZ1044" s="3"/>
      <c r="EA1044" s="3"/>
      <c r="EB1044" s="3"/>
      <c r="EC1044" s="3"/>
      <c r="ED1044" s="3"/>
      <c r="EE1044" s="3"/>
      <c r="EF1044" s="3"/>
      <c r="EG1044" s="3"/>
      <c r="EH1044" s="3"/>
      <c r="EI1044" s="3"/>
      <c r="EJ1044" s="3"/>
      <c r="EK1044" s="3"/>
      <c r="EL1044" s="3"/>
      <c r="EM1044" s="3"/>
      <c r="EN1044" s="3"/>
      <c r="EO1044" s="3"/>
      <c r="EP1044" s="3"/>
      <c r="EQ1044" s="3"/>
    </row>
    <row r="1045" spans="1:147" x14ac:dyDescent="0.3">
      <c r="A1045" s="9">
        <f>DATE(2021, 1, 15)</f>
        <v>44211</v>
      </c>
      <c r="B1045" s="10">
        <v>55.1</v>
      </c>
      <c r="C1045" s="10">
        <v>55.13</v>
      </c>
      <c r="D1045" s="10">
        <v>55.09</v>
      </c>
      <c r="E1045" s="10">
        <v>54.95</v>
      </c>
      <c r="F1045" s="10">
        <v>54.71</v>
      </c>
      <c r="G1045" s="10">
        <v>54.49</v>
      </c>
      <c r="H1045" s="10">
        <v>54.24</v>
      </c>
      <c r="I1045" s="10">
        <v>54</v>
      </c>
      <c r="J1045" s="10">
        <v>53.76</v>
      </c>
      <c r="K1045" s="10">
        <v>53.53</v>
      </c>
      <c r="L1045" s="10">
        <v>53.33</v>
      </c>
      <c r="M1045" s="10">
        <v>53.15</v>
      </c>
      <c r="N1045" s="10">
        <v>52.36</v>
      </c>
      <c r="O1045" s="10">
        <v>52.42</v>
      </c>
      <c r="P1045" s="10">
        <v>52.36</v>
      </c>
      <c r="Q1045" s="10">
        <v>52.23</v>
      </c>
      <c r="R1045" s="10">
        <v>52.04</v>
      </c>
      <c r="S1045" s="10">
        <v>51.82</v>
      </c>
      <c r="T1045" s="10">
        <v>51.57</v>
      </c>
      <c r="U1045" s="10">
        <v>51.3</v>
      </c>
      <c r="V1045" s="10">
        <v>51.04</v>
      </c>
      <c r="W1045" s="10">
        <v>50.78</v>
      </c>
      <c r="X1045" s="10">
        <v>50.53</v>
      </c>
      <c r="Y1045" s="10">
        <v>50.27</v>
      </c>
      <c r="Z1045" s="11">
        <v>54.54</v>
      </c>
      <c r="AA1045" s="11">
        <v>54.478000000000002</v>
      </c>
      <c r="AB1045" s="11">
        <v>54.404000000000003</v>
      </c>
      <c r="AC1045" s="11">
        <v>54.249000000000002</v>
      </c>
      <c r="AD1045" s="11">
        <v>54.009</v>
      </c>
      <c r="AE1045" s="11">
        <v>53.738999999999997</v>
      </c>
      <c r="AF1045" s="11">
        <v>53.448999999999998</v>
      </c>
      <c r="AG1045" s="11">
        <v>53.158999999999999</v>
      </c>
      <c r="AH1045" s="11">
        <v>52.84</v>
      </c>
      <c r="AI1045" s="11">
        <v>52.51</v>
      </c>
      <c r="AJ1045" s="11">
        <v>52.201999999999998</v>
      </c>
      <c r="AK1045" s="11">
        <v>52.009</v>
      </c>
      <c r="AL1045" s="11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  <c r="DG1045" s="3"/>
      <c r="DH1045" s="3"/>
      <c r="DI1045" s="3"/>
      <c r="DJ1045" s="3"/>
      <c r="DK1045" s="3"/>
      <c r="DL1045" s="3"/>
      <c r="DM1045" s="3"/>
      <c r="DN1045" s="3"/>
      <c r="DO1045" s="3"/>
      <c r="DP1045" s="3"/>
      <c r="DQ1045" s="3"/>
      <c r="DR1045" s="3"/>
      <c r="DS1045" s="3"/>
      <c r="DT1045" s="3"/>
      <c r="DU1045" s="3"/>
      <c r="DV1045" s="3"/>
      <c r="DW1045" s="3"/>
      <c r="DX1045" s="3"/>
      <c r="DY1045" s="3"/>
      <c r="DZ1045" s="3"/>
      <c r="EA1045" s="3"/>
      <c r="EB1045" s="3"/>
      <c r="EC1045" s="3"/>
      <c r="ED1045" s="3"/>
      <c r="EE1045" s="3"/>
      <c r="EF1045" s="3"/>
      <c r="EG1045" s="3"/>
      <c r="EH1045" s="3"/>
      <c r="EI1045" s="3"/>
      <c r="EJ1045" s="3"/>
      <c r="EK1045" s="3"/>
      <c r="EL1045" s="3"/>
      <c r="EM1045" s="3"/>
      <c r="EN1045" s="3"/>
      <c r="EO1045" s="3"/>
      <c r="EP1045" s="3"/>
      <c r="EQ1045" s="3"/>
    </row>
    <row r="1046" spans="1:147" x14ac:dyDescent="0.3">
      <c r="A1046" s="9">
        <f>DATE(2021, 1, 18)</f>
        <v>44214</v>
      </c>
      <c r="B1046" s="10">
        <v>54.75</v>
      </c>
      <c r="C1046" s="10">
        <v>54.75</v>
      </c>
      <c r="D1046" s="10">
        <v>54.7</v>
      </c>
      <c r="E1046" s="10">
        <v>54.56</v>
      </c>
      <c r="F1046" s="10">
        <v>54.32</v>
      </c>
      <c r="G1046" s="10">
        <v>54.09</v>
      </c>
      <c r="H1046" s="10">
        <v>53.83</v>
      </c>
      <c r="I1046" s="10">
        <v>53.58</v>
      </c>
      <c r="J1046" s="10">
        <v>53.33</v>
      </c>
      <c r="K1046" s="10">
        <v>53.1</v>
      </c>
      <c r="L1046" s="10">
        <v>52.91</v>
      </c>
      <c r="M1046" s="10">
        <v>52.74</v>
      </c>
      <c r="N1046" s="10">
        <v>52.36</v>
      </c>
      <c r="O1046" s="10">
        <v>52.42</v>
      </c>
      <c r="P1046" s="10">
        <v>52.36</v>
      </c>
      <c r="Q1046" s="10">
        <v>52.23</v>
      </c>
      <c r="R1046" s="10">
        <v>52.04</v>
      </c>
      <c r="S1046" s="10">
        <v>51.82</v>
      </c>
      <c r="T1046" s="10">
        <v>51.57</v>
      </c>
      <c r="U1046" s="10">
        <v>51.3</v>
      </c>
      <c r="V1046" s="10">
        <v>51.04</v>
      </c>
      <c r="W1046" s="10">
        <v>50.78</v>
      </c>
      <c r="X1046" s="10">
        <v>50.53</v>
      </c>
      <c r="Y1046" s="10">
        <v>50.27</v>
      </c>
      <c r="Z1046" s="11">
        <v>54.357999999999997</v>
      </c>
      <c r="AA1046" s="11">
        <v>54.118000000000002</v>
      </c>
      <c r="AB1046" s="11">
        <v>54.024000000000001</v>
      </c>
      <c r="AC1046" s="11">
        <v>53.859000000000002</v>
      </c>
      <c r="AD1046" s="11">
        <v>53.597999999999999</v>
      </c>
      <c r="AE1046" s="11">
        <v>53.317999999999998</v>
      </c>
      <c r="AF1046" s="11">
        <v>53.009</v>
      </c>
      <c r="AG1046" s="11">
        <v>52.719000000000001</v>
      </c>
      <c r="AH1046" s="11">
        <v>52.41</v>
      </c>
      <c r="AI1046" s="11">
        <v>52.091000000000001</v>
      </c>
      <c r="AJ1046" s="11">
        <v>51.781999999999996</v>
      </c>
      <c r="AK1046" s="11">
        <v>51.598999999999997</v>
      </c>
      <c r="AL1046" s="11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  <c r="DP1046" s="3"/>
      <c r="DQ1046" s="3"/>
      <c r="DR1046" s="3"/>
      <c r="DS1046" s="3"/>
      <c r="DT1046" s="3"/>
      <c r="DU1046" s="3"/>
      <c r="DV1046" s="3"/>
      <c r="DW1046" s="3"/>
      <c r="DX1046" s="3"/>
      <c r="DY1046" s="3"/>
      <c r="DZ1046" s="3"/>
      <c r="EA1046" s="3"/>
      <c r="EB1046" s="3"/>
      <c r="EC1046" s="3"/>
      <c r="ED1046" s="3"/>
      <c r="EE1046" s="3"/>
      <c r="EF1046" s="3"/>
      <c r="EG1046" s="3"/>
      <c r="EH1046" s="3"/>
      <c r="EI1046" s="3"/>
      <c r="EJ1046" s="3"/>
      <c r="EK1046" s="3"/>
      <c r="EL1046" s="3"/>
      <c r="EM1046" s="3"/>
      <c r="EN1046" s="3"/>
      <c r="EO1046" s="3"/>
      <c r="EP1046" s="3"/>
      <c r="EQ1046" s="3"/>
    </row>
    <row r="1047" spans="1:147" x14ac:dyDescent="0.3">
      <c r="A1047" s="9">
        <f>DATE(2021, 1, 19)</f>
        <v>44215</v>
      </c>
      <c r="B1047" s="10">
        <v>55.9</v>
      </c>
      <c r="C1047" s="10">
        <v>55.84</v>
      </c>
      <c r="D1047" s="10">
        <v>55.72</v>
      </c>
      <c r="E1047" s="10">
        <v>55.52</v>
      </c>
      <c r="F1047" s="10">
        <v>55.23</v>
      </c>
      <c r="G1047" s="10">
        <v>54.97</v>
      </c>
      <c r="H1047" s="10">
        <v>54.69</v>
      </c>
      <c r="I1047" s="10">
        <v>54.42</v>
      </c>
      <c r="J1047" s="10">
        <v>54.15</v>
      </c>
      <c r="K1047" s="10">
        <v>53.89</v>
      </c>
      <c r="L1047" s="10">
        <v>53.67</v>
      </c>
      <c r="M1047" s="10">
        <v>53.46</v>
      </c>
      <c r="N1047" s="10">
        <v>52.98</v>
      </c>
      <c r="O1047" s="10">
        <v>52.98</v>
      </c>
      <c r="P1047" s="10">
        <v>52.9</v>
      </c>
      <c r="Q1047" s="10">
        <v>52.75</v>
      </c>
      <c r="R1047" s="10">
        <v>52.52</v>
      </c>
      <c r="S1047" s="10">
        <v>52.23</v>
      </c>
      <c r="T1047" s="10">
        <v>51.92</v>
      </c>
      <c r="U1047" s="10">
        <v>51.61</v>
      </c>
      <c r="V1047" s="10">
        <v>51.31</v>
      </c>
      <c r="W1047" s="10">
        <v>51.02</v>
      </c>
      <c r="X1047" s="10">
        <v>50.73</v>
      </c>
      <c r="Y1047" s="10">
        <v>50.43</v>
      </c>
      <c r="Z1047" s="11">
        <v>54.887</v>
      </c>
      <c r="AA1047" s="11">
        <v>55.344000000000001</v>
      </c>
      <c r="AB1047" s="11">
        <v>55.180999999999997</v>
      </c>
      <c r="AC1047" s="11">
        <v>54.926000000000002</v>
      </c>
      <c r="AD1047" s="11">
        <v>54.585000000000001</v>
      </c>
      <c r="AE1047" s="11">
        <v>54.247</v>
      </c>
      <c r="AF1047" s="11">
        <v>53.908000000000001</v>
      </c>
      <c r="AG1047" s="11">
        <v>53.567999999999998</v>
      </c>
      <c r="AH1047" s="11">
        <v>53.218000000000004</v>
      </c>
      <c r="AI1047" s="11">
        <v>52.87</v>
      </c>
      <c r="AJ1047" s="11">
        <v>52.54</v>
      </c>
      <c r="AK1047" s="11">
        <v>52.326000000000001</v>
      </c>
      <c r="AL1047" s="11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  <c r="DP1047" s="3"/>
      <c r="DQ1047" s="3"/>
      <c r="DR1047" s="3"/>
      <c r="DS1047" s="3"/>
      <c r="DT1047" s="3"/>
      <c r="DU1047" s="3"/>
      <c r="DV1047" s="3"/>
      <c r="DW1047" s="3"/>
      <c r="DX1047" s="3"/>
      <c r="DY1047" s="3"/>
      <c r="DZ1047" s="3"/>
      <c r="EA1047" s="3"/>
      <c r="EB1047" s="3"/>
      <c r="EC1047" s="3"/>
      <c r="ED1047" s="3"/>
      <c r="EE1047" s="3"/>
      <c r="EF1047" s="3"/>
      <c r="EG1047" s="3"/>
      <c r="EH1047" s="3"/>
      <c r="EI1047" s="3"/>
      <c r="EJ1047" s="3"/>
      <c r="EK1047" s="3"/>
      <c r="EL1047" s="3"/>
      <c r="EM1047" s="3"/>
      <c r="EN1047" s="3"/>
      <c r="EO1047" s="3"/>
      <c r="EP1047" s="3"/>
      <c r="EQ1047" s="3"/>
    </row>
    <row r="1048" spans="1:147" x14ac:dyDescent="0.3">
      <c r="A1048" s="9">
        <f>DATE(2021, 1, 20)</f>
        <v>44216</v>
      </c>
      <c r="B1048" s="10">
        <v>56.08</v>
      </c>
      <c r="C1048" s="10">
        <v>55.97</v>
      </c>
      <c r="D1048" s="10">
        <v>55.8</v>
      </c>
      <c r="E1048" s="10">
        <v>55.56</v>
      </c>
      <c r="F1048" s="10">
        <v>55.26</v>
      </c>
      <c r="G1048" s="10">
        <v>54.97</v>
      </c>
      <c r="H1048" s="10">
        <v>54.67</v>
      </c>
      <c r="I1048" s="10">
        <v>54.38</v>
      </c>
      <c r="J1048" s="10">
        <v>54.09</v>
      </c>
      <c r="K1048" s="10">
        <v>53.82</v>
      </c>
      <c r="L1048" s="10">
        <v>53.58</v>
      </c>
      <c r="M1048" s="10">
        <v>53.36</v>
      </c>
      <c r="N1048" s="10">
        <v>53.24</v>
      </c>
      <c r="O1048" s="10">
        <v>53.31</v>
      </c>
      <c r="P1048" s="10">
        <v>53.2</v>
      </c>
      <c r="Q1048" s="10">
        <v>52.98</v>
      </c>
      <c r="R1048" s="10">
        <v>52.7</v>
      </c>
      <c r="S1048" s="10">
        <v>52.38</v>
      </c>
      <c r="T1048" s="10">
        <v>52.05</v>
      </c>
      <c r="U1048" s="10">
        <v>51.72</v>
      </c>
      <c r="V1048" s="10">
        <v>51.39</v>
      </c>
      <c r="W1048" s="10">
        <v>51.07</v>
      </c>
      <c r="X1048" s="10">
        <v>50.76</v>
      </c>
      <c r="Y1048" s="10">
        <v>50.44</v>
      </c>
      <c r="Z1048" s="11">
        <v>54.965000000000003</v>
      </c>
      <c r="AA1048" s="11">
        <v>55.451999999999998</v>
      </c>
      <c r="AB1048" s="11">
        <v>55.27</v>
      </c>
      <c r="AC1048" s="11">
        <v>54.975999999999999</v>
      </c>
      <c r="AD1048" s="11">
        <v>54.622</v>
      </c>
      <c r="AE1048" s="11">
        <v>54.256</v>
      </c>
      <c r="AF1048" s="11">
        <v>53.896999999999998</v>
      </c>
      <c r="AG1048" s="11">
        <v>53.527000000000001</v>
      </c>
      <c r="AH1048" s="11">
        <v>53.158000000000001</v>
      </c>
      <c r="AI1048" s="11">
        <v>52.779000000000003</v>
      </c>
      <c r="AJ1048" s="11">
        <v>52.46</v>
      </c>
      <c r="AK1048" s="11">
        <v>52.234999999999999</v>
      </c>
      <c r="AL1048" s="11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  <c r="DP1048" s="3"/>
      <c r="DQ1048" s="3"/>
      <c r="DR1048" s="3"/>
      <c r="DS1048" s="3"/>
      <c r="DT1048" s="3"/>
      <c r="DU1048" s="3"/>
      <c r="DV1048" s="3"/>
      <c r="DW1048" s="3"/>
      <c r="DX1048" s="3"/>
      <c r="DY1048" s="3"/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/>
      <c r="EL1048" s="3"/>
      <c r="EM1048" s="3"/>
      <c r="EN1048" s="3"/>
      <c r="EO1048" s="3"/>
      <c r="EP1048" s="3"/>
      <c r="EQ1048" s="3"/>
    </row>
    <row r="1049" spans="1:147" x14ac:dyDescent="0.3">
      <c r="A1049" s="9">
        <f>DATE(2021, 1, 21)</f>
        <v>44217</v>
      </c>
      <c r="B1049" s="10">
        <v>56.1</v>
      </c>
      <c r="C1049" s="10">
        <v>55.98</v>
      </c>
      <c r="D1049" s="10">
        <v>55.79</v>
      </c>
      <c r="E1049" s="10">
        <v>55.55</v>
      </c>
      <c r="F1049" s="10">
        <v>55.24</v>
      </c>
      <c r="G1049" s="10">
        <v>54.95</v>
      </c>
      <c r="H1049" s="10">
        <v>54.65</v>
      </c>
      <c r="I1049" s="10">
        <v>54.36</v>
      </c>
      <c r="J1049" s="10">
        <v>54.07</v>
      </c>
      <c r="K1049" s="10">
        <v>53.79</v>
      </c>
      <c r="L1049" s="10">
        <v>53.55</v>
      </c>
      <c r="M1049" s="10">
        <v>53.33</v>
      </c>
      <c r="N1049" s="10">
        <v>53.13</v>
      </c>
      <c r="O1049" s="10">
        <v>53.05</v>
      </c>
      <c r="P1049" s="10">
        <v>52.87</v>
      </c>
      <c r="Q1049" s="10">
        <v>52.61</v>
      </c>
      <c r="R1049" s="10">
        <v>52.3</v>
      </c>
      <c r="S1049" s="10">
        <v>51.98</v>
      </c>
      <c r="T1049" s="10">
        <v>51.66</v>
      </c>
      <c r="U1049" s="10">
        <v>51.34</v>
      </c>
      <c r="V1049" s="10">
        <v>51.03</v>
      </c>
      <c r="W1049" s="10">
        <v>50.71</v>
      </c>
      <c r="X1049" s="10">
        <v>50.4</v>
      </c>
      <c r="Y1049" s="10">
        <v>50.13</v>
      </c>
      <c r="Z1049" s="11">
        <v>54.953000000000003</v>
      </c>
      <c r="AA1049" s="11">
        <v>55.441000000000003</v>
      </c>
      <c r="AB1049" s="11">
        <v>55.22</v>
      </c>
      <c r="AC1049" s="11">
        <v>54.935000000000002</v>
      </c>
      <c r="AD1049" s="11">
        <v>54.582000000000001</v>
      </c>
      <c r="AE1049" s="11">
        <v>54.216000000000001</v>
      </c>
      <c r="AF1049" s="11">
        <v>53.856999999999999</v>
      </c>
      <c r="AG1049" s="11">
        <v>53.497</v>
      </c>
      <c r="AH1049" s="11">
        <v>53.137</v>
      </c>
      <c r="AI1049" s="11">
        <v>52.779000000000003</v>
      </c>
      <c r="AJ1049" s="11">
        <v>52.48</v>
      </c>
      <c r="AK1049" s="11">
        <v>52.204999999999998</v>
      </c>
      <c r="AL1049" s="11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  <c r="DP1049" s="3"/>
      <c r="DQ1049" s="3"/>
      <c r="DR1049" s="3"/>
      <c r="DS1049" s="3"/>
      <c r="DT1049" s="3"/>
      <c r="DU1049" s="3"/>
      <c r="DV1049" s="3"/>
      <c r="DW1049" s="3"/>
      <c r="DX1049" s="3"/>
      <c r="DY1049" s="3"/>
      <c r="DZ1049" s="3"/>
      <c r="EA1049" s="3"/>
      <c r="EB1049" s="3"/>
      <c r="EC1049" s="3"/>
      <c r="ED1049" s="3"/>
      <c r="EE1049" s="3"/>
      <c r="EF1049" s="3"/>
      <c r="EG1049" s="3"/>
      <c r="EH1049" s="3"/>
      <c r="EI1049" s="3"/>
      <c r="EJ1049" s="3"/>
      <c r="EK1049" s="3"/>
      <c r="EL1049" s="3"/>
      <c r="EM1049" s="3"/>
      <c r="EN1049" s="3"/>
      <c r="EO1049" s="3"/>
      <c r="EP1049" s="3"/>
      <c r="EQ1049" s="3"/>
    </row>
    <row r="1050" spans="1:147" x14ac:dyDescent="0.3">
      <c r="A1050" s="9">
        <f>DATE(2021, 1, 22)</f>
        <v>44218</v>
      </c>
      <c r="B1050" s="10">
        <v>55.41</v>
      </c>
      <c r="C1050" s="10">
        <v>55.25</v>
      </c>
      <c r="D1050" s="10">
        <v>55.07</v>
      </c>
      <c r="E1050" s="10">
        <v>54.85</v>
      </c>
      <c r="F1050" s="10">
        <v>54.56</v>
      </c>
      <c r="G1050" s="10">
        <v>54.29</v>
      </c>
      <c r="H1050" s="10">
        <v>54.02</v>
      </c>
      <c r="I1050" s="10">
        <v>53.74</v>
      </c>
      <c r="J1050" s="10">
        <v>53.48</v>
      </c>
      <c r="K1050" s="10">
        <v>53.22</v>
      </c>
      <c r="L1050" s="10">
        <v>52.99</v>
      </c>
      <c r="M1050" s="10">
        <v>52.79</v>
      </c>
      <c r="N1050" s="10">
        <v>52.27</v>
      </c>
      <c r="O1050" s="10">
        <v>52.19</v>
      </c>
      <c r="P1050" s="10">
        <v>52.04</v>
      </c>
      <c r="Q1050" s="10">
        <v>51.82</v>
      </c>
      <c r="R1050" s="10">
        <v>51.54</v>
      </c>
      <c r="S1050" s="10">
        <v>51.24</v>
      </c>
      <c r="T1050" s="10">
        <v>50.93</v>
      </c>
      <c r="U1050" s="10">
        <v>50.61</v>
      </c>
      <c r="V1050" s="10">
        <v>50.32</v>
      </c>
      <c r="W1050" s="10">
        <v>50.03</v>
      </c>
      <c r="X1050" s="10">
        <v>49.73</v>
      </c>
      <c r="Y1050" s="10">
        <v>49.47</v>
      </c>
      <c r="Z1050" s="11">
        <v>54.777999999999999</v>
      </c>
      <c r="AA1050" s="11">
        <v>54.761000000000003</v>
      </c>
      <c r="AB1050" s="11">
        <v>54.55</v>
      </c>
      <c r="AC1050" s="11">
        <v>54.256</v>
      </c>
      <c r="AD1050" s="11">
        <v>53.904000000000003</v>
      </c>
      <c r="AE1050" s="11">
        <v>53.558</v>
      </c>
      <c r="AF1050" s="11">
        <v>53.216999999999999</v>
      </c>
      <c r="AG1050" s="11">
        <v>52.878</v>
      </c>
      <c r="AH1050" s="11">
        <v>52.537999999999997</v>
      </c>
      <c r="AI1050" s="11">
        <v>52.198999999999998</v>
      </c>
      <c r="AJ1050" s="11">
        <v>51.911000000000001</v>
      </c>
      <c r="AK1050" s="11">
        <v>51.655999999999999</v>
      </c>
      <c r="AL1050" s="11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  <c r="DG1050" s="3"/>
      <c r="DH1050" s="3"/>
      <c r="DI1050" s="3"/>
      <c r="DJ1050" s="3"/>
      <c r="DK1050" s="3"/>
      <c r="DL1050" s="3"/>
      <c r="DM1050" s="3"/>
      <c r="DN1050" s="3"/>
      <c r="DO1050" s="3"/>
      <c r="DP1050" s="3"/>
      <c r="DQ1050" s="3"/>
      <c r="DR1050" s="3"/>
      <c r="DS1050" s="3"/>
      <c r="DT1050" s="3"/>
      <c r="DU1050" s="3"/>
      <c r="DV1050" s="3"/>
      <c r="DW1050" s="3"/>
      <c r="DX1050" s="3"/>
      <c r="DY1050" s="3"/>
      <c r="DZ1050" s="3"/>
      <c r="EA1050" s="3"/>
      <c r="EB1050" s="3"/>
      <c r="EC1050" s="3"/>
      <c r="ED1050" s="3"/>
      <c r="EE1050" s="3"/>
      <c r="EF1050" s="3"/>
      <c r="EG1050" s="3"/>
      <c r="EH1050" s="3"/>
      <c r="EI1050" s="3"/>
      <c r="EJ1050" s="3"/>
      <c r="EK1050" s="3"/>
      <c r="EL1050" s="3"/>
      <c r="EM1050" s="3"/>
      <c r="EN1050" s="3"/>
      <c r="EO1050" s="3"/>
      <c r="EP1050" s="3"/>
      <c r="EQ1050" s="3"/>
    </row>
    <row r="1051" spans="1:147" x14ac:dyDescent="0.3">
      <c r="A1051" s="9">
        <f>DATE(2021, 1, 25)</f>
        <v>44221</v>
      </c>
      <c r="B1051" s="10">
        <v>55.88</v>
      </c>
      <c r="C1051" s="10">
        <v>55.68</v>
      </c>
      <c r="D1051" s="10">
        <v>55.5</v>
      </c>
      <c r="E1051" s="10">
        <v>55.27</v>
      </c>
      <c r="F1051" s="10">
        <v>54.96</v>
      </c>
      <c r="G1051" s="10">
        <v>54.67</v>
      </c>
      <c r="H1051" s="10">
        <v>54.39</v>
      </c>
      <c r="I1051" s="10">
        <v>54.1</v>
      </c>
      <c r="J1051" s="10">
        <v>53.82</v>
      </c>
      <c r="K1051" s="10">
        <v>53.56</v>
      </c>
      <c r="L1051" s="10">
        <v>53.33</v>
      </c>
      <c r="M1051" s="10">
        <v>53.12</v>
      </c>
      <c r="N1051" s="10">
        <v>52.77</v>
      </c>
      <c r="O1051" s="10">
        <v>52.67</v>
      </c>
      <c r="P1051" s="10">
        <v>52.5</v>
      </c>
      <c r="Q1051" s="10">
        <v>52.26</v>
      </c>
      <c r="R1051" s="10">
        <v>51.97</v>
      </c>
      <c r="S1051" s="10">
        <v>51.66</v>
      </c>
      <c r="T1051" s="10">
        <v>51.33</v>
      </c>
      <c r="U1051" s="10">
        <v>51.01</v>
      </c>
      <c r="V1051" s="10">
        <v>50.7</v>
      </c>
      <c r="W1051" s="10">
        <v>50.39</v>
      </c>
      <c r="X1051" s="10">
        <v>50.09</v>
      </c>
      <c r="Y1051" s="10">
        <v>49.82</v>
      </c>
      <c r="Z1051" s="11">
        <v>54.856999999999999</v>
      </c>
      <c r="AA1051" s="11">
        <v>55.170999999999999</v>
      </c>
      <c r="AB1051" s="11">
        <v>54.94</v>
      </c>
      <c r="AC1051" s="11">
        <v>54.655000000000001</v>
      </c>
      <c r="AD1051" s="11">
        <v>54.281999999999996</v>
      </c>
      <c r="AE1051" s="11">
        <v>53.917000000000002</v>
      </c>
      <c r="AF1051" s="11">
        <v>53.567</v>
      </c>
      <c r="AG1051" s="11">
        <v>53.216999999999999</v>
      </c>
      <c r="AH1051" s="11">
        <v>52.868000000000002</v>
      </c>
      <c r="AI1051" s="11">
        <v>52.518999999999998</v>
      </c>
      <c r="AJ1051" s="11">
        <v>52.22</v>
      </c>
      <c r="AK1051" s="11">
        <v>51.976999999999997</v>
      </c>
      <c r="AL1051" s="11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  <c r="DG1051" s="3"/>
      <c r="DH1051" s="3"/>
      <c r="DI1051" s="3"/>
      <c r="DJ1051" s="3"/>
      <c r="DK1051" s="3"/>
      <c r="DL1051" s="3"/>
      <c r="DM1051" s="3"/>
      <c r="DN1051" s="3"/>
      <c r="DO1051" s="3"/>
      <c r="DP1051" s="3"/>
      <c r="DQ1051" s="3"/>
      <c r="DR1051" s="3"/>
      <c r="DS1051" s="3"/>
      <c r="DT1051" s="3"/>
      <c r="DU1051" s="3"/>
      <c r="DV1051" s="3"/>
      <c r="DW1051" s="3"/>
      <c r="DX1051" s="3"/>
      <c r="DY1051" s="3"/>
      <c r="DZ1051" s="3"/>
      <c r="EA1051" s="3"/>
      <c r="EB1051" s="3"/>
      <c r="EC1051" s="3"/>
      <c r="ED1051" s="3"/>
      <c r="EE1051" s="3"/>
      <c r="EF1051" s="3"/>
      <c r="EG1051" s="3"/>
      <c r="EH1051" s="3"/>
      <c r="EI1051" s="3"/>
      <c r="EJ1051" s="3"/>
      <c r="EK1051" s="3"/>
      <c r="EL1051" s="3"/>
      <c r="EM1051" s="3"/>
      <c r="EN1051" s="3"/>
      <c r="EO1051" s="3"/>
      <c r="EP1051" s="3"/>
      <c r="EQ1051" s="3"/>
    </row>
    <row r="1052" spans="1:147" x14ac:dyDescent="0.3">
      <c r="A1052" s="9">
        <f>DATE(2021, 1, 26)</f>
        <v>44222</v>
      </c>
      <c r="B1052" s="10">
        <v>55.91</v>
      </c>
      <c r="C1052" s="10">
        <v>55.64</v>
      </c>
      <c r="D1052" s="10">
        <v>55.42</v>
      </c>
      <c r="E1052" s="10">
        <v>55.15</v>
      </c>
      <c r="F1052" s="10">
        <v>54.82</v>
      </c>
      <c r="G1052" s="10">
        <v>54.52</v>
      </c>
      <c r="H1052" s="10">
        <v>54.22</v>
      </c>
      <c r="I1052" s="10">
        <v>53.92</v>
      </c>
      <c r="J1052" s="10">
        <v>53.63</v>
      </c>
      <c r="K1052" s="10">
        <v>53.36</v>
      </c>
      <c r="L1052" s="10">
        <v>53.12</v>
      </c>
      <c r="M1052" s="10">
        <v>52.9</v>
      </c>
      <c r="N1052" s="10">
        <v>52.61</v>
      </c>
      <c r="O1052" s="10">
        <v>52.52</v>
      </c>
      <c r="P1052" s="10">
        <v>52.36</v>
      </c>
      <c r="Q1052" s="10">
        <v>52.12</v>
      </c>
      <c r="R1052" s="10">
        <v>51.83</v>
      </c>
      <c r="S1052" s="10">
        <v>51.5</v>
      </c>
      <c r="T1052" s="10">
        <v>51.17</v>
      </c>
      <c r="U1052" s="10">
        <v>50.83</v>
      </c>
      <c r="V1052" s="10">
        <v>50.52</v>
      </c>
      <c r="W1052" s="10">
        <v>50.21</v>
      </c>
      <c r="X1052" s="10">
        <v>49.91</v>
      </c>
      <c r="Y1052" s="10">
        <v>49.63</v>
      </c>
      <c r="Z1052" s="11">
        <v>54.826999999999998</v>
      </c>
      <c r="AA1052" s="11">
        <v>55.079000000000001</v>
      </c>
      <c r="AB1052" s="11">
        <v>54.847999999999999</v>
      </c>
      <c r="AC1052" s="11">
        <v>54.543999999999997</v>
      </c>
      <c r="AD1052" s="11">
        <v>54.151000000000003</v>
      </c>
      <c r="AE1052" s="11">
        <v>53.746000000000002</v>
      </c>
      <c r="AF1052" s="11">
        <v>53.375999999999998</v>
      </c>
      <c r="AG1052" s="11">
        <v>53.017000000000003</v>
      </c>
      <c r="AH1052" s="11">
        <v>52.658000000000001</v>
      </c>
      <c r="AI1052" s="11">
        <v>52.298999999999999</v>
      </c>
      <c r="AJ1052" s="11">
        <v>52.01</v>
      </c>
      <c r="AK1052" s="11">
        <v>51.715000000000003</v>
      </c>
      <c r="AL1052" s="11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  <c r="DG1052" s="3"/>
      <c r="DH1052" s="3"/>
      <c r="DI1052" s="3"/>
      <c r="DJ1052" s="3"/>
      <c r="DK1052" s="3"/>
      <c r="DL1052" s="3"/>
      <c r="DM1052" s="3"/>
      <c r="DN1052" s="3"/>
      <c r="DO1052" s="3"/>
      <c r="DP1052" s="3"/>
      <c r="DQ1052" s="3"/>
      <c r="DR1052" s="3"/>
      <c r="DS1052" s="3"/>
      <c r="DT1052" s="3"/>
      <c r="DU1052" s="3"/>
      <c r="DV1052" s="3"/>
      <c r="DW1052" s="3"/>
      <c r="DX1052" s="3"/>
      <c r="DY1052" s="3"/>
      <c r="DZ1052" s="3"/>
      <c r="EA1052" s="3"/>
      <c r="EB1052" s="3"/>
      <c r="EC1052" s="3"/>
      <c r="ED1052" s="3"/>
      <c r="EE1052" s="3"/>
      <c r="EF1052" s="3"/>
      <c r="EG1052" s="3"/>
      <c r="EH1052" s="3"/>
      <c r="EI1052" s="3"/>
      <c r="EJ1052" s="3"/>
      <c r="EK1052" s="3"/>
      <c r="EL1052" s="3"/>
      <c r="EM1052" s="3"/>
      <c r="EN1052" s="3"/>
      <c r="EO1052" s="3"/>
      <c r="EP1052" s="3"/>
      <c r="EQ1052" s="3"/>
    </row>
    <row r="1053" spans="1:147" x14ac:dyDescent="0.3">
      <c r="A1053" s="9">
        <f>DATE(2021, 1, 27)</f>
        <v>44223</v>
      </c>
      <c r="B1053" s="10">
        <v>55.81</v>
      </c>
      <c r="C1053" s="10">
        <v>55.53</v>
      </c>
      <c r="D1053" s="10">
        <v>55.34</v>
      </c>
      <c r="E1053" s="10">
        <v>55.11</v>
      </c>
      <c r="F1053" s="10">
        <v>54.8</v>
      </c>
      <c r="G1053" s="10">
        <v>54.52</v>
      </c>
      <c r="H1053" s="10">
        <v>54.23</v>
      </c>
      <c r="I1053" s="10">
        <v>53.94</v>
      </c>
      <c r="J1053" s="10">
        <v>53.67</v>
      </c>
      <c r="K1053" s="10">
        <v>53.41</v>
      </c>
      <c r="L1053" s="10">
        <v>53.18</v>
      </c>
      <c r="M1053" s="10">
        <v>52.97</v>
      </c>
      <c r="N1053" s="10">
        <v>52.85</v>
      </c>
      <c r="O1053" s="10">
        <v>52.73</v>
      </c>
      <c r="P1053" s="10">
        <v>52.53</v>
      </c>
      <c r="Q1053" s="10">
        <v>52.26</v>
      </c>
      <c r="R1053" s="10">
        <v>51.96</v>
      </c>
      <c r="S1053" s="10">
        <v>51.64</v>
      </c>
      <c r="T1053" s="10">
        <v>51.3</v>
      </c>
      <c r="U1053" s="10">
        <v>50.97</v>
      </c>
      <c r="V1053" s="10">
        <v>50.66</v>
      </c>
      <c r="W1053" s="10">
        <v>50.37</v>
      </c>
      <c r="X1053" s="10">
        <v>50.07</v>
      </c>
      <c r="Y1053" s="10">
        <v>49.81</v>
      </c>
      <c r="Z1053" s="11">
        <v>54.814</v>
      </c>
      <c r="AA1053" s="11">
        <v>54.930999999999997</v>
      </c>
      <c r="AB1053" s="11">
        <v>54.77</v>
      </c>
      <c r="AC1053" s="11">
        <v>54.494999999999997</v>
      </c>
      <c r="AD1053" s="11">
        <v>54.113</v>
      </c>
      <c r="AE1053" s="11">
        <v>53.726999999999997</v>
      </c>
      <c r="AF1053" s="11">
        <v>53.377000000000002</v>
      </c>
      <c r="AG1053" s="11">
        <v>53.027999999999999</v>
      </c>
      <c r="AH1053" s="11">
        <v>52.688000000000002</v>
      </c>
      <c r="AI1053" s="11">
        <v>52.329000000000001</v>
      </c>
      <c r="AJ1053" s="11">
        <v>52.06</v>
      </c>
      <c r="AK1053" s="11">
        <v>51.776000000000003</v>
      </c>
      <c r="AL1053" s="11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  <c r="DG1053" s="3"/>
      <c r="DH1053" s="3"/>
      <c r="DI1053" s="3"/>
      <c r="DJ1053" s="3"/>
      <c r="DK1053" s="3"/>
      <c r="DL1053" s="3"/>
      <c r="DM1053" s="3"/>
      <c r="DN1053" s="3"/>
      <c r="DO1053" s="3"/>
      <c r="DP1053" s="3"/>
      <c r="DQ1053" s="3"/>
      <c r="DR1053" s="3"/>
      <c r="DS1053" s="3"/>
      <c r="DT1053" s="3"/>
      <c r="DU1053" s="3"/>
      <c r="DV1053" s="3"/>
      <c r="DW1053" s="3"/>
      <c r="DX1053" s="3"/>
      <c r="DY1053" s="3"/>
      <c r="DZ1053" s="3"/>
      <c r="EA1053" s="3"/>
      <c r="EB1053" s="3"/>
      <c r="EC1053" s="3"/>
      <c r="ED1053" s="3"/>
      <c r="EE1053" s="3"/>
      <c r="EF1053" s="3"/>
      <c r="EG1053" s="3"/>
      <c r="EH1053" s="3"/>
      <c r="EI1053" s="3"/>
      <c r="EJ1053" s="3"/>
      <c r="EK1053" s="3"/>
      <c r="EL1053" s="3"/>
      <c r="EM1053" s="3"/>
      <c r="EN1053" s="3"/>
      <c r="EO1053" s="3"/>
      <c r="EP1053" s="3"/>
      <c r="EQ1053" s="3"/>
    </row>
    <row r="1054" spans="1:147" x14ac:dyDescent="0.3">
      <c r="A1054" s="9">
        <f>DATE(2021, 1, 28)</f>
        <v>44224</v>
      </c>
      <c r="B1054" s="10">
        <v>55.53</v>
      </c>
      <c r="C1054" s="10">
        <v>55.1</v>
      </c>
      <c r="D1054" s="10">
        <v>54.9</v>
      </c>
      <c r="E1054" s="10">
        <v>54.65</v>
      </c>
      <c r="F1054" s="10">
        <v>54.33</v>
      </c>
      <c r="G1054" s="10">
        <v>54.03</v>
      </c>
      <c r="H1054" s="10">
        <v>53.73</v>
      </c>
      <c r="I1054" s="10">
        <v>53.43</v>
      </c>
      <c r="J1054" s="10">
        <v>53.16</v>
      </c>
      <c r="K1054" s="10">
        <v>52.91</v>
      </c>
      <c r="L1054" s="10">
        <v>52.68</v>
      </c>
      <c r="M1054" s="10">
        <v>52.47</v>
      </c>
      <c r="N1054" s="10">
        <v>52.34</v>
      </c>
      <c r="O1054" s="10">
        <v>52.24</v>
      </c>
      <c r="P1054" s="10">
        <v>52.06</v>
      </c>
      <c r="Q1054" s="10">
        <v>51.81</v>
      </c>
      <c r="R1054" s="10">
        <v>51.51</v>
      </c>
      <c r="S1054" s="10">
        <v>51.18</v>
      </c>
      <c r="T1054" s="10">
        <v>50.84</v>
      </c>
      <c r="U1054" s="10">
        <v>50.5</v>
      </c>
      <c r="V1054" s="10">
        <v>50.18</v>
      </c>
      <c r="W1054" s="10">
        <v>49.89</v>
      </c>
      <c r="X1054" s="10">
        <v>49.6</v>
      </c>
      <c r="Y1054" s="10">
        <v>49.34</v>
      </c>
      <c r="Z1054" s="11">
        <v>54.776000000000003</v>
      </c>
      <c r="AA1054" s="11">
        <v>54.46</v>
      </c>
      <c r="AB1054" s="11">
        <v>54.308999999999997</v>
      </c>
      <c r="AC1054" s="11">
        <v>54.034999999999997</v>
      </c>
      <c r="AD1054" s="11">
        <v>53.651000000000003</v>
      </c>
      <c r="AE1054" s="11">
        <v>53.265999999999998</v>
      </c>
      <c r="AF1054" s="11">
        <v>52.886000000000003</v>
      </c>
      <c r="AG1054" s="11">
        <v>52.527999999999999</v>
      </c>
      <c r="AH1054" s="11">
        <v>52.198999999999998</v>
      </c>
      <c r="AI1054" s="11">
        <v>51.878999999999998</v>
      </c>
      <c r="AJ1054" s="11">
        <v>51.57</v>
      </c>
      <c r="AK1054" s="11">
        <v>51.265999999999998</v>
      </c>
      <c r="AL1054" s="11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  <c r="DG1054" s="3"/>
      <c r="DH1054" s="3"/>
      <c r="DI1054" s="3"/>
      <c r="DJ1054" s="3"/>
      <c r="DK1054" s="3"/>
      <c r="DL1054" s="3"/>
      <c r="DM1054" s="3"/>
      <c r="DN1054" s="3"/>
      <c r="DO1054" s="3"/>
      <c r="DP1054" s="3"/>
      <c r="DQ1054" s="3"/>
      <c r="DR1054" s="3"/>
      <c r="DS1054" s="3"/>
      <c r="DT1054" s="3"/>
      <c r="DU1054" s="3"/>
      <c r="DV1054" s="3"/>
      <c r="DW1054" s="3"/>
      <c r="DX1054" s="3"/>
      <c r="DY1054" s="3"/>
      <c r="DZ1054" s="3"/>
      <c r="EA1054" s="3"/>
      <c r="EB1054" s="3"/>
      <c r="EC1054" s="3"/>
      <c r="ED1054" s="3"/>
      <c r="EE1054" s="3"/>
      <c r="EF1054" s="3"/>
      <c r="EG1054" s="3"/>
      <c r="EH1054" s="3"/>
      <c r="EI1054" s="3"/>
      <c r="EJ1054" s="3"/>
      <c r="EK1054" s="3"/>
      <c r="EL1054" s="3"/>
      <c r="EM1054" s="3"/>
      <c r="EN1054" s="3"/>
      <c r="EO1054" s="3"/>
      <c r="EP1054" s="3"/>
      <c r="EQ1054" s="3"/>
    </row>
    <row r="1055" spans="1:147" x14ac:dyDescent="0.3">
      <c r="A1055" s="9">
        <f>DATE(2021, 1, 29)</f>
        <v>44225</v>
      </c>
      <c r="B1055" s="10">
        <v>55.88</v>
      </c>
      <c r="C1055" s="10">
        <v>55.04</v>
      </c>
      <c r="D1055" s="10">
        <v>54.81</v>
      </c>
      <c r="E1055" s="10">
        <v>54.55</v>
      </c>
      <c r="F1055" s="10">
        <v>54.21</v>
      </c>
      <c r="G1055" s="10">
        <v>53.91</v>
      </c>
      <c r="H1055" s="10">
        <v>53.61</v>
      </c>
      <c r="I1055" s="10">
        <v>53.31</v>
      </c>
      <c r="J1055" s="10">
        <v>53.04</v>
      </c>
      <c r="K1055" s="10">
        <v>52.79</v>
      </c>
      <c r="L1055" s="10">
        <v>52.56</v>
      </c>
      <c r="M1055" s="10">
        <v>52.35</v>
      </c>
      <c r="N1055" s="10">
        <v>52.2</v>
      </c>
      <c r="O1055" s="10">
        <v>52.08</v>
      </c>
      <c r="P1055" s="10">
        <v>51.88</v>
      </c>
      <c r="Q1055" s="10">
        <v>51.63</v>
      </c>
      <c r="R1055" s="10">
        <v>51.34</v>
      </c>
      <c r="S1055" s="10">
        <v>51</v>
      </c>
      <c r="T1055" s="10">
        <v>50.67</v>
      </c>
      <c r="U1055" s="10">
        <v>50.34</v>
      </c>
      <c r="V1055" s="10">
        <v>50.02</v>
      </c>
      <c r="W1055" s="10">
        <v>49.73</v>
      </c>
      <c r="X1055" s="10">
        <v>49.45</v>
      </c>
      <c r="Y1055" s="10">
        <v>49.19</v>
      </c>
      <c r="Z1055" s="11">
        <v>54.771999999999998</v>
      </c>
      <c r="AA1055" s="11">
        <v>54.338999999999999</v>
      </c>
      <c r="AB1055" s="11">
        <v>54.168999999999997</v>
      </c>
      <c r="AC1055" s="11">
        <v>53.884</v>
      </c>
      <c r="AD1055" s="11">
        <v>53.521000000000001</v>
      </c>
      <c r="AE1055" s="11">
        <v>53.136000000000003</v>
      </c>
      <c r="AF1055" s="11">
        <v>52.756</v>
      </c>
      <c r="AG1055" s="11">
        <v>52.408000000000001</v>
      </c>
      <c r="AH1055" s="11">
        <v>52.079000000000001</v>
      </c>
      <c r="AI1055" s="11">
        <v>51.749000000000002</v>
      </c>
      <c r="AJ1055" s="11">
        <v>51.43</v>
      </c>
      <c r="AK1055" s="11">
        <v>51.136000000000003</v>
      </c>
      <c r="AL1055" s="11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  <c r="DG1055" s="3"/>
      <c r="DH1055" s="3"/>
      <c r="DI1055" s="3"/>
      <c r="DJ1055" s="3"/>
      <c r="DK1055" s="3"/>
      <c r="DL1055" s="3"/>
      <c r="DM1055" s="3"/>
      <c r="DN1055" s="3"/>
      <c r="DO1055" s="3"/>
      <c r="DP1055" s="3"/>
      <c r="DQ1055" s="3"/>
      <c r="DR1055" s="3"/>
      <c r="DS1055" s="3"/>
      <c r="DT1055" s="3"/>
      <c r="DU1055" s="3"/>
      <c r="DV1055" s="3"/>
      <c r="DW1055" s="3"/>
      <c r="DX1055" s="3"/>
      <c r="DY1055" s="3"/>
      <c r="DZ1055" s="3"/>
      <c r="EA1055" s="3"/>
      <c r="EB1055" s="3"/>
      <c r="EC1055" s="3"/>
      <c r="ED1055" s="3"/>
      <c r="EE1055" s="3"/>
      <c r="EF1055" s="3"/>
      <c r="EG1055" s="3"/>
      <c r="EH1055" s="3"/>
      <c r="EI1055" s="3"/>
      <c r="EJ1055" s="3"/>
      <c r="EK1055" s="3"/>
      <c r="EL1055" s="3"/>
      <c r="EM1055" s="3"/>
      <c r="EN1055" s="3"/>
      <c r="EO1055" s="3"/>
      <c r="EP1055" s="3"/>
      <c r="EQ1055" s="3"/>
    </row>
    <row r="1056" spans="1:147" x14ac:dyDescent="0.3">
      <c r="A1056" s="9">
        <f>DATE(2021, 2, 1)</f>
        <v>44228</v>
      </c>
      <c r="B1056" s="10">
        <v>56.35</v>
      </c>
      <c r="C1056" s="10">
        <v>56.1</v>
      </c>
      <c r="D1056" s="10">
        <v>55.81</v>
      </c>
      <c r="E1056" s="10">
        <v>55.46</v>
      </c>
      <c r="F1056" s="10">
        <v>55.13</v>
      </c>
      <c r="G1056" s="10">
        <v>54.81</v>
      </c>
      <c r="H1056" s="10">
        <v>54.49</v>
      </c>
      <c r="I1056" s="10">
        <v>54.19</v>
      </c>
      <c r="J1056" s="10">
        <v>53.92</v>
      </c>
      <c r="K1056" s="10">
        <v>53.66</v>
      </c>
      <c r="L1056" s="10">
        <v>53.44</v>
      </c>
      <c r="M1056" s="10">
        <v>53.26</v>
      </c>
      <c r="N1056" s="10">
        <v>53.55</v>
      </c>
      <c r="O1056" s="10">
        <v>53.42</v>
      </c>
      <c r="P1056" s="10">
        <v>53.19</v>
      </c>
      <c r="Q1056" s="10">
        <v>52.9</v>
      </c>
      <c r="R1056" s="10">
        <v>52.57</v>
      </c>
      <c r="S1056" s="10">
        <v>52.22</v>
      </c>
      <c r="T1056" s="10">
        <v>51.87</v>
      </c>
      <c r="U1056" s="10">
        <v>51.51</v>
      </c>
      <c r="V1056" s="10">
        <v>51.18</v>
      </c>
      <c r="W1056" s="10">
        <v>50.86</v>
      </c>
      <c r="X1056" s="10">
        <v>50.54</v>
      </c>
      <c r="Y1056" s="10">
        <v>50.26</v>
      </c>
      <c r="Z1056" s="11">
        <v>54.771999999999998</v>
      </c>
      <c r="AA1056" s="11">
        <v>55.658000000000001</v>
      </c>
      <c r="AB1056" s="11">
        <v>55.517000000000003</v>
      </c>
      <c r="AC1056" s="11">
        <v>55.203000000000003</v>
      </c>
      <c r="AD1056" s="11">
        <v>54.819000000000003</v>
      </c>
      <c r="AE1056" s="11">
        <v>54.405000000000001</v>
      </c>
      <c r="AF1056" s="11">
        <v>53.994999999999997</v>
      </c>
      <c r="AG1056" s="11">
        <v>53.595999999999997</v>
      </c>
      <c r="AH1056" s="11">
        <v>53.207999999999998</v>
      </c>
      <c r="AI1056" s="11">
        <v>52.847999999999999</v>
      </c>
      <c r="AJ1056" s="11">
        <v>52.53</v>
      </c>
      <c r="AK1056" s="11">
        <v>52.234000000000002</v>
      </c>
      <c r="AL1056" s="11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  <c r="DG1056" s="3"/>
      <c r="DH1056" s="3"/>
      <c r="DI1056" s="3"/>
      <c r="DJ1056" s="3"/>
      <c r="DK1056" s="3"/>
      <c r="DL1056" s="3"/>
      <c r="DM1056" s="3"/>
      <c r="DN1056" s="3"/>
      <c r="DO1056" s="3"/>
      <c r="DP1056" s="3"/>
      <c r="DQ1056" s="3"/>
      <c r="DR1056" s="3"/>
      <c r="DS1056" s="3"/>
      <c r="DT1056" s="3"/>
      <c r="DU1056" s="3"/>
      <c r="DV1056" s="3"/>
      <c r="DW1056" s="3"/>
      <c r="DX1056" s="3"/>
      <c r="DY1056" s="3"/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  <c r="EK1056" s="3"/>
      <c r="EL1056" s="3"/>
      <c r="EM1056" s="3"/>
      <c r="EN1056" s="3"/>
      <c r="EO1056" s="3"/>
      <c r="EP1056" s="3"/>
      <c r="EQ1056" s="3"/>
    </row>
    <row r="1057" spans="1:147" x14ac:dyDescent="0.3">
      <c r="A1057" s="9">
        <f>DATE(2021, 2, 2)</f>
        <v>44229</v>
      </c>
      <c r="B1057" s="10">
        <v>57.46</v>
      </c>
      <c r="C1057" s="10">
        <v>57.2</v>
      </c>
      <c r="D1057" s="10">
        <v>56.88</v>
      </c>
      <c r="E1057" s="10">
        <v>56.5</v>
      </c>
      <c r="F1057" s="10">
        <v>56.14</v>
      </c>
      <c r="G1057" s="10">
        <v>55.79</v>
      </c>
      <c r="H1057" s="10">
        <v>55.44</v>
      </c>
      <c r="I1057" s="10">
        <v>55.11</v>
      </c>
      <c r="J1057" s="10">
        <v>54.8</v>
      </c>
      <c r="K1057" s="10">
        <v>54.52</v>
      </c>
      <c r="L1057" s="10">
        <v>54.26</v>
      </c>
      <c r="M1057" s="10">
        <v>54.05</v>
      </c>
      <c r="N1057" s="10">
        <v>54.76</v>
      </c>
      <c r="O1057" s="10">
        <v>54.62</v>
      </c>
      <c r="P1057" s="10">
        <v>54.36</v>
      </c>
      <c r="Q1057" s="10">
        <v>54.01</v>
      </c>
      <c r="R1057" s="10">
        <v>53.62</v>
      </c>
      <c r="S1057" s="10">
        <v>53.22</v>
      </c>
      <c r="T1057" s="10">
        <v>52.84</v>
      </c>
      <c r="U1057" s="10">
        <v>52.46</v>
      </c>
      <c r="V1057" s="10">
        <v>52.1</v>
      </c>
      <c r="W1057" s="10">
        <v>51.77</v>
      </c>
      <c r="X1057" s="10">
        <v>51.44</v>
      </c>
      <c r="Y1057" s="10">
        <v>51.14</v>
      </c>
      <c r="Z1057" s="11">
        <v>56.73</v>
      </c>
      <c r="AA1057" s="11">
        <v>56.676000000000002</v>
      </c>
      <c r="AB1057" s="11">
        <v>56.311999999999998</v>
      </c>
      <c r="AC1057" s="11">
        <v>55.866</v>
      </c>
      <c r="AD1057" s="11">
        <v>55.433999999999997</v>
      </c>
      <c r="AE1057" s="11">
        <v>54.994</v>
      </c>
      <c r="AF1057" s="11">
        <v>54.604999999999997</v>
      </c>
      <c r="AG1057" s="11">
        <v>54.186</v>
      </c>
      <c r="AH1057" s="11">
        <v>53.767000000000003</v>
      </c>
      <c r="AI1057" s="11">
        <v>53.427999999999997</v>
      </c>
      <c r="AJ1057" s="11">
        <v>53.091999999999999</v>
      </c>
      <c r="AK1057" s="11">
        <v>52.87</v>
      </c>
      <c r="AL1057" s="11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  <c r="DG1057" s="3"/>
      <c r="DH1057" s="3"/>
      <c r="DI1057" s="3"/>
      <c r="DJ1057" s="3"/>
      <c r="DK1057" s="3"/>
      <c r="DL1057" s="3"/>
      <c r="DM1057" s="3"/>
      <c r="DN1057" s="3"/>
      <c r="DO1057" s="3"/>
      <c r="DP1057" s="3"/>
      <c r="DQ1057" s="3"/>
      <c r="DR1057" s="3"/>
      <c r="DS1057" s="3"/>
      <c r="DT1057" s="3"/>
      <c r="DU1057" s="3"/>
      <c r="DV1057" s="3"/>
      <c r="DW1057" s="3"/>
      <c r="DX1057" s="3"/>
      <c r="DY1057" s="3"/>
      <c r="DZ1057" s="3"/>
      <c r="EA1057" s="3"/>
      <c r="EB1057" s="3"/>
      <c r="EC1057" s="3"/>
      <c r="ED1057" s="3"/>
      <c r="EE1057" s="3"/>
      <c r="EF1057" s="3"/>
      <c r="EG1057" s="3"/>
      <c r="EH1057" s="3"/>
      <c r="EI1057" s="3"/>
      <c r="EJ1057" s="3"/>
      <c r="EK1057" s="3"/>
      <c r="EL1057" s="3"/>
      <c r="EM1057" s="3"/>
      <c r="EN1057" s="3"/>
      <c r="EO1057" s="3"/>
      <c r="EP1057" s="3"/>
      <c r="EQ1057" s="3"/>
    </row>
    <row r="1058" spans="1:147" x14ac:dyDescent="0.3">
      <c r="A1058" s="9">
        <f>DATE(2021, 2, 3)</f>
        <v>44230</v>
      </c>
      <c r="B1058" s="10">
        <v>58.46</v>
      </c>
      <c r="C1058" s="10">
        <v>58.17</v>
      </c>
      <c r="D1058" s="10">
        <v>57.82</v>
      </c>
      <c r="E1058" s="10">
        <v>57.41</v>
      </c>
      <c r="F1058" s="10">
        <v>57.02</v>
      </c>
      <c r="G1058" s="10">
        <v>56.62</v>
      </c>
      <c r="H1058" s="10">
        <v>56.22</v>
      </c>
      <c r="I1058" s="10">
        <v>55.85</v>
      </c>
      <c r="J1058" s="10">
        <v>55.51</v>
      </c>
      <c r="K1058" s="10">
        <v>55.19</v>
      </c>
      <c r="L1058" s="10">
        <v>54.9</v>
      </c>
      <c r="M1058" s="10">
        <v>54.66</v>
      </c>
      <c r="N1058" s="10">
        <v>55.69</v>
      </c>
      <c r="O1058" s="10">
        <v>55.54</v>
      </c>
      <c r="P1058" s="10">
        <v>55.28</v>
      </c>
      <c r="Q1058" s="10">
        <v>54.92</v>
      </c>
      <c r="R1058" s="10">
        <v>54.5</v>
      </c>
      <c r="S1058" s="10">
        <v>54.06</v>
      </c>
      <c r="T1058" s="10">
        <v>53.63</v>
      </c>
      <c r="U1058" s="10">
        <v>53.22</v>
      </c>
      <c r="V1058" s="10">
        <v>52.83</v>
      </c>
      <c r="W1058" s="10">
        <v>52.46</v>
      </c>
      <c r="X1058" s="10">
        <v>52.11</v>
      </c>
      <c r="Y1058" s="10">
        <v>51.77</v>
      </c>
      <c r="Z1058" s="11">
        <v>57.646000000000001</v>
      </c>
      <c r="AA1058" s="11">
        <v>57.575000000000003</v>
      </c>
      <c r="AB1058" s="11">
        <v>57.21</v>
      </c>
      <c r="AC1058" s="11">
        <v>56.762999999999998</v>
      </c>
      <c r="AD1058" s="11">
        <v>56.302</v>
      </c>
      <c r="AE1058" s="11">
        <v>55.832000000000001</v>
      </c>
      <c r="AF1058" s="11">
        <v>55.383000000000003</v>
      </c>
      <c r="AG1058" s="11">
        <v>54.935000000000002</v>
      </c>
      <c r="AH1058" s="11">
        <v>54.484999999999999</v>
      </c>
      <c r="AI1058" s="11">
        <v>54.057000000000002</v>
      </c>
      <c r="AJ1058" s="11">
        <v>53.679000000000002</v>
      </c>
      <c r="AK1058" s="11">
        <v>53.47</v>
      </c>
      <c r="AL1058" s="11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  <c r="DG1058" s="3"/>
      <c r="DH1058" s="3"/>
      <c r="DI1058" s="3"/>
      <c r="DJ1058" s="3"/>
      <c r="DK1058" s="3"/>
      <c r="DL1058" s="3"/>
      <c r="DM1058" s="3"/>
      <c r="DN1058" s="3"/>
      <c r="DO1058" s="3"/>
      <c r="DP1058" s="3"/>
      <c r="DQ1058" s="3"/>
      <c r="DR1058" s="3"/>
      <c r="DS1058" s="3"/>
      <c r="DT1058" s="3"/>
      <c r="DU1058" s="3"/>
      <c r="DV1058" s="3"/>
      <c r="DW1058" s="3"/>
      <c r="DX1058" s="3"/>
      <c r="DY1058" s="3"/>
      <c r="DZ1058" s="3"/>
      <c r="EA1058" s="3"/>
      <c r="EB1058" s="3"/>
      <c r="EC1058" s="3"/>
      <c r="ED1058" s="3"/>
      <c r="EE1058" s="3"/>
      <c r="EF1058" s="3"/>
      <c r="EG1058" s="3"/>
      <c r="EH1058" s="3"/>
      <c r="EI1058" s="3"/>
      <c r="EJ1058" s="3"/>
      <c r="EK1058" s="3"/>
      <c r="EL1058" s="3"/>
      <c r="EM1058" s="3"/>
      <c r="EN1058" s="3"/>
      <c r="EO1058" s="3"/>
      <c r="EP1058" s="3"/>
      <c r="EQ1058" s="3"/>
    </row>
    <row r="1059" spans="1:147" x14ac:dyDescent="0.3">
      <c r="A1059" s="9">
        <f>DATE(2021, 2, 4)</f>
        <v>44231</v>
      </c>
      <c r="B1059" s="10">
        <v>58.84</v>
      </c>
      <c r="C1059" s="10">
        <v>58.57</v>
      </c>
      <c r="D1059" s="10">
        <v>58.21</v>
      </c>
      <c r="E1059" s="10">
        <v>57.78</v>
      </c>
      <c r="F1059" s="10">
        <v>57.38</v>
      </c>
      <c r="G1059" s="10">
        <v>56.97</v>
      </c>
      <c r="H1059" s="10">
        <v>56.56</v>
      </c>
      <c r="I1059" s="10">
        <v>56.18</v>
      </c>
      <c r="J1059" s="10">
        <v>55.83</v>
      </c>
      <c r="K1059" s="10">
        <v>55.49</v>
      </c>
      <c r="L1059" s="10">
        <v>55.2</v>
      </c>
      <c r="M1059" s="10">
        <v>54.96</v>
      </c>
      <c r="N1059" s="10">
        <v>56.23</v>
      </c>
      <c r="O1059" s="10">
        <v>56.07</v>
      </c>
      <c r="P1059" s="10">
        <v>55.8</v>
      </c>
      <c r="Q1059" s="10">
        <v>55.42</v>
      </c>
      <c r="R1059" s="10">
        <v>54.98</v>
      </c>
      <c r="S1059" s="10">
        <v>54.51</v>
      </c>
      <c r="T1059" s="10">
        <v>54.04</v>
      </c>
      <c r="U1059" s="10">
        <v>53.6</v>
      </c>
      <c r="V1059" s="10">
        <v>53.19</v>
      </c>
      <c r="W1059" s="10">
        <v>52.81</v>
      </c>
      <c r="X1059" s="10">
        <v>52.46</v>
      </c>
      <c r="Y1059" s="10">
        <v>52.12</v>
      </c>
      <c r="Z1059" s="11">
        <v>57.968000000000004</v>
      </c>
      <c r="AA1059" s="11">
        <v>57.973999999999997</v>
      </c>
      <c r="AB1059" s="11">
        <v>57.59</v>
      </c>
      <c r="AC1059" s="11">
        <v>57.131999999999998</v>
      </c>
      <c r="AD1059" s="11">
        <v>56.651000000000003</v>
      </c>
      <c r="AE1059" s="11">
        <v>56.180999999999997</v>
      </c>
      <c r="AF1059" s="11">
        <v>55.713000000000001</v>
      </c>
      <c r="AG1059" s="11">
        <v>55.264000000000003</v>
      </c>
      <c r="AH1059" s="11">
        <v>54.783999999999999</v>
      </c>
      <c r="AI1059" s="11">
        <v>54.356999999999999</v>
      </c>
      <c r="AJ1059" s="11">
        <v>53.978999999999999</v>
      </c>
      <c r="AK1059" s="11">
        <v>53.779000000000003</v>
      </c>
      <c r="AL1059" s="11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  <c r="DG1059" s="3"/>
      <c r="DH1059" s="3"/>
      <c r="DI1059" s="3"/>
      <c r="DJ1059" s="3"/>
      <c r="DK1059" s="3"/>
      <c r="DL1059" s="3"/>
      <c r="DM1059" s="3"/>
      <c r="DN1059" s="3"/>
      <c r="DO1059" s="3"/>
      <c r="DP1059" s="3"/>
      <c r="DQ1059" s="3"/>
      <c r="DR1059" s="3"/>
      <c r="DS1059" s="3"/>
      <c r="DT1059" s="3"/>
      <c r="DU1059" s="3"/>
      <c r="DV1059" s="3"/>
      <c r="DW1059" s="3"/>
      <c r="DX1059" s="3"/>
      <c r="DY1059" s="3"/>
      <c r="DZ1059" s="3"/>
      <c r="EA1059" s="3"/>
      <c r="EB1059" s="3"/>
      <c r="EC1059" s="3"/>
      <c r="ED1059" s="3"/>
      <c r="EE1059" s="3"/>
      <c r="EF1059" s="3"/>
      <c r="EG1059" s="3"/>
      <c r="EH1059" s="3"/>
      <c r="EI1059" s="3"/>
      <c r="EJ1059" s="3"/>
      <c r="EK1059" s="3"/>
      <c r="EL1059" s="3"/>
      <c r="EM1059" s="3"/>
      <c r="EN1059" s="3"/>
      <c r="EO1059" s="3"/>
      <c r="EP1059" s="3"/>
      <c r="EQ1059" s="3"/>
    </row>
    <row r="1060" spans="1:147" x14ac:dyDescent="0.3">
      <c r="A1060" s="9">
        <f>DATE(2021, 2, 5)</f>
        <v>44232</v>
      </c>
      <c r="B1060" s="10">
        <v>59.34</v>
      </c>
      <c r="C1060" s="10">
        <v>59.08</v>
      </c>
      <c r="D1060" s="10">
        <v>58.72</v>
      </c>
      <c r="E1060" s="10">
        <v>58.28</v>
      </c>
      <c r="F1060" s="10">
        <v>57.87</v>
      </c>
      <c r="G1060" s="10">
        <v>57.44</v>
      </c>
      <c r="H1060" s="10">
        <v>57.01</v>
      </c>
      <c r="I1060" s="10">
        <v>56.62</v>
      </c>
      <c r="J1060" s="10">
        <v>56.27</v>
      </c>
      <c r="K1060" s="10">
        <v>55.93</v>
      </c>
      <c r="L1060" s="10">
        <v>55.61</v>
      </c>
      <c r="M1060" s="10">
        <v>55.36</v>
      </c>
      <c r="N1060" s="10">
        <v>56.85</v>
      </c>
      <c r="O1060" s="10">
        <v>56.7</v>
      </c>
      <c r="P1060" s="10">
        <v>56.4</v>
      </c>
      <c r="Q1060" s="10">
        <v>56.01</v>
      </c>
      <c r="R1060" s="10">
        <v>55.56</v>
      </c>
      <c r="S1060" s="10">
        <v>55.07</v>
      </c>
      <c r="T1060" s="10">
        <v>54.58</v>
      </c>
      <c r="U1060" s="10">
        <v>54.1</v>
      </c>
      <c r="V1060" s="10">
        <v>53.67</v>
      </c>
      <c r="W1060" s="10">
        <v>53.27</v>
      </c>
      <c r="X1060" s="10">
        <v>52.89</v>
      </c>
      <c r="Y1060" s="10">
        <v>52.52</v>
      </c>
      <c r="Z1060" s="11">
        <v>58.459000000000003</v>
      </c>
      <c r="AA1060" s="11">
        <v>58.573999999999998</v>
      </c>
      <c r="AB1060" s="11">
        <v>58.168999999999997</v>
      </c>
      <c r="AC1060" s="11">
        <v>57.680999999999997</v>
      </c>
      <c r="AD1060" s="11">
        <v>57.19</v>
      </c>
      <c r="AE1060" s="11">
        <v>56.69</v>
      </c>
      <c r="AF1060" s="11">
        <v>56.201999999999998</v>
      </c>
      <c r="AG1060" s="11">
        <v>55.723999999999997</v>
      </c>
      <c r="AH1060" s="11">
        <v>55.253999999999998</v>
      </c>
      <c r="AI1060" s="11">
        <v>54.795000000000002</v>
      </c>
      <c r="AJ1060" s="11">
        <v>54.368000000000002</v>
      </c>
      <c r="AK1060" s="11">
        <v>54.189</v>
      </c>
      <c r="AL1060" s="11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  <c r="DG1060" s="3"/>
      <c r="DH1060" s="3"/>
      <c r="DI1060" s="3"/>
      <c r="DJ1060" s="3"/>
      <c r="DK1060" s="3"/>
      <c r="DL1060" s="3"/>
      <c r="DM1060" s="3"/>
      <c r="DN1060" s="3"/>
      <c r="DO1060" s="3"/>
      <c r="DP1060" s="3"/>
      <c r="DQ1060" s="3"/>
      <c r="DR1060" s="3"/>
      <c r="DS1060" s="3"/>
      <c r="DT1060" s="3"/>
      <c r="DU1060" s="3"/>
      <c r="DV1060" s="3"/>
      <c r="DW1060" s="3"/>
      <c r="DX1060" s="3"/>
      <c r="DY1060" s="3"/>
      <c r="DZ1060" s="3"/>
      <c r="EA1060" s="3"/>
      <c r="EB1060" s="3"/>
      <c r="EC1060" s="3"/>
      <c r="ED1060" s="3"/>
      <c r="EE1060" s="3"/>
      <c r="EF1060" s="3"/>
      <c r="EG1060" s="3"/>
      <c r="EH1060" s="3"/>
      <c r="EI1060" s="3"/>
      <c r="EJ1060" s="3"/>
      <c r="EK1060" s="3"/>
      <c r="EL1060" s="3"/>
      <c r="EM1060" s="3"/>
      <c r="EN1060" s="3"/>
      <c r="EO1060" s="3"/>
      <c r="EP1060" s="3"/>
      <c r="EQ1060" s="3"/>
    </row>
    <row r="1061" spans="1:147" x14ac:dyDescent="0.3">
      <c r="A1061" s="9">
        <f>DATE(2021, 2, 8)</f>
        <v>44235</v>
      </c>
      <c r="B1061" s="10">
        <v>60.56</v>
      </c>
      <c r="C1061" s="10">
        <v>60.27</v>
      </c>
      <c r="D1061" s="10">
        <v>59.87</v>
      </c>
      <c r="E1061" s="10">
        <v>59.42</v>
      </c>
      <c r="F1061" s="10">
        <v>59</v>
      </c>
      <c r="G1061" s="10">
        <v>58.55</v>
      </c>
      <c r="H1061" s="10">
        <v>58.11</v>
      </c>
      <c r="I1061" s="10">
        <v>57.72</v>
      </c>
      <c r="J1061" s="10">
        <v>57.36</v>
      </c>
      <c r="K1061" s="10">
        <v>57.01</v>
      </c>
      <c r="L1061" s="10">
        <v>56.69</v>
      </c>
      <c r="M1061" s="10">
        <v>56.41</v>
      </c>
      <c r="N1061" s="10">
        <v>57.97</v>
      </c>
      <c r="O1061" s="10">
        <v>57.83</v>
      </c>
      <c r="P1061" s="10">
        <v>57.55</v>
      </c>
      <c r="Q1061" s="10">
        <v>57.15</v>
      </c>
      <c r="R1061" s="10">
        <v>56.68</v>
      </c>
      <c r="S1061" s="10">
        <v>56.15</v>
      </c>
      <c r="T1061" s="10">
        <v>55.61</v>
      </c>
      <c r="U1061" s="10">
        <v>55.1</v>
      </c>
      <c r="V1061" s="10">
        <v>54.64</v>
      </c>
      <c r="W1061" s="10">
        <v>54.23</v>
      </c>
      <c r="X1061" s="10">
        <v>53.82</v>
      </c>
      <c r="Y1061" s="10">
        <v>53.43</v>
      </c>
      <c r="Z1061" s="11">
        <v>59.332000000000001</v>
      </c>
      <c r="AA1061" s="11">
        <v>59.773000000000003</v>
      </c>
      <c r="AB1061" s="11">
        <v>59.338999999999999</v>
      </c>
      <c r="AC1061" s="11">
        <v>58.82</v>
      </c>
      <c r="AD1061" s="11">
        <v>58.31</v>
      </c>
      <c r="AE1061" s="11">
        <v>57.8</v>
      </c>
      <c r="AF1061" s="11">
        <v>57.311999999999998</v>
      </c>
      <c r="AG1061" s="11">
        <v>56.823999999999998</v>
      </c>
      <c r="AH1061" s="11">
        <v>56.353000000000002</v>
      </c>
      <c r="AI1061" s="11">
        <v>55.895000000000003</v>
      </c>
      <c r="AJ1061" s="11">
        <v>55.485999999999997</v>
      </c>
      <c r="AK1061" s="11">
        <v>55.238</v>
      </c>
      <c r="AL1061" s="11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  <c r="DG1061" s="3"/>
      <c r="DH1061" s="3"/>
      <c r="DI1061" s="3"/>
      <c r="DJ1061" s="3"/>
      <c r="DK1061" s="3"/>
      <c r="DL1061" s="3"/>
      <c r="DM1061" s="3"/>
      <c r="DN1061" s="3"/>
      <c r="DO1061" s="3"/>
      <c r="DP1061" s="3"/>
      <c r="DQ1061" s="3"/>
      <c r="DR1061" s="3"/>
      <c r="DS1061" s="3"/>
      <c r="DT1061" s="3"/>
      <c r="DU1061" s="3"/>
      <c r="DV1061" s="3"/>
      <c r="DW1061" s="3"/>
      <c r="DX1061" s="3"/>
      <c r="DY1061" s="3"/>
      <c r="DZ1061" s="3"/>
      <c r="EA1061" s="3"/>
      <c r="EB1061" s="3"/>
      <c r="EC1061" s="3"/>
      <c r="ED1061" s="3"/>
      <c r="EE1061" s="3"/>
      <c r="EF1061" s="3"/>
      <c r="EG1061" s="3"/>
      <c r="EH1061" s="3"/>
      <c r="EI1061" s="3"/>
      <c r="EJ1061" s="3"/>
      <c r="EK1061" s="3"/>
      <c r="EL1061" s="3"/>
      <c r="EM1061" s="3"/>
      <c r="EN1061" s="3"/>
      <c r="EO1061" s="3"/>
      <c r="EP1061" s="3"/>
      <c r="EQ1061" s="3"/>
    </row>
    <row r="1062" spans="1:147" x14ac:dyDescent="0.3">
      <c r="A1062" s="9">
        <f>DATE(2021, 2, 9)</f>
        <v>44236</v>
      </c>
      <c r="B1062" s="10">
        <v>61.09</v>
      </c>
      <c r="C1062" s="10">
        <v>60.71</v>
      </c>
      <c r="D1062" s="10">
        <v>60.26</v>
      </c>
      <c r="E1062" s="10">
        <v>59.78</v>
      </c>
      <c r="F1062" s="10">
        <v>59.34</v>
      </c>
      <c r="G1062" s="10">
        <v>58.9</v>
      </c>
      <c r="H1062" s="10">
        <v>58.46</v>
      </c>
      <c r="I1062" s="10">
        <v>58.06</v>
      </c>
      <c r="J1062" s="10">
        <v>57.7</v>
      </c>
      <c r="K1062" s="10">
        <v>57.36</v>
      </c>
      <c r="L1062" s="10">
        <v>57.03</v>
      </c>
      <c r="M1062" s="10">
        <v>56.76</v>
      </c>
      <c r="N1062" s="10">
        <v>58.36</v>
      </c>
      <c r="O1062" s="10">
        <v>58.25</v>
      </c>
      <c r="P1062" s="10">
        <v>57.97</v>
      </c>
      <c r="Q1062" s="10">
        <v>57.56</v>
      </c>
      <c r="R1062" s="10">
        <v>57.06</v>
      </c>
      <c r="S1062" s="10">
        <v>56.53</v>
      </c>
      <c r="T1062" s="10">
        <v>55.97</v>
      </c>
      <c r="U1062" s="10">
        <v>55.44</v>
      </c>
      <c r="V1062" s="10">
        <v>54.96</v>
      </c>
      <c r="W1062" s="10">
        <v>54.52</v>
      </c>
      <c r="X1062" s="10">
        <v>54.1</v>
      </c>
      <c r="Y1062" s="10">
        <v>53.7</v>
      </c>
      <c r="Z1062" s="11">
        <v>59.533000000000001</v>
      </c>
      <c r="AA1062" s="11">
        <v>60.09</v>
      </c>
      <c r="AB1062" s="11">
        <v>59.656999999999996</v>
      </c>
      <c r="AC1062" s="11">
        <v>59.148000000000003</v>
      </c>
      <c r="AD1062" s="11">
        <v>58.64</v>
      </c>
      <c r="AE1062" s="11">
        <v>58.14</v>
      </c>
      <c r="AF1062" s="11">
        <v>57.652000000000001</v>
      </c>
      <c r="AG1062" s="11">
        <v>57.173999999999999</v>
      </c>
      <c r="AH1062" s="11">
        <v>56.723999999999997</v>
      </c>
      <c r="AI1062" s="11">
        <v>56.274999999999999</v>
      </c>
      <c r="AJ1062" s="11">
        <v>55.847000000000001</v>
      </c>
      <c r="AK1062" s="11">
        <v>55.597999999999999</v>
      </c>
      <c r="AL1062" s="11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  <c r="DG1062" s="3"/>
      <c r="DH1062" s="3"/>
      <c r="DI1062" s="3"/>
      <c r="DJ1062" s="3"/>
      <c r="DK1062" s="3"/>
      <c r="DL1062" s="3"/>
      <c r="DM1062" s="3"/>
      <c r="DN1062" s="3"/>
      <c r="DO1062" s="3"/>
      <c r="DP1062" s="3"/>
      <c r="DQ1062" s="3"/>
      <c r="DR1062" s="3"/>
      <c r="DS1062" s="3"/>
      <c r="DT1062" s="3"/>
      <c r="DU1062" s="3"/>
      <c r="DV1062" s="3"/>
      <c r="DW1062" s="3"/>
      <c r="DX1062" s="3"/>
      <c r="DY1062" s="3"/>
      <c r="DZ1062" s="3"/>
      <c r="EA1062" s="3"/>
      <c r="EB1062" s="3"/>
      <c r="EC1062" s="3"/>
      <c r="ED1062" s="3"/>
      <c r="EE1062" s="3"/>
      <c r="EF1062" s="3"/>
      <c r="EG1062" s="3"/>
      <c r="EH1062" s="3"/>
      <c r="EI1062" s="3"/>
      <c r="EJ1062" s="3"/>
      <c r="EK1062" s="3"/>
      <c r="EL1062" s="3"/>
      <c r="EM1062" s="3"/>
      <c r="EN1062" s="3"/>
      <c r="EO1062" s="3"/>
      <c r="EP1062" s="3"/>
      <c r="EQ1062" s="3"/>
    </row>
    <row r="1063" spans="1:147" x14ac:dyDescent="0.3">
      <c r="A1063" s="9">
        <f>DATE(2021, 2, 10)</f>
        <v>44237</v>
      </c>
      <c r="B1063" s="10">
        <v>61.47</v>
      </c>
      <c r="C1063" s="10">
        <v>61.07</v>
      </c>
      <c r="D1063" s="10">
        <v>60.6</v>
      </c>
      <c r="E1063" s="10">
        <v>60.1</v>
      </c>
      <c r="F1063" s="10">
        <v>59.64</v>
      </c>
      <c r="G1063" s="10">
        <v>59.18</v>
      </c>
      <c r="H1063" s="10">
        <v>58.73</v>
      </c>
      <c r="I1063" s="10">
        <v>58.32</v>
      </c>
      <c r="J1063" s="10">
        <v>57.95</v>
      </c>
      <c r="K1063" s="10">
        <v>57.6</v>
      </c>
      <c r="L1063" s="10">
        <v>57.28</v>
      </c>
      <c r="M1063" s="10">
        <v>57</v>
      </c>
      <c r="N1063" s="10">
        <v>58.68</v>
      </c>
      <c r="O1063" s="10">
        <v>58.57</v>
      </c>
      <c r="P1063" s="10">
        <v>58.31</v>
      </c>
      <c r="Q1063" s="10">
        <v>57.91</v>
      </c>
      <c r="R1063" s="10">
        <v>57.42</v>
      </c>
      <c r="S1063" s="10">
        <v>56.86</v>
      </c>
      <c r="T1063" s="10">
        <v>56.28</v>
      </c>
      <c r="U1063" s="10">
        <v>55.73</v>
      </c>
      <c r="V1063" s="10">
        <v>55.24</v>
      </c>
      <c r="W1063" s="10">
        <v>54.79</v>
      </c>
      <c r="X1063" s="10">
        <v>54.35</v>
      </c>
      <c r="Y1063" s="10">
        <v>53.95</v>
      </c>
      <c r="Z1063" s="11">
        <v>59.706000000000003</v>
      </c>
      <c r="AA1063" s="11">
        <v>60.37</v>
      </c>
      <c r="AB1063" s="11">
        <v>59.975999999999999</v>
      </c>
      <c r="AC1063" s="11">
        <v>59.466000000000001</v>
      </c>
      <c r="AD1063" s="11">
        <v>58.948999999999998</v>
      </c>
      <c r="AE1063" s="11">
        <v>58.43</v>
      </c>
      <c r="AF1063" s="11">
        <v>57.920999999999999</v>
      </c>
      <c r="AG1063" s="11">
        <v>57.433</v>
      </c>
      <c r="AH1063" s="11">
        <v>56.963000000000001</v>
      </c>
      <c r="AI1063" s="11">
        <v>56.505000000000003</v>
      </c>
      <c r="AJ1063" s="11">
        <v>56.066000000000003</v>
      </c>
      <c r="AK1063" s="11">
        <v>55.817999999999998</v>
      </c>
      <c r="AL1063" s="11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  <c r="DG1063" s="3"/>
      <c r="DH1063" s="3"/>
      <c r="DI1063" s="3"/>
      <c r="DJ1063" s="3"/>
      <c r="DK1063" s="3"/>
      <c r="DL1063" s="3"/>
      <c r="DM1063" s="3"/>
      <c r="DN1063" s="3"/>
      <c r="DO1063" s="3"/>
      <c r="DP1063" s="3"/>
      <c r="DQ1063" s="3"/>
      <c r="DR1063" s="3"/>
      <c r="DS1063" s="3"/>
      <c r="DT1063" s="3"/>
      <c r="DU1063" s="3"/>
      <c r="DV1063" s="3"/>
      <c r="DW1063" s="3"/>
      <c r="DX1063" s="3"/>
      <c r="DY1063" s="3"/>
      <c r="DZ1063" s="3"/>
      <c r="EA1063" s="3"/>
      <c r="EB1063" s="3"/>
      <c r="EC1063" s="3"/>
      <c r="ED1063" s="3"/>
      <c r="EE1063" s="3"/>
      <c r="EF1063" s="3"/>
      <c r="EG1063" s="3"/>
      <c r="EH1063" s="3"/>
      <c r="EI1063" s="3"/>
      <c r="EJ1063" s="3"/>
      <c r="EK1063" s="3"/>
      <c r="EL1063" s="3"/>
      <c r="EM1063" s="3"/>
      <c r="EN1063" s="3"/>
      <c r="EO1063" s="3"/>
      <c r="EP1063" s="3"/>
      <c r="EQ1063" s="3"/>
    </row>
    <row r="1064" spans="1:147" x14ac:dyDescent="0.3">
      <c r="A1064" s="9">
        <f>DATE(2021, 2, 11)</f>
        <v>44238</v>
      </c>
      <c r="B1064" s="10">
        <v>61.14</v>
      </c>
      <c r="C1064" s="10">
        <v>60.71</v>
      </c>
      <c r="D1064" s="10">
        <v>60.23</v>
      </c>
      <c r="E1064" s="10">
        <v>59.73</v>
      </c>
      <c r="F1064" s="10">
        <v>59.29</v>
      </c>
      <c r="G1064" s="10">
        <v>58.84</v>
      </c>
      <c r="H1064" s="10">
        <v>58.4</v>
      </c>
      <c r="I1064" s="10">
        <v>58</v>
      </c>
      <c r="J1064" s="10">
        <v>57.64</v>
      </c>
      <c r="K1064" s="10">
        <v>57.3</v>
      </c>
      <c r="L1064" s="10">
        <v>56.98</v>
      </c>
      <c r="M1064" s="10">
        <v>56.71</v>
      </c>
      <c r="N1064" s="10">
        <v>58.24</v>
      </c>
      <c r="O1064" s="10">
        <v>58.14</v>
      </c>
      <c r="P1064" s="10">
        <v>57.88</v>
      </c>
      <c r="Q1064" s="10">
        <v>57.49</v>
      </c>
      <c r="R1064" s="10">
        <v>57.01</v>
      </c>
      <c r="S1064" s="10">
        <v>56.48</v>
      </c>
      <c r="T1064" s="10">
        <v>55.93</v>
      </c>
      <c r="U1064" s="10">
        <v>55.4</v>
      </c>
      <c r="V1064" s="10">
        <v>54.93</v>
      </c>
      <c r="W1064" s="10">
        <v>54.49</v>
      </c>
      <c r="X1064" s="10">
        <v>54.07</v>
      </c>
      <c r="Y1064" s="10">
        <v>53.68</v>
      </c>
      <c r="Z1064" s="11">
        <v>59.548999999999999</v>
      </c>
      <c r="AA1064" s="11">
        <v>60.088999999999999</v>
      </c>
      <c r="AB1064" s="11">
        <v>59.655999999999999</v>
      </c>
      <c r="AC1064" s="11">
        <v>59.107999999999997</v>
      </c>
      <c r="AD1064" s="11">
        <v>58.6</v>
      </c>
      <c r="AE1064" s="11">
        <v>58.08</v>
      </c>
      <c r="AF1064" s="11">
        <v>57.582000000000001</v>
      </c>
      <c r="AG1064" s="11">
        <v>57.103999999999999</v>
      </c>
      <c r="AH1064" s="11">
        <v>56.654000000000003</v>
      </c>
      <c r="AI1064" s="11">
        <v>56.204999999999998</v>
      </c>
      <c r="AJ1064" s="11">
        <v>55.796999999999997</v>
      </c>
      <c r="AK1064" s="11">
        <v>55.548000000000002</v>
      </c>
      <c r="AL1064" s="11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  <c r="DG1064" s="3"/>
      <c r="DH1064" s="3"/>
      <c r="DI1064" s="3"/>
      <c r="DJ1064" s="3"/>
      <c r="DK1064" s="3"/>
      <c r="DL1064" s="3"/>
      <c r="DM1064" s="3"/>
      <c r="DN1064" s="3"/>
      <c r="DO1064" s="3"/>
      <c r="DP1064" s="3"/>
      <c r="DQ1064" s="3"/>
      <c r="DR1064" s="3"/>
      <c r="DS1064" s="3"/>
      <c r="DT1064" s="3"/>
      <c r="DU1064" s="3"/>
      <c r="DV1064" s="3"/>
      <c r="DW1064" s="3"/>
      <c r="DX1064" s="3"/>
      <c r="DY1064" s="3"/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/>
      <c r="EL1064" s="3"/>
      <c r="EM1064" s="3"/>
      <c r="EN1064" s="3"/>
      <c r="EO1064" s="3"/>
      <c r="EP1064" s="3"/>
      <c r="EQ1064" s="3"/>
    </row>
    <row r="1065" spans="1:147" x14ac:dyDescent="0.3">
      <c r="A1065" s="9">
        <f>DATE(2021, 2, 12)</f>
        <v>44239</v>
      </c>
      <c r="B1065" s="10">
        <v>62.43</v>
      </c>
      <c r="C1065" s="10">
        <v>61.88</v>
      </c>
      <c r="D1065" s="10">
        <v>61.32</v>
      </c>
      <c r="E1065" s="10">
        <v>60.75</v>
      </c>
      <c r="F1065" s="10">
        <v>60.25</v>
      </c>
      <c r="G1065" s="10">
        <v>59.77</v>
      </c>
      <c r="H1065" s="10">
        <v>59.3</v>
      </c>
      <c r="I1065" s="10">
        <v>58.86</v>
      </c>
      <c r="J1065" s="10">
        <v>58.45</v>
      </c>
      <c r="K1065" s="10">
        <v>58.08</v>
      </c>
      <c r="L1065" s="10">
        <v>57.73</v>
      </c>
      <c r="M1065" s="10">
        <v>57.43</v>
      </c>
      <c r="N1065" s="10">
        <v>59.47</v>
      </c>
      <c r="O1065" s="10">
        <v>59.38</v>
      </c>
      <c r="P1065" s="10">
        <v>59.06</v>
      </c>
      <c r="Q1065" s="10">
        <v>58.6</v>
      </c>
      <c r="R1065" s="10">
        <v>58.05</v>
      </c>
      <c r="S1065" s="10">
        <v>57.46</v>
      </c>
      <c r="T1065" s="10">
        <v>56.86</v>
      </c>
      <c r="U1065" s="10">
        <v>56.28</v>
      </c>
      <c r="V1065" s="10">
        <v>55.76</v>
      </c>
      <c r="W1065" s="10">
        <v>55.29</v>
      </c>
      <c r="X1065" s="10">
        <v>54.83</v>
      </c>
      <c r="Y1065" s="10">
        <v>54.41</v>
      </c>
      <c r="Z1065" s="11">
        <v>60.131999999999998</v>
      </c>
      <c r="AA1065" s="11">
        <v>61.195999999999998</v>
      </c>
      <c r="AB1065" s="11">
        <v>60.732999999999997</v>
      </c>
      <c r="AC1065" s="11">
        <v>60.142000000000003</v>
      </c>
      <c r="AD1065" s="11">
        <v>59.578000000000003</v>
      </c>
      <c r="AE1065" s="11">
        <v>59.018999999999998</v>
      </c>
      <c r="AF1065" s="11">
        <v>58.47</v>
      </c>
      <c r="AG1065" s="11">
        <v>57.951000000000001</v>
      </c>
      <c r="AH1065" s="11">
        <v>57.462000000000003</v>
      </c>
      <c r="AI1065" s="11">
        <v>56.994</v>
      </c>
      <c r="AJ1065" s="11">
        <v>56.554000000000002</v>
      </c>
      <c r="AK1065" s="11">
        <v>56.256999999999998</v>
      </c>
      <c r="AL1065" s="11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  <c r="DG1065" s="3"/>
      <c r="DH1065" s="3"/>
      <c r="DI1065" s="3"/>
      <c r="DJ1065" s="3"/>
      <c r="DK1065" s="3"/>
      <c r="DL1065" s="3"/>
      <c r="DM1065" s="3"/>
      <c r="DN1065" s="3"/>
      <c r="DO1065" s="3"/>
      <c r="DP1065" s="3"/>
      <c r="DQ1065" s="3"/>
      <c r="DR1065" s="3"/>
      <c r="DS1065" s="3"/>
      <c r="DT1065" s="3"/>
      <c r="DU1065" s="3"/>
      <c r="DV1065" s="3"/>
      <c r="DW1065" s="3"/>
      <c r="DX1065" s="3"/>
      <c r="DY1065" s="3"/>
      <c r="DZ1065" s="3"/>
      <c r="EA1065" s="3"/>
      <c r="EB1065" s="3"/>
      <c r="EC1065" s="3"/>
      <c r="ED1065" s="3"/>
      <c r="EE1065" s="3"/>
      <c r="EF1065" s="3"/>
      <c r="EG1065" s="3"/>
      <c r="EH1065" s="3"/>
      <c r="EI1065" s="3"/>
      <c r="EJ1065" s="3"/>
      <c r="EK1065" s="3"/>
      <c r="EL1065" s="3"/>
      <c r="EM1065" s="3"/>
      <c r="EN1065" s="3"/>
      <c r="EO1065" s="3"/>
      <c r="EP1065" s="3"/>
      <c r="EQ1065" s="3"/>
    </row>
    <row r="1066" spans="1:147" x14ac:dyDescent="0.3">
      <c r="A1066" s="9">
        <f>DATE(2021, 2, 15)</f>
        <v>44242</v>
      </c>
      <c r="B1066" s="10">
        <v>63.3</v>
      </c>
      <c r="C1066" s="10">
        <v>62.72</v>
      </c>
      <c r="D1066" s="10">
        <v>62.12</v>
      </c>
      <c r="E1066" s="10">
        <v>61.5</v>
      </c>
      <c r="F1066" s="10">
        <v>60.97</v>
      </c>
      <c r="G1066" s="10">
        <v>60.48</v>
      </c>
      <c r="H1066" s="10">
        <v>60.01</v>
      </c>
      <c r="I1066" s="10">
        <v>59.56</v>
      </c>
      <c r="J1066" s="10">
        <v>59.14</v>
      </c>
      <c r="K1066" s="10">
        <v>58.75</v>
      </c>
      <c r="L1066" s="10">
        <v>58.39</v>
      </c>
      <c r="M1066" s="10">
        <v>58.08</v>
      </c>
      <c r="N1066" s="10">
        <v>59.47</v>
      </c>
      <c r="O1066" s="10">
        <v>59.38</v>
      </c>
      <c r="P1066" s="10">
        <v>59.06</v>
      </c>
      <c r="Q1066" s="10">
        <v>58.6</v>
      </c>
      <c r="R1066" s="10">
        <v>58.05</v>
      </c>
      <c r="S1066" s="10">
        <v>57.46</v>
      </c>
      <c r="T1066" s="10">
        <v>56.86</v>
      </c>
      <c r="U1066" s="10">
        <v>56.28</v>
      </c>
      <c r="V1066" s="10">
        <v>55.76</v>
      </c>
      <c r="W1066" s="10">
        <v>55.29</v>
      </c>
      <c r="X1066" s="10">
        <v>54.83</v>
      </c>
      <c r="Y1066" s="10">
        <v>54.41</v>
      </c>
      <c r="Z1066" s="11">
        <v>60.564999999999998</v>
      </c>
      <c r="AA1066" s="11">
        <v>61.914000000000001</v>
      </c>
      <c r="AB1066" s="11">
        <v>61.44</v>
      </c>
      <c r="AC1066" s="11">
        <v>60.82</v>
      </c>
      <c r="AD1066" s="11">
        <v>60.238</v>
      </c>
      <c r="AE1066" s="11">
        <v>59.668999999999997</v>
      </c>
      <c r="AF1066" s="11">
        <v>59.15</v>
      </c>
      <c r="AG1066" s="11">
        <v>58.640999999999998</v>
      </c>
      <c r="AH1066" s="11">
        <v>58.131</v>
      </c>
      <c r="AI1066" s="11">
        <v>57.664000000000001</v>
      </c>
      <c r="AJ1066" s="11">
        <v>57.213000000000001</v>
      </c>
      <c r="AK1066" s="11">
        <v>56.915999999999997</v>
      </c>
      <c r="AL1066" s="11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  <c r="DG1066" s="3"/>
      <c r="DH1066" s="3"/>
      <c r="DI1066" s="3"/>
      <c r="DJ1066" s="3"/>
      <c r="DK1066" s="3"/>
      <c r="DL1066" s="3"/>
      <c r="DM1066" s="3"/>
      <c r="DN1066" s="3"/>
      <c r="DO1066" s="3"/>
      <c r="DP1066" s="3"/>
      <c r="DQ1066" s="3"/>
      <c r="DR1066" s="3"/>
      <c r="DS1066" s="3"/>
      <c r="DT1066" s="3"/>
      <c r="DU1066" s="3"/>
      <c r="DV1066" s="3"/>
      <c r="DW1066" s="3"/>
      <c r="DX1066" s="3"/>
      <c r="DY1066" s="3"/>
      <c r="DZ1066" s="3"/>
      <c r="EA1066" s="3"/>
      <c r="EB1066" s="3"/>
      <c r="EC1066" s="3"/>
      <c r="ED1066" s="3"/>
      <c r="EE1066" s="3"/>
      <c r="EF1066" s="3"/>
      <c r="EG1066" s="3"/>
      <c r="EH1066" s="3"/>
      <c r="EI1066" s="3"/>
      <c r="EJ1066" s="3"/>
      <c r="EK1066" s="3"/>
      <c r="EL1066" s="3"/>
      <c r="EM1066" s="3"/>
      <c r="EN1066" s="3"/>
      <c r="EO1066" s="3"/>
      <c r="EP1066" s="3"/>
      <c r="EQ1066" s="3"/>
    </row>
    <row r="1067" spans="1:147" x14ac:dyDescent="0.3">
      <c r="A1067" s="9">
        <f>DATE(2021, 2, 16)</f>
        <v>44243</v>
      </c>
      <c r="B1067" s="10">
        <v>63.35</v>
      </c>
      <c r="C1067" s="10">
        <v>62.76</v>
      </c>
      <c r="D1067" s="10">
        <v>62.17</v>
      </c>
      <c r="E1067" s="10">
        <v>61.56</v>
      </c>
      <c r="F1067" s="10">
        <v>61.02</v>
      </c>
      <c r="G1067" s="10">
        <v>60.52</v>
      </c>
      <c r="H1067" s="10">
        <v>60.05</v>
      </c>
      <c r="I1067" s="10">
        <v>59.62</v>
      </c>
      <c r="J1067" s="10">
        <v>59.2</v>
      </c>
      <c r="K1067" s="10">
        <v>58.81</v>
      </c>
      <c r="L1067" s="10">
        <v>58.46</v>
      </c>
      <c r="M1067" s="10">
        <v>58.15</v>
      </c>
      <c r="N1067" s="10">
        <v>60.05</v>
      </c>
      <c r="O1067" s="10">
        <v>60.08</v>
      </c>
      <c r="P1067" s="10">
        <v>59.78</v>
      </c>
      <c r="Q1067" s="10">
        <v>59.32</v>
      </c>
      <c r="R1067" s="10">
        <v>58.76</v>
      </c>
      <c r="S1067" s="10">
        <v>58.16</v>
      </c>
      <c r="T1067" s="10">
        <v>57.56</v>
      </c>
      <c r="U1067" s="10">
        <v>56.98</v>
      </c>
      <c r="V1067" s="10">
        <v>56.46</v>
      </c>
      <c r="W1067" s="10">
        <v>55.98</v>
      </c>
      <c r="X1067" s="10">
        <v>55.52</v>
      </c>
      <c r="Y1067" s="10">
        <v>55.09</v>
      </c>
      <c r="Z1067" s="11">
        <v>60.588000000000001</v>
      </c>
      <c r="AA1067" s="11">
        <v>61.954000000000001</v>
      </c>
      <c r="AB1067" s="11">
        <v>61.451000000000001</v>
      </c>
      <c r="AC1067" s="11">
        <v>60.859000000000002</v>
      </c>
      <c r="AD1067" s="11">
        <v>60.256999999999998</v>
      </c>
      <c r="AE1067" s="11">
        <v>59.689</v>
      </c>
      <c r="AF1067" s="11">
        <v>59.15</v>
      </c>
      <c r="AG1067" s="11">
        <v>58.651000000000003</v>
      </c>
      <c r="AH1067" s="11">
        <v>58.161000000000001</v>
      </c>
      <c r="AI1067" s="11">
        <v>57.704000000000001</v>
      </c>
      <c r="AJ1067" s="11">
        <v>57.273000000000003</v>
      </c>
      <c r="AK1067" s="11">
        <v>56.996000000000002</v>
      </c>
      <c r="AL1067" s="11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  <c r="DG1067" s="3"/>
      <c r="DH1067" s="3"/>
      <c r="DI1067" s="3"/>
      <c r="DJ1067" s="3"/>
      <c r="DK1067" s="3"/>
      <c r="DL1067" s="3"/>
      <c r="DM1067" s="3"/>
      <c r="DN1067" s="3"/>
      <c r="DO1067" s="3"/>
      <c r="DP1067" s="3"/>
      <c r="DQ1067" s="3"/>
      <c r="DR1067" s="3"/>
      <c r="DS1067" s="3"/>
      <c r="DT1067" s="3"/>
      <c r="DU1067" s="3"/>
      <c r="DV1067" s="3"/>
      <c r="DW1067" s="3"/>
      <c r="DX1067" s="3"/>
      <c r="DY1067" s="3"/>
      <c r="DZ1067" s="3"/>
      <c r="EA1067" s="3"/>
      <c r="EB1067" s="3"/>
      <c r="EC1067" s="3"/>
      <c r="ED1067" s="3"/>
      <c r="EE1067" s="3"/>
      <c r="EF1067" s="3"/>
      <c r="EG1067" s="3"/>
      <c r="EH1067" s="3"/>
      <c r="EI1067" s="3"/>
      <c r="EJ1067" s="3"/>
      <c r="EK1067" s="3"/>
      <c r="EL1067" s="3"/>
      <c r="EM1067" s="3"/>
      <c r="EN1067" s="3"/>
      <c r="EO1067" s="3"/>
      <c r="EP1067" s="3"/>
      <c r="EQ1067" s="3"/>
    </row>
    <row r="1068" spans="1:147" x14ac:dyDescent="0.3">
      <c r="A1068" s="9">
        <f>DATE(2021, 2, 17)</f>
        <v>44244</v>
      </c>
      <c r="B1068" s="10">
        <v>64.34</v>
      </c>
      <c r="C1068" s="10">
        <v>63.6</v>
      </c>
      <c r="D1068" s="10">
        <v>62.91</v>
      </c>
      <c r="E1068" s="10">
        <v>62.22</v>
      </c>
      <c r="F1068" s="10">
        <v>61.62</v>
      </c>
      <c r="G1068" s="10">
        <v>61.07</v>
      </c>
      <c r="H1068" s="10">
        <v>60.56</v>
      </c>
      <c r="I1068" s="10">
        <v>60.09</v>
      </c>
      <c r="J1068" s="10">
        <v>59.66</v>
      </c>
      <c r="K1068" s="10">
        <v>59.24</v>
      </c>
      <c r="L1068" s="10">
        <v>58.86</v>
      </c>
      <c r="M1068" s="10">
        <v>58.54</v>
      </c>
      <c r="N1068" s="10">
        <v>61.14</v>
      </c>
      <c r="O1068" s="10">
        <v>61.16</v>
      </c>
      <c r="P1068" s="10">
        <v>60.76</v>
      </c>
      <c r="Q1068" s="10">
        <v>60.18</v>
      </c>
      <c r="R1068" s="10">
        <v>59.52</v>
      </c>
      <c r="S1068" s="10">
        <v>58.83</v>
      </c>
      <c r="T1068" s="10">
        <v>58.15</v>
      </c>
      <c r="U1068" s="10">
        <v>57.5</v>
      </c>
      <c r="V1068" s="10">
        <v>56.93</v>
      </c>
      <c r="W1068" s="10">
        <v>56.42</v>
      </c>
      <c r="X1068" s="10">
        <v>55.93</v>
      </c>
      <c r="Y1068" s="10">
        <v>55.48</v>
      </c>
      <c r="Z1068" s="11">
        <v>60.828000000000003</v>
      </c>
      <c r="AA1068" s="11">
        <v>62.56</v>
      </c>
      <c r="AB1068" s="11">
        <v>62.006999999999998</v>
      </c>
      <c r="AC1068" s="11">
        <v>61.363</v>
      </c>
      <c r="AD1068" s="11">
        <v>60.715000000000003</v>
      </c>
      <c r="AE1068" s="11">
        <v>60.097000000000001</v>
      </c>
      <c r="AF1068" s="11">
        <v>59.509</v>
      </c>
      <c r="AG1068" s="11">
        <v>58.97</v>
      </c>
      <c r="AH1068" s="11">
        <v>58.48</v>
      </c>
      <c r="AI1068" s="11">
        <v>58.012999999999998</v>
      </c>
      <c r="AJ1068" s="11">
        <v>57.552</v>
      </c>
      <c r="AK1068" s="11">
        <v>57.284999999999997</v>
      </c>
      <c r="AL1068" s="11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  <c r="DG1068" s="3"/>
      <c r="DH1068" s="3"/>
      <c r="DI1068" s="3"/>
      <c r="DJ1068" s="3"/>
      <c r="DK1068" s="3"/>
      <c r="DL1068" s="3"/>
      <c r="DM1068" s="3"/>
      <c r="DN1068" s="3"/>
      <c r="DO1068" s="3"/>
      <c r="DP1068" s="3"/>
      <c r="DQ1068" s="3"/>
      <c r="DR1068" s="3"/>
      <c r="DS1068" s="3"/>
      <c r="DT1068" s="3"/>
      <c r="DU1068" s="3"/>
      <c r="DV1068" s="3"/>
      <c r="DW1068" s="3"/>
      <c r="DX1068" s="3"/>
      <c r="DY1068" s="3"/>
      <c r="DZ1068" s="3"/>
      <c r="EA1068" s="3"/>
      <c r="EB1068" s="3"/>
      <c r="EC1068" s="3"/>
      <c r="ED1068" s="3"/>
      <c r="EE1068" s="3"/>
      <c r="EF1068" s="3"/>
      <c r="EG1068" s="3"/>
      <c r="EH1068" s="3"/>
      <c r="EI1068" s="3"/>
      <c r="EJ1068" s="3"/>
      <c r="EK1068" s="3"/>
      <c r="EL1068" s="3"/>
      <c r="EM1068" s="3"/>
      <c r="EN1068" s="3"/>
      <c r="EO1068" s="3"/>
      <c r="EP1068" s="3"/>
      <c r="EQ1068" s="3"/>
    </row>
    <row r="1069" spans="1:147" x14ac:dyDescent="0.3">
      <c r="A1069" s="9">
        <f>DATE(2021, 2, 18)</f>
        <v>44245</v>
      </c>
      <c r="B1069" s="10">
        <v>63.93</v>
      </c>
      <c r="C1069" s="10">
        <v>63.15</v>
      </c>
      <c r="D1069" s="10">
        <v>62.45</v>
      </c>
      <c r="E1069" s="10">
        <v>61.77</v>
      </c>
      <c r="F1069" s="10">
        <v>61.21</v>
      </c>
      <c r="G1069" s="10">
        <v>60.69</v>
      </c>
      <c r="H1069" s="10">
        <v>60.21</v>
      </c>
      <c r="I1069" s="10">
        <v>59.76</v>
      </c>
      <c r="J1069" s="10">
        <v>59.35</v>
      </c>
      <c r="K1069" s="10">
        <v>58.94</v>
      </c>
      <c r="L1069" s="10">
        <v>58.58</v>
      </c>
      <c r="M1069" s="10">
        <v>58.26</v>
      </c>
      <c r="N1069" s="10">
        <v>60.52</v>
      </c>
      <c r="O1069" s="10">
        <v>60.53</v>
      </c>
      <c r="P1069" s="10">
        <v>60.19</v>
      </c>
      <c r="Q1069" s="10">
        <v>59.67</v>
      </c>
      <c r="R1069" s="10">
        <v>59.05</v>
      </c>
      <c r="S1069" s="10">
        <v>58.39</v>
      </c>
      <c r="T1069" s="10">
        <v>57.74</v>
      </c>
      <c r="U1069" s="10">
        <v>57.12</v>
      </c>
      <c r="V1069" s="10">
        <v>56.58</v>
      </c>
      <c r="W1069" s="10">
        <v>56.1</v>
      </c>
      <c r="X1069" s="10">
        <v>55.63</v>
      </c>
      <c r="Y1069" s="10">
        <v>55.2</v>
      </c>
      <c r="Z1069" s="11">
        <v>60.636000000000003</v>
      </c>
      <c r="AA1069" s="11">
        <v>61.91</v>
      </c>
      <c r="AB1069" s="11">
        <v>61.408000000000001</v>
      </c>
      <c r="AC1069" s="11">
        <v>60.786999999999999</v>
      </c>
      <c r="AD1069" s="11">
        <v>60.195999999999998</v>
      </c>
      <c r="AE1069" s="11">
        <v>59.637999999999998</v>
      </c>
      <c r="AF1069" s="11">
        <v>59.11</v>
      </c>
      <c r="AG1069" s="11">
        <v>58.600999999999999</v>
      </c>
      <c r="AH1069" s="11">
        <v>58.13</v>
      </c>
      <c r="AI1069" s="11">
        <v>57.673999999999999</v>
      </c>
      <c r="AJ1069" s="11">
        <v>57.231999999999999</v>
      </c>
      <c r="AK1069" s="11">
        <v>56.945999999999998</v>
      </c>
      <c r="AL1069" s="11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  <c r="DG1069" s="3"/>
      <c r="DH1069" s="3"/>
      <c r="DI1069" s="3"/>
      <c r="DJ1069" s="3"/>
      <c r="DK1069" s="3"/>
      <c r="DL1069" s="3"/>
      <c r="DM1069" s="3"/>
      <c r="DN1069" s="3"/>
      <c r="DO1069" s="3"/>
      <c r="DP1069" s="3"/>
      <c r="DQ1069" s="3"/>
      <c r="DR1069" s="3"/>
      <c r="DS1069" s="3"/>
      <c r="DT1069" s="3"/>
      <c r="DU1069" s="3"/>
      <c r="DV1069" s="3"/>
      <c r="DW1069" s="3"/>
      <c r="DX1069" s="3"/>
      <c r="DY1069" s="3"/>
      <c r="DZ1069" s="3"/>
      <c r="EA1069" s="3"/>
      <c r="EB1069" s="3"/>
      <c r="EC1069" s="3"/>
      <c r="ED1069" s="3"/>
      <c r="EE1069" s="3"/>
      <c r="EF1069" s="3"/>
      <c r="EG1069" s="3"/>
      <c r="EH1069" s="3"/>
      <c r="EI1069" s="3"/>
      <c r="EJ1069" s="3"/>
      <c r="EK1069" s="3"/>
      <c r="EL1069" s="3"/>
      <c r="EM1069" s="3"/>
      <c r="EN1069" s="3"/>
      <c r="EO1069" s="3"/>
      <c r="EP1069" s="3"/>
      <c r="EQ1069" s="3"/>
    </row>
    <row r="1070" spans="1:147" x14ac:dyDescent="0.3">
      <c r="A1070" s="9">
        <f>DATE(2021, 2, 19)</f>
        <v>44246</v>
      </c>
      <c r="B1070" s="10">
        <v>62.91</v>
      </c>
      <c r="C1070" s="10">
        <v>62.14</v>
      </c>
      <c r="D1070" s="10">
        <v>61.51</v>
      </c>
      <c r="E1070" s="10">
        <v>60.89</v>
      </c>
      <c r="F1070" s="10">
        <v>60.37</v>
      </c>
      <c r="G1070" s="10">
        <v>59.9</v>
      </c>
      <c r="H1070" s="10">
        <v>59.48</v>
      </c>
      <c r="I1070" s="10">
        <v>59.09</v>
      </c>
      <c r="J1070" s="10">
        <v>58.73</v>
      </c>
      <c r="K1070" s="10">
        <v>58.38</v>
      </c>
      <c r="L1070" s="10">
        <v>58.04</v>
      </c>
      <c r="M1070" s="10">
        <v>57.76</v>
      </c>
      <c r="N1070" s="10">
        <v>59.24</v>
      </c>
      <c r="O1070" s="10">
        <v>59.26</v>
      </c>
      <c r="P1070" s="10">
        <v>59.06</v>
      </c>
      <c r="Q1070" s="10">
        <v>58.66</v>
      </c>
      <c r="R1070" s="10">
        <v>58.12</v>
      </c>
      <c r="S1070" s="10">
        <v>57.52</v>
      </c>
      <c r="T1070" s="10">
        <v>56.92</v>
      </c>
      <c r="U1070" s="10">
        <v>56.35</v>
      </c>
      <c r="V1070" s="10">
        <v>55.85</v>
      </c>
      <c r="W1070" s="10">
        <v>55.41</v>
      </c>
      <c r="X1070" s="10">
        <v>54.99</v>
      </c>
      <c r="Y1070" s="10">
        <v>54.61</v>
      </c>
      <c r="Z1070" s="11">
        <v>60.207000000000001</v>
      </c>
      <c r="AA1070" s="11">
        <v>60.683</v>
      </c>
      <c r="AB1070" s="11">
        <v>60.3</v>
      </c>
      <c r="AC1070" s="11">
        <v>59.75</v>
      </c>
      <c r="AD1070" s="11">
        <v>59.209000000000003</v>
      </c>
      <c r="AE1070" s="11">
        <v>58.680999999999997</v>
      </c>
      <c r="AF1070" s="11">
        <v>58.212000000000003</v>
      </c>
      <c r="AG1070" s="11">
        <v>57.783999999999999</v>
      </c>
      <c r="AH1070" s="11">
        <v>57.353000000000002</v>
      </c>
      <c r="AI1070" s="11">
        <v>56.924999999999997</v>
      </c>
      <c r="AJ1070" s="11">
        <v>56.506</v>
      </c>
      <c r="AK1070" s="11">
        <v>56.317</v>
      </c>
      <c r="AL1070" s="11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  <c r="DP1070" s="3"/>
      <c r="DQ1070" s="3"/>
      <c r="DR1070" s="3"/>
      <c r="DS1070" s="3"/>
      <c r="DT1070" s="3"/>
      <c r="DU1070" s="3"/>
      <c r="DV1070" s="3"/>
      <c r="DW1070" s="3"/>
      <c r="DX1070" s="3"/>
      <c r="DY1070" s="3"/>
      <c r="DZ1070" s="3"/>
      <c r="EA1070" s="3"/>
      <c r="EB1070" s="3"/>
      <c r="EC1070" s="3"/>
      <c r="ED1070" s="3"/>
      <c r="EE1070" s="3"/>
      <c r="EF1070" s="3"/>
      <c r="EG1070" s="3"/>
      <c r="EH1070" s="3"/>
      <c r="EI1070" s="3"/>
      <c r="EJ1070" s="3"/>
      <c r="EK1070" s="3"/>
      <c r="EL1070" s="3"/>
      <c r="EM1070" s="3"/>
      <c r="EN1070" s="3"/>
      <c r="EO1070" s="3"/>
      <c r="EP1070" s="3"/>
      <c r="EQ1070" s="3"/>
    </row>
    <row r="1071" spans="1:147" x14ac:dyDescent="0.3">
      <c r="A1071" s="9">
        <f>DATE(2021, 2, 22)</f>
        <v>44249</v>
      </c>
      <c r="B1071" s="10">
        <v>65.239999999999995</v>
      </c>
      <c r="C1071" s="10">
        <v>64.36</v>
      </c>
      <c r="D1071" s="10">
        <v>63.69</v>
      </c>
      <c r="E1071" s="10">
        <v>63.03</v>
      </c>
      <c r="F1071" s="10">
        <v>62.45</v>
      </c>
      <c r="G1071" s="10">
        <v>61.92</v>
      </c>
      <c r="H1071" s="10">
        <v>61.44</v>
      </c>
      <c r="I1071" s="10">
        <v>61</v>
      </c>
      <c r="J1071" s="10">
        <v>60.59</v>
      </c>
      <c r="K1071" s="10">
        <v>60.19</v>
      </c>
      <c r="L1071" s="10">
        <v>59.82</v>
      </c>
      <c r="M1071" s="10">
        <v>59.49</v>
      </c>
      <c r="N1071" s="10">
        <v>61.49</v>
      </c>
      <c r="O1071" s="10">
        <v>61.7</v>
      </c>
      <c r="P1071" s="10">
        <v>61.4</v>
      </c>
      <c r="Q1071" s="10">
        <v>60.9</v>
      </c>
      <c r="R1071" s="10">
        <v>60.27</v>
      </c>
      <c r="S1071" s="10">
        <v>59.59</v>
      </c>
      <c r="T1071" s="10">
        <v>58.91</v>
      </c>
      <c r="U1071" s="10">
        <v>58.28</v>
      </c>
      <c r="V1071" s="10">
        <v>57.72</v>
      </c>
      <c r="W1071" s="10">
        <v>57.21</v>
      </c>
      <c r="X1071" s="10">
        <v>56.73</v>
      </c>
      <c r="Y1071" s="10">
        <v>56.29</v>
      </c>
      <c r="Z1071" s="11">
        <v>60.655999999999999</v>
      </c>
      <c r="AA1071" s="11">
        <v>62.750999999999998</v>
      </c>
      <c r="AB1071" s="11">
        <v>62.359000000000002</v>
      </c>
      <c r="AC1071" s="11">
        <v>61.774999999999999</v>
      </c>
      <c r="AD1071" s="11">
        <v>61.186</v>
      </c>
      <c r="AE1071" s="11">
        <v>60.618000000000002</v>
      </c>
      <c r="AF1071" s="11">
        <v>60.1</v>
      </c>
      <c r="AG1071" s="11">
        <v>59.621000000000002</v>
      </c>
      <c r="AH1071" s="11">
        <v>59.151000000000003</v>
      </c>
      <c r="AI1071" s="11">
        <v>58.713000000000001</v>
      </c>
      <c r="AJ1071" s="11">
        <v>58.290999999999997</v>
      </c>
      <c r="AK1071" s="11">
        <v>58.024999999999999</v>
      </c>
      <c r="AL1071" s="11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  <c r="DP1071" s="3"/>
      <c r="DQ1071" s="3"/>
      <c r="DR1071" s="3"/>
      <c r="DS1071" s="3"/>
      <c r="DT1071" s="3"/>
      <c r="DU1071" s="3"/>
      <c r="DV1071" s="3"/>
      <c r="DW1071" s="3"/>
      <c r="DX1071" s="3"/>
      <c r="DY1071" s="3"/>
      <c r="DZ1071" s="3"/>
      <c r="EA1071" s="3"/>
      <c r="EB1071" s="3"/>
      <c r="EC1071" s="3"/>
      <c r="ED1071" s="3"/>
      <c r="EE1071" s="3"/>
      <c r="EF1071" s="3"/>
      <c r="EG1071" s="3"/>
      <c r="EH1071" s="3"/>
      <c r="EI1071" s="3"/>
      <c r="EJ1071" s="3"/>
      <c r="EK1071" s="3"/>
      <c r="EL1071" s="3"/>
      <c r="EM1071" s="3"/>
      <c r="EN1071" s="3"/>
      <c r="EO1071" s="3"/>
      <c r="EP1071" s="3"/>
      <c r="EQ1071" s="3"/>
    </row>
    <row r="1072" spans="1:147" x14ac:dyDescent="0.3">
      <c r="A1072" s="9">
        <f>DATE(2021, 2, 23)</f>
        <v>44250</v>
      </c>
      <c r="B1072" s="10">
        <v>65.37</v>
      </c>
      <c r="C1072" s="10">
        <v>64.48</v>
      </c>
      <c r="D1072" s="10">
        <v>63.84</v>
      </c>
      <c r="E1072" s="10">
        <v>63.19</v>
      </c>
      <c r="F1072" s="10">
        <v>62.64</v>
      </c>
      <c r="G1072" s="10">
        <v>62.13</v>
      </c>
      <c r="H1072" s="10">
        <v>61.67</v>
      </c>
      <c r="I1072" s="10">
        <v>61.24</v>
      </c>
      <c r="J1072" s="10">
        <v>60.84</v>
      </c>
      <c r="K1072" s="10">
        <v>60.45</v>
      </c>
      <c r="L1072" s="10">
        <v>60.08</v>
      </c>
      <c r="M1072" s="10">
        <v>59.75</v>
      </c>
      <c r="N1072" s="10">
        <v>61.67</v>
      </c>
      <c r="O1072" s="10">
        <v>61.43</v>
      </c>
      <c r="P1072" s="10">
        <v>60.96</v>
      </c>
      <c r="Q1072" s="10">
        <v>60.37</v>
      </c>
      <c r="R1072" s="10">
        <v>59.72</v>
      </c>
      <c r="S1072" s="10">
        <v>59.07</v>
      </c>
      <c r="T1072" s="10">
        <v>58.46</v>
      </c>
      <c r="U1072" s="10">
        <v>57.91</v>
      </c>
      <c r="V1072" s="10">
        <v>57.43</v>
      </c>
      <c r="W1072" s="10">
        <v>56.95</v>
      </c>
      <c r="X1072" s="10">
        <v>56.51</v>
      </c>
      <c r="Y1072" s="10">
        <v>56.11</v>
      </c>
      <c r="Z1072" s="11">
        <v>60.674999999999997</v>
      </c>
      <c r="AA1072" s="11">
        <v>62.771999999999998</v>
      </c>
      <c r="AB1072" s="11">
        <v>62.469000000000001</v>
      </c>
      <c r="AC1072" s="11">
        <v>61.978000000000002</v>
      </c>
      <c r="AD1072" s="11">
        <v>61.417000000000002</v>
      </c>
      <c r="AE1072" s="11">
        <v>60.838999999999999</v>
      </c>
      <c r="AF1072" s="11">
        <v>60.35</v>
      </c>
      <c r="AG1072" s="11">
        <v>59.872</v>
      </c>
      <c r="AH1072" s="11">
        <v>59.411000000000001</v>
      </c>
      <c r="AI1072" s="11">
        <v>58.982999999999997</v>
      </c>
      <c r="AJ1072" s="11">
        <v>58.591000000000001</v>
      </c>
      <c r="AK1072" s="11">
        <v>58.274999999999999</v>
      </c>
      <c r="AL1072" s="11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  <c r="DP1072" s="3"/>
      <c r="DQ1072" s="3"/>
      <c r="DR1072" s="3"/>
      <c r="DS1072" s="3"/>
      <c r="DT1072" s="3"/>
      <c r="DU1072" s="3"/>
      <c r="DV1072" s="3"/>
      <c r="DW1072" s="3"/>
      <c r="DX1072" s="3"/>
      <c r="DY1072" s="3"/>
      <c r="DZ1072" s="3"/>
      <c r="EA1072" s="3"/>
      <c r="EB1072" s="3"/>
      <c r="EC1072" s="3"/>
      <c r="ED1072" s="3"/>
      <c r="EE1072" s="3"/>
      <c r="EF1072" s="3"/>
      <c r="EG1072" s="3"/>
      <c r="EH1072" s="3"/>
      <c r="EI1072" s="3"/>
      <c r="EJ1072" s="3"/>
      <c r="EK1072" s="3"/>
      <c r="EL1072" s="3"/>
      <c r="EM1072" s="3"/>
      <c r="EN1072" s="3"/>
      <c r="EO1072" s="3"/>
      <c r="EP1072" s="3"/>
      <c r="EQ1072" s="3"/>
    </row>
    <row r="1073" spans="1:147" x14ac:dyDescent="0.3">
      <c r="A1073" s="9">
        <f>DATE(2021, 2, 24)</f>
        <v>44251</v>
      </c>
      <c r="B1073" s="10">
        <v>67.040000000000006</v>
      </c>
      <c r="C1073" s="10">
        <v>66.180000000000007</v>
      </c>
      <c r="D1073" s="10">
        <v>65.53</v>
      </c>
      <c r="E1073" s="10">
        <v>64.87</v>
      </c>
      <c r="F1073" s="10">
        <v>64.290000000000006</v>
      </c>
      <c r="G1073" s="10">
        <v>63.76</v>
      </c>
      <c r="H1073" s="10">
        <v>63.27</v>
      </c>
      <c r="I1073" s="10">
        <v>62.81</v>
      </c>
      <c r="J1073" s="10">
        <v>62.38</v>
      </c>
      <c r="K1073" s="10">
        <v>61.96</v>
      </c>
      <c r="L1073" s="10">
        <v>61.56</v>
      </c>
      <c r="M1073" s="10">
        <v>61.2</v>
      </c>
      <c r="N1073" s="10">
        <v>63.22</v>
      </c>
      <c r="O1073" s="10">
        <v>63</v>
      </c>
      <c r="P1073" s="10">
        <v>62.52</v>
      </c>
      <c r="Q1073" s="10">
        <v>61.93</v>
      </c>
      <c r="R1073" s="10">
        <v>61.29</v>
      </c>
      <c r="S1073" s="10">
        <v>60.64</v>
      </c>
      <c r="T1073" s="10">
        <v>60.03</v>
      </c>
      <c r="U1073" s="10">
        <v>59.47</v>
      </c>
      <c r="V1073" s="10">
        <v>58.98</v>
      </c>
      <c r="W1073" s="10">
        <v>58.5</v>
      </c>
      <c r="X1073" s="10">
        <v>58.05</v>
      </c>
      <c r="Y1073" s="10">
        <v>57.63</v>
      </c>
      <c r="Z1073" s="11">
        <v>60.933</v>
      </c>
      <c r="AA1073" s="11">
        <v>64.602000000000004</v>
      </c>
      <c r="AB1073" s="11">
        <v>64.198999999999998</v>
      </c>
      <c r="AC1073" s="11">
        <v>63.674999999999997</v>
      </c>
      <c r="AD1073" s="11">
        <v>63.076000000000001</v>
      </c>
      <c r="AE1073" s="11">
        <v>62.488</v>
      </c>
      <c r="AF1073" s="11">
        <v>61.948999999999998</v>
      </c>
      <c r="AG1073" s="11">
        <v>61.43</v>
      </c>
      <c r="AH1073" s="11">
        <v>60.95</v>
      </c>
      <c r="AI1073" s="11">
        <v>60.491999999999997</v>
      </c>
      <c r="AJ1073" s="11">
        <v>60.069000000000003</v>
      </c>
      <c r="AK1073" s="11">
        <v>59.744</v>
      </c>
      <c r="AL1073" s="11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  <c r="DP1073" s="3"/>
      <c r="DQ1073" s="3"/>
      <c r="DR1073" s="3"/>
      <c r="DS1073" s="3"/>
      <c r="DT1073" s="3"/>
      <c r="DU1073" s="3"/>
      <c r="DV1073" s="3"/>
      <c r="DW1073" s="3"/>
      <c r="DX1073" s="3"/>
      <c r="DY1073" s="3"/>
      <c r="DZ1073" s="3"/>
      <c r="EA1073" s="3"/>
      <c r="EB1073" s="3"/>
      <c r="EC1073" s="3"/>
      <c r="ED1073" s="3"/>
      <c r="EE1073" s="3"/>
      <c r="EF1073" s="3"/>
      <c r="EG1073" s="3"/>
      <c r="EH1073" s="3"/>
      <c r="EI1073" s="3"/>
      <c r="EJ1073" s="3"/>
      <c r="EK1073" s="3"/>
      <c r="EL1073" s="3"/>
      <c r="EM1073" s="3"/>
      <c r="EN1073" s="3"/>
      <c r="EO1073" s="3"/>
      <c r="EP1073" s="3"/>
      <c r="EQ1073" s="3"/>
    </row>
    <row r="1074" spans="1:147" x14ac:dyDescent="0.3">
      <c r="A1074" s="9">
        <f>DATE(2021, 2, 25)</f>
        <v>44252</v>
      </c>
      <c r="B1074" s="10">
        <v>66.88</v>
      </c>
      <c r="C1074" s="10">
        <v>66.11</v>
      </c>
      <c r="D1074" s="10">
        <v>65.48</v>
      </c>
      <c r="E1074" s="10">
        <v>64.819999999999993</v>
      </c>
      <c r="F1074" s="10">
        <v>64.23</v>
      </c>
      <c r="G1074" s="10">
        <v>63.68</v>
      </c>
      <c r="H1074" s="10">
        <v>63.19</v>
      </c>
      <c r="I1074" s="10">
        <v>62.74</v>
      </c>
      <c r="J1074" s="10">
        <v>62.32</v>
      </c>
      <c r="K1074" s="10">
        <v>61.9</v>
      </c>
      <c r="L1074" s="10">
        <v>61.5</v>
      </c>
      <c r="M1074" s="10">
        <v>61.14</v>
      </c>
      <c r="N1074" s="10">
        <v>63.53</v>
      </c>
      <c r="O1074" s="10">
        <v>63.22</v>
      </c>
      <c r="P1074" s="10">
        <v>62.7</v>
      </c>
      <c r="Q1074" s="10">
        <v>62.07</v>
      </c>
      <c r="R1074" s="10">
        <v>61.39</v>
      </c>
      <c r="S1074" s="10">
        <v>60.74</v>
      </c>
      <c r="T1074" s="10">
        <v>60.12</v>
      </c>
      <c r="U1074" s="10">
        <v>59.56</v>
      </c>
      <c r="V1074" s="10">
        <v>59.05</v>
      </c>
      <c r="W1074" s="10">
        <v>58.56</v>
      </c>
      <c r="X1074" s="10">
        <v>58.11</v>
      </c>
      <c r="Y1074" s="10">
        <v>57.68</v>
      </c>
      <c r="Z1074" s="11">
        <v>60.878</v>
      </c>
      <c r="AA1074" s="11">
        <v>64.673000000000002</v>
      </c>
      <c r="AB1074" s="11">
        <v>64.218999999999994</v>
      </c>
      <c r="AC1074" s="11">
        <v>63.683999999999997</v>
      </c>
      <c r="AD1074" s="11">
        <v>63.055</v>
      </c>
      <c r="AE1074" s="11">
        <v>62.438000000000002</v>
      </c>
      <c r="AF1074" s="11">
        <v>61.89</v>
      </c>
      <c r="AG1074" s="11">
        <v>61.360999999999997</v>
      </c>
      <c r="AH1074" s="11">
        <v>60.9</v>
      </c>
      <c r="AI1074" s="11">
        <v>60.442</v>
      </c>
      <c r="AJ1074" s="11">
        <v>60.029000000000003</v>
      </c>
      <c r="AK1074" s="11">
        <v>59.694000000000003</v>
      </c>
      <c r="AL1074" s="11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  <c r="DG1074" s="3"/>
      <c r="DH1074" s="3"/>
      <c r="DI1074" s="3"/>
      <c r="DJ1074" s="3"/>
      <c r="DK1074" s="3"/>
      <c r="DL1074" s="3"/>
      <c r="DM1074" s="3"/>
      <c r="DN1074" s="3"/>
      <c r="DO1074" s="3"/>
      <c r="DP1074" s="3"/>
      <c r="DQ1074" s="3"/>
      <c r="DR1074" s="3"/>
      <c r="DS1074" s="3"/>
      <c r="DT1074" s="3"/>
      <c r="DU1074" s="3"/>
      <c r="DV1074" s="3"/>
      <c r="DW1074" s="3"/>
      <c r="DX1074" s="3"/>
      <c r="DY1074" s="3"/>
      <c r="DZ1074" s="3"/>
      <c r="EA1074" s="3"/>
      <c r="EB1074" s="3"/>
      <c r="EC1074" s="3"/>
      <c r="ED1074" s="3"/>
      <c r="EE1074" s="3"/>
      <c r="EF1074" s="3"/>
      <c r="EG1074" s="3"/>
      <c r="EH1074" s="3"/>
      <c r="EI1074" s="3"/>
      <c r="EJ1074" s="3"/>
      <c r="EK1074" s="3"/>
      <c r="EL1074" s="3"/>
      <c r="EM1074" s="3"/>
      <c r="EN1074" s="3"/>
      <c r="EO1074" s="3"/>
      <c r="EP1074" s="3"/>
      <c r="EQ1074" s="3"/>
    </row>
    <row r="1075" spans="1:147" x14ac:dyDescent="0.3">
      <c r="A1075" s="9">
        <f>DATE(2021, 2, 26)</f>
        <v>44253</v>
      </c>
      <c r="B1075" s="10">
        <v>66.13</v>
      </c>
      <c r="C1075" s="10">
        <v>64.42</v>
      </c>
      <c r="D1075" s="10">
        <v>63.73</v>
      </c>
      <c r="E1075" s="10">
        <v>63.04</v>
      </c>
      <c r="F1075" s="10">
        <v>62.45</v>
      </c>
      <c r="G1075" s="10">
        <v>61.9</v>
      </c>
      <c r="H1075" s="10">
        <v>61.42</v>
      </c>
      <c r="I1075" s="10">
        <v>61</v>
      </c>
      <c r="J1075" s="10">
        <v>60.6</v>
      </c>
      <c r="K1075" s="10">
        <v>60.2</v>
      </c>
      <c r="L1075" s="10">
        <v>59.82</v>
      </c>
      <c r="M1075" s="10">
        <v>59.48</v>
      </c>
      <c r="N1075" s="10">
        <v>61.5</v>
      </c>
      <c r="O1075" s="10">
        <v>61.23</v>
      </c>
      <c r="P1075" s="10">
        <v>60.74</v>
      </c>
      <c r="Q1075" s="10">
        <v>60.12</v>
      </c>
      <c r="R1075" s="10">
        <v>59.46</v>
      </c>
      <c r="S1075" s="10">
        <v>58.81</v>
      </c>
      <c r="T1075" s="10">
        <v>58.2</v>
      </c>
      <c r="U1075" s="10">
        <v>57.67</v>
      </c>
      <c r="V1075" s="10">
        <v>57.2</v>
      </c>
      <c r="W1075" s="10">
        <v>56.74</v>
      </c>
      <c r="X1075" s="10">
        <v>56.32</v>
      </c>
      <c r="Y1075" s="10">
        <v>55.92</v>
      </c>
      <c r="Z1075" s="11">
        <v>60.854999999999997</v>
      </c>
      <c r="AA1075" s="11">
        <v>62.920999999999999</v>
      </c>
      <c r="AB1075" s="11">
        <v>62.424999999999997</v>
      </c>
      <c r="AC1075" s="11">
        <v>61.856000000000002</v>
      </c>
      <c r="AD1075" s="11">
        <v>61.177</v>
      </c>
      <c r="AE1075" s="11">
        <v>60.548000000000002</v>
      </c>
      <c r="AF1075" s="11">
        <v>60.011000000000003</v>
      </c>
      <c r="AG1075" s="11">
        <v>59.502000000000002</v>
      </c>
      <c r="AH1075" s="11">
        <v>59.051000000000002</v>
      </c>
      <c r="AI1075" s="11">
        <v>58.622999999999998</v>
      </c>
      <c r="AJ1075" s="11">
        <v>58.2</v>
      </c>
      <c r="AK1075" s="11">
        <v>57.895000000000003</v>
      </c>
      <c r="AL1075" s="11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  <c r="DG1075" s="3"/>
      <c r="DH1075" s="3"/>
      <c r="DI1075" s="3"/>
      <c r="DJ1075" s="3"/>
      <c r="DK1075" s="3"/>
      <c r="DL1075" s="3"/>
      <c r="DM1075" s="3"/>
      <c r="DN1075" s="3"/>
      <c r="DO1075" s="3"/>
      <c r="DP1075" s="3"/>
      <c r="DQ1075" s="3"/>
      <c r="DR1075" s="3"/>
      <c r="DS1075" s="3"/>
      <c r="DT1075" s="3"/>
      <c r="DU1075" s="3"/>
      <c r="DV1075" s="3"/>
      <c r="DW1075" s="3"/>
      <c r="DX1075" s="3"/>
      <c r="DY1075" s="3"/>
      <c r="DZ1075" s="3"/>
      <c r="EA1075" s="3"/>
      <c r="EB1075" s="3"/>
      <c r="EC1075" s="3"/>
      <c r="ED1075" s="3"/>
      <c r="EE1075" s="3"/>
      <c r="EF1075" s="3"/>
      <c r="EG1075" s="3"/>
      <c r="EH1075" s="3"/>
      <c r="EI1075" s="3"/>
      <c r="EJ1075" s="3"/>
      <c r="EK1075" s="3"/>
      <c r="EL1075" s="3"/>
      <c r="EM1075" s="3"/>
      <c r="EN1075" s="3"/>
      <c r="EO1075" s="3"/>
      <c r="EP1075" s="3"/>
      <c r="EQ1075" s="3"/>
    </row>
    <row r="1076" spans="1:147" x14ac:dyDescent="0.3">
      <c r="A1076" s="9">
        <f>DATE(2021, 3, 1)</f>
        <v>44256</v>
      </c>
      <c r="B1076" s="10">
        <v>63.69</v>
      </c>
      <c r="C1076" s="10">
        <v>63.02</v>
      </c>
      <c r="D1076" s="10">
        <v>62.33</v>
      </c>
      <c r="E1076" s="10">
        <v>61.76</v>
      </c>
      <c r="F1076" s="10">
        <v>61.24</v>
      </c>
      <c r="G1076" s="10">
        <v>60.77</v>
      </c>
      <c r="H1076" s="10">
        <v>60.35</v>
      </c>
      <c r="I1076" s="10">
        <v>59.96</v>
      </c>
      <c r="J1076" s="10">
        <v>59.59</v>
      </c>
      <c r="K1076" s="10">
        <v>59.23</v>
      </c>
      <c r="L1076" s="10">
        <v>58.9</v>
      </c>
      <c r="M1076" s="10">
        <v>58.59</v>
      </c>
      <c r="N1076" s="10">
        <v>60.64</v>
      </c>
      <c r="O1076" s="10">
        <v>60.42</v>
      </c>
      <c r="P1076" s="10">
        <v>59.96</v>
      </c>
      <c r="Q1076" s="10">
        <v>59.38</v>
      </c>
      <c r="R1076" s="10">
        <v>58.74</v>
      </c>
      <c r="S1076" s="10">
        <v>58.11</v>
      </c>
      <c r="T1076" s="10">
        <v>57.52</v>
      </c>
      <c r="U1076" s="10">
        <v>57</v>
      </c>
      <c r="V1076" s="10">
        <v>56.52</v>
      </c>
      <c r="W1076" s="10">
        <v>56.07</v>
      </c>
      <c r="X1076" s="10">
        <v>55.67</v>
      </c>
      <c r="Y1076" s="10">
        <v>55.3</v>
      </c>
      <c r="Z1076" s="11">
        <v>60.854999999999997</v>
      </c>
      <c r="AA1076" s="11">
        <v>62.37</v>
      </c>
      <c r="AB1076" s="11">
        <v>61.747</v>
      </c>
      <c r="AC1076" s="11">
        <v>61.146000000000001</v>
      </c>
      <c r="AD1076" s="11">
        <v>60.456000000000003</v>
      </c>
      <c r="AE1076" s="11">
        <v>59.848999999999997</v>
      </c>
      <c r="AF1076" s="11">
        <v>59.331000000000003</v>
      </c>
      <c r="AG1076" s="11">
        <v>58.851999999999997</v>
      </c>
      <c r="AH1076" s="11">
        <v>58.402000000000001</v>
      </c>
      <c r="AI1076" s="11">
        <v>57.973999999999997</v>
      </c>
      <c r="AJ1076" s="11">
        <v>57.570999999999998</v>
      </c>
      <c r="AK1076" s="11">
        <v>57.284999999999997</v>
      </c>
      <c r="AL1076" s="11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  <c r="DG1076" s="3"/>
      <c r="DH1076" s="3"/>
      <c r="DI1076" s="3"/>
      <c r="DJ1076" s="3"/>
      <c r="DK1076" s="3"/>
      <c r="DL1076" s="3"/>
      <c r="DM1076" s="3"/>
      <c r="DN1076" s="3"/>
      <c r="DO1076" s="3"/>
      <c r="DP1076" s="3"/>
      <c r="DQ1076" s="3"/>
      <c r="DR1076" s="3"/>
      <c r="DS1076" s="3"/>
      <c r="DT1076" s="3"/>
      <c r="DU1076" s="3"/>
      <c r="DV1076" s="3"/>
      <c r="DW1076" s="3"/>
      <c r="DX1076" s="3"/>
      <c r="DY1076" s="3"/>
      <c r="DZ1076" s="3"/>
      <c r="EA1076" s="3"/>
      <c r="EB1076" s="3"/>
      <c r="EC1076" s="3"/>
      <c r="ED1076" s="3"/>
      <c r="EE1076" s="3"/>
      <c r="EF1076" s="3"/>
      <c r="EG1076" s="3"/>
      <c r="EH1076" s="3"/>
      <c r="EI1076" s="3"/>
      <c r="EJ1076" s="3"/>
      <c r="EK1076" s="3"/>
      <c r="EL1076" s="3"/>
      <c r="EM1076" s="3"/>
      <c r="EN1076" s="3"/>
      <c r="EO1076" s="3"/>
      <c r="EP1076" s="3"/>
      <c r="EQ1076" s="3"/>
    </row>
    <row r="1077" spans="1:147" x14ac:dyDescent="0.3">
      <c r="A1077" s="9">
        <f>DATE(2021, 3, 2)</f>
        <v>44257</v>
      </c>
      <c r="B1077" s="10">
        <v>62.7</v>
      </c>
      <c r="C1077" s="10">
        <v>62.18</v>
      </c>
      <c r="D1077" s="10">
        <v>61.58</v>
      </c>
      <c r="E1077" s="10">
        <v>61.08</v>
      </c>
      <c r="F1077" s="10">
        <v>60.61</v>
      </c>
      <c r="G1077" s="10">
        <v>60.18</v>
      </c>
      <c r="H1077" s="10">
        <v>59.79</v>
      </c>
      <c r="I1077" s="10">
        <v>59.44</v>
      </c>
      <c r="J1077" s="10">
        <v>59.1</v>
      </c>
      <c r="K1077" s="10">
        <v>58.79</v>
      </c>
      <c r="L1077" s="10">
        <v>58.51</v>
      </c>
      <c r="M1077" s="10">
        <v>58.25</v>
      </c>
      <c r="N1077" s="10">
        <v>59.75</v>
      </c>
      <c r="O1077" s="10">
        <v>59.57</v>
      </c>
      <c r="P1077" s="10">
        <v>59.17</v>
      </c>
      <c r="Q1077" s="10">
        <v>58.65</v>
      </c>
      <c r="R1077" s="10">
        <v>58.08</v>
      </c>
      <c r="S1077" s="10">
        <v>57.51</v>
      </c>
      <c r="T1077" s="10">
        <v>56.97</v>
      </c>
      <c r="U1077" s="10">
        <v>56.49</v>
      </c>
      <c r="V1077" s="10">
        <v>56.06</v>
      </c>
      <c r="W1077" s="10">
        <v>55.65</v>
      </c>
      <c r="X1077" s="10">
        <v>55.29</v>
      </c>
      <c r="Y1077" s="10">
        <v>54.95</v>
      </c>
      <c r="Z1077" s="11">
        <v>61.392000000000003</v>
      </c>
      <c r="AA1077" s="11">
        <v>60.780999999999999</v>
      </c>
      <c r="AB1077" s="11">
        <v>60.281999999999996</v>
      </c>
      <c r="AC1077" s="11">
        <v>59.689</v>
      </c>
      <c r="AD1077" s="11">
        <v>59.12</v>
      </c>
      <c r="AE1077" s="11">
        <v>58.661999999999999</v>
      </c>
      <c r="AF1077" s="11">
        <v>58.234000000000002</v>
      </c>
      <c r="AG1077" s="11">
        <v>57.804000000000002</v>
      </c>
      <c r="AH1077" s="11">
        <v>57.405999999999999</v>
      </c>
      <c r="AI1077" s="11">
        <v>57.066000000000003</v>
      </c>
      <c r="AJ1077" s="11">
        <v>56.828000000000003</v>
      </c>
      <c r="AK1077" s="11">
        <v>56.597999999999999</v>
      </c>
      <c r="AL1077" s="11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  <c r="DG1077" s="3"/>
      <c r="DH1077" s="3"/>
      <c r="DI1077" s="3"/>
      <c r="DJ1077" s="3"/>
      <c r="DK1077" s="3"/>
      <c r="DL1077" s="3"/>
      <c r="DM1077" s="3"/>
      <c r="DN1077" s="3"/>
      <c r="DO1077" s="3"/>
      <c r="DP1077" s="3"/>
      <c r="DQ1077" s="3"/>
      <c r="DR1077" s="3"/>
      <c r="DS1077" s="3"/>
      <c r="DT1077" s="3"/>
      <c r="DU1077" s="3"/>
      <c r="DV1077" s="3"/>
      <c r="DW1077" s="3"/>
      <c r="DX1077" s="3"/>
      <c r="DY1077" s="3"/>
      <c r="DZ1077" s="3"/>
      <c r="EA1077" s="3"/>
      <c r="EB1077" s="3"/>
      <c r="EC1077" s="3"/>
      <c r="ED1077" s="3"/>
      <c r="EE1077" s="3"/>
      <c r="EF1077" s="3"/>
      <c r="EG1077" s="3"/>
      <c r="EH1077" s="3"/>
      <c r="EI1077" s="3"/>
      <c r="EJ1077" s="3"/>
      <c r="EK1077" s="3"/>
      <c r="EL1077" s="3"/>
      <c r="EM1077" s="3"/>
      <c r="EN1077" s="3"/>
      <c r="EO1077" s="3"/>
      <c r="EP1077" s="3"/>
      <c r="EQ1077" s="3"/>
    </row>
    <row r="1078" spans="1:147" x14ac:dyDescent="0.3">
      <c r="A1078" s="9">
        <f>DATE(2021, 3, 3)</f>
        <v>44258</v>
      </c>
      <c r="B1078" s="10">
        <v>64.069999999999993</v>
      </c>
      <c r="C1078" s="10">
        <v>63.57</v>
      </c>
      <c r="D1078" s="10">
        <v>62.95</v>
      </c>
      <c r="E1078" s="10">
        <v>62.43</v>
      </c>
      <c r="F1078" s="10">
        <v>61.94</v>
      </c>
      <c r="G1078" s="10">
        <v>61.48</v>
      </c>
      <c r="H1078" s="10">
        <v>61.06</v>
      </c>
      <c r="I1078" s="10">
        <v>60.67</v>
      </c>
      <c r="J1078" s="10">
        <v>60.31</v>
      </c>
      <c r="K1078" s="10">
        <v>59.97</v>
      </c>
      <c r="L1078" s="10">
        <v>59.66</v>
      </c>
      <c r="M1078" s="10">
        <v>59.37</v>
      </c>
      <c r="N1078" s="10">
        <v>61.28</v>
      </c>
      <c r="O1078" s="10">
        <v>61.1</v>
      </c>
      <c r="P1078" s="10">
        <v>60.69</v>
      </c>
      <c r="Q1078" s="10">
        <v>60.15</v>
      </c>
      <c r="R1078" s="10">
        <v>59.55</v>
      </c>
      <c r="S1078" s="10">
        <v>58.94</v>
      </c>
      <c r="T1078" s="10">
        <v>58.37</v>
      </c>
      <c r="U1078" s="10">
        <v>57.86</v>
      </c>
      <c r="V1078" s="10">
        <v>57.4</v>
      </c>
      <c r="W1078" s="10">
        <v>56.97</v>
      </c>
      <c r="X1078" s="10">
        <v>56.57</v>
      </c>
      <c r="Y1078" s="10">
        <v>56.19</v>
      </c>
      <c r="Z1078" s="11">
        <v>62.597000000000001</v>
      </c>
      <c r="AA1078" s="11">
        <v>62.12</v>
      </c>
      <c r="AB1078" s="11">
        <v>61.63</v>
      </c>
      <c r="AC1078" s="11">
        <v>61.018000000000001</v>
      </c>
      <c r="AD1078" s="11">
        <v>60.429000000000002</v>
      </c>
      <c r="AE1078" s="11">
        <v>59.951000000000001</v>
      </c>
      <c r="AF1078" s="11">
        <v>59.481999999999999</v>
      </c>
      <c r="AG1078" s="11">
        <v>59.063000000000002</v>
      </c>
      <c r="AH1078" s="11">
        <v>58.645000000000003</v>
      </c>
      <c r="AI1078" s="11">
        <v>58.262999999999998</v>
      </c>
      <c r="AJ1078" s="11">
        <v>58.006</v>
      </c>
      <c r="AK1078" s="11">
        <v>57.777000000000001</v>
      </c>
      <c r="AL1078" s="11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  <c r="DG1078" s="3"/>
      <c r="DH1078" s="3"/>
      <c r="DI1078" s="3"/>
      <c r="DJ1078" s="3"/>
      <c r="DK1078" s="3"/>
      <c r="DL1078" s="3"/>
      <c r="DM1078" s="3"/>
      <c r="DN1078" s="3"/>
      <c r="DO1078" s="3"/>
      <c r="DP1078" s="3"/>
      <c r="DQ1078" s="3"/>
      <c r="DR1078" s="3"/>
      <c r="DS1078" s="3"/>
      <c r="DT1078" s="3"/>
      <c r="DU1078" s="3"/>
      <c r="DV1078" s="3"/>
      <c r="DW1078" s="3"/>
      <c r="DX1078" s="3"/>
      <c r="DY1078" s="3"/>
      <c r="DZ1078" s="3"/>
      <c r="EA1078" s="3"/>
      <c r="EB1078" s="3"/>
      <c r="EC1078" s="3"/>
      <c r="ED1078" s="3"/>
      <c r="EE1078" s="3"/>
      <c r="EF1078" s="3"/>
      <c r="EG1078" s="3"/>
      <c r="EH1078" s="3"/>
      <c r="EI1078" s="3"/>
      <c r="EJ1078" s="3"/>
      <c r="EK1078" s="3"/>
      <c r="EL1078" s="3"/>
      <c r="EM1078" s="3"/>
      <c r="EN1078" s="3"/>
      <c r="EO1078" s="3"/>
      <c r="EP1078" s="3"/>
      <c r="EQ1078" s="3"/>
    </row>
    <row r="1079" spans="1:147" x14ac:dyDescent="0.3">
      <c r="A1079" s="9">
        <f>DATE(2021, 3, 4)</f>
        <v>44259</v>
      </c>
      <c r="B1079" s="10">
        <v>66.739999999999995</v>
      </c>
      <c r="C1079" s="10">
        <v>66.2</v>
      </c>
      <c r="D1079" s="10">
        <v>65.47</v>
      </c>
      <c r="E1079" s="10">
        <v>64.84</v>
      </c>
      <c r="F1079" s="10">
        <v>64.23</v>
      </c>
      <c r="G1079" s="10">
        <v>63.66</v>
      </c>
      <c r="H1079" s="10">
        <v>63.13</v>
      </c>
      <c r="I1079" s="10">
        <v>62.64</v>
      </c>
      <c r="J1079" s="10">
        <v>62.19</v>
      </c>
      <c r="K1079" s="10">
        <v>61.78</v>
      </c>
      <c r="L1079" s="10">
        <v>61.39</v>
      </c>
      <c r="M1079" s="10">
        <v>61.03</v>
      </c>
      <c r="N1079" s="10">
        <v>63.83</v>
      </c>
      <c r="O1079" s="10">
        <v>63.62</v>
      </c>
      <c r="P1079" s="10">
        <v>63.15</v>
      </c>
      <c r="Q1079" s="10">
        <v>62.52</v>
      </c>
      <c r="R1079" s="10">
        <v>61.8</v>
      </c>
      <c r="S1079" s="10">
        <v>61.07</v>
      </c>
      <c r="T1079" s="10">
        <v>60.38</v>
      </c>
      <c r="U1079" s="10">
        <v>59.77</v>
      </c>
      <c r="V1079" s="10">
        <v>59.21</v>
      </c>
      <c r="W1079" s="10">
        <v>58.69</v>
      </c>
      <c r="X1079" s="10">
        <v>58.2</v>
      </c>
      <c r="Y1079" s="10">
        <v>57.76</v>
      </c>
      <c r="Z1079" s="11">
        <v>64.89</v>
      </c>
      <c r="AA1079" s="11">
        <v>64.875</v>
      </c>
      <c r="AB1079" s="11">
        <v>64.27</v>
      </c>
      <c r="AC1079" s="11">
        <v>63.572000000000003</v>
      </c>
      <c r="AD1079" s="11">
        <v>62.884</v>
      </c>
      <c r="AE1079" s="11">
        <v>62.286000000000001</v>
      </c>
      <c r="AF1079" s="11">
        <v>61.718000000000004</v>
      </c>
      <c r="AG1079" s="11">
        <v>61.179000000000002</v>
      </c>
      <c r="AH1079" s="11">
        <v>60.691000000000003</v>
      </c>
      <c r="AI1079" s="11">
        <v>60.246000000000002</v>
      </c>
      <c r="AJ1079" s="11">
        <v>59.883000000000003</v>
      </c>
      <c r="AK1079" s="11">
        <v>59.563000000000002</v>
      </c>
      <c r="AL1079" s="11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  <c r="DG1079" s="3"/>
      <c r="DH1079" s="3"/>
      <c r="DI1079" s="3"/>
      <c r="DJ1079" s="3"/>
      <c r="DK1079" s="3"/>
      <c r="DL1079" s="3"/>
      <c r="DM1079" s="3"/>
      <c r="DN1079" s="3"/>
      <c r="DO1079" s="3"/>
      <c r="DP1079" s="3"/>
      <c r="DQ1079" s="3"/>
      <c r="DR1079" s="3"/>
      <c r="DS1079" s="3"/>
      <c r="DT1079" s="3"/>
      <c r="DU1079" s="3"/>
      <c r="DV1079" s="3"/>
      <c r="DW1079" s="3"/>
      <c r="DX1079" s="3"/>
      <c r="DY1079" s="3"/>
      <c r="DZ1079" s="3"/>
      <c r="EA1079" s="3"/>
      <c r="EB1079" s="3"/>
      <c r="EC1079" s="3"/>
      <c r="ED1079" s="3"/>
      <c r="EE1079" s="3"/>
      <c r="EF1079" s="3"/>
      <c r="EG1079" s="3"/>
      <c r="EH1079" s="3"/>
      <c r="EI1079" s="3"/>
      <c r="EJ1079" s="3"/>
      <c r="EK1079" s="3"/>
      <c r="EL1079" s="3"/>
      <c r="EM1079" s="3"/>
      <c r="EN1079" s="3"/>
      <c r="EO1079" s="3"/>
      <c r="EP1079" s="3"/>
      <c r="EQ1079" s="3"/>
    </row>
    <row r="1080" spans="1:147" x14ac:dyDescent="0.3">
      <c r="A1080" s="9">
        <f>DATE(2021, 3, 5)</f>
        <v>44260</v>
      </c>
      <c r="B1080" s="10">
        <v>69.36</v>
      </c>
      <c r="C1080" s="10">
        <v>68.680000000000007</v>
      </c>
      <c r="D1080" s="10">
        <v>67.83</v>
      </c>
      <c r="E1080" s="10">
        <v>67.08</v>
      </c>
      <c r="F1080" s="10">
        <v>66.38</v>
      </c>
      <c r="G1080" s="10">
        <v>65.73</v>
      </c>
      <c r="H1080" s="10">
        <v>65.13</v>
      </c>
      <c r="I1080" s="10">
        <v>64.58</v>
      </c>
      <c r="J1080" s="10">
        <v>64.069999999999993</v>
      </c>
      <c r="K1080" s="10">
        <v>63.6</v>
      </c>
      <c r="L1080" s="10">
        <v>63.17</v>
      </c>
      <c r="M1080" s="10">
        <v>62.77</v>
      </c>
      <c r="N1080" s="10">
        <v>66.09</v>
      </c>
      <c r="O1080" s="10">
        <v>65.92</v>
      </c>
      <c r="P1080" s="10">
        <v>65.45</v>
      </c>
      <c r="Q1080" s="10">
        <v>64.81</v>
      </c>
      <c r="R1080" s="10">
        <v>64.069999999999993</v>
      </c>
      <c r="S1080" s="10">
        <v>63.3</v>
      </c>
      <c r="T1080" s="10">
        <v>62.54</v>
      </c>
      <c r="U1080" s="10">
        <v>61.85</v>
      </c>
      <c r="V1080" s="10">
        <v>61.22</v>
      </c>
      <c r="W1080" s="10">
        <v>60.63</v>
      </c>
      <c r="X1080" s="10">
        <v>60.09</v>
      </c>
      <c r="Y1080" s="10">
        <v>59.59</v>
      </c>
      <c r="Z1080" s="11">
        <v>66.754999999999995</v>
      </c>
      <c r="AA1080" s="11">
        <v>67.17</v>
      </c>
      <c r="AB1080" s="11">
        <v>66.448999999999998</v>
      </c>
      <c r="AC1080" s="11">
        <v>65.628</v>
      </c>
      <c r="AD1080" s="11">
        <v>64.849999999999994</v>
      </c>
      <c r="AE1080" s="11">
        <v>64.183000000000007</v>
      </c>
      <c r="AF1080" s="11">
        <v>63.545000000000002</v>
      </c>
      <c r="AG1080" s="11">
        <v>62.966000000000001</v>
      </c>
      <c r="AH1080" s="11">
        <v>62.439</v>
      </c>
      <c r="AI1080" s="11">
        <v>61.933</v>
      </c>
      <c r="AJ1080" s="11">
        <v>61.530999999999999</v>
      </c>
      <c r="AK1080" s="11">
        <v>61.151000000000003</v>
      </c>
      <c r="AL1080" s="11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  <c r="DG1080" s="3"/>
      <c r="DH1080" s="3"/>
      <c r="DI1080" s="3"/>
      <c r="DJ1080" s="3"/>
      <c r="DK1080" s="3"/>
      <c r="DL1080" s="3"/>
      <c r="DM1080" s="3"/>
      <c r="DN1080" s="3"/>
      <c r="DO1080" s="3"/>
      <c r="DP1080" s="3"/>
      <c r="DQ1080" s="3"/>
      <c r="DR1080" s="3"/>
      <c r="DS1080" s="3"/>
      <c r="DT1080" s="3"/>
      <c r="DU1080" s="3"/>
      <c r="DV1080" s="3"/>
      <c r="DW1080" s="3"/>
      <c r="DX1080" s="3"/>
      <c r="DY1080" s="3"/>
      <c r="DZ1080" s="3"/>
      <c r="EA1080" s="3"/>
      <c r="EB1080" s="3"/>
      <c r="EC1080" s="3"/>
      <c r="ED1080" s="3"/>
      <c r="EE1080" s="3"/>
      <c r="EF1080" s="3"/>
      <c r="EG1080" s="3"/>
      <c r="EH1080" s="3"/>
      <c r="EI1080" s="3"/>
      <c r="EJ1080" s="3"/>
      <c r="EK1080" s="3"/>
      <c r="EL1080" s="3"/>
      <c r="EM1080" s="3"/>
      <c r="EN1080" s="3"/>
      <c r="EO1080" s="3"/>
      <c r="EP1080" s="3"/>
      <c r="EQ1080" s="3"/>
    </row>
    <row r="1081" spans="1:147" x14ac:dyDescent="0.3">
      <c r="A1081" s="9">
        <f>DATE(2021, 3, 8)</f>
        <v>44263</v>
      </c>
      <c r="B1081" s="10">
        <v>68.239999999999995</v>
      </c>
      <c r="C1081" s="10">
        <v>67.7</v>
      </c>
      <c r="D1081" s="10">
        <v>66.930000000000007</v>
      </c>
      <c r="E1081" s="10">
        <v>66.27</v>
      </c>
      <c r="F1081" s="10">
        <v>65.64</v>
      </c>
      <c r="G1081" s="10">
        <v>65.03</v>
      </c>
      <c r="H1081" s="10">
        <v>64.47</v>
      </c>
      <c r="I1081" s="10">
        <v>63.96</v>
      </c>
      <c r="J1081" s="10">
        <v>63.48</v>
      </c>
      <c r="K1081" s="10">
        <v>63.04</v>
      </c>
      <c r="L1081" s="10">
        <v>62.63</v>
      </c>
      <c r="M1081" s="10">
        <v>62.25</v>
      </c>
      <c r="N1081" s="10">
        <v>65.05</v>
      </c>
      <c r="O1081" s="10">
        <v>64.930000000000007</v>
      </c>
      <c r="P1081" s="10">
        <v>64.52</v>
      </c>
      <c r="Q1081" s="10">
        <v>63.94</v>
      </c>
      <c r="R1081" s="10">
        <v>63.27</v>
      </c>
      <c r="S1081" s="10">
        <v>62.55</v>
      </c>
      <c r="T1081" s="10">
        <v>61.85</v>
      </c>
      <c r="U1081" s="10">
        <v>61.21</v>
      </c>
      <c r="V1081" s="10">
        <v>60.61</v>
      </c>
      <c r="W1081" s="10">
        <v>60.06</v>
      </c>
      <c r="X1081" s="10">
        <v>59.54</v>
      </c>
      <c r="Y1081" s="10">
        <v>59.06</v>
      </c>
      <c r="Z1081" s="11">
        <v>65.936000000000007</v>
      </c>
      <c r="AA1081" s="11">
        <v>66.007999999999996</v>
      </c>
      <c r="AB1081" s="11">
        <v>65.334000000000003</v>
      </c>
      <c r="AC1081" s="11">
        <v>64.626000000000005</v>
      </c>
      <c r="AD1081" s="11">
        <v>63.914000000000001</v>
      </c>
      <c r="AE1081" s="11">
        <v>63.313000000000002</v>
      </c>
      <c r="AF1081" s="11">
        <v>62.756999999999998</v>
      </c>
      <c r="AG1081" s="11">
        <v>62.226999999999997</v>
      </c>
      <c r="AH1081" s="11">
        <v>61.73</v>
      </c>
      <c r="AI1081" s="11">
        <v>61.253999999999998</v>
      </c>
      <c r="AJ1081" s="11">
        <v>60.881999999999998</v>
      </c>
      <c r="AK1081" s="11">
        <v>60.542000000000002</v>
      </c>
      <c r="AL1081" s="11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  <c r="DG1081" s="3"/>
      <c r="DH1081" s="3"/>
      <c r="DI1081" s="3"/>
      <c r="DJ1081" s="3"/>
      <c r="DK1081" s="3"/>
      <c r="DL1081" s="3"/>
      <c r="DM1081" s="3"/>
      <c r="DN1081" s="3"/>
      <c r="DO1081" s="3"/>
      <c r="DP1081" s="3"/>
      <c r="DQ1081" s="3"/>
      <c r="DR1081" s="3"/>
      <c r="DS1081" s="3"/>
      <c r="DT1081" s="3"/>
      <c r="DU1081" s="3"/>
      <c r="DV1081" s="3"/>
      <c r="DW1081" s="3"/>
      <c r="DX1081" s="3"/>
      <c r="DY1081" s="3"/>
      <c r="DZ1081" s="3"/>
      <c r="EA1081" s="3"/>
      <c r="EB1081" s="3"/>
      <c r="EC1081" s="3"/>
      <c r="ED1081" s="3"/>
      <c r="EE1081" s="3"/>
      <c r="EF1081" s="3"/>
      <c r="EG1081" s="3"/>
      <c r="EH1081" s="3"/>
      <c r="EI1081" s="3"/>
      <c r="EJ1081" s="3"/>
      <c r="EK1081" s="3"/>
      <c r="EL1081" s="3"/>
      <c r="EM1081" s="3"/>
      <c r="EN1081" s="3"/>
      <c r="EO1081" s="3"/>
      <c r="EP1081" s="3"/>
      <c r="EQ1081" s="3"/>
    </row>
    <row r="1082" spans="1:147" x14ac:dyDescent="0.3">
      <c r="A1082" s="9">
        <f>DATE(2021, 3, 9)</f>
        <v>44264</v>
      </c>
      <c r="B1082" s="10">
        <v>67.52</v>
      </c>
      <c r="C1082" s="10">
        <v>67.05</v>
      </c>
      <c r="D1082" s="10">
        <v>66.349999999999994</v>
      </c>
      <c r="E1082" s="10">
        <v>65.739999999999995</v>
      </c>
      <c r="F1082" s="10">
        <v>65.14</v>
      </c>
      <c r="G1082" s="10">
        <v>64.56</v>
      </c>
      <c r="H1082" s="10">
        <v>64.03</v>
      </c>
      <c r="I1082" s="10">
        <v>63.53</v>
      </c>
      <c r="J1082" s="10">
        <v>63.06</v>
      </c>
      <c r="K1082" s="10">
        <v>62.63</v>
      </c>
      <c r="L1082" s="10">
        <v>62.24</v>
      </c>
      <c r="M1082" s="10">
        <v>61.87</v>
      </c>
      <c r="N1082" s="10">
        <v>64.010000000000005</v>
      </c>
      <c r="O1082" s="10">
        <v>63.99</v>
      </c>
      <c r="P1082" s="10">
        <v>63.69</v>
      </c>
      <c r="Q1082" s="10">
        <v>63.2</v>
      </c>
      <c r="R1082" s="10">
        <v>62.61</v>
      </c>
      <c r="S1082" s="10">
        <v>61.96</v>
      </c>
      <c r="T1082" s="10">
        <v>61.3</v>
      </c>
      <c r="U1082" s="10">
        <v>60.69</v>
      </c>
      <c r="V1082" s="10">
        <v>60.13</v>
      </c>
      <c r="W1082" s="10">
        <v>59.6</v>
      </c>
      <c r="X1082" s="10">
        <v>59.1</v>
      </c>
      <c r="Y1082" s="10">
        <v>58.63</v>
      </c>
      <c r="Z1082" s="11">
        <v>65.411000000000001</v>
      </c>
      <c r="AA1082" s="11">
        <v>65.266999999999996</v>
      </c>
      <c r="AB1082" s="11">
        <v>64.635000000000005</v>
      </c>
      <c r="AC1082" s="11">
        <v>63.963000000000001</v>
      </c>
      <c r="AD1082" s="11">
        <v>63.314</v>
      </c>
      <c r="AE1082" s="11">
        <v>62.765999999999998</v>
      </c>
      <c r="AF1082" s="11">
        <v>62.237000000000002</v>
      </c>
      <c r="AG1082" s="11">
        <v>61.718000000000004</v>
      </c>
      <c r="AH1082" s="11">
        <v>61.24</v>
      </c>
      <c r="AI1082" s="11">
        <v>60.786000000000001</v>
      </c>
      <c r="AJ1082" s="11">
        <v>60.421999999999997</v>
      </c>
      <c r="AK1082" s="11">
        <v>60.082999999999998</v>
      </c>
      <c r="AL1082" s="11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  <c r="DG1082" s="3"/>
      <c r="DH1082" s="3"/>
      <c r="DI1082" s="3"/>
      <c r="DJ1082" s="3"/>
      <c r="DK1082" s="3"/>
      <c r="DL1082" s="3"/>
      <c r="DM1082" s="3"/>
      <c r="DN1082" s="3"/>
      <c r="DO1082" s="3"/>
      <c r="DP1082" s="3"/>
      <c r="DQ1082" s="3"/>
      <c r="DR1082" s="3"/>
      <c r="DS1082" s="3"/>
      <c r="DT1082" s="3"/>
      <c r="DU1082" s="3"/>
      <c r="DV1082" s="3"/>
      <c r="DW1082" s="3"/>
      <c r="DX1082" s="3"/>
      <c r="DY1082" s="3"/>
      <c r="DZ1082" s="3"/>
      <c r="EA1082" s="3"/>
      <c r="EB1082" s="3"/>
      <c r="EC1082" s="3"/>
      <c r="ED1082" s="3"/>
      <c r="EE1082" s="3"/>
      <c r="EF1082" s="3"/>
      <c r="EG1082" s="3"/>
      <c r="EH1082" s="3"/>
      <c r="EI1082" s="3"/>
      <c r="EJ1082" s="3"/>
      <c r="EK1082" s="3"/>
      <c r="EL1082" s="3"/>
      <c r="EM1082" s="3"/>
      <c r="EN1082" s="3"/>
      <c r="EO1082" s="3"/>
      <c r="EP1082" s="3"/>
      <c r="EQ1082" s="3"/>
    </row>
    <row r="1083" spans="1:147" x14ac:dyDescent="0.3">
      <c r="A1083" s="9">
        <f>DATE(2021, 3, 10)</f>
        <v>44265</v>
      </c>
      <c r="B1083" s="10">
        <v>67.900000000000006</v>
      </c>
      <c r="C1083" s="10">
        <v>67.38</v>
      </c>
      <c r="D1083" s="10">
        <v>66.650000000000006</v>
      </c>
      <c r="E1083" s="10">
        <v>66.010000000000005</v>
      </c>
      <c r="F1083" s="10">
        <v>65.38</v>
      </c>
      <c r="G1083" s="10">
        <v>64.77</v>
      </c>
      <c r="H1083" s="10">
        <v>64.22</v>
      </c>
      <c r="I1083" s="10">
        <v>63.7</v>
      </c>
      <c r="J1083" s="10">
        <v>63.22</v>
      </c>
      <c r="K1083" s="10">
        <v>62.77</v>
      </c>
      <c r="L1083" s="10">
        <v>62.36</v>
      </c>
      <c r="M1083" s="10">
        <v>61.99</v>
      </c>
      <c r="N1083" s="10">
        <v>64.44</v>
      </c>
      <c r="O1083" s="10">
        <v>64.42</v>
      </c>
      <c r="P1083" s="10">
        <v>64.09</v>
      </c>
      <c r="Q1083" s="10">
        <v>63.58</v>
      </c>
      <c r="R1083" s="10">
        <v>62.96</v>
      </c>
      <c r="S1083" s="10">
        <v>62.28</v>
      </c>
      <c r="T1083" s="10">
        <v>61.6</v>
      </c>
      <c r="U1083" s="10">
        <v>60.97</v>
      </c>
      <c r="V1083" s="10">
        <v>60.38</v>
      </c>
      <c r="W1083" s="10">
        <v>59.81</v>
      </c>
      <c r="X1083" s="10">
        <v>59.29</v>
      </c>
      <c r="Y1083" s="10">
        <v>58.8</v>
      </c>
      <c r="Z1083" s="11">
        <v>65.546999999999997</v>
      </c>
      <c r="AA1083" s="11">
        <v>65.484999999999999</v>
      </c>
      <c r="AB1083" s="11">
        <v>64.789000000000001</v>
      </c>
      <c r="AC1083" s="11">
        <v>64.100999999999999</v>
      </c>
      <c r="AD1083" s="11">
        <v>63.432000000000002</v>
      </c>
      <c r="AE1083" s="11">
        <v>62.875</v>
      </c>
      <c r="AF1083" s="11">
        <v>62.356000000000002</v>
      </c>
      <c r="AG1083" s="11">
        <v>61.807000000000002</v>
      </c>
      <c r="AH1083" s="11">
        <v>61.31</v>
      </c>
      <c r="AI1083" s="11">
        <v>60.823999999999998</v>
      </c>
      <c r="AJ1083" s="11">
        <v>60.472000000000001</v>
      </c>
      <c r="AK1083" s="11">
        <v>60.112000000000002</v>
      </c>
      <c r="AL1083" s="11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  <c r="DG1083" s="3"/>
      <c r="DH1083" s="3"/>
      <c r="DI1083" s="3"/>
      <c r="DJ1083" s="3"/>
      <c r="DK1083" s="3"/>
      <c r="DL1083" s="3"/>
      <c r="DM1083" s="3"/>
      <c r="DN1083" s="3"/>
      <c r="DO1083" s="3"/>
      <c r="DP1083" s="3"/>
      <c r="DQ1083" s="3"/>
      <c r="DR1083" s="3"/>
      <c r="DS1083" s="3"/>
      <c r="DT1083" s="3"/>
      <c r="DU1083" s="3"/>
      <c r="DV1083" s="3"/>
      <c r="DW1083" s="3"/>
      <c r="DX1083" s="3"/>
      <c r="DY1083" s="3"/>
      <c r="DZ1083" s="3"/>
      <c r="EA1083" s="3"/>
      <c r="EB1083" s="3"/>
      <c r="EC1083" s="3"/>
      <c r="ED1083" s="3"/>
      <c r="EE1083" s="3"/>
      <c r="EF1083" s="3"/>
      <c r="EG1083" s="3"/>
      <c r="EH1083" s="3"/>
      <c r="EI1083" s="3"/>
      <c r="EJ1083" s="3"/>
      <c r="EK1083" s="3"/>
      <c r="EL1083" s="3"/>
      <c r="EM1083" s="3"/>
      <c r="EN1083" s="3"/>
      <c r="EO1083" s="3"/>
      <c r="EP1083" s="3"/>
      <c r="EQ1083" s="3"/>
    </row>
    <row r="1084" spans="1:147" x14ac:dyDescent="0.3">
      <c r="A1084" s="9">
        <f>DATE(2021, 3, 11)</f>
        <v>44266</v>
      </c>
      <c r="B1084" s="10">
        <v>69.63</v>
      </c>
      <c r="C1084" s="10">
        <v>69</v>
      </c>
      <c r="D1084" s="10">
        <v>68.19</v>
      </c>
      <c r="E1084" s="10">
        <v>67.489999999999995</v>
      </c>
      <c r="F1084" s="10">
        <v>66.81</v>
      </c>
      <c r="G1084" s="10">
        <v>66.150000000000006</v>
      </c>
      <c r="H1084" s="10">
        <v>65.540000000000006</v>
      </c>
      <c r="I1084" s="10">
        <v>64.98</v>
      </c>
      <c r="J1084" s="10">
        <v>64.47</v>
      </c>
      <c r="K1084" s="10">
        <v>63.99</v>
      </c>
      <c r="L1084" s="10">
        <v>63.54</v>
      </c>
      <c r="M1084" s="10">
        <v>63.14</v>
      </c>
      <c r="N1084" s="10">
        <v>66.02</v>
      </c>
      <c r="O1084" s="10">
        <v>66</v>
      </c>
      <c r="P1084" s="10">
        <v>65.66</v>
      </c>
      <c r="Q1084" s="10">
        <v>65.11</v>
      </c>
      <c r="R1084" s="10">
        <v>64.430000000000007</v>
      </c>
      <c r="S1084" s="10">
        <v>63.7</v>
      </c>
      <c r="T1084" s="10">
        <v>62.97</v>
      </c>
      <c r="U1084" s="10">
        <v>62.28</v>
      </c>
      <c r="V1084" s="10">
        <v>61.64</v>
      </c>
      <c r="W1084" s="10">
        <v>61.04</v>
      </c>
      <c r="X1084" s="10">
        <v>60.48</v>
      </c>
      <c r="Y1084" s="10">
        <v>59.95</v>
      </c>
      <c r="Z1084" s="11">
        <v>66.622</v>
      </c>
      <c r="AA1084" s="11">
        <v>67.141000000000005</v>
      </c>
      <c r="AB1084" s="11">
        <v>66.382999999999996</v>
      </c>
      <c r="AC1084" s="11">
        <v>65.638999999999996</v>
      </c>
      <c r="AD1084" s="11">
        <v>64.92</v>
      </c>
      <c r="AE1084" s="11">
        <v>64.302000000000007</v>
      </c>
      <c r="AF1084" s="11">
        <v>63.715000000000003</v>
      </c>
      <c r="AG1084" s="11">
        <v>63.155999999999999</v>
      </c>
      <c r="AH1084" s="11">
        <v>62.628</v>
      </c>
      <c r="AI1084" s="11">
        <v>62.110999999999997</v>
      </c>
      <c r="AJ1084" s="11">
        <v>61.720999999999997</v>
      </c>
      <c r="AK1084" s="11">
        <v>61.33</v>
      </c>
      <c r="AL1084" s="11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  <c r="DG1084" s="3"/>
      <c r="DH1084" s="3"/>
      <c r="DI1084" s="3"/>
      <c r="DJ1084" s="3"/>
      <c r="DK1084" s="3"/>
      <c r="DL1084" s="3"/>
      <c r="DM1084" s="3"/>
      <c r="DN1084" s="3"/>
      <c r="DO1084" s="3"/>
      <c r="DP1084" s="3"/>
      <c r="DQ1084" s="3"/>
      <c r="DR1084" s="3"/>
      <c r="DS1084" s="3"/>
      <c r="DT1084" s="3"/>
      <c r="DU1084" s="3"/>
      <c r="DV1084" s="3"/>
      <c r="DW1084" s="3"/>
      <c r="DX1084" s="3"/>
      <c r="DY1084" s="3"/>
      <c r="DZ1084" s="3"/>
      <c r="EA1084" s="3"/>
      <c r="EB1084" s="3"/>
      <c r="EC1084" s="3"/>
      <c r="ED1084" s="3"/>
      <c r="EE1084" s="3"/>
      <c r="EF1084" s="3"/>
      <c r="EG1084" s="3"/>
      <c r="EH1084" s="3"/>
      <c r="EI1084" s="3"/>
      <c r="EJ1084" s="3"/>
      <c r="EK1084" s="3"/>
      <c r="EL1084" s="3"/>
      <c r="EM1084" s="3"/>
      <c r="EN1084" s="3"/>
      <c r="EO1084" s="3"/>
      <c r="EP1084" s="3"/>
      <c r="EQ1084" s="3"/>
    </row>
    <row r="1085" spans="1:147" x14ac:dyDescent="0.3">
      <c r="A1085" s="9">
        <f>DATE(2021, 3, 12)</f>
        <v>44267</v>
      </c>
      <c r="B1085" s="10">
        <v>69.22</v>
      </c>
      <c r="C1085" s="10">
        <v>68.680000000000007</v>
      </c>
      <c r="D1085" s="10">
        <v>67.92</v>
      </c>
      <c r="E1085" s="10">
        <v>67.25</v>
      </c>
      <c r="F1085" s="10">
        <v>66.599999999999994</v>
      </c>
      <c r="G1085" s="10">
        <v>65.95</v>
      </c>
      <c r="H1085" s="10">
        <v>65.349999999999994</v>
      </c>
      <c r="I1085" s="10">
        <v>64.790000000000006</v>
      </c>
      <c r="J1085" s="10">
        <v>64.290000000000006</v>
      </c>
      <c r="K1085" s="10">
        <v>63.81</v>
      </c>
      <c r="L1085" s="10">
        <v>63.38</v>
      </c>
      <c r="M1085" s="10">
        <v>62.98</v>
      </c>
      <c r="N1085" s="10">
        <v>65.61</v>
      </c>
      <c r="O1085" s="10">
        <v>65.64</v>
      </c>
      <c r="P1085" s="10">
        <v>65.36</v>
      </c>
      <c r="Q1085" s="10">
        <v>64.84</v>
      </c>
      <c r="R1085" s="10">
        <v>64.19</v>
      </c>
      <c r="S1085" s="10">
        <v>63.48</v>
      </c>
      <c r="T1085" s="10">
        <v>62.76</v>
      </c>
      <c r="U1085" s="10">
        <v>62.09</v>
      </c>
      <c r="V1085" s="10">
        <v>61.46</v>
      </c>
      <c r="W1085" s="10">
        <v>60.86</v>
      </c>
      <c r="X1085" s="10">
        <v>60.31</v>
      </c>
      <c r="Y1085" s="10">
        <v>59.79</v>
      </c>
      <c r="Z1085" s="11">
        <v>66.576999999999998</v>
      </c>
      <c r="AA1085" s="11">
        <v>67.043999999999997</v>
      </c>
      <c r="AB1085" s="11">
        <v>66.286000000000001</v>
      </c>
      <c r="AC1085" s="11">
        <v>65.53</v>
      </c>
      <c r="AD1085" s="11">
        <v>64.83</v>
      </c>
      <c r="AE1085" s="11">
        <v>64.222999999999999</v>
      </c>
      <c r="AF1085" s="11">
        <v>63.655000000000001</v>
      </c>
      <c r="AG1085" s="11">
        <v>63.085999999999999</v>
      </c>
      <c r="AH1085" s="11">
        <v>62.558</v>
      </c>
      <c r="AI1085" s="11">
        <v>62.042999999999999</v>
      </c>
      <c r="AJ1085" s="11">
        <v>61.651000000000003</v>
      </c>
      <c r="AK1085" s="11">
        <v>61.280999999999999</v>
      </c>
      <c r="AL1085" s="11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  <c r="DG1085" s="3"/>
      <c r="DH1085" s="3"/>
      <c r="DI1085" s="3"/>
      <c r="DJ1085" s="3"/>
      <c r="DK1085" s="3"/>
      <c r="DL1085" s="3"/>
      <c r="DM1085" s="3"/>
      <c r="DN1085" s="3"/>
      <c r="DO1085" s="3"/>
      <c r="DP1085" s="3"/>
      <c r="DQ1085" s="3"/>
      <c r="DR1085" s="3"/>
      <c r="DS1085" s="3"/>
      <c r="DT1085" s="3"/>
      <c r="DU1085" s="3"/>
      <c r="DV1085" s="3"/>
      <c r="DW1085" s="3"/>
      <c r="DX1085" s="3"/>
      <c r="DY1085" s="3"/>
      <c r="DZ1085" s="3"/>
      <c r="EA1085" s="3"/>
      <c r="EB1085" s="3"/>
      <c r="EC1085" s="3"/>
      <c r="ED1085" s="3"/>
      <c r="EE1085" s="3"/>
      <c r="EF1085" s="3"/>
      <c r="EG1085" s="3"/>
      <c r="EH1085" s="3"/>
      <c r="EI1085" s="3"/>
      <c r="EJ1085" s="3"/>
      <c r="EK1085" s="3"/>
      <c r="EL1085" s="3"/>
      <c r="EM1085" s="3"/>
      <c r="EN1085" s="3"/>
      <c r="EO1085" s="3"/>
      <c r="EP1085" s="3"/>
      <c r="EQ1085" s="3"/>
    </row>
    <row r="1086" spans="1:147" x14ac:dyDescent="0.3">
      <c r="A1086" s="9">
        <f>DATE(2021, 3, 15)</f>
        <v>44270</v>
      </c>
      <c r="B1086" s="10">
        <v>68.88</v>
      </c>
      <c r="C1086" s="10">
        <v>68.33</v>
      </c>
      <c r="D1086" s="10">
        <v>67.58</v>
      </c>
      <c r="E1086" s="10">
        <v>66.92</v>
      </c>
      <c r="F1086" s="10">
        <v>66.290000000000006</v>
      </c>
      <c r="G1086" s="10">
        <v>65.67</v>
      </c>
      <c r="H1086" s="10">
        <v>65.099999999999994</v>
      </c>
      <c r="I1086" s="10">
        <v>64.55</v>
      </c>
      <c r="J1086" s="10">
        <v>64.06</v>
      </c>
      <c r="K1086" s="10">
        <v>63.6</v>
      </c>
      <c r="L1086" s="10">
        <v>63.17</v>
      </c>
      <c r="M1086" s="10">
        <v>62.77</v>
      </c>
      <c r="N1086" s="10">
        <v>65.39</v>
      </c>
      <c r="O1086" s="10">
        <v>65.44</v>
      </c>
      <c r="P1086" s="10">
        <v>65.2</v>
      </c>
      <c r="Q1086" s="10">
        <v>64.709999999999994</v>
      </c>
      <c r="R1086" s="10">
        <v>64.069999999999993</v>
      </c>
      <c r="S1086" s="10">
        <v>63.36</v>
      </c>
      <c r="T1086" s="10">
        <v>62.65</v>
      </c>
      <c r="U1086" s="10">
        <v>61.98</v>
      </c>
      <c r="V1086" s="10">
        <v>61.35</v>
      </c>
      <c r="W1086" s="10">
        <v>60.76</v>
      </c>
      <c r="X1086" s="10">
        <v>60.2</v>
      </c>
      <c r="Y1086" s="10">
        <v>59.69</v>
      </c>
      <c r="Z1086" s="11">
        <v>66.331999999999994</v>
      </c>
      <c r="AA1086" s="11">
        <v>66.554000000000002</v>
      </c>
      <c r="AB1086" s="11">
        <v>65.837000000000003</v>
      </c>
      <c r="AC1086" s="11">
        <v>65.131</v>
      </c>
      <c r="AD1086" s="11">
        <v>64.451999999999998</v>
      </c>
      <c r="AE1086" s="11">
        <v>63.874000000000002</v>
      </c>
      <c r="AF1086" s="11">
        <v>63.314999999999998</v>
      </c>
      <c r="AG1086" s="11">
        <v>62.777000000000001</v>
      </c>
      <c r="AH1086" s="11">
        <v>62.238999999999997</v>
      </c>
      <c r="AI1086" s="11">
        <v>61.732999999999997</v>
      </c>
      <c r="AJ1086" s="11">
        <v>61.350999999999999</v>
      </c>
      <c r="AK1086" s="11">
        <v>61.002000000000002</v>
      </c>
      <c r="AL1086" s="11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  <c r="DG1086" s="3"/>
      <c r="DH1086" s="3"/>
      <c r="DI1086" s="3"/>
      <c r="DJ1086" s="3"/>
      <c r="DK1086" s="3"/>
      <c r="DL1086" s="3"/>
      <c r="DM1086" s="3"/>
      <c r="DN1086" s="3"/>
      <c r="DO1086" s="3"/>
      <c r="DP1086" s="3"/>
      <c r="DQ1086" s="3"/>
      <c r="DR1086" s="3"/>
      <c r="DS1086" s="3"/>
      <c r="DT1086" s="3"/>
      <c r="DU1086" s="3"/>
      <c r="DV1086" s="3"/>
      <c r="DW1086" s="3"/>
      <c r="DX1086" s="3"/>
      <c r="DY1086" s="3"/>
      <c r="DZ1086" s="3"/>
      <c r="EA1086" s="3"/>
      <c r="EB1086" s="3"/>
      <c r="EC1086" s="3"/>
      <c r="ED1086" s="3"/>
      <c r="EE1086" s="3"/>
      <c r="EF1086" s="3"/>
      <c r="EG1086" s="3"/>
      <c r="EH1086" s="3"/>
      <c r="EI1086" s="3"/>
      <c r="EJ1086" s="3"/>
      <c r="EK1086" s="3"/>
      <c r="EL1086" s="3"/>
      <c r="EM1086" s="3"/>
      <c r="EN1086" s="3"/>
      <c r="EO1086" s="3"/>
      <c r="EP1086" s="3"/>
      <c r="EQ1086" s="3"/>
    </row>
    <row r="1087" spans="1:147" x14ac:dyDescent="0.3">
      <c r="A1087" s="9">
        <f>DATE(2021, 3, 16)</f>
        <v>44271</v>
      </c>
      <c r="B1087" s="10">
        <v>68.39</v>
      </c>
      <c r="C1087" s="10">
        <v>67.87</v>
      </c>
      <c r="D1087" s="10">
        <v>67.180000000000007</v>
      </c>
      <c r="E1087" s="10">
        <v>66.569999999999993</v>
      </c>
      <c r="F1087" s="10">
        <v>65.97</v>
      </c>
      <c r="G1087" s="10">
        <v>65.38</v>
      </c>
      <c r="H1087" s="10">
        <v>64.83</v>
      </c>
      <c r="I1087" s="10">
        <v>64.290000000000006</v>
      </c>
      <c r="J1087" s="10">
        <v>63.81</v>
      </c>
      <c r="K1087" s="10">
        <v>63.36</v>
      </c>
      <c r="L1087" s="10">
        <v>62.95</v>
      </c>
      <c r="M1087" s="10">
        <v>62.58</v>
      </c>
      <c r="N1087" s="10">
        <v>64.8</v>
      </c>
      <c r="O1087" s="10">
        <v>64.86</v>
      </c>
      <c r="P1087" s="10">
        <v>64.680000000000007</v>
      </c>
      <c r="Q1087" s="10">
        <v>64.25</v>
      </c>
      <c r="R1087" s="10">
        <v>63.68</v>
      </c>
      <c r="S1087" s="10">
        <v>63.02</v>
      </c>
      <c r="T1087" s="10">
        <v>62.35</v>
      </c>
      <c r="U1087" s="10">
        <v>61.71</v>
      </c>
      <c r="V1087" s="10">
        <v>61.1</v>
      </c>
      <c r="W1087" s="10">
        <v>60.52</v>
      </c>
      <c r="X1087" s="10">
        <v>59.98</v>
      </c>
      <c r="Y1087" s="10">
        <v>59.48</v>
      </c>
      <c r="Z1087" s="11">
        <v>66.034999999999997</v>
      </c>
      <c r="AA1087" s="11">
        <v>66.096999999999994</v>
      </c>
      <c r="AB1087" s="11">
        <v>65.441999999999993</v>
      </c>
      <c r="AC1087" s="11">
        <v>64.772999999999996</v>
      </c>
      <c r="AD1087" s="11">
        <v>64.132999999999996</v>
      </c>
      <c r="AE1087" s="11">
        <v>63.575000000000003</v>
      </c>
      <c r="AF1087" s="11">
        <v>63.034999999999997</v>
      </c>
      <c r="AG1087" s="11">
        <v>62.517000000000003</v>
      </c>
      <c r="AH1087" s="11">
        <v>61.99</v>
      </c>
      <c r="AI1087" s="11">
        <v>61.494</v>
      </c>
      <c r="AJ1087" s="11">
        <v>61.122</v>
      </c>
      <c r="AK1087" s="11">
        <v>60.792000000000002</v>
      </c>
      <c r="AL1087" s="11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  <c r="DG1087" s="3"/>
      <c r="DH1087" s="3"/>
      <c r="DI1087" s="3"/>
      <c r="DJ1087" s="3"/>
      <c r="DK1087" s="3"/>
      <c r="DL1087" s="3"/>
      <c r="DM1087" s="3"/>
      <c r="DN1087" s="3"/>
      <c r="DO1087" s="3"/>
      <c r="DP1087" s="3"/>
      <c r="DQ1087" s="3"/>
      <c r="DR1087" s="3"/>
      <c r="DS1087" s="3"/>
      <c r="DT1087" s="3"/>
      <c r="DU1087" s="3"/>
      <c r="DV1087" s="3"/>
      <c r="DW1087" s="3"/>
      <c r="DX1087" s="3"/>
      <c r="DY1087" s="3"/>
      <c r="DZ1087" s="3"/>
      <c r="EA1087" s="3"/>
      <c r="EB1087" s="3"/>
      <c r="EC1087" s="3"/>
      <c r="ED1087" s="3"/>
      <c r="EE1087" s="3"/>
      <c r="EF1087" s="3"/>
      <c r="EG1087" s="3"/>
      <c r="EH1087" s="3"/>
      <c r="EI1087" s="3"/>
      <c r="EJ1087" s="3"/>
      <c r="EK1087" s="3"/>
      <c r="EL1087" s="3"/>
      <c r="EM1087" s="3"/>
      <c r="EN1087" s="3"/>
      <c r="EO1087" s="3"/>
      <c r="EP1087" s="3"/>
      <c r="EQ1087" s="3"/>
    </row>
    <row r="1088" spans="1:147" x14ac:dyDescent="0.3">
      <c r="A1088" s="9">
        <f>DATE(2021, 3, 17)</f>
        <v>44272</v>
      </c>
      <c r="B1088" s="10">
        <v>68</v>
      </c>
      <c r="C1088" s="10">
        <v>67.569999999999993</v>
      </c>
      <c r="D1088" s="10">
        <v>66.98</v>
      </c>
      <c r="E1088" s="10">
        <v>66.47</v>
      </c>
      <c r="F1088" s="10">
        <v>65.92</v>
      </c>
      <c r="G1088" s="10">
        <v>65.36</v>
      </c>
      <c r="H1088" s="10">
        <v>64.84</v>
      </c>
      <c r="I1088" s="10">
        <v>64.319999999999993</v>
      </c>
      <c r="J1088" s="10">
        <v>63.86</v>
      </c>
      <c r="K1088" s="10">
        <v>63.42</v>
      </c>
      <c r="L1088" s="10">
        <v>63.03</v>
      </c>
      <c r="M1088" s="10">
        <v>62.68</v>
      </c>
      <c r="N1088" s="10">
        <v>64.599999999999994</v>
      </c>
      <c r="O1088" s="10">
        <v>64.63</v>
      </c>
      <c r="P1088" s="10">
        <v>64.45</v>
      </c>
      <c r="Q1088" s="10">
        <v>64.05</v>
      </c>
      <c r="R1088" s="10">
        <v>63.5</v>
      </c>
      <c r="S1088" s="10">
        <v>62.88</v>
      </c>
      <c r="T1088" s="10">
        <v>62.24</v>
      </c>
      <c r="U1088" s="10">
        <v>61.62</v>
      </c>
      <c r="V1088" s="10">
        <v>61.05</v>
      </c>
      <c r="W1088" s="10">
        <v>60.5</v>
      </c>
      <c r="X1088" s="10">
        <v>59.98</v>
      </c>
      <c r="Y1088" s="10">
        <v>59.5</v>
      </c>
      <c r="Z1088" s="11">
        <v>65.739999999999995</v>
      </c>
      <c r="AA1088" s="11">
        <v>65.542000000000002</v>
      </c>
      <c r="AB1088" s="11">
        <v>65.090999999999994</v>
      </c>
      <c r="AC1088" s="11">
        <v>64.534999999999997</v>
      </c>
      <c r="AD1088" s="11">
        <v>63.994999999999997</v>
      </c>
      <c r="AE1088" s="11">
        <v>63.496000000000002</v>
      </c>
      <c r="AF1088" s="11">
        <v>63.006</v>
      </c>
      <c r="AG1088" s="11">
        <v>62.508000000000003</v>
      </c>
      <c r="AH1088" s="11">
        <v>62.02</v>
      </c>
      <c r="AI1088" s="11">
        <v>61.526000000000003</v>
      </c>
      <c r="AJ1088" s="11">
        <v>61.183</v>
      </c>
      <c r="AK1088" s="11">
        <v>60.863</v>
      </c>
      <c r="AL1088" s="11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  <c r="DG1088" s="3"/>
      <c r="DH1088" s="3"/>
      <c r="DI1088" s="3"/>
      <c r="DJ1088" s="3"/>
      <c r="DK1088" s="3"/>
      <c r="DL1088" s="3"/>
      <c r="DM1088" s="3"/>
      <c r="DN1088" s="3"/>
      <c r="DO1088" s="3"/>
      <c r="DP1088" s="3"/>
      <c r="DQ1088" s="3"/>
      <c r="DR1088" s="3"/>
      <c r="DS1088" s="3"/>
      <c r="DT1088" s="3"/>
      <c r="DU1088" s="3"/>
      <c r="DV1088" s="3"/>
      <c r="DW1088" s="3"/>
      <c r="DX1088" s="3"/>
      <c r="DY1088" s="3"/>
      <c r="DZ1088" s="3"/>
      <c r="EA1088" s="3"/>
      <c r="EB1088" s="3"/>
      <c r="EC1088" s="3"/>
      <c r="ED1088" s="3"/>
      <c r="EE1088" s="3"/>
      <c r="EF1088" s="3"/>
      <c r="EG1088" s="3"/>
      <c r="EH1088" s="3"/>
      <c r="EI1088" s="3"/>
      <c r="EJ1088" s="3"/>
      <c r="EK1088" s="3"/>
      <c r="EL1088" s="3"/>
      <c r="EM1088" s="3"/>
      <c r="EN1088" s="3"/>
      <c r="EO1088" s="3"/>
      <c r="EP1088" s="3"/>
      <c r="EQ1088" s="3"/>
    </row>
    <row r="1089" spans="1:147" x14ac:dyDescent="0.3">
      <c r="A1089" s="9">
        <f>DATE(2021, 3, 18)</f>
        <v>44273</v>
      </c>
      <c r="B1089" s="10">
        <v>63.28</v>
      </c>
      <c r="C1089" s="10">
        <v>63.03</v>
      </c>
      <c r="D1089" s="10">
        <v>62.61</v>
      </c>
      <c r="E1089" s="10">
        <v>62.25</v>
      </c>
      <c r="F1089" s="10">
        <v>61.87</v>
      </c>
      <c r="G1089" s="10">
        <v>61.47</v>
      </c>
      <c r="H1089" s="10">
        <v>61.08</v>
      </c>
      <c r="I1089" s="10">
        <v>60.68</v>
      </c>
      <c r="J1089" s="10">
        <v>60.34</v>
      </c>
      <c r="K1089" s="10">
        <v>60.02</v>
      </c>
      <c r="L1089" s="10">
        <v>59.75</v>
      </c>
      <c r="M1089" s="10">
        <v>59.5</v>
      </c>
      <c r="N1089" s="10">
        <v>60</v>
      </c>
      <c r="O1089" s="10">
        <v>60.06</v>
      </c>
      <c r="P1089" s="10">
        <v>59.94</v>
      </c>
      <c r="Q1089" s="10">
        <v>59.66</v>
      </c>
      <c r="R1089" s="10">
        <v>59.25</v>
      </c>
      <c r="S1089" s="10">
        <v>58.78</v>
      </c>
      <c r="T1089" s="10">
        <v>58.3</v>
      </c>
      <c r="U1089" s="10">
        <v>57.82</v>
      </c>
      <c r="V1089" s="10">
        <v>57.39</v>
      </c>
      <c r="W1089" s="10">
        <v>56.97</v>
      </c>
      <c r="X1089" s="10">
        <v>56.59</v>
      </c>
      <c r="Y1089" s="10">
        <v>56.23</v>
      </c>
      <c r="Z1089" s="11">
        <v>64.016000000000005</v>
      </c>
      <c r="AA1089" s="11">
        <v>61.216999999999999</v>
      </c>
      <c r="AB1089" s="11">
        <v>60.829000000000001</v>
      </c>
      <c r="AC1089" s="11">
        <v>60.387999999999998</v>
      </c>
      <c r="AD1089" s="11">
        <v>59.948999999999998</v>
      </c>
      <c r="AE1089" s="11">
        <v>59.634</v>
      </c>
      <c r="AF1089" s="11">
        <v>59.292999999999999</v>
      </c>
      <c r="AG1089" s="11">
        <v>58.914000000000001</v>
      </c>
      <c r="AH1089" s="11">
        <v>58.555</v>
      </c>
      <c r="AI1089" s="11">
        <v>58.207000000000001</v>
      </c>
      <c r="AJ1089" s="11">
        <v>57.978000000000002</v>
      </c>
      <c r="AK1089" s="11">
        <v>57.759</v>
      </c>
      <c r="AL1089" s="11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  <c r="DG1089" s="3"/>
      <c r="DH1089" s="3"/>
      <c r="DI1089" s="3"/>
      <c r="DJ1089" s="3"/>
      <c r="DK1089" s="3"/>
      <c r="DL1089" s="3"/>
      <c r="DM1089" s="3"/>
      <c r="DN1089" s="3"/>
      <c r="DO1089" s="3"/>
      <c r="DP1089" s="3"/>
      <c r="DQ1089" s="3"/>
      <c r="DR1089" s="3"/>
      <c r="DS1089" s="3"/>
      <c r="DT1089" s="3"/>
      <c r="DU1089" s="3"/>
      <c r="DV1089" s="3"/>
      <c r="DW1089" s="3"/>
      <c r="DX1089" s="3"/>
      <c r="DY1089" s="3"/>
      <c r="DZ1089" s="3"/>
      <c r="EA1089" s="3"/>
      <c r="EB1089" s="3"/>
      <c r="EC1089" s="3"/>
      <c r="ED1089" s="3"/>
      <c r="EE1089" s="3"/>
      <c r="EF1089" s="3"/>
      <c r="EG1089" s="3"/>
      <c r="EH1089" s="3"/>
      <c r="EI1089" s="3"/>
      <c r="EJ1089" s="3"/>
      <c r="EK1089" s="3"/>
      <c r="EL1089" s="3"/>
      <c r="EM1089" s="3"/>
      <c r="EN1089" s="3"/>
      <c r="EO1089" s="3"/>
      <c r="EP1089" s="3"/>
      <c r="EQ1089" s="3"/>
    </row>
    <row r="1090" spans="1:147" x14ac:dyDescent="0.3">
      <c r="A1090" s="9">
        <f>DATE(2021, 3, 19)</f>
        <v>44274</v>
      </c>
      <c r="B1090" s="10">
        <v>64.53</v>
      </c>
      <c r="C1090" s="10">
        <v>64.349999999999994</v>
      </c>
      <c r="D1090" s="10">
        <v>63.9</v>
      </c>
      <c r="E1090" s="10">
        <v>63.5</v>
      </c>
      <c r="F1090" s="10">
        <v>63.08</v>
      </c>
      <c r="G1090" s="10">
        <v>62.62</v>
      </c>
      <c r="H1090" s="10">
        <v>62.16</v>
      </c>
      <c r="I1090" s="10">
        <v>61.71</v>
      </c>
      <c r="J1090" s="10">
        <v>61.32</v>
      </c>
      <c r="K1090" s="10">
        <v>60.96</v>
      </c>
      <c r="L1090" s="10">
        <v>60.63</v>
      </c>
      <c r="M1090" s="10">
        <v>60.34</v>
      </c>
      <c r="N1090" s="10">
        <v>61.42</v>
      </c>
      <c r="O1090" s="10">
        <v>61.44</v>
      </c>
      <c r="P1090" s="10">
        <v>61.31</v>
      </c>
      <c r="Q1090" s="10">
        <v>61.01</v>
      </c>
      <c r="R1090" s="10">
        <v>60.57</v>
      </c>
      <c r="S1090" s="10">
        <v>60.05</v>
      </c>
      <c r="T1090" s="10">
        <v>59.5</v>
      </c>
      <c r="U1090" s="10">
        <v>58.97</v>
      </c>
      <c r="V1090" s="10">
        <v>58.47</v>
      </c>
      <c r="W1090" s="10">
        <v>57.99</v>
      </c>
      <c r="X1090" s="10">
        <v>57.55</v>
      </c>
      <c r="Y1090" s="10">
        <v>57.15</v>
      </c>
      <c r="Z1090" s="11">
        <v>64.617000000000004</v>
      </c>
      <c r="AA1090" s="11">
        <v>62.759</v>
      </c>
      <c r="AB1090" s="11">
        <v>62.26</v>
      </c>
      <c r="AC1090" s="11">
        <v>61.726999999999997</v>
      </c>
      <c r="AD1090" s="11">
        <v>61.228999999999999</v>
      </c>
      <c r="AE1090" s="11">
        <v>60.789000000000001</v>
      </c>
      <c r="AF1090" s="11">
        <v>60.38</v>
      </c>
      <c r="AG1090" s="11">
        <v>59.960999999999999</v>
      </c>
      <c r="AH1090" s="11">
        <v>59.554000000000002</v>
      </c>
      <c r="AI1090" s="11">
        <v>59.170999999999999</v>
      </c>
      <c r="AJ1090" s="11">
        <v>58.886000000000003</v>
      </c>
      <c r="AK1090" s="11">
        <v>58.627000000000002</v>
      </c>
      <c r="AL1090" s="11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  <c r="DG1090" s="3"/>
      <c r="DH1090" s="3"/>
      <c r="DI1090" s="3"/>
      <c r="DJ1090" s="3"/>
      <c r="DK1090" s="3"/>
      <c r="DL1090" s="3"/>
      <c r="DM1090" s="3"/>
      <c r="DN1090" s="3"/>
      <c r="DO1090" s="3"/>
      <c r="DP1090" s="3"/>
      <c r="DQ1090" s="3"/>
      <c r="DR1090" s="3"/>
      <c r="DS1090" s="3"/>
      <c r="DT1090" s="3"/>
      <c r="DU1090" s="3"/>
      <c r="DV1090" s="3"/>
      <c r="DW1090" s="3"/>
      <c r="DX1090" s="3"/>
      <c r="DY1090" s="3"/>
      <c r="DZ1090" s="3"/>
      <c r="EA1090" s="3"/>
      <c r="EB1090" s="3"/>
      <c r="EC1090" s="3"/>
      <c r="ED1090" s="3"/>
      <c r="EE1090" s="3"/>
      <c r="EF1090" s="3"/>
      <c r="EG1090" s="3"/>
      <c r="EH1090" s="3"/>
      <c r="EI1090" s="3"/>
      <c r="EJ1090" s="3"/>
      <c r="EK1090" s="3"/>
      <c r="EL1090" s="3"/>
      <c r="EM1090" s="3"/>
      <c r="EN1090" s="3"/>
      <c r="EO1090" s="3"/>
      <c r="EP1090" s="3"/>
      <c r="EQ1090" s="3"/>
    </row>
    <row r="1091" spans="1:147" x14ac:dyDescent="0.3">
      <c r="A1091" s="9">
        <f>DATE(2021, 3, 22)</f>
        <v>44277</v>
      </c>
      <c r="B1091" s="10">
        <v>64.62</v>
      </c>
      <c r="C1091" s="10">
        <v>64.52</v>
      </c>
      <c r="D1091" s="10">
        <v>64.099999999999994</v>
      </c>
      <c r="E1091" s="10">
        <v>63.72</v>
      </c>
      <c r="F1091" s="10">
        <v>63.31</v>
      </c>
      <c r="G1091" s="10">
        <v>62.86</v>
      </c>
      <c r="H1091" s="10">
        <v>62.41</v>
      </c>
      <c r="I1091" s="10">
        <v>61.97</v>
      </c>
      <c r="J1091" s="10">
        <v>61.57</v>
      </c>
      <c r="K1091" s="10">
        <v>61.2</v>
      </c>
      <c r="L1091" s="10">
        <v>60.88</v>
      </c>
      <c r="M1091" s="10">
        <v>60.59</v>
      </c>
      <c r="N1091" s="10">
        <v>61.55</v>
      </c>
      <c r="O1091" s="10">
        <v>61.56</v>
      </c>
      <c r="P1091" s="10">
        <v>61.49</v>
      </c>
      <c r="Q1091" s="10">
        <v>61.23</v>
      </c>
      <c r="R1091" s="10">
        <v>60.81</v>
      </c>
      <c r="S1091" s="10">
        <v>60.3</v>
      </c>
      <c r="T1091" s="10">
        <v>59.76</v>
      </c>
      <c r="U1091" s="10">
        <v>59.22</v>
      </c>
      <c r="V1091" s="10">
        <v>58.71</v>
      </c>
      <c r="W1091" s="10">
        <v>58.24</v>
      </c>
      <c r="X1091" s="10">
        <v>57.77</v>
      </c>
      <c r="Y1091" s="10">
        <v>57.38</v>
      </c>
      <c r="Z1091" s="11">
        <v>64.73</v>
      </c>
      <c r="AA1091" s="11">
        <v>63.12</v>
      </c>
      <c r="AB1091" s="11">
        <v>62.584000000000003</v>
      </c>
      <c r="AC1091" s="11">
        <v>62.021000000000001</v>
      </c>
      <c r="AD1091" s="11">
        <v>61.52</v>
      </c>
      <c r="AE1091" s="11">
        <v>61.115000000000002</v>
      </c>
      <c r="AF1091" s="11">
        <v>60.7</v>
      </c>
      <c r="AG1091" s="11">
        <v>60.280999999999999</v>
      </c>
      <c r="AH1091" s="11">
        <v>59.863</v>
      </c>
      <c r="AI1091" s="11">
        <v>59.472000000000001</v>
      </c>
      <c r="AJ1091" s="11">
        <v>59.195999999999998</v>
      </c>
      <c r="AK1091" s="11">
        <v>58.947000000000003</v>
      </c>
      <c r="AL1091" s="11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  <c r="DG1091" s="3"/>
      <c r="DH1091" s="3"/>
      <c r="DI1091" s="3"/>
      <c r="DJ1091" s="3"/>
      <c r="DK1091" s="3"/>
      <c r="DL1091" s="3"/>
      <c r="DM1091" s="3"/>
      <c r="DN1091" s="3"/>
      <c r="DO1091" s="3"/>
      <c r="DP1091" s="3"/>
      <c r="DQ1091" s="3"/>
      <c r="DR1091" s="3"/>
      <c r="DS1091" s="3"/>
      <c r="DT1091" s="3"/>
      <c r="DU1091" s="3"/>
      <c r="DV1091" s="3"/>
      <c r="DW1091" s="3"/>
      <c r="DX1091" s="3"/>
      <c r="DY1091" s="3"/>
      <c r="DZ1091" s="3"/>
      <c r="EA1091" s="3"/>
      <c r="EB1091" s="3"/>
      <c r="EC1091" s="3"/>
      <c r="ED1091" s="3"/>
      <c r="EE1091" s="3"/>
      <c r="EF1091" s="3"/>
      <c r="EG1091" s="3"/>
      <c r="EH1091" s="3"/>
      <c r="EI1091" s="3"/>
      <c r="EJ1091" s="3"/>
      <c r="EK1091" s="3"/>
      <c r="EL1091" s="3"/>
      <c r="EM1091" s="3"/>
      <c r="EN1091" s="3"/>
      <c r="EO1091" s="3"/>
      <c r="EP1091" s="3"/>
      <c r="EQ1091" s="3"/>
    </row>
    <row r="1092" spans="1:147" x14ac:dyDescent="0.3">
      <c r="A1092" s="9">
        <f>DATE(2021, 3, 23)</f>
        <v>44278</v>
      </c>
      <c r="B1092" s="10">
        <v>60.79</v>
      </c>
      <c r="C1092" s="10">
        <v>60.86</v>
      </c>
      <c r="D1092" s="10">
        <v>60.56</v>
      </c>
      <c r="E1092" s="10">
        <v>60.31</v>
      </c>
      <c r="F1092" s="10">
        <v>60.04</v>
      </c>
      <c r="G1092" s="10">
        <v>59.74</v>
      </c>
      <c r="H1092" s="10">
        <v>59.45</v>
      </c>
      <c r="I1092" s="10">
        <v>59.15</v>
      </c>
      <c r="J1092" s="10">
        <v>58.88</v>
      </c>
      <c r="K1092" s="10">
        <v>58.63</v>
      </c>
      <c r="L1092" s="10">
        <v>58.4</v>
      </c>
      <c r="M1092" s="10">
        <v>58.21</v>
      </c>
      <c r="N1092" s="10">
        <v>57.76</v>
      </c>
      <c r="O1092" s="10">
        <v>57.78</v>
      </c>
      <c r="P1092" s="10">
        <v>57.64</v>
      </c>
      <c r="Q1092" s="10">
        <v>57.38</v>
      </c>
      <c r="R1092" s="10">
        <v>57.03</v>
      </c>
      <c r="S1092" s="10">
        <v>56.64</v>
      </c>
      <c r="T1092" s="10">
        <v>56.27</v>
      </c>
      <c r="U1092" s="10">
        <v>55.93</v>
      </c>
      <c r="V1092" s="10">
        <v>55.59</v>
      </c>
      <c r="W1092" s="10">
        <v>55.27</v>
      </c>
      <c r="X1092" s="10">
        <v>54.97</v>
      </c>
      <c r="Y1092" s="10">
        <v>54.69</v>
      </c>
      <c r="Z1092" s="11">
        <v>63.734000000000002</v>
      </c>
      <c r="AA1092" s="11">
        <v>59.445999999999998</v>
      </c>
      <c r="AB1092" s="11">
        <v>59.045999999999999</v>
      </c>
      <c r="AC1092" s="11">
        <v>58.597999999999999</v>
      </c>
      <c r="AD1092" s="11">
        <v>58.246000000000002</v>
      </c>
      <c r="AE1092" s="11">
        <v>57.957000000000001</v>
      </c>
      <c r="AF1092" s="11">
        <v>57.706000000000003</v>
      </c>
      <c r="AG1092" s="11">
        <v>57.436999999999998</v>
      </c>
      <c r="AH1092" s="11">
        <v>57.158999999999999</v>
      </c>
      <c r="AI1092" s="11">
        <v>56.88</v>
      </c>
      <c r="AJ1092" s="11">
        <v>56.701000000000001</v>
      </c>
      <c r="AK1092" s="11">
        <v>56.540999999999997</v>
      </c>
      <c r="AL1092" s="11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  <c r="DG1092" s="3"/>
      <c r="DH1092" s="3"/>
      <c r="DI1092" s="3"/>
      <c r="DJ1092" s="3"/>
      <c r="DK1092" s="3"/>
      <c r="DL1092" s="3"/>
      <c r="DM1092" s="3"/>
      <c r="DN1092" s="3"/>
      <c r="DO1092" s="3"/>
      <c r="DP1092" s="3"/>
      <c r="DQ1092" s="3"/>
      <c r="DR1092" s="3"/>
      <c r="DS1092" s="3"/>
      <c r="DT1092" s="3"/>
      <c r="DU1092" s="3"/>
      <c r="DV1092" s="3"/>
      <c r="DW1092" s="3"/>
      <c r="DX1092" s="3"/>
      <c r="DY1092" s="3"/>
      <c r="DZ1092" s="3"/>
      <c r="EA1092" s="3"/>
      <c r="EB1092" s="3"/>
      <c r="EC1092" s="3"/>
      <c r="ED1092" s="3"/>
      <c r="EE1092" s="3"/>
      <c r="EF1092" s="3"/>
      <c r="EG1092" s="3"/>
      <c r="EH1092" s="3"/>
      <c r="EI1092" s="3"/>
      <c r="EJ1092" s="3"/>
      <c r="EK1092" s="3"/>
      <c r="EL1092" s="3"/>
      <c r="EM1092" s="3"/>
      <c r="EN1092" s="3"/>
      <c r="EO1092" s="3"/>
      <c r="EP1092" s="3"/>
      <c r="EQ1092" s="3"/>
    </row>
    <row r="1093" spans="1:147" x14ac:dyDescent="0.3">
      <c r="A1093" s="9">
        <f>DATE(2021, 3, 24)</f>
        <v>44279</v>
      </c>
      <c r="B1093" s="10">
        <v>64.41</v>
      </c>
      <c r="C1093" s="10">
        <v>64.25</v>
      </c>
      <c r="D1093" s="10">
        <v>63.82</v>
      </c>
      <c r="E1093" s="10">
        <v>63.46</v>
      </c>
      <c r="F1093" s="10">
        <v>63.08</v>
      </c>
      <c r="G1093" s="10">
        <v>62.66</v>
      </c>
      <c r="H1093" s="10">
        <v>62.26</v>
      </c>
      <c r="I1093" s="10">
        <v>61.85</v>
      </c>
      <c r="J1093" s="10">
        <v>61.5</v>
      </c>
      <c r="K1093" s="10">
        <v>61.18</v>
      </c>
      <c r="L1093" s="10">
        <v>60.87</v>
      </c>
      <c r="M1093" s="10">
        <v>60.6</v>
      </c>
      <c r="N1093" s="10">
        <v>61.18</v>
      </c>
      <c r="O1093" s="10">
        <v>61.16</v>
      </c>
      <c r="P1093" s="10">
        <v>60.96</v>
      </c>
      <c r="Q1093" s="10">
        <v>60.6</v>
      </c>
      <c r="R1093" s="10">
        <v>60.12</v>
      </c>
      <c r="S1093" s="10">
        <v>59.61</v>
      </c>
      <c r="T1093" s="10">
        <v>59.1</v>
      </c>
      <c r="U1093" s="10">
        <v>58.62</v>
      </c>
      <c r="V1093" s="10">
        <v>58.15</v>
      </c>
      <c r="W1093" s="10">
        <v>57.73</v>
      </c>
      <c r="X1093" s="10">
        <v>57.35</v>
      </c>
      <c r="Y1093" s="10">
        <v>56.99</v>
      </c>
      <c r="Z1093" s="11">
        <v>64.578000000000003</v>
      </c>
      <c r="AA1093" s="11">
        <v>62.56</v>
      </c>
      <c r="AB1093" s="11">
        <v>62.066000000000003</v>
      </c>
      <c r="AC1093" s="11">
        <v>61.573</v>
      </c>
      <c r="AD1093" s="11">
        <v>61.121000000000002</v>
      </c>
      <c r="AE1093" s="11">
        <v>60.792000000000002</v>
      </c>
      <c r="AF1093" s="11">
        <v>60.441000000000003</v>
      </c>
      <c r="AG1093" s="11">
        <v>60.063000000000002</v>
      </c>
      <c r="AH1093" s="11">
        <v>59.695</v>
      </c>
      <c r="AI1093" s="11">
        <v>59.343000000000004</v>
      </c>
      <c r="AJ1093" s="11">
        <v>59.087000000000003</v>
      </c>
      <c r="AK1093" s="11">
        <v>58.837000000000003</v>
      </c>
      <c r="AL1093" s="11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  <c r="DG1093" s="3"/>
      <c r="DH1093" s="3"/>
      <c r="DI1093" s="3"/>
      <c r="DJ1093" s="3"/>
      <c r="DK1093" s="3"/>
      <c r="DL1093" s="3"/>
      <c r="DM1093" s="3"/>
      <c r="DN1093" s="3"/>
      <c r="DO1093" s="3"/>
      <c r="DP1093" s="3"/>
      <c r="DQ1093" s="3"/>
      <c r="DR1093" s="3"/>
      <c r="DS1093" s="3"/>
      <c r="DT1093" s="3"/>
      <c r="DU1093" s="3"/>
      <c r="DV1093" s="3"/>
      <c r="DW1093" s="3"/>
      <c r="DX1093" s="3"/>
      <c r="DY1093" s="3"/>
      <c r="DZ1093" s="3"/>
      <c r="EA1093" s="3"/>
      <c r="EB1093" s="3"/>
      <c r="EC1093" s="3"/>
      <c r="ED1093" s="3"/>
      <c r="EE1093" s="3"/>
      <c r="EF1093" s="3"/>
      <c r="EG1093" s="3"/>
      <c r="EH1093" s="3"/>
      <c r="EI1093" s="3"/>
      <c r="EJ1093" s="3"/>
      <c r="EK1093" s="3"/>
      <c r="EL1093" s="3"/>
      <c r="EM1093" s="3"/>
      <c r="EN1093" s="3"/>
      <c r="EO1093" s="3"/>
      <c r="EP1093" s="3"/>
      <c r="EQ1093" s="3"/>
    </row>
    <row r="1094" spans="1:147" x14ac:dyDescent="0.3">
      <c r="A1094" s="9">
        <f>DATE(2021, 3, 25)</f>
        <v>44280</v>
      </c>
      <c r="B1094" s="10">
        <v>61.95</v>
      </c>
      <c r="C1094" s="10">
        <v>61.8</v>
      </c>
      <c r="D1094" s="10">
        <v>61.4</v>
      </c>
      <c r="E1094" s="10">
        <v>61.07</v>
      </c>
      <c r="F1094" s="10">
        <v>60.72</v>
      </c>
      <c r="G1094" s="10">
        <v>60.34</v>
      </c>
      <c r="H1094" s="10">
        <v>59.98</v>
      </c>
      <c r="I1094" s="10">
        <v>59.61</v>
      </c>
      <c r="J1094" s="10">
        <v>59.31</v>
      </c>
      <c r="K1094" s="10">
        <v>59.02</v>
      </c>
      <c r="L1094" s="10">
        <v>58.75</v>
      </c>
      <c r="M1094" s="10">
        <v>58.51</v>
      </c>
      <c r="N1094" s="10">
        <v>58.56</v>
      </c>
      <c r="O1094" s="10">
        <v>58.57</v>
      </c>
      <c r="P1094" s="10">
        <v>58.4</v>
      </c>
      <c r="Q1094" s="10">
        <v>58.07</v>
      </c>
      <c r="R1094" s="10">
        <v>57.66</v>
      </c>
      <c r="S1094" s="10">
        <v>57.22</v>
      </c>
      <c r="T1094" s="10">
        <v>56.79</v>
      </c>
      <c r="U1094" s="10">
        <v>56.36</v>
      </c>
      <c r="V1094" s="10">
        <v>55.97</v>
      </c>
      <c r="W1094" s="10">
        <v>55.6</v>
      </c>
      <c r="X1094" s="10">
        <v>55.26</v>
      </c>
      <c r="Y1094" s="10">
        <v>54.94</v>
      </c>
      <c r="Z1094" s="11">
        <v>64.094999999999999</v>
      </c>
      <c r="AA1094" s="11">
        <v>60.341000000000001</v>
      </c>
      <c r="AB1094" s="11">
        <v>59.798999999999999</v>
      </c>
      <c r="AC1094" s="11">
        <v>59.293999999999997</v>
      </c>
      <c r="AD1094" s="11">
        <v>58.872999999999998</v>
      </c>
      <c r="AE1094" s="11">
        <v>58.524000000000001</v>
      </c>
      <c r="AF1094" s="11">
        <v>58.213000000000001</v>
      </c>
      <c r="AG1094" s="11">
        <v>57.875999999999998</v>
      </c>
      <c r="AH1094" s="11">
        <v>57.536999999999999</v>
      </c>
      <c r="AI1094" s="11">
        <v>57.216999999999999</v>
      </c>
      <c r="AJ1094" s="11">
        <v>56.969000000000001</v>
      </c>
      <c r="AK1094" s="11">
        <v>56.75</v>
      </c>
      <c r="AL1094" s="11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  <c r="DP1094" s="3"/>
      <c r="DQ1094" s="3"/>
      <c r="DR1094" s="3"/>
      <c r="DS1094" s="3"/>
      <c r="DT1094" s="3"/>
      <c r="DU1094" s="3"/>
      <c r="DV1094" s="3"/>
      <c r="DW1094" s="3"/>
      <c r="DX1094" s="3"/>
      <c r="DY1094" s="3"/>
      <c r="DZ1094" s="3"/>
      <c r="EA1094" s="3"/>
      <c r="EB1094" s="3"/>
      <c r="EC1094" s="3"/>
      <c r="ED1094" s="3"/>
      <c r="EE1094" s="3"/>
      <c r="EF1094" s="3"/>
      <c r="EG1094" s="3"/>
      <c r="EH1094" s="3"/>
      <c r="EI1094" s="3"/>
      <c r="EJ1094" s="3"/>
      <c r="EK1094" s="3"/>
      <c r="EL1094" s="3"/>
      <c r="EM1094" s="3"/>
      <c r="EN1094" s="3"/>
      <c r="EO1094" s="3"/>
      <c r="EP1094" s="3"/>
      <c r="EQ1094" s="3"/>
    </row>
    <row r="1095" spans="1:147" x14ac:dyDescent="0.3">
      <c r="A1095" s="9">
        <f>DATE(2021, 3, 26)</f>
        <v>44281</v>
      </c>
      <c r="B1095" s="10">
        <v>64.569999999999993</v>
      </c>
      <c r="C1095" s="10">
        <v>64.430000000000007</v>
      </c>
      <c r="D1095" s="10">
        <v>63.95</v>
      </c>
      <c r="E1095" s="10">
        <v>63.55</v>
      </c>
      <c r="F1095" s="10">
        <v>63.09</v>
      </c>
      <c r="G1095" s="10">
        <v>62.62</v>
      </c>
      <c r="H1095" s="10">
        <v>62.16</v>
      </c>
      <c r="I1095" s="10">
        <v>61.71</v>
      </c>
      <c r="J1095" s="10">
        <v>61.33</v>
      </c>
      <c r="K1095" s="10">
        <v>60.98</v>
      </c>
      <c r="L1095" s="10">
        <v>60.65</v>
      </c>
      <c r="M1095" s="10">
        <v>60.37</v>
      </c>
      <c r="N1095" s="10">
        <v>60.97</v>
      </c>
      <c r="O1095" s="10">
        <v>60.96</v>
      </c>
      <c r="P1095" s="10">
        <v>60.76</v>
      </c>
      <c r="Q1095" s="10">
        <v>60.4</v>
      </c>
      <c r="R1095" s="10">
        <v>59.93</v>
      </c>
      <c r="S1095" s="10">
        <v>59.42</v>
      </c>
      <c r="T1095" s="10">
        <v>58.92</v>
      </c>
      <c r="U1095" s="10">
        <v>58.44</v>
      </c>
      <c r="V1095" s="10">
        <v>57.98</v>
      </c>
      <c r="W1095" s="10">
        <v>57.56</v>
      </c>
      <c r="X1095" s="10">
        <v>57.17</v>
      </c>
      <c r="Y1095" s="10">
        <v>56.8</v>
      </c>
      <c r="Z1095" s="11">
        <v>64.405000000000001</v>
      </c>
      <c r="AA1095" s="11">
        <v>62.938000000000002</v>
      </c>
      <c r="AB1095" s="11">
        <v>62.348999999999997</v>
      </c>
      <c r="AC1095" s="11">
        <v>61.774000000000001</v>
      </c>
      <c r="AD1095" s="11">
        <v>61.209000000000003</v>
      </c>
      <c r="AE1095" s="11">
        <v>60.749000000000002</v>
      </c>
      <c r="AF1095" s="11">
        <v>60.35</v>
      </c>
      <c r="AG1095" s="11">
        <v>59.951999999999998</v>
      </c>
      <c r="AH1095" s="11">
        <v>59.533999999999999</v>
      </c>
      <c r="AI1095" s="11">
        <v>59.140999999999998</v>
      </c>
      <c r="AJ1095" s="11">
        <v>58.866999999999997</v>
      </c>
      <c r="AK1095" s="11">
        <v>58.606999999999999</v>
      </c>
      <c r="AL1095" s="11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  <c r="DP1095" s="3"/>
      <c r="DQ1095" s="3"/>
      <c r="DR1095" s="3"/>
      <c r="DS1095" s="3"/>
      <c r="DT1095" s="3"/>
      <c r="DU1095" s="3"/>
      <c r="DV1095" s="3"/>
      <c r="DW1095" s="3"/>
      <c r="DX1095" s="3"/>
      <c r="DY1095" s="3"/>
      <c r="DZ1095" s="3"/>
      <c r="EA1095" s="3"/>
      <c r="EB1095" s="3"/>
      <c r="EC1095" s="3"/>
      <c r="ED1095" s="3"/>
      <c r="EE1095" s="3"/>
      <c r="EF1095" s="3"/>
      <c r="EG1095" s="3"/>
      <c r="EH1095" s="3"/>
      <c r="EI1095" s="3"/>
      <c r="EJ1095" s="3"/>
      <c r="EK1095" s="3"/>
      <c r="EL1095" s="3"/>
      <c r="EM1095" s="3"/>
      <c r="EN1095" s="3"/>
      <c r="EO1095" s="3"/>
      <c r="EP1095" s="3"/>
      <c r="EQ1095" s="3"/>
    </row>
    <row r="1096" spans="1:147" x14ac:dyDescent="0.3">
      <c r="A1096" s="9">
        <f>DATE(2021, 3, 29)</f>
        <v>44284</v>
      </c>
      <c r="B1096" s="10">
        <v>64.98</v>
      </c>
      <c r="C1096" s="10">
        <v>64.92</v>
      </c>
      <c r="D1096" s="10">
        <v>64.37</v>
      </c>
      <c r="E1096" s="10">
        <v>63.92</v>
      </c>
      <c r="F1096" s="10">
        <v>63.43</v>
      </c>
      <c r="G1096" s="10">
        <v>62.92</v>
      </c>
      <c r="H1096" s="10">
        <v>62.44</v>
      </c>
      <c r="I1096" s="10">
        <v>61.97</v>
      </c>
      <c r="J1096" s="10">
        <v>61.57</v>
      </c>
      <c r="K1096" s="10">
        <v>61.19</v>
      </c>
      <c r="L1096" s="10">
        <v>60.84</v>
      </c>
      <c r="M1096" s="10">
        <v>60.54</v>
      </c>
      <c r="N1096" s="10">
        <v>61.56</v>
      </c>
      <c r="O1096" s="10">
        <v>61.53</v>
      </c>
      <c r="P1096" s="10">
        <v>61.3</v>
      </c>
      <c r="Q1096" s="10">
        <v>60.87</v>
      </c>
      <c r="R1096" s="10">
        <v>60.33</v>
      </c>
      <c r="S1096" s="10">
        <v>59.75</v>
      </c>
      <c r="T1096" s="10">
        <v>59.21</v>
      </c>
      <c r="U1096" s="10">
        <v>58.68</v>
      </c>
      <c r="V1096" s="10">
        <v>58.19</v>
      </c>
      <c r="W1096" s="10">
        <v>57.74</v>
      </c>
      <c r="X1096" s="10">
        <v>57.33</v>
      </c>
      <c r="Y1096" s="10">
        <v>56.94</v>
      </c>
      <c r="Z1096" s="11">
        <v>64.454999999999998</v>
      </c>
      <c r="AA1096" s="11">
        <v>63.404000000000003</v>
      </c>
      <c r="AB1096" s="11">
        <v>62.716999999999999</v>
      </c>
      <c r="AC1096" s="11">
        <v>62.088000000000001</v>
      </c>
      <c r="AD1096" s="11">
        <v>61.517000000000003</v>
      </c>
      <c r="AE1096" s="11">
        <v>61.037999999999997</v>
      </c>
      <c r="AF1096" s="11">
        <v>60.609000000000002</v>
      </c>
      <c r="AG1096" s="11">
        <v>60.191000000000003</v>
      </c>
      <c r="AH1096" s="11">
        <v>59.753</v>
      </c>
      <c r="AI1096" s="11">
        <v>59.33</v>
      </c>
      <c r="AJ1096" s="11">
        <v>59.055999999999997</v>
      </c>
      <c r="AK1096" s="11">
        <v>58.777000000000001</v>
      </c>
      <c r="AL1096" s="11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  <c r="DP1096" s="3"/>
      <c r="DQ1096" s="3"/>
      <c r="DR1096" s="3"/>
      <c r="DS1096" s="3"/>
      <c r="DT1096" s="3"/>
      <c r="DU1096" s="3"/>
      <c r="DV1096" s="3"/>
      <c r="DW1096" s="3"/>
      <c r="DX1096" s="3"/>
      <c r="DY1096" s="3"/>
      <c r="DZ1096" s="3"/>
      <c r="EA1096" s="3"/>
      <c r="EB1096" s="3"/>
      <c r="EC1096" s="3"/>
      <c r="ED1096" s="3"/>
      <c r="EE1096" s="3"/>
      <c r="EF1096" s="3"/>
      <c r="EG1096" s="3"/>
      <c r="EH1096" s="3"/>
      <c r="EI1096" s="3"/>
      <c r="EJ1096" s="3"/>
      <c r="EK1096" s="3"/>
      <c r="EL1096" s="3"/>
      <c r="EM1096" s="3"/>
      <c r="EN1096" s="3"/>
      <c r="EO1096" s="3"/>
      <c r="EP1096" s="3"/>
      <c r="EQ1096" s="3"/>
    </row>
    <row r="1097" spans="1:147" x14ac:dyDescent="0.3">
      <c r="A1097" s="9">
        <f>DATE(2021, 3, 30)</f>
        <v>44285</v>
      </c>
      <c r="B1097" s="10">
        <v>64.14</v>
      </c>
      <c r="C1097" s="10">
        <v>64.17</v>
      </c>
      <c r="D1097" s="10">
        <v>63.61</v>
      </c>
      <c r="E1097" s="10">
        <v>63.15</v>
      </c>
      <c r="F1097" s="10">
        <v>62.65</v>
      </c>
      <c r="G1097" s="10">
        <v>62.16</v>
      </c>
      <c r="H1097" s="10">
        <v>61.69</v>
      </c>
      <c r="I1097" s="10">
        <v>61.24</v>
      </c>
      <c r="J1097" s="10">
        <v>60.84</v>
      </c>
      <c r="K1097" s="10">
        <v>60.47</v>
      </c>
      <c r="L1097" s="10">
        <v>60.13</v>
      </c>
      <c r="M1097" s="10">
        <v>59.83</v>
      </c>
      <c r="N1097" s="10">
        <v>60.55</v>
      </c>
      <c r="O1097" s="10">
        <v>60.56</v>
      </c>
      <c r="P1097" s="10">
        <v>60.35</v>
      </c>
      <c r="Q1097" s="10">
        <v>59.94</v>
      </c>
      <c r="R1097" s="10">
        <v>59.42</v>
      </c>
      <c r="S1097" s="10">
        <v>58.87</v>
      </c>
      <c r="T1097" s="10">
        <v>58.35</v>
      </c>
      <c r="U1097" s="10">
        <v>57.85</v>
      </c>
      <c r="V1097" s="10">
        <v>57.38</v>
      </c>
      <c r="W1097" s="10">
        <v>56.94</v>
      </c>
      <c r="X1097" s="10">
        <v>56.54</v>
      </c>
      <c r="Y1097" s="10">
        <v>56.16</v>
      </c>
      <c r="Z1097" s="11">
        <v>64.415000000000006</v>
      </c>
      <c r="AA1097" s="11">
        <v>62.622999999999998</v>
      </c>
      <c r="AB1097" s="11">
        <v>61.936</v>
      </c>
      <c r="AC1097" s="11">
        <v>61.307000000000002</v>
      </c>
      <c r="AD1097" s="11">
        <v>60.718000000000004</v>
      </c>
      <c r="AE1097" s="11">
        <v>60.268999999999998</v>
      </c>
      <c r="AF1097" s="11">
        <v>59.83</v>
      </c>
      <c r="AG1097" s="11">
        <v>59.390999999999998</v>
      </c>
      <c r="AH1097" s="11">
        <v>58.972999999999999</v>
      </c>
      <c r="AI1097" s="11">
        <v>58.57</v>
      </c>
      <c r="AJ1097" s="11">
        <v>58.286000000000001</v>
      </c>
      <c r="AK1097" s="11">
        <v>58.036999999999999</v>
      </c>
      <c r="AL1097" s="11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  <c r="DP1097" s="3"/>
      <c r="DQ1097" s="3"/>
      <c r="DR1097" s="3"/>
      <c r="DS1097" s="3"/>
      <c r="DT1097" s="3"/>
      <c r="DU1097" s="3"/>
      <c r="DV1097" s="3"/>
      <c r="DW1097" s="3"/>
      <c r="DX1097" s="3"/>
      <c r="DY1097" s="3"/>
      <c r="DZ1097" s="3"/>
      <c r="EA1097" s="3"/>
      <c r="EB1097" s="3"/>
      <c r="EC1097" s="3"/>
      <c r="ED1097" s="3"/>
      <c r="EE1097" s="3"/>
      <c r="EF1097" s="3"/>
      <c r="EG1097" s="3"/>
      <c r="EH1097" s="3"/>
      <c r="EI1097" s="3"/>
      <c r="EJ1097" s="3"/>
      <c r="EK1097" s="3"/>
      <c r="EL1097" s="3"/>
      <c r="EM1097" s="3"/>
      <c r="EN1097" s="3"/>
      <c r="EO1097" s="3"/>
      <c r="EP1097" s="3"/>
      <c r="EQ1097" s="3"/>
    </row>
    <row r="1098" spans="1:147" x14ac:dyDescent="0.3">
      <c r="A1098" s="9">
        <f>DATE(2021, 3, 31)</f>
        <v>44286</v>
      </c>
      <c r="B1098" s="10">
        <v>63.54</v>
      </c>
      <c r="C1098" s="10">
        <v>62.74</v>
      </c>
      <c r="D1098" s="10">
        <v>62.31</v>
      </c>
      <c r="E1098" s="10">
        <v>61.92</v>
      </c>
      <c r="F1098" s="10">
        <v>61.49</v>
      </c>
      <c r="G1098" s="10">
        <v>61.05</v>
      </c>
      <c r="H1098" s="10">
        <v>60.63</v>
      </c>
      <c r="I1098" s="10">
        <v>60.22</v>
      </c>
      <c r="J1098" s="10">
        <v>59.86</v>
      </c>
      <c r="K1098" s="10">
        <v>59.51</v>
      </c>
      <c r="L1098" s="10">
        <v>59.2</v>
      </c>
      <c r="M1098" s="10">
        <v>58.92</v>
      </c>
      <c r="N1098" s="10">
        <v>59.16</v>
      </c>
      <c r="O1098" s="10">
        <v>59.18</v>
      </c>
      <c r="P1098" s="10">
        <v>59.03</v>
      </c>
      <c r="Q1098" s="10">
        <v>58.69</v>
      </c>
      <c r="R1098" s="10">
        <v>58.24</v>
      </c>
      <c r="S1098" s="10">
        <v>57.76</v>
      </c>
      <c r="T1098" s="10">
        <v>57.29</v>
      </c>
      <c r="U1098" s="10">
        <v>56.85</v>
      </c>
      <c r="V1098" s="10">
        <v>56.42</v>
      </c>
      <c r="W1098" s="10">
        <v>56.02</v>
      </c>
      <c r="X1098" s="10">
        <v>55.65</v>
      </c>
      <c r="Y1098" s="10">
        <v>55.31</v>
      </c>
      <c r="Z1098" s="11">
        <v>64.414000000000001</v>
      </c>
      <c r="AA1098" s="11">
        <v>61.2</v>
      </c>
      <c r="AB1098" s="11">
        <v>60.552999999999997</v>
      </c>
      <c r="AC1098" s="11">
        <v>59.97</v>
      </c>
      <c r="AD1098" s="11">
        <v>59.49</v>
      </c>
      <c r="AE1098" s="11">
        <v>59.100999999999999</v>
      </c>
      <c r="AF1098" s="11">
        <v>58.710999999999999</v>
      </c>
      <c r="AG1098" s="11">
        <v>58.353000000000002</v>
      </c>
      <c r="AH1098" s="11">
        <v>57.944000000000003</v>
      </c>
      <c r="AI1098" s="11">
        <v>57.652999999999999</v>
      </c>
      <c r="AJ1098" s="11">
        <v>57.387</v>
      </c>
      <c r="AK1098" s="11">
        <v>57.118000000000002</v>
      </c>
      <c r="AL1098" s="11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  <c r="DG1098" s="3"/>
      <c r="DH1098" s="3"/>
      <c r="DI1098" s="3"/>
      <c r="DJ1098" s="3"/>
      <c r="DK1098" s="3"/>
      <c r="DL1098" s="3"/>
      <c r="DM1098" s="3"/>
      <c r="DN1098" s="3"/>
      <c r="DO1098" s="3"/>
      <c r="DP1098" s="3"/>
      <c r="DQ1098" s="3"/>
      <c r="DR1098" s="3"/>
      <c r="DS1098" s="3"/>
      <c r="DT1098" s="3"/>
      <c r="DU1098" s="3"/>
      <c r="DV1098" s="3"/>
      <c r="DW1098" s="3"/>
      <c r="DX1098" s="3"/>
      <c r="DY1098" s="3"/>
      <c r="DZ1098" s="3"/>
      <c r="EA1098" s="3"/>
      <c r="EB1098" s="3"/>
      <c r="EC1098" s="3"/>
      <c r="ED1098" s="3"/>
      <c r="EE1098" s="3"/>
      <c r="EF1098" s="3"/>
      <c r="EG1098" s="3"/>
      <c r="EH1098" s="3"/>
      <c r="EI1098" s="3"/>
      <c r="EJ1098" s="3"/>
      <c r="EK1098" s="3"/>
      <c r="EL1098" s="3"/>
      <c r="EM1098" s="3"/>
      <c r="EN1098" s="3"/>
      <c r="EO1098" s="3"/>
      <c r="EP1098" s="3"/>
      <c r="EQ1098" s="3"/>
    </row>
    <row r="1099" spans="1:147" x14ac:dyDescent="0.3">
      <c r="A1099" s="9">
        <f>DATE(2021, 4, 1)</f>
        <v>44287</v>
      </c>
      <c r="B1099" s="10">
        <v>64.86</v>
      </c>
      <c r="C1099" s="10">
        <v>64.459999999999994</v>
      </c>
      <c r="D1099" s="10">
        <v>64.12</v>
      </c>
      <c r="E1099" s="10">
        <v>63.73</v>
      </c>
      <c r="F1099" s="10">
        <v>63.31</v>
      </c>
      <c r="G1099" s="10">
        <v>62.9</v>
      </c>
      <c r="H1099" s="10">
        <v>62.49</v>
      </c>
      <c r="I1099" s="10">
        <v>62.13</v>
      </c>
      <c r="J1099" s="10">
        <v>61.78</v>
      </c>
      <c r="K1099" s="10">
        <v>61.47</v>
      </c>
      <c r="L1099" s="10">
        <v>61.18</v>
      </c>
      <c r="M1099" s="10">
        <v>60.92</v>
      </c>
      <c r="N1099" s="10">
        <v>61.45</v>
      </c>
      <c r="O1099" s="10">
        <v>61.48</v>
      </c>
      <c r="P1099" s="10">
        <v>61.35</v>
      </c>
      <c r="Q1099" s="10">
        <v>61.04</v>
      </c>
      <c r="R1099" s="10">
        <v>60.62</v>
      </c>
      <c r="S1099" s="10">
        <v>60.17</v>
      </c>
      <c r="T1099" s="10">
        <v>59.72</v>
      </c>
      <c r="U1099" s="10">
        <v>59.29</v>
      </c>
      <c r="V1099" s="10">
        <v>58.89</v>
      </c>
      <c r="W1099" s="10">
        <v>58.5</v>
      </c>
      <c r="X1099" s="10">
        <v>58.15</v>
      </c>
      <c r="Y1099" s="10">
        <v>57.8</v>
      </c>
      <c r="Z1099" s="11">
        <v>64.414000000000001</v>
      </c>
      <c r="AA1099" s="11">
        <v>63.2</v>
      </c>
      <c r="AB1099" s="11">
        <v>62.578000000000003</v>
      </c>
      <c r="AC1099" s="11">
        <v>62.031999999999996</v>
      </c>
      <c r="AD1099" s="11">
        <v>61.561</v>
      </c>
      <c r="AE1099" s="11">
        <v>61.201000000000001</v>
      </c>
      <c r="AF1099" s="11">
        <v>60.841000000000001</v>
      </c>
      <c r="AG1099" s="11">
        <v>60.463000000000001</v>
      </c>
      <c r="AH1099" s="11">
        <v>60.094000000000001</v>
      </c>
      <c r="AI1099" s="11">
        <v>59.743000000000002</v>
      </c>
      <c r="AJ1099" s="11">
        <v>59.496000000000002</v>
      </c>
      <c r="AK1099" s="11">
        <v>59.277000000000001</v>
      </c>
      <c r="AL1099" s="11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  <c r="DG1099" s="3"/>
      <c r="DH1099" s="3"/>
      <c r="DI1099" s="3"/>
      <c r="DJ1099" s="3"/>
      <c r="DK1099" s="3"/>
      <c r="DL1099" s="3"/>
      <c r="DM1099" s="3"/>
      <c r="DN1099" s="3"/>
      <c r="DO1099" s="3"/>
      <c r="DP1099" s="3"/>
      <c r="DQ1099" s="3"/>
      <c r="DR1099" s="3"/>
      <c r="DS1099" s="3"/>
      <c r="DT1099" s="3"/>
      <c r="DU1099" s="3"/>
      <c r="DV1099" s="3"/>
      <c r="DW1099" s="3"/>
      <c r="DX1099" s="3"/>
      <c r="DY1099" s="3"/>
      <c r="DZ1099" s="3"/>
      <c r="EA1099" s="3"/>
      <c r="EB1099" s="3"/>
      <c r="EC1099" s="3"/>
      <c r="ED1099" s="3"/>
      <c r="EE1099" s="3"/>
      <c r="EF1099" s="3"/>
      <c r="EG1099" s="3"/>
      <c r="EH1099" s="3"/>
      <c r="EI1099" s="3"/>
      <c r="EJ1099" s="3"/>
      <c r="EK1099" s="3"/>
      <c r="EL1099" s="3"/>
      <c r="EM1099" s="3"/>
      <c r="EN1099" s="3"/>
      <c r="EO1099" s="3"/>
      <c r="EP1099" s="3"/>
      <c r="EQ1099" s="3"/>
    </row>
    <row r="1100" spans="1:147" x14ac:dyDescent="0.3">
      <c r="A1100" s="9">
        <f>DATE(2021, 4, 5)</f>
        <v>44291</v>
      </c>
      <c r="B1100" s="10">
        <v>62.15</v>
      </c>
      <c r="C1100" s="10">
        <v>61.83</v>
      </c>
      <c r="D1100" s="10">
        <v>61.58</v>
      </c>
      <c r="E1100" s="10">
        <v>61.29</v>
      </c>
      <c r="F1100" s="10">
        <v>60.98</v>
      </c>
      <c r="G1100" s="10">
        <v>60.67</v>
      </c>
      <c r="H1100" s="10">
        <v>60.37</v>
      </c>
      <c r="I1100" s="10">
        <v>60.1</v>
      </c>
      <c r="J1100" s="10">
        <v>59.85</v>
      </c>
      <c r="K1100" s="10">
        <v>59.63</v>
      </c>
      <c r="L1100" s="10">
        <v>59.43</v>
      </c>
      <c r="M1100" s="10">
        <v>59.25</v>
      </c>
      <c r="N1100" s="10">
        <v>58.65</v>
      </c>
      <c r="O1100" s="10">
        <v>58.68</v>
      </c>
      <c r="P1100" s="10">
        <v>58.61</v>
      </c>
      <c r="Q1100" s="10">
        <v>58.39</v>
      </c>
      <c r="R1100" s="10">
        <v>58.08</v>
      </c>
      <c r="S1100" s="10">
        <v>57.74</v>
      </c>
      <c r="T1100" s="10">
        <v>57.4</v>
      </c>
      <c r="U1100" s="10">
        <v>57.07</v>
      </c>
      <c r="V1100" s="10">
        <v>56.75</v>
      </c>
      <c r="W1100" s="10">
        <v>56.46</v>
      </c>
      <c r="X1100" s="10">
        <v>56.18</v>
      </c>
      <c r="Y1100" s="10">
        <v>55.92</v>
      </c>
      <c r="Z1100" s="11">
        <v>60.52</v>
      </c>
      <c r="AA1100" s="11">
        <v>59.686</v>
      </c>
      <c r="AB1100" s="11">
        <v>59.197000000000003</v>
      </c>
      <c r="AC1100" s="11">
        <v>58.856000000000002</v>
      </c>
      <c r="AD1100" s="11">
        <v>58.616</v>
      </c>
      <c r="AE1100" s="11">
        <v>58.386000000000003</v>
      </c>
      <c r="AF1100" s="11">
        <v>58.116999999999997</v>
      </c>
      <c r="AG1100" s="11">
        <v>57.838999999999999</v>
      </c>
      <c r="AH1100" s="11">
        <v>57.591000000000001</v>
      </c>
      <c r="AI1100" s="11">
        <v>57.4</v>
      </c>
      <c r="AJ1100" s="11">
        <v>57.271000000000001</v>
      </c>
      <c r="AK1100" s="11">
        <v>57.142000000000003</v>
      </c>
      <c r="AL1100" s="11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  <c r="DG1100" s="3"/>
      <c r="DH1100" s="3"/>
      <c r="DI1100" s="3"/>
      <c r="DJ1100" s="3"/>
      <c r="DK1100" s="3"/>
      <c r="DL1100" s="3"/>
      <c r="DM1100" s="3"/>
      <c r="DN1100" s="3"/>
      <c r="DO1100" s="3"/>
      <c r="DP1100" s="3"/>
      <c r="DQ1100" s="3"/>
      <c r="DR1100" s="3"/>
      <c r="DS1100" s="3"/>
      <c r="DT1100" s="3"/>
      <c r="DU1100" s="3"/>
      <c r="DV1100" s="3"/>
      <c r="DW1100" s="3"/>
      <c r="DX1100" s="3"/>
      <c r="DY1100" s="3"/>
      <c r="DZ1100" s="3"/>
      <c r="EA1100" s="3"/>
      <c r="EB1100" s="3"/>
      <c r="EC1100" s="3"/>
      <c r="ED1100" s="3"/>
      <c r="EE1100" s="3"/>
      <c r="EF1100" s="3"/>
      <c r="EG1100" s="3"/>
      <c r="EH1100" s="3"/>
      <c r="EI1100" s="3"/>
      <c r="EJ1100" s="3"/>
      <c r="EK1100" s="3"/>
      <c r="EL1100" s="3"/>
      <c r="EM1100" s="3"/>
      <c r="EN1100" s="3"/>
      <c r="EO1100" s="3"/>
      <c r="EP1100" s="3"/>
      <c r="EQ1100" s="3"/>
    </row>
    <row r="1101" spans="1:147" x14ac:dyDescent="0.3">
      <c r="A1101" s="9">
        <f>DATE(2021, 4, 6)</f>
        <v>44292</v>
      </c>
      <c r="B1101" s="10">
        <v>62.74</v>
      </c>
      <c r="C1101" s="10">
        <v>62.43</v>
      </c>
      <c r="D1101" s="10">
        <v>62.18</v>
      </c>
      <c r="E1101" s="10">
        <v>61.9</v>
      </c>
      <c r="F1101" s="10">
        <v>61.59</v>
      </c>
      <c r="G1101" s="10">
        <v>61.29</v>
      </c>
      <c r="H1101" s="10">
        <v>61</v>
      </c>
      <c r="I1101" s="10">
        <v>60.73</v>
      </c>
      <c r="J1101" s="10">
        <v>60.47</v>
      </c>
      <c r="K1101" s="10">
        <v>60.25</v>
      </c>
      <c r="L1101" s="10">
        <v>60.05</v>
      </c>
      <c r="M1101" s="10">
        <v>59.86</v>
      </c>
      <c r="N1101" s="10">
        <v>59.33</v>
      </c>
      <c r="O1101" s="10">
        <v>59.37</v>
      </c>
      <c r="P1101" s="10">
        <v>59.32</v>
      </c>
      <c r="Q1101" s="10">
        <v>59.13</v>
      </c>
      <c r="R1101" s="10">
        <v>58.84</v>
      </c>
      <c r="S1101" s="10">
        <v>58.51</v>
      </c>
      <c r="T1101" s="10">
        <v>58.18</v>
      </c>
      <c r="U1101" s="10">
        <v>57.84</v>
      </c>
      <c r="V1101" s="10">
        <v>57.51</v>
      </c>
      <c r="W1101" s="10">
        <v>57.2</v>
      </c>
      <c r="X1101" s="10">
        <v>56.93</v>
      </c>
      <c r="Y1101" s="10">
        <v>56.67</v>
      </c>
      <c r="Z1101" s="11">
        <v>61.103999999999999</v>
      </c>
      <c r="AA1101" s="11">
        <v>60.375999999999998</v>
      </c>
      <c r="AB1101" s="11">
        <v>59.823</v>
      </c>
      <c r="AC1101" s="11">
        <v>59.44</v>
      </c>
      <c r="AD1101" s="11">
        <v>59.195999999999998</v>
      </c>
      <c r="AE1101" s="11">
        <v>58.957000000000001</v>
      </c>
      <c r="AF1101" s="11">
        <v>58.716999999999999</v>
      </c>
      <c r="AG1101" s="11">
        <v>58.468000000000004</v>
      </c>
      <c r="AH1101" s="11">
        <v>58.220999999999997</v>
      </c>
      <c r="AI1101" s="11">
        <v>58.02</v>
      </c>
      <c r="AJ1101" s="11">
        <v>57.850999999999999</v>
      </c>
      <c r="AK1101" s="11">
        <v>57.683</v>
      </c>
      <c r="AL1101" s="11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  <c r="DG1101" s="3"/>
      <c r="DH1101" s="3"/>
      <c r="DI1101" s="3"/>
      <c r="DJ1101" s="3"/>
      <c r="DK1101" s="3"/>
      <c r="DL1101" s="3"/>
      <c r="DM1101" s="3"/>
      <c r="DN1101" s="3"/>
      <c r="DO1101" s="3"/>
      <c r="DP1101" s="3"/>
      <c r="DQ1101" s="3"/>
      <c r="DR1101" s="3"/>
      <c r="DS1101" s="3"/>
      <c r="DT1101" s="3"/>
      <c r="DU1101" s="3"/>
      <c r="DV1101" s="3"/>
      <c r="DW1101" s="3"/>
      <c r="DX1101" s="3"/>
      <c r="DY1101" s="3"/>
      <c r="DZ1101" s="3"/>
      <c r="EA1101" s="3"/>
      <c r="EB1101" s="3"/>
      <c r="EC1101" s="3"/>
      <c r="ED1101" s="3"/>
      <c r="EE1101" s="3"/>
      <c r="EF1101" s="3"/>
      <c r="EG1101" s="3"/>
      <c r="EH1101" s="3"/>
      <c r="EI1101" s="3"/>
      <c r="EJ1101" s="3"/>
      <c r="EK1101" s="3"/>
      <c r="EL1101" s="3"/>
      <c r="EM1101" s="3"/>
      <c r="EN1101" s="3"/>
      <c r="EO1101" s="3"/>
      <c r="EP1101" s="3"/>
      <c r="EQ1101" s="3"/>
    </row>
    <row r="1102" spans="1:147" x14ac:dyDescent="0.3">
      <c r="A1102" s="9">
        <f>DATE(2021, 4, 7)</f>
        <v>44293</v>
      </c>
      <c r="B1102" s="10">
        <v>63.16</v>
      </c>
      <c r="C1102" s="10">
        <v>62.81</v>
      </c>
      <c r="D1102" s="10">
        <v>62.51</v>
      </c>
      <c r="E1102" s="10">
        <v>62.2</v>
      </c>
      <c r="F1102" s="10">
        <v>61.88</v>
      </c>
      <c r="G1102" s="10">
        <v>61.57</v>
      </c>
      <c r="H1102" s="10">
        <v>61.24</v>
      </c>
      <c r="I1102" s="10">
        <v>60.95</v>
      </c>
      <c r="J1102" s="10">
        <v>60.68</v>
      </c>
      <c r="K1102" s="10">
        <v>60.45</v>
      </c>
      <c r="L1102" s="10">
        <v>60.24</v>
      </c>
      <c r="M1102" s="10">
        <v>60.05</v>
      </c>
      <c r="N1102" s="10">
        <v>59.77</v>
      </c>
      <c r="O1102" s="10">
        <v>59.81</v>
      </c>
      <c r="P1102" s="10">
        <v>59.73</v>
      </c>
      <c r="Q1102" s="10">
        <v>59.5</v>
      </c>
      <c r="R1102" s="10">
        <v>59.19</v>
      </c>
      <c r="S1102" s="10">
        <v>58.83</v>
      </c>
      <c r="T1102" s="10">
        <v>58.48</v>
      </c>
      <c r="U1102" s="10">
        <v>58.13</v>
      </c>
      <c r="V1102" s="10">
        <v>57.78</v>
      </c>
      <c r="W1102" s="10">
        <v>57.46</v>
      </c>
      <c r="X1102" s="10">
        <v>57.17</v>
      </c>
      <c r="Y1102" s="10">
        <v>56.92</v>
      </c>
      <c r="Z1102" s="11">
        <v>61.423000000000002</v>
      </c>
      <c r="AA1102" s="11">
        <v>60.731000000000002</v>
      </c>
      <c r="AB1102" s="11">
        <v>60.186</v>
      </c>
      <c r="AC1102" s="11">
        <v>59.825000000000003</v>
      </c>
      <c r="AD1102" s="11">
        <v>59.566000000000003</v>
      </c>
      <c r="AE1102" s="11">
        <v>59.325000000000003</v>
      </c>
      <c r="AF1102" s="11">
        <v>59.036000000000001</v>
      </c>
      <c r="AG1102" s="11">
        <v>58.747999999999998</v>
      </c>
      <c r="AH1102" s="11">
        <v>58.48</v>
      </c>
      <c r="AI1102" s="11">
        <v>58.23</v>
      </c>
      <c r="AJ1102" s="11">
        <v>58.040999999999997</v>
      </c>
      <c r="AK1102" s="11">
        <v>57.872999999999998</v>
      </c>
      <c r="AL1102" s="11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  <c r="DG1102" s="3"/>
      <c r="DH1102" s="3"/>
      <c r="DI1102" s="3"/>
      <c r="DJ1102" s="3"/>
      <c r="DK1102" s="3"/>
      <c r="DL1102" s="3"/>
      <c r="DM1102" s="3"/>
      <c r="DN1102" s="3"/>
      <c r="DO1102" s="3"/>
      <c r="DP1102" s="3"/>
      <c r="DQ1102" s="3"/>
      <c r="DR1102" s="3"/>
      <c r="DS1102" s="3"/>
      <c r="DT1102" s="3"/>
      <c r="DU1102" s="3"/>
      <c r="DV1102" s="3"/>
      <c r="DW1102" s="3"/>
      <c r="DX1102" s="3"/>
      <c r="DY1102" s="3"/>
      <c r="DZ1102" s="3"/>
      <c r="EA1102" s="3"/>
      <c r="EB1102" s="3"/>
      <c r="EC1102" s="3"/>
      <c r="ED1102" s="3"/>
      <c r="EE1102" s="3"/>
      <c r="EF1102" s="3"/>
      <c r="EG1102" s="3"/>
      <c r="EH1102" s="3"/>
      <c r="EI1102" s="3"/>
      <c r="EJ1102" s="3"/>
      <c r="EK1102" s="3"/>
      <c r="EL1102" s="3"/>
      <c r="EM1102" s="3"/>
      <c r="EN1102" s="3"/>
      <c r="EO1102" s="3"/>
      <c r="EP1102" s="3"/>
      <c r="EQ1102" s="3"/>
    </row>
    <row r="1103" spans="1:147" x14ac:dyDescent="0.3">
      <c r="A1103" s="9">
        <f>DATE(2021, 4, 8)</f>
        <v>44294</v>
      </c>
      <c r="B1103" s="10">
        <v>63.2</v>
      </c>
      <c r="C1103" s="10">
        <v>62.71</v>
      </c>
      <c r="D1103" s="10">
        <v>62.33</v>
      </c>
      <c r="E1103" s="10">
        <v>61.97</v>
      </c>
      <c r="F1103" s="10">
        <v>61.59</v>
      </c>
      <c r="G1103" s="10">
        <v>61.23</v>
      </c>
      <c r="H1103" s="10">
        <v>60.86</v>
      </c>
      <c r="I1103" s="10">
        <v>60.54</v>
      </c>
      <c r="J1103" s="10">
        <v>60.25</v>
      </c>
      <c r="K1103" s="10">
        <v>59.99</v>
      </c>
      <c r="L1103" s="10">
        <v>59.75</v>
      </c>
      <c r="M1103" s="10">
        <v>59.53</v>
      </c>
      <c r="N1103" s="10">
        <v>59.6</v>
      </c>
      <c r="O1103" s="10">
        <v>59.63</v>
      </c>
      <c r="P1103" s="10">
        <v>59.52</v>
      </c>
      <c r="Q1103" s="10">
        <v>59.25</v>
      </c>
      <c r="R1103" s="10">
        <v>58.89</v>
      </c>
      <c r="S1103" s="10">
        <v>58.49</v>
      </c>
      <c r="T1103" s="10">
        <v>58.09</v>
      </c>
      <c r="U1103" s="10">
        <v>57.69</v>
      </c>
      <c r="V1103" s="10">
        <v>57.31</v>
      </c>
      <c r="W1103" s="10">
        <v>56.95</v>
      </c>
      <c r="X1103" s="10">
        <v>56.63</v>
      </c>
      <c r="Y1103" s="10">
        <v>56.33</v>
      </c>
      <c r="Z1103" s="11">
        <v>61.445</v>
      </c>
      <c r="AA1103" s="11">
        <v>60.704000000000001</v>
      </c>
      <c r="AB1103" s="11">
        <v>60.094000000000001</v>
      </c>
      <c r="AC1103" s="11">
        <v>59.652999999999999</v>
      </c>
      <c r="AD1103" s="11">
        <v>59.314</v>
      </c>
      <c r="AE1103" s="11">
        <v>59.012999999999998</v>
      </c>
      <c r="AF1103" s="11">
        <v>58.674999999999997</v>
      </c>
      <c r="AG1103" s="11">
        <v>58.366999999999997</v>
      </c>
      <c r="AH1103" s="11">
        <v>58.076999999999998</v>
      </c>
      <c r="AI1103" s="11">
        <v>57.848999999999997</v>
      </c>
      <c r="AJ1103" s="11">
        <v>57.628999999999998</v>
      </c>
      <c r="AK1103" s="11">
        <v>57.420999999999999</v>
      </c>
      <c r="AL1103" s="11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  <c r="DG1103" s="3"/>
      <c r="DH1103" s="3"/>
      <c r="DI1103" s="3"/>
      <c r="DJ1103" s="3"/>
      <c r="DK1103" s="3"/>
      <c r="DL1103" s="3"/>
      <c r="DM1103" s="3"/>
      <c r="DN1103" s="3"/>
      <c r="DO1103" s="3"/>
      <c r="DP1103" s="3"/>
      <c r="DQ1103" s="3"/>
      <c r="DR1103" s="3"/>
      <c r="DS1103" s="3"/>
      <c r="DT1103" s="3"/>
      <c r="DU1103" s="3"/>
      <c r="DV1103" s="3"/>
      <c r="DW1103" s="3"/>
      <c r="DX1103" s="3"/>
      <c r="DY1103" s="3"/>
      <c r="DZ1103" s="3"/>
      <c r="EA1103" s="3"/>
      <c r="EB1103" s="3"/>
      <c r="EC1103" s="3"/>
      <c r="ED1103" s="3"/>
      <c r="EE1103" s="3"/>
      <c r="EF1103" s="3"/>
      <c r="EG1103" s="3"/>
      <c r="EH1103" s="3"/>
      <c r="EI1103" s="3"/>
      <c r="EJ1103" s="3"/>
      <c r="EK1103" s="3"/>
      <c r="EL1103" s="3"/>
      <c r="EM1103" s="3"/>
      <c r="EN1103" s="3"/>
      <c r="EO1103" s="3"/>
      <c r="EP1103" s="3"/>
      <c r="EQ1103" s="3"/>
    </row>
    <row r="1104" spans="1:147" x14ac:dyDescent="0.3">
      <c r="A1104" s="9">
        <f>DATE(2021, 4, 9)</f>
        <v>44295</v>
      </c>
      <c r="B1104" s="10">
        <v>62.95</v>
      </c>
      <c r="C1104" s="10">
        <v>62.53</v>
      </c>
      <c r="D1104" s="10">
        <v>62.17</v>
      </c>
      <c r="E1104" s="10">
        <v>61.81</v>
      </c>
      <c r="F1104" s="10">
        <v>61.45</v>
      </c>
      <c r="G1104" s="10">
        <v>61.11</v>
      </c>
      <c r="H1104" s="10">
        <v>60.76</v>
      </c>
      <c r="I1104" s="10">
        <v>60.46</v>
      </c>
      <c r="J1104" s="10">
        <v>60.18</v>
      </c>
      <c r="K1104" s="10">
        <v>59.94</v>
      </c>
      <c r="L1104" s="10">
        <v>59.72</v>
      </c>
      <c r="M1104" s="10">
        <v>59.51</v>
      </c>
      <c r="N1104" s="10">
        <v>59.32</v>
      </c>
      <c r="O1104" s="10">
        <v>59.35</v>
      </c>
      <c r="P1104" s="10">
        <v>59.27</v>
      </c>
      <c r="Q1104" s="10">
        <v>59.04</v>
      </c>
      <c r="R1104" s="10">
        <v>58.71</v>
      </c>
      <c r="S1104" s="10">
        <v>58.34</v>
      </c>
      <c r="T1104" s="10">
        <v>57.97</v>
      </c>
      <c r="U1104" s="10">
        <v>57.6</v>
      </c>
      <c r="V1104" s="10">
        <v>57.24</v>
      </c>
      <c r="W1104" s="10">
        <v>56.91</v>
      </c>
      <c r="X1104" s="10">
        <v>56.62</v>
      </c>
      <c r="Y1104" s="10">
        <v>56.34</v>
      </c>
      <c r="Z1104" s="11">
        <v>61.176000000000002</v>
      </c>
      <c r="AA1104" s="11">
        <v>60.485999999999997</v>
      </c>
      <c r="AB1104" s="11">
        <v>59.893999999999998</v>
      </c>
      <c r="AC1104" s="11">
        <v>59.463999999999999</v>
      </c>
      <c r="AD1104" s="11">
        <v>59.134999999999998</v>
      </c>
      <c r="AE1104" s="11">
        <v>58.863999999999997</v>
      </c>
      <c r="AF1104" s="11">
        <v>58.566000000000003</v>
      </c>
      <c r="AG1104" s="11">
        <v>58.256999999999998</v>
      </c>
      <c r="AH1104" s="11">
        <v>57.969000000000001</v>
      </c>
      <c r="AI1104" s="11">
        <v>57.76</v>
      </c>
      <c r="AJ1104" s="11">
        <v>57.58</v>
      </c>
      <c r="AK1104" s="11">
        <v>57.381</v>
      </c>
      <c r="AL1104" s="11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  <c r="DG1104" s="3"/>
      <c r="DH1104" s="3"/>
      <c r="DI1104" s="3"/>
      <c r="DJ1104" s="3"/>
      <c r="DK1104" s="3"/>
      <c r="DL1104" s="3"/>
      <c r="DM1104" s="3"/>
      <c r="DN1104" s="3"/>
      <c r="DO1104" s="3"/>
      <c r="DP1104" s="3"/>
      <c r="DQ1104" s="3"/>
      <c r="DR1104" s="3"/>
      <c r="DS1104" s="3"/>
      <c r="DT1104" s="3"/>
      <c r="DU1104" s="3"/>
      <c r="DV1104" s="3"/>
      <c r="DW1104" s="3"/>
      <c r="DX1104" s="3"/>
      <c r="DY1104" s="3"/>
      <c r="DZ1104" s="3"/>
      <c r="EA1104" s="3"/>
      <c r="EB1104" s="3"/>
      <c r="EC1104" s="3"/>
      <c r="ED1104" s="3"/>
      <c r="EE1104" s="3"/>
      <c r="EF1104" s="3"/>
      <c r="EG1104" s="3"/>
      <c r="EH1104" s="3"/>
      <c r="EI1104" s="3"/>
      <c r="EJ1104" s="3"/>
      <c r="EK1104" s="3"/>
      <c r="EL1104" s="3"/>
      <c r="EM1104" s="3"/>
      <c r="EN1104" s="3"/>
      <c r="EO1104" s="3"/>
      <c r="EP1104" s="3"/>
      <c r="EQ1104" s="3"/>
    </row>
    <row r="1105" spans="1:147" x14ac:dyDescent="0.3">
      <c r="A1105" s="9">
        <f>DATE(2021, 4, 12)</f>
        <v>44298</v>
      </c>
      <c r="B1105" s="10">
        <v>63.28</v>
      </c>
      <c r="C1105" s="10">
        <v>62.86</v>
      </c>
      <c r="D1105" s="10">
        <v>62.5</v>
      </c>
      <c r="E1105" s="10">
        <v>62.15</v>
      </c>
      <c r="F1105" s="10">
        <v>61.8</v>
      </c>
      <c r="G1105" s="10">
        <v>61.48</v>
      </c>
      <c r="H1105" s="10">
        <v>61.15</v>
      </c>
      <c r="I1105" s="10">
        <v>60.86</v>
      </c>
      <c r="J1105" s="10">
        <v>60.6</v>
      </c>
      <c r="K1105" s="10">
        <v>60.37</v>
      </c>
      <c r="L1105" s="10">
        <v>60.16</v>
      </c>
      <c r="M1105" s="10">
        <v>59.96</v>
      </c>
      <c r="N1105" s="10">
        <v>59.7</v>
      </c>
      <c r="O1105" s="10">
        <v>59.75</v>
      </c>
      <c r="P1105" s="10">
        <v>59.69</v>
      </c>
      <c r="Q1105" s="10">
        <v>59.48</v>
      </c>
      <c r="R1105" s="10">
        <v>59.17</v>
      </c>
      <c r="S1105" s="10">
        <v>58.82</v>
      </c>
      <c r="T1105" s="10">
        <v>58.46</v>
      </c>
      <c r="U1105" s="10">
        <v>58.09</v>
      </c>
      <c r="V1105" s="10">
        <v>57.75</v>
      </c>
      <c r="W1105" s="10">
        <v>57.42</v>
      </c>
      <c r="X1105" s="10">
        <v>57.13</v>
      </c>
      <c r="Y1105" s="10">
        <v>56.86</v>
      </c>
      <c r="Z1105" s="11">
        <v>61.298999999999999</v>
      </c>
      <c r="AA1105" s="11">
        <v>60.756</v>
      </c>
      <c r="AB1105" s="11">
        <v>60.194000000000003</v>
      </c>
      <c r="AC1105" s="11">
        <v>59.804000000000002</v>
      </c>
      <c r="AD1105" s="11">
        <v>59.484999999999999</v>
      </c>
      <c r="AE1105" s="11">
        <v>59.22</v>
      </c>
      <c r="AF1105" s="11">
        <v>58.936</v>
      </c>
      <c r="AG1105" s="11">
        <v>58.637999999999998</v>
      </c>
      <c r="AH1105" s="11">
        <v>58.36</v>
      </c>
      <c r="AI1105" s="11">
        <v>58.16</v>
      </c>
      <c r="AJ1105" s="11">
        <v>57.97</v>
      </c>
      <c r="AK1105" s="11">
        <v>57.792000000000002</v>
      </c>
      <c r="AL1105" s="11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  <c r="DG1105" s="3"/>
      <c r="DH1105" s="3"/>
      <c r="DI1105" s="3"/>
      <c r="DJ1105" s="3"/>
      <c r="DK1105" s="3"/>
      <c r="DL1105" s="3"/>
      <c r="DM1105" s="3"/>
      <c r="DN1105" s="3"/>
      <c r="DO1105" s="3"/>
      <c r="DP1105" s="3"/>
      <c r="DQ1105" s="3"/>
      <c r="DR1105" s="3"/>
      <c r="DS1105" s="3"/>
      <c r="DT1105" s="3"/>
      <c r="DU1105" s="3"/>
      <c r="DV1105" s="3"/>
      <c r="DW1105" s="3"/>
      <c r="DX1105" s="3"/>
      <c r="DY1105" s="3"/>
      <c r="DZ1105" s="3"/>
      <c r="EA1105" s="3"/>
      <c r="EB1105" s="3"/>
      <c r="EC1105" s="3"/>
      <c r="ED1105" s="3"/>
      <c r="EE1105" s="3"/>
      <c r="EF1105" s="3"/>
      <c r="EG1105" s="3"/>
      <c r="EH1105" s="3"/>
      <c r="EI1105" s="3"/>
      <c r="EJ1105" s="3"/>
      <c r="EK1105" s="3"/>
      <c r="EL1105" s="3"/>
      <c r="EM1105" s="3"/>
      <c r="EN1105" s="3"/>
      <c r="EO1105" s="3"/>
      <c r="EP1105" s="3"/>
      <c r="EQ1105" s="3"/>
    </row>
    <row r="1106" spans="1:147" x14ac:dyDescent="0.3">
      <c r="A1106" s="9">
        <f>DATE(2021, 4, 13)</f>
        <v>44299</v>
      </c>
      <c r="B1106" s="10">
        <v>63.67</v>
      </c>
      <c r="C1106" s="10">
        <v>63.28</v>
      </c>
      <c r="D1106" s="10">
        <v>62.93</v>
      </c>
      <c r="E1106" s="10">
        <v>62.6</v>
      </c>
      <c r="F1106" s="10">
        <v>62.27</v>
      </c>
      <c r="G1106" s="10">
        <v>61.97</v>
      </c>
      <c r="H1106" s="10">
        <v>61.66</v>
      </c>
      <c r="I1106" s="10">
        <v>61.38</v>
      </c>
      <c r="J1106" s="10">
        <v>61.11</v>
      </c>
      <c r="K1106" s="10">
        <v>60.89</v>
      </c>
      <c r="L1106" s="10">
        <v>60.68</v>
      </c>
      <c r="M1106" s="10">
        <v>60.47</v>
      </c>
      <c r="N1106" s="10">
        <v>60.18</v>
      </c>
      <c r="O1106" s="10">
        <v>60.24</v>
      </c>
      <c r="P1106" s="10">
        <v>60.19</v>
      </c>
      <c r="Q1106" s="10">
        <v>60</v>
      </c>
      <c r="R1106" s="10">
        <v>59.71</v>
      </c>
      <c r="S1106" s="10">
        <v>59.38</v>
      </c>
      <c r="T1106" s="10">
        <v>59.03</v>
      </c>
      <c r="U1106" s="10">
        <v>58.68</v>
      </c>
      <c r="V1106" s="10">
        <v>58.33</v>
      </c>
      <c r="W1106" s="10">
        <v>58</v>
      </c>
      <c r="X1106" s="10">
        <v>57.69</v>
      </c>
      <c r="Y1106" s="10">
        <v>57.41</v>
      </c>
      <c r="Z1106" s="11">
        <v>61.558</v>
      </c>
      <c r="AA1106" s="11">
        <v>61.177</v>
      </c>
      <c r="AB1106" s="11">
        <v>60.645000000000003</v>
      </c>
      <c r="AC1106" s="11">
        <v>60.274999999999999</v>
      </c>
      <c r="AD1106" s="11">
        <v>59.975999999999999</v>
      </c>
      <c r="AE1106" s="11">
        <v>59.716000000000001</v>
      </c>
      <c r="AF1106" s="11">
        <v>59.427</v>
      </c>
      <c r="AG1106" s="11">
        <v>59.148000000000003</v>
      </c>
      <c r="AH1106" s="11">
        <v>58.871000000000002</v>
      </c>
      <c r="AI1106" s="11">
        <v>58.68</v>
      </c>
      <c r="AJ1106" s="11">
        <v>58.5</v>
      </c>
      <c r="AK1106" s="11">
        <v>58.320999999999998</v>
      </c>
      <c r="AL1106" s="11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  <c r="DG1106" s="3"/>
      <c r="DH1106" s="3"/>
      <c r="DI1106" s="3"/>
      <c r="DJ1106" s="3"/>
      <c r="DK1106" s="3"/>
      <c r="DL1106" s="3"/>
      <c r="DM1106" s="3"/>
      <c r="DN1106" s="3"/>
      <c r="DO1106" s="3"/>
      <c r="DP1106" s="3"/>
      <c r="DQ1106" s="3"/>
      <c r="DR1106" s="3"/>
      <c r="DS1106" s="3"/>
      <c r="DT1106" s="3"/>
      <c r="DU1106" s="3"/>
      <c r="DV1106" s="3"/>
      <c r="DW1106" s="3"/>
      <c r="DX1106" s="3"/>
      <c r="DY1106" s="3"/>
      <c r="DZ1106" s="3"/>
      <c r="EA1106" s="3"/>
      <c r="EB1106" s="3"/>
      <c r="EC1106" s="3"/>
      <c r="ED1106" s="3"/>
      <c r="EE1106" s="3"/>
      <c r="EF1106" s="3"/>
      <c r="EG1106" s="3"/>
      <c r="EH1106" s="3"/>
      <c r="EI1106" s="3"/>
      <c r="EJ1106" s="3"/>
      <c r="EK1106" s="3"/>
      <c r="EL1106" s="3"/>
      <c r="EM1106" s="3"/>
      <c r="EN1106" s="3"/>
      <c r="EO1106" s="3"/>
      <c r="EP1106" s="3"/>
      <c r="EQ1106" s="3"/>
    </row>
    <row r="1107" spans="1:147" x14ac:dyDescent="0.3">
      <c r="A1107" s="9">
        <f>DATE(2021, 4, 14)</f>
        <v>44300</v>
      </c>
      <c r="B1107" s="10">
        <v>66.58</v>
      </c>
      <c r="C1107" s="10">
        <v>66.150000000000006</v>
      </c>
      <c r="D1107" s="10">
        <v>65.739999999999995</v>
      </c>
      <c r="E1107" s="10">
        <v>65.34</v>
      </c>
      <c r="F1107" s="10">
        <v>64.930000000000007</v>
      </c>
      <c r="G1107" s="10">
        <v>64.540000000000006</v>
      </c>
      <c r="H1107" s="10">
        <v>64.14</v>
      </c>
      <c r="I1107" s="10">
        <v>63.78</v>
      </c>
      <c r="J1107" s="10">
        <v>63.43</v>
      </c>
      <c r="K1107" s="10">
        <v>63.12</v>
      </c>
      <c r="L1107" s="10">
        <v>62.82</v>
      </c>
      <c r="M1107" s="10">
        <v>62.53</v>
      </c>
      <c r="N1107" s="10">
        <v>63.15</v>
      </c>
      <c r="O1107" s="10">
        <v>63.22</v>
      </c>
      <c r="P1107" s="10">
        <v>63.12</v>
      </c>
      <c r="Q1107" s="10">
        <v>62.85</v>
      </c>
      <c r="R1107" s="10">
        <v>62.47</v>
      </c>
      <c r="S1107" s="10">
        <v>62.03</v>
      </c>
      <c r="T1107" s="10">
        <v>61.58</v>
      </c>
      <c r="U1107" s="10">
        <v>61.12</v>
      </c>
      <c r="V1107" s="10">
        <v>60.67</v>
      </c>
      <c r="W1107" s="10">
        <v>60.24</v>
      </c>
      <c r="X1107" s="10">
        <v>59.84</v>
      </c>
      <c r="Y1107" s="10">
        <v>59.46</v>
      </c>
      <c r="Z1107" s="11">
        <v>63.25</v>
      </c>
      <c r="AA1107" s="11">
        <v>64.051000000000002</v>
      </c>
      <c r="AB1107" s="11">
        <v>63.462000000000003</v>
      </c>
      <c r="AC1107" s="11">
        <v>63.011000000000003</v>
      </c>
      <c r="AD1107" s="11">
        <v>62.652000000000001</v>
      </c>
      <c r="AE1107" s="11">
        <v>62.292000000000002</v>
      </c>
      <c r="AF1107" s="11">
        <v>61.933</v>
      </c>
      <c r="AG1107" s="11">
        <v>61.584000000000003</v>
      </c>
      <c r="AH1107" s="11">
        <v>61.232999999999997</v>
      </c>
      <c r="AI1107" s="11">
        <v>60.926000000000002</v>
      </c>
      <c r="AJ1107" s="11">
        <v>60.646000000000001</v>
      </c>
      <c r="AK1107" s="11">
        <v>60.398000000000003</v>
      </c>
      <c r="AL1107" s="11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  <c r="DG1107" s="3"/>
      <c r="DH1107" s="3"/>
      <c r="DI1107" s="3"/>
      <c r="DJ1107" s="3"/>
      <c r="DK1107" s="3"/>
      <c r="DL1107" s="3"/>
      <c r="DM1107" s="3"/>
      <c r="DN1107" s="3"/>
      <c r="DO1107" s="3"/>
      <c r="DP1107" s="3"/>
      <c r="DQ1107" s="3"/>
      <c r="DR1107" s="3"/>
      <c r="DS1107" s="3"/>
      <c r="DT1107" s="3"/>
      <c r="DU1107" s="3"/>
      <c r="DV1107" s="3"/>
      <c r="DW1107" s="3"/>
      <c r="DX1107" s="3"/>
      <c r="DY1107" s="3"/>
      <c r="DZ1107" s="3"/>
      <c r="EA1107" s="3"/>
      <c r="EB1107" s="3"/>
      <c r="EC1107" s="3"/>
      <c r="ED1107" s="3"/>
      <c r="EE1107" s="3"/>
      <c r="EF1107" s="3"/>
      <c r="EG1107" s="3"/>
      <c r="EH1107" s="3"/>
      <c r="EI1107" s="3"/>
      <c r="EJ1107" s="3"/>
      <c r="EK1107" s="3"/>
      <c r="EL1107" s="3"/>
      <c r="EM1107" s="3"/>
      <c r="EN1107" s="3"/>
      <c r="EO1107" s="3"/>
      <c r="EP1107" s="3"/>
      <c r="EQ1107" s="3"/>
    </row>
    <row r="1108" spans="1:147" x14ac:dyDescent="0.3">
      <c r="A1108" s="9">
        <f>DATE(2021, 4, 15)</f>
        <v>44301</v>
      </c>
      <c r="B1108" s="10">
        <v>66.94</v>
      </c>
      <c r="C1108" s="10">
        <v>66.45</v>
      </c>
      <c r="D1108" s="10">
        <v>65.989999999999995</v>
      </c>
      <c r="E1108" s="10">
        <v>65.53</v>
      </c>
      <c r="F1108" s="10">
        <v>65.069999999999993</v>
      </c>
      <c r="G1108" s="10">
        <v>64.64</v>
      </c>
      <c r="H1108" s="10">
        <v>64.209999999999994</v>
      </c>
      <c r="I1108" s="10">
        <v>63.81</v>
      </c>
      <c r="J1108" s="10">
        <v>63.43</v>
      </c>
      <c r="K1108" s="10">
        <v>63.09</v>
      </c>
      <c r="L1108" s="10">
        <v>62.77</v>
      </c>
      <c r="M1108" s="10">
        <v>62.46</v>
      </c>
      <c r="N1108" s="10">
        <v>63.46</v>
      </c>
      <c r="O1108" s="10">
        <v>63.51</v>
      </c>
      <c r="P1108" s="10">
        <v>63.4</v>
      </c>
      <c r="Q1108" s="10">
        <v>63.11</v>
      </c>
      <c r="R1108" s="10">
        <v>62.67</v>
      </c>
      <c r="S1108" s="10">
        <v>62.15</v>
      </c>
      <c r="T1108" s="10">
        <v>61.65</v>
      </c>
      <c r="U1108" s="10">
        <v>61.15</v>
      </c>
      <c r="V1108" s="10">
        <v>60.65</v>
      </c>
      <c r="W1108" s="10">
        <v>60.17</v>
      </c>
      <c r="X1108" s="10">
        <v>59.73</v>
      </c>
      <c r="Y1108" s="10">
        <v>59.33</v>
      </c>
      <c r="Z1108" s="11">
        <v>63.481999999999999</v>
      </c>
      <c r="AA1108" s="11">
        <v>64.486000000000004</v>
      </c>
      <c r="AB1108" s="11">
        <v>63.866999999999997</v>
      </c>
      <c r="AC1108" s="11">
        <v>63.348999999999997</v>
      </c>
      <c r="AD1108" s="11">
        <v>62.93</v>
      </c>
      <c r="AE1108" s="11">
        <v>62.5</v>
      </c>
      <c r="AF1108" s="11">
        <v>62.091000000000001</v>
      </c>
      <c r="AG1108" s="11">
        <v>61.662999999999997</v>
      </c>
      <c r="AH1108" s="11">
        <v>61.28</v>
      </c>
      <c r="AI1108" s="11">
        <v>60.975000000000001</v>
      </c>
      <c r="AJ1108" s="11">
        <v>60.704999999999998</v>
      </c>
      <c r="AK1108" s="11">
        <v>60.427</v>
      </c>
      <c r="AL1108" s="11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  <c r="DG1108" s="3"/>
      <c r="DH1108" s="3"/>
      <c r="DI1108" s="3"/>
      <c r="DJ1108" s="3"/>
      <c r="DK1108" s="3"/>
      <c r="DL1108" s="3"/>
      <c r="DM1108" s="3"/>
      <c r="DN1108" s="3"/>
      <c r="DO1108" s="3"/>
      <c r="DP1108" s="3"/>
      <c r="DQ1108" s="3"/>
      <c r="DR1108" s="3"/>
      <c r="DS1108" s="3"/>
      <c r="DT1108" s="3"/>
      <c r="DU1108" s="3"/>
      <c r="DV1108" s="3"/>
      <c r="DW1108" s="3"/>
      <c r="DX1108" s="3"/>
      <c r="DY1108" s="3"/>
      <c r="DZ1108" s="3"/>
      <c r="EA1108" s="3"/>
      <c r="EB1108" s="3"/>
      <c r="EC1108" s="3"/>
      <c r="ED1108" s="3"/>
      <c r="EE1108" s="3"/>
      <c r="EF1108" s="3"/>
      <c r="EG1108" s="3"/>
      <c r="EH1108" s="3"/>
      <c r="EI1108" s="3"/>
      <c r="EJ1108" s="3"/>
      <c r="EK1108" s="3"/>
      <c r="EL1108" s="3"/>
      <c r="EM1108" s="3"/>
      <c r="EN1108" s="3"/>
      <c r="EO1108" s="3"/>
      <c r="EP1108" s="3"/>
      <c r="EQ1108" s="3"/>
    </row>
    <row r="1109" spans="1:147" x14ac:dyDescent="0.3">
      <c r="A1109" s="9">
        <f>DATE(2021, 4, 16)</f>
        <v>44302</v>
      </c>
      <c r="B1109" s="10">
        <v>66.77</v>
      </c>
      <c r="C1109" s="10">
        <v>66.290000000000006</v>
      </c>
      <c r="D1109" s="10">
        <v>65.81</v>
      </c>
      <c r="E1109" s="10">
        <v>65.349999999999994</v>
      </c>
      <c r="F1109" s="10">
        <v>64.89</v>
      </c>
      <c r="G1109" s="10">
        <v>64.45</v>
      </c>
      <c r="H1109" s="10">
        <v>64.02</v>
      </c>
      <c r="I1109" s="10">
        <v>63.62</v>
      </c>
      <c r="J1109" s="10">
        <v>63.24</v>
      </c>
      <c r="K1109" s="10">
        <v>62.89</v>
      </c>
      <c r="L1109" s="10">
        <v>62.58</v>
      </c>
      <c r="M1109" s="10">
        <v>62.27</v>
      </c>
      <c r="N1109" s="10">
        <v>63.13</v>
      </c>
      <c r="O1109" s="10">
        <v>63.19</v>
      </c>
      <c r="P1109" s="10">
        <v>63.09</v>
      </c>
      <c r="Q1109" s="10">
        <v>62.81</v>
      </c>
      <c r="R1109" s="10">
        <v>62.38</v>
      </c>
      <c r="S1109" s="10">
        <v>61.88</v>
      </c>
      <c r="T1109" s="10">
        <v>61.37</v>
      </c>
      <c r="U1109" s="10">
        <v>60.85</v>
      </c>
      <c r="V1109" s="10">
        <v>60.35</v>
      </c>
      <c r="W1109" s="10">
        <v>59.88</v>
      </c>
      <c r="X1109" s="10">
        <v>59.44</v>
      </c>
      <c r="Y1109" s="10">
        <v>59.03</v>
      </c>
      <c r="Z1109" s="11">
        <v>63.433</v>
      </c>
      <c r="AA1109" s="11">
        <v>64.373999999999995</v>
      </c>
      <c r="AB1109" s="11">
        <v>63.749000000000002</v>
      </c>
      <c r="AC1109" s="11">
        <v>63.249000000000002</v>
      </c>
      <c r="AD1109" s="11">
        <v>62.802999999999997</v>
      </c>
      <c r="AE1109" s="11">
        <v>62.38</v>
      </c>
      <c r="AF1109" s="11">
        <v>61.960999999999999</v>
      </c>
      <c r="AG1109" s="11">
        <v>61.512999999999998</v>
      </c>
      <c r="AH1109" s="11">
        <v>61.1</v>
      </c>
      <c r="AI1109" s="11">
        <v>60.784999999999997</v>
      </c>
      <c r="AJ1109" s="11">
        <v>60.515000000000001</v>
      </c>
      <c r="AK1109" s="11">
        <v>60.237000000000002</v>
      </c>
      <c r="AL1109" s="11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  <c r="DG1109" s="3"/>
      <c r="DH1109" s="3"/>
      <c r="DI1109" s="3"/>
      <c r="DJ1109" s="3"/>
      <c r="DK1109" s="3"/>
      <c r="DL1109" s="3"/>
      <c r="DM1109" s="3"/>
      <c r="DN1109" s="3"/>
      <c r="DO1109" s="3"/>
      <c r="DP1109" s="3"/>
      <c r="DQ1109" s="3"/>
      <c r="DR1109" s="3"/>
      <c r="DS1109" s="3"/>
      <c r="DT1109" s="3"/>
      <c r="DU1109" s="3"/>
      <c r="DV1109" s="3"/>
      <c r="DW1109" s="3"/>
      <c r="DX1109" s="3"/>
      <c r="DY1109" s="3"/>
      <c r="DZ1109" s="3"/>
      <c r="EA1109" s="3"/>
      <c r="EB1109" s="3"/>
      <c r="EC1109" s="3"/>
      <c r="ED1109" s="3"/>
      <c r="EE1109" s="3"/>
      <c r="EF1109" s="3"/>
      <c r="EG1109" s="3"/>
      <c r="EH1109" s="3"/>
      <c r="EI1109" s="3"/>
      <c r="EJ1109" s="3"/>
      <c r="EK1109" s="3"/>
      <c r="EL1109" s="3"/>
      <c r="EM1109" s="3"/>
      <c r="EN1109" s="3"/>
      <c r="EO1109" s="3"/>
      <c r="EP1109" s="3"/>
      <c r="EQ1109" s="3"/>
    </row>
    <row r="1110" spans="1:147" x14ac:dyDescent="0.3">
      <c r="A1110" s="9">
        <f>DATE(2021, 4, 19)</f>
        <v>44305</v>
      </c>
      <c r="B1110" s="10">
        <v>67.05</v>
      </c>
      <c r="C1110" s="10">
        <v>66.459999999999994</v>
      </c>
      <c r="D1110" s="10">
        <v>65.930000000000007</v>
      </c>
      <c r="E1110" s="10">
        <v>65.45</v>
      </c>
      <c r="F1110" s="10">
        <v>64.97</v>
      </c>
      <c r="G1110" s="10">
        <v>64.53</v>
      </c>
      <c r="H1110" s="10">
        <v>64.08</v>
      </c>
      <c r="I1110" s="10">
        <v>63.67</v>
      </c>
      <c r="J1110" s="10">
        <v>63.28</v>
      </c>
      <c r="K1110" s="10">
        <v>62.93</v>
      </c>
      <c r="L1110" s="10">
        <v>62.6</v>
      </c>
      <c r="M1110" s="10">
        <v>62.3</v>
      </c>
      <c r="N1110" s="10">
        <v>63.38</v>
      </c>
      <c r="O1110" s="10">
        <v>63.43</v>
      </c>
      <c r="P1110" s="10">
        <v>63.31</v>
      </c>
      <c r="Q1110" s="10">
        <v>63</v>
      </c>
      <c r="R1110" s="10">
        <v>62.53</v>
      </c>
      <c r="S1110" s="10">
        <v>62</v>
      </c>
      <c r="T1110" s="10">
        <v>61.47</v>
      </c>
      <c r="U1110" s="10">
        <v>60.93</v>
      </c>
      <c r="V1110" s="10">
        <v>60.41</v>
      </c>
      <c r="W1110" s="10">
        <v>59.91</v>
      </c>
      <c r="X1110" s="10">
        <v>59.47</v>
      </c>
      <c r="Y1110" s="10">
        <v>59.06</v>
      </c>
      <c r="Z1110" s="11">
        <v>63.469000000000001</v>
      </c>
      <c r="AA1110" s="11">
        <v>64.480999999999995</v>
      </c>
      <c r="AB1110" s="11">
        <v>63.841999999999999</v>
      </c>
      <c r="AC1110" s="11">
        <v>63.323</v>
      </c>
      <c r="AD1110" s="11">
        <v>62.875</v>
      </c>
      <c r="AE1110" s="11">
        <v>62.43</v>
      </c>
      <c r="AF1110" s="11">
        <v>61.982999999999997</v>
      </c>
      <c r="AG1110" s="11">
        <v>61.542000000000002</v>
      </c>
      <c r="AH1110" s="11">
        <v>61.12</v>
      </c>
      <c r="AI1110" s="11">
        <v>60.823999999999998</v>
      </c>
      <c r="AJ1110" s="11">
        <v>60.534999999999997</v>
      </c>
      <c r="AK1110" s="11">
        <v>60.268000000000001</v>
      </c>
      <c r="AL1110" s="11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  <c r="DG1110" s="3"/>
      <c r="DH1110" s="3"/>
      <c r="DI1110" s="3"/>
      <c r="DJ1110" s="3"/>
      <c r="DK1110" s="3"/>
      <c r="DL1110" s="3"/>
      <c r="DM1110" s="3"/>
      <c r="DN1110" s="3"/>
      <c r="DO1110" s="3"/>
      <c r="DP1110" s="3"/>
      <c r="DQ1110" s="3"/>
      <c r="DR1110" s="3"/>
      <c r="DS1110" s="3"/>
      <c r="DT1110" s="3"/>
      <c r="DU1110" s="3"/>
      <c r="DV1110" s="3"/>
      <c r="DW1110" s="3"/>
      <c r="DX1110" s="3"/>
      <c r="DY1110" s="3"/>
      <c r="DZ1110" s="3"/>
      <c r="EA1110" s="3"/>
      <c r="EB1110" s="3"/>
      <c r="EC1110" s="3"/>
      <c r="ED1110" s="3"/>
      <c r="EE1110" s="3"/>
      <c r="EF1110" s="3"/>
      <c r="EG1110" s="3"/>
      <c r="EH1110" s="3"/>
      <c r="EI1110" s="3"/>
      <c r="EJ1110" s="3"/>
      <c r="EK1110" s="3"/>
      <c r="EL1110" s="3"/>
      <c r="EM1110" s="3"/>
      <c r="EN1110" s="3"/>
      <c r="EO1110" s="3"/>
      <c r="EP1110" s="3"/>
      <c r="EQ1110" s="3"/>
    </row>
    <row r="1111" spans="1:147" x14ac:dyDescent="0.3">
      <c r="A1111" s="9">
        <f>DATE(2021, 4, 20)</f>
        <v>44306</v>
      </c>
      <c r="B1111" s="10">
        <v>66.569999999999993</v>
      </c>
      <c r="C1111" s="10">
        <v>65.92</v>
      </c>
      <c r="D1111" s="10">
        <v>65.37</v>
      </c>
      <c r="E1111" s="10">
        <v>64.88</v>
      </c>
      <c r="F1111" s="10">
        <v>64.400000000000006</v>
      </c>
      <c r="G1111" s="10">
        <v>63.96</v>
      </c>
      <c r="H1111" s="10">
        <v>63.51</v>
      </c>
      <c r="I1111" s="10">
        <v>63.11</v>
      </c>
      <c r="J1111" s="10">
        <v>62.72</v>
      </c>
      <c r="K1111" s="10">
        <v>62.37</v>
      </c>
      <c r="L1111" s="10">
        <v>62.04</v>
      </c>
      <c r="M1111" s="10">
        <v>61.74</v>
      </c>
      <c r="N1111" s="10">
        <v>62.44</v>
      </c>
      <c r="O1111" s="10">
        <v>62.67</v>
      </c>
      <c r="P1111" s="10">
        <v>62.6</v>
      </c>
      <c r="Q1111" s="10">
        <v>62.31</v>
      </c>
      <c r="R1111" s="10">
        <v>61.87</v>
      </c>
      <c r="S1111" s="10">
        <v>61.33</v>
      </c>
      <c r="T1111" s="10">
        <v>60.8</v>
      </c>
      <c r="U1111" s="10">
        <v>60.27</v>
      </c>
      <c r="V1111" s="10">
        <v>59.76</v>
      </c>
      <c r="W1111" s="10">
        <v>59.27</v>
      </c>
      <c r="X1111" s="10">
        <v>58.83</v>
      </c>
      <c r="Y1111" s="10">
        <v>58.42</v>
      </c>
      <c r="Z1111" s="11">
        <v>63.267000000000003</v>
      </c>
      <c r="AA1111" s="11">
        <v>63.878</v>
      </c>
      <c r="AB1111" s="11">
        <v>63.247999999999998</v>
      </c>
      <c r="AC1111" s="11">
        <v>62.722999999999999</v>
      </c>
      <c r="AD1111" s="11">
        <v>62.24</v>
      </c>
      <c r="AE1111" s="11">
        <v>61.78</v>
      </c>
      <c r="AF1111" s="11">
        <v>61.331000000000003</v>
      </c>
      <c r="AG1111" s="11">
        <v>60.932000000000002</v>
      </c>
      <c r="AH1111" s="11">
        <v>60.56</v>
      </c>
      <c r="AI1111" s="11">
        <v>60.264000000000003</v>
      </c>
      <c r="AJ1111" s="11">
        <v>59.975000000000001</v>
      </c>
      <c r="AK1111" s="11">
        <v>59.697000000000003</v>
      </c>
      <c r="AL1111" s="11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  <c r="DG1111" s="3"/>
      <c r="DH1111" s="3"/>
      <c r="DI1111" s="3"/>
      <c r="DJ1111" s="3"/>
      <c r="DK1111" s="3"/>
      <c r="DL1111" s="3"/>
      <c r="DM1111" s="3"/>
      <c r="DN1111" s="3"/>
      <c r="DO1111" s="3"/>
      <c r="DP1111" s="3"/>
      <c r="DQ1111" s="3"/>
      <c r="DR1111" s="3"/>
      <c r="DS1111" s="3"/>
      <c r="DT1111" s="3"/>
      <c r="DU1111" s="3"/>
      <c r="DV1111" s="3"/>
      <c r="DW1111" s="3"/>
      <c r="DX1111" s="3"/>
      <c r="DY1111" s="3"/>
      <c r="DZ1111" s="3"/>
      <c r="EA1111" s="3"/>
      <c r="EB1111" s="3"/>
      <c r="EC1111" s="3"/>
      <c r="ED1111" s="3"/>
      <c r="EE1111" s="3"/>
      <c r="EF1111" s="3"/>
      <c r="EG1111" s="3"/>
      <c r="EH1111" s="3"/>
      <c r="EI1111" s="3"/>
      <c r="EJ1111" s="3"/>
      <c r="EK1111" s="3"/>
      <c r="EL1111" s="3"/>
      <c r="EM1111" s="3"/>
      <c r="EN1111" s="3"/>
      <c r="EO1111" s="3"/>
      <c r="EP1111" s="3"/>
      <c r="EQ1111" s="3"/>
    </row>
    <row r="1112" spans="1:147" x14ac:dyDescent="0.3">
      <c r="A1112" s="9">
        <f>DATE(2021, 4, 21)</f>
        <v>44307</v>
      </c>
      <c r="B1112" s="10">
        <v>65.319999999999993</v>
      </c>
      <c r="C1112" s="10">
        <v>64.680000000000007</v>
      </c>
      <c r="D1112" s="10">
        <v>64.17</v>
      </c>
      <c r="E1112" s="10">
        <v>63.72</v>
      </c>
      <c r="F1112" s="10">
        <v>63.29</v>
      </c>
      <c r="G1112" s="10">
        <v>62.89</v>
      </c>
      <c r="H1112" s="10">
        <v>62.5</v>
      </c>
      <c r="I1112" s="10">
        <v>62.13</v>
      </c>
      <c r="J1112" s="10">
        <v>61.79</v>
      </c>
      <c r="K1112" s="10">
        <v>61.47</v>
      </c>
      <c r="L1112" s="10">
        <v>61.17</v>
      </c>
      <c r="M1112" s="10">
        <v>60.9</v>
      </c>
      <c r="N1112" s="10">
        <v>61.35</v>
      </c>
      <c r="O1112" s="10">
        <v>61.27</v>
      </c>
      <c r="P1112" s="10">
        <v>61.01</v>
      </c>
      <c r="Q1112" s="10">
        <v>60.63</v>
      </c>
      <c r="R1112" s="10">
        <v>60.17</v>
      </c>
      <c r="S1112" s="10">
        <v>59.71</v>
      </c>
      <c r="T1112" s="10">
        <v>59.26</v>
      </c>
      <c r="U1112" s="10">
        <v>58.81</v>
      </c>
      <c r="V1112" s="10">
        <v>58.38</v>
      </c>
      <c r="W1112" s="10">
        <v>57.99</v>
      </c>
      <c r="X1112" s="10">
        <v>57.62</v>
      </c>
      <c r="Y1112" s="10">
        <v>57.28</v>
      </c>
      <c r="Z1112" s="11">
        <v>62.753999999999998</v>
      </c>
      <c r="AA1112" s="11">
        <v>62.496000000000002</v>
      </c>
      <c r="AB1112" s="11">
        <v>61.92</v>
      </c>
      <c r="AC1112" s="11">
        <v>61.445</v>
      </c>
      <c r="AD1112" s="11">
        <v>61.012</v>
      </c>
      <c r="AE1112" s="11">
        <v>60.612000000000002</v>
      </c>
      <c r="AF1112" s="11">
        <v>60.222000000000001</v>
      </c>
      <c r="AG1112" s="11">
        <v>59.865000000000002</v>
      </c>
      <c r="AH1112" s="11">
        <v>59.561999999999998</v>
      </c>
      <c r="AI1112" s="11">
        <v>59.265999999999998</v>
      </c>
      <c r="AJ1112" s="11">
        <v>59.006999999999998</v>
      </c>
      <c r="AK1112" s="11">
        <v>58.749000000000002</v>
      </c>
      <c r="AL1112" s="11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  <c r="DG1112" s="3"/>
      <c r="DH1112" s="3"/>
      <c r="DI1112" s="3"/>
      <c r="DJ1112" s="3"/>
      <c r="DK1112" s="3"/>
      <c r="DL1112" s="3"/>
      <c r="DM1112" s="3"/>
      <c r="DN1112" s="3"/>
      <c r="DO1112" s="3"/>
      <c r="DP1112" s="3"/>
      <c r="DQ1112" s="3"/>
      <c r="DR1112" s="3"/>
      <c r="DS1112" s="3"/>
      <c r="DT1112" s="3"/>
      <c r="DU1112" s="3"/>
      <c r="DV1112" s="3"/>
      <c r="DW1112" s="3"/>
      <c r="DX1112" s="3"/>
      <c r="DY1112" s="3"/>
      <c r="DZ1112" s="3"/>
      <c r="EA1112" s="3"/>
      <c r="EB1112" s="3"/>
      <c r="EC1112" s="3"/>
      <c r="ED1112" s="3"/>
      <c r="EE1112" s="3"/>
      <c r="EF1112" s="3"/>
      <c r="EG1112" s="3"/>
      <c r="EH1112" s="3"/>
      <c r="EI1112" s="3"/>
      <c r="EJ1112" s="3"/>
      <c r="EK1112" s="3"/>
      <c r="EL1112" s="3"/>
      <c r="EM1112" s="3"/>
      <c r="EN1112" s="3"/>
      <c r="EO1112" s="3"/>
      <c r="EP1112" s="3"/>
      <c r="EQ1112" s="3"/>
    </row>
    <row r="1113" spans="1:147" x14ac:dyDescent="0.3">
      <c r="A1113" s="9">
        <f>DATE(2021, 4, 22)</f>
        <v>44308</v>
      </c>
      <c r="B1113" s="10">
        <v>65.400000000000006</v>
      </c>
      <c r="C1113" s="10">
        <v>64.75</v>
      </c>
      <c r="D1113" s="10">
        <v>64.239999999999995</v>
      </c>
      <c r="E1113" s="10">
        <v>63.81</v>
      </c>
      <c r="F1113" s="10">
        <v>63.39</v>
      </c>
      <c r="G1113" s="10">
        <v>63.02</v>
      </c>
      <c r="H1113" s="10">
        <v>62.65</v>
      </c>
      <c r="I1113" s="10">
        <v>62.32</v>
      </c>
      <c r="J1113" s="10">
        <v>62</v>
      </c>
      <c r="K1113" s="10">
        <v>61.72</v>
      </c>
      <c r="L1113" s="10">
        <v>61.45</v>
      </c>
      <c r="M1113" s="10">
        <v>61.21</v>
      </c>
      <c r="N1113" s="10">
        <v>61.43</v>
      </c>
      <c r="O1113" s="10">
        <v>61.34</v>
      </c>
      <c r="P1113" s="10">
        <v>61.07</v>
      </c>
      <c r="Q1113" s="10">
        <v>60.7</v>
      </c>
      <c r="R1113" s="10">
        <v>60.29</v>
      </c>
      <c r="S1113" s="10">
        <v>59.87</v>
      </c>
      <c r="T1113" s="10">
        <v>59.46</v>
      </c>
      <c r="U1113" s="10">
        <v>59.03</v>
      </c>
      <c r="V1113" s="10">
        <v>58.63</v>
      </c>
      <c r="W1113" s="10">
        <v>58.26</v>
      </c>
      <c r="X1113" s="10">
        <v>57.92</v>
      </c>
      <c r="Y1113" s="10">
        <v>57.61</v>
      </c>
      <c r="Z1113" s="11">
        <v>62.722999999999999</v>
      </c>
      <c r="AA1113" s="11">
        <v>62.540999999999997</v>
      </c>
      <c r="AB1113" s="11">
        <v>61.95</v>
      </c>
      <c r="AC1113" s="11">
        <v>61.470999999999997</v>
      </c>
      <c r="AD1113" s="11">
        <v>61.052999999999997</v>
      </c>
      <c r="AE1113" s="11">
        <v>60.692999999999998</v>
      </c>
      <c r="AF1113" s="11">
        <v>60.344000000000001</v>
      </c>
      <c r="AG1113" s="11">
        <v>60.015000000000001</v>
      </c>
      <c r="AH1113" s="11">
        <v>59.725999999999999</v>
      </c>
      <c r="AI1113" s="11">
        <v>59.487000000000002</v>
      </c>
      <c r="AJ1113" s="11">
        <v>59.258000000000003</v>
      </c>
      <c r="AK1113" s="11">
        <v>59.03</v>
      </c>
      <c r="AL1113" s="11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  <c r="DG1113" s="3"/>
      <c r="DH1113" s="3"/>
      <c r="DI1113" s="3"/>
      <c r="DJ1113" s="3"/>
      <c r="DK1113" s="3"/>
      <c r="DL1113" s="3"/>
      <c r="DM1113" s="3"/>
      <c r="DN1113" s="3"/>
      <c r="DO1113" s="3"/>
      <c r="DP1113" s="3"/>
      <c r="DQ1113" s="3"/>
      <c r="DR1113" s="3"/>
      <c r="DS1113" s="3"/>
      <c r="DT1113" s="3"/>
      <c r="DU1113" s="3"/>
      <c r="DV1113" s="3"/>
      <c r="DW1113" s="3"/>
      <c r="DX1113" s="3"/>
      <c r="DY1113" s="3"/>
      <c r="DZ1113" s="3"/>
      <c r="EA1113" s="3"/>
      <c r="EB1113" s="3"/>
      <c r="EC1113" s="3"/>
      <c r="ED1113" s="3"/>
      <c r="EE1113" s="3"/>
      <c r="EF1113" s="3"/>
      <c r="EG1113" s="3"/>
      <c r="EH1113" s="3"/>
      <c r="EI1113" s="3"/>
      <c r="EJ1113" s="3"/>
      <c r="EK1113" s="3"/>
      <c r="EL1113" s="3"/>
      <c r="EM1113" s="3"/>
      <c r="EN1113" s="3"/>
      <c r="EO1113" s="3"/>
      <c r="EP1113" s="3"/>
      <c r="EQ1113" s="3"/>
    </row>
    <row r="1114" spans="1:147" x14ac:dyDescent="0.3">
      <c r="A1114" s="9">
        <f>DATE(2021, 4, 23)</f>
        <v>44309</v>
      </c>
      <c r="B1114" s="10">
        <v>66.11</v>
      </c>
      <c r="C1114" s="10">
        <v>65.42</v>
      </c>
      <c r="D1114" s="10">
        <v>64.930000000000007</v>
      </c>
      <c r="E1114" s="10">
        <v>64.510000000000005</v>
      </c>
      <c r="F1114" s="10">
        <v>64.08</v>
      </c>
      <c r="G1114" s="10">
        <v>63.69</v>
      </c>
      <c r="H1114" s="10">
        <v>63.3</v>
      </c>
      <c r="I1114" s="10">
        <v>62.96</v>
      </c>
      <c r="J1114" s="10">
        <v>62.64</v>
      </c>
      <c r="K1114" s="10">
        <v>62.35</v>
      </c>
      <c r="L1114" s="10">
        <v>62.07</v>
      </c>
      <c r="M1114" s="10">
        <v>61.82</v>
      </c>
      <c r="N1114" s="10">
        <v>62.14</v>
      </c>
      <c r="O1114" s="10">
        <v>62.02</v>
      </c>
      <c r="P1114" s="10">
        <v>61.72</v>
      </c>
      <c r="Q1114" s="10">
        <v>61.34</v>
      </c>
      <c r="R1114" s="10">
        <v>60.92</v>
      </c>
      <c r="S1114" s="10">
        <v>60.5</v>
      </c>
      <c r="T1114" s="10">
        <v>60.07</v>
      </c>
      <c r="U1114" s="10">
        <v>59.65</v>
      </c>
      <c r="V1114" s="10">
        <v>59.24</v>
      </c>
      <c r="W1114" s="10">
        <v>58.86</v>
      </c>
      <c r="X1114" s="10">
        <v>58.51</v>
      </c>
      <c r="Y1114" s="10">
        <v>58.19</v>
      </c>
      <c r="Z1114" s="11">
        <v>62.835999999999999</v>
      </c>
      <c r="AA1114" s="11">
        <v>63.093000000000004</v>
      </c>
      <c r="AB1114" s="11">
        <v>62.543999999999997</v>
      </c>
      <c r="AC1114" s="11">
        <v>62.100999999999999</v>
      </c>
      <c r="AD1114" s="11">
        <v>61.692</v>
      </c>
      <c r="AE1114" s="11">
        <v>61.311999999999998</v>
      </c>
      <c r="AF1114" s="11">
        <v>60.963999999999999</v>
      </c>
      <c r="AG1114" s="11">
        <v>60.625</v>
      </c>
      <c r="AH1114" s="11">
        <v>60.344999999999999</v>
      </c>
      <c r="AI1114" s="11">
        <v>60.067</v>
      </c>
      <c r="AJ1114" s="11">
        <v>59.808</v>
      </c>
      <c r="AK1114" s="11">
        <v>59.558999999999997</v>
      </c>
      <c r="AL1114" s="11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  <c r="DG1114" s="3"/>
      <c r="DH1114" s="3"/>
      <c r="DI1114" s="3"/>
      <c r="DJ1114" s="3"/>
      <c r="DK1114" s="3"/>
      <c r="DL1114" s="3"/>
      <c r="DM1114" s="3"/>
      <c r="DN1114" s="3"/>
      <c r="DO1114" s="3"/>
      <c r="DP1114" s="3"/>
      <c r="DQ1114" s="3"/>
      <c r="DR1114" s="3"/>
      <c r="DS1114" s="3"/>
      <c r="DT1114" s="3"/>
      <c r="DU1114" s="3"/>
      <c r="DV1114" s="3"/>
      <c r="DW1114" s="3"/>
      <c r="DX1114" s="3"/>
      <c r="DY1114" s="3"/>
      <c r="DZ1114" s="3"/>
      <c r="EA1114" s="3"/>
      <c r="EB1114" s="3"/>
      <c r="EC1114" s="3"/>
      <c r="ED1114" s="3"/>
      <c r="EE1114" s="3"/>
      <c r="EF1114" s="3"/>
      <c r="EG1114" s="3"/>
      <c r="EH1114" s="3"/>
      <c r="EI1114" s="3"/>
      <c r="EJ1114" s="3"/>
      <c r="EK1114" s="3"/>
      <c r="EL1114" s="3"/>
      <c r="EM1114" s="3"/>
      <c r="EN1114" s="3"/>
      <c r="EO1114" s="3"/>
      <c r="EP1114" s="3"/>
      <c r="EQ1114" s="3"/>
    </row>
    <row r="1115" spans="1:147" x14ac:dyDescent="0.3">
      <c r="A1115" s="9">
        <f>DATE(2021, 4, 26)</f>
        <v>44312</v>
      </c>
      <c r="B1115" s="10">
        <v>65.650000000000006</v>
      </c>
      <c r="C1115" s="10">
        <v>65.03</v>
      </c>
      <c r="D1115" s="10">
        <v>64.61</v>
      </c>
      <c r="E1115" s="10">
        <v>64.239999999999995</v>
      </c>
      <c r="F1115" s="10">
        <v>63.85</v>
      </c>
      <c r="G1115" s="10">
        <v>63.49</v>
      </c>
      <c r="H1115" s="10">
        <v>63.12</v>
      </c>
      <c r="I1115" s="10">
        <v>62.8</v>
      </c>
      <c r="J1115" s="10">
        <v>62.51</v>
      </c>
      <c r="K1115" s="10">
        <v>62.24</v>
      </c>
      <c r="L1115" s="10">
        <v>61.99</v>
      </c>
      <c r="M1115" s="10">
        <v>61.76</v>
      </c>
      <c r="N1115" s="10">
        <v>61.91</v>
      </c>
      <c r="O1115" s="10">
        <v>61.8</v>
      </c>
      <c r="P1115" s="10">
        <v>61.52</v>
      </c>
      <c r="Q1115" s="10">
        <v>61.14</v>
      </c>
      <c r="R1115" s="10">
        <v>60.71</v>
      </c>
      <c r="S1115" s="10">
        <v>60.28</v>
      </c>
      <c r="T1115" s="10">
        <v>59.86</v>
      </c>
      <c r="U1115" s="10">
        <v>59.44</v>
      </c>
      <c r="V1115" s="10">
        <v>59.05</v>
      </c>
      <c r="W1115" s="10">
        <v>58.69</v>
      </c>
      <c r="X1115" s="10">
        <v>58.35</v>
      </c>
      <c r="Y1115" s="10">
        <v>58.05</v>
      </c>
      <c r="Z1115" s="11">
        <v>62.683999999999997</v>
      </c>
      <c r="AA1115" s="11">
        <v>62.67</v>
      </c>
      <c r="AB1115" s="11">
        <v>62.170999999999999</v>
      </c>
      <c r="AC1115" s="11">
        <v>61.753</v>
      </c>
      <c r="AD1115" s="11">
        <v>61.384</v>
      </c>
      <c r="AE1115" s="11">
        <v>61.033000000000001</v>
      </c>
      <c r="AF1115" s="11">
        <v>60.715000000000003</v>
      </c>
      <c r="AG1115" s="11">
        <v>60.396999999999998</v>
      </c>
      <c r="AH1115" s="11">
        <v>60.127000000000002</v>
      </c>
      <c r="AI1115" s="11">
        <v>59.887999999999998</v>
      </c>
      <c r="AJ1115" s="11">
        <v>59.658999999999999</v>
      </c>
      <c r="AK1115" s="11">
        <v>59.43</v>
      </c>
      <c r="AL1115" s="11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  <c r="DG1115" s="3"/>
      <c r="DH1115" s="3"/>
      <c r="DI1115" s="3"/>
      <c r="DJ1115" s="3"/>
      <c r="DK1115" s="3"/>
      <c r="DL1115" s="3"/>
      <c r="DM1115" s="3"/>
      <c r="DN1115" s="3"/>
      <c r="DO1115" s="3"/>
      <c r="DP1115" s="3"/>
      <c r="DQ1115" s="3"/>
      <c r="DR1115" s="3"/>
      <c r="DS1115" s="3"/>
      <c r="DT1115" s="3"/>
      <c r="DU1115" s="3"/>
      <c r="DV1115" s="3"/>
      <c r="DW1115" s="3"/>
      <c r="DX1115" s="3"/>
      <c r="DY1115" s="3"/>
      <c r="DZ1115" s="3"/>
      <c r="EA1115" s="3"/>
      <c r="EB1115" s="3"/>
      <c r="EC1115" s="3"/>
      <c r="ED1115" s="3"/>
      <c r="EE1115" s="3"/>
      <c r="EF1115" s="3"/>
      <c r="EG1115" s="3"/>
      <c r="EH1115" s="3"/>
      <c r="EI1115" s="3"/>
      <c r="EJ1115" s="3"/>
      <c r="EK1115" s="3"/>
      <c r="EL1115" s="3"/>
      <c r="EM1115" s="3"/>
      <c r="EN1115" s="3"/>
      <c r="EO1115" s="3"/>
      <c r="EP1115" s="3"/>
      <c r="EQ1115" s="3"/>
    </row>
    <row r="1116" spans="1:147" x14ac:dyDescent="0.3">
      <c r="A1116" s="9">
        <f>DATE(2021, 4, 27)</f>
        <v>44313</v>
      </c>
      <c r="B1116" s="10">
        <v>66.42</v>
      </c>
      <c r="C1116" s="10">
        <v>65.87</v>
      </c>
      <c r="D1116" s="10">
        <v>65.47</v>
      </c>
      <c r="E1116" s="10">
        <v>65.099999999999994</v>
      </c>
      <c r="F1116" s="10">
        <v>64.7</v>
      </c>
      <c r="G1116" s="10">
        <v>64.319999999999993</v>
      </c>
      <c r="H1116" s="10">
        <v>63.93</v>
      </c>
      <c r="I1116" s="10">
        <v>63.59</v>
      </c>
      <c r="J1116" s="10">
        <v>63.27</v>
      </c>
      <c r="K1116" s="10">
        <v>63</v>
      </c>
      <c r="L1116" s="10">
        <v>62.74</v>
      </c>
      <c r="M1116" s="10">
        <v>62.51</v>
      </c>
      <c r="N1116" s="10">
        <v>62.94</v>
      </c>
      <c r="O1116" s="10">
        <v>62.8</v>
      </c>
      <c r="P1116" s="10">
        <v>62.48</v>
      </c>
      <c r="Q1116" s="10">
        <v>62.06</v>
      </c>
      <c r="R1116" s="10">
        <v>61.59</v>
      </c>
      <c r="S1116" s="10">
        <v>61.13</v>
      </c>
      <c r="T1116" s="10">
        <v>60.68</v>
      </c>
      <c r="U1116" s="10">
        <v>60.24</v>
      </c>
      <c r="V1116" s="10">
        <v>59.83</v>
      </c>
      <c r="W1116" s="10">
        <v>59.45</v>
      </c>
      <c r="X1116" s="10">
        <v>59.09</v>
      </c>
      <c r="Y1116" s="10">
        <v>58.77</v>
      </c>
      <c r="Z1116" s="11">
        <v>62.822000000000003</v>
      </c>
      <c r="AA1116" s="11">
        <v>63.601999999999997</v>
      </c>
      <c r="AB1116" s="11">
        <v>63.082999999999998</v>
      </c>
      <c r="AC1116" s="11">
        <v>62.692</v>
      </c>
      <c r="AD1116" s="11">
        <v>62.328000000000003</v>
      </c>
      <c r="AE1116" s="11">
        <v>61.962000000000003</v>
      </c>
      <c r="AF1116" s="11">
        <v>61.613999999999997</v>
      </c>
      <c r="AG1116" s="11">
        <v>61.274999999999999</v>
      </c>
      <c r="AH1116" s="11">
        <v>60.947000000000003</v>
      </c>
      <c r="AI1116" s="11">
        <v>60.707999999999998</v>
      </c>
      <c r="AJ1116" s="11">
        <v>60.469000000000001</v>
      </c>
      <c r="AK1116" s="11">
        <v>60.25</v>
      </c>
      <c r="AL1116" s="11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  <c r="DG1116" s="3"/>
      <c r="DH1116" s="3"/>
      <c r="DI1116" s="3"/>
      <c r="DJ1116" s="3"/>
      <c r="DK1116" s="3"/>
      <c r="DL1116" s="3"/>
      <c r="DM1116" s="3"/>
      <c r="DN1116" s="3"/>
      <c r="DO1116" s="3"/>
      <c r="DP1116" s="3"/>
      <c r="DQ1116" s="3"/>
      <c r="DR1116" s="3"/>
      <c r="DS1116" s="3"/>
      <c r="DT1116" s="3"/>
      <c r="DU1116" s="3"/>
      <c r="DV1116" s="3"/>
      <c r="DW1116" s="3"/>
      <c r="DX1116" s="3"/>
      <c r="DY1116" s="3"/>
      <c r="DZ1116" s="3"/>
      <c r="EA1116" s="3"/>
      <c r="EB1116" s="3"/>
      <c r="EC1116" s="3"/>
      <c r="ED1116" s="3"/>
      <c r="EE1116" s="3"/>
      <c r="EF1116" s="3"/>
      <c r="EG1116" s="3"/>
      <c r="EH1116" s="3"/>
      <c r="EI1116" s="3"/>
      <c r="EJ1116" s="3"/>
      <c r="EK1116" s="3"/>
      <c r="EL1116" s="3"/>
      <c r="EM1116" s="3"/>
      <c r="EN1116" s="3"/>
      <c r="EO1116" s="3"/>
      <c r="EP1116" s="3"/>
      <c r="EQ1116" s="3"/>
    </row>
    <row r="1117" spans="1:147" x14ac:dyDescent="0.3">
      <c r="A1117" s="9">
        <f>DATE(2021, 4, 28)</f>
        <v>44314</v>
      </c>
      <c r="B1117" s="10">
        <v>67.27</v>
      </c>
      <c r="C1117" s="10">
        <v>66.78</v>
      </c>
      <c r="D1117" s="10">
        <v>66.38</v>
      </c>
      <c r="E1117" s="10">
        <v>65.98</v>
      </c>
      <c r="F1117" s="10">
        <v>65.540000000000006</v>
      </c>
      <c r="G1117" s="10">
        <v>65.12</v>
      </c>
      <c r="H1117" s="10">
        <v>64.69</v>
      </c>
      <c r="I1117" s="10">
        <v>64.31</v>
      </c>
      <c r="J1117" s="10">
        <v>63.96</v>
      </c>
      <c r="K1117" s="10">
        <v>63.66</v>
      </c>
      <c r="L1117" s="10">
        <v>63.38</v>
      </c>
      <c r="M1117" s="10">
        <v>63.12</v>
      </c>
      <c r="N1117" s="10">
        <v>63.86</v>
      </c>
      <c r="O1117" s="10">
        <v>63.75</v>
      </c>
      <c r="P1117" s="10">
        <v>63.44</v>
      </c>
      <c r="Q1117" s="10">
        <v>63</v>
      </c>
      <c r="R1117" s="10">
        <v>62.48</v>
      </c>
      <c r="S1117" s="10">
        <v>61.96</v>
      </c>
      <c r="T1117" s="10">
        <v>61.45</v>
      </c>
      <c r="U1117" s="10">
        <v>60.96</v>
      </c>
      <c r="V1117" s="10">
        <v>60.5</v>
      </c>
      <c r="W1117" s="10">
        <v>60.07</v>
      </c>
      <c r="X1117" s="10">
        <v>59.68</v>
      </c>
      <c r="Y1117" s="10">
        <v>59.33</v>
      </c>
      <c r="Z1117" s="11">
        <v>62.884</v>
      </c>
      <c r="AA1117" s="11">
        <v>64.602000000000004</v>
      </c>
      <c r="AB1117" s="11">
        <v>64.091999999999999</v>
      </c>
      <c r="AC1117" s="11">
        <v>63.66</v>
      </c>
      <c r="AD1117" s="11">
        <v>63.241</v>
      </c>
      <c r="AE1117" s="11">
        <v>62.83</v>
      </c>
      <c r="AF1117" s="11">
        <v>62.421999999999997</v>
      </c>
      <c r="AG1117" s="11">
        <v>62.014000000000003</v>
      </c>
      <c r="AH1117" s="11">
        <v>61.654000000000003</v>
      </c>
      <c r="AI1117" s="11">
        <v>61.396999999999998</v>
      </c>
      <c r="AJ1117" s="11">
        <v>61.137</v>
      </c>
      <c r="AK1117" s="11">
        <v>60.889000000000003</v>
      </c>
      <c r="AL1117" s="11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  <c r="DG1117" s="3"/>
      <c r="DH1117" s="3"/>
      <c r="DI1117" s="3"/>
      <c r="DJ1117" s="3"/>
      <c r="DK1117" s="3"/>
      <c r="DL1117" s="3"/>
      <c r="DM1117" s="3"/>
      <c r="DN1117" s="3"/>
      <c r="DO1117" s="3"/>
      <c r="DP1117" s="3"/>
      <c r="DQ1117" s="3"/>
      <c r="DR1117" s="3"/>
      <c r="DS1117" s="3"/>
      <c r="DT1117" s="3"/>
      <c r="DU1117" s="3"/>
      <c r="DV1117" s="3"/>
      <c r="DW1117" s="3"/>
      <c r="DX1117" s="3"/>
      <c r="DY1117" s="3"/>
      <c r="DZ1117" s="3"/>
      <c r="EA1117" s="3"/>
      <c r="EB1117" s="3"/>
      <c r="EC1117" s="3"/>
      <c r="ED1117" s="3"/>
      <c r="EE1117" s="3"/>
      <c r="EF1117" s="3"/>
      <c r="EG1117" s="3"/>
      <c r="EH1117" s="3"/>
      <c r="EI1117" s="3"/>
      <c r="EJ1117" s="3"/>
      <c r="EK1117" s="3"/>
      <c r="EL1117" s="3"/>
      <c r="EM1117" s="3"/>
      <c r="EN1117" s="3"/>
      <c r="EO1117" s="3"/>
      <c r="EP1117" s="3"/>
      <c r="EQ1117" s="3"/>
    </row>
    <row r="1118" spans="1:147" x14ac:dyDescent="0.3">
      <c r="A1118" s="9">
        <f>DATE(2021, 4, 29)</f>
        <v>44315</v>
      </c>
      <c r="B1118" s="10">
        <v>68.56</v>
      </c>
      <c r="C1118" s="10">
        <v>68.05</v>
      </c>
      <c r="D1118" s="10">
        <v>67.58</v>
      </c>
      <c r="E1118" s="10">
        <v>67.099999999999994</v>
      </c>
      <c r="F1118" s="10">
        <v>66.59</v>
      </c>
      <c r="G1118" s="10">
        <v>66.099999999999994</v>
      </c>
      <c r="H1118" s="10">
        <v>65.61</v>
      </c>
      <c r="I1118" s="10">
        <v>65.180000000000007</v>
      </c>
      <c r="J1118" s="10">
        <v>64.790000000000006</v>
      </c>
      <c r="K1118" s="10">
        <v>64.45</v>
      </c>
      <c r="L1118" s="10">
        <v>64.14</v>
      </c>
      <c r="M1118" s="10">
        <v>63.85</v>
      </c>
      <c r="N1118" s="10">
        <v>65.010000000000005</v>
      </c>
      <c r="O1118" s="10">
        <v>64.88</v>
      </c>
      <c r="P1118" s="10">
        <v>64.52</v>
      </c>
      <c r="Q1118" s="10">
        <v>64.02</v>
      </c>
      <c r="R1118" s="10">
        <v>63.45</v>
      </c>
      <c r="S1118" s="10">
        <v>62.9</v>
      </c>
      <c r="T1118" s="10">
        <v>62.36</v>
      </c>
      <c r="U1118" s="10">
        <v>61.84</v>
      </c>
      <c r="V1118" s="10">
        <v>61.34</v>
      </c>
      <c r="W1118" s="10">
        <v>60.88</v>
      </c>
      <c r="X1118" s="10">
        <v>60.46</v>
      </c>
      <c r="Y1118" s="10">
        <v>60.08</v>
      </c>
      <c r="Z1118" s="11">
        <v>62.935000000000002</v>
      </c>
      <c r="AA1118" s="11">
        <v>65.655000000000001</v>
      </c>
      <c r="AB1118" s="11">
        <v>65.177999999999997</v>
      </c>
      <c r="AC1118" s="11">
        <v>64.716999999999999</v>
      </c>
      <c r="AD1118" s="11">
        <v>64.268000000000001</v>
      </c>
      <c r="AE1118" s="11">
        <v>63.808</v>
      </c>
      <c r="AF1118" s="11">
        <v>63.34</v>
      </c>
      <c r="AG1118" s="11">
        <v>62.902000000000001</v>
      </c>
      <c r="AH1118" s="11">
        <v>62.5</v>
      </c>
      <c r="AI1118" s="11">
        <v>62.215000000000003</v>
      </c>
      <c r="AJ1118" s="11">
        <v>61.926000000000002</v>
      </c>
      <c r="AK1118" s="11">
        <v>61.646999999999998</v>
      </c>
      <c r="AL1118" s="11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  <c r="DP1118" s="3"/>
      <c r="DQ1118" s="3"/>
      <c r="DR1118" s="3"/>
      <c r="DS1118" s="3"/>
      <c r="DT1118" s="3"/>
      <c r="DU1118" s="3"/>
      <c r="DV1118" s="3"/>
      <c r="DW1118" s="3"/>
      <c r="DX1118" s="3"/>
      <c r="DY1118" s="3"/>
      <c r="DZ1118" s="3"/>
      <c r="EA1118" s="3"/>
      <c r="EB1118" s="3"/>
      <c r="EC1118" s="3"/>
      <c r="ED1118" s="3"/>
      <c r="EE1118" s="3"/>
      <c r="EF1118" s="3"/>
      <c r="EG1118" s="3"/>
      <c r="EH1118" s="3"/>
      <c r="EI1118" s="3"/>
      <c r="EJ1118" s="3"/>
      <c r="EK1118" s="3"/>
      <c r="EL1118" s="3"/>
      <c r="EM1118" s="3"/>
      <c r="EN1118" s="3"/>
      <c r="EO1118" s="3"/>
      <c r="EP1118" s="3"/>
      <c r="EQ1118" s="3"/>
    </row>
    <row r="1119" spans="1:147" x14ac:dyDescent="0.3">
      <c r="A1119" s="9">
        <f>DATE(2021, 4, 30)</f>
        <v>44316</v>
      </c>
      <c r="B1119" s="10">
        <v>67.25</v>
      </c>
      <c r="C1119" s="10">
        <v>66.760000000000005</v>
      </c>
      <c r="D1119" s="10">
        <v>66.28</v>
      </c>
      <c r="E1119" s="10">
        <v>65.8</v>
      </c>
      <c r="F1119" s="10">
        <v>65.3</v>
      </c>
      <c r="G1119" s="10">
        <v>64.819999999999993</v>
      </c>
      <c r="H1119" s="10">
        <v>64.349999999999994</v>
      </c>
      <c r="I1119" s="10">
        <v>63.94</v>
      </c>
      <c r="J1119" s="10">
        <v>63.56</v>
      </c>
      <c r="K1119" s="10">
        <v>63.24</v>
      </c>
      <c r="L1119" s="10">
        <v>62.94</v>
      </c>
      <c r="M1119" s="10">
        <v>62.67</v>
      </c>
      <c r="N1119" s="10">
        <v>63.58</v>
      </c>
      <c r="O1119" s="10">
        <v>63.48</v>
      </c>
      <c r="P1119" s="10">
        <v>63.14</v>
      </c>
      <c r="Q1119" s="10">
        <v>62.65</v>
      </c>
      <c r="R1119" s="10">
        <v>62.1</v>
      </c>
      <c r="S1119" s="10">
        <v>61.55</v>
      </c>
      <c r="T1119" s="10">
        <v>61.03</v>
      </c>
      <c r="U1119" s="10">
        <v>60.53</v>
      </c>
      <c r="V1119" s="10">
        <v>60.05</v>
      </c>
      <c r="W1119" s="10">
        <v>59.61</v>
      </c>
      <c r="X1119" s="10">
        <v>59.21</v>
      </c>
      <c r="Y1119" s="10">
        <v>58.85</v>
      </c>
      <c r="Z1119" s="11">
        <v>62.893999999999998</v>
      </c>
      <c r="AA1119" s="11">
        <v>64.284000000000006</v>
      </c>
      <c r="AB1119" s="11">
        <v>63.798000000000002</v>
      </c>
      <c r="AC1119" s="11">
        <v>63.363</v>
      </c>
      <c r="AD1119" s="11">
        <v>62.904000000000003</v>
      </c>
      <c r="AE1119" s="11">
        <v>62.429000000000002</v>
      </c>
      <c r="AF1119" s="11">
        <v>61.99</v>
      </c>
      <c r="AG1119" s="11">
        <v>61.573</v>
      </c>
      <c r="AH1119" s="11">
        <v>61.182000000000002</v>
      </c>
      <c r="AI1119" s="11">
        <v>60.915999999999997</v>
      </c>
      <c r="AJ1119" s="11">
        <v>60.627000000000002</v>
      </c>
      <c r="AK1119" s="11">
        <v>60.378</v>
      </c>
      <c r="AL1119" s="11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  <c r="DP1119" s="3"/>
      <c r="DQ1119" s="3"/>
      <c r="DR1119" s="3"/>
      <c r="DS1119" s="3"/>
      <c r="DT1119" s="3"/>
      <c r="DU1119" s="3"/>
      <c r="DV1119" s="3"/>
      <c r="DW1119" s="3"/>
      <c r="DX1119" s="3"/>
      <c r="DY1119" s="3"/>
      <c r="DZ1119" s="3"/>
      <c r="EA1119" s="3"/>
      <c r="EB1119" s="3"/>
      <c r="EC1119" s="3"/>
      <c r="ED1119" s="3"/>
      <c r="EE1119" s="3"/>
      <c r="EF1119" s="3"/>
      <c r="EG1119" s="3"/>
      <c r="EH1119" s="3"/>
      <c r="EI1119" s="3"/>
      <c r="EJ1119" s="3"/>
      <c r="EK1119" s="3"/>
      <c r="EL1119" s="3"/>
      <c r="EM1119" s="3"/>
      <c r="EN1119" s="3"/>
      <c r="EO1119" s="3"/>
      <c r="EP1119" s="3"/>
      <c r="EQ1119" s="3"/>
    </row>
    <row r="1120" spans="1:147" x14ac:dyDescent="0.3">
      <c r="A1120" s="9">
        <f>DATE(2021, 5, 3)</f>
        <v>44319</v>
      </c>
      <c r="B1120" s="10">
        <v>67.56</v>
      </c>
      <c r="C1120" s="10">
        <v>67.14</v>
      </c>
      <c r="D1120" s="10">
        <v>66.7</v>
      </c>
      <c r="E1120" s="10">
        <v>66.22</v>
      </c>
      <c r="F1120" s="10">
        <v>65.739999999999995</v>
      </c>
      <c r="G1120" s="10">
        <v>65.260000000000005</v>
      </c>
      <c r="H1120" s="10">
        <v>64.84</v>
      </c>
      <c r="I1120" s="10">
        <v>64.45</v>
      </c>
      <c r="J1120" s="10">
        <v>64.12</v>
      </c>
      <c r="K1120" s="10">
        <v>63.81</v>
      </c>
      <c r="L1120" s="10">
        <v>63.52</v>
      </c>
      <c r="M1120" s="10">
        <v>63.23</v>
      </c>
      <c r="N1120" s="10">
        <v>64.489999999999995</v>
      </c>
      <c r="O1120" s="10">
        <v>64.41</v>
      </c>
      <c r="P1120" s="10">
        <v>64.099999999999994</v>
      </c>
      <c r="Q1120" s="10">
        <v>63.62</v>
      </c>
      <c r="R1120" s="10">
        <v>63.07</v>
      </c>
      <c r="S1120" s="10">
        <v>62.53</v>
      </c>
      <c r="T1120" s="10">
        <v>62</v>
      </c>
      <c r="U1120" s="10">
        <v>61.5</v>
      </c>
      <c r="V1120" s="10">
        <v>61.01</v>
      </c>
      <c r="W1120" s="10">
        <v>60.55</v>
      </c>
      <c r="X1120" s="10">
        <v>60.13</v>
      </c>
      <c r="Y1120" s="10">
        <v>59.75</v>
      </c>
      <c r="Z1120" s="11">
        <v>62.893999999999998</v>
      </c>
      <c r="AA1120" s="11">
        <v>65.069999999999993</v>
      </c>
      <c r="AB1120" s="11">
        <v>64.66</v>
      </c>
      <c r="AC1120" s="11">
        <v>64.207999999999998</v>
      </c>
      <c r="AD1120" s="11">
        <v>63.768000000000001</v>
      </c>
      <c r="AE1120" s="11">
        <v>63.308</v>
      </c>
      <c r="AF1120" s="11">
        <v>62.88</v>
      </c>
      <c r="AG1120" s="11">
        <v>62.472000000000001</v>
      </c>
      <c r="AH1120" s="11">
        <v>62.070999999999998</v>
      </c>
      <c r="AI1120" s="11">
        <v>61.765000000000001</v>
      </c>
      <c r="AJ1120" s="11">
        <v>61.466000000000001</v>
      </c>
      <c r="AK1120" s="11">
        <v>61.197000000000003</v>
      </c>
      <c r="AL1120" s="11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  <c r="DP1120" s="3"/>
      <c r="DQ1120" s="3"/>
      <c r="DR1120" s="3"/>
      <c r="DS1120" s="3"/>
      <c r="DT1120" s="3"/>
      <c r="DU1120" s="3"/>
      <c r="DV1120" s="3"/>
      <c r="DW1120" s="3"/>
      <c r="DX1120" s="3"/>
      <c r="DY1120" s="3"/>
      <c r="DZ1120" s="3"/>
      <c r="EA1120" s="3"/>
      <c r="EB1120" s="3"/>
      <c r="EC1120" s="3"/>
      <c r="ED1120" s="3"/>
      <c r="EE1120" s="3"/>
      <c r="EF1120" s="3"/>
      <c r="EG1120" s="3"/>
      <c r="EH1120" s="3"/>
      <c r="EI1120" s="3"/>
      <c r="EJ1120" s="3"/>
      <c r="EK1120" s="3"/>
      <c r="EL1120" s="3"/>
      <c r="EM1120" s="3"/>
      <c r="EN1120" s="3"/>
      <c r="EO1120" s="3"/>
      <c r="EP1120" s="3"/>
      <c r="EQ1120" s="3"/>
    </row>
    <row r="1121" spans="1:147" x14ac:dyDescent="0.3">
      <c r="A1121" s="9">
        <f>DATE(2021, 5, 4)</f>
        <v>44320</v>
      </c>
      <c r="B1121" s="10">
        <v>68.88</v>
      </c>
      <c r="C1121" s="10">
        <v>68.45</v>
      </c>
      <c r="D1121" s="10">
        <v>68</v>
      </c>
      <c r="E1121" s="10">
        <v>67.510000000000005</v>
      </c>
      <c r="F1121" s="10">
        <v>67.02</v>
      </c>
      <c r="G1121" s="10">
        <v>66.52</v>
      </c>
      <c r="H1121" s="10">
        <v>66.09</v>
      </c>
      <c r="I1121" s="10">
        <v>65.680000000000007</v>
      </c>
      <c r="J1121" s="10">
        <v>65.319999999999993</v>
      </c>
      <c r="K1121" s="10">
        <v>64.989999999999995</v>
      </c>
      <c r="L1121" s="10">
        <v>64.67</v>
      </c>
      <c r="M1121" s="10">
        <v>64.36</v>
      </c>
      <c r="N1121" s="10">
        <v>65.69</v>
      </c>
      <c r="O1121" s="10">
        <v>65.61</v>
      </c>
      <c r="P1121" s="10">
        <v>65.33</v>
      </c>
      <c r="Q1121" s="10">
        <v>64.87</v>
      </c>
      <c r="R1121" s="10">
        <v>64.33</v>
      </c>
      <c r="S1121" s="10">
        <v>63.78</v>
      </c>
      <c r="T1121" s="10">
        <v>63.26</v>
      </c>
      <c r="U1121" s="10">
        <v>62.74</v>
      </c>
      <c r="V1121" s="10">
        <v>62.25</v>
      </c>
      <c r="W1121" s="10">
        <v>61.78</v>
      </c>
      <c r="X1121" s="10">
        <v>61.34</v>
      </c>
      <c r="Y1121" s="10">
        <v>60.93</v>
      </c>
      <c r="Z1121" s="11">
        <v>66.421000000000006</v>
      </c>
      <c r="AA1121" s="11">
        <v>66.11</v>
      </c>
      <c r="AB1121" s="11">
        <v>65.617999999999995</v>
      </c>
      <c r="AC1121" s="11">
        <v>65.147999999999996</v>
      </c>
      <c r="AD1121" s="11">
        <v>64.667000000000002</v>
      </c>
      <c r="AE1121" s="11">
        <v>64.209999999999994</v>
      </c>
      <c r="AF1121" s="11">
        <v>63.771000000000001</v>
      </c>
      <c r="AG1121" s="11">
        <v>63.338999999999999</v>
      </c>
      <c r="AH1121" s="11">
        <v>63.024000000000001</v>
      </c>
      <c r="AI1121" s="11">
        <v>62.723999999999997</v>
      </c>
      <c r="AJ1121" s="11">
        <v>62.417000000000002</v>
      </c>
      <c r="AK1121" s="11">
        <v>62.136000000000003</v>
      </c>
      <c r="AL1121" s="11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  <c r="DP1121" s="3"/>
      <c r="DQ1121" s="3"/>
      <c r="DR1121" s="3"/>
      <c r="DS1121" s="3"/>
      <c r="DT1121" s="3"/>
      <c r="DU1121" s="3"/>
      <c r="DV1121" s="3"/>
      <c r="DW1121" s="3"/>
      <c r="DX1121" s="3"/>
      <c r="DY1121" s="3"/>
      <c r="DZ1121" s="3"/>
      <c r="EA1121" s="3"/>
      <c r="EB1121" s="3"/>
      <c r="EC1121" s="3"/>
      <c r="ED1121" s="3"/>
      <c r="EE1121" s="3"/>
      <c r="EF1121" s="3"/>
      <c r="EG1121" s="3"/>
      <c r="EH1121" s="3"/>
      <c r="EI1121" s="3"/>
      <c r="EJ1121" s="3"/>
      <c r="EK1121" s="3"/>
      <c r="EL1121" s="3"/>
      <c r="EM1121" s="3"/>
      <c r="EN1121" s="3"/>
      <c r="EO1121" s="3"/>
      <c r="EP1121" s="3"/>
      <c r="EQ1121" s="3"/>
    </row>
    <row r="1122" spans="1:147" x14ac:dyDescent="0.3">
      <c r="A1122" s="9">
        <f>DATE(2021, 5, 5)</f>
        <v>44321</v>
      </c>
      <c r="B1122" s="10">
        <v>68.959999999999994</v>
      </c>
      <c r="C1122" s="10">
        <v>68.55</v>
      </c>
      <c r="D1122" s="10">
        <v>68.099999999999994</v>
      </c>
      <c r="E1122" s="10">
        <v>67.61</v>
      </c>
      <c r="F1122" s="10">
        <v>67.13</v>
      </c>
      <c r="G1122" s="10">
        <v>66.64</v>
      </c>
      <c r="H1122" s="10">
        <v>66.209999999999994</v>
      </c>
      <c r="I1122" s="10">
        <v>65.81</v>
      </c>
      <c r="J1122" s="10">
        <v>65.45</v>
      </c>
      <c r="K1122" s="10">
        <v>65.12</v>
      </c>
      <c r="L1122" s="10">
        <v>64.8</v>
      </c>
      <c r="M1122" s="10">
        <v>64.489999999999995</v>
      </c>
      <c r="N1122" s="10">
        <v>65.63</v>
      </c>
      <c r="O1122" s="10">
        <v>65.59</v>
      </c>
      <c r="P1122" s="10">
        <v>65.349999999999994</v>
      </c>
      <c r="Q1122" s="10">
        <v>64.91</v>
      </c>
      <c r="R1122" s="10">
        <v>64.37</v>
      </c>
      <c r="S1122" s="10">
        <v>63.83</v>
      </c>
      <c r="T1122" s="10">
        <v>63.31</v>
      </c>
      <c r="U1122" s="10">
        <v>62.8</v>
      </c>
      <c r="V1122" s="10">
        <v>62.31</v>
      </c>
      <c r="W1122" s="10">
        <v>61.84</v>
      </c>
      <c r="X1122" s="10">
        <v>61.41</v>
      </c>
      <c r="Y1122" s="10">
        <v>61</v>
      </c>
      <c r="Z1122" s="11">
        <v>66.792000000000002</v>
      </c>
      <c r="AA1122" s="11">
        <v>66.400000000000006</v>
      </c>
      <c r="AB1122" s="11">
        <v>65.867999999999995</v>
      </c>
      <c r="AC1122" s="11">
        <v>65.358000000000004</v>
      </c>
      <c r="AD1122" s="11">
        <v>64.858000000000004</v>
      </c>
      <c r="AE1122" s="11">
        <v>64.38</v>
      </c>
      <c r="AF1122" s="11">
        <v>63.921999999999997</v>
      </c>
      <c r="AG1122" s="11">
        <v>63.518999999999998</v>
      </c>
      <c r="AH1122" s="11">
        <v>63.213999999999999</v>
      </c>
      <c r="AI1122" s="11">
        <v>62.914000000000001</v>
      </c>
      <c r="AJ1122" s="11">
        <v>62.616999999999997</v>
      </c>
      <c r="AK1122" s="11">
        <v>62.326000000000001</v>
      </c>
      <c r="AL1122" s="11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  <c r="DG1122" s="3"/>
      <c r="DH1122" s="3"/>
      <c r="DI1122" s="3"/>
      <c r="DJ1122" s="3"/>
      <c r="DK1122" s="3"/>
      <c r="DL1122" s="3"/>
      <c r="DM1122" s="3"/>
      <c r="DN1122" s="3"/>
      <c r="DO1122" s="3"/>
      <c r="DP1122" s="3"/>
      <c r="DQ1122" s="3"/>
      <c r="DR1122" s="3"/>
      <c r="DS1122" s="3"/>
      <c r="DT1122" s="3"/>
      <c r="DU1122" s="3"/>
      <c r="DV1122" s="3"/>
      <c r="DW1122" s="3"/>
      <c r="DX1122" s="3"/>
      <c r="DY1122" s="3"/>
      <c r="DZ1122" s="3"/>
      <c r="EA1122" s="3"/>
      <c r="EB1122" s="3"/>
      <c r="EC1122" s="3"/>
      <c r="ED1122" s="3"/>
      <c r="EE1122" s="3"/>
      <c r="EF1122" s="3"/>
      <c r="EG1122" s="3"/>
      <c r="EH1122" s="3"/>
      <c r="EI1122" s="3"/>
      <c r="EJ1122" s="3"/>
      <c r="EK1122" s="3"/>
      <c r="EL1122" s="3"/>
      <c r="EM1122" s="3"/>
      <c r="EN1122" s="3"/>
      <c r="EO1122" s="3"/>
      <c r="EP1122" s="3"/>
      <c r="EQ1122" s="3"/>
    </row>
    <row r="1123" spans="1:147" x14ac:dyDescent="0.3">
      <c r="A1123" s="9">
        <f>DATE(2021, 5, 6)</f>
        <v>44322</v>
      </c>
      <c r="B1123" s="10">
        <v>68.09</v>
      </c>
      <c r="C1123" s="10">
        <v>67.72</v>
      </c>
      <c r="D1123" s="10">
        <v>67.3</v>
      </c>
      <c r="E1123" s="10">
        <v>66.849999999999994</v>
      </c>
      <c r="F1123" s="10">
        <v>66.41</v>
      </c>
      <c r="G1123" s="10">
        <v>65.97</v>
      </c>
      <c r="H1123" s="10">
        <v>65.59</v>
      </c>
      <c r="I1123" s="10">
        <v>65.22</v>
      </c>
      <c r="J1123" s="10">
        <v>64.900000000000006</v>
      </c>
      <c r="K1123" s="10">
        <v>64.61</v>
      </c>
      <c r="L1123" s="10">
        <v>64.33</v>
      </c>
      <c r="M1123" s="10">
        <v>64.05</v>
      </c>
      <c r="N1123" s="10">
        <v>64.709999999999994</v>
      </c>
      <c r="O1123" s="10">
        <v>64.67</v>
      </c>
      <c r="P1123" s="10">
        <v>64.47</v>
      </c>
      <c r="Q1123" s="10">
        <v>64.11</v>
      </c>
      <c r="R1123" s="10">
        <v>63.66</v>
      </c>
      <c r="S1123" s="10">
        <v>63.19</v>
      </c>
      <c r="T1123" s="10">
        <v>62.71</v>
      </c>
      <c r="U1123" s="10">
        <v>62.25</v>
      </c>
      <c r="V1123" s="10">
        <v>61.8</v>
      </c>
      <c r="W1123" s="10">
        <v>61.38</v>
      </c>
      <c r="X1123" s="10">
        <v>60.99</v>
      </c>
      <c r="Y1123" s="10">
        <v>60.62</v>
      </c>
      <c r="Z1123" s="11">
        <v>65.968000000000004</v>
      </c>
      <c r="AA1123" s="11">
        <v>65.471000000000004</v>
      </c>
      <c r="AB1123" s="11">
        <v>64.98</v>
      </c>
      <c r="AC1123" s="11">
        <v>64.52</v>
      </c>
      <c r="AD1123" s="11">
        <v>64.08</v>
      </c>
      <c r="AE1123" s="11">
        <v>63.661999999999999</v>
      </c>
      <c r="AF1123" s="11">
        <v>63.253</v>
      </c>
      <c r="AG1123" s="11">
        <v>62.872</v>
      </c>
      <c r="AH1123" s="11">
        <v>62.585999999999999</v>
      </c>
      <c r="AI1123" s="11">
        <v>62.326000000000001</v>
      </c>
      <c r="AJ1123" s="11">
        <v>62.067999999999998</v>
      </c>
      <c r="AK1123" s="11">
        <v>61.828000000000003</v>
      </c>
      <c r="AL1123" s="11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  <c r="DG1123" s="3"/>
      <c r="DH1123" s="3"/>
      <c r="DI1123" s="3"/>
      <c r="DJ1123" s="3"/>
      <c r="DK1123" s="3"/>
      <c r="DL1123" s="3"/>
      <c r="DM1123" s="3"/>
      <c r="DN1123" s="3"/>
      <c r="DO1123" s="3"/>
      <c r="DP1123" s="3"/>
      <c r="DQ1123" s="3"/>
      <c r="DR1123" s="3"/>
      <c r="DS1123" s="3"/>
      <c r="DT1123" s="3"/>
      <c r="DU1123" s="3"/>
      <c r="DV1123" s="3"/>
      <c r="DW1123" s="3"/>
      <c r="DX1123" s="3"/>
      <c r="DY1123" s="3"/>
      <c r="DZ1123" s="3"/>
      <c r="EA1123" s="3"/>
      <c r="EB1123" s="3"/>
      <c r="EC1123" s="3"/>
      <c r="ED1123" s="3"/>
      <c r="EE1123" s="3"/>
      <c r="EF1123" s="3"/>
      <c r="EG1123" s="3"/>
      <c r="EH1123" s="3"/>
      <c r="EI1123" s="3"/>
      <c r="EJ1123" s="3"/>
      <c r="EK1123" s="3"/>
      <c r="EL1123" s="3"/>
      <c r="EM1123" s="3"/>
      <c r="EN1123" s="3"/>
      <c r="EO1123" s="3"/>
      <c r="EP1123" s="3"/>
      <c r="EQ1123" s="3"/>
    </row>
    <row r="1124" spans="1:147" x14ac:dyDescent="0.3">
      <c r="A1124" s="9">
        <f>DATE(2021, 5, 7)</f>
        <v>44323</v>
      </c>
      <c r="B1124" s="10">
        <v>68.28</v>
      </c>
      <c r="C1124" s="10">
        <v>68</v>
      </c>
      <c r="D1124" s="10">
        <v>67.61</v>
      </c>
      <c r="E1124" s="10">
        <v>67.2</v>
      </c>
      <c r="F1124" s="10">
        <v>66.790000000000006</v>
      </c>
      <c r="G1124" s="10">
        <v>66.37</v>
      </c>
      <c r="H1124" s="10">
        <v>66</v>
      </c>
      <c r="I1124" s="10">
        <v>65.650000000000006</v>
      </c>
      <c r="J1124" s="10">
        <v>65.33</v>
      </c>
      <c r="K1124" s="10">
        <v>65.040000000000006</v>
      </c>
      <c r="L1124" s="10">
        <v>64.760000000000005</v>
      </c>
      <c r="M1124" s="10">
        <v>64.48</v>
      </c>
      <c r="N1124" s="10">
        <v>64.900000000000006</v>
      </c>
      <c r="O1124" s="10">
        <v>64.88</v>
      </c>
      <c r="P1124" s="10">
        <v>64.709999999999994</v>
      </c>
      <c r="Q1124" s="10">
        <v>64.38</v>
      </c>
      <c r="R1124" s="10">
        <v>63.97</v>
      </c>
      <c r="S1124" s="10">
        <v>63.53</v>
      </c>
      <c r="T1124" s="10">
        <v>63.07</v>
      </c>
      <c r="U1124" s="10">
        <v>62.61</v>
      </c>
      <c r="V1124" s="10">
        <v>62.17</v>
      </c>
      <c r="W1124" s="10">
        <v>61.75</v>
      </c>
      <c r="X1124" s="10">
        <v>61.36</v>
      </c>
      <c r="Y1124" s="10">
        <v>60.99</v>
      </c>
      <c r="Z1124" s="11">
        <v>66.183000000000007</v>
      </c>
      <c r="AA1124" s="11">
        <v>65.707999999999998</v>
      </c>
      <c r="AB1124" s="11">
        <v>65.221999999999994</v>
      </c>
      <c r="AC1124" s="11">
        <v>64.805000000000007</v>
      </c>
      <c r="AD1124" s="11">
        <v>64.405000000000001</v>
      </c>
      <c r="AE1124" s="11">
        <v>64.001999999999995</v>
      </c>
      <c r="AF1124" s="11">
        <v>63.643999999999998</v>
      </c>
      <c r="AG1124" s="11">
        <v>63.262</v>
      </c>
      <c r="AH1124" s="11">
        <v>62.975999999999999</v>
      </c>
      <c r="AI1124" s="11">
        <v>62.716000000000001</v>
      </c>
      <c r="AJ1124" s="11">
        <v>62.468000000000004</v>
      </c>
      <c r="AK1124" s="11">
        <v>62.238</v>
      </c>
      <c r="AL1124" s="11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  <c r="DG1124" s="3"/>
      <c r="DH1124" s="3"/>
      <c r="DI1124" s="3"/>
      <c r="DJ1124" s="3"/>
      <c r="DK1124" s="3"/>
      <c r="DL1124" s="3"/>
      <c r="DM1124" s="3"/>
      <c r="DN1124" s="3"/>
      <c r="DO1124" s="3"/>
      <c r="DP1124" s="3"/>
      <c r="DQ1124" s="3"/>
      <c r="DR1124" s="3"/>
      <c r="DS1124" s="3"/>
      <c r="DT1124" s="3"/>
      <c r="DU1124" s="3"/>
      <c r="DV1124" s="3"/>
      <c r="DW1124" s="3"/>
      <c r="DX1124" s="3"/>
      <c r="DY1124" s="3"/>
      <c r="DZ1124" s="3"/>
      <c r="EA1124" s="3"/>
      <c r="EB1124" s="3"/>
      <c r="EC1124" s="3"/>
      <c r="ED1124" s="3"/>
      <c r="EE1124" s="3"/>
      <c r="EF1124" s="3"/>
      <c r="EG1124" s="3"/>
      <c r="EH1124" s="3"/>
      <c r="EI1124" s="3"/>
      <c r="EJ1124" s="3"/>
      <c r="EK1124" s="3"/>
      <c r="EL1124" s="3"/>
      <c r="EM1124" s="3"/>
      <c r="EN1124" s="3"/>
      <c r="EO1124" s="3"/>
      <c r="EP1124" s="3"/>
      <c r="EQ1124" s="3"/>
    </row>
    <row r="1125" spans="1:147" x14ac:dyDescent="0.3">
      <c r="A1125" s="9">
        <f>DATE(2021, 5, 10)</f>
        <v>44326</v>
      </c>
      <c r="B1125" s="10">
        <v>68.319999999999993</v>
      </c>
      <c r="C1125" s="10">
        <v>68.09</v>
      </c>
      <c r="D1125" s="10">
        <v>67.73</v>
      </c>
      <c r="E1125" s="10">
        <v>67.34</v>
      </c>
      <c r="F1125" s="10">
        <v>66.959999999999994</v>
      </c>
      <c r="G1125" s="10">
        <v>66.56</v>
      </c>
      <c r="H1125" s="10">
        <v>66.209999999999994</v>
      </c>
      <c r="I1125" s="10">
        <v>65.87</v>
      </c>
      <c r="J1125" s="10">
        <v>65.56</v>
      </c>
      <c r="K1125" s="10">
        <v>65.28</v>
      </c>
      <c r="L1125" s="10">
        <v>65.010000000000005</v>
      </c>
      <c r="M1125" s="10">
        <v>64.73</v>
      </c>
      <c r="N1125" s="10">
        <v>64.92</v>
      </c>
      <c r="O1125" s="10">
        <v>64.930000000000007</v>
      </c>
      <c r="P1125" s="10">
        <v>64.78</v>
      </c>
      <c r="Q1125" s="10">
        <v>64.48</v>
      </c>
      <c r="R1125" s="10">
        <v>64.09</v>
      </c>
      <c r="S1125" s="10">
        <v>63.66</v>
      </c>
      <c r="T1125" s="10">
        <v>63.22</v>
      </c>
      <c r="U1125" s="10">
        <v>62.78</v>
      </c>
      <c r="V1125" s="10">
        <v>62.34</v>
      </c>
      <c r="W1125" s="10">
        <v>61.94</v>
      </c>
      <c r="X1125" s="10">
        <v>61.55</v>
      </c>
      <c r="Y1125" s="10">
        <v>61.2</v>
      </c>
      <c r="Z1125" s="11">
        <v>66.3</v>
      </c>
      <c r="AA1125" s="11">
        <v>65.799000000000007</v>
      </c>
      <c r="AB1125" s="11">
        <v>65.319999999999993</v>
      </c>
      <c r="AC1125" s="11">
        <v>64.929000000000002</v>
      </c>
      <c r="AD1125" s="11">
        <v>64.539000000000001</v>
      </c>
      <c r="AE1125" s="11">
        <v>64.176000000000002</v>
      </c>
      <c r="AF1125" s="11">
        <v>63.825000000000003</v>
      </c>
      <c r="AG1125" s="11">
        <v>63.493000000000002</v>
      </c>
      <c r="AH1125" s="11">
        <v>63.207000000000001</v>
      </c>
      <c r="AI1125" s="11">
        <v>62.947000000000003</v>
      </c>
      <c r="AJ1125" s="11">
        <v>62.698</v>
      </c>
      <c r="AK1125" s="11">
        <v>62.457999999999998</v>
      </c>
      <c r="AL1125" s="11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  <c r="DG1125" s="3"/>
      <c r="DH1125" s="3"/>
      <c r="DI1125" s="3"/>
      <c r="DJ1125" s="3"/>
      <c r="DK1125" s="3"/>
      <c r="DL1125" s="3"/>
      <c r="DM1125" s="3"/>
      <c r="DN1125" s="3"/>
      <c r="DO1125" s="3"/>
      <c r="DP1125" s="3"/>
      <c r="DQ1125" s="3"/>
      <c r="DR1125" s="3"/>
      <c r="DS1125" s="3"/>
      <c r="DT1125" s="3"/>
      <c r="DU1125" s="3"/>
      <c r="DV1125" s="3"/>
      <c r="DW1125" s="3"/>
      <c r="DX1125" s="3"/>
      <c r="DY1125" s="3"/>
      <c r="DZ1125" s="3"/>
      <c r="EA1125" s="3"/>
      <c r="EB1125" s="3"/>
      <c r="EC1125" s="3"/>
      <c r="ED1125" s="3"/>
      <c r="EE1125" s="3"/>
      <c r="EF1125" s="3"/>
      <c r="EG1125" s="3"/>
      <c r="EH1125" s="3"/>
      <c r="EI1125" s="3"/>
      <c r="EJ1125" s="3"/>
      <c r="EK1125" s="3"/>
      <c r="EL1125" s="3"/>
      <c r="EM1125" s="3"/>
      <c r="EN1125" s="3"/>
      <c r="EO1125" s="3"/>
      <c r="EP1125" s="3"/>
      <c r="EQ1125" s="3"/>
    </row>
    <row r="1126" spans="1:147" x14ac:dyDescent="0.3">
      <c r="A1126" s="9">
        <f>DATE(2021, 5, 11)</f>
        <v>44327</v>
      </c>
      <c r="B1126" s="10">
        <v>68.55</v>
      </c>
      <c r="C1126" s="10">
        <v>68.37</v>
      </c>
      <c r="D1126" s="10">
        <v>68.040000000000006</v>
      </c>
      <c r="E1126" s="10">
        <v>67.680000000000007</v>
      </c>
      <c r="F1126" s="10">
        <v>67.33</v>
      </c>
      <c r="G1126" s="10">
        <v>66.95</v>
      </c>
      <c r="H1126" s="10">
        <v>66.61</v>
      </c>
      <c r="I1126" s="10">
        <v>66.28</v>
      </c>
      <c r="J1126" s="10">
        <v>65.98</v>
      </c>
      <c r="K1126" s="10">
        <v>65.709999999999994</v>
      </c>
      <c r="L1126" s="10">
        <v>65.44</v>
      </c>
      <c r="M1126" s="10">
        <v>65.180000000000007</v>
      </c>
      <c r="N1126" s="10">
        <v>65.28</v>
      </c>
      <c r="O1126" s="10">
        <v>65.3</v>
      </c>
      <c r="P1126" s="10">
        <v>65.150000000000006</v>
      </c>
      <c r="Q1126" s="10">
        <v>64.86</v>
      </c>
      <c r="R1126" s="10">
        <v>64.489999999999995</v>
      </c>
      <c r="S1126" s="10">
        <v>64.08</v>
      </c>
      <c r="T1126" s="10">
        <v>63.66</v>
      </c>
      <c r="U1126" s="10">
        <v>63.23</v>
      </c>
      <c r="V1126" s="10">
        <v>62.81</v>
      </c>
      <c r="W1126" s="10">
        <v>62.41</v>
      </c>
      <c r="X1126" s="10">
        <v>62.03</v>
      </c>
      <c r="Y1126" s="10">
        <v>61.65</v>
      </c>
      <c r="Z1126" s="11">
        <v>66.349000000000004</v>
      </c>
      <c r="AA1126" s="11">
        <v>66.004999999999995</v>
      </c>
      <c r="AB1126" s="11">
        <v>65.585999999999999</v>
      </c>
      <c r="AC1126" s="11">
        <v>65.216999999999999</v>
      </c>
      <c r="AD1126" s="11">
        <v>64.852999999999994</v>
      </c>
      <c r="AE1126" s="11">
        <v>64.513999999999996</v>
      </c>
      <c r="AF1126" s="11">
        <v>64.185000000000002</v>
      </c>
      <c r="AG1126" s="11">
        <v>63.863999999999997</v>
      </c>
      <c r="AH1126" s="11">
        <v>63.597000000000001</v>
      </c>
      <c r="AI1126" s="11">
        <v>63.337000000000003</v>
      </c>
      <c r="AJ1126" s="11">
        <v>63.088999999999999</v>
      </c>
      <c r="AK1126" s="11">
        <v>62.868000000000002</v>
      </c>
      <c r="AL1126" s="11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  <c r="DG1126" s="3"/>
      <c r="DH1126" s="3"/>
      <c r="DI1126" s="3"/>
      <c r="DJ1126" s="3"/>
      <c r="DK1126" s="3"/>
      <c r="DL1126" s="3"/>
      <c r="DM1126" s="3"/>
      <c r="DN1126" s="3"/>
      <c r="DO1126" s="3"/>
      <c r="DP1126" s="3"/>
      <c r="DQ1126" s="3"/>
      <c r="DR1126" s="3"/>
      <c r="DS1126" s="3"/>
      <c r="DT1126" s="3"/>
      <c r="DU1126" s="3"/>
      <c r="DV1126" s="3"/>
      <c r="DW1126" s="3"/>
      <c r="DX1126" s="3"/>
      <c r="DY1126" s="3"/>
      <c r="DZ1126" s="3"/>
      <c r="EA1126" s="3"/>
      <c r="EB1126" s="3"/>
      <c r="EC1126" s="3"/>
      <c r="ED1126" s="3"/>
      <c r="EE1126" s="3"/>
      <c r="EF1126" s="3"/>
      <c r="EG1126" s="3"/>
      <c r="EH1126" s="3"/>
      <c r="EI1126" s="3"/>
      <c r="EJ1126" s="3"/>
      <c r="EK1126" s="3"/>
      <c r="EL1126" s="3"/>
      <c r="EM1126" s="3"/>
      <c r="EN1126" s="3"/>
      <c r="EO1126" s="3"/>
      <c r="EP1126" s="3"/>
      <c r="EQ1126" s="3"/>
    </row>
    <row r="1127" spans="1:147" x14ac:dyDescent="0.3">
      <c r="A1127" s="9">
        <f>DATE(2021, 5, 12)</f>
        <v>44328</v>
      </c>
      <c r="B1127" s="10">
        <v>69.319999999999993</v>
      </c>
      <c r="C1127" s="10">
        <v>69.14</v>
      </c>
      <c r="D1127" s="10">
        <v>68.8</v>
      </c>
      <c r="E1127" s="10">
        <v>68.430000000000007</v>
      </c>
      <c r="F1127" s="10">
        <v>68.069999999999993</v>
      </c>
      <c r="G1127" s="10">
        <v>67.680000000000007</v>
      </c>
      <c r="H1127" s="10">
        <v>67.319999999999993</v>
      </c>
      <c r="I1127" s="10">
        <v>66.98</v>
      </c>
      <c r="J1127" s="10">
        <v>66.680000000000007</v>
      </c>
      <c r="K1127" s="10">
        <v>66.400000000000006</v>
      </c>
      <c r="L1127" s="10">
        <v>66.12</v>
      </c>
      <c r="M1127" s="10">
        <v>65.849999999999994</v>
      </c>
      <c r="N1127" s="10">
        <v>66.08</v>
      </c>
      <c r="O1127" s="10">
        <v>66.099999999999994</v>
      </c>
      <c r="P1127" s="10">
        <v>65.95</v>
      </c>
      <c r="Q1127" s="10">
        <v>65.650000000000006</v>
      </c>
      <c r="R1127" s="10">
        <v>65.28</v>
      </c>
      <c r="S1127" s="10">
        <v>64.87</v>
      </c>
      <c r="T1127" s="10">
        <v>64.45</v>
      </c>
      <c r="U1127" s="10">
        <v>64.010000000000005</v>
      </c>
      <c r="V1127" s="10">
        <v>63.58</v>
      </c>
      <c r="W1127" s="10">
        <v>63.17</v>
      </c>
      <c r="X1127" s="10">
        <v>62.79</v>
      </c>
      <c r="Y1127" s="10">
        <v>62.44</v>
      </c>
      <c r="Z1127" s="11">
        <v>66.751999999999995</v>
      </c>
      <c r="AA1127" s="11">
        <v>66.754999999999995</v>
      </c>
      <c r="AB1127" s="11">
        <v>66.332999999999998</v>
      </c>
      <c r="AC1127" s="11">
        <v>65.944000000000003</v>
      </c>
      <c r="AD1127" s="11">
        <v>65.581999999999994</v>
      </c>
      <c r="AE1127" s="11">
        <v>65.222999999999999</v>
      </c>
      <c r="AF1127" s="11">
        <v>64.875</v>
      </c>
      <c r="AG1127" s="11">
        <v>64.554000000000002</v>
      </c>
      <c r="AH1127" s="11">
        <v>64.277000000000001</v>
      </c>
      <c r="AI1127" s="11">
        <v>64.025999999999996</v>
      </c>
      <c r="AJ1127" s="11">
        <v>63.768000000000001</v>
      </c>
      <c r="AK1127" s="11">
        <v>63.518000000000001</v>
      </c>
      <c r="AL1127" s="11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  <c r="DG1127" s="3"/>
      <c r="DH1127" s="3"/>
      <c r="DI1127" s="3"/>
      <c r="DJ1127" s="3"/>
      <c r="DK1127" s="3"/>
      <c r="DL1127" s="3"/>
      <c r="DM1127" s="3"/>
      <c r="DN1127" s="3"/>
      <c r="DO1127" s="3"/>
      <c r="DP1127" s="3"/>
      <c r="DQ1127" s="3"/>
      <c r="DR1127" s="3"/>
      <c r="DS1127" s="3"/>
      <c r="DT1127" s="3"/>
      <c r="DU1127" s="3"/>
      <c r="DV1127" s="3"/>
      <c r="DW1127" s="3"/>
      <c r="DX1127" s="3"/>
      <c r="DY1127" s="3"/>
      <c r="DZ1127" s="3"/>
      <c r="EA1127" s="3"/>
      <c r="EB1127" s="3"/>
      <c r="EC1127" s="3"/>
      <c r="ED1127" s="3"/>
      <c r="EE1127" s="3"/>
      <c r="EF1127" s="3"/>
      <c r="EG1127" s="3"/>
      <c r="EH1127" s="3"/>
      <c r="EI1127" s="3"/>
      <c r="EJ1127" s="3"/>
      <c r="EK1127" s="3"/>
      <c r="EL1127" s="3"/>
      <c r="EM1127" s="3"/>
      <c r="EN1127" s="3"/>
      <c r="EO1127" s="3"/>
      <c r="EP1127" s="3"/>
      <c r="EQ1127" s="3"/>
    </row>
    <row r="1128" spans="1:147" x14ac:dyDescent="0.3">
      <c r="A1128" s="9">
        <f>DATE(2021, 5, 13)</f>
        <v>44329</v>
      </c>
      <c r="B1128" s="10">
        <v>67.05</v>
      </c>
      <c r="C1128" s="10">
        <v>66.88</v>
      </c>
      <c r="D1128" s="10">
        <v>66.56</v>
      </c>
      <c r="E1128" s="10">
        <v>66.19</v>
      </c>
      <c r="F1128" s="10">
        <v>65.84</v>
      </c>
      <c r="G1128" s="10">
        <v>65.459999999999994</v>
      </c>
      <c r="H1128" s="10">
        <v>65.12</v>
      </c>
      <c r="I1128" s="10">
        <v>64.8</v>
      </c>
      <c r="J1128" s="10">
        <v>64.510000000000005</v>
      </c>
      <c r="K1128" s="10">
        <v>64.25</v>
      </c>
      <c r="L1128" s="10">
        <v>64</v>
      </c>
      <c r="M1128" s="10">
        <v>63.75</v>
      </c>
      <c r="N1128" s="10">
        <v>63.82</v>
      </c>
      <c r="O1128" s="10">
        <v>63.84</v>
      </c>
      <c r="P1128" s="10">
        <v>63.69</v>
      </c>
      <c r="Q1128" s="10">
        <v>63.4</v>
      </c>
      <c r="R1128" s="10">
        <v>63.04</v>
      </c>
      <c r="S1128" s="10">
        <v>62.65</v>
      </c>
      <c r="T1128" s="10">
        <v>62.24</v>
      </c>
      <c r="U1128" s="10">
        <v>61.82</v>
      </c>
      <c r="V1128" s="10">
        <v>61.41</v>
      </c>
      <c r="W1128" s="10">
        <v>61.02</v>
      </c>
      <c r="X1128" s="10">
        <v>60.66</v>
      </c>
      <c r="Y1128" s="10">
        <v>60.33</v>
      </c>
      <c r="Z1128" s="11">
        <v>65.442999999999998</v>
      </c>
      <c r="AA1128" s="11">
        <v>64.495000000000005</v>
      </c>
      <c r="AB1128" s="11">
        <v>64.067999999999998</v>
      </c>
      <c r="AC1128" s="11">
        <v>63.683999999999997</v>
      </c>
      <c r="AD1128" s="11">
        <v>63.323</v>
      </c>
      <c r="AE1128" s="11">
        <v>62.984000000000002</v>
      </c>
      <c r="AF1128" s="11">
        <v>62.655000000000001</v>
      </c>
      <c r="AG1128" s="11">
        <v>62.335000000000001</v>
      </c>
      <c r="AH1128" s="11">
        <v>62.088000000000001</v>
      </c>
      <c r="AI1128" s="11">
        <v>61.857999999999997</v>
      </c>
      <c r="AJ1128" s="11">
        <v>61.628999999999998</v>
      </c>
      <c r="AK1128" s="11">
        <v>61.418999999999997</v>
      </c>
      <c r="AL1128" s="11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  <c r="DG1128" s="3"/>
      <c r="DH1128" s="3"/>
      <c r="DI1128" s="3"/>
      <c r="DJ1128" s="3"/>
      <c r="DK1128" s="3"/>
      <c r="DL1128" s="3"/>
      <c r="DM1128" s="3"/>
      <c r="DN1128" s="3"/>
      <c r="DO1128" s="3"/>
      <c r="DP1128" s="3"/>
      <c r="DQ1128" s="3"/>
      <c r="DR1128" s="3"/>
      <c r="DS1128" s="3"/>
      <c r="DT1128" s="3"/>
      <c r="DU1128" s="3"/>
      <c r="DV1128" s="3"/>
      <c r="DW1128" s="3"/>
      <c r="DX1128" s="3"/>
      <c r="DY1128" s="3"/>
      <c r="DZ1128" s="3"/>
      <c r="EA1128" s="3"/>
      <c r="EB1128" s="3"/>
      <c r="EC1128" s="3"/>
      <c r="ED1128" s="3"/>
      <c r="EE1128" s="3"/>
      <c r="EF1128" s="3"/>
      <c r="EG1128" s="3"/>
      <c r="EH1128" s="3"/>
      <c r="EI1128" s="3"/>
      <c r="EJ1128" s="3"/>
      <c r="EK1128" s="3"/>
      <c r="EL1128" s="3"/>
      <c r="EM1128" s="3"/>
      <c r="EN1128" s="3"/>
      <c r="EO1128" s="3"/>
      <c r="EP1128" s="3"/>
      <c r="EQ1128" s="3"/>
    </row>
    <row r="1129" spans="1:147" x14ac:dyDescent="0.3">
      <c r="A1129" s="9">
        <f>DATE(2021, 5, 14)</f>
        <v>44330</v>
      </c>
      <c r="B1129" s="10">
        <v>68.709999999999994</v>
      </c>
      <c r="C1129" s="10">
        <v>68.38</v>
      </c>
      <c r="D1129" s="10">
        <v>67.959999999999994</v>
      </c>
      <c r="E1129" s="10">
        <v>67.5</v>
      </c>
      <c r="F1129" s="10">
        <v>67.069999999999993</v>
      </c>
      <c r="G1129" s="10">
        <v>66.63</v>
      </c>
      <c r="H1129" s="10">
        <v>66.22</v>
      </c>
      <c r="I1129" s="10">
        <v>65.849999999999994</v>
      </c>
      <c r="J1129" s="10">
        <v>65.52</v>
      </c>
      <c r="K1129" s="10">
        <v>65.209999999999994</v>
      </c>
      <c r="L1129" s="10">
        <v>64.930000000000007</v>
      </c>
      <c r="M1129" s="10">
        <v>64.66</v>
      </c>
      <c r="N1129" s="10">
        <v>65.37</v>
      </c>
      <c r="O1129" s="10">
        <v>65.36</v>
      </c>
      <c r="P1129" s="10">
        <v>65.16</v>
      </c>
      <c r="Q1129" s="10">
        <v>64.8</v>
      </c>
      <c r="R1129" s="10">
        <v>64.36</v>
      </c>
      <c r="S1129" s="10">
        <v>63.89</v>
      </c>
      <c r="T1129" s="10">
        <v>63.42</v>
      </c>
      <c r="U1129" s="10">
        <v>62.95</v>
      </c>
      <c r="V1129" s="10">
        <v>62.5</v>
      </c>
      <c r="W1129" s="10">
        <v>62.07</v>
      </c>
      <c r="X1129" s="10">
        <v>61.67</v>
      </c>
      <c r="Y1129" s="10">
        <v>61.3</v>
      </c>
      <c r="Z1129" s="11">
        <v>66.335999999999999</v>
      </c>
      <c r="AA1129" s="11">
        <v>66.100999999999999</v>
      </c>
      <c r="AB1129" s="11">
        <v>65.578999999999994</v>
      </c>
      <c r="AC1129" s="11">
        <v>65.105000000000004</v>
      </c>
      <c r="AD1129" s="11">
        <v>64.67</v>
      </c>
      <c r="AE1129" s="11">
        <v>64.25</v>
      </c>
      <c r="AF1129" s="11">
        <v>63.853000000000002</v>
      </c>
      <c r="AG1129" s="11">
        <v>63.470999999999997</v>
      </c>
      <c r="AH1129" s="11">
        <v>63.164999999999999</v>
      </c>
      <c r="AI1129" s="11">
        <v>62.875999999999998</v>
      </c>
      <c r="AJ1129" s="11">
        <v>62.618000000000002</v>
      </c>
      <c r="AK1129" s="11">
        <v>62.366999999999997</v>
      </c>
      <c r="AL1129" s="11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  <c r="DG1129" s="3"/>
      <c r="DH1129" s="3"/>
      <c r="DI1129" s="3"/>
      <c r="DJ1129" s="3"/>
      <c r="DK1129" s="3"/>
      <c r="DL1129" s="3"/>
      <c r="DM1129" s="3"/>
      <c r="DN1129" s="3"/>
      <c r="DO1129" s="3"/>
      <c r="DP1129" s="3"/>
      <c r="DQ1129" s="3"/>
      <c r="DR1129" s="3"/>
      <c r="DS1129" s="3"/>
      <c r="DT1129" s="3"/>
      <c r="DU1129" s="3"/>
      <c r="DV1129" s="3"/>
      <c r="DW1129" s="3"/>
      <c r="DX1129" s="3"/>
      <c r="DY1129" s="3"/>
      <c r="DZ1129" s="3"/>
      <c r="EA1129" s="3"/>
      <c r="EB1129" s="3"/>
      <c r="EC1129" s="3"/>
      <c r="ED1129" s="3"/>
      <c r="EE1129" s="3"/>
      <c r="EF1129" s="3"/>
      <c r="EG1129" s="3"/>
      <c r="EH1129" s="3"/>
      <c r="EI1129" s="3"/>
      <c r="EJ1129" s="3"/>
      <c r="EK1129" s="3"/>
      <c r="EL1129" s="3"/>
      <c r="EM1129" s="3"/>
      <c r="EN1129" s="3"/>
      <c r="EO1129" s="3"/>
      <c r="EP1129" s="3"/>
      <c r="EQ1129" s="3"/>
    </row>
    <row r="1130" spans="1:147" x14ac:dyDescent="0.3">
      <c r="A1130" s="9">
        <f>DATE(2021, 5, 17)</f>
        <v>44333</v>
      </c>
      <c r="B1130" s="10">
        <v>69.459999999999994</v>
      </c>
      <c r="C1130" s="10">
        <v>69.14</v>
      </c>
      <c r="D1130" s="10">
        <v>68.69</v>
      </c>
      <c r="E1130" s="10">
        <v>68.2</v>
      </c>
      <c r="F1130" s="10">
        <v>67.72</v>
      </c>
      <c r="G1130" s="10">
        <v>67.23</v>
      </c>
      <c r="H1130" s="10">
        <v>66.790000000000006</v>
      </c>
      <c r="I1130" s="10">
        <v>66.38</v>
      </c>
      <c r="J1130" s="10">
        <v>66.010000000000005</v>
      </c>
      <c r="K1130" s="10">
        <v>65.67</v>
      </c>
      <c r="L1130" s="10">
        <v>65.36</v>
      </c>
      <c r="M1130" s="10">
        <v>65.06</v>
      </c>
      <c r="N1130" s="10">
        <v>66.27</v>
      </c>
      <c r="O1130" s="10">
        <v>66.28</v>
      </c>
      <c r="P1130" s="10">
        <v>66.069999999999993</v>
      </c>
      <c r="Q1130" s="10">
        <v>65.680000000000007</v>
      </c>
      <c r="R1130" s="10">
        <v>65.180000000000007</v>
      </c>
      <c r="S1130" s="10">
        <v>64.66</v>
      </c>
      <c r="T1130" s="10">
        <v>64.150000000000006</v>
      </c>
      <c r="U1130" s="10">
        <v>63.64</v>
      </c>
      <c r="V1130" s="10">
        <v>63.16</v>
      </c>
      <c r="W1130" s="10">
        <v>62.69</v>
      </c>
      <c r="X1130" s="10">
        <v>62.26</v>
      </c>
      <c r="Y1130" s="10">
        <v>61.86</v>
      </c>
      <c r="Z1130" s="11">
        <v>66.92</v>
      </c>
      <c r="AA1130" s="11">
        <v>66.97</v>
      </c>
      <c r="AB1130" s="11">
        <v>66.397999999999996</v>
      </c>
      <c r="AC1130" s="11">
        <v>65.863</v>
      </c>
      <c r="AD1130" s="11">
        <v>65.378</v>
      </c>
      <c r="AE1130" s="11">
        <v>64.918999999999997</v>
      </c>
      <c r="AF1130" s="11">
        <v>64.491</v>
      </c>
      <c r="AG1130" s="11">
        <v>64.078000000000003</v>
      </c>
      <c r="AH1130" s="11">
        <v>63.734000000000002</v>
      </c>
      <c r="AI1130" s="11">
        <v>63.405000000000001</v>
      </c>
      <c r="AJ1130" s="11">
        <v>63.106999999999999</v>
      </c>
      <c r="AK1130" s="11">
        <v>62.835999999999999</v>
      </c>
      <c r="AL1130" s="11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  <c r="DG1130" s="3"/>
      <c r="DH1130" s="3"/>
      <c r="DI1130" s="3"/>
      <c r="DJ1130" s="3"/>
      <c r="DK1130" s="3"/>
      <c r="DL1130" s="3"/>
      <c r="DM1130" s="3"/>
      <c r="DN1130" s="3"/>
      <c r="DO1130" s="3"/>
      <c r="DP1130" s="3"/>
      <c r="DQ1130" s="3"/>
      <c r="DR1130" s="3"/>
      <c r="DS1130" s="3"/>
      <c r="DT1130" s="3"/>
      <c r="DU1130" s="3"/>
      <c r="DV1130" s="3"/>
      <c r="DW1130" s="3"/>
      <c r="DX1130" s="3"/>
      <c r="DY1130" s="3"/>
      <c r="DZ1130" s="3"/>
      <c r="EA1130" s="3"/>
      <c r="EB1130" s="3"/>
      <c r="EC1130" s="3"/>
      <c r="ED1130" s="3"/>
      <c r="EE1130" s="3"/>
      <c r="EF1130" s="3"/>
      <c r="EG1130" s="3"/>
      <c r="EH1130" s="3"/>
      <c r="EI1130" s="3"/>
      <c r="EJ1130" s="3"/>
      <c r="EK1130" s="3"/>
      <c r="EL1130" s="3"/>
      <c r="EM1130" s="3"/>
      <c r="EN1130" s="3"/>
      <c r="EO1130" s="3"/>
      <c r="EP1130" s="3"/>
      <c r="EQ1130" s="3"/>
    </row>
    <row r="1131" spans="1:147" x14ac:dyDescent="0.3">
      <c r="A1131" s="9">
        <f>DATE(2021, 5, 18)</f>
        <v>44334</v>
      </c>
      <c r="B1131" s="10">
        <v>68.709999999999994</v>
      </c>
      <c r="C1131" s="10">
        <v>68.52</v>
      </c>
      <c r="D1131" s="10">
        <v>68.11</v>
      </c>
      <c r="E1131" s="10">
        <v>67.650000000000006</v>
      </c>
      <c r="F1131" s="10">
        <v>67.180000000000007</v>
      </c>
      <c r="G1131" s="10">
        <v>66.7</v>
      </c>
      <c r="H1131" s="10">
        <v>66.27</v>
      </c>
      <c r="I1131" s="10">
        <v>65.88</v>
      </c>
      <c r="J1131" s="10">
        <v>65.53</v>
      </c>
      <c r="K1131" s="10">
        <v>65.2</v>
      </c>
      <c r="L1131" s="10">
        <v>64.91</v>
      </c>
      <c r="M1131" s="10">
        <v>64.62</v>
      </c>
      <c r="N1131" s="10">
        <v>65.489999999999995</v>
      </c>
      <c r="O1131" s="10">
        <v>65.5</v>
      </c>
      <c r="P1131" s="10">
        <v>65.33</v>
      </c>
      <c r="Q1131" s="10">
        <v>64.97</v>
      </c>
      <c r="R1131" s="10">
        <v>64.489999999999995</v>
      </c>
      <c r="S1131" s="10">
        <v>63.99</v>
      </c>
      <c r="T1131" s="10">
        <v>63.51</v>
      </c>
      <c r="U1131" s="10">
        <v>63.03</v>
      </c>
      <c r="V1131" s="10">
        <v>62.57</v>
      </c>
      <c r="W1131" s="10">
        <v>62.13</v>
      </c>
      <c r="X1131" s="10">
        <v>61.72</v>
      </c>
      <c r="Y1131" s="10">
        <v>61.34</v>
      </c>
      <c r="Z1131" s="11">
        <v>66.77</v>
      </c>
      <c r="AA1131" s="11">
        <v>66.450999999999993</v>
      </c>
      <c r="AB1131" s="11">
        <v>65.838999999999999</v>
      </c>
      <c r="AC1131" s="11">
        <v>65.349000000000004</v>
      </c>
      <c r="AD1131" s="11">
        <v>64.878</v>
      </c>
      <c r="AE1131" s="11">
        <v>64.430000000000007</v>
      </c>
      <c r="AF1131" s="11">
        <v>63.991999999999997</v>
      </c>
      <c r="AG1131" s="11">
        <v>63.61</v>
      </c>
      <c r="AH1131" s="11">
        <v>63.283999999999999</v>
      </c>
      <c r="AI1131" s="11">
        <v>62.966000000000001</v>
      </c>
      <c r="AJ1131" s="11">
        <v>62.686999999999998</v>
      </c>
      <c r="AK1131" s="11">
        <v>62.396999999999998</v>
      </c>
      <c r="AL1131" s="11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  <c r="DG1131" s="3"/>
      <c r="DH1131" s="3"/>
      <c r="DI1131" s="3"/>
      <c r="DJ1131" s="3"/>
      <c r="DK1131" s="3"/>
      <c r="DL1131" s="3"/>
      <c r="DM1131" s="3"/>
      <c r="DN1131" s="3"/>
      <c r="DO1131" s="3"/>
      <c r="DP1131" s="3"/>
      <c r="DQ1131" s="3"/>
      <c r="DR1131" s="3"/>
      <c r="DS1131" s="3"/>
      <c r="DT1131" s="3"/>
      <c r="DU1131" s="3"/>
      <c r="DV1131" s="3"/>
      <c r="DW1131" s="3"/>
      <c r="DX1131" s="3"/>
      <c r="DY1131" s="3"/>
      <c r="DZ1131" s="3"/>
      <c r="EA1131" s="3"/>
      <c r="EB1131" s="3"/>
      <c r="EC1131" s="3"/>
      <c r="ED1131" s="3"/>
      <c r="EE1131" s="3"/>
      <c r="EF1131" s="3"/>
      <c r="EG1131" s="3"/>
      <c r="EH1131" s="3"/>
      <c r="EI1131" s="3"/>
      <c r="EJ1131" s="3"/>
      <c r="EK1131" s="3"/>
      <c r="EL1131" s="3"/>
      <c r="EM1131" s="3"/>
      <c r="EN1131" s="3"/>
      <c r="EO1131" s="3"/>
      <c r="EP1131" s="3"/>
      <c r="EQ1131" s="3"/>
    </row>
    <row r="1132" spans="1:147" x14ac:dyDescent="0.3">
      <c r="A1132" s="9">
        <f>DATE(2021, 5, 19)</f>
        <v>44335</v>
      </c>
      <c r="B1132" s="10">
        <v>66.66</v>
      </c>
      <c r="C1132" s="10">
        <v>66.53</v>
      </c>
      <c r="D1132" s="10">
        <v>66.150000000000006</v>
      </c>
      <c r="E1132" s="10">
        <v>65.709999999999994</v>
      </c>
      <c r="F1132" s="10">
        <v>65.25</v>
      </c>
      <c r="G1132" s="10">
        <v>64.790000000000006</v>
      </c>
      <c r="H1132" s="10">
        <v>64.39</v>
      </c>
      <c r="I1132" s="10">
        <v>64.02</v>
      </c>
      <c r="J1132" s="10">
        <v>63.7</v>
      </c>
      <c r="K1132" s="10">
        <v>63.41</v>
      </c>
      <c r="L1132" s="10">
        <v>63.14</v>
      </c>
      <c r="M1132" s="10">
        <v>62.87</v>
      </c>
      <c r="N1132" s="10">
        <v>63.36</v>
      </c>
      <c r="O1132" s="10">
        <v>63.35</v>
      </c>
      <c r="P1132" s="10">
        <v>63.18</v>
      </c>
      <c r="Q1132" s="10">
        <v>62.84</v>
      </c>
      <c r="R1132" s="10">
        <v>62.41</v>
      </c>
      <c r="S1132" s="10">
        <v>61.96</v>
      </c>
      <c r="T1132" s="10">
        <v>61.52</v>
      </c>
      <c r="U1132" s="10">
        <v>61.07</v>
      </c>
      <c r="V1132" s="10">
        <v>60.63</v>
      </c>
      <c r="W1132" s="10">
        <v>60.23</v>
      </c>
      <c r="X1132" s="10">
        <v>59.86</v>
      </c>
      <c r="Y1132" s="10">
        <v>59.52</v>
      </c>
      <c r="Z1132" s="11">
        <v>65.92</v>
      </c>
      <c r="AA1132" s="11">
        <v>64.352999999999994</v>
      </c>
      <c r="AB1132" s="11">
        <v>63.78</v>
      </c>
      <c r="AC1132" s="11">
        <v>63.319000000000003</v>
      </c>
      <c r="AD1132" s="11">
        <v>62.869</v>
      </c>
      <c r="AE1132" s="11">
        <v>62.430999999999997</v>
      </c>
      <c r="AF1132" s="11">
        <v>62.042999999999999</v>
      </c>
      <c r="AG1132" s="11">
        <v>61.682000000000002</v>
      </c>
      <c r="AH1132" s="11">
        <v>61.396000000000001</v>
      </c>
      <c r="AI1132" s="11">
        <v>61.146999999999998</v>
      </c>
      <c r="AJ1132" s="11">
        <v>60.898000000000003</v>
      </c>
      <c r="AK1132" s="11">
        <v>60.649000000000001</v>
      </c>
      <c r="AL1132" s="11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  <c r="DG1132" s="3"/>
      <c r="DH1132" s="3"/>
      <c r="DI1132" s="3"/>
      <c r="DJ1132" s="3"/>
      <c r="DK1132" s="3"/>
      <c r="DL1132" s="3"/>
      <c r="DM1132" s="3"/>
      <c r="DN1132" s="3"/>
      <c r="DO1132" s="3"/>
      <c r="DP1132" s="3"/>
      <c r="DQ1132" s="3"/>
      <c r="DR1132" s="3"/>
      <c r="DS1132" s="3"/>
      <c r="DT1132" s="3"/>
      <c r="DU1132" s="3"/>
      <c r="DV1132" s="3"/>
      <c r="DW1132" s="3"/>
      <c r="DX1132" s="3"/>
      <c r="DY1132" s="3"/>
      <c r="DZ1132" s="3"/>
      <c r="EA1132" s="3"/>
      <c r="EB1132" s="3"/>
      <c r="EC1132" s="3"/>
      <c r="ED1132" s="3"/>
      <c r="EE1132" s="3"/>
      <c r="EF1132" s="3"/>
      <c r="EG1132" s="3"/>
      <c r="EH1132" s="3"/>
      <c r="EI1132" s="3"/>
      <c r="EJ1132" s="3"/>
      <c r="EK1132" s="3"/>
      <c r="EL1132" s="3"/>
      <c r="EM1132" s="3"/>
      <c r="EN1132" s="3"/>
      <c r="EO1132" s="3"/>
      <c r="EP1132" s="3"/>
      <c r="EQ1132" s="3"/>
    </row>
    <row r="1133" spans="1:147" x14ac:dyDescent="0.3">
      <c r="A1133" s="9">
        <f>DATE(2021, 5, 20)</f>
        <v>44336</v>
      </c>
      <c r="B1133" s="10">
        <v>65.11</v>
      </c>
      <c r="C1133" s="10">
        <v>65.069999999999993</v>
      </c>
      <c r="D1133" s="10">
        <v>64.77</v>
      </c>
      <c r="E1133" s="10">
        <v>64.42</v>
      </c>
      <c r="F1133" s="10">
        <v>64.040000000000006</v>
      </c>
      <c r="G1133" s="10">
        <v>63.65</v>
      </c>
      <c r="H1133" s="10">
        <v>63.31</v>
      </c>
      <c r="I1133" s="10">
        <v>63</v>
      </c>
      <c r="J1133" s="10">
        <v>62.71</v>
      </c>
      <c r="K1133" s="10">
        <v>62.46</v>
      </c>
      <c r="L1133" s="10">
        <v>62.22</v>
      </c>
      <c r="M1133" s="10">
        <v>61.99</v>
      </c>
      <c r="N1133" s="10">
        <v>62.05</v>
      </c>
      <c r="O1133" s="10">
        <v>61.94</v>
      </c>
      <c r="P1133" s="10">
        <v>61.79</v>
      </c>
      <c r="Q1133" s="10">
        <v>61.49</v>
      </c>
      <c r="R1133" s="10">
        <v>61.11</v>
      </c>
      <c r="S1133" s="10">
        <v>60.7</v>
      </c>
      <c r="T1133" s="10">
        <v>60.31</v>
      </c>
      <c r="U1133" s="10">
        <v>59.9</v>
      </c>
      <c r="V1133" s="10">
        <v>59.51</v>
      </c>
      <c r="W1133" s="10">
        <v>59.15</v>
      </c>
      <c r="X1133" s="10">
        <v>58.82</v>
      </c>
      <c r="Y1133" s="10">
        <v>58.52</v>
      </c>
      <c r="Z1133" s="11">
        <v>65.382000000000005</v>
      </c>
      <c r="AA1133" s="11">
        <v>62.776000000000003</v>
      </c>
      <c r="AB1133" s="11">
        <v>62.314</v>
      </c>
      <c r="AC1133" s="11">
        <v>61.953000000000003</v>
      </c>
      <c r="AD1133" s="11">
        <v>61.591999999999999</v>
      </c>
      <c r="AE1133" s="11">
        <v>61.249000000000002</v>
      </c>
      <c r="AF1133" s="11">
        <v>60.915999999999997</v>
      </c>
      <c r="AG1133" s="11">
        <v>60.585000000000001</v>
      </c>
      <c r="AH1133" s="11">
        <v>60.317999999999998</v>
      </c>
      <c r="AI1133" s="11">
        <v>60.107999999999997</v>
      </c>
      <c r="AJ1133" s="11">
        <v>59.9</v>
      </c>
      <c r="AK1133" s="11">
        <v>59.7</v>
      </c>
      <c r="AL1133" s="11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  <c r="DG1133" s="3"/>
      <c r="DH1133" s="3"/>
      <c r="DI1133" s="3"/>
      <c r="DJ1133" s="3"/>
      <c r="DK1133" s="3"/>
      <c r="DL1133" s="3"/>
      <c r="DM1133" s="3"/>
      <c r="DN1133" s="3"/>
      <c r="DO1133" s="3"/>
      <c r="DP1133" s="3"/>
      <c r="DQ1133" s="3"/>
      <c r="DR1133" s="3"/>
      <c r="DS1133" s="3"/>
      <c r="DT1133" s="3"/>
      <c r="DU1133" s="3"/>
      <c r="DV1133" s="3"/>
      <c r="DW1133" s="3"/>
      <c r="DX1133" s="3"/>
      <c r="DY1133" s="3"/>
      <c r="DZ1133" s="3"/>
      <c r="EA1133" s="3"/>
      <c r="EB1133" s="3"/>
      <c r="EC1133" s="3"/>
      <c r="ED1133" s="3"/>
      <c r="EE1133" s="3"/>
      <c r="EF1133" s="3"/>
      <c r="EG1133" s="3"/>
      <c r="EH1133" s="3"/>
      <c r="EI1133" s="3"/>
      <c r="EJ1133" s="3"/>
      <c r="EK1133" s="3"/>
      <c r="EL1133" s="3"/>
      <c r="EM1133" s="3"/>
      <c r="EN1133" s="3"/>
      <c r="EO1133" s="3"/>
      <c r="EP1133" s="3"/>
      <c r="EQ1133" s="3"/>
    </row>
    <row r="1134" spans="1:147" x14ac:dyDescent="0.3">
      <c r="A1134" s="9">
        <f>DATE(2021, 5, 21)</f>
        <v>44337</v>
      </c>
      <c r="B1134" s="10">
        <v>66.44</v>
      </c>
      <c r="C1134" s="10">
        <v>66.349999999999994</v>
      </c>
      <c r="D1134" s="10">
        <v>66.02</v>
      </c>
      <c r="E1134" s="10">
        <v>65.64</v>
      </c>
      <c r="F1134" s="10">
        <v>65.25</v>
      </c>
      <c r="G1134" s="10">
        <v>64.849999999999994</v>
      </c>
      <c r="H1134" s="10">
        <v>64.489999999999995</v>
      </c>
      <c r="I1134" s="10">
        <v>64.16</v>
      </c>
      <c r="J1134" s="10">
        <v>63.87</v>
      </c>
      <c r="K1134" s="10">
        <v>63.6</v>
      </c>
      <c r="L1134" s="10">
        <v>63.35</v>
      </c>
      <c r="M1134" s="10">
        <v>63.11</v>
      </c>
      <c r="N1134" s="10">
        <v>63.58</v>
      </c>
      <c r="O1134" s="10">
        <v>63.36</v>
      </c>
      <c r="P1134" s="10">
        <v>62.99</v>
      </c>
      <c r="Q1134" s="10">
        <v>62.54</v>
      </c>
      <c r="R1134" s="10">
        <v>62.09</v>
      </c>
      <c r="S1134" s="10">
        <v>61.65</v>
      </c>
      <c r="T1134" s="10">
        <v>61.2</v>
      </c>
      <c r="U1134" s="10">
        <v>60.78</v>
      </c>
      <c r="V1134" s="10">
        <v>60.41</v>
      </c>
      <c r="W1134" s="10">
        <v>60.04</v>
      </c>
      <c r="X1134" s="10">
        <v>59.7</v>
      </c>
      <c r="Y1134" s="10">
        <v>59.39</v>
      </c>
      <c r="Z1134" s="11">
        <v>65.766000000000005</v>
      </c>
      <c r="AA1134" s="11">
        <v>64.084999999999994</v>
      </c>
      <c r="AB1134" s="11">
        <v>63.563000000000002</v>
      </c>
      <c r="AC1134" s="11">
        <v>63.171999999999997</v>
      </c>
      <c r="AD1134" s="11">
        <v>62.792000000000002</v>
      </c>
      <c r="AE1134" s="11">
        <v>62.433</v>
      </c>
      <c r="AF1134" s="11">
        <v>62.085000000000001</v>
      </c>
      <c r="AG1134" s="11">
        <v>61.744999999999997</v>
      </c>
      <c r="AH1134" s="11">
        <v>61.476999999999997</v>
      </c>
      <c r="AI1134" s="11">
        <v>61.228000000000002</v>
      </c>
      <c r="AJ1134" s="11">
        <v>61.01</v>
      </c>
      <c r="AK1134" s="11">
        <v>60.789000000000001</v>
      </c>
      <c r="AL1134" s="11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  <c r="DG1134" s="3"/>
      <c r="DH1134" s="3"/>
      <c r="DI1134" s="3"/>
      <c r="DJ1134" s="3"/>
      <c r="DK1134" s="3"/>
      <c r="DL1134" s="3"/>
      <c r="DM1134" s="3"/>
      <c r="DN1134" s="3"/>
      <c r="DO1134" s="3"/>
      <c r="DP1134" s="3"/>
      <c r="DQ1134" s="3"/>
      <c r="DR1134" s="3"/>
      <c r="DS1134" s="3"/>
      <c r="DT1134" s="3"/>
      <c r="DU1134" s="3"/>
      <c r="DV1134" s="3"/>
      <c r="DW1134" s="3"/>
      <c r="DX1134" s="3"/>
      <c r="DY1134" s="3"/>
      <c r="DZ1134" s="3"/>
      <c r="EA1134" s="3"/>
      <c r="EB1134" s="3"/>
      <c r="EC1134" s="3"/>
      <c r="ED1134" s="3"/>
      <c r="EE1134" s="3"/>
      <c r="EF1134" s="3"/>
      <c r="EG1134" s="3"/>
      <c r="EH1134" s="3"/>
      <c r="EI1134" s="3"/>
      <c r="EJ1134" s="3"/>
      <c r="EK1134" s="3"/>
      <c r="EL1134" s="3"/>
      <c r="EM1134" s="3"/>
      <c r="EN1134" s="3"/>
      <c r="EO1134" s="3"/>
      <c r="EP1134" s="3"/>
      <c r="EQ1134" s="3"/>
    </row>
    <row r="1135" spans="1:147" x14ac:dyDescent="0.3">
      <c r="A1135" s="9">
        <f>DATE(2021, 5, 24)</f>
        <v>44340</v>
      </c>
      <c r="B1135" s="10">
        <v>68.459999999999994</v>
      </c>
      <c r="C1135" s="10">
        <v>68.37</v>
      </c>
      <c r="D1135" s="10">
        <v>68.010000000000005</v>
      </c>
      <c r="E1135" s="10">
        <v>67.59</v>
      </c>
      <c r="F1135" s="10">
        <v>67.17</v>
      </c>
      <c r="G1135" s="10">
        <v>66.739999999999995</v>
      </c>
      <c r="H1135" s="10">
        <v>66.349999999999994</v>
      </c>
      <c r="I1135" s="10">
        <v>65.97</v>
      </c>
      <c r="J1135" s="10">
        <v>65.64</v>
      </c>
      <c r="K1135" s="10">
        <v>65.33</v>
      </c>
      <c r="L1135" s="10">
        <v>65.040000000000006</v>
      </c>
      <c r="M1135" s="10">
        <v>64.75</v>
      </c>
      <c r="N1135" s="10">
        <v>66.05</v>
      </c>
      <c r="O1135" s="10">
        <v>65.78</v>
      </c>
      <c r="P1135" s="10">
        <v>65.319999999999993</v>
      </c>
      <c r="Q1135" s="10">
        <v>64.790000000000006</v>
      </c>
      <c r="R1135" s="10">
        <v>64.25</v>
      </c>
      <c r="S1135" s="10">
        <v>63.73</v>
      </c>
      <c r="T1135" s="10">
        <v>63.23</v>
      </c>
      <c r="U1135" s="10">
        <v>62.75</v>
      </c>
      <c r="V1135" s="10">
        <v>62.3</v>
      </c>
      <c r="W1135" s="10">
        <v>61.89</v>
      </c>
      <c r="X1135" s="10">
        <v>61.51</v>
      </c>
      <c r="Y1135" s="10">
        <v>61.16</v>
      </c>
      <c r="Z1135" s="11">
        <v>66.254000000000005</v>
      </c>
      <c r="AA1135" s="11">
        <v>66.233999999999995</v>
      </c>
      <c r="AB1135" s="11">
        <v>65.620999999999995</v>
      </c>
      <c r="AC1135" s="11">
        <v>65.171000000000006</v>
      </c>
      <c r="AD1135" s="11">
        <v>64.760000000000005</v>
      </c>
      <c r="AE1135" s="11">
        <v>64.370999999999995</v>
      </c>
      <c r="AF1135" s="11">
        <v>64.003</v>
      </c>
      <c r="AG1135" s="11">
        <v>63.640999999999998</v>
      </c>
      <c r="AH1135" s="11">
        <v>63.325000000000003</v>
      </c>
      <c r="AI1135" s="11">
        <v>63.026000000000003</v>
      </c>
      <c r="AJ1135" s="11">
        <v>62.737000000000002</v>
      </c>
      <c r="AK1135" s="11">
        <v>62.487000000000002</v>
      </c>
      <c r="AL1135" s="11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  <c r="DG1135" s="3"/>
      <c r="DH1135" s="3"/>
      <c r="DI1135" s="3"/>
      <c r="DJ1135" s="3"/>
      <c r="DK1135" s="3"/>
      <c r="DL1135" s="3"/>
      <c r="DM1135" s="3"/>
      <c r="DN1135" s="3"/>
      <c r="DO1135" s="3"/>
      <c r="DP1135" s="3"/>
      <c r="DQ1135" s="3"/>
      <c r="DR1135" s="3"/>
      <c r="DS1135" s="3"/>
      <c r="DT1135" s="3"/>
      <c r="DU1135" s="3"/>
      <c r="DV1135" s="3"/>
      <c r="DW1135" s="3"/>
      <c r="DX1135" s="3"/>
      <c r="DY1135" s="3"/>
      <c r="DZ1135" s="3"/>
      <c r="EA1135" s="3"/>
      <c r="EB1135" s="3"/>
      <c r="EC1135" s="3"/>
      <c r="ED1135" s="3"/>
      <c r="EE1135" s="3"/>
      <c r="EF1135" s="3"/>
      <c r="EG1135" s="3"/>
      <c r="EH1135" s="3"/>
      <c r="EI1135" s="3"/>
      <c r="EJ1135" s="3"/>
      <c r="EK1135" s="3"/>
      <c r="EL1135" s="3"/>
      <c r="EM1135" s="3"/>
      <c r="EN1135" s="3"/>
      <c r="EO1135" s="3"/>
      <c r="EP1135" s="3"/>
      <c r="EQ1135" s="3"/>
    </row>
    <row r="1136" spans="1:147" x14ac:dyDescent="0.3">
      <c r="A1136" s="9">
        <f>DATE(2021, 5, 25)</f>
        <v>44341</v>
      </c>
      <c r="B1136" s="10">
        <v>68.650000000000006</v>
      </c>
      <c r="C1136" s="10">
        <v>68.489999999999995</v>
      </c>
      <c r="D1136" s="10">
        <v>68.08</v>
      </c>
      <c r="E1136" s="10">
        <v>67.61</v>
      </c>
      <c r="F1136" s="10">
        <v>67.17</v>
      </c>
      <c r="G1136" s="10">
        <v>66.73</v>
      </c>
      <c r="H1136" s="10">
        <v>66.33</v>
      </c>
      <c r="I1136" s="10">
        <v>65.95</v>
      </c>
      <c r="J1136" s="10">
        <v>65.61</v>
      </c>
      <c r="K1136" s="10">
        <v>65.3</v>
      </c>
      <c r="L1136" s="10">
        <v>65.010000000000005</v>
      </c>
      <c r="M1136" s="10">
        <v>64.72</v>
      </c>
      <c r="N1136" s="10">
        <v>66.069999999999993</v>
      </c>
      <c r="O1136" s="10">
        <v>65.790000000000006</v>
      </c>
      <c r="P1136" s="10">
        <v>65.319999999999993</v>
      </c>
      <c r="Q1136" s="10">
        <v>64.78</v>
      </c>
      <c r="R1136" s="10">
        <v>64.25</v>
      </c>
      <c r="S1136" s="10">
        <v>63.72</v>
      </c>
      <c r="T1136" s="10">
        <v>63.22</v>
      </c>
      <c r="U1136" s="10">
        <v>62.74</v>
      </c>
      <c r="V1136" s="10">
        <v>62.29</v>
      </c>
      <c r="W1136" s="10">
        <v>61.88</v>
      </c>
      <c r="X1136" s="10">
        <v>61.51</v>
      </c>
      <c r="Y1136" s="10">
        <v>61.16</v>
      </c>
      <c r="Z1136" s="11">
        <v>66.296000000000006</v>
      </c>
      <c r="AA1136" s="11">
        <v>66.381</v>
      </c>
      <c r="AB1136" s="11">
        <v>65.718999999999994</v>
      </c>
      <c r="AC1136" s="11">
        <v>65.25</v>
      </c>
      <c r="AD1136" s="11">
        <v>64.81</v>
      </c>
      <c r="AE1136" s="11">
        <v>64.391000000000005</v>
      </c>
      <c r="AF1136" s="11">
        <v>64.022999999999996</v>
      </c>
      <c r="AG1136" s="11">
        <v>63.66</v>
      </c>
      <c r="AH1136" s="11">
        <v>63.335000000000001</v>
      </c>
      <c r="AI1136" s="11">
        <v>63.036000000000001</v>
      </c>
      <c r="AJ1136" s="11">
        <v>62.747</v>
      </c>
      <c r="AK1136" s="11">
        <v>62.497</v>
      </c>
      <c r="AL1136" s="11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  <c r="DG1136" s="3"/>
      <c r="DH1136" s="3"/>
      <c r="DI1136" s="3"/>
      <c r="DJ1136" s="3"/>
      <c r="DK1136" s="3"/>
      <c r="DL1136" s="3"/>
      <c r="DM1136" s="3"/>
      <c r="DN1136" s="3"/>
      <c r="DO1136" s="3"/>
      <c r="DP1136" s="3"/>
      <c r="DQ1136" s="3"/>
      <c r="DR1136" s="3"/>
      <c r="DS1136" s="3"/>
      <c r="DT1136" s="3"/>
      <c r="DU1136" s="3"/>
      <c r="DV1136" s="3"/>
      <c r="DW1136" s="3"/>
      <c r="DX1136" s="3"/>
      <c r="DY1136" s="3"/>
      <c r="DZ1136" s="3"/>
      <c r="EA1136" s="3"/>
      <c r="EB1136" s="3"/>
      <c r="EC1136" s="3"/>
      <c r="ED1136" s="3"/>
      <c r="EE1136" s="3"/>
      <c r="EF1136" s="3"/>
      <c r="EG1136" s="3"/>
      <c r="EH1136" s="3"/>
      <c r="EI1136" s="3"/>
      <c r="EJ1136" s="3"/>
      <c r="EK1136" s="3"/>
      <c r="EL1136" s="3"/>
      <c r="EM1136" s="3"/>
      <c r="EN1136" s="3"/>
      <c r="EO1136" s="3"/>
      <c r="EP1136" s="3"/>
      <c r="EQ1136" s="3"/>
    </row>
    <row r="1137" spans="1:147" x14ac:dyDescent="0.3">
      <c r="A1137" s="9">
        <f>DATE(2021, 5, 26)</f>
        <v>44342</v>
      </c>
      <c r="B1137" s="10">
        <v>68.87</v>
      </c>
      <c r="C1137" s="10">
        <v>68.73</v>
      </c>
      <c r="D1137" s="10">
        <v>68.319999999999993</v>
      </c>
      <c r="E1137" s="10">
        <v>67.849999999999994</v>
      </c>
      <c r="F1137" s="10">
        <v>67.41</v>
      </c>
      <c r="G1137" s="10">
        <v>66.98</v>
      </c>
      <c r="H1137" s="10">
        <v>66.58</v>
      </c>
      <c r="I1137" s="10">
        <v>66.19</v>
      </c>
      <c r="J1137" s="10">
        <v>65.849999999999994</v>
      </c>
      <c r="K1137" s="10">
        <v>65.53</v>
      </c>
      <c r="L1137" s="10">
        <v>65.239999999999995</v>
      </c>
      <c r="M1137" s="10">
        <v>64.94</v>
      </c>
      <c r="N1137" s="10">
        <v>66.209999999999994</v>
      </c>
      <c r="O1137" s="10">
        <v>65.959999999999994</v>
      </c>
      <c r="P1137" s="10">
        <v>65.510000000000005</v>
      </c>
      <c r="Q1137" s="10">
        <v>64.98</v>
      </c>
      <c r="R1137" s="10">
        <v>64.459999999999994</v>
      </c>
      <c r="S1137" s="10">
        <v>63.94</v>
      </c>
      <c r="T1137" s="10">
        <v>63.43</v>
      </c>
      <c r="U1137" s="10">
        <v>62.94</v>
      </c>
      <c r="V1137" s="10">
        <v>62.5</v>
      </c>
      <c r="W1137" s="10">
        <v>62.09</v>
      </c>
      <c r="X1137" s="10">
        <v>61.71</v>
      </c>
      <c r="Y1137" s="10">
        <v>61.37</v>
      </c>
      <c r="Z1137" s="11">
        <v>66.332999999999998</v>
      </c>
      <c r="AA1137" s="11">
        <v>66.611000000000004</v>
      </c>
      <c r="AB1137" s="11">
        <v>65.938999999999993</v>
      </c>
      <c r="AC1137" s="11">
        <v>65.44</v>
      </c>
      <c r="AD1137" s="11">
        <v>64.989999999999995</v>
      </c>
      <c r="AE1137" s="11">
        <v>64.581000000000003</v>
      </c>
      <c r="AF1137" s="11">
        <v>64.221999999999994</v>
      </c>
      <c r="AG1137" s="11">
        <v>63.88</v>
      </c>
      <c r="AH1137" s="11">
        <v>63.564999999999998</v>
      </c>
      <c r="AI1137" s="11">
        <v>63.256</v>
      </c>
      <c r="AJ1137" s="11">
        <v>62.966999999999999</v>
      </c>
      <c r="AK1137" s="11">
        <v>62.697000000000003</v>
      </c>
      <c r="AL1137" s="11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  <c r="DG1137" s="3"/>
      <c r="DH1137" s="3"/>
      <c r="DI1137" s="3"/>
      <c r="DJ1137" s="3"/>
      <c r="DK1137" s="3"/>
      <c r="DL1137" s="3"/>
      <c r="DM1137" s="3"/>
      <c r="DN1137" s="3"/>
      <c r="DO1137" s="3"/>
      <c r="DP1137" s="3"/>
      <c r="DQ1137" s="3"/>
      <c r="DR1137" s="3"/>
      <c r="DS1137" s="3"/>
      <c r="DT1137" s="3"/>
      <c r="DU1137" s="3"/>
      <c r="DV1137" s="3"/>
      <c r="DW1137" s="3"/>
      <c r="DX1137" s="3"/>
      <c r="DY1137" s="3"/>
      <c r="DZ1137" s="3"/>
      <c r="EA1137" s="3"/>
      <c r="EB1137" s="3"/>
      <c r="EC1137" s="3"/>
      <c r="ED1137" s="3"/>
      <c r="EE1137" s="3"/>
      <c r="EF1137" s="3"/>
      <c r="EG1137" s="3"/>
      <c r="EH1137" s="3"/>
      <c r="EI1137" s="3"/>
      <c r="EJ1137" s="3"/>
      <c r="EK1137" s="3"/>
      <c r="EL1137" s="3"/>
      <c r="EM1137" s="3"/>
      <c r="EN1137" s="3"/>
      <c r="EO1137" s="3"/>
      <c r="EP1137" s="3"/>
      <c r="EQ1137" s="3"/>
    </row>
    <row r="1138" spans="1:147" x14ac:dyDescent="0.3">
      <c r="A1138" s="9">
        <f>DATE(2021, 5, 27)</f>
        <v>44343</v>
      </c>
      <c r="B1138" s="10">
        <v>69.459999999999994</v>
      </c>
      <c r="C1138" s="10">
        <v>69.2</v>
      </c>
      <c r="D1138" s="10">
        <v>68.81</v>
      </c>
      <c r="E1138" s="10">
        <v>68.319999999999993</v>
      </c>
      <c r="F1138" s="10">
        <v>67.849999999999994</v>
      </c>
      <c r="G1138" s="10">
        <v>67.38</v>
      </c>
      <c r="H1138" s="10">
        <v>66.95</v>
      </c>
      <c r="I1138" s="10">
        <v>66.55</v>
      </c>
      <c r="J1138" s="10">
        <v>66.180000000000007</v>
      </c>
      <c r="K1138" s="10">
        <v>65.84</v>
      </c>
      <c r="L1138" s="10">
        <v>65.540000000000006</v>
      </c>
      <c r="M1138" s="10">
        <v>65.239999999999995</v>
      </c>
      <c r="N1138" s="10">
        <v>66.849999999999994</v>
      </c>
      <c r="O1138" s="10">
        <v>66.599999999999994</v>
      </c>
      <c r="P1138" s="10">
        <v>66.12</v>
      </c>
      <c r="Q1138" s="10">
        <v>65.56</v>
      </c>
      <c r="R1138" s="10">
        <v>65</v>
      </c>
      <c r="S1138" s="10">
        <v>64.45</v>
      </c>
      <c r="T1138" s="10">
        <v>63.9</v>
      </c>
      <c r="U1138" s="10">
        <v>63.39</v>
      </c>
      <c r="V1138" s="10">
        <v>62.93</v>
      </c>
      <c r="W1138" s="10">
        <v>62.5</v>
      </c>
      <c r="X1138" s="10">
        <v>62.1</v>
      </c>
      <c r="Y1138" s="10">
        <v>61.74</v>
      </c>
      <c r="Z1138" s="11">
        <v>66.334999999999994</v>
      </c>
      <c r="AA1138" s="11">
        <v>67.122</v>
      </c>
      <c r="AB1138" s="11">
        <v>66.438000000000002</v>
      </c>
      <c r="AC1138" s="11">
        <v>65.945999999999998</v>
      </c>
      <c r="AD1138" s="11">
        <v>65.475999999999999</v>
      </c>
      <c r="AE1138" s="11">
        <v>65.040000000000006</v>
      </c>
      <c r="AF1138" s="11">
        <v>64.652000000000001</v>
      </c>
      <c r="AG1138" s="11">
        <v>64.238</v>
      </c>
      <c r="AH1138" s="11">
        <v>63.893999999999998</v>
      </c>
      <c r="AI1138" s="11">
        <v>63.564999999999998</v>
      </c>
      <c r="AJ1138" s="11">
        <v>63.267000000000003</v>
      </c>
      <c r="AK1138" s="11">
        <v>62.996000000000002</v>
      </c>
      <c r="AL1138" s="11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  <c r="DG1138" s="3"/>
      <c r="DH1138" s="3"/>
      <c r="DI1138" s="3"/>
      <c r="DJ1138" s="3"/>
      <c r="DK1138" s="3"/>
      <c r="DL1138" s="3"/>
      <c r="DM1138" s="3"/>
      <c r="DN1138" s="3"/>
      <c r="DO1138" s="3"/>
      <c r="DP1138" s="3"/>
      <c r="DQ1138" s="3"/>
      <c r="DR1138" s="3"/>
      <c r="DS1138" s="3"/>
      <c r="DT1138" s="3"/>
      <c r="DU1138" s="3"/>
      <c r="DV1138" s="3"/>
      <c r="DW1138" s="3"/>
      <c r="DX1138" s="3"/>
      <c r="DY1138" s="3"/>
      <c r="DZ1138" s="3"/>
      <c r="EA1138" s="3"/>
      <c r="EB1138" s="3"/>
      <c r="EC1138" s="3"/>
      <c r="ED1138" s="3"/>
      <c r="EE1138" s="3"/>
      <c r="EF1138" s="3"/>
      <c r="EG1138" s="3"/>
      <c r="EH1138" s="3"/>
      <c r="EI1138" s="3"/>
      <c r="EJ1138" s="3"/>
      <c r="EK1138" s="3"/>
      <c r="EL1138" s="3"/>
      <c r="EM1138" s="3"/>
      <c r="EN1138" s="3"/>
      <c r="EO1138" s="3"/>
      <c r="EP1138" s="3"/>
      <c r="EQ1138" s="3"/>
    </row>
    <row r="1139" spans="1:147" x14ac:dyDescent="0.3">
      <c r="A1139" s="9">
        <f>DATE(2021, 5, 28)</f>
        <v>44344</v>
      </c>
      <c r="B1139" s="10">
        <v>69.63</v>
      </c>
      <c r="C1139" s="10">
        <v>68.72</v>
      </c>
      <c r="D1139" s="10">
        <v>68.34</v>
      </c>
      <c r="E1139" s="10">
        <v>67.849999999999994</v>
      </c>
      <c r="F1139" s="10">
        <v>67.37</v>
      </c>
      <c r="G1139" s="10">
        <v>66.900000000000006</v>
      </c>
      <c r="H1139" s="10">
        <v>66.47</v>
      </c>
      <c r="I1139" s="10">
        <v>66.069999999999993</v>
      </c>
      <c r="J1139" s="10">
        <v>65.7</v>
      </c>
      <c r="K1139" s="10">
        <v>65.37</v>
      </c>
      <c r="L1139" s="10">
        <v>65.069999999999993</v>
      </c>
      <c r="M1139" s="10">
        <v>64.760000000000005</v>
      </c>
      <c r="N1139" s="10">
        <v>66.319999999999993</v>
      </c>
      <c r="O1139" s="10">
        <v>66.099999999999994</v>
      </c>
      <c r="P1139" s="10">
        <v>65.599999999999994</v>
      </c>
      <c r="Q1139" s="10">
        <v>65.02</v>
      </c>
      <c r="R1139" s="10">
        <v>64.45</v>
      </c>
      <c r="S1139" s="10">
        <v>63.91</v>
      </c>
      <c r="T1139" s="10">
        <v>63.37</v>
      </c>
      <c r="U1139" s="10">
        <v>62.86</v>
      </c>
      <c r="V1139" s="10">
        <v>62.4</v>
      </c>
      <c r="W1139" s="10">
        <v>61.97</v>
      </c>
      <c r="X1139" s="10">
        <v>61.58</v>
      </c>
      <c r="Y1139" s="10">
        <v>61.22</v>
      </c>
      <c r="Z1139" s="11">
        <v>66.293000000000006</v>
      </c>
      <c r="AA1139" s="11">
        <v>66.733000000000004</v>
      </c>
      <c r="AB1139" s="11">
        <v>65.998000000000005</v>
      </c>
      <c r="AC1139" s="11">
        <v>65.498000000000005</v>
      </c>
      <c r="AD1139" s="11">
        <v>65.019000000000005</v>
      </c>
      <c r="AE1139" s="11">
        <v>64.569999999999993</v>
      </c>
      <c r="AF1139" s="11">
        <v>64.152000000000001</v>
      </c>
      <c r="AG1139" s="11">
        <v>63.758000000000003</v>
      </c>
      <c r="AH1139" s="11">
        <v>63.414000000000001</v>
      </c>
      <c r="AI1139" s="11">
        <v>63.094999999999999</v>
      </c>
      <c r="AJ1139" s="11">
        <v>62.796999999999997</v>
      </c>
      <c r="AK1139" s="11">
        <v>62.515999999999998</v>
      </c>
      <c r="AL1139" s="11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  <c r="DG1139" s="3"/>
      <c r="DH1139" s="3"/>
      <c r="DI1139" s="3"/>
      <c r="DJ1139" s="3"/>
      <c r="DK1139" s="3"/>
      <c r="DL1139" s="3"/>
      <c r="DM1139" s="3"/>
      <c r="DN1139" s="3"/>
      <c r="DO1139" s="3"/>
      <c r="DP1139" s="3"/>
      <c r="DQ1139" s="3"/>
      <c r="DR1139" s="3"/>
      <c r="DS1139" s="3"/>
      <c r="DT1139" s="3"/>
      <c r="DU1139" s="3"/>
      <c r="DV1139" s="3"/>
      <c r="DW1139" s="3"/>
      <c r="DX1139" s="3"/>
      <c r="DY1139" s="3"/>
      <c r="DZ1139" s="3"/>
      <c r="EA1139" s="3"/>
      <c r="EB1139" s="3"/>
      <c r="EC1139" s="3"/>
      <c r="ED1139" s="3"/>
      <c r="EE1139" s="3"/>
      <c r="EF1139" s="3"/>
      <c r="EG1139" s="3"/>
      <c r="EH1139" s="3"/>
      <c r="EI1139" s="3"/>
      <c r="EJ1139" s="3"/>
      <c r="EK1139" s="3"/>
      <c r="EL1139" s="3"/>
      <c r="EM1139" s="3"/>
      <c r="EN1139" s="3"/>
      <c r="EO1139" s="3"/>
      <c r="EP1139" s="3"/>
      <c r="EQ1139" s="3"/>
    </row>
    <row r="1140" spans="1:147" x14ac:dyDescent="0.3">
      <c r="A1140" s="9">
        <f>DATE(2021, 5, 31)</f>
        <v>44347</v>
      </c>
      <c r="B1140" s="10">
        <v>69.319999999999993</v>
      </c>
      <c r="C1140" s="10">
        <v>68.95</v>
      </c>
      <c r="D1140" s="10">
        <v>68.45</v>
      </c>
      <c r="E1140" s="10">
        <v>67.959999999999994</v>
      </c>
      <c r="F1140" s="10">
        <v>67.48</v>
      </c>
      <c r="G1140" s="10">
        <v>67.05</v>
      </c>
      <c r="H1140" s="10">
        <v>66.64</v>
      </c>
      <c r="I1140" s="10">
        <v>66.27</v>
      </c>
      <c r="J1140" s="10">
        <v>65.930000000000007</v>
      </c>
      <c r="K1140" s="10">
        <v>65.62</v>
      </c>
      <c r="L1140" s="10">
        <v>65.31</v>
      </c>
      <c r="M1140" s="10">
        <v>65.02</v>
      </c>
      <c r="N1140" s="10">
        <v>66.319999999999993</v>
      </c>
      <c r="O1140" s="10">
        <v>66.099999999999994</v>
      </c>
      <c r="P1140" s="10">
        <v>65.599999999999994</v>
      </c>
      <c r="Q1140" s="10">
        <v>65.02</v>
      </c>
      <c r="R1140" s="10">
        <v>64.45</v>
      </c>
      <c r="S1140" s="10">
        <v>63.91</v>
      </c>
      <c r="T1140" s="10">
        <v>63.37</v>
      </c>
      <c r="U1140" s="10">
        <v>62.86</v>
      </c>
      <c r="V1140" s="10">
        <v>62.4</v>
      </c>
      <c r="W1140" s="10">
        <v>61.97</v>
      </c>
      <c r="X1140" s="10">
        <v>61.58</v>
      </c>
      <c r="Y1140" s="10">
        <v>61.22</v>
      </c>
      <c r="Z1140" s="11">
        <v>66.313999999999993</v>
      </c>
      <c r="AA1140" s="11">
        <v>67.427000000000007</v>
      </c>
      <c r="AB1140" s="11">
        <v>66.659000000000006</v>
      </c>
      <c r="AC1140" s="11">
        <v>66.123000000000005</v>
      </c>
      <c r="AD1140" s="11">
        <v>65.628</v>
      </c>
      <c r="AE1140" s="11">
        <v>65.17</v>
      </c>
      <c r="AF1140" s="11">
        <v>64.751000000000005</v>
      </c>
      <c r="AG1140" s="11">
        <v>64.347999999999999</v>
      </c>
      <c r="AH1140" s="11">
        <v>64.013999999999996</v>
      </c>
      <c r="AI1140" s="11">
        <v>63.685000000000002</v>
      </c>
      <c r="AJ1140" s="11">
        <v>63.387</v>
      </c>
      <c r="AK1140" s="11">
        <v>63.085999999999999</v>
      </c>
      <c r="AL1140" s="11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  <c r="DG1140" s="3"/>
      <c r="DH1140" s="3"/>
      <c r="DI1140" s="3"/>
      <c r="DJ1140" s="3"/>
      <c r="DK1140" s="3"/>
      <c r="DL1140" s="3"/>
      <c r="DM1140" s="3"/>
      <c r="DN1140" s="3"/>
      <c r="DO1140" s="3"/>
      <c r="DP1140" s="3"/>
      <c r="DQ1140" s="3"/>
      <c r="DR1140" s="3"/>
      <c r="DS1140" s="3"/>
      <c r="DT1140" s="3"/>
      <c r="DU1140" s="3"/>
      <c r="DV1140" s="3"/>
      <c r="DW1140" s="3"/>
      <c r="DX1140" s="3"/>
      <c r="DY1140" s="3"/>
      <c r="DZ1140" s="3"/>
      <c r="EA1140" s="3"/>
      <c r="EB1140" s="3"/>
      <c r="EC1140" s="3"/>
      <c r="ED1140" s="3"/>
      <c r="EE1140" s="3"/>
      <c r="EF1140" s="3"/>
      <c r="EG1140" s="3"/>
      <c r="EH1140" s="3"/>
      <c r="EI1140" s="3"/>
      <c r="EJ1140" s="3"/>
      <c r="EK1140" s="3"/>
      <c r="EL1140" s="3"/>
      <c r="EM1140" s="3"/>
      <c r="EN1140" s="3"/>
      <c r="EO1140" s="3"/>
      <c r="EP1140" s="3"/>
      <c r="EQ1140" s="3"/>
    </row>
    <row r="1141" spans="1:147" x14ac:dyDescent="0.3">
      <c r="A1141" s="9">
        <f>DATE(2021, 6, 1)</f>
        <v>44348</v>
      </c>
      <c r="B1141" s="10">
        <v>70.25</v>
      </c>
      <c r="C1141" s="10">
        <v>69.849999999999994</v>
      </c>
      <c r="D1141" s="10">
        <v>69.33</v>
      </c>
      <c r="E1141" s="10">
        <v>68.819999999999993</v>
      </c>
      <c r="F1141" s="10">
        <v>68.319999999999993</v>
      </c>
      <c r="G1141" s="10">
        <v>67.86</v>
      </c>
      <c r="H1141" s="10">
        <v>67.430000000000007</v>
      </c>
      <c r="I1141" s="10">
        <v>67.03</v>
      </c>
      <c r="J1141" s="10">
        <v>66.680000000000007</v>
      </c>
      <c r="K1141" s="10">
        <v>66.349999999999994</v>
      </c>
      <c r="L1141" s="10">
        <v>66.02</v>
      </c>
      <c r="M1141" s="10">
        <v>65.72</v>
      </c>
      <c r="N1141" s="10">
        <v>67.72</v>
      </c>
      <c r="O1141" s="10">
        <v>67.52</v>
      </c>
      <c r="P1141" s="10">
        <v>67.06</v>
      </c>
      <c r="Q1141" s="10">
        <v>66.47</v>
      </c>
      <c r="R1141" s="10">
        <v>65.87</v>
      </c>
      <c r="S1141" s="10">
        <v>65.290000000000006</v>
      </c>
      <c r="T1141" s="10">
        <v>64.739999999999995</v>
      </c>
      <c r="U1141" s="10">
        <v>64.2</v>
      </c>
      <c r="V1141" s="10">
        <v>63.71</v>
      </c>
      <c r="W1141" s="10">
        <v>63.25</v>
      </c>
      <c r="X1141" s="10">
        <v>62.83</v>
      </c>
      <c r="Y1141" s="10">
        <v>62.44</v>
      </c>
      <c r="Z1141" s="11">
        <v>66.313999999999993</v>
      </c>
      <c r="AA1141" s="11">
        <v>68.468999999999994</v>
      </c>
      <c r="AB1141" s="11">
        <v>67.570999999999998</v>
      </c>
      <c r="AC1141" s="11">
        <v>66.989999999999995</v>
      </c>
      <c r="AD1141" s="11">
        <v>66.486999999999995</v>
      </c>
      <c r="AE1141" s="11">
        <v>66.016000000000005</v>
      </c>
      <c r="AF1141" s="11">
        <v>65.596000000000004</v>
      </c>
      <c r="AG1141" s="11">
        <v>65.171000000000006</v>
      </c>
      <c r="AH1141" s="11">
        <v>64.802999999999997</v>
      </c>
      <c r="AI1141" s="11">
        <v>64.444000000000003</v>
      </c>
      <c r="AJ1141" s="11">
        <v>64.126000000000005</v>
      </c>
      <c r="AK1141" s="11">
        <v>63.814999999999998</v>
      </c>
      <c r="AL1141" s="11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  <c r="DG1141" s="3"/>
      <c r="DH1141" s="3"/>
      <c r="DI1141" s="3"/>
      <c r="DJ1141" s="3"/>
      <c r="DK1141" s="3"/>
      <c r="DL1141" s="3"/>
      <c r="DM1141" s="3"/>
      <c r="DN1141" s="3"/>
      <c r="DO1141" s="3"/>
      <c r="DP1141" s="3"/>
      <c r="DQ1141" s="3"/>
      <c r="DR1141" s="3"/>
      <c r="DS1141" s="3"/>
      <c r="DT1141" s="3"/>
      <c r="DU1141" s="3"/>
      <c r="DV1141" s="3"/>
      <c r="DW1141" s="3"/>
      <c r="DX1141" s="3"/>
      <c r="DY1141" s="3"/>
      <c r="DZ1141" s="3"/>
      <c r="EA1141" s="3"/>
      <c r="EB1141" s="3"/>
      <c r="EC1141" s="3"/>
      <c r="ED1141" s="3"/>
      <c r="EE1141" s="3"/>
      <c r="EF1141" s="3"/>
      <c r="EG1141" s="3"/>
      <c r="EH1141" s="3"/>
      <c r="EI1141" s="3"/>
      <c r="EJ1141" s="3"/>
      <c r="EK1141" s="3"/>
      <c r="EL1141" s="3"/>
      <c r="EM1141" s="3"/>
      <c r="EN1141" s="3"/>
      <c r="EO1141" s="3"/>
      <c r="EP1141" s="3"/>
      <c r="EQ1141" s="3"/>
    </row>
    <row r="1142" spans="1:147" x14ac:dyDescent="0.3">
      <c r="A1142" s="9">
        <f>DATE(2021, 6, 2)</f>
        <v>44349</v>
      </c>
      <c r="B1142" s="10">
        <v>71.349999999999994</v>
      </c>
      <c r="C1142" s="10">
        <v>70.95</v>
      </c>
      <c r="D1142" s="10">
        <v>70.400000000000006</v>
      </c>
      <c r="E1142" s="10">
        <v>69.87</v>
      </c>
      <c r="F1142" s="10">
        <v>69.34</v>
      </c>
      <c r="G1142" s="10">
        <v>68.849999999999994</v>
      </c>
      <c r="H1142" s="10">
        <v>68.38</v>
      </c>
      <c r="I1142" s="10">
        <v>67.95</v>
      </c>
      <c r="J1142" s="10">
        <v>67.55</v>
      </c>
      <c r="K1142" s="10">
        <v>67.19</v>
      </c>
      <c r="L1142" s="10">
        <v>66.83</v>
      </c>
      <c r="M1142" s="10">
        <v>66.489999999999995</v>
      </c>
      <c r="N1142" s="10">
        <v>68.83</v>
      </c>
      <c r="O1142" s="10">
        <v>68.63</v>
      </c>
      <c r="P1142" s="10">
        <v>68.17</v>
      </c>
      <c r="Q1142" s="10">
        <v>67.55</v>
      </c>
      <c r="R1142" s="10">
        <v>66.92</v>
      </c>
      <c r="S1142" s="10">
        <v>66.3</v>
      </c>
      <c r="T1142" s="10">
        <v>65.709999999999994</v>
      </c>
      <c r="U1142" s="10">
        <v>65.14</v>
      </c>
      <c r="V1142" s="10">
        <v>64.61</v>
      </c>
      <c r="W1142" s="10">
        <v>64.13</v>
      </c>
      <c r="X1142" s="10">
        <v>63.67</v>
      </c>
      <c r="Y1142" s="10">
        <v>63.23</v>
      </c>
      <c r="Z1142" s="11">
        <v>69.507000000000005</v>
      </c>
      <c r="AA1142" s="11">
        <v>68.655000000000001</v>
      </c>
      <c r="AB1142" s="11">
        <v>68.046000000000006</v>
      </c>
      <c r="AC1142" s="11">
        <v>67.536000000000001</v>
      </c>
      <c r="AD1142" s="11">
        <v>67.037000000000006</v>
      </c>
      <c r="AE1142" s="11">
        <v>66.569000000000003</v>
      </c>
      <c r="AF1142" s="11">
        <v>66.113</v>
      </c>
      <c r="AG1142" s="11">
        <v>65.700999999999993</v>
      </c>
      <c r="AH1142" s="11">
        <v>65.292000000000002</v>
      </c>
      <c r="AI1142" s="11">
        <v>64.933999999999997</v>
      </c>
      <c r="AJ1142" s="11">
        <v>64.613</v>
      </c>
      <c r="AK1142" s="11">
        <v>64.295000000000002</v>
      </c>
      <c r="AL1142" s="11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  <c r="DP1142" s="3"/>
      <c r="DQ1142" s="3"/>
      <c r="DR1142" s="3"/>
      <c r="DS1142" s="3"/>
      <c r="DT1142" s="3"/>
      <c r="DU1142" s="3"/>
      <c r="DV1142" s="3"/>
      <c r="DW1142" s="3"/>
      <c r="DX1142" s="3"/>
      <c r="DY1142" s="3"/>
      <c r="DZ1142" s="3"/>
      <c r="EA1142" s="3"/>
      <c r="EB1142" s="3"/>
      <c r="EC1142" s="3"/>
      <c r="ED1142" s="3"/>
      <c r="EE1142" s="3"/>
      <c r="EF1142" s="3"/>
      <c r="EG1142" s="3"/>
      <c r="EH1142" s="3"/>
      <c r="EI1142" s="3"/>
      <c r="EJ1142" s="3"/>
      <c r="EK1142" s="3"/>
      <c r="EL1142" s="3"/>
      <c r="EM1142" s="3"/>
      <c r="EN1142" s="3"/>
      <c r="EO1142" s="3"/>
      <c r="EP1142" s="3"/>
      <c r="EQ1142" s="3"/>
    </row>
    <row r="1143" spans="1:147" x14ac:dyDescent="0.3">
      <c r="A1143" s="9">
        <f>DATE(2021, 6, 3)</f>
        <v>44350</v>
      </c>
      <c r="B1143" s="10">
        <v>71.31</v>
      </c>
      <c r="C1143" s="10">
        <v>70.89</v>
      </c>
      <c r="D1143" s="10">
        <v>70.34</v>
      </c>
      <c r="E1143" s="10">
        <v>69.81</v>
      </c>
      <c r="F1143" s="10">
        <v>69.28</v>
      </c>
      <c r="G1143" s="10">
        <v>68.8</v>
      </c>
      <c r="H1143" s="10">
        <v>68.34</v>
      </c>
      <c r="I1143" s="10">
        <v>67.92</v>
      </c>
      <c r="J1143" s="10">
        <v>67.53</v>
      </c>
      <c r="K1143" s="10">
        <v>67.16</v>
      </c>
      <c r="L1143" s="10">
        <v>66.790000000000006</v>
      </c>
      <c r="M1143" s="10">
        <v>66.459999999999994</v>
      </c>
      <c r="N1143" s="10">
        <v>68.81</v>
      </c>
      <c r="O1143" s="10">
        <v>68.599999999999994</v>
      </c>
      <c r="P1143" s="10">
        <v>68.14</v>
      </c>
      <c r="Q1143" s="10">
        <v>67.53</v>
      </c>
      <c r="R1143" s="10">
        <v>66.900000000000006</v>
      </c>
      <c r="S1143" s="10">
        <v>66.28</v>
      </c>
      <c r="T1143" s="10">
        <v>65.69</v>
      </c>
      <c r="U1143" s="10">
        <v>65.12</v>
      </c>
      <c r="V1143" s="10">
        <v>64.59</v>
      </c>
      <c r="W1143" s="10">
        <v>64.099999999999994</v>
      </c>
      <c r="X1143" s="10">
        <v>63.64</v>
      </c>
      <c r="Y1143" s="10">
        <v>63.22</v>
      </c>
      <c r="Z1143" s="11">
        <v>69.433999999999997</v>
      </c>
      <c r="AA1143" s="11">
        <v>68.584999999999994</v>
      </c>
      <c r="AB1143" s="11">
        <v>67.936000000000007</v>
      </c>
      <c r="AC1143" s="11">
        <v>67.436000000000007</v>
      </c>
      <c r="AD1143" s="11">
        <v>66.947000000000003</v>
      </c>
      <c r="AE1143" s="11">
        <v>66.498999999999995</v>
      </c>
      <c r="AF1143" s="11">
        <v>66.063000000000002</v>
      </c>
      <c r="AG1143" s="11">
        <v>65.661000000000001</v>
      </c>
      <c r="AH1143" s="11">
        <v>65.262</v>
      </c>
      <c r="AI1143" s="11">
        <v>64.884</v>
      </c>
      <c r="AJ1143" s="11">
        <v>64.563999999999993</v>
      </c>
      <c r="AK1143" s="11">
        <v>64.245000000000005</v>
      </c>
      <c r="AL1143" s="11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  <c r="DP1143" s="3"/>
      <c r="DQ1143" s="3"/>
      <c r="DR1143" s="3"/>
      <c r="DS1143" s="3"/>
      <c r="DT1143" s="3"/>
      <c r="DU1143" s="3"/>
      <c r="DV1143" s="3"/>
      <c r="DW1143" s="3"/>
      <c r="DX1143" s="3"/>
      <c r="DY1143" s="3"/>
      <c r="DZ1143" s="3"/>
      <c r="EA1143" s="3"/>
      <c r="EB1143" s="3"/>
      <c r="EC1143" s="3"/>
      <c r="ED1143" s="3"/>
      <c r="EE1143" s="3"/>
      <c r="EF1143" s="3"/>
      <c r="EG1143" s="3"/>
      <c r="EH1143" s="3"/>
      <c r="EI1143" s="3"/>
      <c r="EJ1143" s="3"/>
      <c r="EK1143" s="3"/>
      <c r="EL1143" s="3"/>
      <c r="EM1143" s="3"/>
      <c r="EN1143" s="3"/>
      <c r="EO1143" s="3"/>
      <c r="EP1143" s="3"/>
      <c r="EQ1143" s="3"/>
    </row>
    <row r="1144" spans="1:147" x14ac:dyDescent="0.3">
      <c r="A1144" s="9">
        <f>DATE(2021, 6, 4)</f>
        <v>44351</v>
      </c>
      <c r="B1144" s="10">
        <v>71.89</v>
      </c>
      <c r="C1144" s="10">
        <v>71.489999999999995</v>
      </c>
      <c r="D1144" s="10">
        <v>70.92</v>
      </c>
      <c r="E1144" s="10">
        <v>70.39</v>
      </c>
      <c r="F1144" s="10">
        <v>69.87</v>
      </c>
      <c r="G1144" s="10">
        <v>69.38</v>
      </c>
      <c r="H1144" s="10">
        <v>68.92</v>
      </c>
      <c r="I1144" s="10">
        <v>68.489999999999995</v>
      </c>
      <c r="J1144" s="10">
        <v>68.09</v>
      </c>
      <c r="K1144" s="10">
        <v>67.72</v>
      </c>
      <c r="L1144" s="10">
        <v>67.349999999999994</v>
      </c>
      <c r="M1144" s="10">
        <v>67.010000000000005</v>
      </c>
      <c r="N1144" s="10">
        <v>69.62</v>
      </c>
      <c r="O1144" s="10">
        <v>69.39</v>
      </c>
      <c r="P1144" s="10">
        <v>68.89</v>
      </c>
      <c r="Q1144" s="10">
        <v>68.23</v>
      </c>
      <c r="R1144" s="10">
        <v>67.569999999999993</v>
      </c>
      <c r="S1144" s="10">
        <v>66.930000000000007</v>
      </c>
      <c r="T1144" s="10">
        <v>66.319999999999993</v>
      </c>
      <c r="U1144" s="10">
        <v>65.739999999999995</v>
      </c>
      <c r="V1144" s="10">
        <v>65.2</v>
      </c>
      <c r="W1144" s="10">
        <v>64.7</v>
      </c>
      <c r="X1144" s="10">
        <v>64.23</v>
      </c>
      <c r="Y1144" s="10">
        <v>63.8</v>
      </c>
      <c r="Z1144" s="11">
        <v>70.081000000000003</v>
      </c>
      <c r="AA1144" s="11">
        <v>69.284000000000006</v>
      </c>
      <c r="AB1144" s="11">
        <v>68.566000000000003</v>
      </c>
      <c r="AC1144" s="11">
        <v>68.036000000000001</v>
      </c>
      <c r="AD1144" s="11">
        <v>67.537000000000006</v>
      </c>
      <c r="AE1144" s="11">
        <v>67.069000000000003</v>
      </c>
      <c r="AF1144" s="11">
        <v>66.632999999999996</v>
      </c>
      <c r="AG1144" s="11">
        <v>66.230999999999995</v>
      </c>
      <c r="AH1144" s="11">
        <v>65.822000000000003</v>
      </c>
      <c r="AI1144" s="11">
        <v>65.444000000000003</v>
      </c>
      <c r="AJ1144" s="11">
        <v>65.113</v>
      </c>
      <c r="AK1144" s="11">
        <v>64.784999999999997</v>
      </c>
      <c r="AL1144" s="11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  <c r="DP1144" s="3"/>
      <c r="DQ1144" s="3"/>
      <c r="DR1144" s="3"/>
      <c r="DS1144" s="3"/>
      <c r="DT1144" s="3"/>
      <c r="DU1144" s="3"/>
      <c r="DV1144" s="3"/>
      <c r="DW1144" s="3"/>
      <c r="DX1144" s="3"/>
      <c r="DY1144" s="3"/>
      <c r="DZ1144" s="3"/>
      <c r="EA1144" s="3"/>
      <c r="EB1144" s="3"/>
      <c r="EC1144" s="3"/>
      <c r="ED1144" s="3"/>
      <c r="EE1144" s="3"/>
      <c r="EF1144" s="3"/>
      <c r="EG1144" s="3"/>
      <c r="EH1144" s="3"/>
      <c r="EI1144" s="3"/>
      <c r="EJ1144" s="3"/>
      <c r="EK1144" s="3"/>
      <c r="EL1144" s="3"/>
      <c r="EM1144" s="3"/>
      <c r="EN1144" s="3"/>
      <c r="EO1144" s="3"/>
      <c r="EP1144" s="3"/>
      <c r="EQ1144" s="3"/>
    </row>
    <row r="1145" spans="1:147" x14ac:dyDescent="0.3">
      <c r="A1145" s="9">
        <f>DATE(2021, 6, 7)</f>
        <v>44354</v>
      </c>
      <c r="B1145" s="10">
        <v>71.489999999999995</v>
      </c>
      <c r="C1145" s="10">
        <v>71.11</v>
      </c>
      <c r="D1145" s="10">
        <v>70.58</v>
      </c>
      <c r="E1145" s="10">
        <v>70.069999999999993</v>
      </c>
      <c r="F1145" s="10">
        <v>69.58</v>
      </c>
      <c r="G1145" s="10">
        <v>69.13</v>
      </c>
      <c r="H1145" s="10">
        <v>68.7</v>
      </c>
      <c r="I1145" s="10">
        <v>68.3</v>
      </c>
      <c r="J1145" s="10">
        <v>67.92</v>
      </c>
      <c r="K1145" s="10">
        <v>67.569999999999993</v>
      </c>
      <c r="L1145" s="10">
        <v>67.23</v>
      </c>
      <c r="M1145" s="10">
        <v>66.91</v>
      </c>
      <c r="N1145" s="10">
        <v>69.23</v>
      </c>
      <c r="O1145" s="10">
        <v>69.040000000000006</v>
      </c>
      <c r="P1145" s="10">
        <v>68.59</v>
      </c>
      <c r="Q1145" s="10">
        <v>67.97</v>
      </c>
      <c r="R1145" s="10">
        <v>67.36</v>
      </c>
      <c r="S1145" s="10">
        <v>66.760000000000005</v>
      </c>
      <c r="T1145" s="10">
        <v>66.19</v>
      </c>
      <c r="U1145" s="10">
        <v>65.64</v>
      </c>
      <c r="V1145" s="10">
        <v>65.14</v>
      </c>
      <c r="W1145" s="10">
        <v>64.66</v>
      </c>
      <c r="X1145" s="10">
        <v>64.209999999999994</v>
      </c>
      <c r="Y1145" s="10">
        <v>63.8</v>
      </c>
      <c r="Z1145" s="11">
        <v>69.885000000000005</v>
      </c>
      <c r="AA1145" s="11">
        <v>68.951999999999998</v>
      </c>
      <c r="AB1145" s="11">
        <v>68.227000000000004</v>
      </c>
      <c r="AC1145" s="11">
        <v>67.707999999999998</v>
      </c>
      <c r="AD1145" s="11">
        <v>67.233999999999995</v>
      </c>
      <c r="AE1145" s="11">
        <v>66.790000000000006</v>
      </c>
      <c r="AF1145" s="11">
        <v>66.364999999999995</v>
      </c>
      <c r="AG1145" s="11">
        <v>65.981999999999999</v>
      </c>
      <c r="AH1145" s="11">
        <v>65.623000000000005</v>
      </c>
      <c r="AI1145" s="11">
        <v>65.305000000000007</v>
      </c>
      <c r="AJ1145" s="11">
        <v>64.994</v>
      </c>
      <c r="AK1145" s="11">
        <v>64.676000000000002</v>
      </c>
      <c r="AL1145" s="11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  <c r="DP1145" s="3"/>
      <c r="DQ1145" s="3"/>
      <c r="DR1145" s="3"/>
      <c r="DS1145" s="3"/>
      <c r="DT1145" s="3"/>
      <c r="DU1145" s="3"/>
      <c r="DV1145" s="3"/>
      <c r="DW1145" s="3"/>
      <c r="DX1145" s="3"/>
      <c r="DY1145" s="3"/>
      <c r="DZ1145" s="3"/>
      <c r="EA1145" s="3"/>
      <c r="EB1145" s="3"/>
      <c r="EC1145" s="3"/>
      <c r="ED1145" s="3"/>
      <c r="EE1145" s="3"/>
      <c r="EF1145" s="3"/>
      <c r="EG1145" s="3"/>
      <c r="EH1145" s="3"/>
      <c r="EI1145" s="3"/>
      <c r="EJ1145" s="3"/>
      <c r="EK1145" s="3"/>
      <c r="EL1145" s="3"/>
      <c r="EM1145" s="3"/>
      <c r="EN1145" s="3"/>
      <c r="EO1145" s="3"/>
      <c r="EP1145" s="3"/>
      <c r="EQ1145" s="3"/>
    </row>
    <row r="1146" spans="1:147" x14ac:dyDescent="0.3">
      <c r="A1146" s="9">
        <f>DATE(2021, 6, 8)</f>
        <v>44355</v>
      </c>
      <c r="B1146" s="10">
        <v>72.22</v>
      </c>
      <c r="C1146" s="10">
        <v>71.81</v>
      </c>
      <c r="D1146" s="10">
        <v>71.25</v>
      </c>
      <c r="E1146" s="10">
        <v>70.709999999999994</v>
      </c>
      <c r="F1146" s="10">
        <v>70.180000000000007</v>
      </c>
      <c r="G1146" s="10">
        <v>69.709999999999994</v>
      </c>
      <c r="H1146" s="10">
        <v>69.260000000000005</v>
      </c>
      <c r="I1146" s="10">
        <v>68.849999999999994</v>
      </c>
      <c r="J1146" s="10">
        <v>68.459999999999994</v>
      </c>
      <c r="K1146" s="10">
        <v>68.11</v>
      </c>
      <c r="L1146" s="10">
        <v>67.760000000000005</v>
      </c>
      <c r="M1146" s="10">
        <v>67.44</v>
      </c>
      <c r="N1146" s="10">
        <v>70.05</v>
      </c>
      <c r="O1146" s="10">
        <v>69.87</v>
      </c>
      <c r="P1146" s="10">
        <v>69.400000000000006</v>
      </c>
      <c r="Q1146" s="10">
        <v>68.75</v>
      </c>
      <c r="R1146" s="10">
        <v>68.11</v>
      </c>
      <c r="S1146" s="10">
        <v>67.48</v>
      </c>
      <c r="T1146" s="10">
        <v>66.88</v>
      </c>
      <c r="U1146" s="10">
        <v>66.31</v>
      </c>
      <c r="V1146" s="10">
        <v>65.790000000000006</v>
      </c>
      <c r="W1146" s="10">
        <v>65.3</v>
      </c>
      <c r="X1146" s="10">
        <v>64.83</v>
      </c>
      <c r="Y1146" s="10">
        <v>64.400000000000006</v>
      </c>
      <c r="Z1146" s="11">
        <v>70.322999999999993</v>
      </c>
      <c r="AA1146" s="11">
        <v>69.625</v>
      </c>
      <c r="AB1146" s="11">
        <v>68.885000000000005</v>
      </c>
      <c r="AC1146" s="11">
        <v>68.344999999999999</v>
      </c>
      <c r="AD1146" s="11">
        <v>67.828000000000003</v>
      </c>
      <c r="AE1146" s="11">
        <v>67.37</v>
      </c>
      <c r="AF1146" s="11">
        <v>66.944000000000003</v>
      </c>
      <c r="AG1146" s="11">
        <v>66.551000000000002</v>
      </c>
      <c r="AH1146" s="11">
        <v>66.162999999999997</v>
      </c>
      <c r="AI1146" s="11">
        <v>65.844999999999999</v>
      </c>
      <c r="AJ1146" s="11">
        <v>65.524000000000001</v>
      </c>
      <c r="AK1146" s="11">
        <v>65.206000000000003</v>
      </c>
      <c r="AL1146" s="11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  <c r="DG1146" s="3"/>
      <c r="DH1146" s="3"/>
      <c r="DI1146" s="3"/>
      <c r="DJ1146" s="3"/>
      <c r="DK1146" s="3"/>
      <c r="DL1146" s="3"/>
      <c r="DM1146" s="3"/>
      <c r="DN1146" s="3"/>
      <c r="DO1146" s="3"/>
      <c r="DP1146" s="3"/>
      <c r="DQ1146" s="3"/>
      <c r="DR1146" s="3"/>
      <c r="DS1146" s="3"/>
      <c r="DT1146" s="3"/>
      <c r="DU1146" s="3"/>
      <c r="DV1146" s="3"/>
      <c r="DW1146" s="3"/>
      <c r="DX1146" s="3"/>
      <c r="DY1146" s="3"/>
      <c r="DZ1146" s="3"/>
      <c r="EA1146" s="3"/>
      <c r="EB1146" s="3"/>
      <c r="EC1146" s="3"/>
      <c r="ED1146" s="3"/>
      <c r="EE1146" s="3"/>
      <c r="EF1146" s="3"/>
      <c r="EG1146" s="3"/>
      <c r="EH1146" s="3"/>
      <c r="EI1146" s="3"/>
      <c r="EJ1146" s="3"/>
      <c r="EK1146" s="3"/>
      <c r="EL1146" s="3"/>
      <c r="EM1146" s="3"/>
      <c r="EN1146" s="3"/>
      <c r="EO1146" s="3"/>
      <c r="EP1146" s="3"/>
      <c r="EQ1146" s="3"/>
    </row>
    <row r="1147" spans="1:147" x14ac:dyDescent="0.3">
      <c r="A1147" s="9">
        <f>DATE(2021, 6, 9)</f>
        <v>44356</v>
      </c>
      <c r="B1147" s="10">
        <v>72.22</v>
      </c>
      <c r="C1147" s="10">
        <v>71.75</v>
      </c>
      <c r="D1147" s="10">
        <v>71.17</v>
      </c>
      <c r="E1147" s="10">
        <v>70.62</v>
      </c>
      <c r="F1147" s="10">
        <v>70.099999999999994</v>
      </c>
      <c r="G1147" s="10">
        <v>69.63</v>
      </c>
      <c r="H1147" s="10">
        <v>69.19</v>
      </c>
      <c r="I1147" s="10">
        <v>68.78</v>
      </c>
      <c r="J1147" s="10">
        <v>68.400000000000006</v>
      </c>
      <c r="K1147" s="10">
        <v>68.05</v>
      </c>
      <c r="L1147" s="10">
        <v>67.7</v>
      </c>
      <c r="M1147" s="10">
        <v>67.39</v>
      </c>
      <c r="N1147" s="10">
        <v>69.959999999999994</v>
      </c>
      <c r="O1147" s="10">
        <v>69.790000000000006</v>
      </c>
      <c r="P1147" s="10">
        <v>69.33</v>
      </c>
      <c r="Q1147" s="10">
        <v>68.680000000000007</v>
      </c>
      <c r="R1147" s="10">
        <v>68.05</v>
      </c>
      <c r="S1147" s="10">
        <v>67.44</v>
      </c>
      <c r="T1147" s="10">
        <v>66.86</v>
      </c>
      <c r="U1147" s="10">
        <v>66.31</v>
      </c>
      <c r="V1147" s="10">
        <v>65.8</v>
      </c>
      <c r="W1147" s="10">
        <v>65.319999999999993</v>
      </c>
      <c r="X1147" s="10">
        <v>64.87</v>
      </c>
      <c r="Y1147" s="10">
        <v>64.45</v>
      </c>
      <c r="Z1147" s="11">
        <v>70.344999999999999</v>
      </c>
      <c r="AA1147" s="11">
        <v>69.653999999999996</v>
      </c>
      <c r="AB1147" s="11">
        <v>68.864999999999995</v>
      </c>
      <c r="AC1147" s="11">
        <v>68.275999999999996</v>
      </c>
      <c r="AD1147" s="11">
        <v>67.768000000000001</v>
      </c>
      <c r="AE1147" s="11">
        <v>67.3</v>
      </c>
      <c r="AF1147" s="11">
        <v>66.853999999999999</v>
      </c>
      <c r="AG1147" s="11">
        <v>66.432000000000002</v>
      </c>
      <c r="AH1147" s="11">
        <v>66.093000000000004</v>
      </c>
      <c r="AI1147" s="11">
        <v>65.765000000000001</v>
      </c>
      <c r="AJ1147" s="11">
        <v>65.465000000000003</v>
      </c>
      <c r="AK1147" s="11">
        <v>65.156000000000006</v>
      </c>
      <c r="AL1147" s="11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  <c r="DG1147" s="3"/>
      <c r="DH1147" s="3"/>
      <c r="DI1147" s="3"/>
      <c r="DJ1147" s="3"/>
      <c r="DK1147" s="3"/>
      <c r="DL1147" s="3"/>
      <c r="DM1147" s="3"/>
      <c r="DN1147" s="3"/>
      <c r="DO1147" s="3"/>
      <c r="DP1147" s="3"/>
      <c r="DQ1147" s="3"/>
      <c r="DR1147" s="3"/>
      <c r="DS1147" s="3"/>
      <c r="DT1147" s="3"/>
      <c r="DU1147" s="3"/>
      <c r="DV1147" s="3"/>
      <c r="DW1147" s="3"/>
      <c r="DX1147" s="3"/>
      <c r="DY1147" s="3"/>
      <c r="DZ1147" s="3"/>
      <c r="EA1147" s="3"/>
      <c r="EB1147" s="3"/>
      <c r="EC1147" s="3"/>
      <c r="ED1147" s="3"/>
      <c r="EE1147" s="3"/>
      <c r="EF1147" s="3"/>
      <c r="EG1147" s="3"/>
      <c r="EH1147" s="3"/>
      <c r="EI1147" s="3"/>
      <c r="EJ1147" s="3"/>
      <c r="EK1147" s="3"/>
      <c r="EL1147" s="3"/>
      <c r="EM1147" s="3"/>
      <c r="EN1147" s="3"/>
      <c r="EO1147" s="3"/>
      <c r="EP1147" s="3"/>
      <c r="EQ1147" s="3"/>
    </row>
    <row r="1148" spans="1:147" x14ac:dyDescent="0.3">
      <c r="A1148" s="9">
        <f>DATE(2021, 6, 10)</f>
        <v>44357</v>
      </c>
      <c r="B1148" s="10">
        <v>72.52</v>
      </c>
      <c r="C1148" s="10">
        <v>71.98</v>
      </c>
      <c r="D1148" s="10">
        <v>71.37</v>
      </c>
      <c r="E1148" s="10">
        <v>70.8</v>
      </c>
      <c r="F1148" s="10">
        <v>70.260000000000005</v>
      </c>
      <c r="G1148" s="10">
        <v>69.78</v>
      </c>
      <c r="H1148" s="10">
        <v>69.34</v>
      </c>
      <c r="I1148" s="10">
        <v>68.92</v>
      </c>
      <c r="J1148" s="10">
        <v>68.540000000000006</v>
      </c>
      <c r="K1148" s="10">
        <v>68.180000000000007</v>
      </c>
      <c r="L1148" s="10">
        <v>67.83</v>
      </c>
      <c r="M1148" s="10">
        <v>67.5</v>
      </c>
      <c r="N1148" s="10">
        <v>70.290000000000006</v>
      </c>
      <c r="O1148" s="10">
        <v>70.09</v>
      </c>
      <c r="P1148" s="10">
        <v>69.58</v>
      </c>
      <c r="Q1148" s="10">
        <v>68.89</v>
      </c>
      <c r="R1148" s="10">
        <v>68.239999999999995</v>
      </c>
      <c r="S1148" s="10">
        <v>67.61</v>
      </c>
      <c r="T1148" s="10">
        <v>67.02</v>
      </c>
      <c r="U1148" s="10">
        <v>66.47</v>
      </c>
      <c r="V1148" s="10">
        <v>65.959999999999994</v>
      </c>
      <c r="W1148" s="10">
        <v>65.47</v>
      </c>
      <c r="X1148" s="10">
        <v>65.02</v>
      </c>
      <c r="Y1148" s="10">
        <v>64.599999999999994</v>
      </c>
      <c r="Z1148" s="11">
        <v>70.492999999999995</v>
      </c>
      <c r="AA1148" s="11">
        <v>69.861999999999995</v>
      </c>
      <c r="AB1148" s="11">
        <v>69.063999999999993</v>
      </c>
      <c r="AC1148" s="11">
        <v>68.454999999999998</v>
      </c>
      <c r="AD1148" s="11">
        <v>67.917000000000002</v>
      </c>
      <c r="AE1148" s="11">
        <v>67.45</v>
      </c>
      <c r="AF1148" s="11">
        <v>67.003</v>
      </c>
      <c r="AG1148" s="11">
        <v>66.572000000000003</v>
      </c>
      <c r="AH1148" s="11">
        <v>66.231999999999999</v>
      </c>
      <c r="AI1148" s="11">
        <v>65.894999999999996</v>
      </c>
      <c r="AJ1148" s="11">
        <v>65.593999999999994</v>
      </c>
      <c r="AK1148" s="11">
        <v>65.266000000000005</v>
      </c>
      <c r="AL1148" s="11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  <c r="DG1148" s="3"/>
      <c r="DH1148" s="3"/>
      <c r="DI1148" s="3"/>
      <c r="DJ1148" s="3"/>
      <c r="DK1148" s="3"/>
      <c r="DL1148" s="3"/>
      <c r="DM1148" s="3"/>
      <c r="DN1148" s="3"/>
      <c r="DO1148" s="3"/>
      <c r="DP1148" s="3"/>
      <c r="DQ1148" s="3"/>
      <c r="DR1148" s="3"/>
      <c r="DS1148" s="3"/>
      <c r="DT1148" s="3"/>
      <c r="DU1148" s="3"/>
      <c r="DV1148" s="3"/>
      <c r="DW1148" s="3"/>
      <c r="DX1148" s="3"/>
      <c r="DY1148" s="3"/>
      <c r="DZ1148" s="3"/>
      <c r="EA1148" s="3"/>
      <c r="EB1148" s="3"/>
      <c r="EC1148" s="3"/>
      <c r="ED1148" s="3"/>
      <c r="EE1148" s="3"/>
      <c r="EF1148" s="3"/>
      <c r="EG1148" s="3"/>
      <c r="EH1148" s="3"/>
      <c r="EI1148" s="3"/>
      <c r="EJ1148" s="3"/>
      <c r="EK1148" s="3"/>
      <c r="EL1148" s="3"/>
      <c r="EM1148" s="3"/>
      <c r="EN1148" s="3"/>
      <c r="EO1148" s="3"/>
      <c r="EP1148" s="3"/>
      <c r="EQ1148" s="3"/>
    </row>
    <row r="1149" spans="1:147" x14ac:dyDescent="0.3">
      <c r="A1149" s="9">
        <f>DATE(2021, 6, 11)</f>
        <v>44358</v>
      </c>
      <c r="B1149" s="10">
        <v>72.69</v>
      </c>
      <c r="C1149" s="10">
        <v>72.11</v>
      </c>
      <c r="D1149" s="10">
        <v>71.47</v>
      </c>
      <c r="E1149" s="10">
        <v>70.89</v>
      </c>
      <c r="F1149" s="10">
        <v>70.36</v>
      </c>
      <c r="G1149" s="10">
        <v>69.88</v>
      </c>
      <c r="H1149" s="10">
        <v>69.44</v>
      </c>
      <c r="I1149" s="10">
        <v>69.02</v>
      </c>
      <c r="J1149" s="10">
        <v>68.63</v>
      </c>
      <c r="K1149" s="10">
        <v>68.260000000000005</v>
      </c>
      <c r="L1149" s="10">
        <v>67.900000000000006</v>
      </c>
      <c r="M1149" s="10">
        <v>67.569999999999993</v>
      </c>
      <c r="N1149" s="10">
        <v>70.91</v>
      </c>
      <c r="O1149" s="10">
        <v>70.599999999999994</v>
      </c>
      <c r="P1149" s="10">
        <v>69.92</v>
      </c>
      <c r="Q1149" s="10">
        <v>69.16</v>
      </c>
      <c r="R1149" s="10">
        <v>68.48</v>
      </c>
      <c r="S1149" s="10">
        <v>67.84</v>
      </c>
      <c r="T1149" s="10">
        <v>67.239999999999995</v>
      </c>
      <c r="U1149" s="10">
        <v>66.680000000000007</v>
      </c>
      <c r="V1149" s="10">
        <v>66.17</v>
      </c>
      <c r="W1149" s="10">
        <v>65.67</v>
      </c>
      <c r="X1149" s="10">
        <v>65.2</v>
      </c>
      <c r="Y1149" s="10">
        <v>64.760000000000005</v>
      </c>
      <c r="Z1149" s="11">
        <v>70.656000000000006</v>
      </c>
      <c r="AA1149" s="11">
        <v>70.100999999999999</v>
      </c>
      <c r="AB1149" s="11">
        <v>69.263999999999996</v>
      </c>
      <c r="AC1149" s="11">
        <v>68.600999999999999</v>
      </c>
      <c r="AD1149" s="11">
        <v>68.061000000000007</v>
      </c>
      <c r="AE1149" s="11">
        <v>67.566999999999993</v>
      </c>
      <c r="AF1149" s="11">
        <v>67.123000000000005</v>
      </c>
      <c r="AG1149" s="11">
        <v>66.700999999999993</v>
      </c>
      <c r="AH1149" s="11">
        <v>66.322000000000003</v>
      </c>
      <c r="AI1149" s="11">
        <v>65.974000000000004</v>
      </c>
      <c r="AJ1149" s="11">
        <v>65.664000000000001</v>
      </c>
      <c r="AK1149" s="11">
        <v>65.334999999999994</v>
      </c>
      <c r="AL1149" s="11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  <c r="DG1149" s="3"/>
      <c r="DH1149" s="3"/>
      <c r="DI1149" s="3"/>
      <c r="DJ1149" s="3"/>
      <c r="DK1149" s="3"/>
      <c r="DL1149" s="3"/>
      <c r="DM1149" s="3"/>
      <c r="DN1149" s="3"/>
      <c r="DO1149" s="3"/>
      <c r="DP1149" s="3"/>
      <c r="DQ1149" s="3"/>
      <c r="DR1149" s="3"/>
      <c r="DS1149" s="3"/>
      <c r="DT1149" s="3"/>
      <c r="DU1149" s="3"/>
      <c r="DV1149" s="3"/>
      <c r="DW1149" s="3"/>
      <c r="DX1149" s="3"/>
      <c r="DY1149" s="3"/>
      <c r="DZ1149" s="3"/>
      <c r="EA1149" s="3"/>
      <c r="EB1149" s="3"/>
      <c r="EC1149" s="3"/>
      <c r="ED1149" s="3"/>
      <c r="EE1149" s="3"/>
      <c r="EF1149" s="3"/>
      <c r="EG1149" s="3"/>
      <c r="EH1149" s="3"/>
      <c r="EI1149" s="3"/>
      <c r="EJ1149" s="3"/>
      <c r="EK1149" s="3"/>
      <c r="EL1149" s="3"/>
      <c r="EM1149" s="3"/>
      <c r="EN1149" s="3"/>
      <c r="EO1149" s="3"/>
      <c r="EP1149" s="3"/>
      <c r="EQ1149" s="3"/>
    </row>
    <row r="1150" spans="1:147" x14ac:dyDescent="0.3">
      <c r="A1150" s="9">
        <f>DATE(2021, 6, 14)</f>
        <v>44361</v>
      </c>
      <c r="B1150" s="10">
        <v>72.86</v>
      </c>
      <c r="C1150" s="10">
        <v>72.290000000000006</v>
      </c>
      <c r="D1150" s="10">
        <v>71.63</v>
      </c>
      <c r="E1150" s="10">
        <v>71.05</v>
      </c>
      <c r="F1150" s="10">
        <v>70.510000000000005</v>
      </c>
      <c r="G1150" s="10">
        <v>70.02</v>
      </c>
      <c r="H1150" s="10">
        <v>69.569999999999993</v>
      </c>
      <c r="I1150" s="10">
        <v>69.14</v>
      </c>
      <c r="J1150" s="10">
        <v>68.739999999999995</v>
      </c>
      <c r="K1150" s="10">
        <v>68.349999999999994</v>
      </c>
      <c r="L1150" s="10">
        <v>67.98</v>
      </c>
      <c r="M1150" s="10">
        <v>67.63</v>
      </c>
      <c r="N1150" s="10">
        <v>70.88</v>
      </c>
      <c r="O1150" s="10">
        <v>70.63</v>
      </c>
      <c r="P1150" s="10">
        <v>70</v>
      </c>
      <c r="Q1150" s="10">
        <v>69.290000000000006</v>
      </c>
      <c r="R1150" s="10">
        <v>68.63</v>
      </c>
      <c r="S1150" s="10">
        <v>68</v>
      </c>
      <c r="T1150" s="10">
        <v>67.41</v>
      </c>
      <c r="U1150" s="10">
        <v>66.849999999999994</v>
      </c>
      <c r="V1150" s="10">
        <v>66.319999999999993</v>
      </c>
      <c r="W1150" s="10">
        <v>65.819999999999993</v>
      </c>
      <c r="X1150" s="10">
        <v>65.34</v>
      </c>
      <c r="Y1150" s="10">
        <v>64.89</v>
      </c>
      <c r="Z1150" s="11">
        <v>70.863</v>
      </c>
      <c r="AA1150" s="11">
        <v>70.319999999999993</v>
      </c>
      <c r="AB1150" s="11">
        <v>69.435000000000002</v>
      </c>
      <c r="AC1150" s="11">
        <v>68.734999999999999</v>
      </c>
      <c r="AD1150" s="11">
        <v>68.183000000000007</v>
      </c>
      <c r="AE1150" s="11">
        <v>67.682000000000002</v>
      </c>
      <c r="AF1150" s="11">
        <v>67.210999999999999</v>
      </c>
      <c r="AG1150" s="11">
        <v>66.790999999999997</v>
      </c>
      <c r="AH1150" s="11">
        <v>66.421000000000006</v>
      </c>
      <c r="AI1150" s="11">
        <v>66.054000000000002</v>
      </c>
      <c r="AJ1150" s="11">
        <v>65.703000000000003</v>
      </c>
      <c r="AK1150" s="11">
        <v>65.394999999999996</v>
      </c>
      <c r="AL1150" s="11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  <c r="DG1150" s="3"/>
      <c r="DH1150" s="3"/>
      <c r="DI1150" s="3"/>
      <c r="DJ1150" s="3"/>
      <c r="DK1150" s="3"/>
      <c r="DL1150" s="3"/>
      <c r="DM1150" s="3"/>
      <c r="DN1150" s="3"/>
      <c r="DO1150" s="3"/>
      <c r="DP1150" s="3"/>
      <c r="DQ1150" s="3"/>
      <c r="DR1150" s="3"/>
      <c r="DS1150" s="3"/>
      <c r="DT1150" s="3"/>
      <c r="DU1150" s="3"/>
      <c r="DV1150" s="3"/>
      <c r="DW1150" s="3"/>
      <c r="DX1150" s="3"/>
      <c r="DY1150" s="3"/>
      <c r="DZ1150" s="3"/>
      <c r="EA1150" s="3"/>
      <c r="EB1150" s="3"/>
      <c r="EC1150" s="3"/>
      <c r="ED1150" s="3"/>
      <c r="EE1150" s="3"/>
      <c r="EF1150" s="3"/>
      <c r="EG1150" s="3"/>
      <c r="EH1150" s="3"/>
      <c r="EI1150" s="3"/>
      <c r="EJ1150" s="3"/>
      <c r="EK1150" s="3"/>
      <c r="EL1150" s="3"/>
      <c r="EM1150" s="3"/>
      <c r="EN1150" s="3"/>
      <c r="EO1150" s="3"/>
      <c r="EP1150" s="3"/>
      <c r="EQ1150" s="3"/>
    </row>
    <row r="1151" spans="1:147" x14ac:dyDescent="0.3">
      <c r="A1151" s="9">
        <f>DATE(2021, 6, 15)</f>
        <v>44362</v>
      </c>
      <c r="B1151" s="10">
        <v>73.989999999999995</v>
      </c>
      <c r="C1151" s="10">
        <v>73.3</v>
      </c>
      <c r="D1151" s="10">
        <v>72.59</v>
      </c>
      <c r="E1151" s="10">
        <v>71.95</v>
      </c>
      <c r="F1151" s="10">
        <v>71.37</v>
      </c>
      <c r="G1151" s="10">
        <v>70.83</v>
      </c>
      <c r="H1151" s="10">
        <v>70.33</v>
      </c>
      <c r="I1151" s="10">
        <v>69.86</v>
      </c>
      <c r="J1151" s="10">
        <v>69.42</v>
      </c>
      <c r="K1151" s="10">
        <v>69</v>
      </c>
      <c r="L1151" s="10">
        <v>68.59</v>
      </c>
      <c r="M1151" s="10">
        <v>68.22</v>
      </c>
      <c r="N1151" s="10">
        <v>72.12</v>
      </c>
      <c r="O1151" s="10">
        <v>71.86</v>
      </c>
      <c r="P1151" s="10">
        <v>71.14</v>
      </c>
      <c r="Q1151" s="10">
        <v>70.319999999999993</v>
      </c>
      <c r="R1151" s="10">
        <v>69.58</v>
      </c>
      <c r="S1151" s="10">
        <v>68.88</v>
      </c>
      <c r="T1151" s="10">
        <v>68.22</v>
      </c>
      <c r="U1151" s="10">
        <v>67.599999999999994</v>
      </c>
      <c r="V1151" s="10">
        <v>67.02</v>
      </c>
      <c r="W1151" s="10">
        <v>66.48</v>
      </c>
      <c r="X1151" s="10">
        <v>65.959999999999994</v>
      </c>
      <c r="Y1151" s="10">
        <v>65.48</v>
      </c>
      <c r="Z1151" s="11">
        <v>71.388999999999996</v>
      </c>
      <c r="AA1151" s="11">
        <v>71.337999999999994</v>
      </c>
      <c r="AB1151" s="11">
        <v>70.411000000000001</v>
      </c>
      <c r="AC1151" s="11">
        <v>69.664000000000001</v>
      </c>
      <c r="AD1151" s="11">
        <v>69.063999999999993</v>
      </c>
      <c r="AE1151" s="11">
        <v>68.527000000000001</v>
      </c>
      <c r="AF1151" s="11">
        <v>67.998999999999995</v>
      </c>
      <c r="AG1151" s="11">
        <v>67.539000000000001</v>
      </c>
      <c r="AH1151" s="11">
        <v>67.099000000000004</v>
      </c>
      <c r="AI1151" s="11">
        <v>66.682000000000002</v>
      </c>
      <c r="AJ1151" s="11">
        <v>66.281999999999996</v>
      </c>
      <c r="AK1151" s="11">
        <v>65.903000000000006</v>
      </c>
      <c r="AL1151" s="11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  <c r="DG1151" s="3"/>
      <c r="DH1151" s="3"/>
      <c r="DI1151" s="3"/>
      <c r="DJ1151" s="3"/>
      <c r="DK1151" s="3"/>
      <c r="DL1151" s="3"/>
      <c r="DM1151" s="3"/>
      <c r="DN1151" s="3"/>
      <c r="DO1151" s="3"/>
      <c r="DP1151" s="3"/>
      <c r="DQ1151" s="3"/>
      <c r="DR1151" s="3"/>
      <c r="DS1151" s="3"/>
      <c r="DT1151" s="3"/>
      <c r="DU1151" s="3"/>
      <c r="DV1151" s="3"/>
      <c r="DW1151" s="3"/>
      <c r="DX1151" s="3"/>
      <c r="DY1151" s="3"/>
      <c r="DZ1151" s="3"/>
      <c r="EA1151" s="3"/>
      <c r="EB1151" s="3"/>
      <c r="EC1151" s="3"/>
      <c r="ED1151" s="3"/>
      <c r="EE1151" s="3"/>
      <c r="EF1151" s="3"/>
      <c r="EG1151" s="3"/>
      <c r="EH1151" s="3"/>
      <c r="EI1151" s="3"/>
      <c r="EJ1151" s="3"/>
      <c r="EK1151" s="3"/>
      <c r="EL1151" s="3"/>
      <c r="EM1151" s="3"/>
      <c r="EN1151" s="3"/>
      <c r="EO1151" s="3"/>
      <c r="EP1151" s="3"/>
      <c r="EQ1151" s="3"/>
    </row>
    <row r="1152" spans="1:147" x14ac:dyDescent="0.3">
      <c r="A1152" s="9">
        <f>DATE(2021, 6, 16)</f>
        <v>44363</v>
      </c>
      <c r="B1152" s="10">
        <v>74.39</v>
      </c>
      <c r="C1152" s="10">
        <v>73.59</v>
      </c>
      <c r="D1152" s="10">
        <v>72.84</v>
      </c>
      <c r="E1152" s="10">
        <v>72.180000000000007</v>
      </c>
      <c r="F1152" s="10">
        <v>71.599999999999994</v>
      </c>
      <c r="G1152" s="10">
        <v>71.069999999999993</v>
      </c>
      <c r="H1152" s="10">
        <v>70.569999999999993</v>
      </c>
      <c r="I1152" s="10">
        <v>70.11</v>
      </c>
      <c r="J1152" s="10">
        <v>69.66</v>
      </c>
      <c r="K1152" s="10">
        <v>69.239999999999995</v>
      </c>
      <c r="L1152" s="10">
        <v>68.83</v>
      </c>
      <c r="M1152" s="10">
        <v>68.45</v>
      </c>
      <c r="N1152" s="10">
        <v>72.150000000000006</v>
      </c>
      <c r="O1152" s="10">
        <v>71.95</v>
      </c>
      <c r="P1152" s="10">
        <v>71.27</v>
      </c>
      <c r="Q1152" s="10">
        <v>70.47</v>
      </c>
      <c r="R1152" s="10">
        <v>69.709999999999994</v>
      </c>
      <c r="S1152" s="10">
        <v>69.02</v>
      </c>
      <c r="T1152" s="10">
        <v>68.36</v>
      </c>
      <c r="U1152" s="10">
        <v>67.739999999999995</v>
      </c>
      <c r="V1152" s="10">
        <v>67.16</v>
      </c>
      <c r="W1152" s="10">
        <v>66.61</v>
      </c>
      <c r="X1152" s="10">
        <v>66.099999999999994</v>
      </c>
      <c r="Y1152" s="10">
        <v>65.62</v>
      </c>
      <c r="Z1152" s="11">
        <v>71.513000000000005</v>
      </c>
      <c r="AA1152" s="11">
        <v>71.555999999999997</v>
      </c>
      <c r="AB1152" s="11">
        <v>70.650000000000006</v>
      </c>
      <c r="AC1152" s="11">
        <v>69.894000000000005</v>
      </c>
      <c r="AD1152" s="11">
        <v>69.275000000000006</v>
      </c>
      <c r="AE1152" s="11">
        <v>68.716999999999999</v>
      </c>
      <c r="AF1152" s="11">
        <v>68.180000000000007</v>
      </c>
      <c r="AG1152" s="11">
        <v>67.728999999999999</v>
      </c>
      <c r="AH1152" s="11">
        <v>67.289000000000001</v>
      </c>
      <c r="AI1152" s="11">
        <v>66.872</v>
      </c>
      <c r="AJ1152" s="11">
        <v>66.480999999999995</v>
      </c>
      <c r="AK1152" s="11">
        <v>66.103999999999999</v>
      </c>
      <c r="AL1152" s="11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  <c r="DG1152" s="3"/>
      <c r="DH1152" s="3"/>
      <c r="DI1152" s="3"/>
      <c r="DJ1152" s="3"/>
      <c r="DK1152" s="3"/>
      <c r="DL1152" s="3"/>
      <c r="DM1152" s="3"/>
      <c r="DN1152" s="3"/>
      <c r="DO1152" s="3"/>
      <c r="DP1152" s="3"/>
      <c r="DQ1152" s="3"/>
      <c r="DR1152" s="3"/>
      <c r="DS1152" s="3"/>
      <c r="DT1152" s="3"/>
      <c r="DU1152" s="3"/>
      <c r="DV1152" s="3"/>
      <c r="DW1152" s="3"/>
      <c r="DX1152" s="3"/>
      <c r="DY1152" s="3"/>
      <c r="DZ1152" s="3"/>
      <c r="EA1152" s="3"/>
      <c r="EB1152" s="3"/>
      <c r="EC1152" s="3"/>
      <c r="ED1152" s="3"/>
      <c r="EE1152" s="3"/>
      <c r="EF1152" s="3"/>
      <c r="EG1152" s="3"/>
      <c r="EH1152" s="3"/>
      <c r="EI1152" s="3"/>
      <c r="EJ1152" s="3"/>
      <c r="EK1152" s="3"/>
      <c r="EL1152" s="3"/>
      <c r="EM1152" s="3"/>
      <c r="EN1152" s="3"/>
      <c r="EO1152" s="3"/>
      <c r="EP1152" s="3"/>
      <c r="EQ1152" s="3"/>
    </row>
    <row r="1153" spans="1:147" x14ac:dyDescent="0.3">
      <c r="A1153" s="9">
        <f>DATE(2021, 6, 17)</f>
        <v>44364</v>
      </c>
      <c r="B1153" s="10">
        <v>73.08</v>
      </c>
      <c r="C1153" s="10">
        <v>72.290000000000006</v>
      </c>
      <c r="D1153" s="10">
        <v>71.52</v>
      </c>
      <c r="E1153" s="10">
        <v>70.849999999999994</v>
      </c>
      <c r="F1153" s="10">
        <v>70.27</v>
      </c>
      <c r="G1153" s="10">
        <v>69.739999999999995</v>
      </c>
      <c r="H1153" s="10">
        <v>69.25</v>
      </c>
      <c r="I1153" s="10">
        <v>68.8</v>
      </c>
      <c r="J1153" s="10">
        <v>68.36</v>
      </c>
      <c r="K1153" s="10">
        <v>67.95</v>
      </c>
      <c r="L1153" s="10">
        <v>67.56</v>
      </c>
      <c r="M1153" s="10">
        <v>67.19</v>
      </c>
      <c r="N1153" s="10">
        <v>71.040000000000006</v>
      </c>
      <c r="O1153" s="10">
        <v>70.78</v>
      </c>
      <c r="P1153" s="10">
        <v>70.03</v>
      </c>
      <c r="Q1153" s="10">
        <v>69.180000000000007</v>
      </c>
      <c r="R1153" s="10">
        <v>68.41</v>
      </c>
      <c r="S1153" s="10">
        <v>67.72</v>
      </c>
      <c r="T1153" s="10">
        <v>67.06</v>
      </c>
      <c r="U1153" s="10">
        <v>66.45</v>
      </c>
      <c r="V1153" s="10">
        <v>65.88</v>
      </c>
      <c r="W1153" s="10">
        <v>65.34</v>
      </c>
      <c r="X1153" s="10">
        <v>64.84</v>
      </c>
      <c r="Y1153" s="10">
        <v>64.38</v>
      </c>
      <c r="Z1153" s="11">
        <v>70.95</v>
      </c>
      <c r="AA1153" s="11">
        <v>70.234999999999999</v>
      </c>
      <c r="AB1153" s="11">
        <v>69.28</v>
      </c>
      <c r="AC1153" s="11">
        <v>68.513999999999996</v>
      </c>
      <c r="AD1153" s="11">
        <v>67.894999999999996</v>
      </c>
      <c r="AE1153" s="11">
        <v>67.347999999999999</v>
      </c>
      <c r="AF1153" s="11">
        <v>66.820999999999998</v>
      </c>
      <c r="AG1153" s="11">
        <v>66.358999999999995</v>
      </c>
      <c r="AH1153" s="11">
        <v>65.95</v>
      </c>
      <c r="AI1153" s="11">
        <v>65.543000000000006</v>
      </c>
      <c r="AJ1153" s="11">
        <v>65.152000000000001</v>
      </c>
      <c r="AK1153" s="11">
        <v>64.774000000000001</v>
      </c>
      <c r="AL1153" s="11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  <c r="DG1153" s="3"/>
      <c r="DH1153" s="3"/>
      <c r="DI1153" s="3"/>
      <c r="DJ1153" s="3"/>
      <c r="DK1153" s="3"/>
      <c r="DL1153" s="3"/>
      <c r="DM1153" s="3"/>
      <c r="DN1153" s="3"/>
      <c r="DO1153" s="3"/>
      <c r="DP1153" s="3"/>
      <c r="DQ1153" s="3"/>
      <c r="DR1153" s="3"/>
      <c r="DS1153" s="3"/>
      <c r="DT1153" s="3"/>
      <c r="DU1153" s="3"/>
      <c r="DV1153" s="3"/>
      <c r="DW1153" s="3"/>
      <c r="DX1153" s="3"/>
      <c r="DY1153" s="3"/>
      <c r="DZ1153" s="3"/>
      <c r="EA1153" s="3"/>
      <c r="EB1153" s="3"/>
      <c r="EC1153" s="3"/>
      <c r="ED1153" s="3"/>
      <c r="EE1153" s="3"/>
      <c r="EF1153" s="3"/>
      <c r="EG1153" s="3"/>
      <c r="EH1153" s="3"/>
      <c r="EI1153" s="3"/>
      <c r="EJ1153" s="3"/>
      <c r="EK1153" s="3"/>
      <c r="EL1153" s="3"/>
      <c r="EM1153" s="3"/>
      <c r="EN1153" s="3"/>
      <c r="EO1153" s="3"/>
      <c r="EP1153" s="3"/>
      <c r="EQ1153" s="3"/>
    </row>
    <row r="1154" spans="1:147" x14ac:dyDescent="0.3">
      <c r="A1154" s="9">
        <f>DATE(2021, 6, 18)</f>
        <v>44365</v>
      </c>
      <c r="B1154" s="10">
        <v>73.510000000000005</v>
      </c>
      <c r="C1154" s="10">
        <v>72.73</v>
      </c>
      <c r="D1154" s="10">
        <v>71.92</v>
      </c>
      <c r="E1154" s="10">
        <v>71.23</v>
      </c>
      <c r="F1154" s="10">
        <v>70.63</v>
      </c>
      <c r="G1154" s="10">
        <v>70.09</v>
      </c>
      <c r="H1154" s="10">
        <v>69.59</v>
      </c>
      <c r="I1154" s="10">
        <v>69.14</v>
      </c>
      <c r="J1154" s="10">
        <v>68.7</v>
      </c>
      <c r="K1154" s="10">
        <v>68.290000000000006</v>
      </c>
      <c r="L1154" s="10">
        <v>67.88</v>
      </c>
      <c r="M1154" s="10">
        <v>67.52</v>
      </c>
      <c r="N1154" s="10">
        <v>71.64</v>
      </c>
      <c r="O1154" s="10">
        <v>71.290000000000006</v>
      </c>
      <c r="P1154" s="10">
        <v>70.45</v>
      </c>
      <c r="Q1154" s="10">
        <v>69.56</v>
      </c>
      <c r="R1154" s="10">
        <v>68.77</v>
      </c>
      <c r="S1154" s="10">
        <v>68.069999999999993</v>
      </c>
      <c r="T1154" s="10">
        <v>67.400000000000006</v>
      </c>
      <c r="U1154" s="10">
        <v>66.78</v>
      </c>
      <c r="V1154" s="10">
        <v>66.209999999999994</v>
      </c>
      <c r="W1154" s="10">
        <v>65.680000000000007</v>
      </c>
      <c r="X1154" s="10">
        <v>65.180000000000007</v>
      </c>
      <c r="Y1154" s="10">
        <v>64.72</v>
      </c>
      <c r="Z1154" s="11">
        <v>71.108999999999995</v>
      </c>
      <c r="AA1154" s="11">
        <v>70.623000000000005</v>
      </c>
      <c r="AB1154" s="11">
        <v>69.649000000000001</v>
      </c>
      <c r="AC1154" s="11">
        <v>68.873000000000005</v>
      </c>
      <c r="AD1154" s="11">
        <v>68.233999999999995</v>
      </c>
      <c r="AE1154" s="11">
        <v>67.677000000000007</v>
      </c>
      <c r="AF1154" s="11">
        <v>67.141000000000005</v>
      </c>
      <c r="AG1154" s="11">
        <v>66.668999999999997</v>
      </c>
      <c r="AH1154" s="11">
        <v>66.239999999999995</v>
      </c>
      <c r="AI1154" s="11">
        <v>65.822000000000003</v>
      </c>
      <c r="AJ1154" s="11">
        <v>65.451999999999998</v>
      </c>
      <c r="AK1154" s="11">
        <v>65.084000000000003</v>
      </c>
      <c r="AL1154" s="11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  <c r="DG1154" s="3"/>
      <c r="DH1154" s="3"/>
      <c r="DI1154" s="3"/>
      <c r="DJ1154" s="3"/>
      <c r="DK1154" s="3"/>
      <c r="DL1154" s="3"/>
      <c r="DM1154" s="3"/>
      <c r="DN1154" s="3"/>
      <c r="DO1154" s="3"/>
      <c r="DP1154" s="3"/>
      <c r="DQ1154" s="3"/>
      <c r="DR1154" s="3"/>
      <c r="DS1154" s="3"/>
      <c r="DT1154" s="3"/>
      <c r="DU1154" s="3"/>
      <c r="DV1154" s="3"/>
      <c r="DW1154" s="3"/>
      <c r="DX1154" s="3"/>
      <c r="DY1154" s="3"/>
      <c r="DZ1154" s="3"/>
      <c r="EA1154" s="3"/>
      <c r="EB1154" s="3"/>
      <c r="EC1154" s="3"/>
      <c r="ED1154" s="3"/>
      <c r="EE1154" s="3"/>
      <c r="EF1154" s="3"/>
      <c r="EG1154" s="3"/>
      <c r="EH1154" s="3"/>
      <c r="EI1154" s="3"/>
      <c r="EJ1154" s="3"/>
      <c r="EK1154" s="3"/>
      <c r="EL1154" s="3"/>
      <c r="EM1154" s="3"/>
      <c r="EN1154" s="3"/>
      <c r="EO1154" s="3"/>
      <c r="EP1154" s="3"/>
      <c r="EQ1154" s="3"/>
    </row>
    <row r="1155" spans="1:147" x14ac:dyDescent="0.3">
      <c r="A1155" s="9">
        <f>DATE(2021, 6, 21)</f>
        <v>44368</v>
      </c>
      <c r="B1155" s="10">
        <v>74.900000000000006</v>
      </c>
      <c r="C1155" s="10">
        <v>74.05</v>
      </c>
      <c r="D1155" s="10">
        <v>73.13</v>
      </c>
      <c r="E1155" s="10">
        <v>72.349999999999994</v>
      </c>
      <c r="F1155" s="10">
        <v>71.69</v>
      </c>
      <c r="G1155" s="10">
        <v>71.11</v>
      </c>
      <c r="H1155" s="10">
        <v>70.58</v>
      </c>
      <c r="I1155" s="10">
        <v>70.099999999999994</v>
      </c>
      <c r="J1155" s="10">
        <v>69.64</v>
      </c>
      <c r="K1155" s="10">
        <v>69.209999999999994</v>
      </c>
      <c r="L1155" s="10">
        <v>68.790000000000006</v>
      </c>
      <c r="M1155" s="10">
        <v>68.400000000000006</v>
      </c>
      <c r="N1155" s="10">
        <v>73.66</v>
      </c>
      <c r="O1155" s="10">
        <v>73.12</v>
      </c>
      <c r="P1155" s="10">
        <v>72.03</v>
      </c>
      <c r="Q1155" s="10">
        <v>70.97</v>
      </c>
      <c r="R1155" s="10">
        <v>70.069999999999993</v>
      </c>
      <c r="S1155" s="10">
        <v>69.28</v>
      </c>
      <c r="T1155" s="10">
        <v>68.55</v>
      </c>
      <c r="U1155" s="10">
        <v>67.89</v>
      </c>
      <c r="V1155" s="10">
        <v>67.28</v>
      </c>
      <c r="W1155" s="10">
        <v>66.709999999999994</v>
      </c>
      <c r="X1155" s="10">
        <v>66.180000000000007</v>
      </c>
      <c r="Y1155" s="10">
        <v>65.7</v>
      </c>
      <c r="Z1155" s="11">
        <v>71.456999999999994</v>
      </c>
      <c r="AA1155" s="11">
        <v>71.768000000000001</v>
      </c>
      <c r="AB1155" s="11">
        <v>70.795000000000002</v>
      </c>
      <c r="AC1155" s="11">
        <v>69.98</v>
      </c>
      <c r="AD1155" s="11">
        <v>69.311999999999998</v>
      </c>
      <c r="AE1155" s="11">
        <v>68.736000000000004</v>
      </c>
      <c r="AF1155" s="11">
        <v>68.147999999999996</v>
      </c>
      <c r="AG1155" s="11">
        <v>67.658000000000001</v>
      </c>
      <c r="AH1155" s="11">
        <v>67.198999999999998</v>
      </c>
      <c r="AI1155" s="11">
        <v>66.762</v>
      </c>
      <c r="AJ1155" s="11">
        <v>66.361000000000004</v>
      </c>
      <c r="AK1155" s="11">
        <v>65.962999999999994</v>
      </c>
      <c r="AL1155" s="11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  <c r="DG1155" s="3"/>
      <c r="DH1155" s="3"/>
      <c r="DI1155" s="3"/>
      <c r="DJ1155" s="3"/>
      <c r="DK1155" s="3"/>
      <c r="DL1155" s="3"/>
      <c r="DM1155" s="3"/>
      <c r="DN1155" s="3"/>
      <c r="DO1155" s="3"/>
      <c r="DP1155" s="3"/>
      <c r="DQ1155" s="3"/>
      <c r="DR1155" s="3"/>
      <c r="DS1155" s="3"/>
      <c r="DT1155" s="3"/>
      <c r="DU1155" s="3"/>
      <c r="DV1155" s="3"/>
      <c r="DW1155" s="3"/>
      <c r="DX1155" s="3"/>
      <c r="DY1155" s="3"/>
      <c r="DZ1155" s="3"/>
      <c r="EA1155" s="3"/>
      <c r="EB1155" s="3"/>
      <c r="EC1155" s="3"/>
      <c r="ED1155" s="3"/>
      <c r="EE1155" s="3"/>
      <c r="EF1155" s="3"/>
      <c r="EG1155" s="3"/>
      <c r="EH1155" s="3"/>
      <c r="EI1155" s="3"/>
      <c r="EJ1155" s="3"/>
      <c r="EK1155" s="3"/>
      <c r="EL1155" s="3"/>
      <c r="EM1155" s="3"/>
      <c r="EN1155" s="3"/>
      <c r="EO1155" s="3"/>
      <c r="EP1155" s="3"/>
      <c r="EQ1155" s="3"/>
    </row>
    <row r="1156" spans="1:147" x14ac:dyDescent="0.3">
      <c r="A1156" s="9">
        <f>DATE(2021, 6, 22)</f>
        <v>44369</v>
      </c>
      <c r="B1156" s="10">
        <v>74.81</v>
      </c>
      <c r="C1156" s="10">
        <v>74.08</v>
      </c>
      <c r="D1156" s="10">
        <v>73.22</v>
      </c>
      <c r="E1156" s="10">
        <v>72.489999999999995</v>
      </c>
      <c r="F1156" s="10">
        <v>71.849999999999994</v>
      </c>
      <c r="G1156" s="10">
        <v>71.290000000000006</v>
      </c>
      <c r="H1156" s="10">
        <v>70.78</v>
      </c>
      <c r="I1156" s="10">
        <v>70.31</v>
      </c>
      <c r="J1156" s="10">
        <v>69.86</v>
      </c>
      <c r="K1156" s="10">
        <v>69.44</v>
      </c>
      <c r="L1156" s="10">
        <v>69.02</v>
      </c>
      <c r="M1156" s="10">
        <v>68.64</v>
      </c>
      <c r="N1156" s="10">
        <v>73.06</v>
      </c>
      <c r="O1156" s="10">
        <v>72.849999999999994</v>
      </c>
      <c r="P1156" s="10">
        <v>72.05</v>
      </c>
      <c r="Q1156" s="10">
        <v>71.06</v>
      </c>
      <c r="R1156" s="10">
        <v>70.180000000000007</v>
      </c>
      <c r="S1156" s="10">
        <v>69.42</v>
      </c>
      <c r="T1156" s="10">
        <v>68.72</v>
      </c>
      <c r="U1156" s="10">
        <v>68.09</v>
      </c>
      <c r="V1156" s="10">
        <v>67.510000000000005</v>
      </c>
      <c r="W1156" s="10">
        <v>66.959999999999994</v>
      </c>
      <c r="X1156" s="10">
        <v>66.44</v>
      </c>
      <c r="Y1156" s="10">
        <v>65.959999999999994</v>
      </c>
      <c r="Z1156" s="11">
        <v>71.438999999999993</v>
      </c>
      <c r="AA1156" s="11">
        <v>71.850999999999999</v>
      </c>
      <c r="AB1156" s="11">
        <v>70.876999999999995</v>
      </c>
      <c r="AC1156" s="11">
        <v>70.100999999999999</v>
      </c>
      <c r="AD1156" s="11">
        <v>69.472999999999999</v>
      </c>
      <c r="AE1156" s="11">
        <v>68.906999999999996</v>
      </c>
      <c r="AF1156" s="11">
        <v>68.349000000000004</v>
      </c>
      <c r="AG1156" s="11">
        <v>67.869</v>
      </c>
      <c r="AH1156" s="11">
        <v>67.418999999999997</v>
      </c>
      <c r="AI1156" s="11">
        <v>66.992000000000004</v>
      </c>
      <c r="AJ1156" s="11">
        <v>66.590999999999994</v>
      </c>
      <c r="AK1156" s="11">
        <v>66.203999999999994</v>
      </c>
      <c r="AL1156" s="11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  <c r="DG1156" s="3"/>
      <c r="DH1156" s="3"/>
      <c r="DI1156" s="3"/>
      <c r="DJ1156" s="3"/>
      <c r="DK1156" s="3"/>
      <c r="DL1156" s="3"/>
      <c r="DM1156" s="3"/>
      <c r="DN1156" s="3"/>
      <c r="DO1156" s="3"/>
      <c r="DP1156" s="3"/>
      <c r="DQ1156" s="3"/>
      <c r="DR1156" s="3"/>
      <c r="DS1156" s="3"/>
      <c r="DT1156" s="3"/>
      <c r="DU1156" s="3"/>
      <c r="DV1156" s="3"/>
      <c r="DW1156" s="3"/>
      <c r="DX1156" s="3"/>
      <c r="DY1156" s="3"/>
      <c r="DZ1156" s="3"/>
      <c r="EA1156" s="3"/>
      <c r="EB1156" s="3"/>
      <c r="EC1156" s="3"/>
      <c r="ED1156" s="3"/>
      <c r="EE1156" s="3"/>
      <c r="EF1156" s="3"/>
      <c r="EG1156" s="3"/>
      <c r="EH1156" s="3"/>
      <c r="EI1156" s="3"/>
      <c r="EJ1156" s="3"/>
      <c r="EK1156" s="3"/>
      <c r="EL1156" s="3"/>
      <c r="EM1156" s="3"/>
      <c r="EN1156" s="3"/>
      <c r="EO1156" s="3"/>
      <c r="EP1156" s="3"/>
      <c r="EQ1156" s="3"/>
    </row>
    <row r="1157" spans="1:147" x14ac:dyDescent="0.3">
      <c r="A1157" s="9">
        <f>DATE(2021, 6, 23)</f>
        <v>44370</v>
      </c>
      <c r="B1157" s="10">
        <v>75.19</v>
      </c>
      <c r="C1157" s="10">
        <v>74.5</v>
      </c>
      <c r="D1157" s="10">
        <v>73.69</v>
      </c>
      <c r="E1157" s="10">
        <v>72.98</v>
      </c>
      <c r="F1157" s="10">
        <v>72.34</v>
      </c>
      <c r="G1157" s="10">
        <v>71.78</v>
      </c>
      <c r="H1157" s="10">
        <v>71.27</v>
      </c>
      <c r="I1157" s="10">
        <v>70.8</v>
      </c>
      <c r="J1157" s="10">
        <v>70.34</v>
      </c>
      <c r="K1157" s="10">
        <v>69.92</v>
      </c>
      <c r="L1157" s="10">
        <v>69.5</v>
      </c>
      <c r="M1157" s="10">
        <v>69.12</v>
      </c>
      <c r="N1157" s="10">
        <v>73.08</v>
      </c>
      <c r="O1157" s="10">
        <v>72.36</v>
      </c>
      <c r="P1157" s="10">
        <v>71.44</v>
      </c>
      <c r="Q1157" s="10">
        <v>70.599999999999994</v>
      </c>
      <c r="R1157" s="10">
        <v>69.83</v>
      </c>
      <c r="S1157" s="10">
        <v>69.13</v>
      </c>
      <c r="T1157" s="10">
        <v>68.489999999999995</v>
      </c>
      <c r="U1157" s="10">
        <v>67.900000000000006</v>
      </c>
      <c r="V1157" s="10">
        <v>67.34</v>
      </c>
      <c r="W1157" s="10">
        <v>66.83</v>
      </c>
      <c r="X1157" s="10">
        <v>66.349999999999994</v>
      </c>
      <c r="Y1157" s="10">
        <v>65.84</v>
      </c>
      <c r="Z1157" s="11">
        <v>71.534999999999997</v>
      </c>
      <c r="AA1157" s="11">
        <v>72.313000000000002</v>
      </c>
      <c r="AB1157" s="11">
        <v>71.352000000000004</v>
      </c>
      <c r="AC1157" s="11">
        <v>70.596999999999994</v>
      </c>
      <c r="AD1157" s="11">
        <v>69.953000000000003</v>
      </c>
      <c r="AE1157" s="11">
        <v>69.397000000000006</v>
      </c>
      <c r="AF1157" s="11">
        <v>68.838999999999999</v>
      </c>
      <c r="AG1157" s="11">
        <v>68.358000000000004</v>
      </c>
      <c r="AH1157" s="11">
        <v>67.899000000000001</v>
      </c>
      <c r="AI1157" s="11">
        <v>67.471999999999994</v>
      </c>
      <c r="AJ1157" s="11">
        <v>67.070999999999998</v>
      </c>
      <c r="AK1157" s="11">
        <v>66.683999999999997</v>
      </c>
      <c r="AL1157" s="11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  <c r="DG1157" s="3"/>
      <c r="DH1157" s="3"/>
      <c r="DI1157" s="3"/>
      <c r="DJ1157" s="3"/>
      <c r="DK1157" s="3"/>
      <c r="DL1157" s="3"/>
      <c r="DM1157" s="3"/>
      <c r="DN1157" s="3"/>
      <c r="DO1157" s="3"/>
      <c r="DP1157" s="3"/>
      <c r="DQ1157" s="3"/>
      <c r="DR1157" s="3"/>
      <c r="DS1157" s="3"/>
      <c r="DT1157" s="3"/>
      <c r="DU1157" s="3"/>
      <c r="DV1157" s="3"/>
      <c r="DW1157" s="3"/>
      <c r="DX1157" s="3"/>
      <c r="DY1157" s="3"/>
      <c r="DZ1157" s="3"/>
      <c r="EA1157" s="3"/>
      <c r="EB1157" s="3"/>
      <c r="EC1157" s="3"/>
      <c r="ED1157" s="3"/>
      <c r="EE1157" s="3"/>
      <c r="EF1157" s="3"/>
      <c r="EG1157" s="3"/>
      <c r="EH1157" s="3"/>
      <c r="EI1157" s="3"/>
      <c r="EJ1157" s="3"/>
      <c r="EK1157" s="3"/>
      <c r="EL1157" s="3"/>
      <c r="EM1157" s="3"/>
      <c r="EN1157" s="3"/>
      <c r="EO1157" s="3"/>
      <c r="EP1157" s="3"/>
      <c r="EQ1157" s="3"/>
    </row>
    <row r="1158" spans="1:147" x14ac:dyDescent="0.3">
      <c r="A1158" s="9">
        <f>DATE(2021, 6, 24)</f>
        <v>44371</v>
      </c>
      <c r="B1158" s="10">
        <v>75.56</v>
      </c>
      <c r="C1158" s="10">
        <v>74.81</v>
      </c>
      <c r="D1158" s="10">
        <v>74.010000000000005</v>
      </c>
      <c r="E1158" s="10">
        <v>73.3</v>
      </c>
      <c r="F1158" s="10">
        <v>72.66</v>
      </c>
      <c r="G1158" s="10">
        <v>72.099999999999994</v>
      </c>
      <c r="H1158" s="10">
        <v>71.59</v>
      </c>
      <c r="I1158" s="10">
        <v>71.12</v>
      </c>
      <c r="J1158" s="10">
        <v>70.67</v>
      </c>
      <c r="K1158" s="10">
        <v>70.239999999999995</v>
      </c>
      <c r="L1158" s="10">
        <v>69.819999999999993</v>
      </c>
      <c r="M1158" s="10">
        <v>69.44</v>
      </c>
      <c r="N1158" s="10">
        <v>73.3</v>
      </c>
      <c r="O1158" s="10">
        <v>72.63</v>
      </c>
      <c r="P1158" s="10">
        <v>71.77</v>
      </c>
      <c r="Q1158" s="10">
        <v>70.959999999999994</v>
      </c>
      <c r="R1158" s="10">
        <v>70.22</v>
      </c>
      <c r="S1158" s="10">
        <v>69.53</v>
      </c>
      <c r="T1158" s="10">
        <v>68.89</v>
      </c>
      <c r="U1158" s="10">
        <v>68.290000000000006</v>
      </c>
      <c r="V1158" s="10">
        <v>67.73</v>
      </c>
      <c r="W1158" s="10">
        <v>67.2</v>
      </c>
      <c r="X1158" s="10">
        <v>66.709999999999994</v>
      </c>
      <c r="Y1158" s="10">
        <v>66.19</v>
      </c>
      <c r="Z1158" s="11">
        <v>71.61</v>
      </c>
      <c r="AA1158" s="11">
        <v>72.584000000000003</v>
      </c>
      <c r="AB1158" s="11">
        <v>71.617999999999995</v>
      </c>
      <c r="AC1158" s="11">
        <v>70.881</v>
      </c>
      <c r="AD1158" s="11">
        <v>70.263000000000005</v>
      </c>
      <c r="AE1158" s="11">
        <v>69.716999999999999</v>
      </c>
      <c r="AF1158" s="11">
        <v>69.159000000000006</v>
      </c>
      <c r="AG1158" s="11">
        <v>68.679000000000002</v>
      </c>
      <c r="AH1158" s="11">
        <v>68.218999999999994</v>
      </c>
      <c r="AI1158" s="11">
        <v>67.792000000000002</v>
      </c>
      <c r="AJ1158" s="11">
        <v>67.391000000000005</v>
      </c>
      <c r="AK1158" s="11">
        <v>67.004000000000005</v>
      </c>
      <c r="AL1158" s="11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  <c r="DG1158" s="3"/>
      <c r="DH1158" s="3"/>
      <c r="DI1158" s="3"/>
      <c r="DJ1158" s="3"/>
      <c r="DK1158" s="3"/>
      <c r="DL1158" s="3"/>
      <c r="DM1158" s="3"/>
      <c r="DN1158" s="3"/>
      <c r="DO1158" s="3"/>
      <c r="DP1158" s="3"/>
      <c r="DQ1158" s="3"/>
      <c r="DR1158" s="3"/>
      <c r="DS1158" s="3"/>
      <c r="DT1158" s="3"/>
      <c r="DU1158" s="3"/>
      <c r="DV1158" s="3"/>
      <c r="DW1158" s="3"/>
      <c r="DX1158" s="3"/>
      <c r="DY1158" s="3"/>
      <c r="DZ1158" s="3"/>
      <c r="EA1158" s="3"/>
      <c r="EB1158" s="3"/>
      <c r="EC1158" s="3"/>
      <c r="ED1158" s="3"/>
      <c r="EE1158" s="3"/>
      <c r="EF1158" s="3"/>
      <c r="EG1158" s="3"/>
      <c r="EH1158" s="3"/>
      <c r="EI1158" s="3"/>
      <c r="EJ1158" s="3"/>
      <c r="EK1158" s="3"/>
      <c r="EL1158" s="3"/>
      <c r="EM1158" s="3"/>
      <c r="EN1158" s="3"/>
      <c r="EO1158" s="3"/>
      <c r="EP1158" s="3"/>
      <c r="EQ1158" s="3"/>
    </row>
    <row r="1159" spans="1:147" x14ac:dyDescent="0.3">
      <c r="A1159" s="9">
        <f>DATE(2021, 6, 25)</f>
        <v>44372</v>
      </c>
      <c r="B1159" s="10">
        <v>76.180000000000007</v>
      </c>
      <c r="C1159" s="10">
        <v>75.38</v>
      </c>
      <c r="D1159" s="10">
        <v>74.56</v>
      </c>
      <c r="E1159" s="10">
        <v>73.819999999999993</v>
      </c>
      <c r="F1159" s="10">
        <v>73.150000000000006</v>
      </c>
      <c r="G1159" s="10">
        <v>72.569999999999993</v>
      </c>
      <c r="H1159" s="10">
        <v>72.040000000000006</v>
      </c>
      <c r="I1159" s="10">
        <v>71.56</v>
      </c>
      <c r="J1159" s="10">
        <v>71.11</v>
      </c>
      <c r="K1159" s="10">
        <v>70.680000000000007</v>
      </c>
      <c r="L1159" s="10">
        <v>70.260000000000005</v>
      </c>
      <c r="M1159" s="10">
        <v>69.88</v>
      </c>
      <c r="N1159" s="10">
        <v>74.05</v>
      </c>
      <c r="O1159" s="10">
        <v>73.33</v>
      </c>
      <c r="P1159" s="10">
        <v>72.400000000000006</v>
      </c>
      <c r="Q1159" s="10">
        <v>71.52</v>
      </c>
      <c r="R1159" s="10">
        <v>70.739999999999995</v>
      </c>
      <c r="S1159" s="10">
        <v>70.02</v>
      </c>
      <c r="T1159" s="10">
        <v>69.36</v>
      </c>
      <c r="U1159" s="10">
        <v>68.75</v>
      </c>
      <c r="V1159" s="10">
        <v>68.17</v>
      </c>
      <c r="W1159" s="10">
        <v>67.64</v>
      </c>
      <c r="X1159" s="10">
        <v>67.14</v>
      </c>
      <c r="Y1159" s="10">
        <v>66.59</v>
      </c>
      <c r="Z1159" s="11">
        <v>71.662999999999997</v>
      </c>
      <c r="AA1159" s="11">
        <v>73.093000000000004</v>
      </c>
      <c r="AB1159" s="11">
        <v>72.105999999999995</v>
      </c>
      <c r="AC1159" s="11">
        <v>71.349999999999994</v>
      </c>
      <c r="AD1159" s="11">
        <v>70.712000000000003</v>
      </c>
      <c r="AE1159" s="11">
        <v>70.146000000000001</v>
      </c>
      <c r="AF1159" s="11">
        <v>69.608000000000004</v>
      </c>
      <c r="AG1159" s="11">
        <v>69.119</v>
      </c>
      <c r="AH1159" s="11">
        <v>68.659000000000006</v>
      </c>
      <c r="AI1159" s="11">
        <v>68.231999999999999</v>
      </c>
      <c r="AJ1159" s="11">
        <v>67.831000000000003</v>
      </c>
      <c r="AK1159" s="11">
        <v>67.442999999999998</v>
      </c>
      <c r="AL1159" s="11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  <c r="DG1159" s="3"/>
      <c r="DH1159" s="3"/>
      <c r="DI1159" s="3"/>
      <c r="DJ1159" s="3"/>
      <c r="DK1159" s="3"/>
      <c r="DL1159" s="3"/>
      <c r="DM1159" s="3"/>
      <c r="DN1159" s="3"/>
      <c r="DO1159" s="3"/>
      <c r="DP1159" s="3"/>
      <c r="DQ1159" s="3"/>
      <c r="DR1159" s="3"/>
      <c r="DS1159" s="3"/>
      <c r="DT1159" s="3"/>
      <c r="DU1159" s="3"/>
      <c r="DV1159" s="3"/>
      <c r="DW1159" s="3"/>
      <c r="DX1159" s="3"/>
      <c r="DY1159" s="3"/>
      <c r="DZ1159" s="3"/>
      <c r="EA1159" s="3"/>
      <c r="EB1159" s="3"/>
      <c r="EC1159" s="3"/>
      <c r="ED1159" s="3"/>
      <c r="EE1159" s="3"/>
      <c r="EF1159" s="3"/>
      <c r="EG1159" s="3"/>
      <c r="EH1159" s="3"/>
      <c r="EI1159" s="3"/>
      <c r="EJ1159" s="3"/>
      <c r="EK1159" s="3"/>
      <c r="EL1159" s="3"/>
      <c r="EM1159" s="3"/>
      <c r="EN1159" s="3"/>
      <c r="EO1159" s="3"/>
      <c r="EP1159" s="3"/>
      <c r="EQ1159" s="3"/>
    </row>
    <row r="1160" spans="1:147" x14ac:dyDescent="0.3">
      <c r="A1160" s="9">
        <f>DATE(2021, 6, 28)</f>
        <v>44375</v>
      </c>
      <c r="B1160" s="10">
        <v>74.680000000000007</v>
      </c>
      <c r="C1160" s="10">
        <v>74.14</v>
      </c>
      <c r="D1160" s="10">
        <v>73.39</v>
      </c>
      <c r="E1160" s="10">
        <v>72.72</v>
      </c>
      <c r="F1160" s="10">
        <v>72.099999999999994</v>
      </c>
      <c r="G1160" s="10">
        <v>71.569999999999993</v>
      </c>
      <c r="H1160" s="10">
        <v>71.069999999999993</v>
      </c>
      <c r="I1160" s="10">
        <v>70.62</v>
      </c>
      <c r="J1160" s="10">
        <v>70.19</v>
      </c>
      <c r="K1160" s="10">
        <v>69.790000000000006</v>
      </c>
      <c r="L1160" s="10">
        <v>69.38</v>
      </c>
      <c r="M1160" s="10">
        <v>69.02</v>
      </c>
      <c r="N1160" s="10">
        <v>72.91</v>
      </c>
      <c r="O1160" s="10">
        <v>72.2</v>
      </c>
      <c r="P1160" s="10">
        <v>71.31</v>
      </c>
      <c r="Q1160" s="10">
        <v>70.510000000000005</v>
      </c>
      <c r="R1160" s="10">
        <v>69.78</v>
      </c>
      <c r="S1160" s="10">
        <v>69.11</v>
      </c>
      <c r="T1160" s="10">
        <v>68.489999999999995</v>
      </c>
      <c r="U1160" s="10">
        <v>67.91</v>
      </c>
      <c r="V1160" s="10">
        <v>67.36</v>
      </c>
      <c r="W1160" s="10">
        <v>66.84</v>
      </c>
      <c r="X1160" s="10">
        <v>66.349999999999994</v>
      </c>
      <c r="Y1160" s="10">
        <v>65.84</v>
      </c>
      <c r="Z1160" s="11">
        <v>71.590999999999994</v>
      </c>
      <c r="AA1160" s="11">
        <v>71.965999999999994</v>
      </c>
      <c r="AB1160" s="11">
        <v>70.959999999999994</v>
      </c>
      <c r="AC1160" s="11">
        <v>70.242000000000004</v>
      </c>
      <c r="AD1160" s="11">
        <v>69.644999999999996</v>
      </c>
      <c r="AE1160" s="11">
        <v>69.106999999999999</v>
      </c>
      <c r="AF1160" s="11">
        <v>68.570999999999998</v>
      </c>
      <c r="AG1160" s="11">
        <v>68.11</v>
      </c>
      <c r="AH1160" s="11">
        <v>67.680000000000007</v>
      </c>
      <c r="AI1160" s="11">
        <v>67.281999999999996</v>
      </c>
      <c r="AJ1160" s="11">
        <v>66.902000000000001</v>
      </c>
      <c r="AK1160" s="11">
        <v>66.543999999999997</v>
      </c>
      <c r="AL1160" s="11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  <c r="DG1160" s="3"/>
      <c r="DH1160" s="3"/>
      <c r="DI1160" s="3"/>
      <c r="DJ1160" s="3"/>
      <c r="DK1160" s="3"/>
      <c r="DL1160" s="3"/>
      <c r="DM1160" s="3"/>
      <c r="DN1160" s="3"/>
      <c r="DO1160" s="3"/>
      <c r="DP1160" s="3"/>
      <c r="DQ1160" s="3"/>
      <c r="DR1160" s="3"/>
      <c r="DS1160" s="3"/>
      <c r="DT1160" s="3"/>
      <c r="DU1160" s="3"/>
      <c r="DV1160" s="3"/>
      <c r="DW1160" s="3"/>
      <c r="DX1160" s="3"/>
      <c r="DY1160" s="3"/>
      <c r="DZ1160" s="3"/>
      <c r="EA1160" s="3"/>
      <c r="EB1160" s="3"/>
      <c r="EC1160" s="3"/>
      <c r="ED1160" s="3"/>
      <c r="EE1160" s="3"/>
      <c r="EF1160" s="3"/>
      <c r="EG1160" s="3"/>
      <c r="EH1160" s="3"/>
      <c r="EI1160" s="3"/>
      <c r="EJ1160" s="3"/>
      <c r="EK1160" s="3"/>
      <c r="EL1160" s="3"/>
      <c r="EM1160" s="3"/>
      <c r="EN1160" s="3"/>
      <c r="EO1160" s="3"/>
      <c r="EP1160" s="3"/>
      <c r="EQ1160" s="3"/>
    </row>
    <row r="1161" spans="1:147" x14ac:dyDescent="0.3">
      <c r="A1161" s="9">
        <f>DATE(2021, 6, 29)</f>
        <v>44376</v>
      </c>
      <c r="B1161" s="10">
        <v>74.760000000000005</v>
      </c>
      <c r="C1161" s="10">
        <v>74.28</v>
      </c>
      <c r="D1161" s="10">
        <v>73.55</v>
      </c>
      <c r="E1161" s="10">
        <v>72.88</v>
      </c>
      <c r="F1161" s="10">
        <v>72.25</v>
      </c>
      <c r="G1161" s="10">
        <v>71.69</v>
      </c>
      <c r="H1161" s="10">
        <v>71.19</v>
      </c>
      <c r="I1161" s="10">
        <v>70.73</v>
      </c>
      <c r="J1161" s="10">
        <v>70.3</v>
      </c>
      <c r="K1161" s="10">
        <v>69.89</v>
      </c>
      <c r="L1161" s="10">
        <v>69.48</v>
      </c>
      <c r="M1161" s="10">
        <v>69.11</v>
      </c>
      <c r="N1161" s="10">
        <v>72.98</v>
      </c>
      <c r="O1161" s="10">
        <v>72.31</v>
      </c>
      <c r="P1161" s="10">
        <v>71.41</v>
      </c>
      <c r="Q1161" s="10">
        <v>70.62</v>
      </c>
      <c r="R1161" s="10">
        <v>69.91</v>
      </c>
      <c r="S1161" s="10">
        <v>69.239999999999995</v>
      </c>
      <c r="T1161" s="10">
        <v>68.61</v>
      </c>
      <c r="U1161" s="10">
        <v>68.010000000000005</v>
      </c>
      <c r="V1161" s="10">
        <v>67.44</v>
      </c>
      <c r="W1161" s="10">
        <v>66.91</v>
      </c>
      <c r="X1161" s="10">
        <v>66.41</v>
      </c>
      <c r="Y1161" s="10">
        <v>65.89</v>
      </c>
      <c r="Z1161" s="11">
        <v>71.582999999999998</v>
      </c>
      <c r="AA1161" s="11">
        <v>72.247</v>
      </c>
      <c r="AB1161" s="11">
        <v>71.17</v>
      </c>
      <c r="AC1161" s="11">
        <v>70.414000000000001</v>
      </c>
      <c r="AD1161" s="11">
        <v>69.805000000000007</v>
      </c>
      <c r="AE1161" s="11">
        <v>69.257000000000005</v>
      </c>
      <c r="AF1161" s="11">
        <v>68.7</v>
      </c>
      <c r="AG1161" s="11">
        <v>68.22</v>
      </c>
      <c r="AH1161" s="11">
        <v>67.790000000000006</v>
      </c>
      <c r="AI1161" s="11">
        <v>67.382000000000005</v>
      </c>
      <c r="AJ1161" s="11">
        <v>67.001999999999995</v>
      </c>
      <c r="AK1161" s="11">
        <v>66.634</v>
      </c>
      <c r="AL1161" s="11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  <c r="DG1161" s="3"/>
      <c r="DH1161" s="3"/>
      <c r="DI1161" s="3"/>
      <c r="DJ1161" s="3"/>
      <c r="DK1161" s="3"/>
      <c r="DL1161" s="3"/>
      <c r="DM1161" s="3"/>
      <c r="DN1161" s="3"/>
      <c r="DO1161" s="3"/>
      <c r="DP1161" s="3"/>
      <c r="DQ1161" s="3"/>
      <c r="DR1161" s="3"/>
      <c r="DS1161" s="3"/>
      <c r="DT1161" s="3"/>
      <c r="DU1161" s="3"/>
      <c r="DV1161" s="3"/>
      <c r="DW1161" s="3"/>
      <c r="DX1161" s="3"/>
      <c r="DY1161" s="3"/>
      <c r="DZ1161" s="3"/>
      <c r="EA1161" s="3"/>
      <c r="EB1161" s="3"/>
      <c r="EC1161" s="3"/>
      <c r="ED1161" s="3"/>
      <c r="EE1161" s="3"/>
      <c r="EF1161" s="3"/>
      <c r="EG1161" s="3"/>
      <c r="EH1161" s="3"/>
      <c r="EI1161" s="3"/>
      <c r="EJ1161" s="3"/>
      <c r="EK1161" s="3"/>
      <c r="EL1161" s="3"/>
      <c r="EM1161" s="3"/>
      <c r="EN1161" s="3"/>
      <c r="EO1161" s="3"/>
      <c r="EP1161" s="3"/>
      <c r="EQ1161" s="3"/>
    </row>
    <row r="1162" spans="1:147" x14ac:dyDescent="0.3">
      <c r="A1162" s="9">
        <f>DATE(2021, 6, 30)</f>
        <v>44377</v>
      </c>
      <c r="B1162" s="10">
        <v>75.13</v>
      </c>
      <c r="C1162" s="10">
        <v>74.62</v>
      </c>
      <c r="D1162" s="10">
        <v>73.790000000000006</v>
      </c>
      <c r="E1162" s="10">
        <v>73.05</v>
      </c>
      <c r="F1162" s="10">
        <v>72.37</v>
      </c>
      <c r="G1162" s="10">
        <v>71.77</v>
      </c>
      <c r="H1162" s="10">
        <v>71.239999999999995</v>
      </c>
      <c r="I1162" s="10">
        <v>70.760000000000005</v>
      </c>
      <c r="J1162" s="10">
        <v>70.31</v>
      </c>
      <c r="K1162" s="10">
        <v>69.88</v>
      </c>
      <c r="L1162" s="10">
        <v>69.459999999999994</v>
      </c>
      <c r="M1162" s="10">
        <v>69.08</v>
      </c>
      <c r="N1162" s="10">
        <v>73.47</v>
      </c>
      <c r="O1162" s="10">
        <v>72.77</v>
      </c>
      <c r="P1162" s="10">
        <v>71.760000000000005</v>
      </c>
      <c r="Q1162" s="10">
        <v>70.89</v>
      </c>
      <c r="R1162" s="10">
        <v>70.13</v>
      </c>
      <c r="S1162" s="10">
        <v>69.430000000000007</v>
      </c>
      <c r="T1162" s="10">
        <v>68.78</v>
      </c>
      <c r="U1162" s="10">
        <v>68.17</v>
      </c>
      <c r="V1162" s="10">
        <v>67.599999999999994</v>
      </c>
      <c r="W1162" s="10">
        <v>67.05</v>
      </c>
      <c r="X1162" s="10">
        <v>66.540000000000006</v>
      </c>
      <c r="Y1162" s="10">
        <v>66.010000000000005</v>
      </c>
      <c r="Z1162" s="11">
        <v>71.572999999999993</v>
      </c>
      <c r="AA1162" s="11">
        <v>72.584999999999994</v>
      </c>
      <c r="AB1162" s="11">
        <v>71.456000000000003</v>
      </c>
      <c r="AC1162" s="11">
        <v>70.617999999999995</v>
      </c>
      <c r="AD1162" s="11">
        <v>69.95</v>
      </c>
      <c r="AE1162" s="11">
        <v>69.352000000000004</v>
      </c>
      <c r="AF1162" s="11">
        <v>68.778000000000006</v>
      </c>
      <c r="AG1162" s="11">
        <v>68.278999999999996</v>
      </c>
      <c r="AH1162" s="11">
        <v>67.828999999999994</v>
      </c>
      <c r="AI1162" s="11">
        <v>67.402000000000001</v>
      </c>
      <c r="AJ1162" s="11">
        <v>66.980999999999995</v>
      </c>
      <c r="AK1162" s="11">
        <v>66.563000000000002</v>
      </c>
      <c r="AL1162" s="11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  <c r="DG1162" s="3"/>
      <c r="DH1162" s="3"/>
      <c r="DI1162" s="3"/>
      <c r="DJ1162" s="3"/>
      <c r="DK1162" s="3"/>
      <c r="DL1162" s="3"/>
      <c r="DM1162" s="3"/>
      <c r="DN1162" s="3"/>
      <c r="DO1162" s="3"/>
      <c r="DP1162" s="3"/>
      <c r="DQ1162" s="3"/>
      <c r="DR1162" s="3"/>
      <c r="DS1162" s="3"/>
      <c r="DT1162" s="3"/>
      <c r="DU1162" s="3"/>
      <c r="DV1162" s="3"/>
      <c r="DW1162" s="3"/>
      <c r="DX1162" s="3"/>
      <c r="DY1162" s="3"/>
      <c r="DZ1162" s="3"/>
      <c r="EA1162" s="3"/>
      <c r="EB1162" s="3"/>
      <c r="EC1162" s="3"/>
      <c r="ED1162" s="3"/>
      <c r="EE1162" s="3"/>
      <c r="EF1162" s="3"/>
      <c r="EG1162" s="3"/>
      <c r="EH1162" s="3"/>
      <c r="EI1162" s="3"/>
      <c r="EJ1162" s="3"/>
      <c r="EK1162" s="3"/>
      <c r="EL1162" s="3"/>
      <c r="EM1162" s="3"/>
      <c r="EN1162" s="3"/>
      <c r="EO1162" s="3"/>
      <c r="EP1162" s="3"/>
      <c r="EQ1162" s="3"/>
    </row>
    <row r="1163" spans="1:147" x14ac:dyDescent="0.3">
      <c r="A1163" s="9">
        <f>DATE(2021, 7, 1)</f>
        <v>44378</v>
      </c>
      <c r="B1163" s="10">
        <v>75.84</v>
      </c>
      <c r="C1163" s="10">
        <v>74.959999999999994</v>
      </c>
      <c r="D1163" s="10">
        <v>74.17</v>
      </c>
      <c r="E1163" s="10">
        <v>73.44</v>
      </c>
      <c r="F1163" s="10">
        <v>72.790000000000006</v>
      </c>
      <c r="G1163" s="10">
        <v>72.209999999999994</v>
      </c>
      <c r="H1163" s="10">
        <v>71.709999999999994</v>
      </c>
      <c r="I1163" s="10">
        <v>71.239999999999995</v>
      </c>
      <c r="J1163" s="10">
        <v>70.790000000000006</v>
      </c>
      <c r="K1163" s="10">
        <v>70.349999999999994</v>
      </c>
      <c r="L1163" s="10">
        <v>69.94</v>
      </c>
      <c r="M1163" s="10">
        <v>69.540000000000006</v>
      </c>
      <c r="N1163" s="10">
        <v>75.23</v>
      </c>
      <c r="O1163" s="10">
        <v>74.33</v>
      </c>
      <c r="P1163" s="10">
        <v>73.06</v>
      </c>
      <c r="Q1163" s="10">
        <v>72.05</v>
      </c>
      <c r="R1163" s="10">
        <v>71.22</v>
      </c>
      <c r="S1163" s="10">
        <v>70.48</v>
      </c>
      <c r="T1163" s="10">
        <v>69.8</v>
      </c>
      <c r="U1163" s="10">
        <v>69.16</v>
      </c>
      <c r="V1163" s="10">
        <v>68.56</v>
      </c>
      <c r="W1163" s="10">
        <v>68</v>
      </c>
      <c r="X1163" s="10">
        <v>67.459999999999994</v>
      </c>
      <c r="Y1163" s="10">
        <v>66.900000000000006</v>
      </c>
      <c r="Z1163" s="11">
        <v>71.572999999999993</v>
      </c>
      <c r="AA1163" s="11">
        <v>73.936999999999998</v>
      </c>
      <c r="AB1163" s="11">
        <v>72.694000000000003</v>
      </c>
      <c r="AC1163" s="11">
        <v>71.766999999999996</v>
      </c>
      <c r="AD1163" s="11">
        <v>71.049000000000007</v>
      </c>
      <c r="AE1163" s="11">
        <v>70.394000000000005</v>
      </c>
      <c r="AF1163" s="11">
        <v>69.766999999999996</v>
      </c>
      <c r="AG1163" s="11">
        <v>69.227999999999994</v>
      </c>
      <c r="AH1163" s="11">
        <v>68.757999999999996</v>
      </c>
      <c r="AI1163" s="11">
        <v>68.311000000000007</v>
      </c>
      <c r="AJ1163" s="11">
        <v>67.87</v>
      </c>
      <c r="AK1163" s="11">
        <v>67.421999999999997</v>
      </c>
      <c r="AL1163" s="11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  <c r="DG1163" s="3"/>
      <c r="DH1163" s="3"/>
      <c r="DI1163" s="3"/>
      <c r="DJ1163" s="3"/>
      <c r="DK1163" s="3"/>
      <c r="DL1163" s="3"/>
      <c r="DM1163" s="3"/>
      <c r="DN1163" s="3"/>
      <c r="DO1163" s="3"/>
      <c r="DP1163" s="3"/>
      <c r="DQ1163" s="3"/>
      <c r="DR1163" s="3"/>
      <c r="DS1163" s="3"/>
      <c r="DT1163" s="3"/>
      <c r="DU1163" s="3"/>
      <c r="DV1163" s="3"/>
      <c r="DW1163" s="3"/>
      <c r="DX1163" s="3"/>
      <c r="DY1163" s="3"/>
      <c r="DZ1163" s="3"/>
      <c r="EA1163" s="3"/>
      <c r="EB1163" s="3"/>
      <c r="EC1163" s="3"/>
      <c r="ED1163" s="3"/>
      <c r="EE1163" s="3"/>
      <c r="EF1163" s="3"/>
      <c r="EG1163" s="3"/>
      <c r="EH1163" s="3"/>
      <c r="EI1163" s="3"/>
      <c r="EJ1163" s="3"/>
      <c r="EK1163" s="3"/>
      <c r="EL1163" s="3"/>
      <c r="EM1163" s="3"/>
      <c r="EN1163" s="3"/>
      <c r="EO1163" s="3"/>
      <c r="EP1163" s="3"/>
      <c r="EQ1163" s="3"/>
    </row>
    <row r="1164" spans="1:147" x14ac:dyDescent="0.3">
      <c r="A1164" s="9">
        <f>DATE(2021, 7, 2)</f>
        <v>44379</v>
      </c>
      <c r="B1164" s="10">
        <v>76.17</v>
      </c>
      <c r="C1164" s="10">
        <v>75.3</v>
      </c>
      <c r="D1164" s="10">
        <v>74.52</v>
      </c>
      <c r="E1164" s="10">
        <v>73.790000000000006</v>
      </c>
      <c r="F1164" s="10">
        <v>73.13</v>
      </c>
      <c r="G1164" s="10">
        <v>72.55</v>
      </c>
      <c r="H1164" s="10">
        <v>72.05</v>
      </c>
      <c r="I1164" s="10">
        <v>71.58</v>
      </c>
      <c r="J1164" s="10">
        <v>71.14</v>
      </c>
      <c r="K1164" s="10">
        <v>70.7</v>
      </c>
      <c r="L1164" s="10">
        <v>70.28</v>
      </c>
      <c r="M1164" s="10">
        <v>69.88</v>
      </c>
      <c r="N1164" s="10">
        <v>75.16</v>
      </c>
      <c r="O1164" s="10">
        <v>74.36</v>
      </c>
      <c r="P1164" s="10">
        <v>73.25</v>
      </c>
      <c r="Q1164" s="10">
        <v>72.27</v>
      </c>
      <c r="R1164" s="10">
        <v>71.45</v>
      </c>
      <c r="S1164" s="10">
        <v>70.709999999999994</v>
      </c>
      <c r="T1164" s="10">
        <v>70.02</v>
      </c>
      <c r="U1164" s="10">
        <v>69.39</v>
      </c>
      <c r="V1164" s="10">
        <v>68.8</v>
      </c>
      <c r="W1164" s="10">
        <v>68.23</v>
      </c>
      <c r="X1164" s="10">
        <v>67.69</v>
      </c>
      <c r="Y1164" s="10">
        <v>67.13</v>
      </c>
      <c r="Z1164" s="11">
        <v>74.241</v>
      </c>
      <c r="AA1164" s="11">
        <v>73.045000000000002</v>
      </c>
      <c r="AB1164" s="11">
        <v>72.119</v>
      </c>
      <c r="AC1164" s="11">
        <v>71.391999999999996</v>
      </c>
      <c r="AD1164" s="11">
        <v>70.739000000000004</v>
      </c>
      <c r="AE1164" s="11">
        <v>70.087000000000003</v>
      </c>
      <c r="AF1164" s="11">
        <v>69.548000000000002</v>
      </c>
      <c r="AG1164" s="11">
        <v>69.097999999999999</v>
      </c>
      <c r="AH1164" s="11">
        <v>68.641000000000005</v>
      </c>
      <c r="AI1164" s="11">
        <v>68.198999999999998</v>
      </c>
      <c r="AJ1164" s="11">
        <v>67.762</v>
      </c>
      <c r="AK1164" s="11">
        <v>67.361999999999995</v>
      </c>
      <c r="AL1164" s="11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  <c r="DG1164" s="3"/>
      <c r="DH1164" s="3"/>
      <c r="DI1164" s="3"/>
      <c r="DJ1164" s="3"/>
      <c r="DK1164" s="3"/>
      <c r="DL1164" s="3"/>
      <c r="DM1164" s="3"/>
      <c r="DN1164" s="3"/>
      <c r="DO1164" s="3"/>
      <c r="DP1164" s="3"/>
      <c r="DQ1164" s="3"/>
      <c r="DR1164" s="3"/>
      <c r="DS1164" s="3"/>
      <c r="DT1164" s="3"/>
      <c r="DU1164" s="3"/>
      <c r="DV1164" s="3"/>
      <c r="DW1164" s="3"/>
      <c r="DX1164" s="3"/>
      <c r="DY1164" s="3"/>
      <c r="DZ1164" s="3"/>
      <c r="EA1164" s="3"/>
      <c r="EB1164" s="3"/>
      <c r="EC1164" s="3"/>
      <c r="ED1164" s="3"/>
      <c r="EE1164" s="3"/>
      <c r="EF1164" s="3"/>
      <c r="EG1164" s="3"/>
      <c r="EH1164" s="3"/>
      <c r="EI1164" s="3"/>
      <c r="EJ1164" s="3"/>
      <c r="EK1164" s="3"/>
      <c r="EL1164" s="3"/>
      <c r="EM1164" s="3"/>
      <c r="EN1164" s="3"/>
      <c r="EO1164" s="3"/>
      <c r="EP1164" s="3"/>
      <c r="EQ1164" s="3"/>
    </row>
    <row r="1165" spans="1:147" x14ac:dyDescent="0.3">
      <c r="A1165" s="9">
        <f>DATE(2021, 7, 5)</f>
        <v>44382</v>
      </c>
      <c r="B1165" s="10">
        <v>77.16</v>
      </c>
      <c r="C1165" s="10">
        <v>76.17</v>
      </c>
      <c r="D1165" s="10">
        <v>75.3</v>
      </c>
      <c r="E1165" s="10">
        <v>74.510000000000005</v>
      </c>
      <c r="F1165" s="10">
        <v>73.78</v>
      </c>
      <c r="G1165" s="10">
        <v>73.14</v>
      </c>
      <c r="H1165" s="10">
        <v>72.58</v>
      </c>
      <c r="I1165" s="10">
        <v>72.09</v>
      </c>
      <c r="J1165" s="10">
        <v>71.62</v>
      </c>
      <c r="K1165" s="10">
        <v>71.16</v>
      </c>
      <c r="L1165" s="10">
        <v>70.73</v>
      </c>
      <c r="M1165" s="10">
        <v>70.31</v>
      </c>
      <c r="N1165" s="10">
        <v>75.16</v>
      </c>
      <c r="O1165" s="10">
        <v>74.36</v>
      </c>
      <c r="P1165" s="10">
        <v>73.25</v>
      </c>
      <c r="Q1165" s="10">
        <v>72.27</v>
      </c>
      <c r="R1165" s="10">
        <v>71.45</v>
      </c>
      <c r="S1165" s="10">
        <v>70.709999999999994</v>
      </c>
      <c r="T1165" s="10">
        <v>70.02</v>
      </c>
      <c r="U1165" s="10">
        <v>69.39</v>
      </c>
      <c r="V1165" s="10">
        <v>68.8</v>
      </c>
      <c r="W1165" s="10">
        <v>68.23</v>
      </c>
      <c r="X1165" s="10">
        <v>67.69</v>
      </c>
      <c r="Y1165" s="10">
        <v>67.13</v>
      </c>
      <c r="Z1165" s="11">
        <v>75.025999999999996</v>
      </c>
      <c r="AA1165" s="11">
        <v>73.87</v>
      </c>
      <c r="AB1165" s="11">
        <v>72.884</v>
      </c>
      <c r="AC1165" s="11">
        <v>72.094999999999999</v>
      </c>
      <c r="AD1165" s="11">
        <v>71.370999999999995</v>
      </c>
      <c r="AE1165" s="11">
        <v>70.671000000000006</v>
      </c>
      <c r="AF1165" s="11">
        <v>70.076999999999998</v>
      </c>
      <c r="AG1165" s="11">
        <v>69.606999999999999</v>
      </c>
      <c r="AH1165" s="11">
        <v>69.12</v>
      </c>
      <c r="AI1165" s="11">
        <v>68.659000000000006</v>
      </c>
      <c r="AJ1165" s="11">
        <v>68.210999999999999</v>
      </c>
      <c r="AK1165" s="11">
        <v>67.790999999999997</v>
      </c>
      <c r="AL1165" s="11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  <c r="DG1165" s="3"/>
      <c r="DH1165" s="3"/>
      <c r="DI1165" s="3"/>
      <c r="DJ1165" s="3"/>
      <c r="DK1165" s="3"/>
      <c r="DL1165" s="3"/>
      <c r="DM1165" s="3"/>
      <c r="DN1165" s="3"/>
      <c r="DO1165" s="3"/>
      <c r="DP1165" s="3"/>
      <c r="DQ1165" s="3"/>
      <c r="DR1165" s="3"/>
      <c r="DS1165" s="3"/>
      <c r="DT1165" s="3"/>
      <c r="DU1165" s="3"/>
      <c r="DV1165" s="3"/>
      <c r="DW1165" s="3"/>
      <c r="DX1165" s="3"/>
      <c r="DY1165" s="3"/>
      <c r="DZ1165" s="3"/>
      <c r="EA1165" s="3"/>
      <c r="EB1165" s="3"/>
      <c r="EC1165" s="3"/>
      <c r="ED1165" s="3"/>
      <c r="EE1165" s="3"/>
      <c r="EF1165" s="3"/>
      <c r="EG1165" s="3"/>
      <c r="EH1165" s="3"/>
      <c r="EI1165" s="3"/>
      <c r="EJ1165" s="3"/>
      <c r="EK1165" s="3"/>
      <c r="EL1165" s="3"/>
      <c r="EM1165" s="3"/>
      <c r="EN1165" s="3"/>
      <c r="EO1165" s="3"/>
      <c r="EP1165" s="3"/>
      <c r="EQ1165" s="3"/>
    </row>
    <row r="1166" spans="1:147" x14ac:dyDescent="0.3">
      <c r="A1166" s="9">
        <f>DATE(2021, 7, 6)</f>
        <v>44383</v>
      </c>
      <c r="B1166" s="10">
        <v>74.53</v>
      </c>
      <c r="C1166" s="10">
        <v>73.58</v>
      </c>
      <c r="D1166" s="10">
        <v>72.72</v>
      </c>
      <c r="E1166" s="10">
        <v>71.92</v>
      </c>
      <c r="F1166" s="10">
        <v>71.209999999999994</v>
      </c>
      <c r="G1166" s="10">
        <v>70.59</v>
      </c>
      <c r="H1166" s="10">
        <v>70.069999999999993</v>
      </c>
      <c r="I1166" s="10">
        <v>69.61</v>
      </c>
      <c r="J1166" s="10">
        <v>69.180000000000007</v>
      </c>
      <c r="K1166" s="10">
        <v>68.760000000000005</v>
      </c>
      <c r="L1166" s="10">
        <v>68.36</v>
      </c>
      <c r="M1166" s="10">
        <v>67.97</v>
      </c>
      <c r="N1166" s="10">
        <v>73.37</v>
      </c>
      <c r="O1166" s="10">
        <v>72.58</v>
      </c>
      <c r="P1166" s="10">
        <v>71.459999999999994</v>
      </c>
      <c r="Q1166" s="10">
        <v>70.430000000000007</v>
      </c>
      <c r="R1166" s="10">
        <v>69.58</v>
      </c>
      <c r="S1166" s="10">
        <v>68.819999999999993</v>
      </c>
      <c r="T1166" s="10">
        <v>68.12</v>
      </c>
      <c r="U1166" s="10">
        <v>67.48</v>
      </c>
      <c r="V1166" s="10">
        <v>66.88</v>
      </c>
      <c r="W1166" s="10">
        <v>66.319999999999993</v>
      </c>
      <c r="X1166" s="10">
        <v>65.77</v>
      </c>
      <c r="Y1166" s="10">
        <v>65.209999999999994</v>
      </c>
      <c r="Z1166" s="11">
        <v>72.954999999999998</v>
      </c>
      <c r="AA1166" s="11">
        <v>71.301000000000002</v>
      </c>
      <c r="AB1166" s="11">
        <v>70.274000000000001</v>
      </c>
      <c r="AC1166" s="11">
        <v>69.445999999999998</v>
      </c>
      <c r="AD1166" s="11">
        <v>68.701999999999998</v>
      </c>
      <c r="AE1166" s="11">
        <v>68.025000000000006</v>
      </c>
      <c r="AF1166" s="11">
        <v>67.447999999999993</v>
      </c>
      <c r="AG1166" s="11">
        <v>67.019000000000005</v>
      </c>
      <c r="AH1166" s="11">
        <v>66.622</v>
      </c>
      <c r="AI1166" s="11">
        <v>66.22</v>
      </c>
      <c r="AJ1166" s="11">
        <v>65.831999999999994</v>
      </c>
      <c r="AK1166" s="11">
        <v>65.442999999999998</v>
      </c>
      <c r="AL1166" s="11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  <c r="DP1166" s="3"/>
      <c r="DQ1166" s="3"/>
      <c r="DR1166" s="3"/>
      <c r="DS1166" s="3"/>
      <c r="DT1166" s="3"/>
      <c r="DU1166" s="3"/>
      <c r="DV1166" s="3"/>
      <c r="DW1166" s="3"/>
      <c r="DX1166" s="3"/>
      <c r="DY1166" s="3"/>
      <c r="DZ1166" s="3"/>
      <c r="EA1166" s="3"/>
      <c r="EB1166" s="3"/>
      <c r="EC1166" s="3"/>
      <c r="ED1166" s="3"/>
      <c r="EE1166" s="3"/>
      <c r="EF1166" s="3"/>
      <c r="EG1166" s="3"/>
      <c r="EH1166" s="3"/>
      <c r="EI1166" s="3"/>
      <c r="EJ1166" s="3"/>
      <c r="EK1166" s="3"/>
      <c r="EL1166" s="3"/>
      <c r="EM1166" s="3"/>
      <c r="EN1166" s="3"/>
      <c r="EO1166" s="3"/>
      <c r="EP1166" s="3"/>
      <c r="EQ1166" s="3"/>
    </row>
    <row r="1167" spans="1:147" x14ac:dyDescent="0.3">
      <c r="A1167" s="9">
        <f>DATE(2021, 7, 7)</f>
        <v>44384</v>
      </c>
      <c r="B1167" s="10">
        <v>73.430000000000007</v>
      </c>
      <c r="C1167" s="10">
        <v>72.55</v>
      </c>
      <c r="D1167" s="10">
        <v>71.73</v>
      </c>
      <c r="E1167" s="10">
        <v>70.959999999999994</v>
      </c>
      <c r="F1167" s="10">
        <v>70.260000000000005</v>
      </c>
      <c r="G1167" s="10">
        <v>69.650000000000006</v>
      </c>
      <c r="H1167" s="10">
        <v>69.14</v>
      </c>
      <c r="I1167" s="10">
        <v>68.69</v>
      </c>
      <c r="J1167" s="10">
        <v>68.27</v>
      </c>
      <c r="K1167" s="10">
        <v>67.86</v>
      </c>
      <c r="L1167" s="10">
        <v>67.459999999999994</v>
      </c>
      <c r="M1167" s="10">
        <v>67.08</v>
      </c>
      <c r="N1167" s="10">
        <v>72.2</v>
      </c>
      <c r="O1167" s="10">
        <v>71.5</v>
      </c>
      <c r="P1167" s="10">
        <v>70.42</v>
      </c>
      <c r="Q1167" s="10">
        <v>69.45</v>
      </c>
      <c r="R1167" s="10">
        <v>68.64</v>
      </c>
      <c r="S1167" s="10">
        <v>67.89</v>
      </c>
      <c r="T1167" s="10">
        <v>67.2</v>
      </c>
      <c r="U1167" s="10">
        <v>66.569999999999993</v>
      </c>
      <c r="V1167" s="10">
        <v>65.98</v>
      </c>
      <c r="W1167" s="10">
        <v>65.42</v>
      </c>
      <c r="X1167" s="10">
        <v>64.89</v>
      </c>
      <c r="Y1167" s="10">
        <v>64.34</v>
      </c>
      <c r="Z1167" s="11">
        <v>72.135000000000005</v>
      </c>
      <c r="AA1167" s="11">
        <v>70.183000000000007</v>
      </c>
      <c r="AB1167" s="11">
        <v>69.165000000000006</v>
      </c>
      <c r="AC1167" s="11">
        <v>68.376999999999995</v>
      </c>
      <c r="AD1167" s="11">
        <v>67.671999999999997</v>
      </c>
      <c r="AE1167" s="11">
        <v>67.016000000000005</v>
      </c>
      <c r="AF1167" s="11">
        <v>66.478999999999999</v>
      </c>
      <c r="AG1167" s="11">
        <v>66.009</v>
      </c>
      <c r="AH1167" s="11">
        <v>65.591999999999999</v>
      </c>
      <c r="AI1167" s="11">
        <v>65.180000000000007</v>
      </c>
      <c r="AJ1167" s="11">
        <v>64.813000000000002</v>
      </c>
      <c r="AK1167" s="11">
        <v>64.453000000000003</v>
      </c>
      <c r="AL1167" s="11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  <c r="DP1167" s="3"/>
      <c r="DQ1167" s="3"/>
      <c r="DR1167" s="3"/>
      <c r="DS1167" s="3"/>
      <c r="DT1167" s="3"/>
      <c r="DU1167" s="3"/>
      <c r="DV1167" s="3"/>
      <c r="DW1167" s="3"/>
      <c r="DX1167" s="3"/>
      <c r="DY1167" s="3"/>
      <c r="DZ1167" s="3"/>
      <c r="EA1167" s="3"/>
      <c r="EB1167" s="3"/>
      <c r="EC1167" s="3"/>
      <c r="ED1167" s="3"/>
      <c r="EE1167" s="3"/>
      <c r="EF1167" s="3"/>
      <c r="EG1167" s="3"/>
      <c r="EH1167" s="3"/>
      <c r="EI1167" s="3"/>
      <c r="EJ1167" s="3"/>
      <c r="EK1167" s="3"/>
      <c r="EL1167" s="3"/>
      <c r="EM1167" s="3"/>
      <c r="EN1167" s="3"/>
      <c r="EO1167" s="3"/>
      <c r="EP1167" s="3"/>
      <c r="EQ1167" s="3"/>
    </row>
    <row r="1168" spans="1:147" x14ac:dyDescent="0.3">
      <c r="A1168" s="9">
        <f>DATE(2021, 7, 8)</f>
        <v>44385</v>
      </c>
      <c r="B1168" s="10">
        <v>74.12</v>
      </c>
      <c r="C1168" s="10">
        <v>73.290000000000006</v>
      </c>
      <c r="D1168" s="10">
        <v>72.48</v>
      </c>
      <c r="E1168" s="10">
        <v>71.7</v>
      </c>
      <c r="F1168" s="10">
        <v>71</v>
      </c>
      <c r="G1168" s="10">
        <v>70.38</v>
      </c>
      <c r="H1168" s="10">
        <v>69.849999999999994</v>
      </c>
      <c r="I1168" s="10">
        <v>69.38</v>
      </c>
      <c r="J1168" s="10">
        <v>68.94</v>
      </c>
      <c r="K1168" s="10">
        <v>68.5</v>
      </c>
      <c r="L1168" s="10">
        <v>68.09</v>
      </c>
      <c r="M1168" s="10">
        <v>67.69</v>
      </c>
      <c r="N1168" s="10">
        <v>72.94</v>
      </c>
      <c r="O1168" s="10">
        <v>72.22</v>
      </c>
      <c r="P1168" s="10">
        <v>71.17</v>
      </c>
      <c r="Q1168" s="10">
        <v>70.19</v>
      </c>
      <c r="R1168" s="10">
        <v>69.36</v>
      </c>
      <c r="S1168" s="10">
        <v>68.61</v>
      </c>
      <c r="T1168" s="10">
        <v>67.91</v>
      </c>
      <c r="U1168" s="10">
        <v>67.27</v>
      </c>
      <c r="V1168" s="10">
        <v>66.66</v>
      </c>
      <c r="W1168" s="10">
        <v>66.08</v>
      </c>
      <c r="X1168" s="10">
        <v>65.53</v>
      </c>
      <c r="Y1168" s="10">
        <v>64.97</v>
      </c>
      <c r="Z1168" s="11">
        <v>72.686999999999998</v>
      </c>
      <c r="AA1168" s="11">
        <v>71.052999999999997</v>
      </c>
      <c r="AB1168" s="11">
        <v>69.954999999999998</v>
      </c>
      <c r="AC1168" s="11">
        <v>69.137</v>
      </c>
      <c r="AD1168" s="11">
        <v>68.432000000000002</v>
      </c>
      <c r="AE1168" s="11">
        <v>67.784000000000006</v>
      </c>
      <c r="AF1168" s="11">
        <v>67.227999999999994</v>
      </c>
      <c r="AG1168" s="11">
        <v>66.738</v>
      </c>
      <c r="AH1168" s="11">
        <v>66.301000000000002</v>
      </c>
      <c r="AI1168" s="11">
        <v>65.86</v>
      </c>
      <c r="AJ1168" s="11">
        <v>65.481999999999999</v>
      </c>
      <c r="AK1168" s="11">
        <v>65.102000000000004</v>
      </c>
      <c r="AL1168" s="11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  <c r="DP1168" s="3"/>
      <c r="DQ1168" s="3"/>
      <c r="DR1168" s="3"/>
      <c r="DS1168" s="3"/>
      <c r="DT1168" s="3"/>
      <c r="DU1168" s="3"/>
      <c r="DV1168" s="3"/>
      <c r="DW1168" s="3"/>
      <c r="DX1168" s="3"/>
      <c r="DY1168" s="3"/>
      <c r="DZ1168" s="3"/>
      <c r="EA1168" s="3"/>
      <c r="EB1168" s="3"/>
      <c r="EC1168" s="3"/>
      <c r="ED1168" s="3"/>
      <c r="EE1168" s="3"/>
      <c r="EF1168" s="3"/>
      <c r="EG1168" s="3"/>
      <c r="EH1168" s="3"/>
      <c r="EI1168" s="3"/>
      <c r="EJ1168" s="3"/>
      <c r="EK1168" s="3"/>
      <c r="EL1168" s="3"/>
      <c r="EM1168" s="3"/>
      <c r="EN1168" s="3"/>
      <c r="EO1168" s="3"/>
      <c r="EP1168" s="3"/>
      <c r="EQ1168" s="3"/>
    </row>
    <row r="1169" spans="1:147" x14ac:dyDescent="0.3">
      <c r="A1169" s="9">
        <f>DATE(2021, 7, 9)</f>
        <v>44386</v>
      </c>
      <c r="B1169" s="10">
        <v>75.55</v>
      </c>
      <c r="C1169" s="10">
        <v>74.739999999999995</v>
      </c>
      <c r="D1169" s="10">
        <v>73.92</v>
      </c>
      <c r="E1169" s="10">
        <v>73.11</v>
      </c>
      <c r="F1169" s="10">
        <v>72.400000000000006</v>
      </c>
      <c r="G1169" s="10">
        <v>71.760000000000005</v>
      </c>
      <c r="H1169" s="10">
        <v>71.209999999999994</v>
      </c>
      <c r="I1169" s="10">
        <v>70.73</v>
      </c>
      <c r="J1169" s="10">
        <v>70.27</v>
      </c>
      <c r="K1169" s="10">
        <v>69.81</v>
      </c>
      <c r="L1169" s="10">
        <v>69.38</v>
      </c>
      <c r="M1169" s="10">
        <v>68.959999999999994</v>
      </c>
      <c r="N1169" s="10">
        <v>74.56</v>
      </c>
      <c r="O1169" s="10">
        <v>73.81</v>
      </c>
      <c r="P1169" s="10">
        <v>72.680000000000007</v>
      </c>
      <c r="Q1169" s="10">
        <v>71.64</v>
      </c>
      <c r="R1169" s="10">
        <v>70.790000000000006</v>
      </c>
      <c r="S1169" s="10">
        <v>70.010000000000005</v>
      </c>
      <c r="T1169" s="10">
        <v>69.3</v>
      </c>
      <c r="U1169" s="10">
        <v>68.64</v>
      </c>
      <c r="V1169" s="10">
        <v>68.010000000000005</v>
      </c>
      <c r="W1169" s="10">
        <v>67.41</v>
      </c>
      <c r="X1169" s="10">
        <v>66.84</v>
      </c>
      <c r="Y1169" s="10">
        <v>66.260000000000005</v>
      </c>
      <c r="Z1169" s="11">
        <v>73.808000000000007</v>
      </c>
      <c r="AA1169" s="11">
        <v>72.613</v>
      </c>
      <c r="AB1169" s="11">
        <v>71.453000000000003</v>
      </c>
      <c r="AC1169" s="11">
        <v>70.605999999999995</v>
      </c>
      <c r="AD1169" s="11">
        <v>69.873999999999995</v>
      </c>
      <c r="AE1169" s="11">
        <v>69.204999999999998</v>
      </c>
      <c r="AF1169" s="11">
        <v>68.656999999999996</v>
      </c>
      <c r="AG1169" s="11">
        <v>68.156999999999996</v>
      </c>
      <c r="AH1169" s="11">
        <v>67.67</v>
      </c>
      <c r="AI1169" s="11">
        <v>67.248999999999995</v>
      </c>
      <c r="AJ1169" s="11">
        <v>66.831000000000003</v>
      </c>
      <c r="AK1169" s="11">
        <v>66.421000000000006</v>
      </c>
      <c r="AL1169" s="11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  <c r="DP1169" s="3"/>
      <c r="DQ1169" s="3"/>
      <c r="DR1169" s="3"/>
      <c r="DS1169" s="3"/>
      <c r="DT1169" s="3"/>
      <c r="DU1169" s="3"/>
      <c r="DV1169" s="3"/>
      <c r="DW1169" s="3"/>
      <c r="DX1169" s="3"/>
      <c r="DY1169" s="3"/>
      <c r="DZ1169" s="3"/>
      <c r="EA1169" s="3"/>
      <c r="EB1169" s="3"/>
      <c r="EC1169" s="3"/>
      <c r="ED1169" s="3"/>
      <c r="EE1169" s="3"/>
      <c r="EF1169" s="3"/>
      <c r="EG1169" s="3"/>
      <c r="EH1169" s="3"/>
      <c r="EI1169" s="3"/>
      <c r="EJ1169" s="3"/>
      <c r="EK1169" s="3"/>
      <c r="EL1169" s="3"/>
      <c r="EM1169" s="3"/>
      <c r="EN1169" s="3"/>
      <c r="EO1169" s="3"/>
      <c r="EP1169" s="3"/>
      <c r="EQ1169" s="3"/>
    </row>
    <row r="1170" spans="1:147" x14ac:dyDescent="0.3">
      <c r="A1170" s="9">
        <f>DATE(2021, 7, 12)</f>
        <v>44389</v>
      </c>
      <c r="B1170" s="10">
        <v>75.16</v>
      </c>
      <c r="C1170" s="10">
        <v>74.42</v>
      </c>
      <c r="D1170" s="10">
        <v>73.650000000000006</v>
      </c>
      <c r="E1170" s="10">
        <v>72.87</v>
      </c>
      <c r="F1170" s="10">
        <v>72.180000000000007</v>
      </c>
      <c r="G1170" s="10">
        <v>71.569999999999993</v>
      </c>
      <c r="H1170" s="10">
        <v>71.040000000000006</v>
      </c>
      <c r="I1170" s="10">
        <v>70.569999999999993</v>
      </c>
      <c r="J1170" s="10">
        <v>70.13</v>
      </c>
      <c r="K1170" s="10">
        <v>69.680000000000007</v>
      </c>
      <c r="L1170" s="10">
        <v>69.260000000000005</v>
      </c>
      <c r="M1170" s="10">
        <v>68.86</v>
      </c>
      <c r="N1170" s="10">
        <v>74.099999999999994</v>
      </c>
      <c r="O1170" s="10">
        <v>73.44</v>
      </c>
      <c r="P1170" s="10">
        <v>72.36</v>
      </c>
      <c r="Q1170" s="10">
        <v>71.39</v>
      </c>
      <c r="R1170" s="10">
        <v>70.58</v>
      </c>
      <c r="S1170" s="10">
        <v>69.83</v>
      </c>
      <c r="T1170" s="10">
        <v>69.14</v>
      </c>
      <c r="U1170" s="10">
        <v>68.510000000000005</v>
      </c>
      <c r="V1170" s="10">
        <v>67.91</v>
      </c>
      <c r="W1170" s="10">
        <v>67.33</v>
      </c>
      <c r="X1170" s="10">
        <v>66.790000000000006</v>
      </c>
      <c r="Y1170" s="10">
        <v>66.23</v>
      </c>
      <c r="Z1170" s="11">
        <v>73.578999999999994</v>
      </c>
      <c r="AA1170" s="11">
        <v>72.305000000000007</v>
      </c>
      <c r="AB1170" s="11">
        <v>71.194999999999993</v>
      </c>
      <c r="AC1170" s="11">
        <v>70.367000000000004</v>
      </c>
      <c r="AD1170" s="11">
        <v>69.652000000000001</v>
      </c>
      <c r="AE1170" s="11">
        <v>69.013999999999996</v>
      </c>
      <c r="AF1170" s="11">
        <v>68.488</v>
      </c>
      <c r="AG1170" s="11">
        <v>67.998000000000005</v>
      </c>
      <c r="AH1170" s="11">
        <v>67.53</v>
      </c>
      <c r="AI1170" s="11">
        <v>67.119</v>
      </c>
      <c r="AJ1170" s="11">
        <v>66.712000000000003</v>
      </c>
      <c r="AK1170" s="11">
        <v>66.322000000000003</v>
      </c>
      <c r="AL1170" s="11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  <c r="DG1170" s="3"/>
      <c r="DH1170" s="3"/>
      <c r="DI1170" s="3"/>
      <c r="DJ1170" s="3"/>
      <c r="DK1170" s="3"/>
      <c r="DL1170" s="3"/>
      <c r="DM1170" s="3"/>
      <c r="DN1170" s="3"/>
      <c r="DO1170" s="3"/>
      <c r="DP1170" s="3"/>
      <c r="DQ1170" s="3"/>
      <c r="DR1170" s="3"/>
      <c r="DS1170" s="3"/>
      <c r="DT1170" s="3"/>
      <c r="DU1170" s="3"/>
      <c r="DV1170" s="3"/>
      <c r="DW1170" s="3"/>
      <c r="DX1170" s="3"/>
      <c r="DY1170" s="3"/>
      <c r="DZ1170" s="3"/>
      <c r="EA1170" s="3"/>
      <c r="EB1170" s="3"/>
      <c r="EC1170" s="3"/>
      <c r="ED1170" s="3"/>
      <c r="EE1170" s="3"/>
      <c r="EF1170" s="3"/>
      <c r="EG1170" s="3"/>
      <c r="EH1170" s="3"/>
      <c r="EI1170" s="3"/>
      <c r="EJ1170" s="3"/>
      <c r="EK1170" s="3"/>
      <c r="EL1170" s="3"/>
      <c r="EM1170" s="3"/>
      <c r="EN1170" s="3"/>
      <c r="EO1170" s="3"/>
      <c r="EP1170" s="3"/>
      <c r="EQ1170" s="3"/>
    </row>
    <row r="1171" spans="1:147" x14ac:dyDescent="0.3">
      <c r="A1171" s="9">
        <f>DATE(2021, 7, 13)</f>
        <v>44390</v>
      </c>
      <c r="B1171" s="10">
        <v>76.489999999999995</v>
      </c>
      <c r="C1171" s="10">
        <v>75.709999999999994</v>
      </c>
      <c r="D1171" s="10">
        <v>74.930000000000007</v>
      </c>
      <c r="E1171" s="10">
        <v>74.13</v>
      </c>
      <c r="F1171" s="10">
        <v>73.430000000000007</v>
      </c>
      <c r="G1171" s="10">
        <v>72.8</v>
      </c>
      <c r="H1171" s="10">
        <v>72.260000000000005</v>
      </c>
      <c r="I1171" s="10">
        <v>71.78</v>
      </c>
      <c r="J1171" s="10">
        <v>71.33</v>
      </c>
      <c r="K1171" s="10">
        <v>70.88</v>
      </c>
      <c r="L1171" s="10">
        <v>70.459999999999994</v>
      </c>
      <c r="M1171" s="10">
        <v>70.05</v>
      </c>
      <c r="N1171" s="10">
        <v>75.25</v>
      </c>
      <c r="O1171" s="10">
        <v>74.69</v>
      </c>
      <c r="P1171" s="10">
        <v>73.69</v>
      </c>
      <c r="Q1171" s="10">
        <v>72.739999999999995</v>
      </c>
      <c r="R1171" s="10">
        <v>71.900000000000006</v>
      </c>
      <c r="S1171" s="10">
        <v>71.13</v>
      </c>
      <c r="T1171" s="10">
        <v>70.430000000000007</v>
      </c>
      <c r="U1171" s="10">
        <v>69.790000000000006</v>
      </c>
      <c r="V1171" s="10">
        <v>69.17</v>
      </c>
      <c r="W1171" s="10">
        <v>68.59</v>
      </c>
      <c r="X1171" s="10">
        <v>68.02</v>
      </c>
      <c r="Y1171" s="10">
        <v>67.45</v>
      </c>
      <c r="Z1171" s="11">
        <v>74.387</v>
      </c>
      <c r="AA1171" s="11">
        <v>73.625</v>
      </c>
      <c r="AB1171" s="11">
        <v>72.494</v>
      </c>
      <c r="AC1171" s="11">
        <v>71.637</v>
      </c>
      <c r="AD1171" s="11">
        <v>70.915999999999997</v>
      </c>
      <c r="AE1171" s="11">
        <v>70.278000000000006</v>
      </c>
      <c r="AF1171" s="11">
        <v>69.697000000000003</v>
      </c>
      <c r="AG1171" s="11">
        <v>69.197999999999993</v>
      </c>
      <c r="AH1171" s="11">
        <v>68.73</v>
      </c>
      <c r="AI1171" s="11">
        <v>68.319000000000003</v>
      </c>
      <c r="AJ1171" s="11">
        <v>67.911000000000001</v>
      </c>
      <c r="AK1171" s="11">
        <v>67.512</v>
      </c>
      <c r="AL1171" s="11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  <c r="DG1171" s="3"/>
      <c r="DH1171" s="3"/>
      <c r="DI1171" s="3"/>
      <c r="DJ1171" s="3"/>
      <c r="DK1171" s="3"/>
      <c r="DL1171" s="3"/>
      <c r="DM1171" s="3"/>
      <c r="DN1171" s="3"/>
      <c r="DO1171" s="3"/>
      <c r="DP1171" s="3"/>
      <c r="DQ1171" s="3"/>
      <c r="DR1171" s="3"/>
      <c r="DS1171" s="3"/>
      <c r="DT1171" s="3"/>
      <c r="DU1171" s="3"/>
      <c r="DV1171" s="3"/>
      <c r="DW1171" s="3"/>
      <c r="DX1171" s="3"/>
      <c r="DY1171" s="3"/>
      <c r="DZ1171" s="3"/>
      <c r="EA1171" s="3"/>
      <c r="EB1171" s="3"/>
      <c r="EC1171" s="3"/>
      <c r="ED1171" s="3"/>
      <c r="EE1171" s="3"/>
      <c r="EF1171" s="3"/>
      <c r="EG1171" s="3"/>
      <c r="EH1171" s="3"/>
      <c r="EI1171" s="3"/>
      <c r="EJ1171" s="3"/>
      <c r="EK1171" s="3"/>
      <c r="EL1171" s="3"/>
      <c r="EM1171" s="3"/>
      <c r="EN1171" s="3"/>
      <c r="EO1171" s="3"/>
      <c r="EP1171" s="3"/>
      <c r="EQ1171" s="3"/>
    </row>
    <row r="1172" spans="1:147" x14ac:dyDescent="0.3">
      <c r="A1172" s="9">
        <f>DATE(2021, 7, 14)</f>
        <v>44391</v>
      </c>
      <c r="B1172" s="10">
        <v>74.760000000000005</v>
      </c>
      <c r="C1172" s="10">
        <v>73.98</v>
      </c>
      <c r="D1172" s="10">
        <v>73.22</v>
      </c>
      <c r="E1172" s="10">
        <v>72.459999999999994</v>
      </c>
      <c r="F1172" s="10">
        <v>71.790000000000006</v>
      </c>
      <c r="G1172" s="10">
        <v>71.2</v>
      </c>
      <c r="H1172" s="10">
        <v>70.7</v>
      </c>
      <c r="I1172" s="10">
        <v>70.260000000000005</v>
      </c>
      <c r="J1172" s="10">
        <v>69.849999999999994</v>
      </c>
      <c r="K1172" s="10">
        <v>69.44</v>
      </c>
      <c r="L1172" s="10">
        <v>69.040000000000006</v>
      </c>
      <c r="M1172" s="10">
        <v>68.66</v>
      </c>
      <c r="N1172" s="10">
        <v>73.13</v>
      </c>
      <c r="O1172" s="10">
        <v>72.64</v>
      </c>
      <c r="P1172" s="10">
        <v>71.81</v>
      </c>
      <c r="Q1172" s="10">
        <v>70.959999999999994</v>
      </c>
      <c r="R1172" s="10">
        <v>70.209999999999994</v>
      </c>
      <c r="S1172" s="10">
        <v>69.52</v>
      </c>
      <c r="T1172" s="10">
        <v>68.88</v>
      </c>
      <c r="U1172" s="10">
        <v>68.290000000000006</v>
      </c>
      <c r="V1172" s="10">
        <v>67.72</v>
      </c>
      <c r="W1172" s="10">
        <v>67.16</v>
      </c>
      <c r="X1172" s="10">
        <v>66.63</v>
      </c>
      <c r="Y1172" s="10">
        <v>66.09</v>
      </c>
      <c r="Z1172" s="11">
        <v>73.516000000000005</v>
      </c>
      <c r="AA1172" s="11">
        <v>71.935000000000002</v>
      </c>
      <c r="AB1172" s="11">
        <v>70.849999999999994</v>
      </c>
      <c r="AC1172" s="11">
        <v>70.007999999999996</v>
      </c>
      <c r="AD1172" s="11">
        <v>69.313000000000002</v>
      </c>
      <c r="AE1172" s="11">
        <v>68.706999999999994</v>
      </c>
      <c r="AF1172" s="11">
        <v>68.179000000000002</v>
      </c>
      <c r="AG1172" s="11">
        <v>67.72</v>
      </c>
      <c r="AH1172" s="11">
        <v>67.292000000000002</v>
      </c>
      <c r="AI1172" s="11">
        <v>66.900000000000006</v>
      </c>
      <c r="AJ1172" s="11">
        <v>66.513000000000005</v>
      </c>
      <c r="AK1172" s="11">
        <v>66.144000000000005</v>
      </c>
      <c r="AL1172" s="11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  <c r="DG1172" s="3"/>
      <c r="DH1172" s="3"/>
      <c r="DI1172" s="3"/>
      <c r="DJ1172" s="3"/>
      <c r="DK1172" s="3"/>
      <c r="DL1172" s="3"/>
      <c r="DM1172" s="3"/>
      <c r="DN1172" s="3"/>
      <c r="DO1172" s="3"/>
      <c r="DP1172" s="3"/>
      <c r="DQ1172" s="3"/>
      <c r="DR1172" s="3"/>
      <c r="DS1172" s="3"/>
      <c r="DT1172" s="3"/>
      <c r="DU1172" s="3"/>
      <c r="DV1172" s="3"/>
      <c r="DW1172" s="3"/>
      <c r="DX1172" s="3"/>
      <c r="DY1172" s="3"/>
      <c r="DZ1172" s="3"/>
      <c r="EA1172" s="3"/>
      <c r="EB1172" s="3"/>
      <c r="EC1172" s="3"/>
      <c r="ED1172" s="3"/>
      <c r="EE1172" s="3"/>
      <c r="EF1172" s="3"/>
      <c r="EG1172" s="3"/>
      <c r="EH1172" s="3"/>
      <c r="EI1172" s="3"/>
      <c r="EJ1172" s="3"/>
      <c r="EK1172" s="3"/>
      <c r="EL1172" s="3"/>
      <c r="EM1172" s="3"/>
      <c r="EN1172" s="3"/>
      <c r="EO1172" s="3"/>
      <c r="EP1172" s="3"/>
      <c r="EQ1172" s="3"/>
    </row>
    <row r="1173" spans="1:147" x14ac:dyDescent="0.3">
      <c r="A1173" s="9">
        <f>DATE(2021, 7, 15)</f>
        <v>44392</v>
      </c>
      <c r="B1173" s="10">
        <v>73.47</v>
      </c>
      <c r="C1173" s="10">
        <v>72.77</v>
      </c>
      <c r="D1173" s="10">
        <v>72.069999999999993</v>
      </c>
      <c r="E1173" s="10">
        <v>71.39</v>
      </c>
      <c r="F1173" s="10">
        <v>70.790000000000006</v>
      </c>
      <c r="G1173" s="10">
        <v>70.25</v>
      </c>
      <c r="H1173" s="10">
        <v>69.8</v>
      </c>
      <c r="I1173" s="10">
        <v>69.400000000000006</v>
      </c>
      <c r="J1173" s="10">
        <v>69.03</v>
      </c>
      <c r="K1173" s="10">
        <v>68.66</v>
      </c>
      <c r="L1173" s="10">
        <v>68.290000000000006</v>
      </c>
      <c r="M1173" s="10">
        <v>67.95</v>
      </c>
      <c r="N1173" s="10">
        <v>71.650000000000006</v>
      </c>
      <c r="O1173" s="10">
        <v>71.38</v>
      </c>
      <c r="P1173" s="10">
        <v>70.64</v>
      </c>
      <c r="Q1173" s="10">
        <v>69.86</v>
      </c>
      <c r="R1173" s="10">
        <v>69.16</v>
      </c>
      <c r="S1173" s="10">
        <v>68.52</v>
      </c>
      <c r="T1173" s="10">
        <v>67.94</v>
      </c>
      <c r="U1173" s="10">
        <v>67.39</v>
      </c>
      <c r="V1173" s="10">
        <v>66.87</v>
      </c>
      <c r="W1173" s="10">
        <v>66.36</v>
      </c>
      <c r="X1173" s="10">
        <v>65.86</v>
      </c>
      <c r="Y1173" s="10">
        <v>65.36</v>
      </c>
      <c r="Z1173" s="11">
        <v>72.736999999999995</v>
      </c>
      <c r="AA1173" s="11">
        <v>70.716999999999999</v>
      </c>
      <c r="AB1173" s="11">
        <v>69.706999999999994</v>
      </c>
      <c r="AC1173" s="11">
        <v>68.945999999999998</v>
      </c>
      <c r="AD1173" s="11">
        <v>68.284999999999997</v>
      </c>
      <c r="AE1173" s="11">
        <v>67.703999999999994</v>
      </c>
      <c r="AF1173" s="11">
        <v>67.221000000000004</v>
      </c>
      <c r="AG1173" s="11">
        <v>66.869</v>
      </c>
      <c r="AH1173" s="11">
        <v>66.5</v>
      </c>
      <c r="AI1173" s="11">
        <v>66.152000000000001</v>
      </c>
      <c r="AJ1173" s="11">
        <v>65.765000000000001</v>
      </c>
      <c r="AK1173" s="11">
        <v>65.435000000000002</v>
      </c>
      <c r="AL1173" s="11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  <c r="DG1173" s="3"/>
      <c r="DH1173" s="3"/>
      <c r="DI1173" s="3"/>
      <c r="DJ1173" s="3"/>
      <c r="DK1173" s="3"/>
      <c r="DL1173" s="3"/>
      <c r="DM1173" s="3"/>
      <c r="DN1173" s="3"/>
      <c r="DO1173" s="3"/>
      <c r="DP1173" s="3"/>
      <c r="DQ1173" s="3"/>
      <c r="DR1173" s="3"/>
      <c r="DS1173" s="3"/>
      <c r="DT1173" s="3"/>
      <c r="DU1173" s="3"/>
      <c r="DV1173" s="3"/>
      <c r="DW1173" s="3"/>
      <c r="DX1173" s="3"/>
      <c r="DY1173" s="3"/>
      <c r="DZ1173" s="3"/>
      <c r="EA1173" s="3"/>
      <c r="EB1173" s="3"/>
      <c r="EC1173" s="3"/>
      <c r="ED1173" s="3"/>
      <c r="EE1173" s="3"/>
      <c r="EF1173" s="3"/>
      <c r="EG1173" s="3"/>
      <c r="EH1173" s="3"/>
      <c r="EI1173" s="3"/>
      <c r="EJ1173" s="3"/>
      <c r="EK1173" s="3"/>
      <c r="EL1173" s="3"/>
      <c r="EM1173" s="3"/>
      <c r="EN1173" s="3"/>
      <c r="EO1173" s="3"/>
      <c r="EP1173" s="3"/>
      <c r="EQ1173" s="3"/>
    </row>
    <row r="1174" spans="1:147" x14ac:dyDescent="0.3">
      <c r="A1174" s="9">
        <f>DATE(2021, 7, 16)</f>
        <v>44393</v>
      </c>
      <c r="B1174" s="10">
        <v>73.59</v>
      </c>
      <c r="C1174" s="10">
        <v>72.97</v>
      </c>
      <c r="D1174" s="10">
        <v>72.319999999999993</v>
      </c>
      <c r="E1174" s="10">
        <v>71.67</v>
      </c>
      <c r="F1174" s="10">
        <v>71.09</v>
      </c>
      <c r="G1174" s="10">
        <v>70.58</v>
      </c>
      <c r="H1174" s="10">
        <v>70.14</v>
      </c>
      <c r="I1174" s="10">
        <v>69.75</v>
      </c>
      <c r="J1174" s="10">
        <v>69.38</v>
      </c>
      <c r="K1174" s="10">
        <v>69.03</v>
      </c>
      <c r="L1174" s="10">
        <v>68.680000000000007</v>
      </c>
      <c r="M1174" s="10">
        <v>68.34</v>
      </c>
      <c r="N1174" s="10">
        <v>71.81</v>
      </c>
      <c r="O1174" s="10">
        <v>71.56</v>
      </c>
      <c r="P1174" s="10">
        <v>70.819999999999993</v>
      </c>
      <c r="Q1174" s="10">
        <v>70.069999999999993</v>
      </c>
      <c r="R1174" s="10">
        <v>69.41</v>
      </c>
      <c r="S1174" s="10">
        <v>68.81</v>
      </c>
      <c r="T1174" s="10">
        <v>68.25</v>
      </c>
      <c r="U1174" s="10">
        <v>67.73</v>
      </c>
      <c r="V1174" s="10">
        <v>67.22</v>
      </c>
      <c r="W1174" s="10">
        <v>66.73</v>
      </c>
      <c r="X1174" s="10">
        <v>66.25</v>
      </c>
      <c r="Y1174" s="10">
        <v>65.760000000000005</v>
      </c>
      <c r="Z1174" s="11">
        <v>72.781000000000006</v>
      </c>
      <c r="AA1174" s="11">
        <v>70.84</v>
      </c>
      <c r="AB1174" s="11">
        <v>69.87</v>
      </c>
      <c r="AC1174" s="11">
        <v>69.171999999999997</v>
      </c>
      <c r="AD1174" s="11">
        <v>68.566999999999993</v>
      </c>
      <c r="AE1174" s="11">
        <v>68.001999999999995</v>
      </c>
      <c r="AF1174" s="11">
        <v>67.531000000000006</v>
      </c>
      <c r="AG1174" s="11">
        <v>67.132000000000005</v>
      </c>
      <c r="AH1174" s="11">
        <v>66.754999999999995</v>
      </c>
      <c r="AI1174" s="11">
        <v>66.403000000000006</v>
      </c>
      <c r="AJ1174" s="11">
        <v>66.075000000000003</v>
      </c>
      <c r="AK1174" s="11">
        <v>65.765000000000001</v>
      </c>
      <c r="AL1174" s="11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  <c r="DG1174" s="3"/>
      <c r="DH1174" s="3"/>
      <c r="DI1174" s="3"/>
      <c r="DJ1174" s="3"/>
      <c r="DK1174" s="3"/>
      <c r="DL1174" s="3"/>
      <c r="DM1174" s="3"/>
      <c r="DN1174" s="3"/>
      <c r="DO1174" s="3"/>
      <c r="DP1174" s="3"/>
      <c r="DQ1174" s="3"/>
      <c r="DR1174" s="3"/>
      <c r="DS1174" s="3"/>
      <c r="DT1174" s="3"/>
      <c r="DU1174" s="3"/>
      <c r="DV1174" s="3"/>
      <c r="DW1174" s="3"/>
      <c r="DX1174" s="3"/>
      <c r="DY1174" s="3"/>
      <c r="DZ1174" s="3"/>
      <c r="EA1174" s="3"/>
      <c r="EB1174" s="3"/>
      <c r="EC1174" s="3"/>
      <c r="ED1174" s="3"/>
      <c r="EE1174" s="3"/>
      <c r="EF1174" s="3"/>
      <c r="EG1174" s="3"/>
      <c r="EH1174" s="3"/>
      <c r="EI1174" s="3"/>
      <c r="EJ1174" s="3"/>
      <c r="EK1174" s="3"/>
      <c r="EL1174" s="3"/>
      <c r="EM1174" s="3"/>
      <c r="EN1174" s="3"/>
      <c r="EO1174" s="3"/>
      <c r="EP1174" s="3"/>
      <c r="EQ1174" s="3"/>
    </row>
    <row r="1175" spans="1:147" x14ac:dyDescent="0.3">
      <c r="A1175" s="9">
        <f>DATE(2021, 7, 19)</f>
        <v>44396</v>
      </c>
      <c r="B1175" s="10">
        <v>68.62</v>
      </c>
      <c r="C1175" s="10">
        <v>68.05</v>
      </c>
      <c r="D1175" s="10">
        <v>67.489999999999995</v>
      </c>
      <c r="E1175" s="10">
        <v>66.94</v>
      </c>
      <c r="F1175" s="10">
        <v>66.44</v>
      </c>
      <c r="G1175" s="10">
        <v>66</v>
      </c>
      <c r="H1175" s="10">
        <v>65.63</v>
      </c>
      <c r="I1175" s="10">
        <v>65.31</v>
      </c>
      <c r="J1175" s="10">
        <v>65.02</v>
      </c>
      <c r="K1175" s="10">
        <v>64.739999999999995</v>
      </c>
      <c r="L1175" s="10">
        <v>64.45</v>
      </c>
      <c r="M1175" s="10">
        <v>64.19</v>
      </c>
      <c r="N1175" s="10">
        <v>66.42</v>
      </c>
      <c r="O1175" s="10">
        <v>66.349999999999994</v>
      </c>
      <c r="P1175" s="10">
        <v>65.760000000000005</v>
      </c>
      <c r="Q1175" s="10">
        <v>65.12</v>
      </c>
      <c r="R1175" s="10">
        <v>64.55</v>
      </c>
      <c r="S1175" s="10">
        <v>64.040000000000006</v>
      </c>
      <c r="T1175" s="10">
        <v>63.57</v>
      </c>
      <c r="U1175" s="10">
        <v>63.12</v>
      </c>
      <c r="V1175" s="10">
        <v>62.7</v>
      </c>
      <c r="W1175" s="10">
        <v>62.29</v>
      </c>
      <c r="X1175" s="10">
        <v>61.89</v>
      </c>
      <c r="Y1175" s="10">
        <v>61.47</v>
      </c>
      <c r="Z1175" s="11">
        <v>70.858999999999995</v>
      </c>
      <c r="AA1175" s="11">
        <v>65.905000000000001</v>
      </c>
      <c r="AB1175" s="11">
        <v>65.015000000000001</v>
      </c>
      <c r="AC1175" s="11">
        <v>64.391000000000005</v>
      </c>
      <c r="AD1175" s="11">
        <v>63.84</v>
      </c>
      <c r="AE1175" s="11">
        <v>63.357999999999997</v>
      </c>
      <c r="AF1175" s="11">
        <v>62.94</v>
      </c>
      <c r="AG1175" s="11">
        <v>62.610999999999997</v>
      </c>
      <c r="AH1175" s="11">
        <v>62.313000000000002</v>
      </c>
      <c r="AI1175" s="11">
        <v>62.036000000000001</v>
      </c>
      <c r="AJ1175" s="11">
        <v>61.768000000000001</v>
      </c>
      <c r="AK1175" s="11">
        <v>61.527999999999999</v>
      </c>
      <c r="AL1175" s="11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  <c r="DG1175" s="3"/>
      <c r="DH1175" s="3"/>
      <c r="DI1175" s="3"/>
      <c r="DJ1175" s="3"/>
      <c r="DK1175" s="3"/>
      <c r="DL1175" s="3"/>
      <c r="DM1175" s="3"/>
      <c r="DN1175" s="3"/>
      <c r="DO1175" s="3"/>
      <c r="DP1175" s="3"/>
      <c r="DQ1175" s="3"/>
      <c r="DR1175" s="3"/>
      <c r="DS1175" s="3"/>
      <c r="DT1175" s="3"/>
      <c r="DU1175" s="3"/>
      <c r="DV1175" s="3"/>
      <c r="DW1175" s="3"/>
      <c r="DX1175" s="3"/>
      <c r="DY1175" s="3"/>
      <c r="DZ1175" s="3"/>
      <c r="EA1175" s="3"/>
      <c r="EB1175" s="3"/>
      <c r="EC1175" s="3"/>
      <c r="ED1175" s="3"/>
      <c r="EE1175" s="3"/>
      <c r="EF1175" s="3"/>
      <c r="EG1175" s="3"/>
      <c r="EH1175" s="3"/>
      <c r="EI1175" s="3"/>
      <c r="EJ1175" s="3"/>
      <c r="EK1175" s="3"/>
      <c r="EL1175" s="3"/>
      <c r="EM1175" s="3"/>
      <c r="EN1175" s="3"/>
      <c r="EO1175" s="3"/>
      <c r="EP1175" s="3"/>
      <c r="EQ1175" s="3"/>
    </row>
    <row r="1176" spans="1:147" x14ac:dyDescent="0.3">
      <c r="A1176" s="9">
        <f>DATE(2021, 7, 20)</f>
        <v>44397</v>
      </c>
      <c r="B1176" s="10">
        <v>69.349999999999994</v>
      </c>
      <c r="C1176" s="10">
        <v>68.77</v>
      </c>
      <c r="D1176" s="10">
        <v>68.2</v>
      </c>
      <c r="E1176" s="10">
        <v>67.61</v>
      </c>
      <c r="F1176" s="10">
        <v>67.08</v>
      </c>
      <c r="G1176" s="10">
        <v>66.599999999999994</v>
      </c>
      <c r="H1176" s="10">
        <v>66.19</v>
      </c>
      <c r="I1176" s="10">
        <v>65.83</v>
      </c>
      <c r="J1176" s="10">
        <v>65.489999999999995</v>
      </c>
      <c r="K1176" s="10">
        <v>65.16</v>
      </c>
      <c r="L1176" s="10">
        <v>64.84</v>
      </c>
      <c r="M1176" s="10">
        <v>64.540000000000006</v>
      </c>
      <c r="N1176" s="10">
        <v>67.42</v>
      </c>
      <c r="O1176" s="10">
        <v>67.2</v>
      </c>
      <c r="P1176" s="10">
        <v>66.62</v>
      </c>
      <c r="Q1176" s="10">
        <v>65.95</v>
      </c>
      <c r="R1176" s="10">
        <v>65.34</v>
      </c>
      <c r="S1176" s="10">
        <v>64.78</v>
      </c>
      <c r="T1176" s="10">
        <v>64.27</v>
      </c>
      <c r="U1176" s="10">
        <v>63.8</v>
      </c>
      <c r="V1176" s="10">
        <v>63.34</v>
      </c>
      <c r="W1176" s="10">
        <v>62.9</v>
      </c>
      <c r="X1176" s="10">
        <v>62.47</v>
      </c>
      <c r="Y1176" s="10">
        <v>62.03</v>
      </c>
      <c r="Z1176" s="11">
        <v>71.167000000000002</v>
      </c>
      <c r="AA1176" s="11">
        <v>66.674000000000007</v>
      </c>
      <c r="AB1176" s="11">
        <v>65.753</v>
      </c>
      <c r="AC1176" s="11">
        <v>65.084999999999994</v>
      </c>
      <c r="AD1176" s="11">
        <v>64.498000000000005</v>
      </c>
      <c r="AE1176" s="11">
        <v>63.954000000000001</v>
      </c>
      <c r="AF1176" s="11">
        <v>63.493000000000002</v>
      </c>
      <c r="AG1176" s="11">
        <v>63.122999999999998</v>
      </c>
      <c r="AH1176" s="11">
        <v>62.776000000000003</v>
      </c>
      <c r="AI1176" s="11">
        <v>62.454000000000001</v>
      </c>
      <c r="AJ1176" s="11">
        <v>62.155999999999999</v>
      </c>
      <c r="AK1176" s="11">
        <v>61.877000000000002</v>
      </c>
      <c r="AL1176" s="11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  <c r="DG1176" s="3"/>
      <c r="DH1176" s="3"/>
      <c r="DI1176" s="3"/>
      <c r="DJ1176" s="3"/>
      <c r="DK1176" s="3"/>
      <c r="DL1176" s="3"/>
      <c r="DM1176" s="3"/>
      <c r="DN1176" s="3"/>
      <c r="DO1176" s="3"/>
      <c r="DP1176" s="3"/>
      <c r="DQ1176" s="3"/>
      <c r="DR1176" s="3"/>
      <c r="DS1176" s="3"/>
      <c r="DT1176" s="3"/>
      <c r="DU1176" s="3"/>
      <c r="DV1176" s="3"/>
      <c r="DW1176" s="3"/>
      <c r="DX1176" s="3"/>
      <c r="DY1176" s="3"/>
      <c r="DZ1176" s="3"/>
      <c r="EA1176" s="3"/>
      <c r="EB1176" s="3"/>
      <c r="EC1176" s="3"/>
      <c r="ED1176" s="3"/>
      <c r="EE1176" s="3"/>
      <c r="EF1176" s="3"/>
      <c r="EG1176" s="3"/>
      <c r="EH1176" s="3"/>
      <c r="EI1176" s="3"/>
      <c r="EJ1176" s="3"/>
      <c r="EK1176" s="3"/>
      <c r="EL1176" s="3"/>
      <c r="EM1176" s="3"/>
      <c r="EN1176" s="3"/>
      <c r="EO1176" s="3"/>
      <c r="EP1176" s="3"/>
      <c r="EQ1176" s="3"/>
    </row>
    <row r="1177" spans="1:147" x14ac:dyDescent="0.3">
      <c r="A1177" s="9">
        <f>DATE(2021, 7, 21)</f>
        <v>44398</v>
      </c>
      <c r="B1177" s="10">
        <v>72.23</v>
      </c>
      <c r="C1177" s="10">
        <v>71.63</v>
      </c>
      <c r="D1177" s="10">
        <v>70.98</v>
      </c>
      <c r="E1177" s="10">
        <v>70.31</v>
      </c>
      <c r="F1177" s="10">
        <v>69.709999999999994</v>
      </c>
      <c r="G1177" s="10">
        <v>69.17</v>
      </c>
      <c r="H1177" s="10">
        <v>68.72</v>
      </c>
      <c r="I1177" s="10">
        <v>68.33</v>
      </c>
      <c r="J1177" s="10">
        <v>67.959999999999994</v>
      </c>
      <c r="K1177" s="10">
        <v>67.61</v>
      </c>
      <c r="L1177" s="10">
        <v>67.260000000000005</v>
      </c>
      <c r="M1177" s="10">
        <v>66.930000000000007</v>
      </c>
      <c r="N1177" s="10">
        <v>70.3</v>
      </c>
      <c r="O1177" s="10">
        <v>69.569999999999993</v>
      </c>
      <c r="P1177" s="10">
        <v>68.78</v>
      </c>
      <c r="Q1177" s="10">
        <v>68.05</v>
      </c>
      <c r="R1177" s="10">
        <v>67.38</v>
      </c>
      <c r="S1177" s="10">
        <v>66.8</v>
      </c>
      <c r="T1177" s="10">
        <v>66.28</v>
      </c>
      <c r="U1177" s="10">
        <v>65.790000000000006</v>
      </c>
      <c r="V1177" s="10">
        <v>65.31</v>
      </c>
      <c r="W1177" s="10">
        <v>64.849999999999994</v>
      </c>
      <c r="X1177" s="10">
        <v>64.37</v>
      </c>
      <c r="Y1177" s="10">
        <v>63.91</v>
      </c>
      <c r="Z1177" s="11">
        <v>72.262</v>
      </c>
      <c r="AA1177" s="11">
        <v>69.67</v>
      </c>
      <c r="AB1177" s="11">
        <v>68.59</v>
      </c>
      <c r="AC1177" s="11">
        <v>67.811000000000007</v>
      </c>
      <c r="AD1177" s="11">
        <v>67.155000000000001</v>
      </c>
      <c r="AE1177" s="11">
        <v>66.551000000000002</v>
      </c>
      <c r="AF1177" s="11">
        <v>66.051000000000002</v>
      </c>
      <c r="AG1177" s="11">
        <v>65.652000000000001</v>
      </c>
      <c r="AH1177" s="11">
        <v>65.275000000000006</v>
      </c>
      <c r="AI1177" s="11">
        <v>64.933000000000007</v>
      </c>
      <c r="AJ1177" s="11">
        <v>64.605000000000004</v>
      </c>
      <c r="AK1177" s="11">
        <v>64.296000000000006</v>
      </c>
      <c r="AL1177" s="11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  <c r="DG1177" s="3"/>
      <c r="DH1177" s="3"/>
      <c r="DI1177" s="3"/>
      <c r="DJ1177" s="3"/>
      <c r="DK1177" s="3"/>
      <c r="DL1177" s="3"/>
      <c r="DM1177" s="3"/>
      <c r="DN1177" s="3"/>
      <c r="DO1177" s="3"/>
      <c r="DP1177" s="3"/>
      <c r="DQ1177" s="3"/>
      <c r="DR1177" s="3"/>
      <c r="DS1177" s="3"/>
      <c r="DT1177" s="3"/>
      <c r="DU1177" s="3"/>
      <c r="DV1177" s="3"/>
      <c r="DW1177" s="3"/>
      <c r="DX1177" s="3"/>
      <c r="DY1177" s="3"/>
      <c r="DZ1177" s="3"/>
      <c r="EA1177" s="3"/>
      <c r="EB1177" s="3"/>
      <c r="EC1177" s="3"/>
      <c r="ED1177" s="3"/>
      <c r="EE1177" s="3"/>
      <c r="EF1177" s="3"/>
      <c r="EG1177" s="3"/>
      <c r="EH1177" s="3"/>
      <c r="EI1177" s="3"/>
      <c r="EJ1177" s="3"/>
      <c r="EK1177" s="3"/>
      <c r="EL1177" s="3"/>
      <c r="EM1177" s="3"/>
      <c r="EN1177" s="3"/>
      <c r="EO1177" s="3"/>
      <c r="EP1177" s="3"/>
      <c r="EQ1177" s="3"/>
    </row>
    <row r="1178" spans="1:147" x14ac:dyDescent="0.3">
      <c r="A1178" s="9">
        <f>DATE(2021, 7, 22)</f>
        <v>44399</v>
      </c>
      <c r="B1178" s="10">
        <v>73.790000000000006</v>
      </c>
      <c r="C1178" s="10">
        <v>73.150000000000006</v>
      </c>
      <c r="D1178" s="10">
        <v>72.41</v>
      </c>
      <c r="E1178" s="10">
        <v>71.67</v>
      </c>
      <c r="F1178" s="10">
        <v>71</v>
      </c>
      <c r="G1178" s="10">
        <v>70.39</v>
      </c>
      <c r="H1178" s="10">
        <v>69.87</v>
      </c>
      <c r="I1178" s="10">
        <v>69.41</v>
      </c>
      <c r="J1178" s="10">
        <v>69</v>
      </c>
      <c r="K1178" s="10">
        <v>68.61</v>
      </c>
      <c r="L1178" s="10">
        <v>68.23</v>
      </c>
      <c r="M1178" s="10">
        <v>67.86</v>
      </c>
      <c r="N1178" s="10">
        <v>71.91</v>
      </c>
      <c r="O1178" s="10">
        <v>71.14</v>
      </c>
      <c r="P1178" s="10">
        <v>70.260000000000005</v>
      </c>
      <c r="Q1178" s="10">
        <v>69.400000000000006</v>
      </c>
      <c r="R1178" s="10">
        <v>68.63</v>
      </c>
      <c r="S1178" s="10">
        <v>67.97</v>
      </c>
      <c r="T1178" s="10">
        <v>67.39</v>
      </c>
      <c r="U1178" s="10">
        <v>66.849999999999994</v>
      </c>
      <c r="V1178" s="10">
        <v>66.319999999999993</v>
      </c>
      <c r="W1178" s="10">
        <v>65.819999999999993</v>
      </c>
      <c r="X1178" s="10">
        <v>65.3</v>
      </c>
      <c r="Y1178" s="10">
        <v>64.8</v>
      </c>
      <c r="Z1178" s="11">
        <v>72.83</v>
      </c>
      <c r="AA1178" s="11">
        <v>71.436000000000007</v>
      </c>
      <c r="AB1178" s="11">
        <v>70.236000000000004</v>
      </c>
      <c r="AC1178" s="11">
        <v>69.328000000000003</v>
      </c>
      <c r="AD1178" s="11">
        <v>68.542000000000002</v>
      </c>
      <c r="AE1178" s="11">
        <v>67.834999999999994</v>
      </c>
      <c r="AF1178" s="11">
        <v>67.278000000000006</v>
      </c>
      <c r="AG1178" s="11">
        <v>66.84</v>
      </c>
      <c r="AH1178" s="11">
        <v>66.423000000000002</v>
      </c>
      <c r="AI1178" s="11">
        <v>66.031000000000006</v>
      </c>
      <c r="AJ1178" s="11">
        <v>65.662999999999997</v>
      </c>
      <c r="AK1178" s="11">
        <v>65.323999999999998</v>
      </c>
      <c r="AL1178" s="11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  <c r="DG1178" s="3"/>
      <c r="DH1178" s="3"/>
      <c r="DI1178" s="3"/>
      <c r="DJ1178" s="3"/>
      <c r="DK1178" s="3"/>
      <c r="DL1178" s="3"/>
      <c r="DM1178" s="3"/>
      <c r="DN1178" s="3"/>
      <c r="DO1178" s="3"/>
      <c r="DP1178" s="3"/>
      <c r="DQ1178" s="3"/>
      <c r="DR1178" s="3"/>
      <c r="DS1178" s="3"/>
      <c r="DT1178" s="3"/>
      <c r="DU1178" s="3"/>
      <c r="DV1178" s="3"/>
      <c r="DW1178" s="3"/>
      <c r="DX1178" s="3"/>
      <c r="DY1178" s="3"/>
      <c r="DZ1178" s="3"/>
      <c r="EA1178" s="3"/>
      <c r="EB1178" s="3"/>
      <c r="EC1178" s="3"/>
      <c r="ED1178" s="3"/>
      <c r="EE1178" s="3"/>
      <c r="EF1178" s="3"/>
      <c r="EG1178" s="3"/>
      <c r="EH1178" s="3"/>
      <c r="EI1178" s="3"/>
      <c r="EJ1178" s="3"/>
      <c r="EK1178" s="3"/>
      <c r="EL1178" s="3"/>
      <c r="EM1178" s="3"/>
      <c r="EN1178" s="3"/>
      <c r="EO1178" s="3"/>
      <c r="EP1178" s="3"/>
      <c r="EQ1178" s="3"/>
    </row>
    <row r="1179" spans="1:147" x14ac:dyDescent="0.3">
      <c r="A1179" s="9">
        <f>DATE(2021, 7, 23)</f>
        <v>44400</v>
      </c>
      <c r="B1179" s="10">
        <v>74.099999999999994</v>
      </c>
      <c r="C1179" s="10">
        <v>73.44</v>
      </c>
      <c r="D1179" s="10">
        <v>72.66</v>
      </c>
      <c r="E1179" s="10">
        <v>71.88</v>
      </c>
      <c r="F1179" s="10">
        <v>71.180000000000007</v>
      </c>
      <c r="G1179" s="10">
        <v>70.56</v>
      </c>
      <c r="H1179" s="10">
        <v>70.03</v>
      </c>
      <c r="I1179" s="10">
        <v>69.569999999999993</v>
      </c>
      <c r="J1179" s="10">
        <v>69.150000000000006</v>
      </c>
      <c r="K1179" s="10">
        <v>68.75</v>
      </c>
      <c r="L1179" s="10">
        <v>68.349999999999994</v>
      </c>
      <c r="M1179" s="10">
        <v>67.959999999999994</v>
      </c>
      <c r="N1179" s="10">
        <v>72.069999999999993</v>
      </c>
      <c r="O1179" s="10">
        <v>71.38</v>
      </c>
      <c r="P1179" s="10">
        <v>70.52</v>
      </c>
      <c r="Q1179" s="10">
        <v>69.66</v>
      </c>
      <c r="R1179" s="10">
        <v>68.88</v>
      </c>
      <c r="S1179" s="10">
        <v>68.209999999999994</v>
      </c>
      <c r="T1179" s="10">
        <v>67.62</v>
      </c>
      <c r="U1179" s="10">
        <v>67.06</v>
      </c>
      <c r="V1179" s="10">
        <v>66.53</v>
      </c>
      <c r="W1179" s="10">
        <v>66.02</v>
      </c>
      <c r="X1179" s="10">
        <v>65.489999999999995</v>
      </c>
      <c r="Y1179" s="10">
        <v>64.98</v>
      </c>
      <c r="Z1179" s="11">
        <v>72.872</v>
      </c>
      <c r="AA1179" s="11">
        <v>71.844999999999999</v>
      </c>
      <c r="AB1179" s="11">
        <v>70.625</v>
      </c>
      <c r="AC1179" s="11">
        <v>69.617000000000004</v>
      </c>
      <c r="AD1179" s="11">
        <v>68.811999999999998</v>
      </c>
      <c r="AE1179" s="11">
        <v>68.084000000000003</v>
      </c>
      <c r="AF1179" s="11">
        <v>67.528000000000006</v>
      </c>
      <c r="AG1179" s="11">
        <v>67.058999999999997</v>
      </c>
      <c r="AH1179" s="11">
        <v>66.623000000000005</v>
      </c>
      <c r="AI1179" s="11">
        <v>66.209999999999994</v>
      </c>
      <c r="AJ1179" s="11">
        <v>65.822000000000003</v>
      </c>
      <c r="AK1179" s="11">
        <v>65.433999999999997</v>
      </c>
      <c r="AL1179" s="11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  <c r="DG1179" s="3"/>
      <c r="DH1179" s="3"/>
      <c r="DI1179" s="3"/>
      <c r="DJ1179" s="3"/>
      <c r="DK1179" s="3"/>
      <c r="DL1179" s="3"/>
      <c r="DM1179" s="3"/>
      <c r="DN1179" s="3"/>
      <c r="DO1179" s="3"/>
      <c r="DP1179" s="3"/>
      <c r="DQ1179" s="3"/>
      <c r="DR1179" s="3"/>
      <c r="DS1179" s="3"/>
      <c r="DT1179" s="3"/>
      <c r="DU1179" s="3"/>
      <c r="DV1179" s="3"/>
      <c r="DW1179" s="3"/>
      <c r="DX1179" s="3"/>
      <c r="DY1179" s="3"/>
      <c r="DZ1179" s="3"/>
      <c r="EA1179" s="3"/>
      <c r="EB1179" s="3"/>
      <c r="EC1179" s="3"/>
      <c r="ED1179" s="3"/>
      <c r="EE1179" s="3"/>
      <c r="EF1179" s="3"/>
      <c r="EG1179" s="3"/>
      <c r="EH1179" s="3"/>
      <c r="EI1179" s="3"/>
      <c r="EJ1179" s="3"/>
      <c r="EK1179" s="3"/>
      <c r="EL1179" s="3"/>
      <c r="EM1179" s="3"/>
      <c r="EN1179" s="3"/>
      <c r="EO1179" s="3"/>
      <c r="EP1179" s="3"/>
      <c r="EQ1179" s="3"/>
    </row>
    <row r="1180" spans="1:147" x14ac:dyDescent="0.3">
      <c r="A1180" s="9">
        <f>DATE(2021, 7, 26)</f>
        <v>44403</v>
      </c>
      <c r="B1180" s="10">
        <v>74.5</v>
      </c>
      <c r="C1180" s="10">
        <v>73.7</v>
      </c>
      <c r="D1180" s="10">
        <v>72.88</v>
      </c>
      <c r="E1180" s="10">
        <v>72.06</v>
      </c>
      <c r="F1180" s="10">
        <v>71.349999999999994</v>
      </c>
      <c r="G1180" s="10">
        <v>70.72</v>
      </c>
      <c r="H1180" s="10">
        <v>70.19</v>
      </c>
      <c r="I1180" s="10">
        <v>69.73</v>
      </c>
      <c r="J1180" s="10">
        <v>69.3</v>
      </c>
      <c r="K1180" s="10">
        <v>68.900000000000006</v>
      </c>
      <c r="L1180" s="10">
        <v>68.489999999999995</v>
      </c>
      <c r="M1180" s="10">
        <v>68.099999999999994</v>
      </c>
      <c r="N1180" s="10">
        <v>71.91</v>
      </c>
      <c r="O1180" s="10">
        <v>71.34</v>
      </c>
      <c r="P1180" s="10">
        <v>70.569999999999993</v>
      </c>
      <c r="Q1180" s="10">
        <v>69.739999999999995</v>
      </c>
      <c r="R1180" s="10">
        <v>68.98</v>
      </c>
      <c r="S1180" s="10">
        <v>68.3</v>
      </c>
      <c r="T1180" s="10">
        <v>67.709999999999994</v>
      </c>
      <c r="U1180" s="10">
        <v>67.16</v>
      </c>
      <c r="V1180" s="10">
        <v>66.62</v>
      </c>
      <c r="W1180" s="10">
        <v>66.09</v>
      </c>
      <c r="X1180" s="10">
        <v>65.55</v>
      </c>
      <c r="Y1180" s="10">
        <v>65.03</v>
      </c>
      <c r="Z1180" s="11">
        <v>72.867999999999995</v>
      </c>
      <c r="AA1180" s="11">
        <v>71.972999999999999</v>
      </c>
      <c r="AB1180" s="11">
        <v>70.772999999999996</v>
      </c>
      <c r="AC1180" s="11">
        <v>69.786000000000001</v>
      </c>
      <c r="AD1180" s="11">
        <v>68.942999999999998</v>
      </c>
      <c r="AE1180" s="11">
        <v>68.209999999999994</v>
      </c>
      <c r="AF1180" s="11">
        <v>67.608000000000004</v>
      </c>
      <c r="AG1180" s="11">
        <v>67.168999999999997</v>
      </c>
      <c r="AH1180" s="11">
        <v>66.753</v>
      </c>
      <c r="AI1180" s="11">
        <v>66.349999999999994</v>
      </c>
      <c r="AJ1180" s="11">
        <v>65.951999999999998</v>
      </c>
      <c r="AK1180" s="11">
        <v>65.543999999999997</v>
      </c>
      <c r="AL1180" s="11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  <c r="DG1180" s="3"/>
      <c r="DH1180" s="3"/>
      <c r="DI1180" s="3"/>
      <c r="DJ1180" s="3"/>
      <c r="DK1180" s="3"/>
      <c r="DL1180" s="3"/>
      <c r="DM1180" s="3"/>
      <c r="DN1180" s="3"/>
      <c r="DO1180" s="3"/>
      <c r="DP1180" s="3"/>
      <c r="DQ1180" s="3"/>
      <c r="DR1180" s="3"/>
      <c r="DS1180" s="3"/>
      <c r="DT1180" s="3"/>
      <c r="DU1180" s="3"/>
      <c r="DV1180" s="3"/>
      <c r="DW1180" s="3"/>
      <c r="DX1180" s="3"/>
      <c r="DY1180" s="3"/>
      <c r="DZ1180" s="3"/>
      <c r="EA1180" s="3"/>
      <c r="EB1180" s="3"/>
      <c r="EC1180" s="3"/>
      <c r="ED1180" s="3"/>
      <c r="EE1180" s="3"/>
      <c r="EF1180" s="3"/>
      <c r="EG1180" s="3"/>
      <c r="EH1180" s="3"/>
      <c r="EI1180" s="3"/>
      <c r="EJ1180" s="3"/>
      <c r="EK1180" s="3"/>
      <c r="EL1180" s="3"/>
      <c r="EM1180" s="3"/>
      <c r="EN1180" s="3"/>
      <c r="EO1180" s="3"/>
      <c r="EP1180" s="3"/>
      <c r="EQ1180" s="3"/>
    </row>
    <row r="1181" spans="1:147" x14ac:dyDescent="0.3">
      <c r="A1181" s="9">
        <f>DATE(2021, 7, 27)</f>
        <v>44404</v>
      </c>
      <c r="B1181" s="10">
        <v>74.48</v>
      </c>
      <c r="C1181" s="10">
        <v>73.52</v>
      </c>
      <c r="D1181" s="10">
        <v>72.69</v>
      </c>
      <c r="E1181" s="10">
        <v>71.89</v>
      </c>
      <c r="F1181" s="10">
        <v>71.2</v>
      </c>
      <c r="G1181" s="10">
        <v>70.58</v>
      </c>
      <c r="H1181" s="10">
        <v>70.06</v>
      </c>
      <c r="I1181" s="10">
        <v>69.61</v>
      </c>
      <c r="J1181" s="10">
        <v>69.180000000000007</v>
      </c>
      <c r="K1181" s="10">
        <v>68.790000000000006</v>
      </c>
      <c r="L1181" s="10">
        <v>68.39</v>
      </c>
      <c r="M1181" s="10">
        <v>68</v>
      </c>
      <c r="N1181" s="10">
        <v>71.650000000000006</v>
      </c>
      <c r="O1181" s="10">
        <v>71.14</v>
      </c>
      <c r="P1181" s="10">
        <v>70.42</v>
      </c>
      <c r="Q1181" s="10">
        <v>69.599999999999994</v>
      </c>
      <c r="R1181" s="10">
        <v>68.849999999999994</v>
      </c>
      <c r="S1181" s="10">
        <v>68.17</v>
      </c>
      <c r="T1181" s="10">
        <v>67.569999999999993</v>
      </c>
      <c r="U1181" s="10">
        <v>67.010000000000005</v>
      </c>
      <c r="V1181" s="10">
        <v>66.48</v>
      </c>
      <c r="W1181" s="10">
        <v>65.97</v>
      </c>
      <c r="X1181" s="10">
        <v>65.44</v>
      </c>
      <c r="Y1181" s="10">
        <v>64.930000000000007</v>
      </c>
      <c r="Z1181" s="11">
        <v>72.84</v>
      </c>
      <c r="AA1181" s="11">
        <v>71.772000000000006</v>
      </c>
      <c r="AB1181" s="11">
        <v>70.504000000000005</v>
      </c>
      <c r="AC1181" s="11">
        <v>69.537000000000006</v>
      </c>
      <c r="AD1181" s="11">
        <v>68.742000000000004</v>
      </c>
      <c r="AE1181" s="11">
        <v>68.034999999999997</v>
      </c>
      <c r="AF1181" s="11">
        <v>67.459000000000003</v>
      </c>
      <c r="AG1181" s="11">
        <v>67.009</v>
      </c>
      <c r="AH1181" s="11">
        <v>66.602999999999994</v>
      </c>
      <c r="AI1181" s="11">
        <v>66.2</v>
      </c>
      <c r="AJ1181" s="11">
        <v>65.802000000000007</v>
      </c>
      <c r="AK1181" s="11">
        <v>65.414000000000001</v>
      </c>
      <c r="AL1181" s="11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  <c r="DG1181" s="3"/>
      <c r="DH1181" s="3"/>
      <c r="DI1181" s="3"/>
      <c r="DJ1181" s="3"/>
      <c r="DK1181" s="3"/>
      <c r="DL1181" s="3"/>
      <c r="DM1181" s="3"/>
      <c r="DN1181" s="3"/>
      <c r="DO1181" s="3"/>
      <c r="DP1181" s="3"/>
      <c r="DQ1181" s="3"/>
      <c r="DR1181" s="3"/>
      <c r="DS1181" s="3"/>
      <c r="DT1181" s="3"/>
      <c r="DU1181" s="3"/>
      <c r="DV1181" s="3"/>
      <c r="DW1181" s="3"/>
      <c r="DX1181" s="3"/>
      <c r="DY1181" s="3"/>
      <c r="DZ1181" s="3"/>
      <c r="EA1181" s="3"/>
      <c r="EB1181" s="3"/>
      <c r="EC1181" s="3"/>
      <c r="ED1181" s="3"/>
      <c r="EE1181" s="3"/>
      <c r="EF1181" s="3"/>
      <c r="EG1181" s="3"/>
      <c r="EH1181" s="3"/>
      <c r="EI1181" s="3"/>
      <c r="EJ1181" s="3"/>
      <c r="EK1181" s="3"/>
      <c r="EL1181" s="3"/>
      <c r="EM1181" s="3"/>
      <c r="EN1181" s="3"/>
      <c r="EO1181" s="3"/>
      <c r="EP1181" s="3"/>
      <c r="EQ1181" s="3"/>
    </row>
    <row r="1182" spans="1:147" x14ac:dyDescent="0.3">
      <c r="A1182" s="9">
        <f>DATE(2021, 7, 28)</f>
        <v>44405</v>
      </c>
      <c r="B1182" s="10">
        <v>74.739999999999995</v>
      </c>
      <c r="C1182" s="10">
        <v>73.87</v>
      </c>
      <c r="D1182" s="10">
        <v>73.11</v>
      </c>
      <c r="E1182" s="10">
        <v>72.349999999999994</v>
      </c>
      <c r="F1182" s="10">
        <v>71.67</v>
      </c>
      <c r="G1182" s="10">
        <v>71.06</v>
      </c>
      <c r="H1182" s="10">
        <v>70.55</v>
      </c>
      <c r="I1182" s="10">
        <v>70.11</v>
      </c>
      <c r="J1182" s="10">
        <v>69.7</v>
      </c>
      <c r="K1182" s="10">
        <v>69.319999999999993</v>
      </c>
      <c r="L1182" s="10">
        <v>68.930000000000007</v>
      </c>
      <c r="M1182" s="10">
        <v>68.56</v>
      </c>
      <c r="N1182" s="10">
        <v>72.39</v>
      </c>
      <c r="O1182" s="10">
        <v>71.790000000000006</v>
      </c>
      <c r="P1182" s="10">
        <v>71.02</v>
      </c>
      <c r="Q1182" s="10">
        <v>70.17</v>
      </c>
      <c r="R1182" s="10">
        <v>69.41</v>
      </c>
      <c r="S1182" s="10">
        <v>68.72</v>
      </c>
      <c r="T1182" s="10">
        <v>68.13</v>
      </c>
      <c r="U1182" s="10">
        <v>67.569999999999993</v>
      </c>
      <c r="V1182" s="10">
        <v>67.03</v>
      </c>
      <c r="W1182" s="10">
        <v>66.52</v>
      </c>
      <c r="X1182" s="10">
        <v>66</v>
      </c>
      <c r="Y1182" s="10">
        <v>65.489999999999995</v>
      </c>
      <c r="Z1182" s="11">
        <v>72.853999999999999</v>
      </c>
      <c r="AA1182" s="11">
        <v>72.034999999999997</v>
      </c>
      <c r="AB1182" s="11">
        <v>70.805000000000007</v>
      </c>
      <c r="AC1182" s="11">
        <v>69.867999999999995</v>
      </c>
      <c r="AD1182" s="11">
        <v>69.141999999999996</v>
      </c>
      <c r="AE1182" s="11">
        <v>68.456000000000003</v>
      </c>
      <c r="AF1182" s="11">
        <v>67.888999999999996</v>
      </c>
      <c r="AG1182" s="11">
        <v>67.459999999999994</v>
      </c>
      <c r="AH1182" s="11">
        <v>67.052999999999997</v>
      </c>
      <c r="AI1182" s="11">
        <v>66.691000000000003</v>
      </c>
      <c r="AJ1182" s="11">
        <v>66.302999999999997</v>
      </c>
      <c r="AK1182" s="11">
        <v>65.933000000000007</v>
      </c>
      <c r="AL1182" s="11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  <c r="DG1182" s="3"/>
      <c r="DH1182" s="3"/>
      <c r="DI1182" s="3"/>
      <c r="DJ1182" s="3"/>
      <c r="DK1182" s="3"/>
      <c r="DL1182" s="3"/>
      <c r="DM1182" s="3"/>
      <c r="DN1182" s="3"/>
      <c r="DO1182" s="3"/>
      <c r="DP1182" s="3"/>
      <c r="DQ1182" s="3"/>
      <c r="DR1182" s="3"/>
      <c r="DS1182" s="3"/>
      <c r="DT1182" s="3"/>
      <c r="DU1182" s="3"/>
      <c r="DV1182" s="3"/>
      <c r="DW1182" s="3"/>
      <c r="DX1182" s="3"/>
      <c r="DY1182" s="3"/>
      <c r="DZ1182" s="3"/>
      <c r="EA1182" s="3"/>
      <c r="EB1182" s="3"/>
      <c r="EC1182" s="3"/>
      <c r="ED1182" s="3"/>
      <c r="EE1182" s="3"/>
      <c r="EF1182" s="3"/>
      <c r="EG1182" s="3"/>
      <c r="EH1182" s="3"/>
      <c r="EI1182" s="3"/>
      <c r="EJ1182" s="3"/>
      <c r="EK1182" s="3"/>
      <c r="EL1182" s="3"/>
      <c r="EM1182" s="3"/>
      <c r="EN1182" s="3"/>
      <c r="EO1182" s="3"/>
      <c r="EP1182" s="3"/>
      <c r="EQ1182" s="3"/>
    </row>
    <row r="1183" spans="1:147" x14ac:dyDescent="0.3">
      <c r="A1183" s="9">
        <f>DATE(2021, 7, 29)</f>
        <v>44406</v>
      </c>
      <c r="B1183" s="10">
        <v>76.05</v>
      </c>
      <c r="C1183" s="10">
        <v>75.099999999999994</v>
      </c>
      <c r="D1183" s="10">
        <v>74.36</v>
      </c>
      <c r="E1183" s="10">
        <v>73.61</v>
      </c>
      <c r="F1183" s="10">
        <v>72.930000000000007</v>
      </c>
      <c r="G1183" s="10">
        <v>72.31</v>
      </c>
      <c r="H1183" s="10">
        <v>71.790000000000006</v>
      </c>
      <c r="I1183" s="10">
        <v>71.33</v>
      </c>
      <c r="J1183" s="10">
        <v>70.89</v>
      </c>
      <c r="K1183" s="10">
        <v>70.489999999999995</v>
      </c>
      <c r="L1183" s="10">
        <v>70.08</v>
      </c>
      <c r="M1183" s="10">
        <v>69.680000000000007</v>
      </c>
      <c r="N1183" s="10">
        <v>73.62</v>
      </c>
      <c r="O1183" s="10">
        <v>72.98</v>
      </c>
      <c r="P1183" s="10">
        <v>72.209999999999994</v>
      </c>
      <c r="Q1183" s="10">
        <v>71.38</v>
      </c>
      <c r="R1183" s="10">
        <v>70.62</v>
      </c>
      <c r="S1183" s="10">
        <v>69.92</v>
      </c>
      <c r="T1183" s="10">
        <v>69.319999999999993</v>
      </c>
      <c r="U1183" s="10">
        <v>68.739999999999995</v>
      </c>
      <c r="V1183" s="10">
        <v>68.180000000000007</v>
      </c>
      <c r="W1183" s="10">
        <v>67.64</v>
      </c>
      <c r="X1183" s="10">
        <v>67.09</v>
      </c>
      <c r="Y1183" s="10">
        <v>66.569999999999993</v>
      </c>
      <c r="Z1183" s="11">
        <v>72.936999999999998</v>
      </c>
      <c r="AA1183" s="11">
        <v>73.366</v>
      </c>
      <c r="AB1183" s="11">
        <v>72.116</v>
      </c>
      <c r="AC1183" s="11">
        <v>71.168000000000006</v>
      </c>
      <c r="AD1183" s="11">
        <v>70.402000000000001</v>
      </c>
      <c r="AE1183" s="11">
        <v>69.704999999999998</v>
      </c>
      <c r="AF1183" s="11">
        <v>69.138000000000005</v>
      </c>
      <c r="AG1183" s="11">
        <v>68.688000000000002</v>
      </c>
      <c r="AH1183" s="11">
        <v>68.263000000000005</v>
      </c>
      <c r="AI1183" s="11">
        <v>67.84</v>
      </c>
      <c r="AJ1183" s="11">
        <v>67.421999999999997</v>
      </c>
      <c r="AK1183" s="11">
        <v>67.013000000000005</v>
      </c>
      <c r="AL1183" s="11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  <c r="DG1183" s="3"/>
      <c r="DH1183" s="3"/>
      <c r="DI1183" s="3"/>
      <c r="DJ1183" s="3"/>
      <c r="DK1183" s="3"/>
      <c r="DL1183" s="3"/>
      <c r="DM1183" s="3"/>
      <c r="DN1183" s="3"/>
      <c r="DO1183" s="3"/>
      <c r="DP1183" s="3"/>
      <c r="DQ1183" s="3"/>
      <c r="DR1183" s="3"/>
      <c r="DS1183" s="3"/>
      <c r="DT1183" s="3"/>
      <c r="DU1183" s="3"/>
      <c r="DV1183" s="3"/>
      <c r="DW1183" s="3"/>
      <c r="DX1183" s="3"/>
      <c r="DY1183" s="3"/>
      <c r="DZ1183" s="3"/>
      <c r="EA1183" s="3"/>
      <c r="EB1183" s="3"/>
      <c r="EC1183" s="3"/>
      <c r="ED1183" s="3"/>
      <c r="EE1183" s="3"/>
      <c r="EF1183" s="3"/>
      <c r="EG1183" s="3"/>
      <c r="EH1183" s="3"/>
      <c r="EI1183" s="3"/>
      <c r="EJ1183" s="3"/>
      <c r="EK1183" s="3"/>
      <c r="EL1183" s="3"/>
      <c r="EM1183" s="3"/>
      <c r="EN1183" s="3"/>
      <c r="EO1183" s="3"/>
      <c r="EP1183" s="3"/>
      <c r="EQ1183" s="3"/>
    </row>
    <row r="1184" spans="1:147" x14ac:dyDescent="0.3">
      <c r="A1184" s="9">
        <f>DATE(2021, 7, 30)</f>
        <v>44407</v>
      </c>
      <c r="B1184" s="10">
        <v>76.33</v>
      </c>
      <c r="C1184" s="10">
        <v>75.41</v>
      </c>
      <c r="D1184" s="10">
        <v>74.59</v>
      </c>
      <c r="E1184" s="10">
        <v>73.8</v>
      </c>
      <c r="F1184" s="10">
        <v>73.08</v>
      </c>
      <c r="G1184" s="10">
        <v>72.45</v>
      </c>
      <c r="H1184" s="10">
        <v>71.92</v>
      </c>
      <c r="I1184" s="10">
        <v>71.45</v>
      </c>
      <c r="J1184" s="10">
        <v>71.02</v>
      </c>
      <c r="K1184" s="10">
        <v>70.61</v>
      </c>
      <c r="L1184" s="10">
        <v>70.19</v>
      </c>
      <c r="M1184" s="10">
        <v>69.790000000000006</v>
      </c>
      <c r="N1184" s="10">
        <v>73.95</v>
      </c>
      <c r="O1184" s="10">
        <v>73.23</v>
      </c>
      <c r="P1184" s="10">
        <v>72.430000000000007</v>
      </c>
      <c r="Q1184" s="10">
        <v>71.569999999999993</v>
      </c>
      <c r="R1184" s="10">
        <v>70.8</v>
      </c>
      <c r="S1184" s="10">
        <v>70.099999999999994</v>
      </c>
      <c r="T1184" s="10">
        <v>69.459999999999994</v>
      </c>
      <c r="U1184" s="10">
        <v>68.87</v>
      </c>
      <c r="V1184" s="10">
        <v>68.3</v>
      </c>
      <c r="W1184" s="10">
        <v>67.739999999999995</v>
      </c>
      <c r="X1184" s="10">
        <v>67.180000000000007</v>
      </c>
      <c r="Y1184" s="10">
        <v>66.650000000000006</v>
      </c>
      <c r="Z1184" s="11">
        <v>72.903000000000006</v>
      </c>
      <c r="AA1184" s="11">
        <v>73.742999999999995</v>
      </c>
      <c r="AB1184" s="11">
        <v>72.433999999999997</v>
      </c>
      <c r="AC1184" s="11">
        <v>71.456000000000003</v>
      </c>
      <c r="AD1184" s="11">
        <v>70.661000000000001</v>
      </c>
      <c r="AE1184" s="11">
        <v>69.953999999999994</v>
      </c>
      <c r="AF1184" s="11">
        <v>69.388000000000005</v>
      </c>
      <c r="AG1184" s="11">
        <v>68.909000000000006</v>
      </c>
      <c r="AH1184" s="11">
        <v>68.441999999999993</v>
      </c>
      <c r="AI1184" s="11">
        <v>68.058999999999997</v>
      </c>
      <c r="AJ1184" s="11">
        <v>67.632000000000005</v>
      </c>
      <c r="AK1184" s="11">
        <v>67.221999999999994</v>
      </c>
      <c r="AL1184" s="11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  <c r="DG1184" s="3"/>
      <c r="DH1184" s="3"/>
      <c r="DI1184" s="3"/>
      <c r="DJ1184" s="3"/>
      <c r="DK1184" s="3"/>
      <c r="DL1184" s="3"/>
      <c r="DM1184" s="3"/>
      <c r="DN1184" s="3"/>
      <c r="DO1184" s="3"/>
      <c r="DP1184" s="3"/>
      <c r="DQ1184" s="3"/>
      <c r="DR1184" s="3"/>
      <c r="DS1184" s="3"/>
      <c r="DT1184" s="3"/>
      <c r="DU1184" s="3"/>
      <c r="DV1184" s="3"/>
      <c r="DW1184" s="3"/>
      <c r="DX1184" s="3"/>
      <c r="DY1184" s="3"/>
      <c r="DZ1184" s="3"/>
      <c r="EA1184" s="3"/>
      <c r="EB1184" s="3"/>
      <c r="EC1184" s="3"/>
      <c r="ED1184" s="3"/>
      <c r="EE1184" s="3"/>
      <c r="EF1184" s="3"/>
      <c r="EG1184" s="3"/>
      <c r="EH1184" s="3"/>
      <c r="EI1184" s="3"/>
      <c r="EJ1184" s="3"/>
      <c r="EK1184" s="3"/>
      <c r="EL1184" s="3"/>
      <c r="EM1184" s="3"/>
      <c r="EN1184" s="3"/>
      <c r="EO1184" s="3"/>
      <c r="EP1184" s="3"/>
      <c r="EQ1184" s="3"/>
    </row>
    <row r="1185" spans="1:147" x14ac:dyDescent="0.3">
      <c r="A1185" s="9">
        <f>DATE(2021, 8, 2)</f>
        <v>44410</v>
      </c>
      <c r="B1185" s="10">
        <v>72.89</v>
      </c>
      <c r="C1185" s="10">
        <v>72.2</v>
      </c>
      <c r="D1185" s="10">
        <v>71.489999999999995</v>
      </c>
      <c r="E1185" s="10">
        <v>70.83</v>
      </c>
      <c r="F1185" s="10">
        <v>70.239999999999995</v>
      </c>
      <c r="G1185" s="10">
        <v>69.75</v>
      </c>
      <c r="H1185" s="10">
        <v>69.31</v>
      </c>
      <c r="I1185" s="10">
        <v>68.900000000000006</v>
      </c>
      <c r="J1185" s="10">
        <v>68.5</v>
      </c>
      <c r="K1185" s="10">
        <v>68.11</v>
      </c>
      <c r="L1185" s="10">
        <v>67.739999999999995</v>
      </c>
      <c r="M1185" s="10">
        <v>67.38</v>
      </c>
      <c r="N1185" s="10">
        <v>71.260000000000005</v>
      </c>
      <c r="O1185" s="10">
        <v>70.61</v>
      </c>
      <c r="P1185" s="10">
        <v>69.91</v>
      </c>
      <c r="Q1185" s="10">
        <v>69.150000000000006</v>
      </c>
      <c r="R1185" s="10">
        <v>68.459999999999994</v>
      </c>
      <c r="S1185" s="10">
        <v>67.819999999999993</v>
      </c>
      <c r="T1185" s="10">
        <v>67.239999999999995</v>
      </c>
      <c r="U1185" s="10">
        <v>66.680000000000007</v>
      </c>
      <c r="V1185" s="10">
        <v>66.150000000000006</v>
      </c>
      <c r="W1185" s="10">
        <v>65.64</v>
      </c>
      <c r="X1185" s="10">
        <v>65.11</v>
      </c>
      <c r="Y1185" s="10">
        <v>64.61</v>
      </c>
      <c r="Z1185" s="11">
        <v>72.903000000000006</v>
      </c>
      <c r="AA1185" s="11">
        <v>71.343000000000004</v>
      </c>
      <c r="AB1185" s="11">
        <v>70.028000000000006</v>
      </c>
      <c r="AC1185" s="11">
        <v>69.132000000000005</v>
      </c>
      <c r="AD1185" s="11">
        <v>68.403000000000006</v>
      </c>
      <c r="AE1185" s="11">
        <v>67.747</v>
      </c>
      <c r="AF1185" s="11">
        <v>67.228999999999999</v>
      </c>
      <c r="AG1185" s="11">
        <v>66.78</v>
      </c>
      <c r="AH1185" s="11">
        <v>66.363</v>
      </c>
      <c r="AI1185" s="11">
        <v>65.980999999999995</v>
      </c>
      <c r="AJ1185" s="11">
        <v>65.582999999999998</v>
      </c>
      <c r="AK1185" s="11">
        <v>65.203999999999994</v>
      </c>
      <c r="AL1185" s="11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  <c r="DG1185" s="3"/>
      <c r="DH1185" s="3"/>
      <c r="DI1185" s="3"/>
      <c r="DJ1185" s="3"/>
      <c r="DK1185" s="3"/>
      <c r="DL1185" s="3"/>
      <c r="DM1185" s="3"/>
      <c r="DN1185" s="3"/>
      <c r="DO1185" s="3"/>
      <c r="DP1185" s="3"/>
      <c r="DQ1185" s="3"/>
      <c r="DR1185" s="3"/>
      <c r="DS1185" s="3"/>
      <c r="DT1185" s="3"/>
      <c r="DU1185" s="3"/>
      <c r="DV1185" s="3"/>
      <c r="DW1185" s="3"/>
      <c r="DX1185" s="3"/>
      <c r="DY1185" s="3"/>
      <c r="DZ1185" s="3"/>
      <c r="EA1185" s="3"/>
      <c r="EB1185" s="3"/>
      <c r="EC1185" s="3"/>
      <c r="ED1185" s="3"/>
      <c r="EE1185" s="3"/>
      <c r="EF1185" s="3"/>
      <c r="EG1185" s="3"/>
      <c r="EH1185" s="3"/>
      <c r="EI1185" s="3"/>
      <c r="EJ1185" s="3"/>
      <c r="EK1185" s="3"/>
      <c r="EL1185" s="3"/>
      <c r="EM1185" s="3"/>
      <c r="EN1185" s="3"/>
      <c r="EO1185" s="3"/>
      <c r="EP1185" s="3"/>
      <c r="EQ1185" s="3"/>
    </row>
    <row r="1186" spans="1:147" x14ac:dyDescent="0.3">
      <c r="A1186" s="9">
        <f>DATE(2021, 8, 3)</f>
        <v>44411</v>
      </c>
      <c r="B1186" s="10">
        <v>72.41</v>
      </c>
      <c r="C1186" s="10">
        <v>71.77</v>
      </c>
      <c r="D1186" s="10">
        <v>71.12</v>
      </c>
      <c r="E1186" s="10">
        <v>70.510000000000005</v>
      </c>
      <c r="F1186" s="10">
        <v>69.959999999999994</v>
      </c>
      <c r="G1186" s="10">
        <v>69.5</v>
      </c>
      <c r="H1186" s="10">
        <v>69.09</v>
      </c>
      <c r="I1186" s="10">
        <v>68.7</v>
      </c>
      <c r="J1186" s="10">
        <v>68.33</v>
      </c>
      <c r="K1186" s="10">
        <v>67.959999999999994</v>
      </c>
      <c r="L1186" s="10">
        <v>67.599999999999994</v>
      </c>
      <c r="M1186" s="10">
        <v>67.260000000000005</v>
      </c>
      <c r="N1186" s="10">
        <v>70.56</v>
      </c>
      <c r="O1186" s="10">
        <v>70.03</v>
      </c>
      <c r="P1186" s="10">
        <v>69.44</v>
      </c>
      <c r="Q1186" s="10">
        <v>68.790000000000006</v>
      </c>
      <c r="R1186" s="10">
        <v>68.17</v>
      </c>
      <c r="S1186" s="10">
        <v>67.58</v>
      </c>
      <c r="T1186" s="10">
        <v>67.03</v>
      </c>
      <c r="U1186" s="10">
        <v>66.5</v>
      </c>
      <c r="V1186" s="10">
        <v>66</v>
      </c>
      <c r="W1186" s="10">
        <v>65.510000000000005</v>
      </c>
      <c r="X1186" s="10">
        <v>65</v>
      </c>
      <c r="Y1186" s="10">
        <v>64.510000000000005</v>
      </c>
      <c r="Z1186" s="11">
        <v>70.974999999999994</v>
      </c>
      <c r="AA1186" s="11">
        <v>69.53</v>
      </c>
      <c r="AB1186" s="11">
        <v>68.721000000000004</v>
      </c>
      <c r="AC1186" s="11">
        <v>68.064999999999998</v>
      </c>
      <c r="AD1186" s="11">
        <v>67.45</v>
      </c>
      <c r="AE1186" s="11">
        <v>66.959999999999994</v>
      </c>
      <c r="AF1186" s="11">
        <v>66.540999999999997</v>
      </c>
      <c r="AG1186" s="11">
        <v>66.153999999999996</v>
      </c>
      <c r="AH1186" s="11">
        <v>65.781999999999996</v>
      </c>
      <c r="AI1186" s="11">
        <v>65.433999999999997</v>
      </c>
      <c r="AJ1186" s="11">
        <v>65.084999999999994</v>
      </c>
      <c r="AK1186" s="11">
        <v>64.724000000000004</v>
      </c>
      <c r="AL1186" s="11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  <c r="DG1186" s="3"/>
      <c r="DH1186" s="3"/>
      <c r="DI1186" s="3"/>
      <c r="DJ1186" s="3"/>
      <c r="DK1186" s="3"/>
      <c r="DL1186" s="3"/>
      <c r="DM1186" s="3"/>
      <c r="DN1186" s="3"/>
      <c r="DO1186" s="3"/>
      <c r="DP1186" s="3"/>
      <c r="DQ1186" s="3"/>
      <c r="DR1186" s="3"/>
      <c r="DS1186" s="3"/>
      <c r="DT1186" s="3"/>
      <c r="DU1186" s="3"/>
      <c r="DV1186" s="3"/>
      <c r="DW1186" s="3"/>
      <c r="DX1186" s="3"/>
      <c r="DY1186" s="3"/>
      <c r="DZ1186" s="3"/>
      <c r="EA1186" s="3"/>
      <c r="EB1186" s="3"/>
      <c r="EC1186" s="3"/>
      <c r="ED1186" s="3"/>
      <c r="EE1186" s="3"/>
      <c r="EF1186" s="3"/>
      <c r="EG1186" s="3"/>
      <c r="EH1186" s="3"/>
      <c r="EI1186" s="3"/>
      <c r="EJ1186" s="3"/>
      <c r="EK1186" s="3"/>
      <c r="EL1186" s="3"/>
      <c r="EM1186" s="3"/>
      <c r="EN1186" s="3"/>
      <c r="EO1186" s="3"/>
      <c r="EP1186" s="3"/>
      <c r="EQ1186" s="3"/>
    </row>
    <row r="1187" spans="1:147" x14ac:dyDescent="0.3">
      <c r="A1187" s="9">
        <f>DATE(2021, 8, 4)</f>
        <v>44412</v>
      </c>
      <c r="B1187" s="10">
        <v>70.38</v>
      </c>
      <c r="C1187" s="10">
        <v>69.87</v>
      </c>
      <c r="D1187" s="10">
        <v>69.319999999999993</v>
      </c>
      <c r="E1187" s="10">
        <v>68.790000000000006</v>
      </c>
      <c r="F1187" s="10">
        <v>68.290000000000006</v>
      </c>
      <c r="G1187" s="10">
        <v>67.88</v>
      </c>
      <c r="H1187" s="10">
        <v>67.52</v>
      </c>
      <c r="I1187" s="10">
        <v>67.180000000000007</v>
      </c>
      <c r="J1187" s="10">
        <v>66.86</v>
      </c>
      <c r="K1187" s="10">
        <v>66.540000000000006</v>
      </c>
      <c r="L1187" s="10">
        <v>66.23</v>
      </c>
      <c r="M1187" s="10">
        <v>65.94</v>
      </c>
      <c r="N1187" s="10">
        <v>68.150000000000006</v>
      </c>
      <c r="O1187" s="10">
        <v>67.790000000000006</v>
      </c>
      <c r="P1187" s="10">
        <v>67.349999999999994</v>
      </c>
      <c r="Q1187" s="10">
        <v>66.84</v>
      </c>
      <c r="R1187" s="10">
        <v>66.33</v>
      </c>
      <c r="S1187" s="10">
        <v>65.83</v>
      </c>
      <c r="T1187" s="10">
        <v>65.37</v>
      </c>
      <c r="U1187" s="10">
        <v>64.92</v>
      </c>
      <c r="V1187" s="10">
        <v>64.47</v>
      </c>
      <c r="W1187" s="10">
        <v>64.040000000000006</v>
      </c>
      <c r="X1187" s="10">
        <v>63.59</v>
      </c>
      <c r="Y1187" s="10">
        <v>63.16</v>
      </c>
      <c r="Z1187" s="11">
        <v>69.45</v>
      </c>
      <c r="AA1187" s="11">
        <v>67.787999999999997</v>
      </c>
      <c r="AB1187" s="11">
        <v>66.986999999999995</v>
      </c>
      <c r="AC1187" s="11">
        <v>66.346000000000004</v>
      </c>
      <c r="AD1187" s="11">
        <v>65.775000000000006</v>
      </c>
      <c r="AE1187" s="11">
        <v>65.332999999999998</v>
      </c>
      <c r="AF1187" s="11">
        <v>64.953000000000003</v>
      </c>
      <c r="AG1187" s="11">
        <v>64.626000000000005</v>
      </c>
      <c r="AH1187" s="11">
        <v>64.293999999999997</v>
      </c>
      <c r="AI1187" s="11">
        <v>63.996000000000002</v>
      </c>
      <c r="AJ1187" s="11">
        <v>63.697000000000003</v>
      </c>
      <c r="AK1187" s="11">
        <v>63.415999999999997</v>
      </c>
      <c r="AL1187" s="11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  <c r="DG1187" s="3"/>
      <c r="DH1187" s="3"/>
      <c r="DI1187" s="3"/>
      <c r="DJ1187" s="3"/>
      <c r="DK1187" s="3"/>
      <c r="DL1187" s="3"/>
      <c r="DM1187" s="3"/>
      <c r="DN1187" s="3"/>
      <c r="DO1187" s="3"/>
      <c r="DP1187" s="3"/>
      <c r="DQ1187" s="3"/>
      <c r="DR1187" s="3"/>
      <c r="DS1187" s="3"/>
      <c r="DT1187" s="3"/>
      <c r="DU1187" s="3"/>
      <c r="DV1187" s="3"/>
      <c r="DW1187" s="3"/>
      <c r="DX1187" s="3"/>
      <c r="DY1187" s="3"/>
      <c r="DZ1187" s="3"/>
      <c r="EA1187" s="3"/>
      <c r="EB1187" s="3"/>
      <c r="EC1187" s="3"/>
      <c r="ED1187" s="3"/>
      <c r="EE1187" s="3"/>
      <c r="EF1187" s="3"/>
      <c r="EG1187" s="3"/>
      <c r="EH1187" s="3"/>
      <c r="EI1187" s="3"/>
      <c r="EJ1187" s="3"/>
      <c r="EK1187" s="3"/>
      <c r="EL1187" s="3"/>
      <c r="EM1187" s="3"/>
      <c r="EN1187" s="3"/>
      <c r="EO1187" s="3"/>
      <c r="EP1187" s="3"/>
      <c r="EQ1187" s="3"/>
    </row>
    <row r="1188" spans="1:147" x14ac:dyDescent="0.3">
      <c r="A1188" s="9">
        <f>DATE(2021, 8, 5)</f>
        <v>44413</v>
      </c>
      <c r="B1188" s="10">
        <v>71.290000000000006</v>
      </c>
      <c r="C1188" s="10">
        <v>70.8</v>
      </c>
      <c r="D1188" s="10">
        <v>70.260000000000005</v>
      </c>
      <c r="E1188" s="10">
        <v>69.72</v>
      </c>
      <c r="F1188" s="10">
        <v>69.22</v>
      </c>
      <c r="G1188" s="10">
        <v>68.81</v>
      </c>
      <c r="H1188" s="10">
        <v>68.44</v>
      </c>
      <c r="I1188" s="10">
        <v>68.099999999999994</v>
      </c>
      <c r="J1188" s="10">
        <v>67.77</v>
      </c>
      <c r="K1188" s="10">
        <v>67.44</v>
      </c>
      <c r="L1188" s="10">
        <v>67.12</v>
      </c>
      <c r="M1188" s="10">
        <v>66.819999999999993</v>
      </c>
      <c r="N1188" s="10">
        <v>69.09</v>
      </c>
      <c r="O1188" s="10">
        <v>68.739999999999995</v>
      </c>
      <c r="P1188" s="10">
        <v>68.319999999999993</v>
      </c>
      <c r="Q1188" s="10">
        <v>67.84</v>
      </c>
      <c r="R1188" s="10">
        <v>67.34</v>
      </c>
      <c r="S1188" s="10">
        <v>66.849999999999994</v>
      </c>
      <c r="T1188" s="10">
        <v>66.37</v>
      </c>
      <c r="U1188" s="10">
        <v>65.91</v>
      </c>
      <c r="V1188" s="10">
        <v>65.47</v>
      </c>
      <c r="W1188" s="10">
        <v>65.02</v>
      </c>
      <c r="X1188" s="10">
        <v>64.569999999999993</v>
      </c>
      <c r="Y1188" s="10">
        <v>64.14</v>
      </c>
      <c r="Z1188" s="11">
        <v>70.2</v>
      </c>
      <c r="AA1188" s="11">
        <v>68.715000000000003</v>
      </c>
      <c r="AB1188" s="11">
        <v>67.903999999999996</v>
      </c>
      <c r="AC1188" s="11">
        <v>67.277000000000001</v>
      </c>
      <c r="AD1188" s="11">
        <v>66.703999999999994</v>
      </c>
      <c r="AE1188" s="11">
        <v>66.281999999999996</v>
      </c>
      <c r="AF1188" s="11">
        <v>65.903000000000006</v>
      </c>
      <c r="AG1188" s="11">
        <v>65.566000000000003</v>
      </c>
      <c r="AH1188" s="11">
        <v>65.203999999999994</v>
      </c>
      <c r="AI1188" s="11">
        <v>64.875</v>
      </c>
      <c r="AJ1188" s="11">
        <v>64.555999999999997</v>
      </c>
      <c r="AK1188" s="11">
        <v>64.256</v>
      </c>
      <c r="AL1188" s="11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  <c r="DG1188" s="3"/>
      <c r="DH1188" s="3"/>
      <c r="DI1188" s="3"/>
      <c r="DJ1188" s="3"/>
      <c r="DK1188" s="3"/>
      <c r="DL1188" s="3"/>
      <c r="DM1188" s="3"/>
      <c r="DN1188" s="3"/>
      <c r="DO1188" s="3"/>
      <c r="DP1188" s="3"/>
      <c r="DQ1188" s="3"/>
      <c r="DR1188" s="3"/>
      <c r="DS1188" s="3"/>
      <c r="DT1188" s="3"/>
      <c r="DU1188" s="3"/>
      <c r="DV1188" s="3"/>
      <c r="DW1188" s="3"/>
      <c r="DX1188" s="3"/>
      <c r="DY1188" s="3"/>
      <c r="DZ1188" s="3"/>
      <c r="EA1188" s="3"/>
      <c r="EB1188" s="3"/>
      <c r="EC1188" s="3"/>
      <c r="ED1188" s="3"/>
      <c r="EE1188" s="3"/>
      <c r="EF1188" s="3"/>
      <c r="EG1188" s="3"/>
      <c r="EH1188" s="3"/>
      <c r="EI1188" s="3"/>
      <c r="EJ1188" s="3"/>
      <c r="EK1188" s="3"/>
      <c r="EL1188" s="3"/>
      <c r="EM1188" s="3"/>
      <c r="EN1188" s="3"/>
      <c r="EO1188" s="3"/>
      <c r="EP1188" s="3"/>
      <c r="EQ1188" s="3"/>
    </row>
    <row r="1189" spans="1:147" x14ac:dyDescent="0.3">
      <c r="A1189" s="9">
        <f>DATE(2021, 8, 6)</f>
        <v>44414</v>
      </c>
      <c r="B1189" s="10">
        <v>70.7</v>
      </c>
      <c r="C1189" s="10">
        <v>70.319999999999993</v>
      </c>
      <c r="D1189" s="10">
        <v>69.87</v>
      </c>
      <c r="E1189" s="10">
        <v>69.41</v>
      </c>
      <c r="F1189" s="10">
        <v>68.95</v>
      </c>
      <c r="G1189" s="10">
        <v>68.56</v>
      </c>
      <c r="H1189" s="10">
        <v>68.209999999999994</v>
      </c>
      <c r="I1189" s="10">
        <v>67.88</v>
      </c>
      <c r="J1189" s="10">
        <v>67.569999999999993</v>
      </c>
      <c r="K1189" s="10">
        <v>67.25</v>
      </c>
      <c r="L1189" s="10">
        <v>66.94</v>
      </c>
      <c r="M1189" s="10">
        <v>66.66</v>
      </c>
      <c r="N1189" s="10">
        <v>68.28</v>
      </c>
      <c r="O1189" s="10">
        <v>68.099999999999994</v>
      </c>
      <c r="P1189" s="10">
        <v>67.760000000000005</v>
      </c>
      <c r="Q1189" s="10">
        <v>67.37</v>
      </c>
      <c r="R1189" s="10">
        <v>66.95</v>
      </c>
      <c r="S1189" s="10">
        <v>66.489999999999995</v>
      </c>
      <c r="T1189" s="10">
        <v>66.040000000000006</v>
      </c>
      <c r="U1189" s="10">
        <v>65.61</v>
      </c>
      <c r="V1189" s="10">
        <v>65.19</v>
      </c>
      <c r="W1189" s="10">
        <v>64.78</v>
      </c>
      <c r="X1189" s="10">
        <v>64.36</v>
      </c>
      <c r="Y1189" s="10">
        <v>63.93</v>
      </c>
      <c r="Z1189" s="11">
        <v>69.790000000000006</v>
      </c>
      <c r="AA1189" s="11">
        <v>68.245999999999995</v>
      </c>
      <c r="AB1189" s="11">
        <v>67.465999999999994</v>
      </c>
      <c r="AC1189" s="11">
        <v>66.915999999999997</v>
      </c>
      <c r="AD1189" s="11">
        <v>66.366</v>
      </c>
      <c r="AE1189" s="11">
        <v>65.945999999999998</v>
      </c>
      <c r="AF1189" s="11">
        <v>65.623999999999995</v>
      </c>
      <c r="AG1189" s="11">
        <v>65.326999999999998</v>
      </c>
      <c r="AH1189" s="11">
        <v>65.004000000000005</v>
      </c>
      <c r="AI1189" s="11">
        <v>64.676000000000002</v>
      </c>
      <c r="AJ1189" s="11">
        <v>64.367000000000004</v>
      </c>
      <c r="AK1189" s="11">
        <v>64.085999999999999</v>
      </c>
      <c r="AL1189" s="11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  <c r="DG1189" s="3"/>
      <c r="DH1189" s="3"/>
      <c r="DI1189" s="3"/>
      <c r="DJ1189" s="3"/>
      <c r="DK1189" s="3"/>
      <c r="DL1189" s="3"/>
      <c r="DM1189" s="3"/>
      <c r="DN1189" s="3"/>
      <c r="DO1189" s="3"/>
      <c r="DP1189" s="3"/>
      <c r="DQ1189" s="3"/>
      <c r="DR1189" s="3"/>
      <c r="DS1189" s="3"/>
      <c r="DT1189" s="3"/>
      <c r="DU1189" s="3"/>
      <c r="DV1189" s="3"/>
      <c r="DW1189" s="3"/>
      <c r="DX1189" s="3"/>
      <c r="DY1189" s="3"/>
      <c r="DZ1189" s="3"/>
      <c r="EA1189" s="3"/>
      <c r="EB1189" s="3"/>
      <c r="EC1189" s="3"/>
      <c r="ED1189" s="3"/>
      <c r="EE1189" s="3"/>
      <c r="EF1189" s="3"/>
      <c r="EG1189" s="3"/>
      <c r="EH1189" s="3"/>
      <c r="EI1189" s="3"/>
      <c r="EJ1189" s="3"/>
      <c r="EK1189" s="3"/>
      <c r="EL1189" s="3"/>
      <c r="EM1189" s="3"/>
      <c r="EN1189" s="3"/>
      <c r="EO1189" s="3"/>
      <c r="EP1189" s="3"/>
      <c r="EQ1189" s="3"/>
    </row>
    <row r="1190" spans="1:147" x14ac:dyDescent="0.3">
      <c r="A1190" s="9">
        <f>DATE(2021, 8, 9)</f>
        <v>44417</v>
      </c>
      <c r="B1190" s="10">
        <v>69.040000000000006</v>
      </c>
      <c r="C1190" s="10">
        <v>68.61</v>
      </c>
      <c r="D1190" s="10">
        <v>68.16</v>
      </c>
      <c r="E1190" s="10">
        <v>67.709999999999994</v>
      </c>
      <c r="F1190" s="10">
        <v>67.27</v>
      </c>
      <c r="G1190" s="10">
        <v>66.89</v>
      </c>
      <c r="H1190" s="10">
        <v>66.569999999999993</v>
      </c>
      <c r="I1190" s="10">
        <v>66.27</v>
      </c>
      <c r="J1190" s="10">
        <v>66</v>
      </c>
      <c r="K1190" s="10">
        <v>65.72</v>
      </c>
      <c r="L1190" s="10">
        <v>65.45</v>
      </c>
      <c r="M1190" s="10">
        <v>65.2</v>
      </c>
      <c r="N1190" s="10">
        <v>66.48</v>
      </c>
      <c r="O1190" s="10">
        <v>66.3</v>
      </c>
      <c r="P1190" s="10">
        <v>65.989999999999995</v>
      </c>
      <c r="Q1190" s="10">
        <v>65.62</v>
      </c>
      <c r="R1190" s="10">
        <v>65.23</v>
      </c>
      <c r="S1190" s="10">
        <v>64.81</v>
      </c>
      <c r="T1190" s="10">
        <v>64.41</v>
      </c>
      <c r="U1190" s="10">
        <v>64.02</v>
      </c>
      <c r="V1190" s="10">
        <v>63.64</v>
      </c>
      <c r="W1190" s="10">
        <v>63.27</v>
      </c>
      <c r="X1190" s="10">
        <v>62.88</v>
      </c>
      <c r="Y1190" s="10">
        <v>62.5</v>
      </c>
      <c r="Z1190" s="11">
        <v>68.474999999999994</v>
      </c>
      <c r="AA1190" s="11">
        <v>66.52</v>
      </c>
      <c r="AB1190" s="11">
        <v>65.759</v>
      </c>
      <c r="AC1190" s="11">
        <v>65.2</v>
      </c>
      <c r="AD1190" s="11">
        <v>64.667000000000002</v>
      </c>
      <c r="AE1190" s="11">
        <v>64.254999999999995</v>
      </c>
      <c r="AF1190" s="11">
        <v>63.935000000000002</v>
      </c>
      <c r="AG1190" s="11">
        <v>63.637999999999998</v>
      </c>
      <c r="AH1190" s="11">
        <v>63.366</v>
      </c>
      <c r="AI1190" s="11">
        <v>63.097999999999999</v>
      </c>
      <c r="AJ1190" s="11">
        <v>62.829000000000001</v>
      </c>
      <c r="AK1190" s="11">
        <v>62.578000000000003</v>
      </c>
      <c r="AL1190" s="11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  <c r="DP1190" s="3"/>
      <c r="DQ1190" s="3"/>
      <c r="DR1190" s="3"/>
      <c r="DS1190" s="3"/>
      <c r="DT1190" s="3"/>
      <c r="DU1190" s="3"/>
      <c r="DV1190" s="3"/>
      <c r="DW1190" s="3"/>
      <c r="DX1190" s="3"/>
      <c r="DY1190" s="3"/>
      <c r="DZ1190" s="3"/>
      <c r="EA1190" s="3"/>
      <c r="EB1190" s="3"/>
      <c r="EC1190" s="3"/>
      <c r="ED1190" s="3"/>
      <c r="EE1190" s="3"/>
      <c r="EF1190" s="3"/>
      <c r="EG1190" s="3"/>
      <c r="EH1190" s="3"/>
      <c r="EI1190" s="3"/>
      <c r="EJ1190" s="3"/>
      <c r="EK1190" s="3"/>
      <c r="EL1190" s="3"/>
      <c r="EM1190" s="3"/>
      <c r="EN1190" s="3"/>
      <c r="EO1190" s="3"/>
      <c r="EP1190" s="3"/>
      <c r="EQ1190" s="3"/>
    </row>
    <row r="1191" spans="1:147" x14ac:dyDescent="0.3">
      <c r="A1191" s="9">
        <f>DATE(2021, 8, 10)</f>
        <v>44418</v>
      </c>
      <c r="B1191" s="10">
        <v>70.63</v>
      </c>
      <c r="C1191" s="10">
        <v>70.22</v>
      </c>
      <c r="D1191" s="10">
        <v>69.760000000000005</v>
      </c>
      <c r="E1191" s="10">
        <v>69.3</v>
      </c>
      <c r="F1191" s="10">
        <v>68.83</v>
      </c>
      <c r="G1191" s="10">
        <v>68.42</v>
      </c>
      <c r="H1191" s="10">
        <v>68.069999999999993</v>
      </c>
      <c r="I1191" s="10">
        <v>67.75</v>
      </c>
      <c r="J1191" s="10">
        <v>67.45</v>
      </c>
      <c r="K1191" s="10">
        <v>67.14</v>
      </c>
      <c r="L1191" s="10">
        <v>66.84</v>
      </c>
      <c r="M1191" s="10">
        <v>66.56</v>
      </c>
      <c r="N1191" s="10">
        <v>68.290000000000006</v>
      </c>
      <c r="O1191" s="10">
        <v>68.06</v>
      </c>
      <c r="P1191" s="10">
        <v>67.69</v>
      </c>
      <c r="Q1191" s="10">
        <v>67.239999999999995</v>
      </c>
      <c r="R1191" s="10">
        <v>66.8</v>
      </c>
      <c r="S1191" s="10">
        <v>66.34</v>
      </c>
      <c r="T1191" s="10">
        <v>65.91</v>
      </c>
      <c r="U1191" s="10">
        <v>65.489999999999995</v>
      </c>
      <c r="V1191" s="10">
        <v>65.08</v>
      </c>
      <c r="W1191" s="10">
        <v>64.67</v>
      </c>
      <c r="X1191" s="10">
        <v>64.25</v>
      </c>
      <c r="Y1191" s="10">
        <v>63.84</v>
      </c>
      <c r="Z1191" s="11">
        <v>69.763000000000005</v>
      </c>
      <c r="AA1191" s="11">
        <v>68.159000000000006</v>
      </c>
      <c r="AB1191" s="11">
        <v>67.388999999999996</v>
      </c>
      <c r="AC1191" s="11">
        <v>66.819000000000003</v>
      </c>
      <c r="AD1191" s="11">
        <v>66.263999999999996</v>
      </c>
      <c r="AE1191" s="11">
        <v>65.813000000000002</v>
      </c>
      <c r="AF1191" s="11">
        <v>65.463999999999999</v>
      </c>
      <c r="AG1191" s="11">
        <v>65.147000000000006</v>
      </c>
      <c r="AH1191" s="11">
        <v>64.844999999999999</v>
      </c>
      <c r="AI1191" s="11">
        <v>64.555999999999997</v>
      </c>
      <c r="AJ1191" s="11">
        <v>64.266999999999996</v>
      </c>
      <c r="AK1191" s="11">
        <v>63.985999999999997</v>
      </c>
      <c r="AL1191" s="11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  <c r="DP1191" s="3"/>
      <c r="DQ1191" s="3"/>
      <c r="DR1191" s="3"/>
      <c r="DS1191" s="3"/>
      <c r="DT1191" s="3"/>
      <c r="DU1191" s="3"/>
      <c r="DV1191" s="3"/>
      <c r="DW1191" s="3"/>
      <c r="DX1191" s="3"/>
      <c r="DY1191" s="3"/>
      <c r="DZ1191" s="3"/>
      <c r="EA1191" s="3"/>
      <c r="EB1191" s="3"/>
      <c r="EC1191" s="3"/>
      <c r="ED1191" s="3"/>
      <c r="EE1191" s="3"/>
      <c r="EF1191" s="3"/>
      <c r="EG1191" s="3"/>
      <c r="EH1191" s="3"/>
      <c r="EI1191" s="3"/>
      <c r="EJ1191" s="3"/>
      <c r="EK1191" s="3"/>
      <c r="EL1191" s="3"/>
      <c r="EM1191" s="3"/>
      <c r="EN1191" s="3"/>
      <c r="EO1191" s="3"/>
      <c r="EP1191" s="3"/>
      <c r="EQ1191" s="3"/>
    </row>
    <row r="1192" spans="1:147" x14ac:dyDescent="0.3">
      <c r="A1192" s="9">
        <f>DATE(2021, 8, 11)</f>
        <v>44419</v>
      </c>
      <c r="B1192" s="10">
        <v>71.44</v>
      </c>
      <c r="C1192" s="10">
        <v>71.06</v>
      </c>
      <c r="D1192" s="10">
        <v>70.599999999999994</v>
      </c>
      <c r="E1192" s="10">
        <v>70.14</v>
      </c>
      <c r="F1192" s="10">
        <v>69.680000000000007</v>
      </c>
      <c r="G1192" s="10">
        <v>69.27</v>
      </c>
      <c r="H1192" s="10">
        <v>68.91</v>
      </c>
      <c r="I1192" s="10">
        <v>68.58</v>
      </c>
      <c r="J1192" s="10">
        <v>68.27</v>
      </c>
      <c r="K1192" s="10">
        <v>67.95</v>
      </c>
      <c r="L1192" s="10">
        <v>67.64</v>
      </c>
      <c r="M1192" s="10">
        <v>67.349999999999994</v>
      </c>
      <c r="N1192" s="10">
        <v>69.25</v>
      </c>
      <c r="O1192" s="10">
        <v>69.02</v>
      </c>
      <c r="P1192" s="10">
        <v>68.650000000000006</v>
      </c>
      <c r="Q1192" s="10">
        <v>68.180000000000007</v>
      </c>
      <c r="R1192" s="10">
        <v>67.709999999999994</v>
      </c>
      <c r="S1192" s="10">
        <v>67.23</v>
      </c>
      <c r="T1192" s="10">
        <v>66.78</v>
      </c>
      <c r="U1192" s="10">
        <v>66.349999999999994</v>
      </c>
      <c r="V1192" s="10">
        <v>65.930000000000007</v>
      </c>
      <c r="W1192" s="10">
        <v>65.510000000000005</v>
      </c>
      <c r="X1192" s="10">
        <v>65.069999999999993</v>
      </c>
      <c r="Y1192" s="10">
        <v>64.650000000000006</v>
      </c>
      <c r="Z1192" s="11">
        <v>70.429000000000002</v>
      </c>
      <c r="AA1192" s="11">
        <v>69.028999999999996</v>
      </c>
      <c r="AB1192" s="11">
        <v>68.248000000000005</v>
      </c>
      <c r="AC1192" s="11">
        <v>67.668999999999997</v>
      </c>
      <c r="AD1192" s="11">
        <v>67.103999999999999</v>
      </c>
      <c r="AE1192" s="11">
        <v>66.653000000000006</v>
      </c>
      <c r="AF1192" s="11">
        <v>66.274000000000001</v>
      </c>
      <c r="AG1192" s="11">
        <v>65.947000000000003</v>
      </c>
      <c r="AH1192" s="11">
        <v>65.644000000000005</v>
      </c>
      <c r="AI1192" s="11">
        <v>65.325999999999993</v>
      </c>
      <c r="AJ1192" s="11">
        <v>65.016999999999996</v>
      </c>
      <c r="AK1192" s="11">
        <v>64.725999999999999</v>
      </c>
      <c r="AL1192" s="11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  <c r="DP1192" s="3"/>
      <c r="DQ1192" s="3"/>
      <c r="DR1192" s="3"/>
      <c r="DS1192" s="3"/>
      <c r="DT1192" s="3"/>
      <c r="DU1192" s="3"/>
      <c r="DV1192" s="3"/>
      <c r="DW1192" s="3"/>
      <c r="DX1192" s="3"/>
      <c r="DY1192" s="3"/>
      <c r="DZ1192" s="3"/>
      <c r="EA1192" s="3"/>
      <c r="EB1192" s="3"/>
      <c r="EC1192" s="3"/>
      <c r="ED1192" s="3"/>
      <c r="EE1192" s="3"/>
      <c r="EF1192" s="3"/>
      <c r="EG1192" s="3"/>
      <c r="EH1192" s="3"/>
      <c r="EI1192" s="3"/>
      <c r="EJ1192" s="3"/>
      <c r="EK1192" s="3"/>
      <c r="EL1192" s="3"/>
      <c r="EM1192" s="3"/>
      <c r="EN1192" s="3"/>
      <c r="EO1192" s="3"/>
      <c r="EP1192" s="3"/>
      <c r="EQ1192" s="3"/>
    </row>
    <row r="1193" spans="1:147" x14ac:dyDescent="0.3">
      <c r="A1193" s="9">
        <f>DATE(2021, 8, 12)</f>
        <v>44420</v>
      </c>
      <c r="B1193" s="10">
        <v>71.31</v>
      </c>
      <c r="C1193" s="10">
        <v>70.91</v>
      </c>
      <c r="D1193" s="10">
        <v>70.44</v>
      </c>
      <c r="E1193" s="10">
        <v>69.98</v>
      </c>
      <c r="F1193" s="10">
        <v>69.52</v>
      </c>
      <c r="G1193" s="10">
        <v>69.12</v>
      </c>
      <c r="H1193" s="10">
        <v>68.78</v>
      </c>
      <c r="I1193" s="10">
        <v>68.47</v>
      </c>
      <c r="J1193" s="10">
        <v>68.16</v>
      </c>
      <c r="K1193" s="10">
        <v>67.849999999999994</v>
      </c>
      <c r="L1193" s="10">
        <v>67.540000000000006</v>
      </c>
      <c r="M1193" s="10">
        <v>67.239999999999995</v>
      </c>
      <c r="N1193" s="10">
        <v>69.09</v>
      </c>
      <c r="O1193" s="10">
        <v>68.900000000000006</v>
      </c>
      <c r="P1193" s="10">
        <v>68.55</v>
      </c>
      <c r="Q1193" s="10">
        <v>68.11</v>
      </c>
      <c r="R1193" s="10">
        <v>67.66</v>
      </c>
      <c r="S1193" s="10">
        <v>67.19</v>
      </c>
      <c r="T1193" s="10">
        <v>66.75</v>
      </c>
      <c r="U1193" s="10">
        <v>66.319999999999993</v>
      </c>
      <c r="V1193" s="10">
        <v>65.900000000000006</v>
      </c>
      <c r="W1193" s="10">
        <v>65.489999999999995</v>
      </c>
      <c r="X1193" s="10">
        <v>65.06</v>
      </c>
      <c r="Y1193" s="10">
        <v>64.63</v>
      </c>
      <c r="Z1193" s="11">
        <v>70.462999999999994</v>
      </c>
      <c r="AA1193" s="11">
        <v>69.069000000000003</v>
      </c>
      <c r="AB1193" s="11">
        <v>68.188000000000002</v>
      </c>
      <c r="AC1193" s="11">
        <v>67.569000000000003</v>
      </c>
      <c r="AD1193" s="11">
        <v>66.984999999999999</v>
      </c>
      <c r="AE1193" s="11">
        <v>66.524000000000001</v>
      </c>
      <c r="AF1193" s="11">
        <v>66.155000000000001</v>
      </c>
      <c r="AG1193" s="11">
        <v>65.846999999999994</v>
      </c>
      <c r="AH1193" s="11">
        <v>65.534999999999997</v>
      </c>
      <c r="AI1193" s="11">
        <v>65.215999999999994</v>
      </c>
      <c r="AJ1193" s="11">
        <v>64.915999999999997</v>
      </c>
      <c r="AK1193" s="11">
        <v>64.626000000000005</v>
      </c>
      <c r="AL1193" s="11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  <c r="DP1193" s="3"/>
      <c r="DQ1193" s="3"/>
      <c r="DR1193" s="3"/>
      <c r="DS1193" s="3"/>
      <c r="DT1193" s="3"/>
      <c r="DU1193" s="3"/>
      <c r="DV1193" s="3"/>
      <c r="DW1193" s="3"/>
      <c r="DX1193" s="3"/>
      <c r="DY1193" s="3"/>
      <c r="DZ1193" s="3"/>
      <c r="EA1193" s="3"/>
      <c r="EB1193" s="3"/>
      <c r="EC1193" s="3"/>
      <c r="ED1193" s="3"/>
      <c r="EE1193" s="3"/>
      <c r="EF1193" s="3"/>
      <c r="EG1193" s="3"/>
      <c r="EH1193" s="3"/>
      <c r="EI1193" s="3"/>
      <c r="EJ1193" s="3"/>
      <c r="EK1193" s="3"/>
      <c r="EL1193" s="3"/>
      <c r="EM1193" s="3"/>
      <c r="EN1193" s="3"/>
      <c r="EO1193" s="3"/>
      <c r="EP1193" s="3"/>
      <c r="EQ1193" s="3"/>
    </row>
    <row r="1194" spans="1:147" x14ac:dyDescent="0.3">
      <c r="A1194" s="9">
        <f>DATE(2021, 8, 13)</f>
        <v>44421</v>
      </c>
      <c r="B1194" s="10">
        <v>70.59</v>
      </c>
      <c r="C1194" s="10">
        <v>70.2</v>
      </c>
      <c r="D1194" s="10">
        <v>69.739999999999995</v>
      </c>
      <c r="E1194" s="10">
        <v>69.3</v>
      </c>
      <c r="F1194" s="10">
        <v>68.87</v>
      </c>
      <c r="G1194" s="10">
        <v>68.489999999999995</v>
      </c>
      <c r="H1194" s="10">
        <v>68.16</v>
      </c>
      <c r="I1194" s="10">
        <v>67.87</v>
      </c>
      <c r="J1194" s="10">
        <v>67.58</v>
      </c>
      <c r="K1194" s="10">
        <v>67.290000000000006</v>
      </c>
      <c r="L1194" s="10">
        <v>67.010000000000005</v>
      </c>
      <c r="M1194" s="10">
        <v>66.72</v>
      </c>
      <c r="N1194" s="10">
        <v>68.44</v>
      </c>
      <c r="O1194" s="10">
        <v>68.209999999999994</v>
      </c>
      <c r="P1194" s="10">
        <v>67.84</v>
      </c>
      <c r="Q1194" s="10">
        <v>67.41</v>
      </c>
      <c r="R1194" s="10">
        <v>66.98</v>
      </c>
      <c r="S1194" s="10">
        <v>66.540000000000006</v>
      </c>
      <c r="T1194" s="10">
        <v>66.13</v>
      </c>
      <c r="U1194" s="10">
        <v>65.73</v>
      </c>
      <c r="V1194" s="10">
        <v>65.34</v>
      </c>
      <c r="W1194" s="10">
        <v>64.94</v>
      </c>
      <c r="X1194" s="10">
        <v>64.52</v>
      </c>
      <c r="Y1194" s="10">
        <v>64.11</v>
      </c>
      <c r="Z1194" s="11">
        <v>70.103999999999999</v>
      </c>
      <c r="AA1194" s="11">
        <v>68.448999999999998</v>
      </c>
      <c r="AB1194" s="11">
        <v>67.578999999999994</v>
      </c>
      <c r="AC1194" s="11">
        <v>66.930000000000007</v>
      </c>
      <c r="AD1194" s="11">
        <v>66.326999999999998</v>
      </c>
      <c r="AE1194" s="11">
        <v>65.894000000000005</v>
      </c>
      <c r="AF1194" s="11">
        <v>65.536000000000001</v>
      </c>
      <c r="AG1194" s="11">
        <v>65.236999999999995</v>
      </c>
      <c r="AH1194" s="11">
        <v>64.945999999999998</v>
      </c>
      <c r="AI1194" s="11">
        <v>64.656999999999996</v>
      </c>
      <c r="AJ1194" s="11">
        <v>64.387</v>
      </c>
      <c r="AK1194" s="11">
        <v>64.106999999999999</v>
      </c>
      <c r="AL1194" s="11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  <c r="DG1194" s="3"/>
      <c r="DH1194" s="3"/>
      <c r="DI1194" s="3"/>
      <c r="DJ1194" s="3"/>
      <c r="DK1194" s="3"/>
      <c r="DL1194" s="3"/>
      <c r="DM1194" s="3"/>
      <c r="DN1194" s="3"/>
      <c r="DO1194" s="3"/>
      <c r="DP1194" s="3"/>
      <c r="DQ1194" s="3"/>
      <c r="DR1194" s="3"/>
      <c r="DS1194" s="3"/>
      <c r="DT1194" s="3"/>
      <c r="DU1194" s="3"/>
      <c r="DV1194" s="3"/>
      <c r="DW1194" s="3"/>
      <c r="DX1194" s="3"/>
      <c r="DY1194" s="3"/>
      <c r="DZ1194" s="3"/>
      <c r="EA1194" s="3"/>
      <c r="EB1194" s="3"/>
      <c r="EC1194" s="3"/>
      <c r="ED1194" s="3"/>
      <c r="EE1194" s="3"/>
      <c r="EF1194" s="3"/>
      <c r="EG1194" s="3"/>
      <c r="EH1194" s="3"/>
      <c r="EI1194" s="3"/>
      <c r="EJ1194" s="3"/>
      <c r="EK1194" s="3"/>
      <c r="EL1194" s="3"/>
      <c r="EM1194" s="3"/>
      <c r="EN1194" s="3"/>
      <c r="EO1194" s="3"/>
      <c r="EP1194" s="3"/>
      <c r="EQ1194" s="3"/>
    </row>
    <row r="1195" spans="1:147" x14ac:dyDescent="0.3">
      <c r="A1195" s="9">
        <f>DATE(2021, 8, 16)</f>
        <v>44424</v>
      </c>
      <c r="B1195" s="10">
        <v>69.510000000000005</v>
      </c>
      <c r="C1195" s="10">
        <v>69.14</v>
      </c>
      <c r="D1195" s="10">
        <v>68.680000000000007</v>
      </c>
      <c r="E1195" s="10">
        <v>68.260000000000005</v>
      </c>
      <c r="F1195" s="10">
        <v>67.849999999999994</v>
      </c>
      <c r="G1195" s="10">
        <v>67.489999999999995</v>
      </c>
      <c r="H1195" s="10">
        <v>67.180000000000007</v>
      </c>
      <c r="I1195" s="10">
        <v>66.900000000000006</v>
      </c>
      <c r="J1195" s="10">
        <v>66.63</v>
      </c>
      <c r="K1195" s="10">
        <v>66.36</v>
      </c>
      <c r="L1195" s="10">
        <v>66.09</v>
      </c>
      <c r="M1195" s="10">
        <v>65.83</v>
      </c>
      <c r="N1195" s="10">
        <v>67.290000000000006</v>
      </c>
      <c r="O1195" s="10">
        <v>67.05</v>
      </c>
      <c r="P1195" s="10">
        <v>66.7</v>
      </c>
      <c r="Q1195" s="10">
        <v>66.290000000000006</v>
      </c>
      <c r="R1195" s="10">
        <v>65.89</v>
      </c>
      <c r="S1195" s="10">
        <v>65.48</v>
      </c>
      <c r="T1195" s="10">
        <v>65.09</v>
      </c>
      <c r="U1195" s="10">
        <v>64.709999999999994</v>
      </c>
      <c r="V1195" s="10">
        <v>64.34</v>
      </c>
      <c r="W1195" s="10">
        <v>63.97</v>
      </c>
      <c r="X1195" s="10">
        <v>63.58</v>
      </c>
      <c r="Y1195" s="10">
        <v>63.2</v>
      </c>
      <c r="Z1195" s="11">
        <v>69.587000000000003</v>
      </c>
      <c r="AA1195" s="11">
        <v>67.438999999999993</v>
      </c>
      <c r="AB1195" s="11">
        <v>66.61</v>
      </c>
      <c r="AC1195" s="11">
        <v>65.971000000000004</v>
      </c>
      <c r="AD1195" s="11">
        <v>65.369</v>
      </c>
      <c r="AE1195" s="11">
        <v>64.915000000000006</v>
      </c>
      <c r="AF1195" s="11">
        <v>64.555999999999997</v>
      </c>
      <c r="AG1195" s="11">
        <v>64.268000000000001</v>
      </c>
      <c r="AH1195" s="11">
        <v>64.007000000000005</v>
      </c>
      <c r="AI1195" s="11">
        <v>63.738</v>
      </c>
      <c r="AJ1195" s="11">
        <v>63.478000000000002</v>
      </c>
      <c r="AK1195" s="11">
        <v>63.238</v>
      </c>
      <c r="AL1195" s="11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  <c r="DG1195" s="3"/>
      <c r="DH1195" s="3"/>
      <c r="DI1195" s="3"/>
      <c r="DJ1195" s="3"/>
      <c r="DK1195" s="3"/>
      <c r="DL1195" s="3"/>
      <c r="DM1195" s="3"/>
      <c r="DN1195" s="3"/>
      <c r="DO1195" s="3"/>
      <c r="DP1195" s="3"/>
      <c r="DQ1195" s="3"/>
      <c r="DR1195" s="3"/>
      <c r="DS1195" s="3"/>
      <c r="DT1195" s="3"/>
      <c r="DU1195" s="3"/>
      <c r="DV1195" s="3"/>
      <c r="DW1195" s="3"/>
      <c r="DX1195" s="3"/>
      <c r="DY1195" s="3"/>
      <c r="DZ1195" s="3"/>
      <c r="EA1195" s="3"/>
      <c r="EB1195" s="3"/>
      <c r="EC1195" s="3"/>
      <c r="ED1195" s="3"/>
      <c r="EE1195" s="3"/>
      <c r="EF1195" s="3"/>
      <c r="EG1195" s="3"/>
      <c r="EH1195" s="3"/>
      <c r="EI1195" s="3"/>
      <c r="EJ1195" s="3"/>
      <c r="EK1195" s="3"/>
      <c r="EL1195" s="3"/>
      <c r="EM1195" s="3"/>
      <c r="EN1195" s="3"/>
      <c r="EO1195" s="3"/>
      <c r="EP1195" s="3"/>
      <c r="EQ1195" s="3"/>
    </row>
    <row r="1196" spans="1:147" x14ac:dyDescent="0.3">
      <c r="A1196" s="9">
        <f>DATE(2021, 8, 17)</f>
        <v>44425</v>
      </c>
      <c r="B1196" s="10">
        <v>69.03</v>
      </c>
      <c r="C1196" s="10">
        <v>68.61</v>
      </c>
      <c r="D1196" s="10">
        <v>68.12</v>
      </c>
      <c r="E1196" s="10">
        <v>67.67</v>
      </c>
      <c r="F1196" s="10">
        <v>67.239999999999995</v>
      </c>
      <c r="G1196" s="10">
        <v>66.87</v>
      </c>
      <c r="H1196" s="10">
        <v>66.55</v>
      </c>
      <c r="I1196" s="10">
        <v>66.260000000000005</v>
      </c>
      <c r="J1196" s="10">
        <v>65.989999999999995</v>
      </c>
      <c r="K1196" s="10">
        <v>65.709999999999994</v>
      </c>
      <c r="L1196" s="10">
        <v>65.44</v>
      </c>
      <c r="M1196" s="10">
        <v>65.180000000000007</v>
      </c>
      <c r="N1196" s="10">
        <v>66.59</v>
      </c>
      <c r="O1196" s="10">
        <v>66.34</v>
      </c>
      <c r="P1196" s="10">
        <v>65.989999999999995</v>
      </c>
      <c r="Q1196" s="10">
        <v>65.599999999999994</v>
      </c>
      <c r="R1196" s="10">
        <v>65.209999999999994</v>
      </c>
      <c r="S1196" s="10">
        <v>64.8</v>
      </c>
      <c r="T1196" s="10">
        <v>64.42</v>
      </c>
      <c r="U1196" s="10">
        <v>64.040000000000006</v>
      </c>
      <c r="V1196" s="10">
        <v>63.67</v>
      </c>
      <c r="W1196" s="10">
        <v>63.29</v>
      </c>
      <c r="X1196" s="10">
        <v>62.91</v>
      </c>
      <c r="Y1196" s="10">
        <v>62.52</v>
      </c>
      <c r="Z1196" s="11">
        <v>69.332999999999998</v>
      </c>
      <c r="AA1196" s="11">
        <v>66.938000000000002</v>
      </c>
      <c r="AB1196" s="11">
        <v>66.138999999999996</v>
      </c>
      <c r="AC1196" s="11">
        <v>65.47</v>
      </c>
      <c r="AD1196" s="11">
        <v>64.837999999999994</v>
      </c>
      <c r="AE1196" s="11">
        <v>64.394999999999996</v>
      </c>
      <c r="AF1196" s="11">
        <v>64.025999999999996</v>
      </c>
      <c r="AG1196" s="11">
        <v>63.718000000000004</v>
      </c>
      <c r="AH1196" s="11">
        <v>63.415999999999997</v>
      </c>
      <c r="AI1196" s="11">
        <v>63.148000000000003</v>
      </c>
      <c r="AJ1196" s="11">
        <v>62.887999999999998</v>
      </c>
      <c r="AK1196" s="11">
        <v>62.627000000000002</v>
      </c>
      <c r="AL1196" s="11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  <c r="DG1196" s="3"/>
      <c r="DH1196" s="3"/>
      <c r="DI1196" s="3"/>
      <c r="DJ1196" s="3"/>
      <c r="DK1196" s="3"/>
      <c r="DL1196" s="3"/>
      <c r="DM1196" s="3"/>
      <c r="DN1196" s="3"/>
      <c r="DO1196" s="3"/>
      <c r="DP1196" s="3"/>
      <c r="DQ1196" s="3"/>
      <c r="DR1196" s="3"/>
      <c r="DS1196" s="3"/>
      <c r="DT1196" s="3"/>
      <c r="DU1196" s="3"/>
      <c r="DV1196" s="3"/>
      <c r="DW1196" s="3"/>
      <c r="DX1196" s="3"/>
      <c r="DY1196" s="3"/>
      <c r="DZ1196" s="3"/>
      <c r="EA1196" s="3"/>
      <c r="EB1196" s="3"/>
      <c r="EC1196" s="3"/>
      <c r="ED1196" s="3"/>
      <c r="EE1196" s="3"/>
      <c r="EF1196" s="3"/>
      <c r="EG1196" s="3"/>
      <c r="EH1196" s="3"/>
      <c r="EI1196" s="3"/>
      <c r="EJ1196" s="3"/>
      <c r="EK1196" s="3"/>
      <c r="EL1196" s="3"/>
      <c r="EM1196" s="3"/>
      <c r="EN1196" s="3"/>
      <c r="EO1196" s="3"/>
      <c r="EP1196" s="3"/>
      <c r="EQ1196" s="3"/>
    </row>
    <row r="1197" spans="1:147" x14ac:dyDescent="0.3">
      <c r="A1197" s="9">
        <f>DATE(2021, 8, 18)</f>
        <v>44426</v>
      </c>
      <c r="B1197" s="10">
        <v>68.23</v>
      </c>
      <c r="C1197" s="10">
        <v>67.77</v>
      </c>
      <c r="D1197" s="10">
        <v>67.260000000000005</v>
      </c>
      <c r="E1197" s="10">
        <v>66.8</v>
      </c>
      <c r="F1197" s="10">
        <v>66.38</v>
      </c>
      <c r="G1197" s="10">
        <v>66.03</v>
      </c>
      <c r="H1197" s="10">
        <v>65.73</v>
      </c>
      <c r="I1197" s="10">
        <v>65.459999999999994</v>
      </c>
      <c r="J1197" s="10">
        <v>65.209999999999994</v>
      </c>
      <c r="K1197" s="10">
        <v>64.95</v>
      </c>
      <c r="L1197" s="10">
        <v>64.69</v>
      </c>
      <c r="M1197" s="10">
        <v>64.45</v>
      </c>
      <c r="N1197" s="10">
        <v>65.459999999999994</v>
      </c>
      <c r="O1197" s="10">
        <v>65.209999999999994</v>
      </c>
      <c r="P1197" s="10">
        <v>64.87</v>
      </c>
      <c r="Q1197" s="10">
        <v>64.510000000000005</v>
      </c>
      <c r="R1197" s="10">
        <v>64.150000000000006</v>
      </c>
      <c r="S1197" s="10">
        <v>63.77</v>
      </c>
      <c r="T1197" s="10">
        <v>63.42</v>
      </c>
      <c r="U1197" s="10">
        <v>63.07</v>
      </c>
      <c r="V1197" s="10">
        <v>62.72</v>
      </c>
      <c r="W1197" s="10">
        <v>62.39</v>
      </c>
      <c r="X1197" s="10">
        <v>62.02</v>
      </c>
      <c r="Y1197" s="10">
        <v>61.66</v>
      </c>
      <c r="Z1197" s="11">
        <v>68.866</v>
      </c>
      <c r="AA1197" s="11">
        <v>65.948999999999998</v>
      </c>
      <c r="AB1197" s="11">
        <v>65.218000000000004</v>
      </c>
      <c r="AC1197" s="11">
        <v>64.551000000000002</v>
      </c>
      <c r="AD1197" s="11">
        <v>63.93</v>
      </c>
      <c r="AE1197" s="11">
        <v>63.496000000000002</v>
      </c>
      <c r="AF1197" s="11">
        <v>63.186999999999998</v>
      </c>
      <c r="AG1197" s="11">
        <v>62.908999999999999</v>
      </c>
      <c r="AH1197" s="11">
        <v>62.627000000000002</v>
      </c>
      <c r="AI1197" s="11">
        <v>62.378</v>
      </c>
      <c r="AJ1197" s="11">
        <v>62.128999999999998</v>
      </c>
      <c r="AK1197" s="11">
        <v>61.887999999999998</v>
      </c>
      <c r="AL1197" s="11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  <c r="DG1197" s="3"/>
      <c r="DH1197" s="3"/>
      <c r="DI1197" s="3"/>
      <c r="DJ1197" s="3"/>
      <c r="DK1197" s="3"/>
      <c r="DL1197" s="3"/>
      <c r="DM1197" s="3"/>
      <c r="DN1197" s="3"/>
      <c r="DO1197" s="3"/>
      <c r="DP1197" s="3"/>
      <c r="DQ1197" s="3"/>
      <c r="DR1197" s="3"/>
      <c r="DS1197" s="3"/>
      <c r="DT1197" s="3"/>
      <c r="DU1197" s="3"/>
      <c r="DV1197" s="3"/>
      <c r="DW1197" s="3"/>
      <c r="DX1197" s="3"/>
      <c r="DY1197" s="3"/>
      <c r="DZ1197" s="3"/>
      <c r="EA1197" s="3"/>
      <c r="EB1197" s="3"/>
      <c r="EC1197" s="3"/>
      <c r="ED1197" s="3"/>
      <c r="EE1197" s="3"/>
      <c r="EF1197" s="3"/>
      <c r="EG1197" s="3"/>
      <c r="EH1197" s="3"/>
      <c r="EI1197" s="3"/>
      <c r="EJ1197" s="3"/>
      <c r="EK1197" s="3"/>
      <c r="EL1197" s="3"/>
      <c r="EM1197" s="3"/>
      <c r="EN1197" s="3"/>
      <c r="EO1197" s="3"/>
      <c r="EP1197" s="3"/>
      <c r="EQ1197" s="3"/>
    </row>
    <row r="1198" spans="1:147" x14ac:dyDescent="0.3">
      <c r="A1198" s="9">
        <f>DATE(2021, 8, 19)</f>
        <v>44427</v>
      </c>
      <c r="B1198" s="10">
        <v>66.45</v>
      </c>
      <c r="C1198" s="10">
        <v>66.02</v>
      </c>
      <c r="D1198" s="10">
        <v>65.53</v>
      </c>
      <c r="E1198" s="10">
        <v>65.09</v>
      </c>
      <c r="F1198" s="10">
        <v>64.7</v>
      </c>
      <c r="G1198" s="10">
        <v>64.36</v>
      </c>
      <c r="H1198" s="10">
        <v>64.08</v>
      </c>
      <c r="I1198" s="10">
        <v>63.83</v>
      </c>
      <c r="J1198" s="10">
        <v>63.59</v>
      </c>
      <c r="K1198" s="10">
        <v>63.35</v>
      </c>
      <c r="L1198" s="10">
        <v>63.12</v>
      </c>
      <c r="M1198" s="10">
        <v>62.9</v>
      </c>
      <c r="N1198" s="10">
        <v>63.69</v>
      </c>
      <c r="O1198" s="10">
        <v>63.5</v>
      </c>
      <c r="P1198" s="10">
        <v>63.15</v>
      </c>
      <c r="Q1198" s="10">
        <v>62.78</v>
      </c>
      <c r="R1198" s="10">
        <v>62.42</v>
      </c>
      <c r="S1198" s="10">
        <v>62.06</v>
      </c>
      <c r="T1198" s="10">
        <v>61.73</v>
      </c>
      <c r="U1198" s="10">
        <v>61.41</v>
      </c>
      <c r="V1198" s="10">
        <v>61.1</v>
      </c>
      <c r="W1198" s="10">
        <v>60.79</v>
      </c>
      <c r="X1198" s="10">
        <v>60.46</v>
      </c>
      <c r="Y1198" s="10">
        <v>60.14</v>
      </c>
      <c r="Z1198" s="11">
        <v>68.028999999999996</v>
      </c>
      <c r="AA1198" s="11">
        <v>64.097999999999999</v>
      </c>
      <c r="AB1198" s="11">
        <v>63.463999999999999</v>
      </c>
      <c r="AC1198" s="11">
        <v>62.832000000000001</v>
      </c>
      <c r="AD1198" s="11">
        <v>62.23</v>
      </c>
      <c r="AE1198" s="11">
        <v>61.807000000000002</v>
      </c>
      <c r="AF1198" s="11">
        <v>61.488</v>
      </c>
      <c r="AG1198" s="11">
        <v>61.23</v>
      </c>
      <c r="AH1198" s="11">
        <v>60.988</v>
      </c>
      <c r="AI1198" s="11">
        <v>60.76</v>
      </c>
      <c r="AJ1198" s="11">
        <v>60.53</v>
      </c>
      <c r="AK1198" s="11">
        <v>60.289000000000001</v>
      </c>
      <c r="AL1198" s="11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  <c r="DG1198" s="3"/>
      <c r="DH1198" s="3"/>
      <c r="DI1198" s="3"/>
      <c r="DJ1198" s="3"/>
      <c r="DK1198" s="3"/>
      <c r="DL1198" s="3"/>
      <c r="DM1198" s="3"/>
      <c r="DN1198" s="3"/>
      <c r="DO1198" s="3"/>
      <c r="DP1198" s="3"/>
      <c r="DQ1198" s="3"/>
      <c r="DR1198" s="3"/>
      <c r="DS1198" s="3"/>
      <c r="DT1198" s="3"/>
      <c r="DU1198" s="3"/>
      <c r="DV1198" s="3"/>
      <c r="DW1198" s="3"/>
      <c r="DX1198" s="3"/>
      <c r="DY1198" s="3"/>
      <c r="DZ1198" s="3"/>
      <c r="EA1198" s="3"/>
      <c r="EB1198" s="3"/>
      <c r="EC1198" s="3"/>
      <c r="ED1198" s="3"/>
      <c r="EE1198" s="3"/>
      <c r="EF1198" s="3"/>
      <c r="EG1198" s="3"/>
      <c r="EH1198" s="3"/>
      <c r="EI1198" s="3"/>
      <c r="EJ1198" s="3"/>
      <c r="EK1198" s="3"/>
      <c r="EL1198" s="3"/>
      <c r="EM1198" s="3"/>
      <c r="EN1198" s="3"/>
      <c r="EO1198" s="3"/>
      <c r="EP1198" s="3"/>
      <c r="EQ1198" s="3"/>
    </row>
    <row r="1199" spans="1:147" x14ac:dyDescent="0.3">
      <c r="A1199" s="9">
        <f>DATE(2021, 8, 20)</f>
        <v>44428</v>
      </c>
      <c r="B1199" s="10">
        <v>65.180000000000007</v>
      </c>
      <c r="C1199" s="10">
        <v>64.75</v>
      </c>
      <c r="D1199" s="10">
        <v>64.28</v>
      </c>
      <c r="E1199" s="10">
        <v>63.85</v>
      </c>
      <c r="F1199" s="10">
        <v>63.48</v>
      </c>
      <c r="G1199" s="10">
        <v>63.14</v>
      </c>
      <c r="H1199" s="10">
        <v>62.85</v>
      </c>
      <c r="I1199" s="10">
        <v>62.6</v>
      </c>
      <c r="J1199" s="10">
        <v>62.36</v>
      </c>
      <c r="K1199" s="10">
        <v>62.12</v>
      </c>
      <c r="L1199" s="10">
        <v>61.89</v>
      </c>
      <c r="M1199" s="10">
        <v>61.67</v>
      </c>
      <c r="N1199" s="10">
        <v>62.32</v>
      </c>
      <c r="O1199" s="10">
        <v>62.14</v>
      </c>
      <c r="P1199" s="10">
        <v>61.84</v>
      </c>
      <c r="Q1199" s="10">
        <v>61.49</v>
      </c>
      <c r="R1199" s="10">
        <v>61.14</v>
      </c>
      <c r="S1199" s="10">
        <v>60.79</v>
      </c>
      <c r="T1199" s="10">
        <v>60.46</v>
      </c>
      <c r="U1199" s="10">
        <v>60.13</v>
      </c>
      <c r="V1199" s="10">
        <v>59.81</v>
      </c>
      <c r="W1199" s="10">
        <v>59.51</v>
      </c>
      <c r="X1199" s="10">
        <v>59.18</v>
      </c>
      <c r="Y1199" s="10">
        <v>58.86</v>
      </c>
      <c r="Z1199" s="11">
        <v>67.673000000000002</v>
      </c>
      <c r="AA1199" s="11">
        <v>62.999000000000002</v>
      </c>
      <c r="AB1199" s="11">
        <v>62.31</v>
      </c>
      <c r="AC1199" s="11">
        <v>61.652999999999999</v>
      </c>
      <c r="AD1199" s="11">
        <v>61.05</v>
      </c>
      <c r="AE1199" s="11">
        <v>60.616</v>
      </c>
      <c r="AF1199" s="11">
        <v>60.277999999999999</v>
      </c>
      <c r="AG1199" s="11">
        <v>60.02</v>
      </c>
      <c r="AH1199" s="11">
        <v>59.777999999999999</v>
      </c>
      <c r="AI1199" s="11">
        <v>59.55</v>
      </c>
      <c r="AJ1199" s="11">
        <v>59.32</v>
      </c>
      <c r="AK1199" s="11">
        <v>59.08</v>
      </c>
      <c r="AL1199" s="11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  <c r="DG1199" s="3"/>
      <c r="DH1199" s="3"/>
      <c r="DI1199" s="3"/>
      <c r="DJ1199" s="3"/>
      <c r="DK1199" s="3"/>
      <c r="DL1199" s="3"/>
      <c r="DM1199" s="3"/>
      <c r="DN1199" s="3"/>
      <c r="DO1199" s="3"/>
      <c r="DP1199" s="3"/>
      <c r="DQ1199" s="3"/>
      <c r="DR1199" s="3"/>
      <c r="DS1199" s="3"/>
      <c r="DT1199" s="3"/>
      <c r="DU1199" s="3"/>
      <c r="DV1199" s="3"/>
      <c r="DW1199" s="3"/>
      <c r="DX1199" s="3"/>
      <c r="DY1199" s="3"/>
      <c r="DZ1199" s="3"/>
      <c r="EA1199" s="3"/>
      <c r="EB1199" s="3"/>
      <c r="EC1199" s="3"/>
      <c r="ED1199" s="3"/>
      <c r="EE1199" s="3"/>
      <c r="EF1199" s="3"/>
      <c r="EG1199" s="3"/>
      <c r="EH1199" s="3"/>
      <c r="EI1199" s="3"/>
      <c r="EJ1199" s="3"/>
      <c r="EK1199" s="3"/>
      <c r="EL1199" s="3"/>
      <c r="EM1199" s="3"/>
      <c r="EN1199" s="3"/>
      <c r="EO1199" s="3"/>
      <c r="EP1199" s="3"/>
      <c r="EQ1199" s="3"/>
    </row>
    <row r="1200" spans="1:147" x14ac:dyDescent="0.3">
      <c r="A1200" s="9">
        <f>DATE(2021, 8, 23)</f>
        <v>44431</v>
      </c>
      <c r="B1200" s="10">
        <v>68.75</v>
      </c>
      <c r="C1200" s="10">
        <v>68.37</v>
      </c>
      <c r="D1200" s="10">
        <v>67.86</v>
      </c>
      <c r="E1200" s="10">
        <v>67.37</v>
      </c>
      <c r="F1200" s="10">
        <v>66.91</v>
      </c>
      <c r="G1200" s="10">
        <v>66.489999999999995</v>
      </c>
      <c r="H1200" s="10">
        <v>66.14</v>
      </c>
      <c r="I1200" s="10">
        <v>65.83</v>
      </c>
      <c r="J1200" s="10">
        <v>65.53</v>
      </c>
      <c r="K1200" s="10">
        <v>65.23</v>
      </c>
      <c r="L1200" s="10">
        <v>64.95</v>
      </c>
      <c r="M1200" s="10">
        <v>64.680000000000007</v>
      </c>
      <c r="N1200" s="10">
        <v>65.64</v>
      </c>
      <c r="O1200" s="10">
        <v>65.34</v>
      </c>
      <c r="P1200" s="10">
        <v>64.959999999999994</v>
      </c>
      <c r="Q1200" s="10">
        <v>64.569999999999993</v>
      </c>
      <c r="R1200" s="10">
        <v>64.150000000000006</v>
      </c>
      <c r="S1200" s="10">
        <v>63.75</v>
      </c>
      <c r="T1200" s="10">
        <v>63.36</v>
      </c>
      <c r="U1200" s="10">
        <v>62.99</v>
      </c>
      <c r="V1200" s="10">
        <v>62.62</v>
      </c>
      <c r="W1200" s="10">
        <v>62.23</v>
      </c>
      <c r="X1200" s="10">
        <v>61.86</v>
      </c>
      <c r="Y1200" s="10">
        <v>61.51</v>
      </c>
      <c r="Z1200" s="11">
        <v>68.787000000000006</v>
      </c>
      <c r="AA1200" s="11">
        <v>66.540000000000006</v>
      </c>
      <c r="AB1200" s="11">
        <v>65.887</v>
      </c>
      <c r="AC1200" s="11">
        <v>65.209000000000003</v>
      </c>
      <c r="AD1200" s="11">
        <v>64.522999999999996</v>
      </c>
      <c r="AE1200" s="11">
        <v>64.003</v>
      </c>
      <c r="AF1200" s="11">
        <v>63.625</v>
      </c>
      <c r="AG1200" s="11">
        <v>63.326999999999998</v>
      </c>
      <c r="AH1200" s="11">
        <v>63.024999999999999</v>
      </c>
      <c r="AI1200" s="11">
        <v>62.737000000000002</v>
      </c>
      <c r="AJ1200" s="11">
        <v>62.448</v>
      </c>
      <c r="AK1200" s="11">
        <v>62.167999999999999</v>
      </c>
      <c r="AL1200" s="11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  <c r="DG1200" s="3"/>
      <c r="DH1200" s="3"/>
      <c r="DI1200" s="3"/>
      <c r="DJ1200" s="3"/>
      <c r="DK1200" s="3"/>
      <c r="DL1200" s="3"/>
      <c r="DM1200" s="3"/>
      <c r="DN1200" s="3"/>
      <c r="DO1200" s="3"/>
      <c r="DP1200" s="3"/>
      <c r="DQ1200" s="3"/>
      <c r="DR1200" s="3"/>
      <c r="DS1200" s="3"/>
      <c r="DT1200" s="3"/>
      <c r="DU1200" s="3"/>
      <c r="DV1200" s="3"/>
      <c r="DW1200" s="3"/>
      <c r="DX1200" s="3"/>
      <c r="DY1200" s="3"/>
      <c r="DZ1200" s="3"/>
      <c r="EA1200" s="3"/>
      <c r="EB1200" s="3"/>
      <c r="EC1200" s="3"/>
      <c r="ED1200" s="3"/>
      <c r="EE1200" s="3"/>
      <c r="EF1200" s="3"/>
      <c r="EG1200" s="3"/>
      <c r="EH1200" s="3"/>
      <c r="EI1200" s="3"/>
      <c r="EJ1200" s="3"/>
      <c r="EK1200" s="3"/>
      <c r="EL1200" s="3"/>
      <c r="EM1200" s="3"/>
      <c r="EN1200" s="3"/>
      <c r="EO1200" s="3"/>
      <c r="EP1200" s="3"/>
      <c r="EQ1200" s="3"/>
    </row>
    <row r="1201" spans="1:147" x14ac:dyDescent="0.3">
      <c r="A1201" s="9">
        <f>DATE(2021, 8, 24)</f>
        <v>44432</v>
      </c>
      <c r="B1201" s="10">
        <v>71.05</v>
      </c>
      <c r="C1201" s="10">
        <v>70.41</v>
      </c>
      <c r="D1201" s="10">
        <v>69.78</v>
      </c>
      <c r="E1201" s="10">
        <v>69.22</v>
      </c>
      <c r="F1201" s="10">
        <v>68.72</v>
      </c>
      <c r="G1201" s="10">
        <v>68.27</v>
      </c>
      <c r="H1201" s="10">
        <v>67.88</v>
      </c>
      <c r="I1201" s="10">
        <v>67.540000000000006</v>
      </c>
      <c r="J1201" s="10">
        <v>67.23</v>
      </c>
      <c r="K1201" s="10">
        <v>66.900000000000006</v>
      </c>
      <c r="L1201" s="10">
        <v>66.599999999999994</v>
      </c>
      <c r="M1201" s="10">
        <v>66.31</v>
      </c>
      <c r="N1201" s="10">
        <v>67.540000000000006</v>
      </c>
      <c r="O1201" s="10">
        <v>67.25</v>
      </c>
      <c r="P1201" s="10">
        <v>66.86</v>
      </c>
      <c r="Q1201" s="10">
        <v>66.44</v>
      </c>
      <c r="R1201" s="10">
        <v>66</v>
      </c>
      <c r="S1201" s="10">
        <v>65.58</v>
      </c>
      <c r="T1201" s="10">
        <v>65.17</v>
      </c>
      <c r="U1201" s="10">
        <v>64.77</v>
      </c>
      <c r="V1201" s="10">
        <v>64.36</v>
      </c>
      <c r="W1201" s="10">
        <v>63.95</v>
      </c>
      <c r="X1201" s="10">
        <v>63.54</v>
      </c>
      <c r="Y1201" s="10">
        <v>63.16</v>
      </c>
      <c r="Z1201" s="11">
        <v>69.281000000000006</v>
      </c>
      <c r="AA1201" s="11">
        <v>68.412000000000006</v>
      </c>
      <c r="AB1201" s="11">
        <v>67.753</v>
      </c>
      <c r="AC1201" s="11">
        <v>67.036000000000001</v>
      </c>
      <c r="AD1201" s="11">
        <v>66.340999999999994</v>
      </c>
      <c r="AE1201" s="11">
        <v>65.801000000000002</v>
      </c>
      <c r="AF1201" s="11">
        <v>65.403000000000006</v>
      </c>
      <c r="AG1201" s="11">
        <v>65.057000000000002</v>
      </c>
      <c r="AH1201" s="11">
        <v>64.733999999999995</v>
      </c>
      <c r="AI1201" s="11">
        <v>64.406000000000006</v>
      </c>
      <c r="AJ1201" s="11">
        <v>64.076999999999998</v>
      </c>
      <c r="AK1201" s="11">
        <v>63.765999999999998</v>
      </c>
      <c r="AL1201" s="11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  <c r="DG1201" s="3"/>
      <c r="DH1201" s="3"/>
      <c r="DI1201" s="3"/>
      <c r="DJ1201" s="3"/>
      <c r="DK1201" s="3"/>
      <c r="DL1201" s="3"/>
      <c r="DM1201" s="3"/>
      <c r="DN1201" s="3"/>
      <c r="DO1201" s="3"/>
      <c r="DP1201" s="3"/>
      <c r="DQ1201" s="3"/>
      <c r="DR1201" s="3"/>
      <c r="DS1201" s="3"/>
      <c r="DT1201" s="3"/>
      <c r="DU1201" s="3"/>
      <c r="DV1201" s="3"/>
      <c r="DW1201" s="3"/>
      <c r="DX1201" s="3"/>
      <c r="DY1201" s="3"/>
      <c r="DZ1201" s="3"/>
      <c r="EA1201" s="3"/>
      <c r="EB1201" s="3"/>
      <c r="EC1201" s="3"/>
      <c r="ED1201" s="3"/>
      <c r="EE1201" s="3"/>
      <c r="EF1201" s="3"/>
      <c r="EG1201" s="3"/>
      <c r="EH1201" s="3"/>
      <c r="EI1201" s="3"/>
      <c r="EJ1201" s="3"/>
      <c r="EK1201" s="3"/>
      <c r="EL1201" s="3"/>
      <c r="EM1201" s="3"/>
      <c r="EN1201" s="3"/>
      <c r="EO1201" s="3"/>
      <c r="EP1201" s="3"/>
      <c r="EQ1201" s="3"/>
    </row>
    <row r="1202" spans="1:147" x14ac:dyDescent="0.3">
      <c r="A1202" s="9">
        <f>DATE(2021, 8, 25)</f>
        <v>44433</v>
      </c>
      <c r="B1202" s="10">
        <v>72.25</v>
      </c>
      <c r="C1202" s="10">
        <v>71.28</v>
      </c>
      <c r="D1202" s="10">
        <v>70.59</v>
      </c>
      <c r="E1202" s="10">
        <v>70</v>
      </c>
      <c r="F1202" s="10">
        <v>69.48</v>
      </c>
      <c r="G1202" s="10">
        <v>69.02</v>
      </c>
      <c r="H1202" s="10">
        <v>68.62</v>
      </c>
      <c r="I1202" s="10">
        <v>68.260000000000005</v>
      </c>
      <c r="J1202" s="10">
        <v>67.930000000000007</v>
      </c>
      <c r="K1202" s="10">
        <v>67.58</v>
      </c>
      <c r="L1202" s="10">
        <v>67.27</v>
      </c>
      <c r="M1202" s="10">
        <v>66.97</v>
      </c>
      <c r="N1202" s="10">
        <v>68.36</v>
      </c>
      <c r="O1202" s="10">
        <v>68.06</v>
      </c>
      <c r="P1202" s="10">
        <v>67.66</v>
      </c>
      <c r="Q1202" s="10">
        <v>67.23</v>
      </c>
      <c r="R1202" s="10">
        <v>66.78</v>
      </c>
      <c r="S1202" s="10">
        <v>66.349999999999994</v>
      </c>
      <c r="T1202" s="10">
        <v>65.930000000000007</v>
      </c>
      <c r="U1202" s="10">
        <v>65.52</v>
      </c>
      <c r="V1202" s="10">
        <v>65.099999999999994</v>
      </c>
      <c r="W1202" s="10">
        <v>64.67</v>
      </c>
      <c r="X1202" s="10">
        <v>64.25</v>
      </c>
      <c r="Y1202" s="10">
        <v>63.85</v>
      </c>
      <c r="Z1202" s="11">
        <v>69.444000000000003</v>
      </c>
      <c r="AA1202" s="11">
        <v>69.278999999999996</v>
      </c>
      <c r="AB1202" s="11">
        <v>68.638000000000005</v>
      </c>
      <c r="AC1202" s="11">
        <v>67.91</v>
      </c>
      <c r="AD1202" s="11">
        <v>67.210999999999999</v>
      </c>
      <c r="AE1202" s="11">
        <v>66.661000000000001</v>
      </c>
      <c r="AF1202" s="11">
        <v>66.221999999999994</v>
      </c>
      <c r="AG1202" s="11">
        <v>65.866</v>
      </c>
      <c r="AH1202" s="11">
        <v>65.522999999999996</v>
      </c>
      <c r="AI1202" s="11">
        <v>65.186000000000007</v>
      </c>
      <c r="AJ1202" s="11">
        <v>64.846000000000004</v>
      </c>
      <c r="AK1202" s="11">
        <v>64.504999999999995</v>
      </c>
      <c r="AL1202" s="11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  <c r="DG1202" s="3"/>
      <c r="DH1202" s="3"/>
      <c r="DI1202" s="3"/>
      <c r="DJ1202" s="3"/>
      <c r="DK1202" s="3"/>
      <c r="DL1202" s="3"/>
      <c r="DM1202" s="3"/>
      <c r="DN1202" s="3"/>
      <c r="DO1202" s="3"/>
      <c r="DP1202" s="3"/>
      <c r="DQ1202" s="3"/>
      <c r="DR1202" s="3"/>
      <c r="DS1202" s="3"/>
      <c r="DT1202" s="3"/>
      <c r="DU1202" s="3"/>
      <c r="DV1202" s="3"/>
      <c r="DW1202" s="3"/>
      <c r="DX1202" s="3"/>
      <c r="DY1202" s="3"/>
      <c r="DZ1202" s="3"/>
      <c r="EA1202" s="3"/>
      <c r="EB1202" s="3"/>
      <c r="EC1202" s="3"/>
      <c r="ED1202" s="3"/>
      <c r="EE1202" s="3"/>
      <c r="EF1202" s="3"/>
      <c r="EG1202" s="3"/>
      <c r="EH1202" s="3"/>
      <c r="EI1202" s="3"/>
      <c r="EJ1202" s="3"/>
      <c r="EK1202" s="3"/>
      <c r="EL1202" s="3"/>
      <c r="EM1202" s="3"/>
      <c r="EN1202" s="3"/>
      <c r="EO1202" s="3"/>
      <c r="EP1202" s="3"/>
      <c r="EQ1202" s="3"/>
    </row>
    <row r="1203" spans="1:147" x14ac:dyDescent="0.3">
      <c r="A1203" s="9">
        <f>DATE(2021, 8, 26)</f>
        <v>44434</v>
      </c>
      <c r="B1203" s="10">
        <v>71.069999999999993</v>
      </c>
      <c r="C1203" s="10">
        <v>70.180000000000007</v>
      </c>
      <c r="D1203" s="10">
        <v>69.569999999999993</v>
      </c>
      <c r="E1203" s="10">
        <v>69.02</v>
      </c>
      <c r="F1203" s="10">
        <v>68.540000000000006</v>
      </c>
      <c r="G1203" s="10">
        <v>68.11</v>
      </c>
      <c r="H1203" s="10">
        <v>67.739999999999995</v>
      </c>
      <c r="I1203" s="10">
        <v>67.400000000000006</v>
      </c>
      <c r="J1203" s="10">
        <v>67.08</v>
      </c>
      <c r="K1203" s="10">
        <v>66.760000000000005</v>
      </c>
      <c r="L1203" s="10">
        <v>66.459999999999994</v>
      </c>
      <c r="M1203" s="10">
        <v>66.17</v>
      </c>
      <c r="N1203" s="10">
        <v>67.42</v>
      </c>
      <c r="O1203" s="10">
        <v>67.099999999999994</v>
      </c>
      <c r="P1203" s="10">
        <v>66.69</v>
      </c>
      <c r="Q1203" s="10">
        <v>66.28</v>
      </c>
      <c r="R1203" s="10">
        <v>65.849999999999994</v>
      </c>
      <c r="S1203" s="10">
        <v>65.44</v>
      </c>
      <c r="T1203" s="10">
        <v>65.02</v>
      </c>
      <c r="U1203" s="10">
        <v>64.62</v>
      </c>
      <c r="V1203" s="10">
        <v>64.2</v>
      </c>
      <c r="W1203" s="10">
        <v>63.78</v>
      </c>
      <c r="X1203" s="10">
        <v>63.38</v>
      </c>
      <c r="Y1203" s="10">
        <v>63</v>
      </c>
      <c r="Z1203" s="11">
        <v>69.281999999999996</v>
      </c>
      <c r="AA1203" s="11">
        <v>68.278999999999996</v>
      </c>
      <c r="AB1203" s="11">
        <v>67.647999999999996</v>
      </c>
      <c r="AC1203" s="11">
        <v>66.966999999999999</v>
      </c>
      <c r="AD1203" s="11">
        <v>66.25</v>
      </c>
      <c r="AE1203" s="11">
        <v>65.73</v>
      </c>
      <c r="AF1203" s="11">
        <v>65.34</v>
      </c>
      <c r="AG1203" s="11">
        <v>64.986000000000004</v>
      </c>
      <c r="AH1203" s="11">
        <v>64.653999999999996</v>
      </c>
      <c r="AI1203" s="11">
        <v>64.325999999999993</v>
      </c>
      <c r="AJ1203" s="11">
        <v>64.007000000000005</v>
      </c>
      <c r="AK1203" s="11">
        <v>63.735999999999997</v>
      </c>
      <c r="AL1203" s="11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  <c r="DG1203" s="3"/>
      <c r="DH1203" s="3"/>
      <c r="DI1203" s="3"/>
      <c r="DJ1203" s="3"/>
      <c r="DK1203" s="3"/>
      <c r="DL1203" s="3"/>
      <c r="DM1203" s="3"/>
      <c r="DN1203" s="3"/>
      <c r="DO1203" s="3"/>
      <c r="DP1203" s="3"/>
      <c r="DQ1203" s="3"/>
      <c r="DR1203" s="3"/>
      <c r="DS1203" s="3"/>
      <c r="DT1203" s="3"/>
      <c r="DU1203" s="3"/>
      <c r="DV1203" s="3"/>
      <c r="DW1203" s="3"/>
      <c r="DX1203" s="3"/>
      <c r="DY1203" s="3"/>
      <c r="DZ1203" s="3"/>
      <c r="EA1203" s="3"/>
      <c r="EB1203" s="3"/>
      <c r="EC1203" s="3"/>
      <c r="ED1203" s="3"/>
      <c r="EE1203" s="3"/>
      <c r="EF1203" s="3"/>
      <c r="EG1203" s="3"/>
      <c r="EH1203" s="3"/>
      <c r="EI1203" s="3"/>
      <c r="EJ1203" s="3"/>
      <c r="EK1203" s="3"/>
      <c r="EL1203" s="3"/>
      <c r="EM1203" s="3"/>
      <c r="EN1203" s="3"/>
      <c r="EO1203" s="3"/>
      <c r="EP1203" s="3"/>
      <c r="EQ1203" s="3"/>
    </row>
    <row r="1204" spans="1:147" x14ac:dyDescent="0.3">
      <c r="A1204" s="9">
        <f>DATE(2021, 8, 27)</f>
        <v>44435</v>
      </c>
      <c r="B1204" s="10">
        <v>72.7</v>
      </c>
      <c r="C1204" s="10">
        <v>71.7</v>
      </c>
      <c r="D1204" s="10">
        <v>71.05</v>
      </c>
      <c r="E1204" s="10">
        <v>70.47</v>
      </c>
      <c r="F1204" s="10">
        <v>69.97</v>
      </c>
      <c r="G1204" s="10">
        <v>69.53</v>
      </c>
      <c r="H1204" s="10">
        <v>69.14</v>
      </c>
      <c r="I1204" s="10">
        <v>68.78</v>
      </c>
      <c r="J1204" s="10">
        <v>68.430000000000007</v>
      </c>
      <c r="K1204" s="10">
        <v>68.08</v>
      </c>
      <c r="L1204" s="10">
        <v>67.760000000000005</v>
      </c>
      <c r="M1204" s="10">
        <v>67.45</v>
      </c>
      <c r="N1204" s="10">
        <v>68.739999999999995</v>
      </c>
      <c r="O1204" s="10">
        <v>68.48</v>
      </c>
      <c r="P1204" s="10">
        <v>68.11</v>
      </c>
      <c r="Q1204" s="10">
        <v>67.7</v>
      </c>
      <c r="R1204" s="10">
        <v>67.25</v>
      </c>
      <c r="S1204" s="10">
        <v>66.819999999999993</v>
      </c>
      <c r="T1204" s="10">
        <v>66.39</v>
      </c>
      <c r="U1204" s="10">
        <v>65.97</v>
      </c>
      <c r="V1204" s="10">
        <v>65.540000000000006</v>
      </c>
      <c r="W1204" s="10">
        <v>65.099999999999994</v>
      </c>
      <c r="X1204" s="10">
        <v>64.67</v>
      </c>
      <c r="Y1204" s="10">
        <v>64.260000000000005</v>
      </c>
      <c r="Z1204" s="11">
        <v>69.486000000000004</v>
      </c>
      <c r="AA1204" s="11">
        <v>69.840999999999994</v>
      </c>
      <c r="AB1204" s="11">
        <v>69.171999999999997</v>
      </c>
      <c r="AC1204" s="11">
        <v>68.423000000000002</v>
      </c>
      <c r="AD1204" s="11">
        <v>67.721999999999994</v>
      </c>
      <c r="AE1204" s="11">
        <v>67.171000000000006</v>
      </c>
      <c r="AF1204" s="11">
        <v>66.762</v>
      </c>
      <c r="AG1204" s="11">
        <v>66.385000000000005</v>
      </c>
      <c r="AH1204" s="11">
        <v>66.022999999999996</v>
      </c>
      <c r="AI1204" s="11">
        <v>65.674999999999997</v>
      </c>
      <c r="AJ1204" s="11">
        <v>65.325999999999993</v>
      </c>
      <c r="AK1204" s="11">
        <v>65.025000000000006</v>
      </c>
      <c r="AL1204" s="11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  <c r="DG1204" s="3"/>
      <c r="DH1204" s="3"/>
      <c r="DI1204" s="3"/>
      <c r="DJ1204" s="3"/>
      <c r="DK1204" s="3"/>
      <c r="DL1204" s="3"/>
      <c r="DM1204" s="3"/>
      <c r="DN1204" s="3"/>
      <c r="DO1204" s="3"/>
      <c r="DP1204" s="3"/>
      <c r="DQ1204" s="3"/>
      <c r="DR1204" s="3"/>
      <c r="DS1204" s="3"/>
      <c r="DT1204" s="3"/>
      <c r="DU1204" s="3"/>
      <c r="DV1204" s="3"/>
      <c r="DW1204" s="3"/>
      <c r="DX1204" s="3"/>
      <c r="DY1204" s="3"/>
      <c r="DZ1204" s="3"/>
      <c r="EA1204" s="3"/>
      <c r="EB1204" s="3"/>
      <c r="EC1204" s="3"/>
      <c r="ED1204" s="3"/>
      <c r="EE1204" s="3"/>
      <c r="EF1204" s="3"/>
      <c r="EG1204" s="3"/>
      <c r="EH1204" s="3"/>
      <c r="EI1204" s="3"/>
      <c r="EJ1204" s="3"/>
      <c r="EK1204" s="3"/>
      <c r="EL1204" s="3"/>
      <c r="EM1204" s="3"/>
      <c r="EN1204" s="3"/>
      <c r="EO1204" s="3"/>
      <c r="EP1204" s="3"/>
      <c r="EQ1204" s="3"/>
    </row>
    <row r="1205" spans="1:147" x14ac:dyDescent="0.3">
      <c r="A1205" s="9">
        <f>DATE(2021, 8, 30)</f>
        <v>44438</v>
      </c>
      <c r="B1205" s="10">
        <v>73.41</v>
      </c>
      <c r="C1205" s="10">
        <v>72.23</v>
      </c>
      <c r="D1205" s="10">
        <v>71.53</v>
      </c>
      <c r="E1205" s="10">
        <v>70.94</v>
      </c>
      <c r="F1205" s="10">
        <v>70.42</v>
      </c>
      <c r="G1205" s="10">
        <v>69.95</v>
      </c>
      <c r="H1205" s="10">
        <v>69.540000000000006</v>
      </c>
      <c r="I1205" s="10">
        <v>69.150000000000006</v>
      </c>
      <c r="J1205" s="10">
        <v>68.77</v>
      </c>
      <c r="K1205" s="10">
        <v>68.400000000000006</v>
      </c>
      <c r="L1205" s="10">
        <v>68.05</v>
      </c>
      <c r="M1205" s="10">
        <v>67.72</v>
      </c>
      <c r="N1205" s="10">
        <v>69.209999999999994</v>
      </c>
      <c r="O1205" s="10">
        <v>68.930000000000007</v>
      </c>
      <c r="P1205" s="10">
        <v>68.56</v>
      </c>
      <c r="Q1205" s="10">
        <v>68.16</v>
      </c>
      <c r="R1205" s="10">
        <v>67.709999999999994</v>
      </c>
      <c r="S1205" s="10">
        <v>67.260000000000005</v>
      </c>
      <c r="T1205" s="10">
        <v>66.81</v>
      </c>
      <c r="U1205" s="10">
        <v>66.36</v>
      </c>
      <c r="V1205" s="10">
        <v>65.91</v>
      </c>
      <c r="W1205" s="10">
        <v>65.45</v>
      </c>
      <c r="X1205" s="10">
        <v>65</v>
      </c>
      <c r="Y1205" s="10">
        <v>64.56</v>
      </c>
      <c r="Z1205" s="11">
        <v>69.507999999999996</v>
      </c>
      <c r="AA1205" s="11">
        <v>70.337999999999994</v>
      </c>
      <c r="AB1205" s="11">
        <v>69.691999999999993</v>
      </c>
      <c r="AC1205" s="11">
        <v>68.945999999999998</v>
      </c>
      <c r="AD1205" s="11">
        <v>68.216999999999999</v>
      </c>
      <c r="AE1205" s="11">
        <v>67.649000000000001</v>
      </c>
      <c r="AF1205" s="11">
        <v>67.200999999999993</v>
      </c>
      <c r="AG1205" s="11">
        <v>66.793000000000006</v>
      </c>
      <c r="AH1205" s="11">
        <v>66.412000000000006</v>
      </c>
      <c r="AI1205" s="11">
        <v>66.024000000000001</v>
      </c>
      <c r="AJ1205" s="11">
        <v>65.655000000000001</v>
      </c>
      <c r="AK1205" s="11">
        <v>65.293999999999997</v>
      </c>
      <c r="AL1205" s="11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  <c r="DG1205" s="3"/>
      <c r="DH1205" s="3"/>
      <c r="DI1205" s="3"/>
      <c r="DJ1205" s="3"/>
      <c r="DK1205" s="3"/>
      <c r="DL1205" s="3"/>
      <c r="DM1205" s="3"/>
      <c r="DN1205" s="3"/>
      <c r="DO1205" s="3"/>
      <c r="DP1205" s="3"/>
      <c r="DQ1205" s="3"/>
      <c r="DR1205" s="3"/>
      <c r="DS1205" s="3"/>
      <c r="DT1205" s="3"/>
      <c r="DU1205" s="3"/>
      <c r="DV1205" s="3"/>
      <c r="DW1205" s="3"/>
      <c r="DX1205" s="3"/>
      <c r="DY1205" s="3"/>
      <c r="DZ1205" s="3"/>
      <c r="EA1205" s="3"/>
      <c r="EB1205" s="3"/>
      <c r="EC1205" s="3"/>
      <c r="ED1205" s="3"/>
      <c r="EE1205" s="3"/>
      <c r="EF1205" s="3"/>
      <c r="EG1205" s="3"/>
      <c r="EH1205" s="3"/>
      <c r="EI1205" s="3"/>
      <c r="EJ1205" s="3"/>
      <c r="EK1205" s="3"/>
      <c r="EL1205" s="3"/>
      <c r="EM1205" s="3"/>
      <c r="EN1205" s="3"/>
      <c r="EO1205" s="3"/>
      <c r="EP1205" s="3"/>
      <c r="EQ1205" s="3"/>
    </row>
    <row r="1206" spans="1:147" x14ac:dyDescent="0.3">
      <c r="A1206" s="9">
        <f>DATE(2021, 8, 31)</f>
        <v>44439</v>
      </c>
      <c r="B1206" s="10">
        <v>72.989999999999995</v>
      </c>
      <c r="C1206" s="10">
        <v>71.63</v>
      </c>
      <c r="D1206" s="10">
        <v>71</v>
      </c>
      <c r="E1206" s="10">
        <v>70.459999999999994</v>
      </c>
      <c r="F1206" s="10">
        <v>69.989999999999995</v>
      </c>
      <c r="G1206" s="10">
        <v>69.56</v>
      </c>
      <c r="H1206" s="10">
        <v>69.17</v>
      </c>
      <c r="I1206" s="10">
        <v>68.8</v>
      </c>
      <c r="J1206" s="10">
        <v>68.44</v>
      </c>
      <c r="K1206" s="10">
        <v>68.08</v>
      </c>
      <c r="L1206" s="10">
        <v>67.73</v>
      </c>
      <c r="M1206" s="10">
        <v>67.400000000000006</v>
      </c>
      <c r="N1206" s="10">
        <v>68.5</v>
      </c>
      <c r="O1206" s="10">
        <v>68.260000000000005</v>
      </c>
      <c r="P1206" s="10">
        <v>67.94</v>
      </c>
      <c r="Q1206" s="10">
        <v>67.599999999999994</v>
      </c>
      <c r="R1206" s="10">
        <v>67.209999999999994</v>
      </c>
      <c r="S1206" s="10">
        <v>66.819999999999993</v>
      </c>
      <c r="T1206" s="10">
        <v>66.42</v>
      </c>
      <c r="U1206" s="10">
        <v>66.010000000000005</v>
      </c>
      <c r="V1206" s="10">
        <v>65.59</v>
      </c>
      <c r="W1206" s="10">
        <v>65.150000000000006</v>
      </c>
      <c r="X1206" s="10">
        <v>64.72</v>
      </c>
      <c r="Y1206" s="10">
        <v>64.3</v>
      </c>
      <c r="Z1206" s="11">
        <v>69.484999999999999</v>
      </c>
      <c r="AA1206" s="11">
        <v>69.751000000000005</v>
      </c>
      <c r="AB1206" s="11">
        <v>69.123999999999995</v>
      </c>
      <c r="AC1206" s="11">
        <v>68.423000000000002</v>
      </c>
      <c r="AD1206" s="11">
        <v>67.716999999999999</v>
      </c>
      <c r="AE1206" s="11">
        <v>67.201999999999998</v>
      </c>
      <c r="AF1206" s="11">
        <v>66.781999999999996</v>
      </c>
      <c r="AG1206" s="11">
        <v>66.403999999999996</v>
      </c>
      <c r="AH1206" s="11">
        <v>66.022000000000006</v>
      </c>
      <c r="AI1206" s="11">
        <v>65.664000000000001</v>
      </c>
      <c r="AJ1206" s="11">
        <v>65.325000000000003</v>
      </c>
      <c r="AK1206" s="11">
        <v>64.994</v>
      </c>
      <c r="AL1206" s="11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  <c r="DG1206" s="3"/>
      <c r="DH1206" s="3"/>
      <c r="DI1206" s="3"/>
      <c r="DJ1206" s="3"/>
      <c r="DK1206" s="3"/>
      <c r="DL1206" s="3"/>
      <c r="DM1206" s="3"/>
      <c r="DN1206" s="3"/>
      <c r="DO1206" s="3"/>
      <c r="DP1206" s="3"/>
      <c r="DQ1206" s="3"/>
      <c r="DR1206" s="3"/>
      <c r="DS1206" s="3"/>
      <c r="DT1206" s="3"/>
      <c r="DU1206" s="3"/>
      <c r="DV1206" s="3"/>
      <c r="DW1206" s="3"/>
      <c r="DX1206" s="3"/>
      <c r="DY1206" s="3"/>
      <c r="DZ1206" s="3"/>
      <c r="EA1206" s="3"/>
      <c r="EB1206" s="3"/>
      <c r="EC1206" s="3"/>
      <c r="ED1206" s="3"/>
      <c r="EE1206" s="3"/>
      <c r="EF1206" s="3"/>
      <c r="EG1206" s="3"/>
      <c r="EH1206" s="3"/>
      <c r="EI1206" s="3"/>
      <c r="EJ1206" s="3"/>
      <c r="EK1206" s="3"/>
      <c r="EL1206" s="3"/>
      <c r="EM1206" s="3"/>
      <c r="EN1206" s="3"/>
      <c r="EO1206" s="3"/>
      <c r="EP1206" s="3"/>
      <c r="EQ1206" s="3"/>
    </row>
    <row r="1207" spans="1:147" x14ac:dyDescent="0.3">
      <c r="A1207" s="9">
        <f>DATE(2021, 9, 1)</f>
        <v>44440</v>
      </c>
      <c r="B1207" s="10">
        <v>71.59</v>
      </c>
      <c r="C1207" s="10">
        <v>71.03</v>
      </c>
      <c r="D1207" s="10">
        <v>70.510000000000005</v>
      </c>
      <c r="E1207" s="10">
        <v>70.05</v>
      </c>
      <c r="F1207" s="10">
        <v>69.650000000000006</v>
      </c>
      <c r="G1207" s="10">
        <v>69.28</v>
      </c>
      <c r="H1207" s="10">
        <v>68.92</v>
      </c>
      <c r="I1207" s="10">
        <v>68.569999999999993</v>
      </c>
      <c r="J1207" s="10">
        <v>68.22</v>
      </c>
      <c r="K1207" s="10">
        <v>67.89</v>
      </c>
      <c r="L1207" s="10">
        <v>67.56</v>
      </c>
      <c r="M1207" s="10">
        <v>67.23</v>
      </c>
      <c r="N1207" s="10">
        <v>68.59</v>
      </c>
      <c r="O1207" s="10">
        <v>68.319999999999993</v>
      </c>
      <c r="P1207" s="10">
        <v>68</v>
      </c>
      <c r="Q1207" s="10">
        <v>67.67</v>
      </c>
      <c r="R1207" s="10">
        <v>67.319999999999993</v>
      </c>
      <c r="S1207" s="10">
        <v>66.97</v>
      </c>
      <c r="T1207" s="10">
        <v>66.61</v>
      </c>
      <c r="U1207" s="10">
        <v>66.22</v>
      </c>
      <c r="V1207" s="10">
        <v>65.83</v>
      </c>
      <c r="W1207" s="10">
        <v>65.41</v>
      </c>
      <c r="X1207" s="10">
        <v>65</v>
      </c>
      <c r="Y1207" s="10">
        <v>64.59</v>
      </c>
      <c r="Z1207" s="11">
        <v>69.484999999999999</v>
      </c>
      <c r="AA1207" s="11">
        <v>69.956000000000003</v>
      </c>
      <c r="AB1207" s="11">
        <v>69.234999999999999</v>
      </c>
      <c r="AC1207" s="11">
        <v>68.527000000000001</v>
      </c>
      <c r="AD1207" s="11">
        <v>67.835999999999999</v>
      </c>
      <c r="AE1207" s="11">
        <v>67.311999999999998</v>
      </c>
      <c r="AF1207" s="11">
        <v>66.930000000000007</v>
      </c>
      <c r="AG1207" s="11">
        <v>66.575000000000003</v>
      </c>
      <c r="AH1207" s="11">
        <v>66.222999999999999</v>
      </c>
      <c r="AI1207" s="11">
        <v>65.875</v>
      </c>
      <c r="AJ1207" s="11">
        <v>65.572000000000003</v>
      </c>
      <c r="AK1207" s="11">
        <v>65.233999999999995</v>
      </c>
      <c r="AL1207" s="11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  <c r="DG1207" s="3"/>
      <c r="DH1207" s="3"/>
      <c r="DI1207" s="3"/>
      <c r="DJ1207" s="3"/>
      <c r="DK1207" s="3"/>
      <c r="DL1207" s="3"/>
      <c r="DM1207" s="3"/>
      <c r="DN1207" s="3"/>
      <c r="DO1207" s="3"/>
      <c r="DP1207" s="3"/>
      <c r="DQ1207" s="3"/>
      <c r="DR1207" s="3"/>
      <c r="DS1207" s="3"/>
      <c r="DT1207" s="3"/>
      <c r="DU1207" s="3"/>
      <c r="DV1207" s="3"/>
      <c r="DW1207" s="3"/>
      <c r="DX1207" s="3"/>
      <c r="DY1207" s="3"/>
      <c r="DZ1207" s="3"/>
      <c r="EA1207" s="3"/>
      <c r="EB1207" s="3"/>
      <c r="EC1207" s="3"/>
      <c r="ED1207" s="3"/>
      <c r="EE1207" s="3"/>
      <c r="EF1207" s="3"/>
      <c r="EG1207" s="3"/>
      <c r="EH1207" s="3"/>
      <c r="EI1207" s="3"/>
      <c r="EJ1207" s="3"/>
      <c r="EK1207" s="3"/>
      <c r="EL1207" s="3"/>
      <c r="EM1207" s="3"/>
      <c r="EN1207" s="3"/>
      <c r="EO1207" s="3"/>
      <c r="EP1207" s="3"/>
      <c r="EQ1207" s="3"/>
    </row>
    <row r="1208" spans="1:147" x14ac:dyDescent="0.3">
      <c r="A1208" s="9">
        <f>DATE(2021, 9, 2)</f>
        <v>44441</v>
      </c>
      <c r="B1208" s="10">
        <v>73.03</v>
      </c>
      <c r="C1208" s="10">
        <v>72.41</v>
      </c>
      <c r="D1208" s="10">
        <v>71.84</v>
      </c>
      <c r="E1208" s="10">
        <v>71.349999999999994</v>
      </c>
      <c r="F1208" s="10">
        <v>70.92</v>
      </c>
      <c r="G1208" s="10">
        <v>70.52</v>
      </c>
      <c r="H1208" s="10">
        <v>70.14</v>
      </c>
      <c r="I1208" s="10">
        <v>69.760000000000005</v>
      </c>
      <c r="J1208" s="10">
        <v>69.400000000000006</v>
      </c>
      <c r="K1208" s="10">
        <v>69.040000000000006</v>
      </c>
      <c r="L1208" s="10">
        <v>68.680000000000007</v>
      </c>
      <c r="M1208" s="10">
        <v>68.319999999999993</v>
      </c>
      <c r="N1208" s="10">
        <v>69.989999999999995</v>
      </c>
      <c r="O1208" s="10">
        <v>69.73</v>
      </c>
      <c r="P1208" s="10">
        <v>69.41</v>
      </c>
      <c r="Q1208" s="10">
        <v>69.05</v>
      </c>
      <c r="R1208" s="10">
        <v>68.67</v>
      </c>
      <c r="S1208" s="10">
        <v>68.290000000000006</v>
      </c>
      <c r="T1208" s="10">
        <v>67.900000000000006</v>
      </c>
      <c r="U1208" s="10">
        <v>67.489999999999995</v>
      </c>
      <c r="V1208" s="10">
        <v>67.069999999999993</v>
      </c>
      <c r="W1208" s="10">
        <v>66.63</v>
      </c>
      <c r="X1208" s="10">
        <v>66.19</v>
      </c>
      <c r="Y1208" s="10">
        <v>65.760000000000005</v>
      </c>
      <c r="Z1208" s="11">
        <v>71.076999999999998</v>
      </c>
      <c r="AA1208" s="11">
        <v>70.549000000000007</v>
      </c>
      <c r="AB1208" s="11">
        <v>69.802999999999997</v>
      </c>
      <c r="AC1208" s="11">
        <v>69.108000000000004</v>
      </c>
      <c r="AD1208" s="11">
        <v>68.566000000000003</v>
      </c>
      <c r="AE1208" s="11">
        <v>68.150999999999996</v>
      </c>
      <c r="AF1208" s="11">
        <v>67.772999999999996</v>
      </c>
      <c r="AG1208" s="11">
        <v>67.402000000000001</v>
      </c>
      <c r="AH1208" s="11">
        <v>67.034000000000006</v>
      </c>
      <c r="AI1208" s="11">
        <v>66.674000000000007</v>
      </c>
      <c r="AJ1208" s="11">
        <v>66.322999999999993</v>
      </c>
      <c r="AK1208" s="11">
        <v>65.965000000000003</v>
      </c>
      <c r="AL1208" s="11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  <c r="DG1208" s="3"/>
      <c r="DH1208" s="3"/>
      <c r="DI1208" s="3"/>
      <c r="DJ1208" s="3"/>
      <c r="DK1208" s="3"/>
      <c r="DL1208" s="3"/>
      <c r="DM1208" s="3"/>
      <c r="DN1208" s="3"/>
      <c r="DO1208" s="3"/>
      <c r="DP1208" s="3"/>
      <c r="DQ1208" s="3"/>
      <c r="DR1208" s="3"/>
      <c r="DS1208" s="3"/>
      <c r="DT1208" s="3"/>
      <c r="DU1208" s="3"/>
      <c r="DV1208" s="3"/>
      <c r="DW1208" s="3"/>
      <c r="DX1208" s="3"/>
      <c r="DY1208" s="3"/>
      <c r="DZ1208" s="3"/>
      <c r="EA1208" s="3"/>
      <c r="EB1208" s="3"/>
      <c r="EC1208" s="3"/>
      <c r="ED1208" s="3"/>
      <c r="EE1208" s="3"/>
      <c r="EF1208" s="3"/>
      <c r="EG1208" s="3"/>
      <c r="EH1208" s="3"/>
      <c r="EI1208" s="3"/>
      <c r="EJ1208" s="3"/>
      <c r="EK1208" s="3"/>
      <c r="EL1208" s="3"/>
      <c r="EM1208" s="3"/>
      <c r="EN1208" s="3"/>
      <c r="EO1208" s="3"/>
      <c r="EP1208" s="3"/>
      <c r="EQ1208" s="3"/>
    </row>
    <row r="1209" spans="1:147" x14ac:dyDescent="0.3">
      <c r="A1209" s="9">
        <f>DATE(2021, 9, 3)</f>
        <v>44442</v>
      </c>
      <c r="B1209" s="10">
        <v>72.61</v>
      </c>
      <c r="C1209" s="10">
        <v>71.98</v>
      </c>
      <c r="D1209" s="10">
        <v>71.400000000000006</v>
      </c>
      <c r="E1209" s="10">
        <v>70.900000000000006</v>
      </c>
      <c r="F1209" s="10">
        <v>70.48</v>
      </c>
      <c r="G1209" s="10">
        <v>70.099999999999994</v>
      </c>
      <c r="H1209" s="10">
        <v>69.73</v>
      </c>
      <c r="I1209" s="10">
        <v>69.36</v>
      </c>
      <c r="J1209" s="10">
        <v>69.010000000000005</v>
      </c>
      <c r="K1209" s="10">
        <v>68.67</v>
      </c>
      <c r="L1209" s="10">
        <v>68.319999999999993</v>
      </c>
      <c r="M1209" s="10">
        <v>67.98</v>
      </c>
      <c r="N1209" s="10">
        <v>69.290000000000006</v>
      </c>
      <c r="O1209" s="10">
        <v>69.069999999999993</v>
      </c>
      <c r="P1209" s="10">
        <v>68.790000000000006</v>
      </c>
      <c r="Q1209" s="10">
        <v>68.459999999999994</v>
      </c>
      <c r="R1209" s="10">
        <v>68.11</v>
      </c>
      <c r="S1209" s="10">
        <v>67.75</v>
      </c>
      <c r="T1209" s="10">
        <v>67.38</v>
      </c>
      <c r="U1209" s="10">
        <v>66.989999999999995</v>
      </c>
      <c r="V1209" s="10">
        <v>66.58</v>
      </c>
      <c r="W1209" s="10">
        <v>66.16</v>
      </c>
      <c r="X1209" s="10">
        <v>65.73</v>
      </c>
      <c r="Y1209" s="10">
        <v>65.319999999999993</v>
      </c>
      <c r="Z1209" s="11">
        <v>70.688000000000002</v>
      </c>
      <c r="AA1209" s="11">
        <v>70.171999999999997</v>
      </c>
      <c r="AB1209" s="11">
        <v>69.356999999999999</v>
      </c>
      <c r="AC1209" s="11">
        <v>68.638999999999996</v>
      </c>
      <c r="AD1209" s="11">
        <v>68.087999999999994</v>
      </c>
      <c r="AE1209" s="11">
        <v>67.688000000000002</v>
      </c>
      <c r="AF1209" s="11">
        <v>67.343999999999994</v>
      </c>
      <c r="AG1209" s="11">
        <v>66.983000000000004</v>
      </c>
      <c r="AH1209" s="11">
        <v>66.625</v>
      </c>
      <c r="AI1209" s="11">
        <v>66.284000000000006</v>
      </c>
      <c r="AJ1209" s="11">
        <v>65.944000000000003</v>
      </c>
      <c r="AK1209" s="11">
        <v>65.605999999999995</v>
      </c>
      <c r="AL1209" s="11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  <c r="DG1209" s="3"/>
      <c r="DH1209" s="3"/>
      <c r="DI1209" s="3"/>
      <c r="DJ1209" s="3"/>
      <c r="DK1209" s="3"/>
      <c r="DL1209" s="3"/>
      <c r="DM1209" s="3"/>
      <c r="DN1209" s="3"/>
      <c r="DO1209" s="3"/>
      <c r="DP1209" s="3"/>
      <c r="DQ1209" s="3"/>
      <c r="DR1209" s="3"/>
      <c r="DS1209" s="3"/>
      <c r="DT1209" s="3"/>
      <c r="DU1209" s="3"/>
      <c r="DV1209" s="3"/>
      <c r="DW1209" s="3"/>
      <c r="DX1209" s="3"/>
      <c r="DY1209" s="3"/>
      <c r="DZ1209" s="3"/>
      <c r="EA1209" s="3"/>
      <c r="EB1209" s="3"/>
      <c r="EC1209" s="3"/>
      <c r="ED1209" s="3"/>
      <c r="EE1209" s="3"/>
      <c r="EF1209" s="3"/>
      <c r="EG1209" s="3"/>
      <c r="EH1209" s="3"/>
      <c r="EI1209" s="3"/>
      <c r="EJ1209" s="3"/>
      <c r="EK1209" s="3"/>
      <c r="EL1209" s="3"/>
      <c r="EM1209" s="3"/>
      <c r="EN1209" s="3"/>
      <c r="EO1209" s="3"/>
      <c r="EP1209" s="3"/>
      <c r="EQ1209" s="3"/>
    </row>
    <row r="1210" spans="1:147" x14ac:dyDescent="0.3">
      <c r="A1210" s="9">
        <f>DATE(2021, 9, 6)</f>
        <v>44445</v>
      </c>
      <c r="B1210" s="10">
        <v>72.22</v>
      </c>
      <c r="C1210" s="10">
        <v>71.62</v>
      </c>
      <c r="D1210" s="10">
        <v>71.040000000000006</v>
      </c>
      <c r="E1210" s="10">
        <v>70.55</v>
      </c>
      <c r="F1210" s="10">
        <v>70.14</v>
      </c>
      <c r="G1210" s="10">
        <v>69.77</v>
      </c>
      <c r="H1210" s="10">
        <v>69.41</v>
      </c>
      <c r="I1210" s="10">
        <v>69.06</v>
      </c>
      <c r="J1210" s="10">
        <v>68.72</v>
      </c>
      <c r="K1210" s="10">
        <v>68.39</v>
      </c>
      <c r="L1210" s="10">
        <v>68.069999999999993</v>
      </c>
      <c r="M1210" s="10">
        <v>67.75</v>
      </c>
      <c r="N1210" s="10">
        <v>69.290000000000006</v>
      </c>
      <c r="O1210" s="10">
        <v>69.069999999999993</v>
      </c>
      <c r="P1210" s="10">
        <v>68.790000000000006</v>
      </c>
      <c r="Q1210" s="10">
        <v>68.459999999999994</v>
      </c>
      <c r="R1210" s="10">
        <v>68.11</v>
      </c>
      <c r="S1210" s="10">
        <v>67.75</v>
      </c>
      <c r="T1210" s="10">
        <v>67.38</v>
      </c>
      <c r="U1210" s="10">
        <v>66.989999999999995</v>
      </c>
      <c r="V1210" s="10">
        <v>66.58</v>
      </c>
      <c r="W1210" s="10">
        <v>66.16</v>
      </c>
      <c r="X1210" s="10">
        <v>65.73</v>
      </c>
      <c r="Y1210" s="10">
        <v>65.319999999999993</v>
      </c>
      <c r="Z1210" s="11">
        <v>70.146000000000001</v>
      </c>
      <c r="AA1210" s="11">
        <v>69.632000000000005</v>
      </c>
      <c r="AB1210" s="11">
        <v>68.878</v>
      </c>
      <c r="AC1210" s="11">
        <v>68.244</v>
      </c>
      <c r="AD1210" s="11">
        <v>67.731999999999999</v>
      </c>
      <c r="AE1210" s="11">
        <v>67.341999999999999</v>
      </c>
      <c r="AF1210" s="11">
        <v>66.974999999999994</v>
      </c>
      <c r="AG1210" s="11">
        <v>66.643000000000001</v>
      </c>
      <c r="AH1210" s="11">
        <v>66.295000000000002</v>
      </c>
      <c r="AI1210" s="11">
        <v>65.954999999999998</v>
      </c>
      <c r="AJ1210" s="11">
        <v>65.635000000000005</v>
      </c>
      <c r="AK1210" s="11">
        <v>65.316999999999993</v>
      </c>
      <c r="AL1210" s="11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  <c r="DG1210" s="3"/>
      <c r="DH1210" s="3"/>
      <c r="DI1210" s="3"/>
      <c r="DJ1210" s="3"/>
      <c r="DK1210" s="3"/>
      <c r="DL1210" s="3"/>
      <c r="DM1210" s="3"/>
      <c r="DN1210" s="3"/>
      <c r="DO1210" s="3"/>
      <c r="DP1210" s="3"/>
      <c r="DQ1210" s="3"/>
      <c r="DR1210" s="3"/>
      <c r="DS1210" s="3"/>
      <c r="DT1210" s="3"/>
      <c r="DU1210" s="3"/>
      <c r="DV1210" s="3"/>
      <c r="DW1210" s="3"/>
      <c r="DX1210" s="3"/>
      <c r="DY1210" s="3"/>
      <c r="DZ1210" s="3"/>
      <c r="EA1210" s="3"/>
      <c r="EB1210" s="3"/>
      <c r="EC1210" s="3"/>
      <c r="ED1210" s="3"/>
      <c r="EE1210" s="3"/>
      <c r="EF1210" s="3"/>
      <c r="EG1210" s="3"/>
      <c r="EH1210" s="3"/>
      <c r="EI1210" s="3"/>
      <c r="EJ1210" s="3"/>
      <c r="EK1210" s="3"/>
      <c r="EL1210" s="3"/>
      <c r="EM1210" s="3"/>
      <c r="EN1210" s="3"/>
      <c r="EO1210" s="3"/>
      <c r="EP1210" s="3"/>
      <c r="EQ1210" s="3"/>
    </row>
    <row r="1211" spans="1:147" x14ac:dyDescent="0.3">
      <c r="A1211" s="9">
        <f>DATE(2021, 9, 7)</f>
        <v>44446</v>
      </c>
      <c r="B1211" s="10">
        <v>71.69</v>
      </c>
      <c r="C1211" s="10">
        <v>71.06</v>
      </c>
      <c r="D1211" s="10">
        <v>70.48</v>
      </c>
      <c r="E1211" s="10">
        <v>69.989999999999995</v>
      </c>
      <c r="F1211" s="10">
        <v>69.58</v>
      </c>
      <c r="G1211" s="10">
        <v>69.22</v>
      </c>
      <c r="H1211" s="10">
        <v>68.88</v>
      </c>
      <c r="I1211" s="10">
        <v>68.55</v>
      </c>
      <c r="J1211" s="10">
        <v>68.22</v>
      </c>
      <c r="K1211" s="10">
        <v>67.92</v>
      </c>
      <c r="L1211" s="10">
        <v>67.61</v>
      </c>
      <c r="M1211" s="10">
        <v>67.3</v>
      </c>
      <c r="N1211" s="10">
        <v>68.349999999999994</v>
      </c>
      <c r="O1211" s="10">
        <v>68.13</v>
      </c>
      <c r="P1211" s="10">
        <v>67.849999999999994</v>
      </c>
      <c r="Q1211" s="10">
        <v>67.53</v>
      </c>
      <c r="R1211" s="10">
        <v>67.2</v>
      </c>
      <c r="S1211" s="10">
        <v>66.86</v>
      </c>
      <c r="T1211" s="10">
        <v>66.52</v>
      </c>
      <c r="U1211" s="10">
        <v>66.16</v>
      </c>
      <c r="V1211" s="10">
        <v>65.78</v>
      </c>
      <c r="W1211" s="10">
        <v>65.39</v>
      </c>
      <c r="X1211" s="10">
        <v>65.010000000000005</v>
      </c>
      <c r="Y1211" s="10">
        <v>64.63</v>
      </c>
      <c r="Z1211" s="11">
        <v>69.725999999999999</v>
      </c>
      <c r="AA1211" s="11">
        <v>69.076999999999998</v>
      </c>
      <c r="AB1211" s="11">
        <v>68.337000000000003</v>
      </c>
      <c r="AC1211" s="11">
        <v>67.697999999999993</v>
      </c>
      <c r="AD1211" s="11">
        <v>67.179000000000002</v>
      </c>
      <c r="AE1211" s="11">
        <v>66.798000000000002</v>
      </c>
      <c r="AF1211" s="11">
        <v>66.456000000000003</v>
      </c>
      <c r="AG1211" s="11">
        <v>66.134</v>
      </c>
      <c r="AH1211" s="11">
        <v>65.816000000000003</v>
      </c>
      <c r="AI1211" s="11">
        <v>65.506</v>
      </c>
      <c r="AJ1211" s="11">
        <v>65.194999999999993</v>
      </c>
      <c r="AK1211" s="11">
        <v>64.888000000000005</v>
      </c>
      <c r="AL1211" s="11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  <c r="DG1211" s="3"/>
      <c r="DH1211" s="3"/>
      <c r="DI1211" s="3"/>
      <c r="DJ1211" s="3"/>
      <c r="DK1211" s="3"/>
      <c r="DL1211" s="3"/>
      <c r="DM1211" s="3"/>
      <c r="DN1211" s="3"/>
      <c r="DO1211" s="3"/>
      <c r="DP1211" s="3"/>
      <c r="DQ1211" s="3"/>
      <c r="DR1211" s="3"/>
      <c r="DS1211" s="3"/>
      <c r="DT1211" s="3"/>
      <c r="DU1211" s="3"/>
      <c r="DV1211" s="3"/>
      <c r="DW1211" s="3"/>
      <c r="DX1211" s="3"/>
      <c r="DY1211" s="3"/>
      <c r="DZ1211" s="3"/>
      <c r="EA1211" s="3"/>
      <c r="EB1211" s="3"/>
      <c r="EC1211" s="3"/>
      <c r="ED1211" s="3"/>
      <c r="EE1211" s="3"/>
      <c r="EF1211" s="3"/>
      <c r="EG1211" s="3"/>
      <c r="EH1211" s="3"/>
      <c r="EI1211" s="3"/>
      <c r="EJ1211" s="3"/>
      <c r="EK1211" s="3"/>
      <c r="EL1211" s="3"/>
      <c r="EM1211" s="3"/>
      <c r="EN1211" s="3"/>
      <c r="EO1211" s="3"/>
      <c r="EP1211" s="3"/>
      <c r="EQ1211" s="3"/>
    </row>
    <row r="1212" spans="1:147" x14ac:dyDescent="0.3">
      <c r="A1212" s="9">
        <f>DATE(2021, 9, 8)</f>
        <v>44447</v>
      </c>
      <c r="B1212" s="10">
        <v>72.599999999999994</v>
      </c>
      <c r="C1212" s="10">
        <v>71.819999999999993</v>
      </c>
      <c r="D1212" s="10">
        <v>71.14</v>
      </c>
      <c r="E1212" s="10">
        <v>70.56</v>
      </c>
      <c r="F1212" s="10">
        <v>70.099999999999994</v>
      </c>
      <c r="G1212" s="10">
        <v>69.69</v>
      </c>
      <c r="H1212" s="10">
        <v>69.31</v>
      </c>
      <c r="I1212" s="10">
        <v>68.94</v>
      </c>
      <c r="J1212" s="10">
        <v>68.59</v>
      </c>
      <c r="K1212" s="10">
        <v>68.25</v>
      </c>
      <c r="L1212" s="10">
        <v>67.92</v>
      </c>
      <c r="M1212" s="10">
        <v>67.59</v>
      </c>
      <c r="N1212" s="10">
        <v>69.3</v>
      </c>
      <c r="O1212" s="10">
        <v>69.05</v>
      </c>
      <c r="P1212" s="10">
        <v>68.7</v>
      </c>
      <c r="Q1212" s="10">
        <v>68.31</v>
      </c>
      <c r="R1212" s="10">
        <v>67.91</v>
      </c>
      <c r="S1212" s="10">
        <v>67.5</v>
      </c>
      <c r="T1212" s="10">
        <v>67.099999999999994</v>
      </c>
      <c r="U1212" s="10">
        <v>66.69</v>
      </c>
      <c r="V1212" s="10">
        <v>66.27</v>
      </c>
      <c r="W1212" s="10">
        <v>65.84</v>
      </c>
      <c r="X1212" s="10">
        <v>65.42</v>
      </c>
      <c r="Y1212" s="10">
        <v>65.010000000000005</v>
      </c>
      <c r="Z1212" s="11">
        <v>70.361999999999995</v>
      </c>
      <c r="AA1212" s="11">
        <v>69.888000000000005</v>
      </c>
      <c r="AB1212" s="11">
        <v>69.063999999999993</v>
      </c>
      <c r="AC1212" s="11">
        <v>68.349999999999994</v>
      </c>
      <c r="AD1212" s="11">
        <v>67.78</v>
      </c>
      <c r="AE1212" s="11">
        <v>67.350999999999999</v>
      </c>
      <c r="AF1212" s="11">
        <v>66.974000000000004</v>
      </c>
      <c r="AG1212" s="11">
        <v>66.613</v>
      </c>
      <c r="AH1212" s="11">
        <v>66.275000000000006</v>
      </c>
      <c r="AI1212" s="11">
        <v>65.935000000000002</v>
      </c>
      <c r="AJ1212" s="11">
        <v>65.603999999999999</v>
      </c>
      <c r="AK1212" s="11">
        <v>65.277000000000001</v>
      </c>
      <c r="AL1212" s="11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  <c r="DG1212" s="3"/>
      <c r="DH1212" s="3"/>
      <c r="DI1212" s="3"/>
      <c r="DJ1212" s="3"/>
      <c r="DK1212" s="3"/>
      <c r="DL1212" s="3"/>
      <c r="DM1212" s="3"/>
      <c r="DN1212" s="3"/>
      <c r="DO1212" s="3"/>
      <c r="DP1212" s="3"/>
      <c r="DQ1212" s="3"/>
      <c r="DR1212" s="3"/>
      <c r="DS1212" s="3"/>
      <c r="DT1212" s="3"/>
      <c r="DU1212" s="3"/>
      <c r="DV1212" s="3"/>
      <c r="DW1212" s="3"/>
      <c r="DX1212" s="3"/>
      <c r="DY1212" s="3"/>
      <c r="DZ1212" s="3"/>
      <c r="EA1212" s="3"/>
      <c r="EB1212" s="3"/>
      <c r="EC1212" s="3"/>
      <c r="ED1212" s="3"/>
      <c r="EE1212" s="3"/>
      <c r="EF1212" s="3"/>
      <c r="EG1212" s="3"/>
      <c r="EH1212" s="3"/>
      <c r="EI1212" s="3"/>
      <c r="EJ1212" s="3"/>
      <c r="EK1212" s="3"/>
      <c r="EL1212" s="3"/>
      <c r="EM1212" s="3"/>
      <c r="EN1212" s="3"/>
      <c r="EO1212" s="3"/>
      <c r="EP1212" s="3"/>
      <c r="EQ1212" s="3"/>
    </row>
    <row r="1213" spans="1:147" x14ac:dyDescent="0.3">
      <c r="A1213" s="9">
        <f>DATE(2021, 9, 9)</f>
        <v>44448</v>
      </c>
      <c r="B1213" s="10">
        <v>71.45</v>
      </c>
      <c r="C1213" s="10">
        <v>70.790000000000006</v>
      </c>
      <c r="D1213" s="10">
        <v>70.17</v>
      </c>
      <c r="E1213" s="10">
        <v>69.63</v>
      </c>
      <c r="F1213" s="10">
        <v>69.19</v>
      </c>
      <c r="G1213" s="10">
        <v>68.790000000000006</v>
      </c>
      <c r="H1213" s="10">
        <v>68.430000000000007</v>
      </c>
      <c r="I1213" s="10">
        <v>68.09</v>
      </c>
      <c r="J1213" s="10">
        <v>67.760000000000005</v>
      </c>
      <c r="K1213" s="10">
        <v>67.44</v>
      </c>
      <c r="L1213" s="10">
        <v>67.12</v>
      </c>
      <c r="M1213" s="10">
        <v>66.81</v>
      </c>
      <c r="N1213" s="10">
        <v>68.14</v>
      </c>
      <c r="O1213" s="10">
        <v>67.92</v>
      </c>
      <c r="P1213" s="10">
        <v>67.61</v>
      </c>
      <c r="Q1213" s="10">
        <v>67.239999999999995</v>
      </c>
      <c r="R1213" s="10">
        <v>66.88</v>
      </c>
      <c r="S1213" s="10">
        <v>66.52</v>
      </c>
      <c r="T1213" s="10">
        <v>66.150000000000006</v>
      </c>
      <c r="U1213" s="10">
        <v>65.78</v>
      </c>
      <c r="V1213" s="10">
        <v>65.39</v>
      </c>
      <c r="W1213" s="10">
        <v>64.989999999999995</v>
      </c>
      <c r="X1213" s="10">
        <v>64.599999999999994</v>
      </c>
      <c r="Y1213" s="10">
        <v>64.2</v>
      </c>
      <c r="Z1213" s="11">
        <v>69.753</v>
      </c>
      <c r="AA1213" s="11">
        <v>68.930000000000007</v>
      </c>
      <c r="AB1213" s="11">
        <v>68.114999999999995</v>
      </c>
      <c r="AC1213" s="11">
        <v>67.414000000000001</v>
      </c>
      <c r="AD1213" s="11">
        <v>66.873000000000005</v>
      </c>
      <c r="AE1213" s="11">
        <v>66.462000000000003</v>
      </c>
      <c r="AF1213" s="11">
        <v>66.120999999999995</v>
      </c>
      <c r="AG1213" s="11">
        <v>65.763999999999996</v>
      </c>
      <c r="AH1213" s="11">
        <v>65.444999999999993</v>
      </c>
      <c r="AI1213" s="11">
        <v>65.125</v>
      </c>
      <c r="AJ1213" s="11">
        <v>64.805000000000007</v>
      </c>
      <c r="AK1213" s="11">
        <v>64.497</v>
      </c>
      <c r="AL1213" s="11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  <c r="DG1213" s="3"/>
      <c r="DH1213" s="3"/>
      <c r="DI1213" s="3"/>
      <c r="DJ1213" s="3"/>
      <c r="DK1213" s="3"/>
      <c r="DL1213" s="3"/>
      <c r="DM1213" s="3"/>
      <c r="DN1213" s="3"/>
      <c r="DO1213" s="3"/>
      <c r="DP1213" s="3"/>
      <c r="DQ1213" s="3"/>
      <c r="DR1213" s="3"/>
      <c r="DS1213" s="3"/>
      <c r="DT1213" s="3"/>
      <c r="DU1213" s="3"/>
      <c r="DV1213" s="3"/>
      <c r="DW1213" s="3"/>
      <c r="DX1213" s="3"/>
      <c r="DY1213" s="3"/>
      <c r="DZ1213" s="3"/>
      <c r="EA1213" s="3"/>
      <c r="EB1213" s="3"/>
      <c r="EC1213" s="3"/>
      <c r="ED1213" s="3"/>
      <c r="EE1213" s="3"/>
      <c r="EF1213" s="3"/>
      <c r="EG1213" s="3"/>
      <c r="EH1213" s="3"/>
      <c r="EI1213" s="3"/>
      <c r="EJ1213" s="3"/>
      <c r="EK1213" s="3"/>
      <c r="EL1213" s="3"/>
      <c r="EM1213" s="3"/>
      <c r="EN1213" s="3"/>
      <c r="EO1213" s="3"/>
      <c r="EP1213" s="3"/>
      <c r="EQ1213" s="3"/>
    </row>
    <row r="1214" spans="1:147" x14ac:dyDescent="0.3">
      <c r="A1214" s="9">
        <f>DATE(2021, 9, 10)</f>
        <v>44449</v>
      </c>
      <c r="B1214" s="10">
        <v>72.92</v>
      </c>
      <c r="C1214" s="10">
        <v>72.260000000000005</v>
      </c>
      <c r="D1214" s="10">
        <v>71.63</v>
      </c>
      <c r="E1214" s="10">
        <v>71.08</v>
      </c>
      <c r="F1214" s="10">
        <v>70.63</v>
      </c>
      <c r="G1214" s="10">
        <v>70.22</v>
      </c>
      <c r="H1214" s="10">
        <v>69.84</v>
      </c>
      <c r="I1214" s="10">
        <v>69.48</v>
      </c>
      <c r="J1214" s="10">
        <v>69.13</v>
      </c>
      <c r="K1214" s="10">
        <v>68.790000000000006</v>
      </c>
      <c r="L1214" s="10">
        <v>68.45</v>
      </c>
      <c r="M1214" s="10">
        <v>68.11</v>
      </c>
      <c r="N1214" s="10">
        <v>69.72</v>
      </c>
      <c r="O1214" s="10">
        <v>69.47</v>
      </c>
      <c r="P1214" s="10">
        <v>69.13</v>
      </c>
      <c r="Q1214" s="10">
        <v>68.72</v>
      </c>
      <c r="R1214" s="10">
        <v>68.33</v>
      </c>
      <c r="S1214" s="10">
        <v>67.95</v>
      </c>
      <c r="T1214" s="10">
        <v>67.569999999999993</v>
      </c>
      <c r="U1214" s="10">
        <v>67.180000000000007</v>
      </c>
      <c r="V1214" s="10">
        <v>66.77</v>
      </c>
      <c r="W1214" s="10">
        <v>66.349999999999994</v>
      </c>
      <c r="X1214" s="10">
        <v>65.94</v>
      </c>
      <c r="Y1214" s="10">
        <v>65.53</v>
      </c>
      <c r="Z1214" s="11">
        <v>70.778000000000006</v>
      </c>
      <c r="AA1214" s="11">
        <v>70.433000000000007</v>
      </c>
      <c r="AB1214" s="11">
        <v>69.593000000000004</v>
      </c>
      <c r="AC1214" s="11">
        <v>68.872</v>
      </c>
      <c r="AD1214" s="11">
        <v>68.320999999999998</v>
      </c>
      <c r="AE1214" s="11">
        <v>67.89</v>
      </c>
      <c r="AF1214" s="11">
        <v>67.549000000000007</v>
      </c>
      <c r="AG1214" s="11">
        <v>67.183000000000007</v>
      </c>
      <c r="AH1214" s="11">
        <v>66.844999999999999</v>
      </c>
      <c r="AI1214" s="11">
        <v>66.504999999999995</v>
      </c>
      <c r="AJ1214" s="11">
        <v>66.174000000000007</v>
      </c>
      <c r="AK1214" s="11">
        <v>65.835999999999999</v>
      </c>
      <c r="AL1214" s="11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  <c r="DG1214" s="3"/>
      <c r="DH1214" s="3"/>
      <c r="DI1214" s="3"/>
      <c r="DJ1214" s="3"/>
      <c r="DK1214" s="3"/>
      <c r="DL1214" s="3"/>
      <c r="DM1214" s="3"/>
      <c r="DN1214" s="3"/>
      <c r="DO1214" s="3"/>
      <c r="DP1214" s="3"/>
      <c r="DQ1214" s="3"/>
      <c r="DR1214" s="3"/>
      <c r="DS1214" s="3"/>
      <c r="DT1214" s="3"/>
      <c r="DU1214" s="3"/>
      <c r="DV1214" s="3"/>
      <c r="DW1214" s="3"/>
      <c r="DX1214" s="3"/>
      <c r="DY1214" s="3"/>
      <c r="DZ1214" s="3"/>
      <c r="EA1214" s="3"/>
      <c r="EB1214" s="3"/>
      <c r="EC1214" s="3"/>
      <c r="ED1214" s="3"/>
      <c r="EE1214" s="3"/>
      <c r="EF1214" s="3"/>
      <c r="EG1214" s="3"/>
      <c r="EH1214" s="3"/>
      <c r="EI1214" s="3"/>
      <c r="EJ1214" s="3"/>
      <c r="EK1214" s="3"/>
      <c r="EL1214" s="3"/>
      <c r="EM1214" s="3"/>
      <c r="EN1214" s="3"/>
      <c r="EO1214" s="3"/>
      <c r="EP1214" s="3"/>
      <c r="EQ1214" s="3"/>
    </row>
    <row r="1215" spans="1:147" x14ac:dyDescent="0.3">
      <c r="A1215" s="9">
        <f>DATE(2021, 9, 13)</f>
        <v>44452</v>
      </c>
      <c r="B1215" s="10">
        <v>73.510000000000005</v>
      </c>
      <c r="C1215" s="10">
        <v>72.900000000000006</v>
      </c>
      <c r="D1215" s="10">
        <v>72.28</v>
      </c>
      <c r="E1215" s="10">
        <v>71.73</v>
      </c>
      <c r="F1215" s="10">
        <v>71.260000000000005</v>
      </c>
      <c r="G1215" s="10">
        <v>70.819999999999993</v>
      </c>
      <c r="H1215" s="10">
        <v>70.42</v>
      </c>
      <c r="I1215" s="10">
        <v>70.040000000000006</v>
      </c>
      <c r="J1215" s="10">
        <v>69.67</v>
      </c>
      <c r="K1215" s="10">
        <v>69.31</v>
      </c>
      <c r="L1215" s="10">
        <v>68.95</v>
      </c>
      <c r="M1215" s="10">
        <v>68.599999999999994</v>
      </c>
      <c r="N1215" s="10">
        <v>70.45</v>
      </c>
      <c r="O1215" s="10">
        <v>70.19</v>
      </c>
      <c r="P1215" s="10">
        <v>69.81</v>
      </c>
      <c r="Q1215" s="10">
        <v>69.37</v>
      </c>
      <c r="R1215" s="10">
        <v>68.94</v>
      </c>
      <c r="S1215" s="10">
        <v>68.53</v>
      </c>
      <c r="T1215" s="10">
        <v>68.13</v>
      </c>
      <c r="U1215" s="10">
        <v>67.73</v>
      </c>
      <c r="V1215" s="10">
        <v>67.3</v>
      </c>
      <c r="W1215" s="10">
        <v>66.87</v>
      </c>
      <c r="X1215" s="10">
        <v>66.44</v>
      </c>
      <c r="Y1215" s="10">
        <v>66.02</v>
      </c>
      <c r="Z1215" s="11">
        <v>71.150000000000006</v>
      </c>
      <c r="AA1215" s="11">
        <v>71.010000000000005</v>
      </c>
      <c r="AB1215" s="11">
        <v>70.162000000000006</v>
      </c>
      <c r="AC1215" s="11">
        <v>69.450999999999993</v>
      </c>
      <c r="AD1215" s="11">
        <v>68.900000000000006</v>
      </c>
      <c r="AE1215" s="11">
        <v>68.459999999999994</v>
      </c>
      <c r="AF1215" s="11">
        <v>68.088999999999999</v>
      </c>
      <c r="AG1215" s="11">
        <v>67.731999999999999</v>
      </c>
      <c r="AH1215" s="11">
        <v>67.364000000000004</v>
      </c>
      <c r="AI1215" s="11">
        <v>67.004000000000005</v>
      </c>
      <c r="AJ1215" s="11">
        <v>66.623000000000005</v>
      </c>
      <c r="AK1215" s="11">
        <v>66.275999999999996</v>
      </c>
      <c r="AL1215" s="11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  <c r="DG1215" s="3"/>
      <c r="DH1215" s="3"/>
      <c r="DI1215" s="3"/>
      <c r="DJ1215" s="3"/>
      <c r="DK1215" s="3"/>
      <c r="DL1215" s="3"/>
      <c r="DM1215" s="3"/>
      <c r="DN1215" s="3"/>
      <c r="DO1215" s="3"/>
      <c r="DP1215" s="3"/>
      <c r="DQ1215" s="3"/>
      <c r="DR1215" s="3"/>
      <c r="DS1215" s="3"/>
      <c r="DT1215" s="3"/>
      <c r="DU1215" s="3"/>
      <c r="DV1215" s="3"/>
      <c r="DW1215" s="3"/>
      <c r="DX1215" s="3"/>
      <c r="DY1215" s="3"/>
      <c r="DZ1215" s="3"/>
      <c r="EA1215" s="3"/>
      <c r="EB1215" s="3"/>
      <c r="EC1215" s="3"/>
      <c r="ED1215" s="3"/>
      <c r="EE1215" s="3"/>
      <c r="EF1215" s="3"/>
      <c r="EG1215" s="3"/>
      <c r="EH1215" s="3"/>
      <c r="EI1215" s="3"/>
      <c r="EJ1215" s="3"/>
      <c r="EK1215" s="3"/>
      <c r="EL1215" s="3"/>
      <c r="EM1215" s="3"/>
      <c r="EN1215" s="3"/>
      <c r="EO1215" s="3"/>
      <c r="EP1215" s="3"/>
      <c r="EQ1215" s="3"/>
    </row>
    <row r="1216" spans="1:147" x14ac:dyDescent="0.3">
      <c r="A1216" s="9">
        <f>DATE(2021, 9, 14)</f>
        <v>44453</v>
      </c>
      <c r="B1216" s="10">
        <v>73.599999999999994</v>
      </c>
      <c r="C1216" s="10">
        <v>72.97</v>
      </c>
      <c r="D1216" s="10">
        <v>72.33</v>
      </c>
      <c r="E1216" s="10">
        <v>71.739999999999995</v>
      </c>
      <c r="F1216" s="10">
        <v>71.23</v>
      </c>
      <c r="G1216" s="10">
        <v>70.77</v>
      </c>
      <c r="H1216" s="10">
        <v>70.349999999999994</v>
      </c>
      <c r="I1216" s="10">
        <v>69.95</v>
      </c>
      <c r="J1216" s="10">
        <v>69.569999999999993</v>
      </c>
      <c r="K1216" s="10">
        <v>69.2</v>
      </c>
      <c r="L1216" s="10">
        <v>68.84</v>
      </c>
      <c r="M1216" s="10">
        <v>68.48</v>
      </c>
      <c r="N1216" s="10">
        <v>70.459999999999994</v>
      </c>
      <c r="O1216" s="10">
        <v>70.23</v>
      </c>
      <c r="P1216" s="10">
        <v>69.83</v>
      </c>
      <c r="Q1216" s="10">
        <v>69.38</v>
      </c>
      <c r="R1216" s="10">
        <v>68.930000000000007</v>
      </c>
      <c r="S1216" s="10">
        <v>68.489999999999995</v>
      </c>
      <c r="T1216" s="10">
        <v>68.069999999999993</v>
      </c>
      <c r="U1216" s="10">
        <v>67.650000000000006</v>
      </c>
      <c r="V1216" s="10">
        <v>67.209999999999994</v>
      </c>
      <c r="W1216" s="10">
        <v>66.760000000000005</v>
      </c>
      <c r="X1216" s="10">
        <v>66.319999999999993</v>
      </c>
      <c r="Y1216" s="10">
        <v>65.88</v>
      </c>
      <c r="Z1216" s="11">
        <v>71.174999999999997</v>
      </c>
      <c r="AA1216" s="11">
        <v>71.03</v>
      </c>
      <c r="AB1216" s="11">
        <v>70.203000000000003</v>
      </c>
      <c r="AC1216" s="11">
        <v>69.465999999999994</v>
      </c>
      <c r="AD1216" s="11">
        <v>68.888000000000005</v>
      </c>
      <c r="AE1216" s="11">
        <v>68.409000000000006</v>
      </c>
      <c r="AF1216" s="11">
        <v>68.022999999999996</v>
      </c>
      <c r="AG1216" s="11">
        <v>67.631</v>
      </c>
      <c r="AH1216" s="11">
        <v>67.253</v>
      </c>
      <c r="AI1216" s="11">
        <v>66.884</v>
      </c>
      <c r="AJ1216" s="11">
        <v>66.522999999999996</v>
      </c>
      <c r="AK1216" s="11">
        <v>66.165999999999997</v>
      </c>
      <c r="AL1216" s="11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  <c r="DG1216" s="3"/>
      <c r="DH1216" s="3"/>
      <c r="DI1216" s="3"/>
      <c r="DJ1216" s="3"/>
      <c r="DK1216" s="3"/>
      <c r="DL1216" s="3"/>
      <c r="DM1216" s="3"/>
      <c r="DN1216" s="3"/>
      <c r="DO1216" s="3"/>
      <c r="DP1216" s="3"/>
      <c r="DQ1216" s="3"/>
      <c r="DR1216" s="3"/>
      <c r="DS1216" s="3"/>
      <c r="DT1216" s="3"/>
      <c r="DU1216" s="3"/>
      <c r="DV1216" s="3"/>
      <c r="DW1216" s="3"/>
      <c r="DX1216" s="3"/>
      <c r="DY1216" s="3"/>
      <c r="DZ1216" s="3"/>
      <c r="EA1216" s="3"/>
      <c r="EB1216" s="3"/>
      <c r="EC1216" s="3"/>
      <c r="ED1216" s="3"/>
      <c r="EE1216" s="3"/>
      <c r="EF1216" s="3"/>
      <c r="EG1216" s="3"/>
      <c r="EH1216" s="3"/>
      <c r="EI1216" s="3"/>
      <c r="EJ1216" s="3"/>
      <c r="EK1216" s="3"/>
      <c r="EL1216" s="3"/>
      <c r="EM1216" s="3"/>
      <c r="EN1216" s="3"/>
      <c r="EO1216" s="3"/>
      <c r="EP1216" s="3"/>
      <c r="EQ1216" s="3"/>
    </row>
    <row r="1217" spans="1:147" x14ac:dyDescent="0.3">
      <c r="A1217" s="9">
        <f>DATE(2021, 9, 15)</f>
        <v>44454</v>
      </c>
      <c r="B1217" s="10">
        <v>75.459999999999994</v>
      </c>
      <c r="C1217" s="10">
        <v>74.78</v>
      </c>
      <c r="D1217" s="10">
        <v>74.069999999999993</v>
      </c>
      <c r="E1217" s="10">
        <v>73.41</v>
      </c>
      <c r="F1217" s="10">
        <v>72.83</v>
      </c>
      <c r="G1217" s="10">
        <v>72.3</v>
      </c>
      <c r="H1217" s="10">
        <v>71.81</v>
      </c>
      <c r="I1217" s="10">
        <v>71.349999999999994</v>
      </c>
      <c r="J1217" s="10">
        <v>70.900000000000006</v>
      </c>
      <c r="K1217" s="10">
        <v>70.47</v>
      </c>
      <c r="L1217" s="10">
        <v>70.05</v>
      </c>
      <c r="M1217" s="10">
        <v>69.64</v>
      </c>
      <c r="N1217" s="10">
        <v>72.61</v>
      </c>
      <c r="O1217" s="10">
        <v>72.33</v>
      </c>
      <c r="P1217" s="10">
        <v>71.84</v>
      </c>
      <c r="Q1217" s="10">
        <v>71.260000000000005</v>
      </c>
      <c r="R1217" s="10">
        <v>70.69</v>
      </c>
      <c r="S1217" s="10">
        <v>70.14</v>
      </c>
      <c r="T1217" s="10">
        <v>69.599999999999994</v>
      </c>
      <c r="U1217" s="10">
        <v>69.069999999999993</v>
      </c>
      <c r="V1217" s="10">
        <v>68.55</v>
      </c>
      <c r="W1217" s="10">
        <v>68</v>
      </c>
      <c r="X1217" s="10">
        <v>67.489999999999995</v>
      </c>
      <c r="Y1217" s="10">
        <v>66.98</v>
      </c>
      <c r="Z1217" s="11">
        <v>72.063000000000002</v>
      </c>
      <c r="AA1217" s="11">
        <v>72.706000000000003</v>
      </c>
      <c r="AB1217" s="11">
        <v>71.88</v>
      </c>
      <c r="AC1217" s="11">
        <v>71.14</v>
      </c>
      <c r="AD1217" s="11">
        <v>70.515000000000001</v>
      </c>
      <c r="AE1217" s="11">
        <v>69.986000000000004</v>
      </c>
      <c r="AF1217" s="11">
        <v>69.53</v>
      </c>
      <c r="AG1217" s="11">
        <v>69.067999999999998</v>
      </c>
      <c r="AH1217" s="11">
        <v>68.62</v>
      </c>
      <c r="AI1217" s="11">
        <v>68.191000000000003</v>
      </c>
      <c r="AJ1217" s="11">
        <v>67.77</v>
      </c>
      <c r="AK1217" s="11">
        <v>67.363</v>
      </c>
      <c r="AL1217" s="11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  <c r="DG1217" s="3"/>
      <c r="DH1217" s="3"/>
      <c r="DI1217" s="3"/>
      <c r="DJ1217" s="3"/>
      <c r="DK1217" s="3"/>
      <c r="DL1217" s="3"/>
      <c r="DM1217" s="3"/>
      <c r="DN1217" s="3"/>
      <c r="DO1217" s="3"/>
      <c r="DP1217" s="3"/>
      <c r="DQ1217" s="3"/>
      <c r="DR1217" s="3"/>
      <c r="DS1217" s="3"/>
      <c r="DT1217" s="3"/>
      <c r="DU1217" s="3"/>
      <c r="DV1217" s="3"/>
      <c r="DW1217" s="3"/>
      <c r="DX1217" s="3"/>
      <c r="DY1217" s="3"/>
      <c r="DZ1217" s="3"/>
      <c r="EA1217" s="3"/>
      <c r="EB1217" s="3"/>
      <c r="EC1217" s="3"/>
      <c r="ED1217" s="3"/>
      <c r="EE1217" s="3"/>
      <c r="EF1217" s="3"/>
      <c r="EG1217" s="3"/>
      <c r="EH1217" s="3"/>
      <c r="EI1217" s="3"/>
      <c r="EJ1217" s="3"/>
      <c r="EK1217" s="3"/>
      <c r="EL1217" s="3"/>
      <c r="EM1217" s="3"/>
      <c r="EN1217" s="3"/>
      <c r="EO1217" s="3"/>
      <c r="EP1217" s="3"/>
      <c r="EQ1217" s="3"/>
    </row>
    <row r="1218" spans="1:147" x14ac:dyDescent="0.3">
      <c r="A1218" s="9">
        <f>DATE(2021, 9, 16)</f>
        <v>44455</v>
      </c>
      <c r="B1218" s="10">
        <v>75.67</v>
      </c>
      <c r="C1218" s="10">
        <v>74.98</v>
      </c>
      <c r="D1218" s="10">
        <v>74.23</v>
      </c>
      <c r="E1218" s="10">
        <v>73.53</v>
      </c>
      <c r="F1218" s="10">
        <v>72.930000000000007</v>
      </c>
      <c r="G1218" s="10">
        <v>72.38</v>
      </c>
      <c r="H1218" s="10">
        <v>71.89</v>
      </c>
      <c r="I1218" s="10">
        <v>71.42</v>
      </c>
      <c r="J1218" s="10">
        <v>70.97</v>
      </c>
      <c r="K1218" s="10">
        <v>70.540000000000006</v>
      </c>
      <c r="L1218" s="10">
        <v>70.12</v>
      </c>
      <c r="M1218" s="10">
        <v>69.7</v>
      </c>
      <c r="N1218" s="10">
        <v>72.61</v>
      </c>
      <c r="O1218" s="10">
        <v>72.37</v>
      </c>
      <c r="P1218" s="10">
        <v>71.91</v>
      </c>
      <c r="Q1218" s="10">
        <v>71.33</v>
      </c>
      <c r="R1218" s="10">
        <v>70.73</v>
      </c>
      <c r="S1218" s="10">
        <v>70.17</v>
      </c>
      <c r="T1218" s="10">
        <v>69.62</v>
      </c>
      <c r="U1218" s="10">
        <v>69.08</v>
      </c>
      <c r="V1218" s="10">
        <v>68.55</v>
      </c>
      <c r="W1218" s="10">
        <v>68</v>
      </c>
      <c r="X1218" s="10">
        <v>67.48</v>
      </c>
      <c r="Y1218" s="10">
        <v>66.97</v>
      </c>
      <c r="Z1218" s="11">
        <v>72.037999999999997</v>
      </c>
      <c r="AA1218" s="11">
        <v>72.745000000000005</v>
      </c>
      <c r="AB1218" s="11">
        <v>71.926000000000002</v>
      </c>
      <c r="AC1218" s="11">
        <v>71.177000000000007</v>
      </c>
      <c r="AD1218" s="11">
        <v>70.554000000000002</v>
      </c>
      <c r="AE1218" s="11">
        <v>70.036000000000001</v>
      </c>
      <c r="AF1218" s="11">
        <v>69.58</v>
      </c>
      <c r="AG1218" s="11">
        <v>69.138000000000005</v>
      </c>
      <c r="AH1218" s="11">
        <v>68.69</v>
      </c>
      <c r="AI1218" s="11">
        <v>68.260999999999996</v>
      </c>
      <c r="AJ1218" s="11">
        <v>67.84</v>
      </c>
      <c r="AK1218" s="11">
        <v>67.423000000000002</v>
      </c>
      <c r="AL1218" s="11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  <c r="DG1218" s="3"/>
      <c r="DH1218" s="3"/>
      <c r="DI1218" s="3"/>
      <c r="DJ1218" s="3"/>
      <c r="DK1218" s="3"/>
      <c r="DL1218" s="3"/>
      <c r="DM1218" s="3"/>
      <c r="DN1218" s="3"/>
      <c r="DO1218" s="3"/>
      <c r="DP1218" s="3"/>
      <c r="DQ1218" s="3"/>
      <c r="DR1218" s="3"/>
      <c r="DS1218" s="3"/>
      <c r="DT1218" s="3"/>
      <c r="DU1218" s="3"/>
      <c r="DV1218" s="3"/>
      <c r="DW1218" s="3"/>
      <c r="DX1218" s="3"/>
      <c r="DY1218" s="3"/>
      <c r="DZ1218" s="3"/>
      <c r="EA1218" s="3"/>
      <c r="EB1218" s="3"/>
      <c r="EC1218" s="3"/>
      <c r="ED1218" s="3"/>
      <c r="EE1218" s="3"/>
      <c r="EF1218" s="3"/>
      <c r="EG1218" s="3"/>
      <c r="EH1218" s="3"/>
      <c r="EI1218" s="3"/>
      <c r="EJ1218" s="3"/>
      <c r="EK1218" s="3"/>
      <c r="EL1218" s="3"/>
      <c r="EM1218" s="3"/>
      <c r="EN1218" s="3"/>
      <c r="EO1218" s="3"/>
      <c r="EP1218" s="3"/>
      <c r="EQ1218" s="3"/>
    </row>
    <row r="1219" spans="1:147" x14ac:dyDescent="0.3">
      <c r="A1219" s="9">
        <f>DATE(2021, 9, 17)</f>
        <v>44456</v>
      </c>
      <c r="B1219" s="10">
        <v>75.34</v>
      </c>
      <c r="C1219" s="10">
        <v>74.56</v>
      </c>
      <c r="D1219" s="10">
        <v>73.760000000000005</v>
      </c>
      <c r="E1219" s="10">
        <v>73.040000000000006</v>
      </c>
      <c r="F1219" s="10">
        <v>72.42</v>
      </c>
      <c r="G1219" s="10">
        <v>71.86</v>
      </c>
      <c r="H1219" s="10">
        <v>71.37</v>
      </c>
      <c r="I1219" s="10">
        <v>70.900000000000006</v>
      </c>
      <c r="J1219" s="10">
        <v>70.44</v>
      </c>
      <c r="K1219" s="10">
        <v>70.010000000000005</v>
      </c>
      <c r="L1219" s="10">
        <v>69.59</v>
      </c>
      <c r="M1219" s="10">
        <v>69.180000000000007</v>
      </c>
      <c r="N1219" s="10">
        <v>71.97</v>
      </c>
      <c r="O1219" s="10">
        <v>71.819999999999993</v>
      </c>
      <c r="P1219" s="10">
        <v>71.38</v>
      </c>
      <c r="Q1219" s="10">
        <v>70.81</v>
      </c>
      <c r="R1219" s="10">
        <v>70.22</v>
      </c>
      <c r="S1219" s="10">
        <v>69.650000000000006</v>
      </c>
      <c r="T1219" s="10">
        <v>69.09</v>
      </c>
      <c r="U1219" s="10">
        <v>68.540000000000006</v>
      </c>
      <c r="V1219" s="10">
        <v>68.010000000000005</v>
      </c>
      <c r="W1219" s="10">
        <v>67.459999999999994</v>
      </c>
      <c r="X1219" s="10">
        <v>66.92</v>
      </c>
      <c r="Y1219" s="10">
        <v>66.42</v>
      </c>
      <c r="Z1219" s="11">
        <v>71.894000000000005</v>
      </c>
      <c r="AA1219" s="11">
        <v>72.415000000000006</v>
      </c>
      <c r="AB1219" s="11">
        <v>71.567999999999998</v>
      </c>
      <c r="AC1219" s="11">
        <v>70.769000000000005</v>
      </c>
      <c r="AD1219" s="11">
        <v>70.12</v>
      </c>
      <c r="AE1219" s="11">
        <v>69.563000000000002</v>
      </c>
      <c r="AF1219" s="11">
        <v>69.073999999999998</v>
      </c>
      <c r="AG1219" s="11">
        <v>68.617000000000004</v>
      </c>
      <c r="AH1219" s="11">
        <v>68.16</v>
      </c>
      <c r="AI1219" s="11">
        <v>67.730999999999995</v>
      </c>
      <c r="AJ1219" s="11">
        <v>67.31</v>
      </c>
      <c r="AK1219" s="11">
        <v>66.903000000000006</v>
      </c>
      <c r="AL1219" s="11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  <c r="DG1219" s="3"/>
      <c r="DH1219" s="3"/>
      <c r="DI1219" s="3"/>
      <c r="DJ1219" s="3"/>
      <c r="DK1219" s="3"/>
      <c r="DL1219" s="3"/>
      <c r="DM1219" s="3"/>
      <c r="DN1219" s="3"/>
      <c r="DO1219" s="3"/>
      <c r="DP1219" s="3"/>
      <c r="DQ1219" s="3"/>
      <c r="DR1219" s="3"/>
      <c r="DS1219" s="3"/>
      <c r="DT1219" s="3"/>
      <c r="DU1219" s="3"/>
      <c r="DV1219" s="3"/>
      <c r="DW1219" s="3"/>
      <c r="DX1219" s="3"/>
      <c r="DY1219" s="3"/>
      <c r="DZ1219" s="3"/>
      <c r="EA1219" s="3"/>
      <c r="EB1219" s="3"/>
      <c r="EC1219" s="3"/>
      <c r="ED1219" s="3"/>
      <c r="EE1219" s="3"/>
      <c r="EF1219" s="3"/>
      <c r="EG1219" s="3"/>
      <c r="EH1219" s="3"/>
      <c r="EI1219" s="3"/>
      <c r="EJ1219" s="3"/>
      <c r="EK1219" s="3"/>
      <c r="EL1219" s="3"/>
      <c r="EM1219" s="3"/>
      <c r="EN1219" s="3"/>
      <c r="EO1219" s="3"/>
      <c r="EP1219" s="3"/>
      <c r="EQ1219" s="3"/>
    </row>
    <row r="1220" spans="1:147" x14ac:dyDescent="0.3">
      <c r="A1220" s="9">
        <f>DATE(2021, 9, 20)</f>
        <v>44459</v>
      </c>
      <c r="B1220" s="10">
        <v>73.92</v>
      </c>
      <c r="C1220" s="10">
        <v>73.069999999999993</v>
      </c>
      <c r="D1220" s="10">
        <v>72.260000000000005</v>
      </c>
      <c r="E1220" s="10">
        <v>71.53</v>
      </c>
      <c r="F1220" s="10">
        <v>70.91</v>
      </c>
      <c r="G1220" s="10">
        <v>70.36</v>
      </c>
      <c r="H1220" s="10">
        <v>69.88</v>
      </c>
      <c r="I1220" s="10">
        <v>69.430000000000007</v>
      </c>
      <c r="J1220" s="10">
        <v>68.989999999999995</v>
      </c>
      <c r="K1220" s="10">
        <v>68.59</v>
      </c>
      <c r="L1220" s="10">
        <v>68.19</v>
      </c>
      <c r="M1220" s="10">
        <v>67.81</v>
      </c>
      <c r="N1220" s="10">
        <v>70.290000000000006</v>
      </c>
      <c r="O1220" s="10">
        <v>70.14</v>
      </c>
      <c r="P1220" s="10">
        <v>69.73</v>
      </c>
      <c r="Q1220" s="10">
        <v>69.209999999999994</v>
      </c>
      <c r="R1220" s="10">
        <v>68.650000000000006</v>
      </c>
      <c r="S1220" s="10">
        <v>68.08</v>
      </c>
      <c r="T1220" s="10">
        <v>67.55</v>
      </c>
      <c r="U1220" s="10">
        <v>67.03</v>
      </c>
      <c r="V1220" s="10">
        <v>66.5</v>
      </c>
      <c r="W1220" s="10">
        <v>65.989999999999995</v>
      </c>
      <c r="X1220" s="10">
        <v>65.47</v>
      </c>
      <c r="Y1220" s="10">
        <v>64.98</v>
      </c>
      <c r="Z1220" s="11">
        <v>71.382000000000005</v>
      </c>
      <c r="AA1220" s="11">
        <v>70.980999999999995</v>
      </c>
      <c r="AB1220" s="11">
        <v>70.066999999999993</v>
      </c>
      <c r="AC1220" s="11">
        <v>69.225999999999999</v>
      </c>
      <c r="AD1220" s="11">
        <v>68.563999999999993</v>
      </c>
      <c r="AE1220" s="11">
        <v>68.025999999999996</v>
      </c>
      <c r="AF1220" s="11">
        <v>67.584000000000003</v>
      </c>
      <c r="AG1220" s="11">
        <v>67.147999999999996</v>
      </c>
      <c r="AH1220" s="11">
        <v>66.712000000000003</v>
      </c>
      <c r="AI1220" s="11">
        <v>66.311999999999998</v>
      </c>
      <c r="AJ1220" s="11">
        <v>65.912000000000006</v>
      </c>
      <c r="AK1220" s="11">
        <v>65.534000000000006</v>
      </c>
      <c r="AL1220" s="11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  <c r="DG1220" s="3"/>
      <c r="DH1220" s="3"/>
      <c r="DI1220" s="3"/>
      <c r="DJ1220" s="3"/>
      <c r="DK1220" s="3"/>
      <c r="DL1220" s="3"/>
      <c r="DM1220" s="3"/>
      <c r="DN1220" s="3"/>
      <c r="DO1220" s="3"/>
      <c r="DP1220" s="3"/>
      <c r="DQ1220" s="3"/>
      <c r="DR1220" s="3"/>
      <c r="DS1220" s="3"/>
      <c r="DT1220" s="3"/>
      <c r="DU1220" s="3"/>
      <c r="DV1220" s="3"/>
      <c r="DW1220" s="3"/>
      <c r="DX1220" s="3"/>
      <c r="DY1220" s="3"/>
      <c r="DZ1220" s="3"/>
      <c r="EA1220" s="3"/>
      <c r="EB1220" s="3"/>
      <c r="EC1220" s="3"/>
      <c r="ED1220" s="3"/>
      <c r="EE1220" s="3"/>
      <c r="EF1220" s="3"/>
      <c r="EG1220" s="3"/>
      <c r="EH1220" s="3"/>
      <c r="EI1220" s="3"/>
      <c r="EJ1220" s="3"/>
      <c r="EK1220" s="3"/>
      <c r="EL1220" s="3"/>
      <c r="EM1220" s="3"/>
      <c r="EN1220" s="3"/>
      <c r="EO1220" s="3"/>
      <c r="EP1220" s="3"/>
      <c r="EQ1220" s="3"/>
    </row>
    <row r="1221" spans="1:147" x14ac:dyDescent="0.3">
      <c r="A1221" s="9">
        <f>DATE(2021, 9, 21)</f>
        <v>44460</v>
      </c>
      <c r="B1221" s="10">
        <v>74.36</v>
      </c>
      <c r="C1221" s="10">
        <v>73.569999999999993</v>
      </c>
      <c r="D1221" s="10">
        <v>72.760000000000005</v>
      </c>
      <c r="E1221" s="10">
        <v>72.03</v>
      </c>
      <c r="F1221" s="10">
        <v>71.400000000000006</v>
      </c>
      <c r="G1221" s="10">
        <v>70.849999999999994</v>
      </c>
      <c r="H1221" s="10">
        <v>70.37</v>
      </c>
      <c r="I1221" s="10">
        <v>69.91</v>
      </c>
      <c r="J1221" s="10">
        <v>69.47</v>
      </c>
      <c r="K1221" s="10">
        <v>69.06</v>
      </c>
      <c r="L1221" s="10">
        <v>68.66</v>
      </c>
      <c r="M1221" s="10">
        <v>68.27</v>
      </c>
      <c r="N1221" s="10">
        <v>70.56</v>
      </c>
      <c r="O1221" s="10">
        <v>70.489999999999995</v>
      </c>
      <c r="P1221" s="10">
        <v>70.14</v>
      </c>
      <c r="Q1221" s="10">
        <v>69.67</v>
      </c>
      <c r="R1221" s="10">
        <v>69.14</v>
      </c>
      <c r="S1221" s="10">
        <v>68.599999999999994</v>
      </c>
      <c r="T1221" s="10">
        <v>68.06</v>
      </c>
      <c r="U1221" s="10">
        <v>67.53</v>
      </c>
      <c r="V1221" s="10">
        <v>67</v>
      </c>
      <c r="W1221" s="10">
        <v>66.47</v>
      </c>
      <c r="X1221" s="10">
        <v>65.95</v>
      </c>
      <c r="Y1221" s="10">
        <v>65.47</v>
      </c>
      <c r="Z1221" s="11">
        <v>71.631</v>
      </c>
      <c r="AA1221" s="11">
        <v>71.590999999999994</v>
      </c>
      <c r="AB1221" s="11">
        <v>70.626999999999995</v>
      </c>
      <c r="AC1221" s="11">
        <v>69.784999999999997</v>
      </c>
      <c r="AD1221" s="11">
        <v>69.114000000000004</v>
      </c>
      <c r="AE1221" s="11">
        <v>68.555999999999997</v>
      </c>
      <c r="AF1221" s="11">
        <v>68.099999999999994</v>
      </c>
      <c r="AG1221" s="11">
        <v>67.647999999999996</v>
      </c>
      <c r="AH1221" s="11">
        <v>67.221000000000004</v>
      </c>
      <c r="AI1221" s="11">
        <v>66.802000000000007</v>
      </c>
      <c r="AJ1221" s="11">
        <v>66.381</v>
      </c>
      <c r="AK1221" s="11">
        <v>65.994</v>
      </c>
      <c r="AL1221" s="11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  <c r="DG1221" s="3"/>
      <c r="DH1221" s="3"/>
      <c r="DI1221" s="3"/>
      <c r="DJ1221" s="3"/>
      <c r="DK1221" s="3"/>
      <c r="DL1221" s="3"/>
      <c r="DM1221" s="3"/>
      <c r="DN1221" s="3"/>
      <c r="DO1221" s="3"/>
      <c r="DP1221" s="3"/>
      <c r="DQ1221" s="3"/>
      <c r="DR1221" s="3"/>
      <c r="DS1221" s="3"/>
      <c r="DT1221" s="3"/>
      <c r="DU1221" s="3"/>
      <c r="DV1221" s="3"/>
      <c r="DW1221" s="3"/>
      <c r="DX1221" s="3"/>
      <c r="DY1221" s="3"/>
      <c r="DZ1221" s="3"/>
      <c r="EA1221" s="3"/>
      <c r="EB1221" s="3"/>
      <c r="EC1221" s="3"/>
      <c r="ED1221" s="3"/>
      <c r="EE1221" s="3"/>
      <c r="EF1221" s="3"/>
      <c r="EG1221" s="3"/>
      <c r="EH1221" s="3"/>
      <c r="EI1221" s="3"/>
      <c r="EJ1221" s="3"/>
      <c r="EK1221" s="3"/>
      <c r="EL1221" s="3"/>
      <c r="EM1221" s="3"/>
      <c r="EN1221" s="3"/>
      <c r="EO1221" s="3"/>
      <c r="EP1221" s="3"/>
      <c r="EQ1221" s="3"/>
    </row>
    <row r="1222" spans="1:147" x14ac:dyDescent="0.3">
      <c r="A1222" s="9">
        <f>DATE(2021, 9, 22)</f>
        <v>44461</v>
      </c>
      <c r="B1222" s="10">
        <v>76.19</v>
      </c>
      <c r="C1222" s="10">
        <v>75.39</v>
      </c>
      <c r="D1222" s="10">
        <v>74.52</v>
      </c>
      <c r="E1222" s="10">
        <v>73.73</v>
      </c>
      <c r="F1222" s="10">
        <v>73.040000000000006</v>
      </c>
      <c r="G1222" s="10">
        <v>72.430000000000007</v>
      </c>
      <c r="H1222" s="10">
        <v>71.89</v>
      </c>
      <c r="I1222" s="10">
        <v>71.38</v>
      </c>
      <c r="J1222" s="10">
        <v>70.89</v>
      </c>
      <c r="K1222" s="10">
        <v>70.42</v>
      </c>
      <c r="L1222" s="10">
        <v>69.97</v>
      </c>
      <c r="M1222" s="10">
        <v>69.53</v>
      </c>
      <c r="N1222" s="10">
        <v>72.23</v>
      </c>
      <c r="O1222" s="10">
        <v>71.89</v>
      </c>
      <c r="P1222" s="10">
        <v>71.400000000000006</v>
      </c>
      <c r="Q1222" s="10">
        <v>70.83</v>
      </c>
      <c r="R1222" s="10">
        <v>70.239999999999995</v>
      </c>
      <c r="S1222" s="10">
        <v>69.66</v>
      </c>
      <c r="T1222" s="10">
        <v>69.099999999999994</v>
      </c>
      <c r="U1222" s="10">
        <v>68.52</v>
      </c>
      <c r="V1222" s="10">
        <v>67.95</v>
      </c>
      <c r="W1222" s="10">
        <v>67.38</v>
      </c>
      <c r="X1222" s="10">
        <v>66.849999999999994</v>
      </c>
      <c r="Y1222" s="10">
        <v>66.33</v>
      </c>
      <c r="Z1222" s="11">
        <v>72.16</v>
      </c>
      <c r="AA1222" s="11">
        <v>73.358999999999995</v>
      </c>
      <c r="AB1222" s="11">
        <v>72.364000000000004</v>
      </c>
      <c r="AC1222" s="11">
        <v>71.47</v>
      </c>
      <c r="AD1222" s="11">
        <v>70.753</v>
      </c>
      <c r="AE1222" s="11">
        <v>70.143000000000001</v>
      </c>
      <c r="AF1222" s="11">
        <v>69.608000000000004</v>
      </c>
      <c r="AG1222" s="11">
        <v>69.126000000000005</v>
      </c>
      <c r="AH1222" s="11">
        <v>68.649000000000001</v>
      </c>
      <c r="AI1222" s="11">
        <v>68.180000000000007</v>
      </c>
      <c r="AJ1222" s="11">
        <v>67.739000000000004</v>
      </c>
      <c r="AK1222" s="11">
        <v>67.302000000000007</v>
      </c>
      <c r="AL1222" s="11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  <c r="DG1222" s="3"/>
      <c r="DH1222" s="3"/>
      <c r="DI1222" s="3"/>
      <c r="DJ1222" s="3"/>
      <c r="DK1222" s="3"/>
      <c r="DL1222" s="3"/>
      <c r="DM1222" s="3"/>
      <c r="DN1222" s="3"/>
      <c r="DO1222" s="3"/>
      <c r="DP1222" s="3"/>
      <c r="DQ1222" s="3"/>
      <c r="DR1222" s="3"/>
      <c r="DS1222" s="3"/>
      <c r="DT1222" s="3"/>
      <c r="DU1222" s="3"/>
      <c r="DV1222" s="3"/>
      <c r="DW1222" s="3"/>
      <c r="DX1222" s="3"/>
      <c r="DY1222" s="3"/>
      <c r="DZ1222" s="3"/>
      <c r="EA1222" s="3"/>
      <c r="EB1222" s="3"/>
      <c r="EC1222" s="3"/>
      <c r="ED1222" s="3"/>
      <c r="EE1222" s="3"/>
      <c r="EF1222" s="3"/>
      <c r="EG1222" s="3"/>
      <c r="EH1222" s="3"/>
      <c r="EI1222" s="3"/>
      <c r="EJ1222" s="3"/>
      <c r="EK1222" s="3"/>
      <c r="EL1222" s="3"/>
      <c r="EM1222" s="3"/>
      <c r="EN1222" s="3"/>
      <c r="EO1222" s="3"/>
      <c r="EP1222" s="3"/>
      <c r="EQ1222" s="3"/>
    </row>
    <row r="1223" spans="1:147" x14ac:dyDescent="0.3">
      <c r="A1223" s="9">
        <f>DATE(2021, 9, 23)</f>
        <v>44462</v>
      </c>
      <c r="B1223" s="10">
        <v>77.25</v>
      </c>
      <c r="C1223" s="10">
        <v>76.459999999999994</v>
      </c>
      <c r="D1223" s="10">
        <v>75.599999999999994</v>
      </c>
      <c r="E1223" s="10">
        <v>74.8</v>
      </c>
      <c r="F1223" s="10">
        <v>74.11</v>
      </c>
      <c r="G1223" s="10">
        <v>73.489999999999995</v>
      </c>
      <c r="H1223" s="10">
        <v>72.930000000000007</v>
      </c>
      <c r="I1223" s="10">
        <v>72.400000000000006</v>
      </c>
      <c r="J1223" s="10">
        <v>71.88</v>
      </c>
      <c r="K1223" s="10">
        <v>71.400000000000006</v>
      </c>
      <c r="L1223" s="10">
        <v>70.92</v>
      </c>
      <c r="M1223" s="10">
        <v>70.459999999999994</v>
      </c>
      <c r="N1223" s="10">
        <v>73.3</v>
      </c>
      <c r="O1223" s="10">
        <v>72.95</v>
      </c>
      <c r="P1223" s="10">
        <v>72.42</v>
      </c>
      <c r="Q1223" s="10">
        <v>71.83</v>
      </c>
      <c r="R1223" s="10">
        <v>71.23</v>
      </c>
      <c r="S1223" s="10">
        <v>70.63</v>
      </c>
      <c r="T1223" s="10">
        <v>70.05</v>
      </c>
      <c r="U1223" s="10">
        <v>69.459999999999994</v>
      </c>
      <c r="V1223" s="10">
        <v>68.87</v>
      </c>
      <c r="W1223" s="10">
        <v>68.28</v>
      </c>
      <c r="X1223" s="10">
        <v>67.7</v>
      </c>
      <c r="Y1223" s="10">
        <v>67.16</v>
      </c>
      <c r="Z1223" s="11">
        <v>72.349999999999994</v>
      </c>
      <c r="AA1223" s="11">
        <v>74.328999999999994</v>
      </c>
      <c r="AB1223" s="11">
        <v>73.343999999999994</v>
      </c>
      <c r="AC1223" s="11">
        <v>72.489999999999995</v>
      </c>
      <c r="AD1223" s="11">
        <v>71.77</v>
      </c>
      <c r="AE1223" s="11">
        <v>71.152000000000001</v>
      </c>
      <c r="AF1223" s="11">
        <v>70.626999999999995</v>
      </c>
      <c r="AG1223" s="11">
        <v>70.123999999999995</v>
      </c>
      <c r="AH1223" s="11">
        <v>69.638000000000005</v>
      </c>
      <c r="AI1223" s="11">
        <v>69.158000000000001</v>
      </c>
      <c r="AJ1223" s="11">
        <v>68.688000000000002</v>
      </c>
      <c r="AK1223" s="11">
        <v>68.230999999999995</v>
      </c>
      <c r="AL1223" s="11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  <c r="DG1223" s="3"/>
      <c r="DH1223" s="3"/>
      <c r="DI1223" s="3"/>
      <c r="DJ1223" s="3"/>
      <c r="DK1223" s="3"/>
      <c r="DL1223" s="3"/>
      <c r="DM1223" s="3"/>
      <c r="DN1223" s="3"/>
      <c r="DO1223" s="3"/>
      <c r="DP1223" s="3"/>
      <c r="DQ1223" s="3"/>
      <c r="DR1223" s="3"/>
      <c r="DS1223" s="3"/>
      <c r="DT1223" s="3"/>
      <c r="DU1223" s="3"/>
      <c r="DV1223" s="3"/>
      <c r="DW1223" s="3"/>
      <c r="DX1223" s="3"/>
      <c r="DY1223" s="3"/>
      <c r="DZ1223" s="3"/>
      <c r="EA1223" s="3"/>
      <c r="EB1223" s="3"/>
      <c r="EC1223" s="3"/>
      <c r="ED1223" s="3"/>
      <c r="EE1223" s="3"/>
      <c r="EF1223" s="3"/>
      <c r="EG1223" s="3"/>
      <c r="EH1223" s="3"/>
      <c r="EI1223" s="3"/>
      <c r="EJ1223" s="3"/>
      <c r="EK1223" s="3"/>
      <c r="EL1223" s="3"/>
      <c r="EM1223" s="3"/>
      <c r="EN1223" s="3"/>
      <c r="EO1223" s="3"/>
      <c r="EP1223" s="3"/>
      <c r="EQ1223" s="3"/>
    </row>
    <row r="1224" spans="1:147" x14ac:dyDescent="0.3">
      <c r="A1224" s="9">
        <f>DATE(2021, 9, 24)</f>
        <v>44463</v>
      </c>
      <c r="B1224" s="10">
        <v>78.09</v>
      </c>
      <c r="C1224" s="10">
        <v>77.23</v>
      </c>
      <c r="D1224" s="10">
        <v>76.36</v>
      </c>
      <c r="E1224" s="10">
        <v>75.56</v>
      </c>
      <c r="F1224" s="10">
        <v>74.86</v>
      </c>
      <c r="G1224" s="10">
        <v>74.23</v>
      </c>
      <c r="H1224" s="10">
        <v>73.650000000000006</v>
      </c>
      <c r="I1224" s="10">
        <v>73.099999999999994</v>
      </c>
      <c r="J1224" s="10">
        <v>72.55</v>
      </c>
      <c r="K1224" s="10">
        <v>72.03</v>
      </c>
      <c r="L1224" s="10">
        <v>71.52</v>
      </c>
      <c r="M1224" s="10">
        <v>71.03</v>
      </c>
      <c r="N1224" s="10">
        <v>73.98</v>
      </c>
      <c r="O1224" s="10">
        <v>73.61</v>
      </c>
      <c r="P1224" s="10">
        <v>73.069999999999993</v>
      </c>
      <c r="Q1224" s="10">
        <v>72.47</v>
      </c>
      <c r="R1224" s="10">
        <v>71.849999999999994</v>
      </c>
      <c r="S1224" s="10">
        <v>71.239999999999995</v>
      </c>
      <c r="T1224" s="10">
        <v>70.64</v>
      </c>
      <c r="U1224" s="10">
        <v>70.02</v>
      </c>
      <c r="V1224" s="10">
        <v>69.400000000000006</v>
      </c>
      <c r="W1224" s="10">
        <v>68.78</v>
      </c>
      <c r="X1224" s="10">
        <v>68.19</v>
      </c>
      <c r="Y1224" s="10">
        <v>67.63</v>
      </c>
      <c r="Z1224" s="11">
        <v>72.429000000000002</v>
      </c>
      <c r="AA1224" s="11">
        <v>74.978999999999999</v>
      </c>
      <c r="AB1224" s="11">
        <v>73.953999999999994</v>
      </c>
      <c r="AC1224" s="11">
        <v>73.088999999999999</v>
      </c>
      <c r="AD1224" s="11">
        <v>72.39</v>
      </c>
      <c r="AE1224" s="11">
        <v>71.760999999999996</v>
      </c>
      <c r="AF1224" s="11">
        <v>71.215999999999994</v>
      </c>
      <c r="AG1224" s="11">
        <v>70.712999999999994</v>
      </c>
      <c r="AH1224" s="11">
        <v>70.206000000000003</v>
      </c>
      <c r="AI1224" s="11">
        <v>69.716999999999999</v>
      </c>
      <c r="AJ1224" s="11">
        <v>69.227000000000004</v>
      </c>
      <c r="AK1224" s="11">
        <v>68.739999999999995</v>
      </c>
      <c r="AL1224" s="11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  <c r="DG1224" s="3"/>
      <c r="DH1224" s="3"/>
      <c r="DI1224" s="3"/>
      <c r="DJ1224" s="3"/>
      <c r="DK1224" s="3"/>
      <c r="DL1224" s="3"/>
      <c r="DM1224" s="3"/>
      <c r="DN1224" s="3"/>
      <c r="DO1224" s="3"/>
      <c r="DP1224" s="3"/>
      <c r="DQ1224" s="3"/>
      <c r="DR1224" s="3"/>
      <c r="DS1224" s="3"/>
      <c r="DT1224" s="3"/>
      <c r="DU1224" s="3"/>
      <c r="DV1224" s="3"/>
      <c r="DW1224" s="3"/>
      <c r="DX1224" s="3"/>
      <c r="DY1224" s="3"/>
      <c r="DZ1224" s="3"/>
      <c r="EA1224" s="3"/>
      <c r="EB1224" s="3"/>
      <c r="EC1224" s="3"/>
      <c r="ED1224" s="3"/>
      <c r="EE1224" s="3"/>
      <c r="EF1224" s="3"/>
      <c r="EG1224" s="3"/>
      <c r="EH1224" s="3"/>
      <c r="EI1224" s="3"/>
      <c r="EJ1224" s="3"/>
      <c r="EK1224" s="3"/>
      <c r="EL1224" s="3"/>
      <c r="EM1224" s="3"/>
      <c r="EN1224" s="3"/>
      <c r="EO1224" s="3"/>
      <c r="EP1224" s="3"/>
      <c r="EQ1224" s="3"/>
    </row>
    <row r="1225" spans="1:147" x14ac:dyDescent="0.3">
      <c r="A1225" s="9">
        <f>DATE(2021, 9, 27)</f>
        <v>44466</v>
      </c>
      <c r="B1225" s="10">
        <v>79.53</v>
      </c>
      <c r="C1225" s="10">
        <v>78.72</v>
      </c>
      <c r="D1225" s="10">
        <v>77.88</v>
      </c>
      <c r="E1225" s="10">
        <v>77.099999999999994</v>
      </c>
      <c r="F1225" s="10">
        <v>76.41</v>
      </c>
      <c r="G1225" s="10">
        <v>75.78</v>
      </c>
      <c r="H1225" s="10">
        <v>75.19</v>
      </c>
      <c r="I1225" s="10">
        <v>74.63</v>
      </c>
      <c r="J1225" s="10">
        <v>74.06</v>
      </c>
      <c r="K1225" s="10">
        <v>73.53</v>
      </c>
      <c r="L1225" s="10">
        <v>73.02</v>
      </c>
      <c r="M1225" s="10">
        <v>72.52</v>
      </c>
      <c r="N1225" s="10">
        <v>75.45</v>
      </c>
      <c r="O1225" s="10">
        <v>75.08</v>
      </c>
      <c r="P1225" s="10">
        <v>74.53</v>
      </c>
      <c r="Q1225" s="10">
        <v>73.92</v>
      </c>
      <c r="R1225" s="10">
        <v>73.319999999999993</v>
      </c>
      <c r="S1225" s="10">
        <v>72.709999999999994</v>
      </c>
      <c r="T1225" s="10">
        <v>72.099999999999994</v>
      </c>
      <c r="U1225" s="10">
        <v>71.489999999999995</v>
      </c>
      <c r="V1225" s="10">
        <v>70.86</v>
      </c>
      <c r="W1225" s="10">
        <v>70.23</v>
      </c>
      <c r="X1225" s="10">
        <v>69.62</v>
      </c>
      <c r="Y1225" s="10">
        <v>69.040000000000006</v>
      </c>
      <c r="Z1225" s="11">
        <v>72.656999999999996</v>
      </c>
      <c r="AA1225" s="11">
        <v>76.37</v>
      </c>
      <c r="AB1225" s="11">
        <v>75.334999999999994</v>
      </c>
      <c r="AC1225" s="11">
        <v>74.489999999999995</v>
      </c>
      <c r="AD1225" s="11">
        <v>73.819999999999993</v>
      </c>
      <c r="AE1225" s="11">
        <v>73.180999999999997</v>
      </c>
      <c r="AF1225" s="11">
        <v>72.616</v>
      </c>
      <c r="AG1225" s="11">
        <v>72.081999999999994</v>
      </c>
      <c r="AH1225" s="11">
        <v>71.566000000000003</v>
      </c>
      <c r="AI1225" s="11">
        <v>71.066999999999993</v>
      </c>
      <c r="AJ1225" s="11">
        <v>70.575999999999993</v>
      </c>
      <c r="AK1225" s="11">
        <v>70.09</v>
      </c>
      <c r="AL1225" s="11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  <c r="DG1225" s="3"/>
      <c r="DH1225" s="3"/>
      <c r="DI1225" s="3"/>
      <c r="DJ1225" s="3"/>
      <c r="DK1225" s="3"/>
      <c r="DL1225" s="3"/>
      <c r="DM1225" s="3"/>
      <c r="DN1225" s="3"/>
      <c r="DO1225" s="3"/>
      <c r="DP1225" s="3"/>
      <c r="DQ1225" s="3"/>
      <c r="DR1225" s="3"/>
      <c r="DS1225" s="3"/>
      <c r="DT1225" s="3"/>
      <c r="DU1225" s="3"/>
      <c r="DV1225" s="3"/>
      <c r="DW1225" s="3"/>
      <c r="DX1225" s="3"/>
      <c r="DY1225" s="3"/>
      <c r="DZ1225" s="3"/>
      <c r="EA1225" s="3"/>
      <c r="EB1225" s="3"/>
      <c r="EC1225" s="3"/>
      <c r="ED1225" s="3"/>
      <c r="EE1225" s="3"/>
      <c r="EF1225" s="3"/>
      <c r="EG1225" s="3"/>
      <c r="EH1225" s="3"/>
      <c r="EI1225" s="3"/>
      <c r="EJ1225" s="3"/>
      <c r="EK1225" s="3"/>
      <c r="EL1225" s="3"/>
      <c r="EM1225" s="3"/>
      <c r="EN1225" s="3"/>
      <c r="EO1225" s="3"/>
      <c r="EP1225" s="3"/>
      <c r="EQ1225" s="3"/>
    </row>
    <row r="1226" spans="1:147" x14ac:dyDescent="0.3">
      <c r="A1226" s="9">
        <f>DATE(2021, 9, 28)</f>
        <v>44467</v>
      </c>
      <c r="B1226" s="10">
        <v>79.09</v>
      </c>
      <c r="C1226" s="10">
        <v>78.349999999999994</v>
      </c>
      <c r="D1226" s="10">
        <v>77.540000000000006</v>
      </c>
      <c r="E1226" s="10">
        <v>76.78</v>
      </c>
      <c r="F1226" s="10">
        <v>76.099999999999994</v>
      </c>
      <c r="G1226" s="10">
        <v>75.47</v>
      </c>
      <c r="H1226" s="10">
        <v>74.89</v>
      </c>
      <c r="I1226" s="10">
        <v>74.33</v>
      </c>
      <c r="J1226" s="10">
        <v>73.78</v>
      </c>
      <c r="K1226" s="10">
        <v>73.27</v>
      </c>
      <c r="L1226" s="10">
        <v>72.77</v>
      </c>
      <c r="M1226" s="10">
        <v>72.28</v>
      </c>
      <c r="N1226" s="10">
        <v>75.290000000000006</v>
      </c>
      <c r="O1226" s="10">
        <v>74.900000000000006</v>
      </c>
      <c r="P1226" s="10">
        <v>74.33</v>
      </c>
      <c r="Q1226" s="10">
        <v>73.7</v>
      </c>
      <c r="R1226" s="10">
        <v>73.09</v>
      </c>
      <c r="S1226" s="10">
        <v>72.48</v>
      </c>
      <c r="T1226" s="10">
        <v>71.87</v>
      </c>
      <c r="U1226" s="10">
        <v>71.27</v>
      </c>
      <c r="V1226" s="10">
        <v>70.64</v>
      </c>
      <c r="W1226" s="10">
        <v>70</v>
      </c>
      <c r="X1226" s="10">
        <v>69.400000000000006</v>
      </c>
      <c r="Y1226" s="10">
        <v>68.819999999999993</v>
      </c>
      <c r="Z1226" s="11">
        <v>72.641999999999996</v>
      </c>
      <c r="AA1226" s="11">
        <v>76.040999999999997</v>
      </c>
      <c r="AB1226" s="11">
        <v>75.045000000000002</v>
      </c>
      <c r="AC1226" s="11">
        <v>74.200999999999993</v>
      </c>
      <c r="AD1226" s="11">
        <v>73.510000000000005</v>
      </c>
      <c r="AE1226" s="11">
        <v>72.891000000000005</v>
      </c>
      <c r="AF1226" s="11">
        <v>72.355999999999995</v>
      </c>
      <c r="AG1226" s="11">
        <v>71.822999999999993</v>
      </c>
      <c r="AH1226" s="11">
        <v>71.316999999999993</v>
      </c>
      <c r="AI1226" s="11">
        <v>70.837000000000003</v>
      </c>
      <c r="AJ1226" s="11">
        <v>70.397000000000006</v>
      </c>
      <c r="AK1226" s="11">
        <v>69.930000000000007</v>
      </c>
      <c r="AL1226" s="11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  <c r="DG1226" s="3"/>
      <c r="DH1226" s="3"/>
      <c r="DI1226" s="3"/>
      <c r="DJ1226" s="3"/>
      <c r="DK1226" s="3"/>
      <c r="DL1226" s="3"/>
      <c r="DM1226" s="3"/>
      <c r="DN1226" s="3"/>
      <c r="DO1226" s="3"/>
      <c r="DP1226" s="3"/>
      <c r="DQ1226" s="3"/>
      <c r="DR1226" s="3"/>
      <c r="DS1226" s="3"/>
      <c r="DT1226" s="3"/>
      <c r="DU1226" s="3"/>
      <c r="DV1226" s="3"/>
      <c r="DW1226" s="3"/>
      <c r="DX1226" s="3"/>
      <c r="DY1226" s="3"/>
      <c r="DZ1226" s="3"/>
      <c r="EA1226" s="3"/>
      <c r="EB1226" s="3"/>
      <c r="EC1226" s="3"/>
      <c r="ED1226" s="3"/>
      <c r="EE1226" s="3"/>
      <c r="EF1226" s="3"/>
      <c r="EG1226" s="3"/>
      <c r="EH1226" s="3"/>
      <c r="EI1226" s="3"/>
      <c r="EJ1226" s="3"/>
      <c r="EK1226" s="3"/>
      <c r="EL1226" s="3"/>
      <c r="EM1226" s="3"/>
      <c r="EN1226" s="3"/>
      <c r="EO1226" s="3"/>
      <c r="EP1226" s="3"/>
      <c r="EQ1226" s="3"/>
    </row>
    <row r="1227" spans="1:147" x14ac:dyDescent="0.3">
      <c r="A1227" s="9">
        <f>DATE(2021, 9, 29)</f>
        <v>44468</v>
      </c>
      <c r="B1227" s="10">
        <v>78.64</v>
      </c>
      <c r="C1227" s="10">
        <v>78.09</v>
      </c>
      <c r="D1227" s="10">
        <v>77.34</v>
      </c>
      <c r="E1227" s="10">
        <v>76.61</v>
      </c>
      <c r="F1227" s="10">
        <v>75.95</v>
      </c>
      <c r="G1227" s="10">
        <v>75.34</v>
      </c>
      <c r="H1227" s="10">
        <v>74.790000000000006</v>
      </c>
      <c r="I1227" s="10">
        <v>74.260000000000005</v>
      </c>
      <c r="J1227" s="10">
        <v>73.73</v>
      </c>
      <c r="K1227" s="10">
        <v>73.23</v>
      </c>
      <c r="L1227" s="10">
        <v>72.739999999999995</v>
      </c>
      <c r="M1227" s="10">
        <v>72.27</v>
      </c>
      <c r="N1227" s="10">
        <v>74.83</v>
      </c>
      <c r="O1227" s="10">
        <v>74.5</v>
      </c>
      <c r="P1227" s="10">
        <v>73.989999999999995</v>
      </c>
      <c r="Q1227" s="10">
        <v>73.41</v>
      </c>
      <c r="R1227" s="10">
        <v>72.84</v>
      </c>
      <c r="S1227" s="10">
        <v>72.27</v>
      </c>
      <c r="T1227" s="10">
        <v>71.7</v>
      </c>
      <c r="U1227" s="10">
        <v>71.11</v>
      </c>
      <c r="V1227" s="10">
        <v>70.5</v>
      </c>
      <c r="W1227" s="10">
        <v>69.900000000000006</v>
      </c>
      <c r="X1227" s="10">
        <v>69.319999999999993</v>
      </c>
      <c r="Y1227" s="10">
        <v>68.760000000000005</v>
      </c>
      <c r="Z1227" s="11">
        <v>72.606999999999999</v>
      </c>
      <c r="AA1227" s="11">
        <v>75.634</v>
      </c>
      <c r="AB1227" s="11">
        <v>74.736999999999995</v>
      </c>
      <c r="AC1227" s="11">
        <v>73.947999999999993</v>
      </c>
      <c r="AD1227" s="11">
        <v>73.296000000000006</v>
      </c>
      <c r="AE1227" s="11">
        <v>72.703000000000003</v>
      </c>
      <c r="AF1227" s="11">
        <v>72.206999999999994</v>
      </c>
      <c r="AG1227" s="11">
        <v>71.713999999999999</v>
      </c>
      <c r="AH1227" s="11">
        <v>71.236999999999995</v>
      </c>
      <c r="AI1227" s="11">
        <v>70.768000000000001</v>
      </c>
      <c r="AJ1227" s="11">
        <v>70.317999999999998</v>
      </c>
      <c r="AK1227" s="11">
        <v>69.87</v>
      </c>
      <c r="AL1227" s="11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  <c r="DG1227" s="3"/>
      <c r="DH1227" s="3"/>
      <c r="DI1227" s="3"/>
      <c r="DJ1227" s="3"/>
      <c r="DK1227" s="3"/>
      <c r="DL1227" s="3"/>
      <c r="DM1227" s="3"/>
      <c r="DN1227" s="3"/>
      <c r="DO1227" s="3"/>
      <c r="DP1227" s="3"/>
      <c r="DQ1227" s="3"/>
      <c r="DR1227" s="3"/>
      <c r="DS1227" s="3"/>
      <c r="DT1227" s="3"/>
      <c r="DU1227" s="3"/>
      <c r="DV1227" s="3"/>
      <c r="DW1227" s="3"/>
      <c r="DX1227" s="3"/>
      <c r="DY1227" s="3"/>
      <c r="DZ1227" s="3"/>
      <c r="EA1227" s="3"/>
      <c r="EB1227" s="3"/>
      <c r="EC1227" s="3"/>
      <c r="ED1227" s="3"/>
      <c r="EE1227" s="3"/>
      <c r="EF1227" s="3"/>
      <c r="EG1227" s="3"/>
      <c r="EH1227" s="3"/>
      <c r="EI1227" s="3"/>
      <c r="EJ1227" s="3"/>
      <c r="EK1227" s="3"/>
      <c r="EL1227" s="3"/>
      <c r="EM1227" s="3"/>
      <c r="EN1227" s="3"/>
      <c r="EO1227" s="3"/>
      <c r="EP1227" s="3"/>
      <c r="EQ1227" s="3"/>
    </row>
    <row r="1228" spans="1:147" x14ac:dyDescent="0.3">
      <c r="A1228" s="9">
        <f>DATE(2021, 9, 30)</f>
        <v>44469</v>
      </c>
      <c r="B1228" s="10">
        <v>78.52</v>
      </c>
      <c r="C1228" s="10">
        <v>78.31</v>
      </c>
      <c r="D1228" s="10">
        <v>77.53</v>
      </c>
      <c r="E1228" s="10">
        <v>76.760000000000005</v>
      </c>
      <c r="F1228" s="10">
        <v>76.06</v>
      </c>
      <c r="G1228" s="10">
        <v>75.42</v>
      </c>
      <c r="H1228" s="10">
        <v>74.84</v>
      </c>
      <c r="I1228" s="10">
        <v>74.290000000000006</v>
      </c>
      <c r="J1228" s="10">
        <v>73.75</v>
      </c>
      <c r="K1228" s="10">
        <v>73.239999999999995</v>
      </c>
      <c r="L1228" s="10">
        <v>72.73</v>
      </c>
      <c r="M1228" s="10">
        <v>72.239999999999995</v>
      </c>
      <c r="N1228" s="10">
        <v>75.03</v>
      </c>
      <c r="O1228" s="10">
        <v>74.7</v>
      </c>
      <c r="P1228" s="10">
        <v>74.19</v>
      </c>
      <c r="Q1228" s="10">
        <v>73.59</v>
      </c>
      <c r="R1228" s="10">
        <v>72.989999999999995</v>
      </c>
      <c r="S1228" s="10">
        <v>72.38</v>
      </c>
      <c r="T1228" s="10">
        <v>71.77</v>
      </c>
      <c r="U1228" s="10">
        <v>71.150000000000006</v>
      </c>
      <c r="V1228" s="10">
        <v>70.53</v>
      </c>
      <c r="W1228" s="10">
        <v>69.900000000000006</v>
      </c>
      <c r="X1228" s="10">
        <v>69.290000000000006</v>
      </c>
      <c r="Y1228" s="10">
        <v>68.709999999999994</v>
      </c>
      <c r="Z1228" s="11">
        <v>72.608000000000004</v>
      </c>
      <c r="AA1228" s="11">
        <v>75.822999999999993</v>
      </c>
      <c r="AB1228" s="11">
        <v>74.894999999999996</v>
      </c>
      <c r="AC1228" s="11">
        <v>74.063999999999993</v>
      </c>
      <c r="AD1228" s="11">
        <v>73.375</v>
      </c>
      <c r="AE1228" s="11">
        <v>72.781000000000006</v>
      </c>
      <c r="AF1228" s="11">
        <v>72.256</v>
      </c>
      <c r="AG1228" s="11">
        <v>71.742999999999995</v>
      </c>
      <c r="AH1228" s="11">
        <v>71.257000000000005</v>
      </c>
      <c r="AI1228" s="11">
        <v>70.777000000000001</v>
      </c>
      <c r="AJ1228" s="11">
        <v>70.287000000000006</v>
      </c>
      <c r="AK1228" s="11">
        <v>69.819000000000003</v>
      </c>
      <c r="AL1228" s="11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  <c r="DG1228" s="3"/>
      <c r="DH1228" s="3"/>
      <c r="DI1228" s="3"/>
      <c r="DJ1228" s="3"/>
      <c r="DK1228" s="3"/>
      <c r="DL1228" s="3"/>
      <c r="DM1228" s="3"/>
      <c r="DN1228" s="3"/>
      <c r="DO1228" s="3"/>
      <c r="DP1228" s="3"/>
      <c r="DQ1228" s="3"/>
      <c r="DR1228" s="3"/>
      <c r="DS1228" s="3"/>
      <c r="DT1228" s="3"/>
      <c r="DU1228" s="3"/>
      <c r="DV1228" s="3"/>
      <c r="DW1228" s="3"/>
      <c r="DX1228" s="3"/>
      <c r="DY1228" s="3"/>
      <c r="DZ1228" s="3"/>
      <c r="EA1228" s="3"/>
      <c r="EB1228" s="3"/>
      <c r="EC1228" s="3"/>
      <c r="ED1228" s="3"/>
      <c r="EE1228" s="3"/>
      <c r="EF1228" s="3"/>
      <c r="EG1228" s="3"/>
      <c r="EH1228" s="3"/>
      <c r="EI1228" s="3"/>
      <c r="EJ1228" s="3"/>
      <c r="EK1228" s="3"/>
      <c r="EL1228" s="3"/>
      <c r="EM1228" s="3"/>
      <c r="EN1228" s="3"/>
      <c r="EO1228" s="3"/>
      <c r="EP1228" s="3"/>
      <c r="EQ1228" s="3"/>
    </row>
    <row r="1229" spans="1:147" x14ac:dyDescent="0.3">
      <c r="A1229" s="9">
        <f>DATE(2021, 10, 1)</f>
        <v>44470</v>
      </c>
      <c r="B1229" s="10">
        <v>79.28</v>
      </c>
      <c r="C1229" s="10">
        <v>78.53</v>
      </c>
      <c r="D1229" s="10">
        <v>77.760000000000005</v>
      </c>
      <c r="E1229" s="10">
        <v>77.069999999999993</v>
      </c>
      <c r="F1229" s="10">
        <v>76.44</v>
      </c>
      <c r="G1229" s="10">
        <v>75.88</v>
      </c>
      <c r="H1229" s="10">
        <v>75.34</v>
      </c>
      <c r="I1229" s="10">
        <v>74.8</v>
      </c>
      <c r="J1229" s="10">
        <v>74.3</v>
      </c>
      <c r="K1229" s="10">
        <v>73.8</v>
      </c>
      <c r="L1229" s="10">
        <v>73.3</v>
      </c>
      <c r="M1229" s="10">
        <v>72.83</v>
      </c>
      <c r="N1229" s="10">
        <v>75.88</v>
      </c>
      <c r="O1229" s="10">
        <v>75.58</v>
      </c>
      <c r="P1229" s="10">
        <v>75.12</v>
      </c>
      <c r="Q1229" s="10">
        <v>74.55</v>
      </c>
      <c r="R1229" s="10">
        <v>73.98</v>
      </c>
      <c r="S1229" s="10">
        <v>73.400000000000006</v>
      </c>
      <c r="T1229" s="10">
        <v>72.819999999999993</v>
      </c>
      <c r="U1229" s="10">
        <v>72.23</v>
      </c>
      <c r="V1229" s="10">
        <v>71.61</v>
      </c>
      <c r="W1229" s="10">
        <v>71</v>
      </c>
      <c r="X1229" s="10">
        <v>70.400000000000006</v>
      </c>
      <c r="Y1229" s="10">
        <v>69.819999999999993</v>
      </c>
      <c r="Z1229" s="11">
        <v>72.608000000000004</v>
      </c>
      <c r="AA1229" s="11">
        <v>76.787999999999997</v>
      </c>
      <c r="AB1229" s="11">
        <v>75.885000000000005</v>
      </c>
      <c r="AC1229" s="11">
        <v>75.06</v>
      </c>
      <c r="AD1229" s="11">
        <v>74.42</v>
      </c>
      <c r="AE1229" s="11">
        <v>73.861999999999995</v>
      </c>
      <c r="AF1229" s="11">
        <v>73.367000000000004</v>
      </c>
      <c r="AG1229" s="11">
        <v>72.873000000000005</v>
      </c>
      <c r="AH1229" s="11">
        <v>72.387</v>
      </c>
      <c r="AI1229" s="11">
        <v>71.906999999999996</v>
      </c>
      <c r="AJ1229" s="11">
        <v>71.445999999999998</v>
      </c>
      <c r="AK1229" s="11">
        <v>70.97</v>
      </c>
      <c r="AL1229" s="11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  <c r="DG1229" s="3"/>
      <c r="DH1229" s="3"/>
      <c r="DI1229" s="3"/>
      <c r="DJ1229" s="3"/>
      <c r="DK1229" s="3"/>
      <c r="DL1229" s="3"/>
      <c r="DM1229" s="3"/>
      <c r="DN1229" s="3"/>
      <c r="DO1229" s="3"/>
      <c r="DP1229" s="3"/>
      <c r="DQ1229" s="3"/>
      <c r="DR1229" s="3"/>
      <c r="DS1229" s="3"/>
      <c r="DT1229" s="3"/>
      <c r="DU1229" s="3"/>
      <c r="DV1229" s="3"/>
      <c r="DW1229" s="3"/>
      <c r="DX1229" s="3"/>
      <c r="DY1229" s="3"/>
      <c r="DZ1229" s="3"/>
      <c r="EA1229" s="3"/>
      <c r="EB1229" s="3"/>
      <c r="EC1229" s="3"/>
      <c r="ED1229" s="3"/>
      <c r="EE1229" s="3"/>
      <c r="EF1229" s="3"/>
      <c r="EG1229" s="3"/>
      <c r="EH1229" s="3"/>
      <c r="EI1229" s="3"/>
      <c r="EJ1229" s="3"/>
      <c r="EK1229" s="3"/>
      <c r="EL1229" s="3"/>
      <c r="EM1229" s="3"/>
      <c r="EN1229" s="3"/>
      <c r="EO1229" s="3"/>
      <c r="EP1229" s="3"/>
      <c r="EQ1229" s="3"/>
    </row>
    <row r="1230" spans="1:147" x14ac:dyDescent="0.3">
      <c r="A1230" s="9">
        <f>DATE(2021, 10, 4)</f>
        <v>44473</v>
      </c>
      <c r="B1230" s="10">
        <v>81.260000000000005</v>
      </c>
      <c r="C1230" s="10">
        <v>80.48</v>
      </c>
      <c r="D1230" s="10">
        <v>79.69</v>
      </c>
      <c r="E1230" s="10">
        <v>78.95</v>
      </c>
      <c r="F1230" s="10">
        <v>78.25</v>
      </c>
      <c r="G1230" s="10">
        <v>77.62</v>
      </c>
      <c r="H1230" s="10">
        <v>77.010000000000005</v>
      </c>
      <c r="I1230" s="10">
        <v>76.41</v>
      </c>
      <c r="J1230" s="10">
        <v>75.849999999999994</v>
      </c>
      <c r="K1230" s="10">
        <v>75.290000000000006</v>
      </c>
      <c r="L1230" s="10">
        <v>74.739999999999995</v>
      </c>
      <c r="M1230" s="10">
        <v>74.22</v>
      </c>
      <c r="N1230" s="10">
        <v>77.62</v>
      </c>
      <c r="O1230" s="10">
        <v>77.33</v>
      </c>
      <c r="P1230" s="10">
        <v>76.88</v>
      </c>
      <c r="Q1230" s="10">
        <v>76.3</v>
      </c>
      <c r="R1230" s="10">
        <v>75.709999999999994</v>
      </c>
      <c r="S1230" s="10">
        <v>75.09</v>
      </c>
      <c r="T1230" s="10">
        <v>74.47</v>
      </c>
      <c r="U1230" s="10">
        <v>73.819999999999993</v>
      </c>
      <c r="V1230" s="10">
        <v>73.150000000000006</v>
      </c>
      <c r="W1230" s="10">
        <v>72.48</v>
      </c>
      <c r="X1230" s="10">
        <v>71.84</v>
      </c>
      <c r="Y1230" s="10">
        <v>71.2</v>
      </c>
      <c r="Z1230" s="11">
        <v>78.564999999999998</v>
      </c>
      <c r="AA1230" s="11">
        <v>77.753</v>
      </c>
      <c r="AB1230" s="11">
        <v>76.900999999999996</v>
      </c>
      <c r="AC1230" s="11">
        <v>76.203999999999994</v>
      </c>
      <c r="AD1230" s="11">
        <v>75.588999999999999</v>
      </c>
      <c r="AE1230" s="11">
        <v>75.052999999999997</v>
      </c>
      <c r="AF1230" s="11">
        <v>74.510000000000005</v>
      </c>
      <c r="AG1230" s="11">
        <v>73.984999999999999</v>
      </c>
      <c r="AH1230" s="11">
        <v>73.454999999999998</v>
      </c>
      <c r="AI1230" s="11">
        <v>72.924000000000007</v>
      </c>
      <c r="AJ1230" s="11">
        <v>72.406999999999996</v>
      </c>
      <c r="AK1230" s="11">
        <v>71.906999999999996</v>
      </c>
      <c r="AL1230" s="11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  <c r="DG1230" s="3"/>
      <c r="DH1230" s="3"/>
      <c r="DI1230" s="3"/>
      <c r="DJ1230" s="3"/>
      <c r="DK1230" s="3"/>
      <c r="DL1230" s="3"/>
      <c r="DM1230" s="3"/>
      <c r="DN1230" s="3"/>
      <c r="DO1230" s="3"/>
      <c r="DP1230" s="3"/>
      <c r="DQ1230" s="3"/>
      <c r="DR1230" s="3"/>
      <c r="DS1230" s="3"/>
      <c r="DT1230" s="3"/>
      <c r="DU1230" s="3"/>
      <c r="DV1230" s="3"/>
      <c r="DW1230" s="3"/>
      <c r="DX1230" s="3"/>
      <c r="DY1230" s="3"/>
      <c r="DZ1230" s="3"/>
      <c r="EA1230" s="3"/>
      <c r="EB1230" s="3"/>
      <c r="EC1230" s="3"/>
      <c r="ED1230" s="3"/>
      <c r="EE1230" s="3"/>
      <c r="EF1230" s="3"/>
      <c r="EG1230" s="3"/>
      <c r="EH1230" s="3"/>
      <c r="EI1230" s="3"/>
      <c r="EJ1230" s="3"/>
      <c r="EK1230" s="3"/>
      <c r="EL1230" s="3"/>
      <c r="EM1230" s="3"/>
      <c r="EN1230" s="3"/>
      <c r="EO1230" s="3"/>
      <c r="EP1230" s="3"/>
      <c r="EQ1230" s="3"/>
    </row>
    <row r="1231" spans="1:147" x14ac:dyDescent="0.3">
      <c r="A1231" s="9">
        <f>DATE(2021, 10, 5)</f>
        <v>44474</v>
      </c>
      <c r="B1231" s="10">
        <v>82.56</v>
      </c>
      <c r="C1231" s="10">
        <v>81.83</v>
      </c>
      <c r="D1231" s="10">
        <v>81.05</v>
      </c>
      <c r="E1231" s="10">
        <v>80.3</v>
      </c>
      <c r="F1231" s="10">
        <v>79.59</v>
      </c>
      <c r="G1231" s="10">
        <v>78.94</v>
      </c>
      <c r="H1231" s="10">
        <v>78.31</v>
      </c>
      <c r="I1231" s="10">
        <v>77.680000000000007</v>
      </c>
      <c r="J1231" s="10">
        <v>77.08</v>
      </c>
      <c r="K1231" s="10">
        <v>76.48</v>
      </c>
      <c r="L1231" s="10">
        <v>75.900000000000006</v>
      </c>
      <c r="M1231" s="10">
        <v>75.34</v>
      </c>
      <c r="N1231" s="10">
        <v>78.930000000000007</v>
      </c>
      <c r="O1231" s="10">
        <v>78.569999999999993</v>
      </c>
      <c r="P1231" s="10">
        <v>78.09</v>
      </c>
      <c r="Q1231" s="10">
        <v>77.510000000000005</v>
      </c>
      <c r="R1231" s="10">
        <v>76.92</v>
      </c>
      <c r="S1231" s="10">
        <v>76.31</v>
      </c>
      <c r="T1231" s="10">
        <v>75.680000000000007</v>
      </c>
      <c r="U1231" s="10">
        <v>75.02</v>
      </c>
      <c r="V1231" s="10">
        <v>74.33</v>
      </c>
      <c r="W1231" s="10">
        <v>73.650000000000006</v>
      </c>
      <c r="X1231" s="10">
        <v>72.98</v>
      </c>
      <c r="Y1231" s="10">
        <v>72.319999999999993</v>
      </c>
      <c r="Z1231" s="11">
        <v>79.828000000000003</v>
      </c>
      <c r="AA1231" s="11">
        <v>79.174999999999997</v>
      </c>
      <c r="AB1231" s="11">
        <v>78.295000000000002</v>
      </c>
      <c r="AC1231" s="11">
        <v>77.566000000000003</v>
      </c>
      <c r="AD1231" s="11">
        <v>76.938000000000002</v>
      </c>
      <c r="AE1231" s="11">
        <v>76.393000000000001</v>
      </c>
      <c r="AF1231" s="11">
        <v>75.819000000000003</v>
      </c>
      <c r="AG1231" s="11">
        <v>75.253</v>
      </c>
      <c r="AH1231" s="11">
        <v>74.692999999999998</v>
      </c>
      <c r="AI1231" s="11">
        <v>74.132000000000005</v>
      </c>
      <c r="AJ1231" s="11">
        <v>73.575999999999993</v>
      </c>
      <c r="AK1231" s="11">
        <v>73.025000000000006</v>
      </c>
      <c r="AL1231" s="11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  <c r="DG1231" s="3"/>
      <c r="DH1231" s="3"/>
      <c r="DI1231" s="3"/>
      <c r="DJ1231" s="3"/>
      <c r="DK1231" s="3"/>
      <c r="DL1231" s="3"/>
      <c r="DM1231" s="3"/>
      <c r="DN1231" s="3"/>
      <c r="DO1231" s="3"/>
      <c r="DP1231" s="3"/>
      <c r="DQ1231" s="3"/>
      <c r="DR1231" s="3"/>
      <c r="DS1231" s="3"/>
      <c r="DT1231" s="3"/>
      <c r="DU1231" s="3"/>
      <c r="DV1231" s="3"/>
      <c r="DW1231" s="3"/>
      <c r="DX1231" s="3"/>
      <c r="DY1231" s="3"/>
      <c r="DZ1231" s="3"/>
      <c r="EA1231" s="3"/>
      <c r="EB1231" s="3"/>
      <c r="EC1231" s="3"/>
      <c r="ED1231" s="3"/>
      <c r="EE1231" s="3"/>
      <c r="EF1231" s="3"/>
      <c r="EG1231" s="3"/>
      <c r="EH1231" s="3"/>
      <c r="EI1231" s="3"/>
      <c r="EJ1231" s="3"/>
      <c r="EK1231" s="3"/>
      <c r="EL1231" s="3"/>
      <c r="EM1231" s="3"/>
      <c r="EN1231" s="3"/>
      <c r="EO1231" s="3"/>
      <c r="EP1231" s="3"/>
      <c r="EQ1231" s="3"/>
    </row>
    <row r="1232" spans="1:147" x14ac:dyDescent="0.3">
      <c r="A1232" s="9">
        <f>DATE(2021, 10, 6)</f>
        <v>44475</v>
      </c>
      <c r="B1232" s="10">
        <v>81.08</v>
      </c>
      <c r="C1232" s="10">
        <v>80.39</v>
      </c>
      <c r="D1232" s="10">
        <v>79.63</v>
      </c>
      <c r="E1232" s="10">
        <v>78.900000000000006</v>
      </c>
      <c r="F1232" s="10">
        <v>78.209999999999994</v>
      </c>
      <c r="G1232" s="10">
        <v>77.569999999999993</v>
      </c>
      <c r="H1232" s="10">
        <v>76.95</v>
      </c>
      <c r="I1232" s="10">
        <v>76.319999999999993</v>
      </c>
      <c r="J1232" s="10">
        <v>75.73</v>
      </c>
      <c r="K1232" s="10">
        <v>75.13</v>
      </c>
      <c r="L1232" s="10">
        <v>74.540000000000006</v>
      </c>
      <c r="M1232" s="10">
        <v>73.98</v>
      </c>
      <c r="N1232" s="10">
        <v>77.430000000000007</v>
      </c>
      <c r="O1232" s="10">
        <v>77.06</v>
      </c>
      <c r="P1232" s="10">
        <v>76.59</v>
      </c>
      <c r="Q1232" s="10">
        <v>76.040000000000006</v>
      </c>
      <c r="R1232" s="10">
        <v>75.47</v>
      </c>
      <c r="S1232" s="10">
        <v>74.87</v>
      </c>
      <c r="T1232" s="10">
        <v>74.260000000000005</v>
      </c>
      <c r="U1232" s="10">
        <v>73.62</v>
      </c>
      <c r="V1232" s="10">
        <v>72.959999999999994</v>
      </c>
      <c r="W1232" s="10">
        <v>72.28</v>
      </c>
      <c r="X1232" s="10">
        <v>71.61</v>
      </c>
      <c r="Y1232" s="10">
        <v>70.95</v>
      </c>
      <c r="Z1232" s="11">
        <v>78.867000000000004</v>
      </c>
      <c r="AA1232" s="11">
        <v>77.92</v>
      </c>
      <c r="AB1232" s="11">
        <v>77.016999999999996</v>
      </c>
      <c r="AC1232" s="11">
        <v>76.287000000000006</v>
      </c>
      <c r="AD1232" s="11">
        <v>75.647999999999996</v>
      </c>
      <c r="AE1232" s="11">
        <v>75.082999999999998</v>
      </c>
      <c r="AF1232" s="11">
        <v>74.519000000000005</v>
      </c>
      <c r="AG1232" s="11">
        <v>73.953000000000003</v>
      </c>
      <c r="AH1232" s="11">
        <v>73.393000000000001</v>
      </c>
      <c r="AI1232" s="11">
        <v>72.831999999999994</v>
      </c>
      <c r="AJ1232" s="11">
        <v>72.275999999999996</v>
      </c>
      <c r="AK1232" s="11">
        <v>71.725999999999999</v>
      </c>
      <c r="AL1232" s="11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  <c r="DG1232" s="3"/>
      <c r="DH1232" s="3"/>
      <c r="DI1232" s="3"/>
      <c r="DJ1232" s="3"/>
      <c r="DK1232" s="3"/>
      <c r="DL1232" s="3"/>
      <c r="DM1232" s="3"/>
      <c r="DN1232" s="3"/>
      <c r="DO1232" s="3"/>
      <c r="DP1232" s="3"/>
      <c r="DQ1232" s="3"/>
      <c r="DR1232" s="3"/>
      <c r="DS1232" s="3"/>
      <c r="DT1232" s="3"/>
      <c r="DU1232" s="3"/>
      <c r="DV1232" s="3"/>
      <c r="DW1232" s="3"/>
      <c r="DX1232" s="3"/>
      <c r="DY1232" s="3"/>
      <c r="DZ1232" s="3"/>
      <c r="EA1232" s="3"/>
      <c r="EB1232" s="3"/>
      <c r="EC1232" s="3"/>
      <c r="ED1232" s="3"/>
      <c r="EE1232" s="3"/>
      <c r="EF1232" s="3"/>
      <c r="EG1232" s="3"/>
      <c r="EH1232" s="3"/>
      <c r="EI1232" s="3"/>
      <c r="EJ1232" s="3"/>
      <c r="EK1232" s="3"/>
      <c r="EL1232" s="3"/>
      <c r="EM1232" s="3"/>
      <c r="EN1232" s="3"/>
      <c r="EO1232" s="3"/>
      <c r="EP1232" s="3"/>
      <c r="EQ1232" s="3"/>
    </row>
    <row r="1233" spans="1:147" x14ac:dyDescent="0.3">
      <c r="A1233" s="9">
        <f>DATE(2021, 10, 7)</f>
        <v>44476</v>
      </c>
      <c r="B1233" s="10">
        <v>81.95</v>
      </c>
      <c r="C1233" s="10">
        <v>81.27</v>
      </c>
      <c r="D1233" s="10">
        <v>80.510000000000005</v>
      </c>
      <c r="E1233" s="10">
        <v>79.78</v>
      </c>
      <c r="F1233" s="10">
        <v>79.09</v>
      </c>
      <c r="G1233" s="10">
        <v>78.459999999999994</v>
      </c>
      <c r="H1233" s="10">
        <v>77.84</v>
      </c>
      <c r="I1233" s="10">
        <v>77.209999999999994</v>
      </c>
      <c r="J1233" s="10">
        <v>76.599999999999994</v>
      </c>
      <c r="K1233" s="10">
        <v>75.98</v>
      </c>
      <c r="L1233" s="10">
        <v>75.39</v>
      </c>
      <c r="M1233" s="10">
        <v>74.81</v>
      </c>
      <c r="N1233" s="10">
        <v>78.3</v>
      </c>
      <c r="O1233" s="10">
        <v>77.959999999999994</v>
      </c>
      <c r="P1233" s="10">
        <v>77.45</v>
      </c>
      <c r="Q1233" s="10">
        <v>76.87</v>
      </c>
      <c r="R1233" s="10">
        <v>76.28</v>
      </c>
      <c r="S1233" s="10">
        <v>75.67</v>
      </c>
      <c r="T1233" s="10">
        <v>75.05</v>
      </c>
      <c r="U1233" s="10">
        <v>74.41</v>
      </c>
      <c r="V1233" s="10">
        <v>73.739999999999995</v>
      </c>
      <c r="W1233" s="10">
        <v>73.05</v>
      </c>
      <c r="X1233" s="10">
        <v>72.37</v>
      </c>
      <c r="Y1233" s="10">
        <v>71.7</v>
      </c>
      <c r="Z1233" s="11">
        <v>79.441000000000003</v>
      </c>
      <c r="AA1233" s="11">
        <v>78.775000000000006</v>
      </c>
      <c r="AB1233" s="11">
        <v>77.867000000000004</v>
      </c>
      <c r="AC1233" s="11">
        <v>77.137</v>
      </c>
      <c r="AD1233" s="11">
        <v>76.498999999999995</v>
      </c>
      <c r="AE1233" s="11">
        <v>75.942999999999998</v>
      </c>
      <c r="AF1233" s="11">
        <v>75.379000000000005</v>
      </c>
      <c r="AG1233" s="11">
        <v>74.811999999999998</v>
      </c>
      <c r="AH1233" s="11">
        <v>74.242000000000004</v>
      </c>
      <c r="AI1233" s="11">
        <v>73.682000000000002</v>
      </c>
      <c r="AJ1233" s="11">
        <v>73.125</v>
      </c>
      <c r="AK1233" s="11">
        <v>72.555000000000007</v>
      </c>
      <c r="AL1233" s="11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  <c r="DG1233" s="3"/>
      <c r="DH1233" s="3"/>
      <c r="DI1233" s="3"/>
      <c r="DJ1233" s="3"/>
      <c r="DK1233" s="3"/>
      <c r="DL1233" s="3"/>
      <c r="DM1233" s="3"/>
      <c r="DN1233" s="3"/>
      <c r="DO1233" s="3"/>
      <c r="DP1233" s="3"/>
      <c r="DQ1233" s="3"/>
      <c r="DR1233" s="3"/>
      <c r="DS1233" s="3"/>
      <c r="DT1233" s="3"/>
      <c r="DU1233" s="3"/>
      <c r="DV1233" s="3"/>
      <c r="DW1233" s="3"/>
      <c r="DX1233" s="3"/>
      <c r="DY1233" s="3"/>
      <c r="DZ1233" s="3"/>
      <c r="EA1233" s="3"/>
      <c r="EB1233" s="3"/>
      <c r="EC1233" s="3"/>
      <c r="ED1233" s="3"/>
      <c r="EE1233" s="3"/>
      <c r="EF1233" s="3"/>
      <c r="EG1233" s="3"/>
      <c r="EH1233" s="3"/>
      <c r="EI1233" s="3"/>
      <c r="EJ1233" s="3"/>
      <c r="EK1233" s="3"/>
      <c r="EL1233" s="3"/>
      <c r="EM1233" s="3"/>
      <c r="EN1233" s="3"/>
      <c r="EO1233" s="3"/>
      <c r="EP1233" s="3"/>
      <c r="EQ1233" s="3"/>
    </row>
    <row r="1234" spans="1:147" x14ac:dyDescent="0.3">
      <c r="A1234" s="9">
        <f>DATE(2021, 10, 8)</f>
        <v>44477</v>
      </c>
      <c r="B1234" s="10">
        <v>82.39</v>
      </c>
      <c r="C1234" s="10">
        <v>81.69</v>
      </c>
      <c r="D1234" s="10">
        <v>80.900000000000006</v>
      </c>
      <c r="E1234" s="10">
        <v>80.14</v>
      </c>
      <c r="F1234" s="10">
        <v>79.430000000000007</v>
      </c>
      <c r="G1234" s="10">
        <v>78.78</v>
      </c>
      <c r="H1234" s="10">
        <v>78.150000000000006</v>
      </c>
      <c r="I1234" s="10">
        <v>77.510000000000005</v>
      </c>
      <c r="J1234" s="10">
        <v>76.89</v>
      </c>
      <c r="K1234" s="10">
        <v>76.27</v>
      </c>
      <c r="L1234" s="10">
        <v>75.67</v>
      </c>
      <c r="M1234" s="10">
        <v>75.09</v>
      </c>
      <c r="N1234" s="10">
        <v>79.349999999999994</v>
      </c>
      <c r="O1234" s="10">
        <v>78.760000000000005</v>
      </c>
      <c r="P1234" s="10">
        <v>78.03</v>
      </c>
      <c r="Q1234" s="10">
        <v>77.31</v>
      </c>
      <c r="R1234" s="10">
        <v>76.64</v>
      </c>
      <c r="S1234" s="10">
        <v>75.989999999999995</v>
      </c>
      <c r="T1234" s="10">
        <v>75.349999999999994</v>
      </c>
      <c r="U1234" s="10">
        <v>74.709999999999994</v>
      </c>
      <c r="V1234" s="10">
        <v>74.05</v>
      </c>
      <c r="W1234" s="10">
        <v>73.38</v>
      </c>
      <c r="X1234" s="10">
        <v>72.709999999999994</v>
      </c>
      <c r="Y1234" s="10">
        <v>72.05</v>
      </c>
      <c r="Z1234" s="11">
        <v>79.766999999999996</v>
      </c>
      <c r="AA1234" s="11">
        <v>79.194000000000003</v>
      </c>
      <c r="AB1234" s="11">
        <v>78.233999999999995</v>
      </c>
      <c r="AC1234" s="11">
        <v>77.475999999999999</v>
      </c>
      <c r="AD1234" s="11">
        <v>76.828000000000003</v>
      </c>
      <c r="AE1234" s="11">
        <v>76.272999999999996</v>
      </c>
      <c r="AF1234" s="11">
        <v>75.738</v>
      </c>
      <c r="AG1234" s="11">
        <v>75.171999999999997</v>
      </c>
      <c r="AH1234" s="11">
        <v>74.581999999999994</v>
      </c>
      <c r="AI1234" s="11">
        <v>73.991</v>
      </c>
      <c r="AJ1234" s="11">
        <v>73.405000000000001</v>
      </c>
      <c r="AK1234" s="11">
        <v>72.825000000000003</v>
      </c>
      <c r="AL1234" s="11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  <c r="DG1234" s="3"/>
      <c r="DH1234" s="3"/>
      <c r="DI1234" s="3"/>
      <c r="DJ1234" s="3"/>
      <c r="DK1234" s="3"/>
      <c r="DL1234" s="3"/>
      <c r="DM1234" s="3"/>
      <c r="DN1234" s="3"/>
      <c r="DO1234" s="3"/>
      <c r="DP1234" s="3"/>
      <c r="DQ1234" s="3"/>
      <c r="DR1234" s="3"/>
      <c r="DS1234" s="3"/>
      <c r="DT1234" s="3"/>
      <c r="DU1234" s="3"/>
      <c r="DV1234" s="3"/>
      <c r="DW1234" s="3"/>
      <c r="DX1234" s="3"/>
      <c r="DY1234" s="3"/>
      <c r="DZ1234" s="3"/>
      <c r="EA1234" s="3"/>
      <c r="EB1234" s="3"/>
      <c r="EC1234" s="3"/>
      <c r="ED1234" s="3"/>
      <c r="EE1234" s="3"/>
      <c r="EF1234" s="3"/>
      <c r="EG1234" s="3"/>
      <c r="EH1234" s="3"/>
      <c r="EI1234" s="3"/>
      <c r="EJ1234" s="3"/>
      <c r="EK1234" s="3"/>
      <c r="EL1234" s="3"/>
      <c r="EM1234" s="3"/>
      <c r="EN1234" s="3"/>
      <c r="EO1234" s="3"/>
      <c r="EP1234" s="3"/>
      <c r="EQ1234" s="3"/>
    </row>
    <row r="1235" spans="1:147" x14ac:dyDescent="0.3">
      <c r="A1235" s="9">
        <f>DATE(2021, 10, 11)</f>
        <v>44480</v>
      </c>
      <c r="B1235" s="10">
        <v>83.65</v>
      </c>
      <c r="C1235" s="10">
        <v>82.92</v>
      </c>
      <c r="D1235" s="10">
        <v>82.12</v>
      </c>
      <c r="E1235" s="10">
        <v>81.349999999999994</v>
      </c>
      <c r="F1235" s="10">
        <v>80.63</v>
      </c>
      <c r="G1235" s="10">
        <v>79.98</v>
      </c>
      <c r="H1235" s="10">
        <v>79.349999999999994</v>
      </c>
      <c r="I1235" s="10">
        <v>78.7</v>
      </c>
      <c r="J1235" s="10">
        <v>78.08</v>
      </c>
      <c r="K1235" s="10">
        <v>77.459999999999994</v>
      </c>
      <c r="L1235" s="10">
        <v>76.849999999999994</v>
      </c>
      <c r="M1235" s="10">
        <v>76.260000000000005</v>
      </c>
      <c r="N1235" s="10">
        <v>80.52</v>
      </c>
      <c r="O1235" s="10">
        <v>79.92</v>
      </c>
      <c r="P1235" s="10">
        <v>79.25</v>
      </c>
      <c r="Q1235" s="10">
        <v>78.56</v>
      </c>
      <c r="R1235" s="10">
        <v>77.88</v>
      </c>
      <c r="S1235" s="10">
        <v>77.22</v>
      </c>
      <c r="T1235" s="10">
        <v>76.569999999999993</v>
      </c>
      <c r="U1235" s="10">
        <v>75.92</v>
      </c>
      <c r="V1235" s="10">
        <v>75.25</v>
      </c>
      <c r="W1235" s="10">
        <v>74.56</v>
      </c>
      <c r="X1235" s="10">
        <v>73.88</v>
      </c>
      <c r="Y1235" s="10">
        <v>73.19</v>
      </c>
      <c r="Z1235" s="11">
        <v>80.715999999999994</v>
      </c>
      <c r="AA1235" s="11">
        <v>80.492000000000004</v>
      </c>
      <c r="AB1235" s="11">
        <v>79.484999999999999</v>
      </c>
      <c r="AC1235" s="11">
        <v>78.700999999999993</v>
      </c>
      <c r="AD1235" s="11">
        <v>78.028000000000006</v>
      </c>
      <c r="AE1235" s="11">
        <v>77.453000000000003</v>
      </c>
      <c r="AF1235" s="11">
        <v>76.897999999999996</v>
      </c>
      <c r="AG1235" s="11">
        <v>76.322000000000003</v>
      </c>
      <c r="AH1235" s="11">
        <v>75.731999999999999</v>
      </c>
      <c r="AI1235" s="11">
        <v>75.141000000000005</v>
      </c>
      <c r="AJ1235" s="11">
        <v>74.554000000000002</v>
      </c>
      <c r="AK1235" s="11">
        <v>73.983999999999995</v>
      </c>
      <c r="AL1235" s="11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3"/>
      <c r="CK1235" s="3"/>
      <c r="CL1235" s="3"/>
      <c r="CM1235" s="3"/>
      <c r="CN1235" s="3"/>
      <c r="CO1235" s="3"/>
      <c r="CP1235" s="3"/>
      <c r="CQ1235" s="3"/>
      <c r="CR1235" s="3"/>
      <c r="CS1235" s="3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  <c r="DG1235" s="3"/>
      <c r="DH1235" s="3"/>
      <c r="DI1235" s="3"/>
      <c r="DJ1235" s="3"/>
      <c r="DK1235" s="3"/>
      <c r="DL1235" s="3"/>
      <c r="DM1235" s="3"/>
      <c r="DN1235" s="3"/>
      <c r="DO1235" s="3"/>
      <c r="DP1235" s="3"/>
      <c r="DQ1235" s="3"/>
      <c r="DR1235" s="3"/>
      <c r="DS1235" s="3"/>
      <c r="DT1235" s="3"/>
      <c r="DU1235" s="3"/>
      <c r="DV1235" s="3"/>
      <c r="DW1235" s="3"/>
      <c r="DX1235" s="3"/>
      <c r="DY1235" s="3"/>
      <c r="DZ1235" s="3"/>
      <c r="EA1235" s="3"/>
      <c r="EB1235" s="3"/>
      <c r="EC1235" s="3"/>
      <c r="ED1235" s="3"/>
      <c r="EE1235" s="3"/>
      <c r="EF1235" s="3"/>
      <c r="EG1235" s="3"/>
      <c r="EH1235" s="3"/>
      <c r="EI1235" s="3"/>
      <c r="EJ1235" s="3"/>
      <c r="EK1235" s="3"/>
      <c r="EL1235" s="3"/>
      <c r="EM1235" s="3"/>
      <c r="EN1235" s="3"/>
      <c r="EO1235" s="3"/>
      <c r="EP1235" s="3"/>
      <c r="EQ1235" s="3"/>
    </row>
    <row r="1236" spans="1:147" x14ac:dyDescent="0.3">
      <c r="A1236" s="9">
        <f>DATE(2021, 10, 12)</f>
        <v>44481</v>
      </c>
      <c r="B1236" s="10">
        <v>83.42</v>
      </c>
      <c r="C1236" s="10">
        <v>82.73</v>
      </c>
      <c r="D1236" s="10">
        <v>81.96</v>
      </c>
      <c r="E1236" s="10">
        <v>81.209999999999994</v>
      </c>
      <c r="F1236" s="10">
        <v>80.510000000000005</v>
      </c>
      <c r="G1236" s="10">
        <v>79.87</v>
      </c>
      <c r="H1236" s="10">
        <v>79.260000000000005</v>
      </c>
      <c r="I1236" s="10">
        <v>78.64</v>
      </c>
      <c r="J1236" s="10">
        <v>78.040000000000006</v>
      </c>
      <c r="K1236" s="10">
        <v>77.45</v>
      </c>
      <c r="L1236" s="10">
        <v>76.86</v>
      </c>
      <c r="M1236" s="10">
        <v>76.3</v>
      </c>
      <c r="N1236" s="10">
        <v>80.64</v>
      </c>
      <c r="O1236" s="10">
        <v>79.92</v>
      </c>
      <c r="P1236" s="10">
        <v>79.19</v>
      </c>
      <c r="Q1236" s="10">
        <v>78.47</v>
      </c>
      <c r="R1236" s="10">
        <v>77.790000000000006</v>
      </c>
      <c r="S1236" s="10">
        <v>77.14</v>
      </c>
      <c r="T1236" s="10">
        <v>76.510000000000005</v>
      </c>
      <c r="U1236" s="10">
        <v>75.89</v>
      </c>
      <c r="V1236" s="10">
        <v>75.239999999999995</v>
      </c>
      <c r="W1236" s="10">
        <v>74.58</v>
      </c>
      <c r="X1236" s="10">
        <v>73.92</v>
      </c>
      <c r="Y1236" s="10">
        <v>73.27</v>
      </c>
      <c r="Z1236" s="11">
        <v>80.593999999999994</v>
      </c>
      <c r="AA1236" s="11">
        <v>80.305000000000007</v>
      </c>
      <c r="AB1236" s="11">
        <v>79.314999999999998</v>
      </c>
      <c r="AC1236" s="11">
        <v>78.557000000000002</v>
      </c>
      <c r="AD1236" s="11">
        <v>77.897999999999996</v>
      </c>
      <c r="AE1236" s="11">
        <v>77.352999999999994</v>
      </c>
      <c r="AF1236" s="11">
        <v>76.808999999999997</v>
      </c>
      <c r="AG1236" s="11">
        <v>76.272999999999996</v>
      </c>
      <c r="AH1236" s="11">
        <v>75.703000000000003</v>
      </c>
      <c r="AI1236" s="11">
        <v>75.141999999999996</v>
      </c>
      <c r="AJ1236" s="11">
        <v>74.575999999999993</v>
      </c>
      <c r="AK1236" s="11">
        <v>74.025000000000006</v>
      </c>
      <c r="AL1236" s="11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  <c r="DG1236" s="3"/>
      <c r="DH1236" s="3"/>
      <c r="DI1236" s="3"/>
      <c r="DJ1236" s="3"/>
      <c r="DK1236" s="3"/>
      <c r="DL1236" s="3"/>
      <c r="DM1236" s="3"/>
      <c r="DN1236" s="3"/>
      <c r="DO1236" s="3"/>
      <c r="DP1236" s="3"/>
      <c r="DQ1236" s="3"/>
      <c r="DR1236" s="3"/>
      <c r="DS1236" s="3"/>
      <c r="DT1236" s="3"/>
      <c r="DU1236" s="3"/>
      <c r="DV1236" s="3"/>
      <c r="DW1236" s="3"/>
      <c r="DX1236" s="3"/>
      <c r="DY1236" s="3"/>
      <c r="DZ1236" s="3"/>
      <c r="EA1236" s="3"/>
      <c r="EB1236" s="3"/>
      <c r="EC1236" s="3"/>
      <c r="ED1236" s="3"/>
      <c r="EE1236" s="3"/>
      <c r="EF1236" s="3"/>
      <c r="EG1236" s="3"/>
      <c r="EH1236" s="3"/>
      <c r="EI1236" s="3"/>
      <c r="EJ1236" s="3"/>
      <c r="EK1236" s="3"/>
      <c r="EL1236" s="3"/>
      <c r="EM1236" s="3"/>
      <c r="EN1236" s="3"/>
      <c r="EO1236" s="3"/>
      <c r="EP1236" s="3"/>
      <c r="EQ1236" s="3"/>
    </row>
    <row r="1237" spans="1:147" x14ac:dyDescent="0.3">
      <c r="A1237" s="9">
        <f>DATE(2021, 10, 13)</f>
        <v>44482</v>
      </c>
      <c r="B1237" s="10">
        <v>83.18</v>
      </c>
      <c r="C1237" s="10">
        <v>82.56</v>
      </c>
      <c r="D1237" s="10">
        <v>81.83</v>
      </c>
      <c r="E1237" s="10">
        <v>81.099999999999994</v>
      </c>
      <c r="F1237" s="10">
        <v>80.430000000000007</v>
      </c>
      <c r="G1237" s="10">
        <v>79.81</v>
      </c>
      <c r="H1237" s="10">
        <v>79.22</v>
      </c>
      <c r="I1237" s="10">
        <v>78.62</v>
      </c>
      <c r="J1237" s="10">
        <v>78.040000000000006</v>
      </c>
      <c r="K1237" s="10">
        <v>77.47</v>
      </c>
      <c r="L1237" s="10">
        <v>76.89</v>
      </c>
      <c r="M1237" s="10">
        <v>76.349999999999994</v>
      </c>
      <c r="N1237" s="10">
        <v>80.44</v>
      </c>
      <c r="O1237" s="10">
        <v>79.819999999999993</v>
      </c>
      <c r="P1237" s="10">
        <v>79.12</v>
      </c>
      <c r="Q1237" s="10">
        <v>78.38</v>
      </c>
      <c r="R1237" s="10">
        <v>77.709999999999994</v>
      </c>
      <c r="S1237" s="10">
        <v>77.069999999999993</v>
      </c>
      <c r="T1237" s="10">
        <v>76.459999999999994</v>
      </c>
      <c r="U1237" s="10">
        <v>75.86</v>
      </c>
      <c r="V1237" s="10">
        <v>75.23</v>
      </c>
      <c r="W1237" s="10">
        <v>74.58</v>
      </c>
      <c r="X1237" s="10">
        <v>73.94</v>
      </c>
      <c r="Y1237" s="10">
        <v>73.3</v>
      </c>
      <c r="Z1237" s="11">
        <v>80.552999999999997</v>
      </c>
      <c r="AA1237" s="11">
        <v>80.146000000000001</v>
      </c>
      <c r="AB1237" s="11">
        <v>79.156999999999996</v>
      </c>
      <c r="AC1237" s="11">
        <v>78.396000000000001</v>
      </c>
      <c r="AD1237" s="11">
        <v>77.756</v>
      </c>
      <c r="AE1237" s="11">
        <v>77.233999999999995</v>
      </c>
      <c r="AF1237" s="11">
        <v>76.721000000000004</v>
      </c>
      <c r="AG1237" s="11">
        <v>76.204999999999998</v>
      </c>
      <c r="AH1237" s="11">
        <v>75.674999999999997</v>
      </c>
      <c r="AI1237" s="11">
        <v>75.122</v>
      </c>
      <c r="AJ1237" s="11">
        <v>74.576999999999998</v>
      </c>
      <c r="AK1237" s="11">
        <v>74.034999999999997</v>
      </c>
      <c r="AL1237" s="11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3"/>
      <c r="CK1237" s="3"/>
      <c r="CL1237" s="3"/>
      <c r="CM1237" s="3"/>
      <c r="CN1237" s="3"/>
      <c r="CO1237" s="3"/>
      <c r="CP1237" s="3"/>
      <c r="CQ1237" s="3"/>
      <c r="CR1237" s="3"/>
      <c r="CS1237" s="3"/>
      <c r="CT1237" s="3"/>
      <c r="CU1237" s="3"/>
      <c r="CV1237" s="3"/>
      <c r="CW1237" s="3"/>
      <c r="CX1237" s="3"/>
      <c r="CY1237" s="3"/>
      <c r="CZ1237" s="3"/>
      <c r="DA1237" s="3"/>
      <c r="DB1237" s="3"/>
      <c r="DC1237" s="3"/>
      <c r="DD1237" s="3"/>
      <c r="DE1237" s="3"/>
      <c r="DF1237" s="3"/>
      <c r="DG1237" s="3"/>
      <c r="DH1237" s="3"/>
      <c r="DI1237" s="3"/>
      <c r="DJ1237" s="3"/>
      <c r="DK1237" s="3"/>
      <c r="DL1237" s="3"/>
      <c r="DM1237" s="3"/>
      <c r="DN1237" s="3"/>
      <c r="DO1237" s="3"/>
      <c r="DP1237" s="3"/>
      <c r="DQ1237" s="3"/>
      <c r="DR1237" s="3"/>
      <c r="DS1237" s="3"/>
      <c r="DT1237" s="3"/>
      <c r="DU1237" s="3"/>
      <c r="DV1237" s="3"/>
      <c r="DW1237" s="3"/>
      <c r="DX1237" s="3"/>
      <c r="DY1237" s="3"/>
      <c r="DZ1237" s="3"/>
      <c r="EA1237" s="3"/>
      <c r="EB1237" s="3"/>
      <c r="EC1237" s="3"/>
      <c r="ED1237" s="3"/>
      <c r="EE1237" s="3"/>
      <c r="EF1237" s="3"/>
      <c r="EG1237" s="3"/>
      <c r="EH1237" s="3"/>
      <c r="EI1237" s="3"/>
      <c r="EJ1237" s="3"/>
      <c r="EK1237" s="3"/>
      <c r="EL1237" s="3"/>
      <c r="EM1237" s="3"/>
      <c r="EN1237" s="3"/>
      <c r="EO1237" s="3"/>
      <c r="EP1237" s="3"/>
      <c r="EQ1237" s="3"/>
    </row>
    <row r="1238" spans="1:147" x14ac:dyDescent="0.3">
      <c r="A1238" s="9">
        <f>DATE(2021, 10, 14)</f>
        <v>44483</v>
      </c>
      <c r="B1238" s="10">
        <v>84</v>
      </c>
      <c r="C1238" s="10">
        <v>83.34</v>
      </c>
      <c r="D1238" s="10">
        <v>82.56</v>
      </c>
      <c r="E1238" s="10">
        <v>81.78</v>
      </c>
      <c r="F1238" s="10">
        <v>81.069999999999993</v>
      </c>
      <c r="G1238" s="10">
        <v>80.430000000000007</v>
      </c>
      <c r="H1238" s="10">
        <v>79.81</v>
      </c>
      <c r="I1238" s="10">
        <v>79.180000000000007</v>
      </c>
      <c r="J1238" s="10">
        <v>78.59</v>
      </c>
      <c r="K1238" s="10">
        <v>78</v>
      </c>
      <c r="L1238" s="10">
        <v>77.41</v>
      </c>
      <c r="M1238" s="10">
        <v>76.849999999999994</v>
      </c>
      <c r="N1238" s="10">
        <v>81.31</v>
      </c>
      <c r="O1238" s="10">
        <v>80.77</v>
      </c>
      <c r="P1238" s="10">
        <v>80.05</v>
      </c>
      <c r="Q1238" s="10">
        <v>79.27</v>
      </c>
      <c r="R1238" s="10">
        <v>78.53</v>
      </c>
      <c r="S1238" s="10">
        <v>77.83</v>
      </c>
      <c r="T1238" s="10">
        <v>77.16</v>
      </c>
      <c r="U1238" s="10">
        <v>76.510000000000005</v>
      </c>
      <c r="V1238" s="10">
        <v>75.849999999999994</v>
      </c>
      <c r="W1238" s="10">
        <v>75.17</v>
      </c>
      <c r="X1238" s="10">
        <v>74.5</v>
      </c>
      <c r="Y1238" s="10">
        <v>73.84</v>
      </c>
      <c r="Z1238" s="11">
        <v>81.040999999999997</v>
      </c>
      <c r="AA1238" s="11">
        <v>80.965000000000003</v>
      </c>
      <c r="AB1238" s="11">
        <v>79.941999999999993</v>
      </c>
      <c r="AC1238" s="11">
        <v>79.135999999999996</v>
      </c>
      <c r="AD1238" s="11">
        <v>78.457999999999998</v>
      </c>
      <c r="AE1238" s="11">
        <v>77.903000000000006</v>
      </c>
      <c r="AF1238" s="11">
        <v>77.349000000000004</v>
      </c>
      <c r="AG1238" s="11">
        <v>76.772999999999996</v>
      </c>
      <c r="AH1238" s="11">
        <v>76.212999999999994</v>
      </c>
      <c r="AI1238" s="11">
        <v>75.652000000000001</v>
      </c>
      <c r="AJ1238" s="11">
        <v>75.085999999999999</v>
      </c>
      <c r="AK1238" s="11">
        <v>74.534999999999997</v>
      </c>
      <c r="AL1238" s="11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  <c r="DG1238" s="3"/>
      <c r="DH1238" s="3"/>
      <c r="DI1238" s="3"/>
      <c r="DJ1238" s="3"/>
      <c r="DK1238" s="3"/>
      <c r="DL1238" s="3"/>
      <c r="DM1238" s="3"/>
      <c r="DN1238" s="3"/>
      <c r="DO1238" s="3"/>
      <c r="DP1238" s="3"/>
      <c r="DQ1238" s="3"/>
      <c r="DR1238" s="3"/>
      <c r="DS1238" s="3"/>
      <c r="DT1238" s="3"/>
      <c r="DU1238" s="3"/>
      <c r="DV1238" s="3"/>
      <c r="DW1238" s="3"/>
      <c r="DX1238" s="3"/>
      <c r="DY1238" s="3"/>
      <c r="DZ1238" s="3"/>
      <c r="EA1238" s="3"/>
      <c r="EB1238" s="3"/>
      <c r="EC1238" s="3"/>
      <c r="ED1238" s="3"/>
      <c r="EE1238" s="3"/>
      <c r="EF1238" s="3"/>
      <c r="EG1238" s="3"/>
      <c r="EH1238" s="3"/>
      <c r="EI1238" s="3"/>
      <c r="EJ1238" s="3"/>
      <c r="EK1238" s="3"/>
      <c r="EL1238" s="3"/>
      <c r="EM1238" s="3"/>
      <c r="EN1238" s="3"/>
      <c r="EO1238" s="3"/>
      <c r="EP1238" s="3"/>
      <c r="EQ1238" s="3"/>
    </row>
    <row r="1239" spans="1:147" x14ac:dyDescent="0.3">
      <c r="A1239" s="9">
        <f>DATE(2021, 10, 15)</f>
        <v>44484</v>
      </c>
      <c r="B1239" s="10">
        <v>84.86</v>
      </c>
      <c r="C1239" s="10">
        <v>84.15</v>
      </c>
      <c r="D1239" s="10">
        <v>83.3</v>
      </c>
      <c r="E1239" s="10">
        <v>82.47</v>
      </c>
      <c r="F1239" s="10">
        <v>81.709999999999994</v>
      </c>
      <c r="G1239" s="10">
        <v>81.010000000000005</v>
      </c>
      <c r="H1239" s="10">
        <v>80.34</v>
      </c>
      <c r="I1239" s="10">
        <v>79.680000000000007</v>
      </c>
      <c r="J1239" s="10">
        <v>79.040000000000006</v>
      </c>
      <c r="K1239" s="10">
        <v>78.400000000000006</v>
      </c>
      <c r="L1239" s="10">
        <v>77.77</v>
      </c>
      <c r="M1239" s="10">
        <v>77.17</v>
      </c>
      <c r="N1239" s="10">
        <v>82.28</v>
      </c>
      <c r="O1239" s="10">
        <v>81.73</v>
      </c>
      <c r="P1239" s="10">
        <v>80.88</v>
      </c>
      <c r="Q1239" s="10">
        <v>79.97</v>
      </c>
      <c r="R1239" s="10">
        <v>79.13</v>
      </c>
      <c r="S1239" s="10">
        <v>78.349999999999994</v>
      </c>
      <c r="T1239" s="10">
        <v>77.63</v>
      </c>
      <c r="U1239" s="10">
        <v>76.930000000000007</v>
      </c>
      <c r="V1239" s="10">
        <v>76.22</v>
      </c>
      <c r="W1239" s="10">
        <v>75.5</v>
      </c>
      <c r="X1239" s="10">
        <v>74.790000000000006</v>
      </c>
      <c r="Y1239" s="10">
        <v>74.09</v>
      </c>
      <c r="Z1239" s="11">
        <v>81.516999999999996</v>
      </c>
      <c r="AA1239" s="11">
        <v>81.870999999999995</v>
      </c>
      <c r="AB1239" s="11">
        <v>80.787999999999997</v>
      </c>
      <c r="AC1239" s="11">
        <v>79.903999999999996</v>
      </c>
      <c r="AD1239" s="11">
        <v>79.185000000000002</v>
      </c>
      <c r="AE1239" s="11">
        <v>78.590999999999994</v>
      </c>
      <c r="AF1239" s="11">
        <v>77.997</v>
      </c>
      <c r="AG1239" s="11">
        <v>77.340999999999994</v>
      </c>
      <c r="AH1239" s="11">
        <v>76.710999999999999</v>
      </c>
      <c r="AI1239" s="11">
        <v>76.08</v>
      </c>
      <c r="AJ1239" s="11">
        <v>75.463999999999999</v>
      </c>
      <c r="AK1239" s="11">
        <v>74.873000000000005</v>
      </c>
      <c r="AL1239" s="11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3"/>
      <c r="CK1239" s="3"/>
      <c r="CL1239" s="3"/>
      <c r="CM1239" s="3"/>
      <c r="CN1239" s="3"/>
      <c r="CO1239" s="3"/>
      <c r="CP1239" s="3"/>
      <c r="CQ1239" s="3"/>
      <c r="CR1239" s="3"/>
      <c r="CS1239" s="3"/>
      <c r="CT1239" s="3"/>
      <c r="CU1239" s="3"/>
      <c r="CV1239" s="3"/>
      <c r="CW1239" s="3"/>
      <c r="CX1239" s="3"/>
      <c r="CY1239" s="3"/>
      <c r="CZ1239" s="3"/>
      <c r="DA1239" s="3"/>
      <c r="DB1239" s="3"/>
      <c r="DC1239" s="3"/>
      <c r="DD1239" s="3"/>
      <c r="DE1239" s="3"/>
      <c r="DF1239" s="3"/>
      <c r="DG1239" s="3"/>
      <c r="DH1239" s="3"/>
      <c r="DI1239" s="3"/>
      <c r="DJ1239" s="3"/>
      <c r="DK1239" s="3"/>
      <c r="DL1239" s="3"/>
      <c r="DM1239" s="3"/>
      <c r="DN1239" s="3"/>
      <c r="DO1239" s="3"/>
      <c r="DP1239" s="3"/>
      <c r="DQ1239" s="3"/>
      <c r="DR1239" s="3"/>
      <c r="DS1239" s="3"/>
      <c r="DT1239" s="3"/>
      <c r="DU1239" s="3"/>
      <c r="DV1239" s="3"/>
      <c r="DW1239" s="3"/>
      <c r="DX1239" s="3"/>
      <c r="DY1239" s="3"/>
      <c r="DZ1239" s="3"/>
      <c r="EA1239" s="3"/>
      <c r="EB1239" s="3"/>
      <c r="EC1239" s="3"/>
      <c r="ED1239" s="3"/>
      <c r="EE1239" s="3"/>
      <c r="EF1239" s="3"/>
      <c r="EG1239" s="3"/>
      <c r="EH1239" s="3"/>
      <c r="EI1239" s="3"/>
      <c r="EJ1239" s="3"/>
      <c r="EK1239" s="3"/>
      <c r="EL1239" s="3"/>
      <c r="EM1239" s="3"/>
      <c r="EN1239" s="3"/>
      <c r="EO1239" s="3"/>
      <c r="EP1239" s="3"/>
      <c r="EQ1239" s="3"/>
    </row>
    <row r="1240" spans="1:147" x14ac:dyDescent="0.3">
      <c r="A1240" s="9">
        <f>DATE(2021, 10, 18)</f>
        <v>44487</v>
      </c>
      <c r="B1240" s="10">
        <v>84.33</v>
      </c>
      <c r="C1240" s="10">
        <v>83.66</v>
      </c>
      <c r="D1240" s="10">
        <v>82.84</v>
      </c>
      <c r="E1240" s="10">
        <v>82.03</v>
      </c>
      <c r="F1240" s="10">
        <v>81.28</v>
      </c>
      <c r="G1240" s="10">
        <v>80.569999999999993</v>
      </c>
      <c r="H1240" s="10">
        <v>79.89</v>
      </c>
      <c r="I1240" s="10">
        <v>79.209999999999994</v>
      </c>
      <c r="J1240" s="10">
        <v>78.569999999999993</v>
      </c>
      <c r="K1240" s="10">
        <v>77.930000000000007</v>
      </c>
      <c r="L1240" s="10">
        <v>77.3</v>
      </c>
      <c r="M1240" s="10">
        <v>76.69</v>
      </c>
      <c r="N1240" s="10">
        <v>82.44</v>
      </c>
      <c r="O1240" s="10">
        <v>81.69</v>
      </c>
      <c r="P1240" s="10">
        <v>80.739999999999995</v>
      </c>
      <c r="Q1240" s="10">
        <v>79.760000000000005</v>
      </c>
      <c r="R1240" s="10">
        <v>78.86</v>
      </c>
      <c r="S1240" s="10">
        <v>78.05</v>
      </c>
      <c r="T1240" s="10">
        <v>77.31</v>
      </c>
      <c r="U1240" s="10">
        <v>76.61</v>
      </c>
      <c r="V1240" s="10">
        <v>75.88</v>
      </c>
      <c r="W1240" s="10">
        <v>75.150000000000006</v>
      </c>
      <c r="X1240" s="10">
        <v>74.45</v>
      </c>
      <c r="Y1240" s="10">
        <v>73.75</v>
      </c>
      <c r="Z1240" s="11">
        <v>81.316000000000003</v>
      </c>
      <c r="AA1240" s="11">
        <v>81.302999999999997</v>
      </c>
      <c r="AB1240" s="11">
        <v>80.260000000000005</v>
      </c>
      <c r="AC1240" s="11">
        <v>79.414000000000001</v>
      </c>
      <c r="AD1240" s="11">
        <v>78.715000000000003</v>
      </c>
      <c r="AE1240" s="11">
        <v>78.11</v>
      </c>
      <c r="AF1240" s="11">
        <v>77.495999999999995</v>
      </c>
      <c r="AG1240" s="11">
        <v>76.861000000000004</v>
      </c>
      <c r="AH1240" s="11">
        <v>76.230999999999995</v>
      </c>
      <c r="AI1240" s="11">
        <v>75.61</v>
      </c>
      <c r="AJ1240" s="11">
        <v>74.992999999999995</v>
      </c>
      <c r="AK1240" s="11">
        <v>74.393000000000001</v>
      </c>
      <c r="AL1240" s="11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3"/>
      <c r="CK1240" s="3"/>
      <c r="CL1240" s="3"/>
      <c r="CM1240" s="3"/>
      <c r="CN1240" s="3"/>
      <c r="CO1240" s="3"/>
      <c r="CP1240" s="3"/>
      <c r="CQ1240" s="3"/>
      <c r="CR1240" s="3"/>
      <c r="CS1240" s="3"/>
      <c r="CT1240" s="3"/>
      <c r="CU1240" s="3"/>
      <c r="CV1240" s="3"/>
      <c r="CW1240" s="3"/>
      <c r="CX1240" s="3"/>
      <c r="CY1240" s="3"/>
      <c r="CZ1240" s="3"/>
      <c r="DA1240" s="3"/>
      <c r="DB1240" s="3"/>
      <c r="DC1240" s="3"/>
      <c r="DD1240" s="3"/>
      <c r="DE1240" s="3"/>
      <c r="DF1240" s="3"/>
      <c r="DG1240" s="3"/>
      <c r="DH1240" s="3"/>
      <c r="DI1240" s="3"/>
      <c r="DJ1240" s="3"/>
      <c r="DK1240" s="3"/>
      <c r="DL1240" s="3"/>
      <c r="DM1240" s="3"/>
      <c r="DN1240" s="3"/>
      <c r="DO1240" s="3"/>
      <c r="DP1240" s="3"/>
      <c r="DQ1240" s="3"/>
      <c r="DR1240" s="3"/>
      <c r="DS1240" s="3"/>
      <c r="DT1240" s="3"/>
      <c r="DU1240" s="3"/>
      <c r="DV1240" s="3"/>
      <c r="DW1240" s="3"/>
      <c r="DX1240" s="3"/>
      <c r="DY1240" s="3"/>
      <c r="DZ1240" s="3"/>
      <c r="EA1240" s="3"/>
      <c r="EB1240" s="3"/>
      <c r="EC1240" s="3"/>
      <c r="ED1240" s="3"/>
      <c r="EE1240" s="3"/>
      <c r="EF1240" s="3"/>
      <c r="EG1240" s="3"/>
      <c r="EH1240" s="3"/>
      <c r="EI1240" s="3"/>
      <c r="EJ1240" s="3"/>
      <c r="EK1240" s="3"/>
      <c r="EL1240" s="3"/>
      <c r="EM1240" s="3"/>
      <c r="EN1240" s="3"/>
      <c r="EO1240" s="3"/>
      <c r="EP1240" s="3"/>
      <c r="EQ1240" s="3"/>
    </row>
    <row r="1241" spans="1:147" x14ac:dyDescent="0.3">
      <c r="A1241" s="9">
        <f>DATE(2021, 10, 19)</f>
        <v>44488</v>
      </c>
      <c r="B1241" s="10">
        <v>85.08</v>
      </c>
      <c r="C1241" s="10">
        <v>84.36</v>
      </c>
      <c r="D1241" s="10">
        <v>83.49</v>
      </c>
      <c r="E1241" s="10">
        <v>82.65</v>
      </c>
      <c r="F1241" s="10">
        <v>81.87</v>
      </c>
      <c r="G1241" s="10">
        <v>81.13</v>
      </c>
      <c r="H1241" s="10">
        <v>80.42</v>
      </c>
      <c r="I1241" s="10">
        <v>79.72</v>
      </c>
      <c r="J1241" s="10">
        <v>79.06</v>
      </c>
      <c r="K1241" s="10">
        <v>78.39</v>
      </c>
      <c r="L1241" s="10">
        <v>77.739999999999995</v>
      </c>
      <c r="M1241" s="10">
        <v>77.11</v>
      </c>
      <c r="N1241" s="10">
        <v>82.96</v>
      </c>
      <c r="O1241" s="10">
        <v>82.44</v>
      </c>
      <c r="P1241" s="10">
        <v>81.5</v>
      </c>
      <c r="Q1241" s="10">
        <v>80.45</v>
      </c>
      <c r="R1241" s="10">
        <v>79.459999999999994</v>
      </c>
      <c r="S1241" s="10">
        <v>78.569999999999993</v>
      </c>
      <c r="T1241" s="10">
        <v>77.77</v>
      </c>
      <c r="U1241" s="10">
        <v>77.02</v>
      </c>
      <c r="V1241" s="10">
        <v>76.260000000000005</v>
      </c>
      <c r="W1241" s="10">
        <v>75.510000000000005</v>
      </c>
      <c r="X1241" s="10">
        <v>74.790000000000006</v>
      </c>
      <c r="Y1241" s="10">
        <v>74.069999999999993</v>
      </c>
      <c r="Z1241" s="11">
        <v>81.593999999999994</v>
      </c>
      <c r="AA1241" s="11">
        <v>81.960999999999999</v>
      </c>
      <c r="AB1241" s="11">
        <v>80.897000000000006</v>
      </c>
      <c r="AC1241" s="11">
        <v>80.022999999999996</v>
      </c>
      <c r="AD1241" s="11">
        <v>79.298000000000002</v>
      </c>
      <c r="AE1241" s="11">
        <v>78.649000000000001</v>
      </c>
      <c r="AF1241" s="11">
        <v>78.031000000000006</v>
      </c>
      <c r="AG1241" s="11">
        <v>77.38</v>
      </c>
      <c r="AH1241" s="11">
        <v>76.72</v>
      </c>
      <c r="AI1241" s="11">
        <v>76.069000000000003</v>
      </c>
      <c r="AJ1241" s="11">
        <v>75.433000000000007</v>
      </c>
      <c r="AK1241" s="11">
        <v>74.811999999999998</v>
      </c>
      <c r="AL1241" s="11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3"/>
      <c r="CK1241" s="3"/>
      <c r="CL1241" s="3"/>
      <c r="CM1241" s="3"/>
      <c r="CN1241" s="3"/>
      <c r="CO1241" s="3"/>
      <c r="CP1241" s="3"/>
      <c r="CQ1241" s="3"/>
      <c r="CR1241" s="3"/>
      <c r="CS1241" s="3"/>
      <c r="CT1241" s="3"/>
      <c r="CU1241" s="3"/>
      <c r="CV1241" s="3"/>
      <c r="CW1241" s="3"/>
      <c r="CX1241" s="3"/>
      <c r="CY1241" s="3"/>
      <c r="CZ1241" s="3"/>
      <c r="DA1241" s="3"/>
      <c r="DB1241" s="3"/>
      <c r="DC1241" s="3"/>
      <c r="DD1241" s="3"/>
      <c r="DE1241" s="3"/>
      <c r="DF1241" s="3"/>
      <c r="DG1241" s="3"/>
      <c r="DH1241" s="3"/>
      <c r="DI1241" s="3"/>
      <c r="DJ1241" s="3"/>
      <c r="DK1241" s="3"/>
      <c r="DL1241" s="3"/>
      <c r="DM1241" s="3"/>
      <c r="DN1241" s="3"/>
      <c r="DO1241" s="3"/>
      <c r="DP1241" s="3"/>
      <c r="DQ1241" s="3"/>
      <c r="DR1241" s="3"/>
      <c r="DS1241" s="3"/>
      <c r="DT1241" s="3"/>
      <c r="DU1241" s="3"/>
      <c r="DV1241" s="3"/>
      <c r="DW1241" s="3"/>
      <c r="DX1241" s="3"/>
      <c r="DY1241" s="3"/>
      <c r="DZ1241" s="3"/>
      <c r="EA1241" s="3"/>
      <c r="EB1241" s="3"/>
      <c r="EC1241" s="3"/>
      <c r="ED1241" s="3"/>
      <c r="EE1241" s="3"/>
      <c r="EF1241" s="3"/>
      <c r="EG1241" s="3"/>
      <c r="EH1241" s="3"/>
      <c r="EI1241" s="3"/>
      <c r="EJ1241" s="3"/>
      <c r="EK1241" s="3"/>
      <c r="EL1241" s="3"/>
      <c r="EM1241" s="3"/>
      <c r="EN1241" s="3"/>
      <c r="EO1241" s="3"/>
      <c r="EP1241" s="3"/>
      <c r="EQ1241" s="3"/>
    </row>
    <row r="1242" spans="1:147" x14ac:dyDescent="0.3">
      <c r="A1242" s="9">
        <f>DATE(2021, 10, 20)</f>
        <v>44489</v>
      </c>
      <c r="B1242" s="10">
        <v>85.82</v>
      </c>
      <c r="C1242" s="10">
        <v>85.15</v>
      </c>
      <c r="D1242" s="10">
        <v>84.28</v>
      </c>
      <c r="E1242" s="10">
        <v>83.44</v>
      </c>
      <c r="F1242" s="10">
        <v>82.66</v>
      </c>
      <c r="G1242" s="10">
        <v>81.93</v>
      </c>
      <c r="H1242" s="10">
        <v>81.22</v>
      </c>
      <c r="I1242" s="10">
        <v>80.53</v>
      </c>
      <c r="J1242" s="10">
        <v>79.86</v>
      </c>
      <c r="K1242" s="10">
        <v>79.19</v>
      </c>
      <c r="L1242" s="10">
        <v>78.540000000000006</v>
      </c>
      <c r="M1242" s="10">
        <v>77.91</v>
      </c>
      <c r="N1242" s="10">
        <v>83.87</v>
      </c>
      <c r="O1242" s="10">
        <v>83.42</v>
      </c>
      <c r="P1242" s="10">
        <v>82.38</v>
      </c>
      <c r="Q1242" s="10">
        <v>81.290000000000006</v>
      </c>
      <c r="R1242" s="10">
        <v>80.3</v>
      </c>
      <c r="S1242" s="10">
        <v>79.400000000000006</v>
      </c>
      <c r="T1242" s="10">
        <v>78.58</v>
      </c>
      <c r="U1242" s="10">
        <v>77.83</v>
      </c>
      <c r="V1242" s="10">
        <v>77.069999999999993</v>
      </c>
      <c r="W1242" s="10">
        <v>76.319999999999993</v>
      </c>
      <c r="X1242" s="10">
        <v>75.59</v>
      </c>
      <c r="Y1242" s="10">
        <v>74.88</v>
      </c>
      <c r="Z1242" s="11">
        <v>81.849000000000004</v>
      </c>
      <c r="AA1242" s="11">
        <v>82.7</v>
      </c>
      <c r="AB1242" s="11">
        <v>81.647000000000006</v>
      </c>
      <c r="AC1242" s="11">
        <v>80.763000000000005</v>
      </c>
      <c r="AD1242" s="11">
        <v>80.043999999999997</v>
      </c>
      <c r="AE1242" s="11">
        <v>79.399000000000001</v>
      </c>
      <c r="AF1242" s="11">
        <v>78.796000000000006</v>
      </c>
      <c r="AG1242" s="11">
        <v>78.150000000000006</v>
      </c>
      <c r="AH1242" s="11">
        <v>77.510000000000005</v>
      </c>
      <c r="AI1242" s="11">
        <v>76.869</v>
      </c>
      <c r="AJ1242" s="11">
        <v>76.233000000000004</v>
      </c>
      <c r="AK1242" s="11">
        <v>75.613</v>
      </c>
      <c r="AL1242" s="11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/>
      <c r="CU1242" s="3"/>
      <c r="CV1242" s="3"/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  <c r="DG1242" s="3"/>
      <c r="DH1242" s="3"/>
      <c r="DI1242" s="3"/>
      <c r="DJ1242" s="3"/>
      <c r="DK1242" s="3"/>
      <c r="DL1242" s="3"/>
      <c r="DM1242" s="3"/>
      <c r="DN1242" s="3"/>
      <c r="DO1242" s="3"/>
      <c r="DP1242" s="3"/>
      <c r="DQ1242" s="3"/>
      <c r="DR1242" s="3"/>
      <c r="DS1242" s="3"/>
      <c r="DT1242" s="3"/>
      <c r="DU1242" s="3"/>
      <c r="DV1242" s="3"/>
      <c r="DW1242" s="3"/>
      <c r="DX1242" s="3"/>
      <c r="DY1242" s="3"/>
      <c r="DZ1242" s="3"/>
      <c r="EA1242" s="3"/>
      <c r="EB1242" s="3"/>
      <c r="EC1242" s="3"/>
      <c r="ED1242" s="3"/>
      <c r="EE1242" s="3"/>
      <c r="EF1242" s="3"/>
      <c r="EG1242" s="3"/>
      <c r="EH1242" s="3"/>
      <c r="EI1242" s="3"/>
      <c r="EJ1242" s="3"/>
      <c r="EK1242" s="3"/>
      <c r="EL1242" s="3"/>
      <c r="EM1242" s="3"/>
      <c r="EN1242" s="3"/>
      <c r="EO1242" s="3"/>
      <c r="EP1242" s="3"/>
      <c r="EQ1242" s="3"/>
    </row>
    <row r="1243" spans="1:147" x14ac:dyDescent="0.3">
      <c r="A1243" s="9">
        <f>DATE(2021, 10, 21)</f>
        <v>44490</v>
      </c>
      <c r="B1243" s="10">
        <v>84.61</v>
      </c>
      <c r="C1243" s="10">
        <v>83.93</v>
      </c>
      <c r="D1243" s="10">
        <v>83.03</v>
      </c>
      <c r="E1243" s="10">
        <v>82.16</v>
      </c>
      <c r="F1243" s="10">
        <v>81.37</v>
      </c>
      <c r="G1243" s="10">
        <v>80.63</v>
      </c>
      <c r="H1243" s="10">
        <v>79.91</v>
      </c>
      <c r="I1243" s="10">
        <v>79.22</v>
      </c>
      <c r="J1243" s="10">
        <v>78.56</v>
      </c>
      <c r="K1243" s="10">
        <v>77.89</v>
      </c>
      <c r="L1243" s="10">
        <v>77.25</v>
      </c>
      <c r="M1243" s="10">
        <v>76.64</v>
      </c>
      <c r="N1243" s="10">
        <v>82.5</v>
      </c>
      <c r="O1243" s="10">
        <v>81.36</v>
      </c>
      <c r="P1243" s="10">
        <v>80.13</v>
      </c>
      <c r="Q1243" s="10">
        <v>79.02</v>
      </c>
      <c r="R1243" s="10">
        <v>78.040000000000006</v>
      </c>
      <c r="S1243" s="10">
        <v>77.180000000000007</v>
      </c>
      <c r="T1243" s="10">
        <v>76.38</v>
      </c>
      <c r="U1243" s="10">
        <v>75.599999999999994</v>
      </c>
      <c r="V1243" s="10">
        <v>74.849999999999994</v>
      </c>
      <c r="W1243" s="10">
        <v>74.14</v>
      </c>
      <c r="X1243" s="10">
        <v>73.45</v>
      </c>
      <c r="Y1243" s="10">
        <v>72.8</v>
      </c>
      <c r="Z1243" s="11">
        <v>81.453999999999994</v>
      </c>
      <c r="AA1243" s="11">
        <v>81.468999999999994</v>
      </c>
      <c r="AB1243" s="11">
        <v>80.403999999999996</v>
      </c>
      <c r="AC1243" s="11">
        <v>79.501999999999995</v>
      </c>
      <c r="AD1243" s="11">
        <v>78.772999999999996</v>
      </c>
      <c r="AE1243" s="11">
        <v>78.149000000000001</v>
      </c>
      <c r="AF1243" s="11">
        <v>77.525999999999996</v>
      </c>
      <c r="AG1243" s="11">
        <v>76.89</v>
      </c>
      <c r="AH1243" s="11">
        <v>76.23</v>
      </c>
      <c r="AI1243" s="11">
        <v>75.569999999999993</v>
      </c>
      <c r="AJ1243" s="11">
        <v>74.912999999999997</v>
      </c>
      <c r="AK1243" s="11">
        <v>74.311999999999998</v>
      </c>
      <c r="AL1243" s="11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3"/>
      <c r="CK1243" s="3"/>
      <c r="CL1243" s="3"/>
      <c r="CM1243" s="3"/>
      <c r="CN1243" s="3"/>
      <c r="CO1243" s="3"/>
      <c r="CP1243" s="3"/>
      <c r="CQ1243" s="3"/>
      <c r="CR1243" s="3"/>
      <c r="CS1243" s="3"/>
      <c r="CT1243" s="3"/>
      <c r="CU1243" s="3"/>
      <c r="CV1243" s="3"/>
      <c r="CW1243" s="3"/>
      <c r="CX1243" s="3"/>
      <c r="CY1243" s="3"/>
      <c r="CZ1243" s="3"/>
      <c r="DA1243" s="3"/>
      <c r="DB1243" s="3"/>
      <c r="DC1243" s="3"/>
      <c r="DD1243" s="3"/>
      <c r="DE1243" s="3"/>
      <c r="DF1243" s="3"/>
      <c r="DG1243" s="3"/>
      <c r="DH1243" s="3"/>
      <c r="DI1243" s="3"/>
      <c r="DJ1243" s="3"/>
      <c r="DK1243" s="3"/>
      <c r="DL1243" s="3"/>
      <c r="DM1243" s="3"/>
      <c r="DN1243" s="3"/>
      <c r="DO1243" s="3"/>
      <c r="DP1243" s="3"/>
      <c r="DQ1243" s="3"/>
      <c r="DR1243" s="3"/>
      <c r="DS1243" s="3"/>
      <c r="DT1243" s="3"/>
      <c r="DU1243" s="3"/>
      <c r="DV1243" s="3"/>
      <c r="DW1243" s="3"/>
      <c r="DX1243" s="3"/>
      <c r="DY1243" s="3"/>
      <c r="DZ1243" s="3"/>
      <c r="EA1243" s="3"/>
      <c r="EB1243" s="3"/>
      <c r="EC1243" s="3"/>
      <c r="ED1243" s="3"/>
      <c r="EE1243" s="3"/>
      <c r="EF1243" s="3"/>
      <c r="EG1243" s="3"/>
      <c r="EH1243" s="3"/>
      <c r="EI1243" s="3"/>
      <c r="EJ1243" s="3"/>
      <c r="EK1243" s="3"/>
      <c r="EL1243" s="3"/>
      <c r="EM1243" s="3"/>
      <c r="EN1243" s="3"/>
      <c r="EO1243" s="3"/>
      <c r="EP1243" s="3"/>
      <c r="EQ1243" s="3"/>
    </row>
    <row r="1244" spans="1:147" x14ac:dyDescent="0.3">
      <c r="A1244" s="9">
        <f>DATE(2021, 10, 22)</f>
        <v>44491</v>
      </c>
      <c r="B1244" s="10">
        <v>85.53</v>
      </c>
      <c r="C1244" s="10">
        <v>84.64</v>
      </c>
      <c r="D1244" s="10">
        <v>83.57</v>
      </c>
      <c r="E1244" s="10">
        <v>82.59</v>
      </c>
      <c r="F1244" s="10">
        <v>81.69</v>
      </c>
      <c r="G1244" s="10">
        <v>80.87</v>
      </c>
      <c r="H1244" s="10">
        <v>80.09</v>
      </c>
      <c r="I1244" s="10">
        <v>79.33</v>
      </c>
      <c r="J1244" s="10">
        <v>78.63</v>
      </c>
      <c r="K1244" s="10">
        <v>77.930000000000007</v>
      </c>
      <c r="L1244" s="10">
        <v>77.260000000000005</v>
      </c>
      <c r="M1244" s="10">
        <v>76.62</v>
      </c>
      <c r="N1244" s="10">
        <v>83.76</v>
      </c>
      <c r="O1244" s="10">
        <v>82.5</v>
      </c>
      <c r="P1244" s="10">
        <v>80.98</v>
      </c>
      <c r="Q1244" s="10">
        <v>79.62</v>
      </c>
      <c r="R1244" s="10">
        <v>78.42</v>
      </c>
      <c r="S1244" s="10">
        <v>77.37</v>
      </c>
      <c r="T1244" s="10">
        <v>76.44</v>
      </c>
      <c r="U1244" s="10">
        <v>75.58</v>
      </c>
      <c r="V1244" s="10">
        <v>74.77</v>
      </c>
      <c r="W1244" s="10">
        <v>74.03</v>
      </c>
      <c r="X1244" s="10">
        <v>73.33</v>
      </c>
      <c r="Y1244" s="10">
        <v>72.67</v>
      </c>
      <c r="Z1244" s="11">
        <v>81.596999999999994</v>
      </c>
      <c r="AA1244" s="11">
        <v>82.120999999999995</v>
      </c>
      <c r="AB1244" s="11">
        <v>80.954999999999998</v>
      </c>
      <c r="AC1244" s="11">
        <v>79.948999999999998</v>
      </c>
      <c r="AD1244" s="11">
        <v>79.111000000000004</v>
      </c>
      <c r="AE1244" s="11">
        <v>78.375</v>
      </c>
      <c r="AF1244" s="11">
        <v>77.691999999999993</v>
      </c>
      <c r="AG1244" s="11">
        <v>76.968000000000004</v>
      </c>
      <c r="AH1244" s="11">
        <v>76.268000000000001</v>
      </c>
      <c r="AI1244" s="11">
        <v>75.587999999999994</v>
      </c>
      <c r="AJ1244" s="11">
        <v>74.902000000000001</v>
      </c>
      <c r="AK1244" s="11">
        <v>74.281999999999996</v>
      </c>
      <c r="AL1244" s="11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3"/>
      <c r="CK1244" s="3"/>
      <c r="CL1244" s="3"/>
      <c r="CM1244" s="3"/>
      <c r="CN1244" s="3"/>
      <c r="CO1244" s="3"/>
      <c r="CP1244" s="3"/>
      <c r="CQ1244" s="3"/>
      <c r="CR1244" s="3"/>
      <c r="CS1244" s="3"/>
      <c r="CT1244" s="3"/>
      <c r="CU1244" s="3"/>
      <c r="CV1244" s="3"/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  <c r="DG1244" s="3"/>
      <c r="DH1244" s="3"/>
      <c r="DI1244" s="3"/>
      <c r="DJ1244" s="3"/>
      <c r="DK1244" s="3"/>
      <c r="DL1244" s="3"/>
      <c r="DM1244" s="3"/>
      <c r="DN1244" s="3"/>
      <c r="DO1244" s="3"/>
      <c r="DP1244" s="3"/>
      <c r="DQ1244" s="3"/>
      <c r="DR1244" s="3"/>
      <c r="DS1244" s="3"/>
      <c r="DT1244" s="3"/>
      <c r="DU1244" s="3"/>
      <c r="DV1244" s="3"/>
      <c r="DW1244" s="3"/>
      <c r="DX1244" s="3"/>
      <c r="DY1244" s="3"/>
      <c r="DZ1244" s="3"/>
      <c r="EA1244" s="3"/>
      <c r="EB1244" s="3"/>
      <c r="EC1244" s="3"/>
      <c r="ED1244" s="3"/>
      <c r="EE1244" s="3"/>
      <c r="EF1244" s="3"/>
      <c r="EG1244" s="3"/>
      <c r="EH1244" s="3"/>
      <c r="EI1244" s="3"/>
      <c r="EJ1244" s="3"/>
      <c r="EK1244" s="3"/>
      <c r="EL1244" s="3"/>
      <c r="EM1244" s="3"/>
      <c r="EN1244" s="3"/>
      <c r="EO1244" s="3"/>
      <c r="EP1244" s="3"/>
      <c r="EQ1244" s="3"/>
    </row>
    <row r="1245" spans="1:147" x14ac:dyDescent="0.3">
      <c r="A1245" s="9">
        <f>DATE(2021, 10, 25)</f>
        <v>44494</v>
      </c>
      <c r="B1245" s="10">
        <v>85.99</v>
      </c>
      <c r="C1245" s="10">
        <v>85.17</v>
      </c>
      <c r="D1245" s="10">
        <v>84.09</v>
      </c>
      <c r="E1245" s="10">
        <v>83.08</v>
      </c>
      <c r="F1245" s="10">
        <v>82.17</v>
      </c>
      <c r="G1245" s="10">
        <v>81.349999999999994</v>
      </c>
      <c r="H1245" s="10">
        <v>80.58</v>
      </c>
      <c r="I1245" s="10">
        <v>79.83</v>
      </c>
      <c r="J1245" s="10">
        <v>79.150000000000006</v>
      </c>
      <c r="K1245" s="10">
        <v>78.47</v>
      </c>
      <c r="L1245" s="10">
        <v>77.83</v>
      </c>
      <c r="M1245" s="10">
        <v>77.2</v>
      </c>
      <c r="N1245" s="10">
        <v>83.76</v>
      </c>
      <c r="O1245" s="10">
        <v>82.61</v>
      </c>
      <c r="P1245" s="10">
        <v>81.209999999999994</v>
      </c>
      <c r="Q1245" s="10">
        <v>79.95</v>
      </c>
      <c r="R1245" s="10">
        <v>78.819999999999993</v>
      </c>
      <c r="S1245" s="10">
        <v>77.83</v>
      </c>
      <c r="T1245" s="10">
        <v>76.95</v>
      </c>
      <c r="U1245" s="10">
        <v>76.12</v>
      </c>
      <c r="V1245" s="10">
        <v>75.349999999999994</v>
      </c>
      <c r="W1245" s="10">
        <v>74.64</v>
      </c>
      <c r="X1245" s="10">
        <v>73.959999999999994</v>
      </c>
      <c r="Y1245" s="10">
        <v>73.33</v>
      </c>
      <c r="Z1245" s="11">
        <v>81.778999999999996</v>
      </c>
      <c r="AA1245" s="11">
        <v>82.760999999999996</v>
      </c>
      <c r="AB1245" s="11">
        <v>81.451999999999998</v>
      </c>
      <c r="AC1245" s="11">
        <v>80.406999999999996</v>
      </c>
      <c r="AD1245" s="11">
        <v>79.549000000000007</v>
      </c>
      <c r="AE1245" s="11">
        <v>78.807000000000002</v>
      </c>
      <c r="AF1245" s="11">
        <v>78.102999999999994</v>
      </c>
      <c r="AG1245" s="11">
        <v>77.409000000000006</v>
      </c>
      <c r="AH1245" s="11">
        <v>76.728999999999999</v>
      </c>
      <c r="AI1245" s="11">
        <v>76.069999999999993</v>
      </c>
      <c r="AJ1245" s="11">
        <v>75.442999999999998</v>
      </c>
      <c r="AK1245" s="11">
        <v>74.822999999999993</v>
      </c>
      <c r="AL1245" s="11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  <c r="DP1245" s="3"/>
      <c r="DQ1245" s="3"/>
      <c r="DR1245" s="3"/>
      <c r="DS1245" s="3"/>
      <c r="DT1245" s="3"/>
      <c r="DU1245" s="3"/>
      <c r="DV1245" s="3"/>
      <c r="DW1245" s="3"/>
      <c r="DX1245" s="3"/>
      <c r="DY1245" s="3"/>
      <c r="DZ1245" s="3"/>
      <c r="EA1245" s="3"/>
      <c r="EB1245" s="3"/>
      <c r="EC1245" s="3"/>
      <c r="ED1245" s="3"/>
      <c r="EE1245" s="3"/>
      <c r="EF1245" s="3"/>
      <c r="EG1245" s="3"/>
      <c r="EH1245" s="3"/>
      <c r="EI1245" s="3"/>
      <c r="EJ1245" s="3"/>
      <c r="EK1245" s="3"/>
      <c r="EL1245" s="3"/>
      <c r="EM1245" s="3"/>
      <c r="EN1245" s="3"/>
      <c r="EO1245" s="3"/>
      <c r="EP1245" s="3"/>
      <c r="EQ1245" s="3"/>
    </row>
    <row r="1246" spans="1:147" x14ac:dyDescent="0.3">
      <c r="A1246" s="9">
        <f>DATE(2021, 10, 26)</f>
        <v>44495</v>
      </c>
      <c r="B1246" s="10">
        <v>86.4</v>
      </c>
      <c r="C1246" s="10">
        <v>85.65</v>
      </c>
      <c r="D1246" s="10">
        <v>84.52</v>
      </c>
      <c r="E1246" s="10">
        <v>83.46</v>
      </c>
      <c r="F1246" s="10">
        <v>82.52</v>
      </c>
      <c r="G1246" s="10">
        <v>81.67</v>
      </c>
      <c r="H1246" s="10">
        <v>80.87</v>
      </c>
      <c r="I1246" s="10">
        <v>80.09</v>
      </c>
      <c r="J1246" s="10">
        <v>79.38</v>
      </c>
      <c r="K1246" s="10">
        <v>78.680000000000007</v>
      </c>
      <c r="L1246" s="10">
        <v>78.02</v>
      </c>
      <c r="M1246" s="10">
        <v>77.39</v>
      </c>
      <c r="N1246" s="10">
        <v>84.65</v>
      </c>
      <c r="O1246" s="10">
        <v>83.36</v>
      </c>
      <c r="P1246" s="10">
        <v>81.89</v>
      </c>
      <c r="Q1246" s="10">
        <v>80.56</v>
      </c>
      <c r="R1246" s="10">
        <v>79.39</v>
      </c>
      <c r="S1246" s="10">
        <v>78.36</v>
      </c>
      <c r="T1246" s="10">
        <v>77.42</v>
      </c>
      <c r="U1246" s="10">
        <v>76.569999999999993</v>
      </c>
      <c r="V1246" s="10">
        <v>75.77</v>
      </c>
      <c r="W1246" s="10">
        <v>75.03</v>
      </c>
      <c r="X1246" s="10">
        <v>74.34</v>
      </c>
      <c r="Y1246" s="10">
        <v>73.69</v>
      </c>
      <c r="Z1246" s="11">
        <v>81.84</v>
      </c>
      <c r="AA1246" s="11">
        <v>83.188999999999993</v>
      </c>
      <c r="AB1246" s="11">
        <v>81.847999999999999</v>
      </c>
      <c r="AC1246" s="11">
        <v>80.784999999999997</v>
      </c>
      <c r="AD1246" s="11">
        <v>79.906999999999996</v>
      </c>
      <c r="AE1246" s="11">
        <v>79.123999999999995</v>
      </c>
      <c r="AF1246" s="11">
        <v>78.391000000000005</v>
      </c>
      <c r="AG1246" s="11">
        <v>77.677999999999997</v>
      </c>
      <c r="AH1246" s="11">
        <v>76.968000000000004</v>
      </c>
      <c r="AI1246" s="11">
        <v>76.278999999999996</v>
      </c>
      <c r="AJ1246" s="11">
        <v>75.632999999999996</v>
      </c>
      <c r="AK1246" s="11">
        <v>75.013000000000005</v>
      </c>
      <c r="AL1246" s="11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/>
      <c r="CU1246" s="3"/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  <c r="DG1246" s="3"/>
      <c r="DH1246" s="3"/>
      <c r="DI1246" s="3"/>
      <c r="DJ1246" s="3"/>
      <c r="DK1246" s="3"/>
      <c r="DL1246" s="3"/>
      <c r="DM1246" s="3"/>
      <c r="DN1246" s="3"/>
      <c r="DO1246" s="3"/>
      <c r="DP1246" s="3"/>
      <c r="DQ1246" s="3"/>
      <c r="DR1246" s="3"/>
      <c r="DS1246" s="3"/>
      <c r="DT1246" s="3"/>
      <c r="DU1246" s="3"/>
      <c r="DV1246" s="3"/>
      <c r="DW1246" s="3"/>
      <c r="DX1246" s="3"/>
      <c r="DY1246" s="3"/>
      <c r="DZ1246" s="3"/>
      <c r="EA1246" s="3"/>
      <c r="EB1246" s="3"/>
      <c r="EC1246" s="3"/>
      <c r="ED1246" s="3"/>
      <c r="EE1246" s="3"/>
      <c r="EF1246" s="3"/>
      <c r="EG1246" s="3"/>
      <c r="EH1246" s="3"/>
      <c r="EI1246" s="3"/>
      <c r="EJ1246" s="3"/>
      <c r="EK1246" s="3"/>
      <c r="EL1246" s="3"/>
      <c r="EM1246" s="3"/>
      <c r="EN1246" s="3"/>
      <c r="EO1246" s="3"/>
      <c r="EP1246" s="3"/>
      <c r="EQ1246" s="3"/>
    </row>
    <row r="1247" spans="1:147" x14ac:dyDescent="0.3">
      <c r="A1247" s="9">
        <f>DATE(2021, 10, 27)</f>
        <v>44496</v>
      </c>
      <c r="B1247" s="10">
        <v>84.58</v>
      </c>
      <c r="C1247" s="10">
        <v>83.87</v>
      </c>
      <c r="D1247" s="10">
        <v>82.76</v>
      </c>
      <c r="E1247" s="10">
        <v>81.739999999999995</v>
      </c>
      <c r="F1247" s="10">
        <v>80.849999999999994</v>
      </c>
      <c r="G1247" s="10">
        <v>80.069999999999993</v>
      </c>
      <c r="H1247" s="10">
        <v>79.319999999999993</v>
      </c>
      <c r="I1247" s="10">
        <v>78.59</v>
      </c>
      <c r="J1247" s="10">
        <v>77.94</v>
      </c>
      <c r="K1247" s="10">
        <v>77.3</v>
      </c>
      <c r="L1247" s="10">
        <v>76.69</v>
      </c>
      <c r="M1247" s="10">
        <v>76.12</v>
      </c>
      <c r="N1247" s="10">
        <v>82.66</v>
      </c>
      <c r="O1247" s="10">
        <v>81.48</v>
      </c>
      <c r="P1247" s="10">
        <v>80.09</v>
      </c>
      <c r="Q1247" s="10">
        <v>78.84</v>
      </c>
      <c r="R1247" s="10">
        <v>77.75</v>
      </c>
      <c r="S1247" s="10">
        <v>76.790000000000006</v>
      </c>
      <c r="T1247" s="10">
        <v>75.92</v>
      </c>
      <c r="U1247" s="10">
        <v>75.11</v>
      </c>
      <c r="V1247" s="10">
        <v>74.37</v>
      </c>
      <c r="W1247" s="10">
        <v>73.680000000000007</v>
      </c>
      <c r="X1247" s="10">
        <v>73.03</v>
      </c>
      <c r="Y1247" s="10">
        <v>72.44</v>
      </c>
      <c r="Z1247" s="11">
        <v>81.632000000000005</v>
      </c>
      <c r="AA1247" s="11">
        <v>81.5</v>
      </c>
      <c r="AB1247" s="11">
        <v>80.090999999999994</v>
      </c>
      <c r="AC1247" s="11">
        <v>79.007999999999996</v>
      </c>
      <c r="AD1247" s="11">
        <v>78.180999999999997</v>
      </c>
      <c r="AE1247" s="11">
        <v>77.477000000000004</v>
      </c>
      <c r="AF1247" s="11">
        <v>76.804000000000002</v>
      </c>
      <c r="AG1247" s="11">
        <v>76.13</v>
      </c>
      <c r="AH1247" s="11">
        <v>75.501000000000005</v>
      </c>
      <c r="AI1247" s="11">
        <v>74.870999999999995</v>
      </c>
      <c r="AJ1247" s="11">
        <v>74.265000000000001</v>
      </c>
      <c r="AK1247" s="11">
        <v>73.685000000000002</v>
      </c>
      <c r="AL1247" s="11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3"/>
      <c r="CK1247" s="3"/>
      <c r="CL1247" s="3"/>
      <c r="CM1247" s="3"/>
      <c r="CN1247" s="3"/>
      <c r="CO1247" s="3"/>
      <c r="CP1247" s="3"/>
      <c r="CQ1247" s="3"/>
      <c r="CR1247" s="3"/>
      <c r="CS1247" s="3"/>
      <c r="CT1247" s="3"/>
      <c r="CU1247" s="3"/>
      <c r="CV1247" s="3"/>
      <c r="CW1247" s="3"/>
      <c r="CX1247" s="3"/>
      <c r="CY1247" s="3"/>
      <c r="CZ1247" s="3"/>
      <c r="DA1247" s="3"/>
      <c r="DB1247" s="3"/>
      <c r="DC1247" s="3"/>
      <c r="DD1247" s="3"/>
      <c r="DE1247" s="3"/>
      <c r="DF1247" s="3"/>
      <c r="DG1247" s="3"/>
      <c r="DH1247" s="3"/>
      <c r="DI1247" s="3"/>
      <c r="DJ1247" s="3"/>
      <c r="DK1247" s="3"/>
      <c r="DL1247" s="3"/>
      <c r="DM1247" s="3"/>
      <c r="DN1247" s="3"/>
      <c r="DO1247" s="3"/>
      <c r="DP1247" s="3"/>
      <c r="DQ1247" s="3"/>
      <c r="DR1247" s="3"/>
      <c r="DS1247" s="3"/>
      <c r="DT1247" s="3"/>
      <c r="DU1247" s="3"/>
      <c r="DV1247" s="3"/>
      <c r="DW1247" s="3"/>
      <c r="DX1247" s="3"/>
      <c r="DY1247" s="3"/>
      <c r="DZ1247" s="3"/>
      <c r="EA1247" s="3"/>
      <c r="EB1247" s="3"/>
      <c r="EC1247" s="3"/>
      <c r="ED1247" s="3"/>
      <c r="EE1247" s="3"/>
      <c r="EF1247" s="3"/>
      <c r="EG1247" s="3"/>
      <c r="EH1247" s="3"/>
      <c r="EI1247" s="3"/>
      <c r="EJ1247" s="3"/>
      <c r="EK1247" s="3"/>
      <c r="EL1247" s="3"/>
      <c r="EM1247" s="3"/>
      <c r="EN1247" s="3"/>
      <c r="EO1247" s="3"/>
      <c r="EP1247" s="3"/>
      <c r="EQ1247" s="3"/>
    </row>
    <row r="1248" spans="1:147" x14ac:dyDescent="0.3">
      <c r="A1248" s="9">
        <f>DATE(2021, 10, 28)</f>
        <v>44497</v>
      </c>
      <c r="B1248" s="10">
        <v>84.32</v>
      </c>
      <c r="C1248" s="10">
        <v>83.66</v>
      </c>
      <c r="D1248" s="10">
        <v>82.56</v>
      </c>
      <c r="E1248" s="10">
        <v>81.52</v>
      </c>
      <c r="F1248" s="10">
        <v>80.61</v>
      </c>
      <c r="G1248" s="10">
        <v>79.83</v>
      </c>
      <c r="H1248" s="10">
        <v>79.09</v>
      </c>
      <c r="I1248" s="10">
        <v>78.37</v>
      </c>
      <c r="J1248" s="10">
        <v>77.73</v>
      </c>
      <c r="K1248" s="10">
        <v>77.099999999999994</v>
      </c>
      <c r="L1248" s="10">
        <v>76.5</v>
      </c>
      <c r="M1248" s="10">
        <v>75.94</v>
      </c>
      <c r="N1248" s="10">
        <v>82.81</v>
      </c>
      <c r="O1248" s="10">
        <v>81.459999999999994</v>
      </c>
      <c r="P1248" s="10">
        <v>79.95</v>
      </c>
      <c r="Q1248" s="10">
        <v>78.62</v>
      </c>
      <c r="R1248" s="10">
        <v>77.489999999999995</v>
      </c>
      <c r="S1248" s="10">
        <v>76.53</v>
      </c>
      <c r="T1248" s="10">
        <v>75.69</v>
      </c>
      <c r="U1248" s="10">
        <v>74.91</v>
      </c>
      <c r="V1248" s="10">
        <v>74.19</v>
      </c>
      <c r="W1248" s="10">
        <v>73.510000000000005</v>
      </c>
      <c r="X1248" s="10">
        <v>72.86</v>
      </c>
      <c r="Y1248" s="10">
        <v>72.260000000000005</v>
      </c>
      <c r="Z1248" s="11">
        <v>81.575000000000003</v>
      </c>
      <c r="AA1248" s="11">
        <v>81.23</v>
      </c>
      <c r="AB1248" s="11">
        <v>79.840999999999994</v>
      </c>
      <c r="AC1248" s="11">
        <v>78.747</v>
      </c>
      <c r="AD1248" s="11">
        <v>77.911000000000001</v>
      </c>
      <c r="AE1248" s="11">
        <v>77.218000000000004</v>
      </c>
      <c r="AF1248" s="11">
        <v>76.554000000000002</v>
      </c>
      <c r="AG1248" s="11">
        <v>75.891000000000005</v>
      </c>
      <c r="AH1248" s="11">
        <v>75.251000000000005</v>
      </c>
      <c r="AI1248" s="11">
        <v>74.631</v>
      </c>
      <c r="AJ1248" s="11">
        <v>74.036000000000001</v>
      </c>
      <c r="AK1248" s="11">
        <v>73.465000000000003</v>
      </c>
      <c r="AL1248" s="11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3"/>
      <c r="CK1248" s="3"/>
      <c r="CL1248" s="3"/>
      <c r="CM1248" s="3"/>
      <c r="CN1248" s="3"/>
      <c r="CO1248" s="3"/>
      <c r="CP1248" s="3"/>
      <c r="CQ1248" s="3"/>
      <c r="CR1248" s="3"/>
      <c r="CS1248" s="3"/>
      <c r="CT1248" s="3"/>
      <c r="CU1248" s="3"/>
      <c r="CV1248" s="3"/>
      <c r="CW1248" s="3"/>
      <c r="CX1248" s="3"/>
      <c r="CY1248" s="3"/>
      <c r="CZ1248" s="3"/>
      <c r="DA1248" s="3"/>
      <c r="DB1248" s="3"/>
      <c r="DC1248" s="3"/>
      <c r="DD1248" s="3"/>
      <c r="DE1248" s="3"/>
      <c r="DF1248" s="3"/>
      <c r="DG1248" s="3"/>
      <c r="DH1248" s="3"/>
      <c r="DI1248" s="3"/>
      <c r="DJ1248" s="3"/>
      <c r="DK1248" s="3"/>
      <c r="DL1248" s="3"/>
      <c r="DM1248" s="3"/>
      <c r="DN1248" s="3"/>
      <c r="DO1248" s="3"/>
      <c r="DP1248" s="3"/>
      <c r="DQ1248" s="3"/>
      <c r="DR1248" s="3"/>
      <c r="DS1248" s="3"/>
      <c r="DT1248" s="3"/>
      <c r="DU1248" s="3"/>
      <c r="DV1248" s="3"/>
      <c r="DW1248" s="3"/>
      <c r="DX1248" s="3"/>
      <c r="DY1248" s="3"/>
      <c r="DZ1248" s="3"/>
      <c r="EA1248" s="3"/>
      <c r="EB1248" s="3"/>
      <c r="EC1248" s="3"/>
      <c r="ED1248" s="3"/>
      <c r="EE1248" s="3"/>
      <c r="EF1248" s="3"/>
      <c r="EG1248" s="3"/>
      <c r="EH1248" s="3"/>
      <c r="EI1248" s="3"/>
      <c r="EJ1248" s="3"/>
      <c r="EK1248" s="3"/>
      <c r="EL1248" s="3"/>
      <c r="EM1248" s="3"/>
      <c r="EN1248" s="3"/>
      <c r="EO1248" s="3"/>
      <c r="EP1248" s="3"/>
      <c r="EQ1248" s="3"/>
    </row>
    <row r="1249" spans="1:147" x14ac:dyDescent="0.3">
      <c r="A1249" s="9">
        <f>DATE(2021, 10, 29)</f>
        <v>44498</v>
      </c>
      <c r="B1249" s="10">
        <v>84.38</v>
      </c>
      <c r="C1249" s="10">
        <v>83.72</v>
      </c>
      <c r="D1249" s="10">
        <v>82.55</v>
      </c>
      <c r="E1249" s="10">
        <v>81.430000000000007</v>
      </c>
      <c r="F1249" s="10">
        <v>80.45</v>
      </c>
      <c r="G1249" s="10">
        <v>79.63</v>
      </c>
      <c r="H1249" s="10">
        <v>78.87</v>
      </c>
      <c r="I1249" s="10">
        <v>78.13</v>
      </c>
      <c r="J1249" s="10">
        <v>77.48</v>
      </c>
      <c r="K1249" s="10">
        <v>76.84</v>
      </c>
      <c r="L1249" s="10">
        <v>76.239999999999995</v>
      </c>
      <c r="M1249" s="10">
        <v>75.67</v>
      </c>
      <c r="N1249" s="10">
        <v>83.57</v>
      </c>
      <c r="O1249" s="10">
        <v>81.78</v>
      </c>
      <c r="P1249" s="10">
        <v>79.98</v>
      </c>
      <c r="Q1249" s="10">
        <v>78.459999999999994</v>
      </c>
      <c r="R1249" s="10">
        <v>77.25</v>
      </c>
      <c r="S1249" s="10">
        <v>76.27</v>
      </c>
      <c r="T1249" s="10">
        <v>75.42</v>
      </c>
      <c r="U1249" s="10">
        <v>74.63</v>
      </c>
      <c r="V1249" s="10">
        <v>73.89</v>
      </c>
      <c r="W1249" s="10">
        <v>73.19</v>
      </c>
      <c r="X1249" s="10">
        <v>72.540000000000006</v>
      </c>
      <c r="Y1249" s="10">
        <v>71.92</v>
      </c>
      <c r="Z1249" s="11">
        <v>81.584999999999994</v>
      </c>
      <c r="AA1249" s="11">
        <v>81.356999999999999</v>
      </c>
      <c r="AB1249" s="11">
        <v>79.903000000000006</v>
      </c>
      <c r="AC1249" s="11">
        <v>78.653000000000006</v>
      </c>
      <c r="AD1249" s="11">
        <v>77.748999999999995</v>
      </c>
      <c r="AE1249" s="11">
        <v>77.016999999999996</v>
      </c>
      <c r="AF1249" s="11">
        <v>76.332999999999998</v>
      </c>
      <c r="AG1249" s="11">
        <v>75.650000000000006</v>
      </c>
      <c r="AH1249" s="11">
        <v>75.001000000000005</v>
      </c>
      <c r="AI1249" s="11">
        <v>74.370999999999995</v>
      </c>
      <c r="AJ1249" s="11">
        <v>73.775000000000006</v>
      </c>
      <c r="AK1249" s="11">
        <v>73.194999999999993</v>
      </c>
      <c r="AL1249" s="11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3"/>
      <c r="CK1249" s="3"/>
      <c r="CL1249" s="3"/>
      <c r="CM1249" s="3"/>
      <c r="CN1249" s="3"/>
      <c r="CO1249" s="3"/>
      <c r="CP1249" s="3"/>
      <c r="CQ1249" s="3"/>
      <c r="CR1249" s="3"/>
      <c r="CS1249" s="3"/>
      <c r="CT1249" s="3"/>
      <c r="CU1249" s="3"/>
      <c r="CV1249" s="3"/>
      <c r="CW1249" s="3"/>
      <c r="CX1249" s="3"/>
      <c r="CY1249" s="3"/>
      <c r="CZ1249" s="3"/>
      <c r="DA1249" s="3"/>
      <c r="DB1249" s="3"/>
      <c r="DC1249" s="3"/>
      <c r="DD1249" s="3"/>
      <c r="DE1249" s="3"/>
      <c r="DF1249" s="3"/>
      <c r="DG1249" s="3"/>
      <c r="DH1249" s="3"/>
      <c r="DI1249" s="3"/>
      <c r="DJ1249" s="3"/>
      <c r="DK1249" s="3"/>
      <c r="DL1249" s="3"/>
      <c r="DM1249" s="3"/>
      <c r="DN1249" s="3"/>
      <c r="DO1249" s="3"/>
      <c r="DP1249" s="3"/>
      <c r="DQ1249" s="3"/>
      <c r="DR1249" s="3"/>
      <c r="DS1249" s="3"/>
      <c r="DT1249" s="3"/>
      <c r="DU1249" s="3"/>
      <c r="DV1249" s="3"/>
      <c r="DW1249" s="3"/>
      <c r="DX1249" s="3"/>
      <c r="DY1249" s="3"/>
      <c r="DZ1249" s="3"/>
      <c r="EA1249" s="3"/>
      <c r="EB1249" s="3"/>
      <c r="EC1249" s="3"/>
      <c r="ED1249" s="3"/>
      <c r="EE1249" s="3"/>
      <c r="EF1249" s="3"/>
      <c r="EG1249" s="3"/>
      <c r="EH1249" s="3"/>
      <c r="EI1249" s="3"/>
      <c r="EJ1249" s="3"/>
      <c r="EK1249" s="3"/>
      <c r="EL1249" s="3"/>
      <c r="EM1249" s="3"/>
      <c r="EN1249" s="3"/>
      <c r="EO1249" s="3"/>
      <c r="EP1249" s="3"/>
      <c r="EQ1249" s="3"/>
    </row>
    <row r="1250" spans="1:147" x14ac:dyDescent="0.3">
      <c r="A1250" s="9">
        <f>DATE(2021, 11, 1)</f>
        <v>44501</v>
      </c>
      <c r="B1250" s="10">
        <v>84.71</v>
      </c>
      <c r="C1250" s="10">
        <v>83.37</v>
      </c>
      <c r="D1250" s="10">
        <v>82.15</v>
      </c>
      <c r="E1250" s="10">
        <v>81.08</v>
      </c>
      <c r="F1250" s="10">
        <v>80.180000000000007</v>
      </c>
      <c r="G1250" s="10">
        <v>79.37</v>
      </c>
      <c r="H1250" s="10">
        <v>78.599999999999994</v>
      </c>
      <c r="I1250" s="10">
        <v>77.930000000000007</v>
      </c>
      <c r="J1250" s="10">
        <v>77.27</v>
      </c>
      <c r="K1250" s="10">
        <v>76.650000000000006</v>
      </c>
      <c r="L1250" s="10">
        <v>76.05</v>
      </c>
      <c r="M1250" s="10">
        <v>75.47</v>
      </c>
      <c r="N1250" s="10">
        <v>84.05</v>
      </c>
      <c r="O1250" s="10">
        <v>82.45</v>
      </c>
      <c r="P1250" s="10">
        <v>80.709999999999994</v>
      </c>
      <c r="Q1250" s="10">
        <v>79.13</v>
      </c>
      <c r="R1250" s="10">
        <v>77.84</v>
      </c>
      <c r="S1250" s="10">
        <v>76.81</v>
      </c>
      <c r="T1250" s="10">
        <v>75.94</v>
      </c>
      <c r="U1250" s="10">
        <v>75.150000000000006</v>
      </c>
      <c r="V1250" s="10">
        <v>74.400000000000006</v>
      </c>
      <c r="W1250" s="10">
        <v>73.72</v>
      </c>
      <c r="X1250" s="10">
        <v>73.06</v>
      </c>
      <c r="Y1250" s="10">
        <v>72.44</v>
      </c>
      <c r="Z1250" s="11">
        <v>81.584999999999994</v>
      </c>
      <c r="AA1250" s="11">
        <v>82.382999999999996</v>
      </c>
      <c r="AB1250" s="11">
        <v>80.774000000000001</v>
      </c>
      <c r="AC1250" s="11">
        <v>79.349000000000004</v>
      </c>
      <c r="AD1250" s="11">
        <v>78.355000000000004</v>
      </c>
      <c r="AE1250" s="11">
        <v>77.555000000000007</v>
      </c>
      <c r="AF1250" s="11">
        <v>76.831999999999994</v>
      </c>
      <c r="AG1250" s="11">
        <v>76.11</v>
      </c>
      <c r="AH1250" s="11">
        <v>75.44</v>
      </c>
      <c r="AI1250" s="11">
        <v>74.8</v>
      </c>
      <c r="AJ1250" s="11">
        <v>74.183999999999997</v>
      </c>
      <c r="AK1250" s="11">
        <v>73.573999999999998</v>
      </c>
      <c r="AL1250" s="11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3"/>
      <c r="CK1250" s="3"/>
      <c r="CL1250" s="3"/>
      <c r="CM1250" s="3"/>
      <c r="CN1250" s="3"/>
      <c r="CO1250" s="3"/>
      <c r="CP1250" s="3"/>
      <c r="CQ1250" s="3"/>
      <c r="CR1250" s="3"/>
      <c r="CS1250" s="3"/>
      <c r="CT1250" s="3"/>
      <c r="CU1250" s="3"/>
      <c r="CV1250" s="3"/>
      <c r="CW1250" s="3"/>
      <c r="CX1250" s="3"/>
      <c r="CY1250" s="3"/>
      <c r="CZ1250" s="3"/>
      <c r="DA1250" s="3"/>
      <c r="DB1250" s="3"/>
      <c r="DC1250" s="3"/>
      <c r="DD1250" s="3"/>
      <c r="DE1250" s="3"/>
      <c r="DF1250" s="3"/>
      <c r="DG1250" s="3"/>
      <c r="DH1250" s="3"/>
      <c r="DI1250" s="3"/>
      <c r="DJ1250" s="3"/>
      <c r="DK1250" s="3"/>
      <c r="DL1250" s="3"/>
      <c r="DM1250" s="3"/>
      <c r="DN1250" s="3"/>
      <c r="DO1250" s="3"/>
      <c r="DP1250" s="3"/>
      <c r="DQ1250" s="3"/>
      <c r="DR1250" s="3"/>
      <c r="DS1250" s="3"/>
      <c r="DT1250" s="3"/>
      <c r="DU1250" s="3"/>
      <c r="DV1250" s="3"/>
      <c r="DW1250" s="3"/>
      <c r="DX1250" s="3"/>
      <c r="DY1250" s="3"/>
      <c r="DZ1250" s="3"/>
      <c r="EA1250" s="3"/>
      <c r="EB1250" s="3"/>
      <c r="EC1250" s="3"/>
      <c r="ED1250" s="3"/>
      <c r="EE1250" s="3"/>
      <c r="EF1250" s="3"/>
      <c r="EG1250" s="3"/>
      <c r="EH1250" s="3"/>
      <c r="EI1250" s="3"/>
      <c r="EJ1250" s="3"/>
      <c r="EK1250" s="3"/>
      <c r="EL1250" s="3"/>
      <c r="EM1250" s="3"/>
      <c r="EN1250" s="3"/>
      <c r="EO1250" s="3"/>
      <c r="EP1250" s="3"/>
      <c r="EQ1250" s="3"/>
    </row>
    <row r="1251" spans="1:147" x14ac:dyDescent="0.3">
      <c r="A1251" s="9">
        <f>DATE(2021, 11, 2)</f>
        <v>44502</v>
      </c>
      <c r="B1251" s="10">
        <v>84.72</v>
      </c>
      <c r="C1251" s="10">
        <v>83.44</v>
      </c>
      <c r="D1251" s="10">
        <v>82.24</v>
      </c>
      <c r="E1251" s="10">
        <v>81.180000000000007</v>
      </c>
      <c r="F1251" s="10">
        <v>80.27</v>
      </c>
      <c r="G1251" s="10">
        <v>79.45</v>
      </c>
      <c r="H1251" s="10">
        <v>78.67</v>
      </c>
      <c r="I1251" s="10">
        <v>78</v>
      </c>
      <c r="J1251" s="10">
        <v>77.349999999999994</v>
      </c>
      <c r="K1251" s="10">
        <v>76.73</v>
      </c>
      <c r="L1251" s="10">
        <v>76.13</v>
      </c>
      <c r="M1251" s="10">
        <v>75.56</v>
      </c>
      <c r="N1251" s="10">
        <v>83.91</v>
      </c>
      <c r="O1251" s="10">
        <v>82.44</v>
      </c>
      <c r="P1251" s="10">
        <v>80.88</v>
      </c>
      <c r="Q1251" s="10">
        <v>79.349999999999994</v>
      </c>
      <c r="R1251" s="10">
        <v>78.069999999999993</v>
      </c>
      <c r="S1251" s="10">
        <v>77</v>
      </c>
      <c r="T1251" s="10">
        <v>76.099999999999994</v>
      </c>
      <c r="U1251" s="10">
        <v>75.290000000000006</v>
      </c>
      <c r="V1251" s="10">
        <v>74.540000000000006</v>
      </c>
      <c r="W1251" s="10">
        <v>73.849999999999994</v>
      </c>
      <c r="X1251" s="10">
        <v>73.19</v>
      </c>
      <c r="Y1251" s="10">
        <v>72.569999999999993</v>
      </c>
      <c r="Z1251" s="11">
        <v>82.563000000000002</v>
      </c>
      <c r="AA1251" s="11">
        <v>80.766000000000005</v>
      </c>
      <c r="AB1251" s="11">
        <v>79.349999999999994</v>
      </c>
      <c r="AC1251" s="11">
        <v>78.375</v>
      </c>
      <c r="AD1251" s="11">
        <v>77.584000000000003</v>
      </c>
      <c r="AE1251" s="11">
        <v>76.850999999999999</v>
      </c>
      <c r="AF1251" s="11">
        <v>76.12</v>
      </c>
      <c r="AG1251" s="11">
        <v>75.45</v>
      </c>
      <c r="AH1251" s="11">
        <v>74.81</v>
      </c>
      <c r="AI1251" s="11">
        <v>74.203999999999994</v>
      </c>
      <c r="AJ1251" s="11">
        <v>73.614000000000004</v>
      </c>
      <c r="AK1251" s="11">
        <v>73.042000000000002</v>
      </c>
      <c r="AL1251" s="11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3"/>
      <c r="CK1251" s="3"/>
      <c r="CL1251" s="3"/>
      <c r="CM1251" s="3"/>
      <c r="CN1251" s="3"/>
      <c r="CO1251" s="3"/>
      <c r="CP1251" s="3"/>
      <c r="CQ1251" s="3"/>
      <c r="CR1251" s="3"/>
      <c r="CS1251" s="3"/>
      <c r="CT1251" s="3"/>
      <c r="CU1251" s="3"/>
      <c r="CV1251" s="3"/>
      <c r="CW1251" s="3"/>
      <c r="CX1251" s="3"/>
      <c r="CY1251" s="3"/>
      <c r="CZ1251" s="3"/>
      <c r="DA1251" s="3"/>
      <c r="DB1251" s="3"/>
      <c r="DC1251" s="3"/>
      <c r="DD1251" s="3"/>
      <c r="DE1251" s="3"/>
      <c r="DF1251" s="3"/>
      <c r="DG1251" s="3"/>
      <c r="DH1251" s="3"/>
      <c r="DI1251" s="3"/>
      <c r="DJ1251" s="3"/>
      <c r="DK1251" s="3"/>
      <c r="DL1251" s="3"/>
      <c r="DM1251" s="3"/>
      <c r="DN1251" s="3"/>
      <c r="DO1251" s="3"/>
      <c r="DP1251" s="3"/>
      <c r="DQ1251" s="3"/>
      <c r="DR1251" s="3"/>
      <c r="DS1251" s="3"/>
      <c r="DT1251" s="3"/>
      <c r="DU1251" s="3"/>
      <c r="DV1251" s="3"/>
      <c r="DW1251" s="3"/>
      <c r="DX1251" s="3"/>
      <c r="DY1251" s="3"/>
      <c r="DZ1251" s="3"/>
      <c r="EA1251" s="3"/>
      <c r="EB1251" s="3"/>
      <c r="EC1251" s="3"/>
      <c r="ED1251" s="3"/>
      <c r="EE1251" s="3"/>
      <c r="EF1251" s="3"/>
      <c r="EG1251" s="3"/>
      <c r="EH1251" s="3"/>
      <c r="EI1251" s="3"/>
      <c r="EJ1251" s="3"/>
      <c r="EK1251" s="3"/>
      <c r="EL1251" s="3"/>
      <c r="EM1251" s="3"/>
      <c r="EN1251" s="3"/>
      <c r="EO1251" s="3"/>
      <c r="EP1251" s="3"/>
      <c r="EQ1251" s="3"/>
    </row>
    <row r="1252" spans="1:147" x14ac:dyDescent="0.3">
      <c r="A1252" s="9">
        <f>DATE(2021, 11, 3)</f>
        <v>44503</v>
      </c>
      <c r="B1252" s="10">
        <v>81.99</v>
      </c>
      <c r="C1252" s="10">
        <v>80.819999999999993</v>
      </c>
      <c r="D1252" s="10">
        <v>79.72</v>
      </c>
      <c r="E1252" s="10">
        <v>78.75</v>
      </c>
      <c r="F1252" s="10">
        <v>77.92</v>
      </c>
      <c r="G1252" s="10">
        <v>77.180000000000007</v>
      </c>
      <c r="H1252" s="10">
        <v>76.45</v>
      </c>
      <c r="I1252" s="10">
        <v>75.83</v>
      </c>
      <c r="J1252" s="10">
        <v>75.23</v>
      </c>
      <c r="K1252" s="10">
        <v>74.67</v>
      </c>
      <c r="L1252" s="10">
        <v>74.16</v>
      </c>
      <c r="M1252" s="10">
        <v>73.66</v>
      </c>
      <c r="N1252" s="10">
        <v>80.86</v>
      </c>
      <c r="O1252" s="10">
        <v>79.569999999999993</v>
      </c>
      <c r="P1252" s="10">
        <v>78.209999999999994</v>
      </c>
      <c r="Q1252" s="10">
        <v>76.790000000000006</v>
      </c>
      <c r="R1252" s="10">
        <v>75.599999999999994</v>
      </c>
      <c r="S1252" s="10">
        <v>74.63</v>
      </c>
      <c r="T1252" s="10">
        <v>73.81</v>
      </c>
      <c r="U1252" s="10">
        <v>73.06</v>
      </c>
      <c r="V1252" s="10">
        <v>72.36</v>
      </c>
      <c r="W1252" s="10">
        <v>71.739999999999995</v>
      </c>
      <c r="X1252" s="10">
        <v>71.16</v>
      </c>
      <c r="Y1252" s="10">
        <v>70.63</v>
      </c>
      <c r="Z1252" s="11">
        <v>80.224000000000004</v>
      </c>
      <c r="AA1252" s="11">
        <v>78.073999999999998</v>
      </c>
      <c r="AB1252" s="11">
        <v>76.763999999999996</v>
      </c>
      <c r="AC1252" s="11">
        <v>75.879000000000005</v>
      </c>
      <c r="AD1252" s="11">
        <v>75.177999999999997</v>
      </c>
      <c r="AE1252" s="11">
        <v>74.524000000000001</v>
      </c>
      <c r="AF1252" s="11">
        <v>73.852000000000004</v>
      </c>
      <c r="AG1252" s="11">
        <v>73.242999999999995</v>
      </c>
      <c r="AH1252" s="11">
        <v>72.662999999999997</v>
      </c>
      <c r="AI1252" s="11">
        <v>72.117999999999995</v>
      </c>
      <c r="AJ1252" s="11">
        <v>71.617000000000004</v>
      </c>
      <c r="AK1252" s="11">
        <v>71.116</v>
      </c>
      <c r="AL1252" s="11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3"/>
      <c r="CK1252" s="3"/>
      <c r="CL1252" s="3"/>
      <c r="CM1252" s="3"/>
      <c r="CN1252" s="3"/>
      <c r="CO1252" s="3"/>
      <c r="CP1252" s="3"/>
      <c r="CQ1252" s="3"/>
      <c r="CR1252" s="3"/>
      <c r="CS1252" s="3"/>
      <c r="CT1252" s="3"/>
      <c r="CU1252" s="3"/>
      <c r="CV1252" s="3"/>
      <c r="CW1252" s="3"/>
      <c r="CX1252" s="3"/>
      <c r="CY1252" s="3"/>
      <c r="CZ1252" s="3"/>
      <c r="DA1252" s="3"/>
      <c r="DB1252" s="3"/>
      <c r="DC1252" s="3"/>
      <c r="DD1252" s="3"/>
      <c r="DE1252" s="3"/>
      <c r="DF1252" s="3"/>
      <c r="DG1252" s="3"/>
      <c r="DH1252" s="3"/>
      <c r="DI1252" s="3"/>
      <c r="DJ1252" s="3"/>
      <c r="DK1252" s="3"/>
      <c r="DL1252" s="3"/>
      <c r="DM1252" s="3"/>
      <c r="DN1252" s="3"/>
      <c r="DO1252" s="3"/>
      <c r="DP1252" s="3"/>
      <c r="DQ1252" s="3"/>
      <c r="DR1252" s="3"/>
      <c r="DS1252" s="3"/>
      <c r="DT1252" s="3"/>
      <c r="DU1252" s="3"/>
      <c r="DV1252" s="3"/>
      <c r="DW1252" s="3"/>
      <c r="DX1252" s="3"/>
      <c r="DY1252" s="3"/>
      <c r="DZ1252" s="3"/>
      <c r="EA1252" s="3"/>
      <c r="EB1252" s="3"/>
      <c r="EC1252" s="3"/>
      <c r="ED1252" s="3"/>
      <c r="EE1252" s="3"/>
      <c r="EF1252" s="3"/>
      <c r="EG1252" s="3"/>
      <c r="EH1252" s="3"/>
      <c r="EI1252" s="3"/>
      <c r="EJ1252" s="3"/>
      <c r="EK1252" s="3"/>
      <c r="EL1252" s="3"/>
      <c r="EM1252" s="3"/>
      <c r="EN1252" s="3"/>
      <c r="EO1252" s="3"/>
      <c r="EP1252" s="3"/>
      <c r="EQ1252" s="3"/>
    </row>
    <row r="1253" spans="1:147" x14ac:dyDescent="0.3">
      <c r="A1253" s="9">
        <f>DATE(2021, 11, 4)</f>
        <v>44504</v>
      </c>
      <c r="B1253" s="10">
        <v>80.540000000000006</v>
      </c>
      <c r="C1253" s="10">
        <v>79.510000000000005</v>
      </c>
      <c r="D1253" s="10">
        <v>78.52</v>
      </c>
      <c r="E1253" s="10">
        <v>77.7</v>
      </c>
      <c r="F1253" s="10">
        <v>77.010000000000005</v>
      </c>
      <c r="G1253" s="10">
        <v>76.38</v>
      </c>
      <c r="H1253" s="10">
        <v>75.78</v>
      </c>
      <c r="I1253" s="10">
        <v>75.260000000000005</v>
      </c>
      <c r="J1253" s="10">
        <v>74.75</v>
      </c>
      <c r="K1253" s="10">
        <v>74.27</v>
      </c>
      <c r="L1253" s="10">
        <v>73.84</v>
      </c>
      <c r="M1253" s="10">
        <v>73.44</v>
      </c>
      <c r="N1253" s="10">
        <v>78.81</v>
      </c>
      <c r="O1253" s="10">
        <v>77.7</v>
      </c>
      <c r="P1253" s="10">
        <v>76.569999999999993</v>
      </c>
      <c r="Q1253" s="10">
        <v>75.47</v>
      </c>
      <c r="R1253" s="10">
        <v>74.489999999999995</v>
      </c>
      <c r="S1253" s="10">
        <v>73.69</v>
      </c>
      <c r="T1253" s="10">
        <v>72.97</v>
      </c>
      <c r="U1253" s="10">
        <v>72.33</v>
      </c>
      <c r="V1253" s="10">
        <v>71.739999999999995</v>
      </c>
      <c r="W1253" s="10">
        <v>71.209999999999994</v>
      </c>
      <c r="X1253" s="10">
        <v>70.739999999999995</v>
      </c>
      <c r="Y1253" s="10">
        <v>70.319999999999993</v>
      </c>
      <c r="Z1253" s="11">
        <v>79.031999999999996</v>
      </c>
      <c r="AA1253" s="11">
        <v>76.683999999999997</v>
      </c>
      <c r="AB1253" s="11">
        <v>75.471999999999994</v>
      </c>
      <c r="AC1253" s="11">
        <v>74.715999999999994</v>
      </c>
      <c r="AD1253" s="11">
        <v>74.113</v>
      </c>
      <c r="AE1253" s="11">
        <v>73.61</v>
      </c>
      <c r="AF1253" s="11">
        <v>73.105999999999995</v>
      </c>
      <c r="AG1253" s="11">
        <v>72.594999999999999</v>
      </c>
      <c r="AH1253" s="11">
        <v>72.096999999999994</v>
      </c>
      <c r="AI1253" s="11">
        <v>71.631</v>
      </c>
      <c r="AJ1253" s="11">
        <v>71.221999999999994</v>
      </c>
      <c r="AK1253" s="11">
        <v>70.849999999999994</v>
      </c>
      <c r="AL1253" s="11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3"/>
      <c r="CK1253" s="3"/>
      <c r="CL1253" s="3"/>
      <c r="CM1253" s="3"/>
      <c r="CN1253" s="3"/>
      <c r="CO1253" s="3"/>
      <c r="CP1253" s="3"/>
      <c r="CQ1253" s="3"/>
      <c r="CR1253" s="3"/>
      <c r="CS1253" s="3"/>
      <c r="CT1253" s="3"/>
      <c r="CU1253" s="3"/>
      <c r="CV1253" s="3"/>
      <c r="CW1253" s="3"/>
      <c r="CX1253" s="3"/>
      <c r="CY1253" s="3"/>
      <c r="CZ1253" s="3"/>
      <c r="DA1253" s="3"/>
      <c r="DB1253" s="3"/>
      <c r="DC1253" s="3"/>
      <c r="DD1253" s="3"/>
      <c r="DE1253" s="3"/>
      <c r="DF1253" s="3"/>
      <c r="DG1253" s="3"/>
      <c r="DH1253" s="3"/>
      <c r="DI1253" s="3"/>
      <c r="DJ1253" s="3"/>
      <c r="DK1253" s="3"/>
      <c r="DL1253" s="3"/>
      <c r="DM1253" s="3"/>
      <c r="DN1253" s="3"/>
      <c r="DO1253" s="3"/>
      <c r="DP1253" s="3"/>
      <c r="DQ1253" s="3"/>
      <c r="DR1253" s="3"/>
      <c r="DS1253" s="3"/>
      <c r="DT1253" s="3"/>
      <c r="DU1253" s="3"/>
      <c r="DV1253" s="3"/>
      <c r="DW1253" s="3"/>
      <c r="DX1253" s="3"/>
      <c r="DY1253" s="3"/>
      <c r="DZ1253" s="3"/>
      <c r="EA1253" s="3"/>
      <c r="EB1253" s="3"/>
      <c r="EC1253" s="3"/>
      <c r="ED1253" s="3"/>
      <c r="EE1253" s="3"/>
      <c r="EF1253" s="3"/>
      <c r="EG1253" s="3"/>
      <c r="EH1253" s="3"/>
      <c r="EI1253" s="3"/>
      <c r="EJ1253" s="3"/>
      <c r="EK1253" s="3"/>
      <c r="EL1253" s="3"/>
      <c r="EM1253" s="3"/>
      <c r="EN1253" s="3"/>
      <c r="EO1253" s="3"/>
      <c r="EP1253" s="3"/>
      <c r="EQ1253" s="3"/>
    </row>
    <row r="1254" spans="1:147" x14ac:dyDescent="0.3">
      <c r="A1254" s="9">
        <f>DATE(2021, 11, 5)</f>
        <v>44505</v>
      </c>
      <c r="B1254" s="10">
        <v>82.74</v>
      </c>
      <c r="C1254" s="10">
        <v>81.680000000000007</v>
      </c>
      <c r="D1254" s="10">
        <v>80.73</v>
      </c>
      <c r="E1254" s="10">
        <v>79.91</v>
      </c>
      <c r="F1254" s="10">
        <v>79.209999999999994</v>
      </c>
      <c r="G1254" s="10">
        <v>78.540000000000006</v>
      </c>
      <c r="H1254" s="10">
        <v>77.900000000000006</v>
      </c>
      <c r="I1254" s="10">
        <v>77.349999999999994</v>
      </c>
      <c r="J1254" s="10">
        <v>76.8</v>
      </c>
      <c r="K1254" s="10">
        <v>76.290000000000006</v>
      </c>
      <c r="L1254" s="10">
        <v>75.819999999999993</v>
      </c>
      <c r="M1254" s="10">
        <v>75.38</v>
      </c>
      <c r="N1254" s="10">
        <v>81.27</v>
      </c>
      <c r="O1254" s="10">
        <v>80.13</v>
      </c>
      <c r="P1254" s="10">
        <v>79</v>
      </c>
      <c r="Q1254" s="10">
        <v>77.86</v>
      </c>
      <c r="R1254" s="10">
        <v>76.89</v>
      </c>
      <c r="S1254" s="10">
        <v>76.040000000000006</v>
      </c>
      <c r="T1254" s="10">
        <v>75.27</v>
      </c>
      <c r="U1254" s="10">
        <v>74.569999999999993</v>
      </c>
      <c r="V1254" s="10">
        <v>73.94</v>
      </c>
      <c r="W1254" s="10">
        <v>73.36</v>
      </c>
      <c r="X1254" s="10">
        <v>72.849999999999994</v>
      </c>
      <c r="Y1254" s="10">
        <v>72.38</v>
      </c>
      <c r="Z1254" s="11">
        <v>81.040000000000006</v>
      </c>
      <c r="AA1254" s="11">
        <v>79.027000000000001</v>
      </c>
      <c r="AB1254" s="11">
        <v>77.825999999999993</v>
      </c>
      <c r="AC1254" s="11">
        <v>76.974999999999994</v>
      </c>
      <c r="AD1254" s="11">
        <v>76.361000000000004</v>
      </c>
      <c r="AE1254" s="11">
        <v>75.808000000000007</v>
      </c>
      <c r="AF1254" s="11">
        <v>75.284999999999997</v>
      </c>
      <c r="AG1254" s="11">
        <v>74.765000000000001</v>
      </c>
      <c r="AH1254" s="11">
        <v>74.256</v>
      </c>
      <c r="AI1254" s="11">
        <v>73.75</v>
      </c>
      <c r="AJ1254" s="11">
        <v>73.28</v>
      </c>
      <c r="AK1254" s="11">
        <v>72.828000000000003</v>
      </c>
      <c r="AL1254" s="11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3"/>
      <c r="CK1254" s="3"/>
      <c r="CL1254" s="3"/>
      <c r="CM1254" s="3"/>
      <c r="CN1254" s="3"/>
      <c r="CO1254" s="3"/>
      <c r="CP1254" s="3"/>
      <c r="CQ1254" s="3"/>
      <c r="CR1254" s="3"/>
      <c r="CS1254" s="3"/>
      <c r="CT1254" s="3"/>
      <c r="CU1254" s="3"/>
      <c r="CV1254" s="3"/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  <c r="DG1254" s="3"/>
      <c r="DH1254" s="3"/>
      <c r="DI1254" s="3"/>
      <c r="DJ1254" s="3"/>
      <c r="DK1254" s="3"/>
      <c r="DL1254" s="3"/>
      <c r="DM1254" s="3"/>
      <c r="DN1254" s="3"/>
      <c r="DO1254" s="3"/>
      <c r="DP1254" s="3"/>
      <c r="DQ1254" s="3"/>
      <c r="DR1254" s="3"/>
      <c r="DS1254" s="3"/>
      <c r="DT1254" s="3"/>
      <c r="DU1254" s="3"/>
      <c r="DV1254" s="3"/>
      <c r="DW1254" s="3"/>
      <c r="DX1254" s="3"/>
      <c r="DY1254" s="3"/>
      <c r="DZ1254" s="3"/>
      <c r="EA1254" s="3"/>
      <c r="EB1254" s="3"/>
      <c r="EC1254" s="3"/>
      <c r="ED1254" s="3"/>
      <c r="EE1254" s="3"/>
      <c r="EF1254" s="3"/>
      <c r="EG1254" s="3"/>
      <c r="EH1254" s="3"/>
      <c r="EI1254" s="3"/>
      <c r="EJ1254" s="3"/>
      <c r="EK1254" s="3"/>
      <c r="EL1254" s="3"/>
      <c r="EM1254" s="3"/>
      <c r="EN1254" s="3"/>
      <c r="EO1254" s="3"/>
      <c r="EP1254" s="3"/>
      <c r="EQ1254" s="3"/>
    </row>
    <row r="1255" spans="1:147" x14ac:dyDescent="0.3">
      <c r="A1255" s="9">
        <f>DATE(2021, 11, 8)</f>
        <v>44508</v>
      </c>
      <c r="B1255" s="10">
        <v>83.43</v>
      </c>
      <c r="C1255" s="10">
        <v>82.35</v>
      </c>
      <c r="D1255" s="10">
        <v>81.37</v>
      </c>
      <c r="E1255" s="10">
        <v>80.53</v>
      </c>
      <c r="F1255" s="10">
        <v>79.790000000000006</v>
      </c>
      <c r="G1255" s="10">
        <v>79.099999999999994</v>
      </c>
      <c r="H1255" s="10">
        <v>78.45</v>
      </c>
      <c r="I1255" s="10">
        <v>77.89</v>
      </c>
      <c r="J1255" s="10">
        <v>77.349999999999994</v>
      </c>
      <c r="K1255" s="10">
        <v>76.83</v>
      </c>
      <c r="L1255" s="10">
        <v>76.36</v>
      </c>
      <c r="M1255" s="10">
        <v>75.91</v>
      </c>
      <c r="N1255" s="10">
        <v>81.93</v>
      </c>
      <c r="O1255" s="10">
        <v>80.739999999999995</v>
      </c>
      <c r="P1255" s="10">
        <v>79.569999999999993</v>
      </c>
      <c r="Q1255" s="10">
        <v>78.400000000000006</v>
      </c>
      <c r="R1255" s="10">
        <v>77.42</v>
      </c>
      <c r="S1255" s="10">
        <v>76.540000000000006</v>
      </c>
      <c r="T1255" s="10">
        <v>75.739999999999995</v>
      </c>
      <c r="U1255" s="10">
        <v>75.03</v>
      </c>
      <c r="V1255" s="10">
        <v>74.400000000000006</v>
      </c>
      <c r="W1255" s="10">
        <v>73.81</v>
      </c>
      <c r="X1255" s="10">
        <v>73.31</v>
      </c>
      <c r="Y1255" s="10">
        <v>72.84</v>
      </c>
      <c r="Z1255" s="11">
        <v>81.554000000000002</v>
      </c>
      <c r="AA1255" s="11">
        <v>79.655000000000001</v>
      </c>
      <c r="AB1255" s="11">
        <v>78.400000000000006</v>
      </c>
      <c r="AC1255" s="11">
        <v>77.552999999999997</v>
      </c>
      <c r="AD1255" s="11">
        <v>76.930000000000007</v>
      </c>
      <c r="AE1255" s="11">
        <v>76.347999999999999</v>
      </c>
      <c r="AF1255" s="11">
        <v>75.805000000000007</v>
      </c>
      <c r="AG1255" s="11">
        <v>75.265000000000001</v>
      </c>
      <c r="AH1255" s="11">
        <v>74.754999999999995</v>
      </c>
      <c r="AI1255" s="11">
        <v>74.28</v>
      </c>
      <c r="AJ1255" s="11">
        <v>73.819999999999993</v>
      </c>
      <c r="AK1255" s="11">
        <v>73.358000000000004</v>
      </c>
      <c r="AL1255" s="11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3"/>
      <c r="CK1255" s="3"/>
      <c r="CL1255" s="3"/>
      <c r="CM1255" s="3"/>
      <c r="CN1255" s="3"/>
      <c r="CO1255" s="3"/>
      <c r="CP1255" s="3"/>
      <c r="CQ1255" s="3"/>
      <c r="CR1255" s="3"/>
      <c r="CS1255" s="3"/>
      <c r="CT1255" s="3"/>
      <c r="CU1255" s="3"/>
      <c r="CV1255" s="3"/>
      <c r="CW1255" s="3"/>
      <c r="CX1255" s="3"/>
      <c r="CY1255" s="3"/>
      <c r="CZ1255" s="3"/>
      <c r="DA1255" s="3"/>
      <c r="DB1255" s="3"/>
      <c r="DC1255" s="3"/>
      <c r="DD1255" s="3"/>
      <c r="DE1255" s="3"/>
      <c r="DF1255" s="3"/>
      <c r="DG1255" s="3"/>
      <c r="DH1255" s="3"/>
      <c r="DI1255" s="3"/>
      <c r="DJ1255" s="3"/>
      <c r="DK1255" s="3"/>
      <c r="DL1255" s="3"/>
      <c r="DM1255" s="3"/>
      <c r="DN1255" s="3"/>
      <c r="DO1255" s="3"/>
      <c r="DP1255" s="3"/>
      <c r="DQ1255" s="3"/>
      <c r="DR1255" s="3"/>
      <c r="DS1255" s="3"/>
      <c r="DT1255" s="3"/>
      <c r="DU1255" s="3"/>
      <c r="DV1255" s="3"/>
      <c r="DW1255" s="3"/>
      <c r="DX1255" s="3"/>
      <c r="DY1255" s="3"/>
      <c r="DZ1255" s="3"/>
      <c r="EA1255" s="3"/>
      <c r="EB1255" s="3"/>
      <c r="EC1255" s="3"/>
      <c r="ED1255" s="3"/>
      <c r="EE1255" s="3"/>
      <c r="EF1255" s="3"/>
      <c r="EG1255" s="3"/>
      <c r="EH1255" s="3"/>
      <c r="EI1255" s="3"/>
      <c r="EJ1255" s="3"/>
      <c r="EK1255" s="3"/>
      <c r="EL1255" s="3"/>
      <c r="EM1255" s="3"/>
      <c r="EN1255" s="3"/>
      <c r="EO1255" s="3"/>
      <c r="EP1255" s="3"/>
      <c r="EQ1255" s="3"/>
    </row>
    <row r="1256" spans="1:147" x14ac:dyDescent="0.3">
      <c r="A1256" s="9">
        <f>DATE(2021, 11, 9)</f>
        <v>44509</v>
      </c>
      <c r="B1256" s="10">
        <v>84.78</v>
      </c>
      <c r="C1256" s="10">
        <v>83.56</v>
      </c>
      <c r="D1256" s="10">
        <v>82.46</v>
      </c>
      <c r="E1256" s="10">
        <v>81.52</v>
      </c>
      <c r="F1256" s="10">
        <v>80.69</v>
      </c>
      <c r="G1256" s="10">
        <v>79.92</v>
      </c>
      <c r="H1256" s="10">
        <v>79.209999999999994</v>
      </c>
      <c r="I1256" s="10">
        <v>78.58</v>
      </c>
      <c r="J1256" s="10">
        <v>77.989999999999995</v>
      </c>
      <c r="K1256" s="10">
        <v>77.430000000000007</v>
      </c>
      <c r="L1256" s="10">
        <v>76.930000000000007</v>
      </c>
      <c r="M1256" s="10">
        <v>76.45</v>
      </c>
      <c r="N1256" s="10">
        <v>84.15</v>
      </c>
      <c r="O1256" s="10">
        <v>82.56</v>
      </c>
      <c r="P1256" s="10">
        <v>81.05</v>
      </c>
      <c r="Q1256" s="10">
        <v>79.66</v>
      </c>
      <c r="R1256" s="10">
        <v>78.48</v>
      </c>
      <c r="S1256" s="10">
        <v>77.45</v>
      </c>
      <c r="T1256" s="10">
        <v>76.55</v>
      </c>
      <c r="U1256" s="10">
        <v>75.77</v>
      </c>
      <c r="V1256" s="10">
        <v>75.099999999999994</v>
      </c>
      <c r="W1256" s="10">
        <v>74.47</v>
      </c>
      <c r="X1256" s="10">
        <v>73.91</v>
      </c>
      <c r="Y1256" s="10">
        <v>73.41</v>
      </c>
      <c r="Z1256" s="11">
        <v>82.587000000000003</v>
      </c>
      <c r="AA1256" s="11">
        <v>80.954999999999998</v>
      </c>
      <c r="AB1256" s="11">
        <v>79.555000000000007</v>
      </c>
      <c r="AC1256" s="11">
        <v>78.549000000000007</v>
      </c>
      <c r="AD1256" s="11">
        <v>77.853999999999999</v>
      </c>
      <c r="AE1256" s="11">
        <v>77.215000000000003</v>
      </c>
      <c r="AF1256" s="11">
        <v>76.581000000000003</v>
      </c>
      <c r="AG1256" s="11">
        <v>75.957999999999998</v>
      </c>
      <c r="AH1256" s="11">
        <v>75.393000000000001</v>
      </c>
      <c r="AI1256" s="11">
        <v>74.878</v>
      </c>
      <c r="AJ1256" s="11">
        <v>74.388000000000005</v>
      </c>
      <c r="AK1256" s="11">
        <v>73.897000000000006</v>
      </c>
      <c r="AL1256" s="11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3"/>
      <c r="CK1256" s="3"/>
      <c r="CL1256" s="3"/>
      <c r="CM1256" s="3"/>
      <c r="CN1256" s="3"/>
      <c r="CO1256" s="3"/>
      <c r="CP1256" s="3"/>
      <c r="CQ1256" s="3"/>
      <c r="CR1256" s="3"/>
      <c r="CS1256" s="3"/>
      <c r="CT1256" s="3"/>
      <c r="CU1256" s="3"/>
      <c r="CV1256" s="3"/>
      <c r="CW1256" s="3"/>
      <c r="CX1256" s="3"/>
      <c r="CY1256" s="3"/>
      <c r="CZ1256" s="3"/>
      <c r="DA1256" s="3"/>
      <c r="DB1256" s="3"/>
      <c r="DC1256" s="3"/>
      <c r="DD1256" s="3"/>
      <c r="DE1256" s="3"/>
      <c r="DF1256" s="3"/>
      <c r="DG1256" s="3"/>
      <c r="DH1256" s="3"/>
      <c r="DI1256" s="3"/>
      <c r="DJ1256" s="3"/>
      <c r="DK1256" s="3"/>
      <c r="DL1256" s="3"/>
      <c r="DM1256" s="3"/>
      <c r="DN1256" s="3"/>
      <c r="DO1256" s="3"/>
      <c r="DP1256" s="3"/>
      <c r="DQ1256" s="3"/>
      <c r="DR1256" s="3"/>
      <c r="DS1256" s="3"/>
      <c r="DT1256" s="3"/>
      <c r="DU1256" s="3"/>
      <c r="DV1256" s="3"/>
      <c r="DW1256" s="3"/>
      <c r="DX1256" s="3"/>
      <c r="DY1256" s="3"/>
      <c r="DZ1256" s="3"/>
      <c r="EA1256" s="3"/>
      <c r="EB1256" s="3"/>
      <c r="EC1256" s="3"/>
      <c r="ED1256" s="3"/>
      <c r="EE1256" s="3"/>
      <c r="EF1256" s="3"/>
      <c r="EG1256" s="3"/>
      <c r="EH1256" s="3"/>
      <c r="EI1256" s="3"/>
      <c r="EJ1256" s="3"/>
      <c r="EK1256" s="3"/>
      <c r="EL1256" s="3"/>
      <c r="EM1256" s="3"/>
      <c r="EN1256" s="3"/>
      <c r="EO1256" s="3"/>
      <c r="EP1256" s="3"/>
      <c r="EQ1256" s="3"/>
    </row>
    <row r="1257" spans="1:147" x14ac:dyDescent="0.3">
      <c r="A1257" s="9">
        <f>DATE(2021, 11, 10)</f>
        <v>44510</v>
      </c>
      <c r="B1257" s="10">
        <v>82.64</v>
      </c>
      <c r="C1257" s="10">
        <v>81.55</v>
      </c>
      <c r="D1257" s="10">
        <v>80.540000000000006</v>
      </c>
      <c r="E1257" s="10">
        <v>79.650000000000006</v>
      </c>
      <c r="F1257" s="10">
        <v>78.84</v>
      </c>
      <c r="G1257" s="10">
        <v>78.09</v>
      </c>
      <c r="H1257" s="10">
        <v>77.42</v>
      </c>
      <c r="I1257" s="10">
        <v>76.84</v>
      </c>
      <c r="J1257" s="10">
        <v>76.31</v>
      </c>
      <c r="K1257" s="10">
        <v>75.8</v>
      </c>
      <c r="L1257" s="10">
        <v>75.349999999999994</v>
      </c>
      <c r="M1257" s="10">
        <v>74.92</v>
      </c>
      <c r="N1257" s="10">
        <v>81.34</v>
      </c>
      <c r="O1257" s="10">
        <v>80.06</v>
      </c>
      <c r="P1257" s="10">
        <v>78.739999999999995</v>
      </c>
      <c r="Q1257" s="10">
        <v>77.5</v>
      </c>
      <c r="R1257" s="10">
        <v>76.42</v>
      </c>
      <c r="S1257" s="10">
        <v>75.459999999999994</v>
      </c>
      <c r="T1257" s="10">
        <v>74.62</v>
      </c>
      <c r="U1257" s="10">
        <v>73.89</v>
      </c>
      <c r="V1257" s="10">
        <v>73.260000000000005</v>
      </c>
      <c r="W1257" s="10">
        <v>72.7</v>
      </c>
      <c r="X1257" s="10">
        <v>72.2</v>
      </c>
      <c r="Y1257" s="10">
        <v>71.75</v>
      </c>
      <c r="Z1257" s="11">
        <v>81.521000000000001</v>
      </c>
      <c r="AA1257" s="11">
        <v>79.182000000000002</v>
      </c>
      <c r="AB1257" s="11">
        <v>77.688999999999993</v>
      </c>
      <c r="AC1257" s="11">
        <v>76.680000000000007</v>
      </c>
      <c r="AD1257" s="11">
        <v>75.986999999999995</v>
      </c>
      <c r="AE1257" s="11">
        <v>75.387</v>
      </c>
      <c r="AF1257" s="11">
        <v>74.793999999999997</v>
      </c>
      <c r="AG1257" s="11">
        <v>74.236000000000004</v>
      </c>
      <c r="AH1257" s="11">
        <v>73.715999999999994</v>
      </c>
      <c r="AI1257" s="11">
        <v>73.23</v>
      </c>
      <c r="AJ1257" s="11">
        <v>72.790000000000006</v>
      </c>
      <c r="AK1257" s="11">
        <v>72.369</v>
      </c>
      <c r="AL1257" s="11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3"/>
      <c r="CK1257" s="3"/>
      <c r="CL1257" s="3"/>
      <c r="CM1257" s="3"/>
      <c r="CN1257" s="3"/>
      <c r="CO1257" s="3"/>
      <c r="CP1257" s="3"/>
      <c r="CQ1257" s="3"/>
      <c r="CR1257" s="3"/>
      <c r="CS1257" s="3"/>
      <c r="CT1257" s="3"/>
      <c r="CU1257" s="3"/>
      <c r="CV1257" s="3"/>
      <c r="CW1257" s="3"/>
      <c r="CX1257" s="3"/>
      <c r="CY1257" s="3"/>
      <c r="CZ1257" s="3"/>
      <c r="DA1257" s="3"/>
      <c r="DB1257" s="3"/>
      <c r="DC1257" s="3"/>
      <c r="DD1257" s="3"/>
      <c r="DE1257" s="3"/>
      <c r="DF1257" s="3"/>
      <c r="DG1257" s="3"/>
      <c r="DH1257" s="3"/>
      <c r="DI1257" s="3"/>
      <c r="DJ1257" s="3"/>
      <c r="DK1257" s="3"/>
      <c r="DL1257" s="3"/>
      <c r="DM1257" s="3"/>
      <c r="DN1257" s="3"/>
      <c r="DO1257" s="3"/>
      <c r="DP1257" s="3"/>
      <c r="DQ1257" s="3"/>
      <c r="DR1257" s="3"/>
      <c r="DS1257" s="3"/>
      <c r="DT1257" s="3"/>
      <c r="DU1257" s="3"/>
      <c r="DV1257" s="3"/>
      <c r="DW1257" s="3"/>
      <c r="DX1257" s="3"/>
      <c r="DY1257" s="3"/>
      <c r="DZ1257" s="3"/>
      <c r="EA1257" s="3"/>
      <c r="EB1257" s="3"/>
      <c r="EC1257" s="3"/>
      <c r="ED1257" s="3"/>
      <c r="EE1257" s="3"/>
      <c r="EF1257" s="3"/>
      <c r="EG1257" s="3"/>
      <c r="EH1257" s="3"/>
      <c r="EI1257" s="3"/>
      <c r="EJ1257" s="3"/>
      <c r="EK1257" s="3"/>
      <c r="EL1257" s="3"/>
      <c r="EM1257" s="3"/>
      <c r="EN1257" s="3"/>
      <c r="EO1257" s="3"/>
      <c r="EP1257" s="3"/>
      <c r="EQ1257" s="3"/>
    </row>
    <row r="1258" spans="1:147" x14ac:dyDescent="0.3">
      <c r="A1258" s="9">
        <f>DATE(2021, 11, 11)</f>
        <v>44511</v>
      </c>
      <c r="B1258" s="10">
        <v>82.87</v>
      </c>
      <c r="C1258" s="10">
        <v>81.849999999999994</v>
      </c>
      <c r="D1258" s="10">
        <v>80.900000000000006</v>
      </c>
      <c r="E1258" s="10">
        <v>80.040000000000006</v>
      </c>
      <c r="F1258" s="10">
        <v>79.25</v>
      </c>
      <c r="G1258" s="10">
        <v>78.52</v>
      </c>
      <c r="H1258" s="10">
        <v>77.86</v>
      </c>
      <c r="I1258" s="10">
        <v>77.27</v>
      </c>
      <c r="J1258" s="10">
        <v>76.73</v>
      </c>
      <c r="K1258" s="10">
        <v>76.22</v>
      </c>
      <c r="L1258" s="10">
        <v>75.77</v>
      </c>
      <c r="M1258" s="10">
        <v>75.36</v>
      </c>
      <c r="N1258" s="10">
        <v>81.59</v>
      </c>
      <c r="O1258" s="10">
        <v>80.42</v>
      </c>
      <c r="P1258" s="10">
        <v>79.069999999999993</v>
      </c>
      <c r="Q1258" s="10">
        <v>77.78</v>
      </c>
      <c r="R1258" s="10">
        <v>76.67</v>
      </c>
      <c r="S1258" s="10">
        <v>75.709999999999994</v>
      </c>
      <c r="T1258" s="10">
        <v>74.87</v>
      </c>
      <c r="U1258" s="10">
        <v>74.14</v>
      </c>
      <c r="V1258" s="10">
        <v>73.510000000000005</v>
      </c>
      <c r="W1258" s="10">
        <v>72.94</v>
      </c>
      <c r="X1258" s="10">
        <v>72.45</v>
      </c>
      <c r="Y1258" s="10">
        <v>72.010000000000005</v>
      </c>
      <c r="Z1258" s="11">
        <v>81.91</v>
      </c>
      <c r="AA1258" s="11">
        <v>79.716999999999999</v>
      </c>
      <c r="AB1258" s="11">
        <v>78.141000000000005</v>
      </c>
      <c r="AC1258" s="11">
        <v>77.131</v>
      </c>
      <c r="AD1258" s="11">
        <v>76.438000000000002</v>
      </c>
      <c r="AE1258" s="11">
        <v>75.826999999999998</v>
      </c>
      <c r="AF1258" s="11">
        <v>75.263000000000005</v>
      </c>
      <c r="AG1258" s="11">
        <v>74.694999999999993</v>
      </c>
      <c r="AH1258" s="11">
        <v>74.176000000000002</v>
      </c>
      <c r="AI1258" s="11">
        <v>73.7</v>
      </c>
      <c r="AJ1258" s="11">
        <v>73.251000000000005</v>
      </c>
      <c r="AK1258" s="11">
        <v>72.838999999999999</v>
      </c>
      <c r="AL1258" s="11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3"/>
      <c r="CK1258" s="3"/>
      <c r="CL1258" s="3"/>
      <c r="CM1258" s="3"/>
      <c r="CN1258" s="3"/>
      <c r="CO1258" s="3"/>
      <c r="CP1258" s="3"/>
      <c r="CQ1258" s="3"/>
      <c r="CR1258" s="3"/>
      <c r="CS1258" s="3"/>
      <c r="CT1258" s="3"/>
      <c r="CU1258" s="3"/>
      <c r="CV1258" s="3"/>
      <c r="CW1258" s="3"/>
      <c r="CX1258" s="3"/>
      <c r="CY1258" s="3"/>
      <c r="CZ1258" s="3"/>
      <c r="DA1258" s="3"/>
      <c r="DB1258" s="3"/>
      <c r="DC1258" s="3"/>
      <c r="DD1258" s="3"/>
      <c r="DE1258" s="3"/>
      <c r="DF1258" s="3"/>
      <c r="DG1258" s="3"/>
      <c r="DH1258" s="3"/>
      <c r="DI1258" s="3"/>
      <c r="DJ1258" s="3"/>
      <c r="DK1258" s="3"/>
      <c r="DL1258" s="3"/>
      <c r="DM1258" s="3"/>
      <c r="DN1258" s="3"/>
      <c r="DO1258" s="3"/>
      <c r="DP1258" s="3"/>
      <c r="DQ1258" s="3"/>
      <c r="DR1258" s="3"/>
      <c r="DS1258" s="3"/>
      <c r="DT1258" s="3"/>
      <c r="DU1258" s="3"/>
      <c r="DV1258" s="3"/>
      <c r="DW1258" s="3"/>
      <c r="DX1258" s="3"/>
      <c r="DY1258" s="3"/>
      <c r="DZ1258" s="3"/>
      <c r="EA1258" s="3"/>
      <c r="EB1258" s="3"/>
      <c r="EC1258" s="3"/>
      <c r="ED1258" s="3"/>
      <c r="EE1258" s="3"/>
      <c r="EF1258" s="3"/>
      <c r="EG1258" s="3"/>
      <c r="EH1258" s="3"/>
      <c r="EI1258" s="3"/>
      <c r="EJ1258" s="3"/>
      <c r="EK1258" s="3"/>
      <c r="EL1258" s="3"/>
      <c r="EM1258" s="3"/>
      <c r="EN1258" s="3"/>
      <c r="EO1258" s="3"/>
      <c r="EP1258" s="3"/>
      <c r="EQ1258" s="3"/>
    </row>
    <row r="1259" spans="1:147" x14ac:dyDescent="0.3">
      <c r="A1259" s="9">
        <f>DATE(2021, 11, 12)</f>
        <v>44512</v>
      </c>
      <c r="B1259" s="10">
        <v>82.17</v>
      </c>
      <c r="C1259" s="10">
        <v>81.13</v>
      </c>
      <c r="D1259" s="10">
        <v>80.2</v>
      </c>
      <c r="E1259" s="10">
        <v>79.37</v>
      </c>
      <c r="F1259" s="10">
        <v>78.62</v>
      </c>
      <c r="G1259" s="10">
        <v>77.92</v>
      </c>
      <c r="H1259" s="10">
        <v>77.28</v>
      </c>
      <c r="I1259" s="10">
        <v>76.709999999999994</v>
      </c>
      <c r="J1259" s="10">
        <v>76.19</v>
      </c>
      <c r="K1259" s="10">
        <v>75.680000000000007</v>
      </c>
      <c r="L1259" s="10">
        <v>75.23</v>
      </c>
      <c r="M1259" s="10">
        <v>74.81</v>
      </c>
      <c r="N1259" s="10">
        <v>80.790000000000006</v>
      </c>
      <c r="O1259" s="10">
        <v>79.69</v>
      </c>
      <c r="P1259" s="10">
        <v>78.44</v>
      </c>
      <c r="Q1259" s="10">
        <v>77.17</v>
      </c>
      <c r="R1259" s="10">
        <v>76.06</v>
      </c>
      <c r="S1259" s="10">
        <v>75.099999999999994</v>
      </c>
      <c r="T1259" s="10">
        <v>74.27</v>
      </c>
      <c r="U1259" s="10">
        <v>73.55</v>
      </c>
      <c r="V1259" s="10">
        <v>72.92</v>
      </c>
      <c r="W1259" s="10">
        <v>72.36</v>
      </c>
      <c r="X1259" s="10">
        <v>71.849999999999994</v>
      </c>
      <c r="Y1259" s="10">
        <v>71.400000000000006</v>
      </c>
      <c r="Z1259" s="11">
        <v>81.515000000000001</v>
      </c>
      <c r="AA1259" s="11">
        <v>78.998000000000005</v>
      </c>
      <c r="AB1259" s="11">
        <v>77.44</v>
      </c>
      <c r="AC1259" s="11">
        <v>76.435000000000002</v>
      </c>
      <c r="AD1259" s="11">
        <v>75.78</v>
      </c>
      <c r="AE1259" s="11">
        <v>75.227999999999994</v>
      </c>
      <c r="AF1259" s="11">
        <v>74.683999999999997</v>
      </c>
      <c r="AG1259" s="11">
        <v>74.135999999999996</v>
      </c>
      <c r="AH1259" s="11">
        <v>73.635999999999996</v>
      </c>
      <c r="AI1259" s="11">
        <v>73.16</v>
      </c>
      <c r="AJ1259" s="11">
        <v>72.710999999999999</v>
      </c>
      <c r="AK1259" s="11">
        <v>72.289000000000001</v>
      </c>
      <c r="AL1259" s="11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3"/>
      <c r="CK1259" s="3"/>
      <c r="CL1259" s="3"/>
      <c r="CM1259" s="3"/>
      <c r="CN1259" s="3"/>
      <c r="CO1259" s="3"/>
      <c r="CP1259" s="3"/>
      <c r="CQ1259" s="3"/>
      <c r="CR1259" s="3"/>
      <c r="CS1259" s="3"/>
      <c r="CT1259" s="3"/>
      <c r="CU1259" s="3"/>
      <c r="CV1259" s="3"/>
      <c r="CW1259" s="3"/>
      <c r="CX1259" s="3"/>
      <c r="CY1259" s="3"/>
      <c r="CZ1259" s="3"/>
      <c r="DA1259" s="3"/>
      <c r="DB1259" s="3"/>
      <c r="DC1259" s="3"/>
      <c r="DD1259" s="3"/>
      <c r="DE1259" s="3"/>
      <c r="DF1259" s="3"/>
      <c r="DG1259" s="3"/>
      <c r="DH1259" s="3"/>
      <c r="DI1259" s="3"/>
      <c r="DJ1259" s="3"/>
      <c r="DK1259" s="3"/>
      <c r="DL1259" s="3"/>
      <c r="DM1259" s="3"/>
      <c r="DN1259" s="3"/>
      <c r="DO1259" s="3"/>
      <c r="DP1259" s="3"/>
      <c r="DQ1259" s="3"/>
      <c r="DR1259" s="3"/>
      <c r="DS1259" s="3"/>
      <c r="DT1259" s="3"/>
      <c r="DU1259" s="3"/>
      <c r="DV1259" s="3"/>
      <c r="DW1259" s="3"/>
      <c r="DX1259" s="3"/>
      <c r="DY1259" s="3"/>
      <c r="DZ1259" s="3"/>
      <c r="EA1259" s="3"/>
      <c r="EB1259" s="3"/>
      <c r="EC1259" s="3"/>
      <c r="ED1259" s="3"/>
      <c r="EE1259" s="3"/>
      <c r="EF1259" s="3"/>
      <c r="EG1259" s="3"/>
      <c r="EH1259" s="3"/>
      <c r="EI1259" s="3"/>
      <c r="EJ1259" s="3"/>
      <c r="EK1259" s="3"/>
      <c r="EL1259" s="3"/>
      <c r="EM1259" s="3"/>
      <c r="EN1259" s="3"/>
      <c r="EO1259" s="3"/>
      <c r="EP1259" s="3"/>
      <c r="EQ1259" s="3"/>
    </row>
    <row r="1260" spans="1:147" x14ac:dyDescent="0.3">
      <c r="A1260" s="9">
        <f>DATE(2021, 11, 15)</f>
        <v>44515</v>
      </c>
      <c r="B1260" s="10">
        <v>82.05</v>
      </c>
      <c r="C1260" s="10">
        <v>81.05</v>
      </c>
      <c r="D1260" s="10">
        <v>80.14</v>
      </c>
      <c r="E1260" s="10">
        <v>79.34</v>
      </c>
      <c r="F1260" s="10">
        <v>78.62</v>
      </c>
      <c r="G1260" s="10">
        <v>77.94</v>
      </c>
      <c r="H1260" s="10">
        <v>77.290000000000006</v>
      </c>
      <c r="I1260" s="10">
        <v>76.72</v>
      </c>
      <c r="J1260" s="10">
        <v>76.19</v>
      </c>
      <c r="K1260" s="10">
        <v>75.680000000000007</v>
      </c>
      <c r="L1260" s="10">
        <v>75.23</v>
      </c>
      <c r="M1260" s="10">
        <v>74.81</v>
      </c>
      <c r="N1260" s="10">
        <v>80.88</v>
      </c>
      <c r="O1260" s="10">
        <v>79.75</v>
      </c>
      <c r="P1260" s="10">
        <v>78.48</v>
      </c>
      <c r="Q1260" s="10">
        <v>77.22</v>
      </c>
      <c r="R1260" s="10">
        <v>76.13</v>
      </c>
      <c r="S1260" s="10">
        <v>75.180000000000007</v>
      </c>
      <c r="T1260" s="10">
        <v>74.349999999999994</v>
      </c>
      <c r="U1260" s="10">
        <v>73.61</v>
      </c>
      <c r="V1260" s="10">
        <v>72.98</v>
      </c>
      <c r="W1260" s="10">
        <v>72.39</v>
      </c>
      <c r="X1260" s="10">
        <v>71.87</v>
      </c>
      <c r="Y1260" s="10">
        <v>71.41</v>
      </c>
      <c r="Z1260" s="11">
        <v>81.433999999999997</v>
      </c>
      <c r="AA1260" s="11">
        <v>78.92</v>
      </c>
      <c r="AB1260" s="11">
        <v>77.421999999999997</v>
      </c>
      <c r="AC1260" s="11">
        <v>76.483999999999995</v>
      </c>
      <c r="AD1260" s="11">
        <v>75.844999999999999</v>
      </c>
      <c r="AE1260" s="11">
        <v>75.296000000000006</v>
      </c>
      <c r="AF1260" s="11">
        <v>74.698999999999998</v>
      </c>
      <c r="AG1260" s="11">
        <v>74.131</v>
      </c>
      <c r="AH1260" s="11">
        <v>73.635999999999996</v>
      </c>
      <c r="AI1260" s="11">
        <v>73.16</v>
      </c>
      <c r="AJ1260" s="11">
        <v>72.710999999999999</v>
      </c>
      <c r="AK1260" s="11">
        <v>72.289000000000001</v>
      </c>
      <c r="AL1260" s="11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3"/>
      <c r="CK1260" s="3"/>
      <c r="CL1260" s="3"/>
      <c r="CM1260" s="3"/>
      <c r="CN1260" s="3"/>
      <c r="CO1260" s="3"/>
      <c r="CP1260" s="3"/>
      <c r="CQ1260" s="3"/>
      <c r="CR1260" s="3"/>
      <c r="CS1260" s="3"/>
      <c r="CT1260" s="3"/>
      <c r="CU1260" s="3"/>
      <c r="CV1260" s="3"/>
      <c r="CW1260" s="3"/>
      <c r="CX1260" s="3"/>
      <c r="CY1260" s="3"/>
      <c r="CZ1260" s="3"/>
      <c r="DA1260" s="3"/>
      <c r="DB1260" s="3"/>
      <c r="DC1260" s="3"/>
      <c r="DD1260" s="3"/>
      <c r="DE1260" s="3"/>
      <c r="DF1260" s="3"/>
      <c r="DG1260" s="3"/>
      <c r="DH1260" s="3"/>
      <c r="DI1260" s="3"/>
      <c r="DJ1260" s="3"/>
      <c r="DK1260" s="3"/>
      <c r="DL1260" s="3"/>
      <c r="DM1260" s="3"/>
      <c r="DN1260" s="3"/>
      <c r="DO1260" s="3"/>
      <c r="DP1260" s="3"/>
      <c r="DQ1260" s="3"/>
      <c r="DR1260" s="3"/>
      <c r="DS1260" s="3"/>
      <c r="DT1260" s="3"/>
      <c r="DU1260" s="3"/>
      <c r="DV1260" s="3"/>
      <c r="DW1260" s="3"/>
      <c r="DX1260" s="3"/>
      <c r="DY1260" s="3"/>
      <c r="DZ1260" s="3"/>
      <c r="EA1260" s="3"/>
      <c r="EB1260" s="3"/>
      <c r="EC1260" s="3"/>
      <c r="ED1260" s="3"/>
      <c r="EE1260" s="3"/>
      <c r="EF1260" s="3"/>
      <c r="EG1260" s="3"/>
      <c r="EH1260" s="3"/>
      <c r="EI1260" s="3"/>
      <c r="EJ1260" s="3"/>
      <c r="EK1260" s="3"/>
      <c r="EL1260" s="3"/>
      <c r="EM1260" s="3"/>
      <c r="EN1260" s="3"/>
      <c r="EO1260" s="3"/>
      <c r="EP1260" s="3"/>
      <c r="EQ1260" s="3"/>
    </row>
    <row r="1261" spans="1:147" x14ac:dyDescent="0.3">
      <c r="A1261" s="9">
        <f>DATE(2021, 11, 16)</f>
        <v>44516</v>
      </c>
      <c r="B1261" s="10">
        <v>82.43</v>
      </c>
      <c r="C1261" s="10">
        <v>81.42</v>
      </c>
      <c r="D1261" s="10">
        <v>80.48</v>
      </c>
      <c r="E1261" s="10">
        <v>79.650000000000006</v>
      </c>
      <c r="F1261" s="10">
        <v>78.92</v>
      </c>
      <c r="G1261" s="10">
        <v>78.23</v>
      </c>
      <c r="H1261" s="10">
        <v>77.56</v>
      </c>
      <c r="I1261" s="10">
        <v>76.97</v>
      </c>
      <c r="J1261" s="10">
        <v>76.430000000000007</v>
      </c>
      <c r="K1261" s="10">
        <v>75.91</v>
      </c>
      <c r="L1261" s="10">
        <v>75.459999999999994</v>
      </c>
      <c r="M1261" s="10">
        <v>75.040000000000006</v>
      </c>
      <c r="N1261" s="10">
        <v>80.760000000000005</v>
      </c>
      <c r="O1261" s="10">
        <v>79.739999999999995</v>
      </c>
      <c r="P1261" s="10">
        <v>78.540000000000006</v>
      </c>
      <c r="Q1261" s="10">
        <v>77.349999999999994</v>
      </c>
      <c r="R1261" s="10">
        <v>76.31</v>
      </c>
      <c r="S1261" s="10">
        <v>75.39</v>
      </c>
      <c r="T1261" s="10">
        <v>74.569999999999993</v>
      </c>
      <c r="U1261" s="10">
        <v>73.84</v>
      </c>
      <c r="V1261" s="10">
        <v>73.19</v>
      </c>
      <c r="W1261" s="10">
        <v>72.59</v>
      </c>
      <c r="X1261" s="10">
        <v>72.06</v>
      </c>
      <c r="Y1261" s="10">
        <v>71.56</v>
      </c>
      <c r="Z1261" s="11">
        <v>81.700999999999993</v>
      </c>
      <c r="AA1261" s="11">
        <v>79.388000000000005</v>
      </c>
      <c r="AB1261" s="11">
        <v>77.88</v>
      </c>
      <c r="AC1261" s="11">
        <v>76.953999999999994</v>
      </c>
      <c r="AD1261" s="11">
        <v>76.3</v>
      </c>
      <c r="AE1261" s="11">
        <v>75.677000000000007</v>
      </c>
      <c r="AF1261" s="11">
        <v>75.052999999999997</v>
      </c>
      <c r="AG1261" s="11">
        <v>74.474999999999994</v>
      </c>
      <c r="AH1261" s="11">
        <v>73.935000000000002</v>
      </c>
      <c r="AI1261" s="11">
        <v>73.430000000000007</v>
      </c>
      <c r="AJ1261" s="11">
        <v>72.980999999999995</v>
      </c>
      <c r="AK1261" s="11">
        <v>72.558999999999997</v>
      </c>
      <c r="AL1261" s="11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3"/>
      <c r="CK1261" s="3"/>
      <c r="CL1261" s="3"/>
      <c r="CM1261" s="3"/>
      <c r="CN1261" s="3"/>
      <c r="CO1261" s="3"/>
      <c r="CP1261" s="3"/>
      <c r="CQ1261" s="3"/>
      <c r="CR1261" s="3"/>
      <c r="CS1261" s="3"/>
      <c r="CT1261" s="3"/>
      <c r="CU1261" s="3"/>
      <c r="CV1261" s="3"/>
      <c r="CW1261" s="3"/>
      <c r="CX1261" s="3"/>
      <c r="CY1261" s="3"/>
      <c r="CZ1261" s="3"/>
      <c r="DA1261" s="3"/>
      <c r="DB1261" s="3"/>
      <c r="DC1261" s="3"/>
      <c r="DD1261" s="3"/>
      <c r="DE1261" s="3"/>
      <c r="DF1261" s="3"/>
      <c r="DG1261" s="3"/>
      <c r="DH1261" s="3"/>
      <c r="DI1261" s="3"/>
      <c r="DJ1261" s="3"/>
      <c r="DK1261" s="3"/>
      <c r="DL1261" s="3"/>
      <c r="DM1261" s="3"/>
      <c r="DN1261" s="3"/>
      <c r="DO1261" s="3"/>
      <c r="DP1261" s="3"/>
      <c r="DQ1261" s="3"/>
      <c r="DR1261" s="3"/>
      <c r="DS1261" s="3"/>
      <c r="DT1261" s="3"/>
      <c r="DU1261" s="3"/>
      <c r="DV1261" s="3"/>
      <c r="DW1261" s="3"/>
      <c r="DX1261" s="3"/>
      <c r="DY1261" s="3"/>
      <c r="DZ1261" s="3"/>
      <c r="EA1261" s="3"/>
      <c r="EB1261" s="3"/>
      <c r="EC1261" s="3"/>
      <c r="ED1261" s="3"/>
      <c r="EE1261" s="3"/>
      <c r="EF1261" s="3"/>
      <c r="EG1261" s="3"/>
      <c r="EH1261" s="3"/>
      <c r="EI1261" s="3"/>
      <c r="EJ1261" s="3"/>
      <c r="EK1261" s="3"/>
      <c r="EL1261" s="3"/>
      <c r="EM1261" s="3"/>
      <c r="EN1261" s="3"/>
      <c r="EO1261" s="3"/>
      <c r="EP1261" s="3"/>
      <c r="EQ1261" s="3"/>
    </row>
    <row r="1262" spans="1:147" x14ac:dyDescent="0.3">
      <c r="A1262" s="9">
        <f>DATE(2021, 11, 17)</f>
        <v>44517</v>
      </c>
      <c r="B1262" s="10">
        <v>80.28</v>
      </c>
      <c r="C1262" s="10">
        <v>79.34</v>
      </c>
      <c r="D1262" s="10">
        <v>78.489999999999995</v>
      </c>
      <c r="E1262" s="10">
        <v>77.77</v>
      </c>
      <c r="F1262" s="10">
        <v>77.11</v>
      </c>
      <c r="G1262" s="10">
        <v>76.489999999999995</v>
      </c>
      <c r="H1262" s="10">
        <v>75.88</v>
      </c>
      <c r="I1262" s="10">
        <v>75.349999999999994</v>
      </c>
      <c r="J1262" s="10">
        <v>74.87</v>
      </c>
      <c r="K1262" s="10">
        <v>74.400000000000006</v>
      </c>
      <c r="L1262" s="10">
        <v>73.989999999999995</v>
      </c>
      <c r="M1262" s="10">
        <v>73.62</v>
      </c>
      <c r="N1262" s="10">
        <v>78.36</v>
      </c>
      <c r="O1262" s="10">
        <v>77.55</v>
      </c>
      <c r="P1262" s="10">
        <v>76.56</v>
      </c>
      <c r="Q1262" s="10">
        <v>75.53</v>
      </c>
      <c r="R1262" s="10">
        <v>74.599999999999994</v>
      </c>
      <c r="S1262" s="10">
        <v>73.760000000000005</v>
      </c>
      <c r="T1262" s="10">
        <v>73.02</v>
      </c>
      <c r="U1262" s="10">
        <v>72.349999999999994</v>
      </c>
      <c r="V1262" s="10">
        <v>71.75</v>
      </c>
      <c r="W1262" s="10">
        <v>71.2</v>
      </c>
      <c r="X1262" s="10">
        <v>70.7</v>
      </c>
      <c r="Y1262" s="10">
        <v>70.239999999999995</v>
      </c>
      <c r="Z1262" s="11">
        <v>80.781000000000006</v>
      </c>
      <c r="AA1262" s="11">
        <v>77.296000000000006</v>
      </c>
      <c r="AB1262" s="11">
        <v>75.944999999999993</v>
      </c>
      <c r="AC1262" s="11">
        <v>75.159000000000006</v>
      </c>
      <c r="AD1262" s="11">
        <v>74.572999999999993</v>
      </c>
      <c r="AE1262" s="11">
        <v>74</v>
      </c>
      <c r="AF1262" s="11">
        <v>73.436000000000007</v>
      </c>
      <c r="AG1262" s="11">
        <v>72.912999999999997</v>
      </c>
      <c r="AH1262" s="11">
        <v>72.427999999999997</v>
      </c>
      <c r="AI1262" s="11">
        <v>71.962000000000003</v>
      </c>
      <c r="AJ1262" s="11">
        <v>71.552999999999997</v>
      </c>
      <c r="AK1262" s="11">
        <v>71.180000000000007</v>
      </c>
      <c r="AL1262" s="11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/>
      <c r="CU1262" s="3"/>
      <c r="CV1262" s="3"/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  <c r="DG1262" s="3"/>
      <c r="DH1262" s="3"/>
      <c r="DI1262" s="3"/>
      <c r="DJ1262" s="3"/>
      <c r="DK1262" s="3"/>
      <c r="DL1262" s="3"/>
      <c r="DM1262" s="3"/>
      <c r="DN1262" s="3"/>
      <c r="DO1262" s="3"/>
      <c r="DP1262" s="3"/>
      <c r="DQ1262" s="3"/>
      <c r="DR1262" s="3"/>
      <c r="DS1262" s="3"/>
      <c r="DT1262" s="3"/>
      <c r="DU1262" s="3"/>
      <c r="DV1262" s="3"/>
      <c r="DW1262" s="3"/>
      <c r="DX1262" s="3"/>
      <c r="DY1262" s="3"/>
      <c r="DZ1262" s="3"/>
      <c r="EA1262" s="3"/>
      <c r="EB1262" s="3"/>
      <c r="EC1262" s="3"/>
      <c r="ED1262" s="3"/>
      <c r="EE1262" s="3"/>
      <c r="EF1262" s="3"/>
      <c r="EG1262" s="3"/>
      <c r="EH1262" s="3"/>
      <c r="EI1262" s="3"/>
      <c r="EJ1262" s="3"/>
      <c r="EK1262" s="3"/>
      <c r="EL1262" s="3"/>
      <c r="EM1262" s="3"/>
      <c r="EN1262" s="3"/>
      <c r="EO1262" s="3"/>
      <c r="EP1262" s="3"/>
      <c r="EQ1262" s="3"/>
    </row>
    <row r="1263" spans="1:147" x14ac:dyDescent="0.3">
      <c r="A1263" s="9">
        <f>DATE(2021, 11, 18)</f>
        <v>44518</v>
      </c>
      <c r="B1263" s="10">
        <v>81.239999999999995</v>
      </c>
      <c r="C1263" s="10">
        <v>80.36</v>
      </c>
      <c r="D1263" s="10">
        <v>79.55</v>
      </c>
      <c r="E1263" s="10">
        <v>78.849999999999994</v>
      </c>
      <c r="F1263" s="10">
        <v>78.2</v>
      </c>
      <c r="G1263" s="10">
        <v>77.599999999999994</v>
      </c>
      <c r="H1263" s="10">
        <v>76.989999999999995</v>
      </c>
      <c r="I1263" s="10">
        <v>76.45</v>
      </c>
      <c r="J1263" s="10">
        <v>75.94</v>
      </c>
      <c r="K1263" s="10">
        <v>75.430000000000007</v>
      </c>
      <c r="L1263" s="10">
        <v>74.98</v>
      </c>
      <c r="M1263" s="10">
        <v>74.569999999999993</v>
      </c>
      <c r="N1263" s="10">
        <v>79.010000000000005</v>
      </c>
      <c r="O1263" s="10">
        <v>78.41</v>
      </c>
      <c r="P1263" s="10">
        <v>77.55</v>
      </c>
      <c r="Q1263" s="10">
        <v>76.62</v>
      </c>
      <c r="R1263" s="10">
        <v>75.760000000000005</v>
      </c>
      <c r="S1263" s="10">
        <v>74.97</v>
      </c>
      <c r="T1263" s="10">
        <v>74.25</v>
      </c>
      <c r="U1263" s="10">
        <v>73.569999999999993</v>
      </c>
      <c r="V1263" s="10">
        <v>72.95</v>
      </c>
      <c r="W1263" s="10">
        <v>72.36</v>
      </c>
      <c r="X1263" s="10">
        <v>71.81</v>
      </c>
      <c r="Y1263" s="10">
        <v>71.3</v>
      </c>
      <c r="Z1263" s="11">
        <v>81.081999999999994</v>
      </c>
      <c r="AA1263" s="11">
        <v>78.28</v>
      </c>
      <c r="AB1263" s="11">
        <v>76.936999999999998</v>
      </c>
      <c r="AC1263" s="11">
        <v>76.188000000000002</v>
      </c>
      <c r="AD1263" s="11">
        <v>75.623999999999995</v>
      </c>
      <c r="AE1263" s="11">
        <v>75.069999999999993</v>
      </c>
      <c r="AF1263" s="11">
        <v>74.52</v>
      </c>
      <c r="AG1263" s="11">
        <v>73.986999999999995</v>
      </c>
      <c r="AH1263" s="11">
        <v>73.475999999999999</v>
      </c>
      <c r="AI1263" s="11">
        <v>72.98</v>
      </c>
      <c r="AJ1263" s="11">
        <v>72.531000000000006</v>
      </c>
      <c r="AK1263" s="11">
        <v>72.119</v>
      </c>
      <c r="AL1263" s="11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3"/>
      <c r="CK1263" s="3"/>
      <c r="CL1263" s="3"/>
      <c r="CM1263" s="3"/>
      <c r="CN1263" s="3"/>
      <c r="CO1263" s="3"/>
      <c r="CP1263" s="3"/>
      <c r="CQ1263" s="3"/>
      <c r="CR1263" s="3"/>
      <c r="CS1263" s="3"/>
      <c r="CT1263" s="3"/>
      <c r="CU1263" s="3"/>
      <c r="CV1263" s="3"/>
      <c r="CW1263" s="3"/>
      <c r="CX1263" s="3"/>
      <c r="CY1263" s="3"/>
      <c r="CZ1263" s="3"/>
      <c r="DA1263" s="3"/>
      <c r="DB1263" s="3"/>
      <c r="DC1263" s="3"/>
      <c r="DD1263" s="3"/>
      <c r="DE1263" s="3"/>
      <c r="DF1263" s="3"/>
      <c r="DG1263" s="3"/>
      <c r="DH1263" s="3"/>
      <c r="DI1263" s="3"/>
      <c r="DJ1263" s="3"/>
      <c r="DK1263" s="3"/>
      <c r="DL1263" s="3"/>
      <c r="DM1263" s="3"/>
      <c r="DN1263" s="3"/>
      <c r="DO1263" s="3"/>
      <c r="DP1263" s="3"/>
      <c r="DQ1263" s="3"/>
      <c r="DR1263" s="3"/>
      <c r="DS1263" s="3"/>
      <c r="DT1263" s="3"/>
      <c r="DU1263" s="3"/>
      <c r="DV1263" s="3"/>
      <c r="DW1263" s="3"/>
      <c r="DX1263" s="3"/>
      <c r="DY1263" s="3"/>
      <c r="DZ1263" s="3"/>
      <c r="EA1263" s="3"/>
      <c r="EB1263" s="3"/>
      <c r="EC1263" s="3"/>
      <c r="ED1263" s="3"/>
      <c r="EE1263" s="3"/>
      <c r="EF1263" s="3"/>
      <c r="EG1263" s="3"/>
      <c r="EH1263" s="3"/>
      <c r="EI1263" s="3"/>
      <c r="EJ1263" s="3"/>
      <c r="EK1263" s="3"/>
      <c r="EL1263" s="3"/>
      <c r="EM1263" s="3"/>
      <c r="EN1263" s="3"/>
      <c r="EO1263" s="3"/>
      <c r="EP1263" s="3"/>
      <c r="EQ1263" s="3"/>
    </row>
    <row r="1264" spans="1:147" x14ac:dyDescent="0.3">
      <c r="A1264" s="9">
        <f>DATE(2021, 11, 19)</f>
        <v>44519</v>
      </c>
      <c r="B1264" s="10">
        <v>78.89</v>
      </c>
      <c r="C1264" s="10">
        <v>78.12</v>
      </c>
      <c r="D1264" s="10">
        <v>77.37</v>
      </c>
      <c r="E1264" s="10">
        <v>76.73</v>
      </c>
      <c r="F1264" s="10">
        <v>76.14</v>
      </c>
      <c r="G1264" s="10">
        <v>75.59</v>
      </c>
      <c r="H1264" s="10">
        <v>75.03</v>
      </c>
      <c r="I1264" s="10">
        <v>74.52</v>
      </c>
      <c r="J1264" s="10">
        <v>74.040000000000006</v>
      </c>
      <c r="K1264" s="10">
        <v>73.56</v>
      </c>
      <c r="L1264" s="10">
        <v>73.14</v>
      </c>
      <c r="M1264" s="10">
        <v>72.75</v>
      </c>
      <c r="N1264" s="10">
        <v>76.099999999999994</v>
      </c>
      <c r="O1264" s="10">
        <v>75.94</v>
      </c>
      <c r="P1264" s="10">
        <v>75.23</v>
      </c>
      <c r="Q1264" s="10">
        <v>74.42</v>
      </c>
      <c r="R1264" s="10">
        <v>73.66</v>
      </c>
      <c r="S1264" s="10">
        <v>72.95</v>
      </c>
      <c r="T1264" s="10">
        <v>72.290000000000006</v>
      </c>
      <c r="U1264" s="10">
        <v>71.67</v>
      </c>
      <c r="V1264" s="10">
        <v>71.09</v>
      </c>
      <c r="W1264" s="10">
        <v>70.55</v>
      </c>
      <c r="X1264" s="10">
        <v>70.03</v>
      </c>
      <c r="Y1264" s="10">
        <v>69.540000000000006</v>
      </c>
      <c r="Z1264" s="11">
        <v>80.293000000000006</v>
      </c>
      <c r="AA1264" s="11">
        <v>76.174999999999997</v>
      </c>
      <c r="AB1264" s="11">
        <v>74.790000000000006</v>
      </c>
      <c r="AC1264" s="11">
        <v>74.085999999999999</v>
      </c>
      <c r="AD1264" s="11">
        <v>73.555999999999997</v>
      </c>
      <c r="AE1264" s="11">
        <v>73.031999999999996</v>
      </c>
      <c r="AF1264" s="11">
        <v>72.516999999999996</v>
      </c>
      <c r="AG1264" s="11">
        <v>72.018000000000001</v>
      </c>
      <c r="AH1264" s="11">
        <v>71.546999999999997</v>
      </c>
      <c r="AI1264" s="11">
        <v>71.081999999999994</v>
      </c>
      <c r="AJ1264" s="11">
        <v>70.662000000000006</v>
      </c>
      <c r="AK1264" s="11">
        <v>70.27</v>
      </c>
      <c r="AL1264" s="11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3"/>
      <c r="CK1264" s="3"/>
      <c r="CL1264" s="3"/>
      <c r="CM1264" s="3"/>
      <c r="CN1264" s="3"/>
      <c r="CO1264" s="3"/>
      <c r="CP1264" s="3"/>
      <c r="CQ1264" s="3"/>
      <c r="CR1264" s="3"/>
      <c r="CS1264" s="3"/>
      <c r="CT1264" s="3"/>
      <c r="CU1264" s="3"/>
      <c r="CV1264" s="3"/>
      <c r="CW1264" s="3"/>
      <c r="CX1264" s="3"/>
      <c r="CY1264" s="3"/>
      <c r="CZ1264" s="3"/>
      <c r="DA1264" s="3"/>
      <c r="DB1264" s="3"/>
      <c r="DC1264" s="3"/>
      <c r="DD1264" s="3"/>
      <c r="DE1264" s="3"/>
      <c r="DF1264" s="3"/>
      <c r="DG1264" s="3"/>
      <c r="DH1264" s="3"/>
      <c r="DI1264" s="3"/>
      <c r="DJ1264" s="3"/>
      <c r="DK1264" s="3"/>
      <c r="DL1264" s="3"/>
      <c r="DM1264" s="3"/>
      <c r="DN1264" s="3"/>
      <c r="DO1264" s="3"/>
      <c r="DP1264" s="3"/>
      <c r="DQ1264" s="3"/>
      <c r="DR1264" s="3"/>
      <c r="DS1264" s="3"/>
      <c r="DT1264" s="3"/>
      <c r="DU1264" s="3"/>
      <c r="DV1264" s="3"/>
      <c r="DW1264" s="3"/>
      <c r="DX1264" s="3"/>
      <c r="DY1264" s="3"/>
      <c r="DZ1264" s="3"/>
      <c r="EA1264" s="3"/>
      <c r="EB1264" s="3"/>
      <c r="EC1264" s="3"/>
      <c r="ED1264" s="3"/>
      <c r="EE1264" s="3"/>
      <c r="EF1264" s="3"/>
      <c r="EG1264" s="3"/>
      <c r="EH1264" s="3"/>
      <c r="EI1264" s="3"/>
      <c r="EJ1264" s="3"/>
      <c r="EK1264" s="3"/>
      <c r="EL1264" s="3"/>
      <c r="EM1264" s="3"/>
      <c r="EN1264" s="3"/>
      <c r="EO1264" s="3"/>
      <c r="EP1264" s="3"/>
      <c r="EQ1264" s="3"/>
    </row>
    <row r="1265" spans="1:147" x14ac:dyDescent="0.3">
      <c r="A1265" s="9">
        <f>DATE(2021, 11, 22)</f>
        <v>44522</v>
      </c>
      <c r="B1265" s="10">
        <v>79.7</v>
      </c>
      <c r="C1265" s="10">
        <v>79.03</v>
      </c>
      <c r="D1265" s="10">
        <v>78.349999999999994</v>
      </c>
      <c r="E1265" s="10">
        <v>77.760000000000005</v>
      </c>
      <c r="F1265" s="10">
        <v>77.2</v>
      </c>
      <c r="G1265" s="10">
        <v>76.66</v>
      </c>
      <c r="H1265" s="10">
        <v>76.099999999999994</v>
      </c>
      <c r="I1265" s="10">
        <v>75.59</v>
      </c>
      <c r="J1265" s="10">
        <v>75.11</v>
      </c>
      <c r="K1265" s="10">
        <v>74.62</v>
      </c>
      <c r="L1265" s="10">
        <v>74.19</v>
      </c>
      <c r="M1265" s="10">
        <v>73.790000000000006</v>
      </c>
      <c r="N1265" s="10">
        <v>76.75</v>
      </c>
      <c r="O1265" s="10">
        <v>76.12</v>
      </c>
      <c r="P1265" s="10">
        <v>75.39</v>
      </c>
      <c r="Q1265" s="10">
        <v>74.7</v>
      </c>
      <c r="R1265" s="10">
        <v>74.03</v>
      </c>
      <c r="S1265" s="10">
        <v>73.41</v>
      </c>
      <c r="T1265" s="10">
        <v>72.83</v>
      </c>
      <c r="U1265" s="10">
        <v>72.27</v>
      </c>
      <c r="V1265" s="10">
        <v>71.73</v>
      </c>
      <c r="W1265" s="10">
        <v>71.2</v>
      </c>
      <c r="X1265" s="10">
        <v>70.7</v>
      </c>
      <c r="Y1265" s="10">
        <v>70.22</v>
      </c>
      <c r="Z1265" s="11">
        <v>80.644000000000005</v>
      </c>
      <c r="AA1265" s="11">
        <v>77.210999999999999</v>
      </c>
      <c r="AB1265" s="11">
        <v>75.84</v>
      </c>
      <c r="AC1265" s="11">
        <v>75.159000000000006</v>
      </c>
      <c r="AD1265" s="11">
        <v>74.626999999999995</v>
      </c>
      <c r="AE1265" s="11">
        <v>74.091999999999999</v>
      </c>
      <c r="AF1265" s="11">
        <v>73.587000000000003</v>
      </c>
      <c r="AG1265" s="11">
        <v>73.097999999999999</v>
      </c>
      <c r="AH1265" s="11">
        <v>72.617000000000004</v>
      </c>
      <c r="AI1265" s="11">
        <v>72.146000000000001</v>
      </c>
      <c r="AJ1265" s="11">
        <v>71.712000000000003</v>
      </c>
      <c r="AK1265" s="11">
        <v>71.299000000000007</v>
      </c>
      <c r="AL1265" s="11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3"/>
      <c r="CK1265" s="3"/>
      <c r="CL1265" s="3"/>
      <c r="CM1265" s="3"/>
      <c r="CN1265" s="3"/>
      <c r="CO1265" s="3"/>
      <c r="CP1265" s="3"/>
      <c r="CQ1265" s="3"/>
      <c r="CR1265" s="3"/>
      <c r="CS1265" s="3"/>
      <c r="CT1265" s="3"/>
      <c r="CU1265" s="3"/>
      <c r="CV1265" s="3"/>
      <c r="CW1265" s="3"/>
      <c r="CX1265" s="3"/>
      <c r="CY1265" s="3"/>
      <c r="CZ1265" s="3"/>
      <c r="DA1265" s="3"/>
      <c r="DB1265" s="3"/>
      <c r="DC1265" s="3"/>
      <c r="DD1265" s="3"/>
      <c r="DE1265" s="3"/>
      <c r="DF1265" s="3"/>
      <c r="DG1265" s="3"/>
      <c r="DH1265" s="3"/>
      <c r="DI1265" s="3"/>
      <c r="DJ1265" s="3"/>
      <c r="DK1265" s="3"/>
      <c r="DL1265" s="3"/>
      <c r="DM1265" s="3"/>
      <c r="DN1265" s="3"/>
      <c r="DO1265" s="3"/>
      <c r="DP1265" s="3"/>
      <c r="DQ1265" s="3"/>
      <c r="DR1265" s="3"/>
      <c r="DS1265" s="3"/>
      <c r="DT1265" s="3"/>
      <c r="DU1265" s="3"/>
      <c r="DV1265" s="3"/>
      <c r="DW1265" s="3"/>
      <c r="DX1265" s="3"/>
      <c r="DY1265" s="3"/>
      <c r="DZ1265" s="3"/>
      <c r="EA1265" s="3"/>
      <c r="EB1265" s="3"/>
      <c r="EC1265" s="3"/>
      <c r="ED1265" s="3"/>
      <c r="EE1265" s="3"/>
      <c r="EF1265" s="3"/>
      <c r="EG1265" s="3"/>
      <c r="EH1265" s="3"/>
      <c r="EI1265" s="3"/>
      <c r="EJ1265" s="3"/>
      <c r="EK1265" s="3"/>
      <c r="EL1265" s="3"/>
      <c r="EM1265" s="3"/>
      <c r="EN1265" s="3"/>
      <c r="EO1265" s="3"/>
      <c r="EP1265" s="3"/>
      <c r="EQ1265" s="3"/>
    </row>
    <row r="1266" spans="1:147" x14ac:dyDescent="0.3">
      <c r="A1266" s="9">
        <f>DATE(2021, 11, 23)</f>
        <v>44523</v>
      </c>
      <c r="B1266" s="10">
        <v>82.31</v>
      </c>
      <c r="C1266" s="10">
        <v>81.33</v>
      </c>
      <c r="D1266" s="10">
        <v>80.66</v>
      </c>
      <c r="E1266" s="10">
        <v>80.05</v>
      </c>
      <c r="F1266" s="10">
        <v>79.459999999999994</v>
      </c>
      <c r="G1266" s="10">
        <v>78.88</v>
      </c>
      <c r="H1266" s="10">
        <v>78.290000000000006</v>
      </c>
      <c r="I1266" s="10">
        <v>77.75</v>
      </c>
      <c r="J1266" s="10">
        <v>77.239999999999995</v>
      </c>
      <c r="K1266" s="10">
        <v>76.72</v>
      </c>
      <c r="L1266" s="10">
        <v>76.25</v>
      </c>
      <c r="M1266" s="10">
        <v>75.81</v>
      </c>
      <c r="N1266" s="10">
        <v>78.5</v>
      </c>
      <c r="O1266" s="10">
        <v>77.94</v>
      </c>
      <c r="P1266" s="10">
        <v>77.27</v>
      </c>
      <c r="Q1266" s="10">
        <v>76.64</v>
      </c>
      <c r="R1266" s="10">
        <v>76.02</v>
      </c>
      <c r="S1266" s="10">
        <v>75.41</v>
      </c>
      <c r="T1266" s="10">
        <v>74.81</v>
      </c>
      <c r="U1266" s="10">
        <v>74.22</v>
      </c>
      <c r="V1266" s="10">
        <v>73.64</v>
      </c>
      <c r="W1266" s="10">
        <v>73.069999999999993</v>
      </c>
      <c r="X1266" s="10">
        <v>72.540000000000006</v>
      </c>
      <c r="Y1266" s="10">
        <v>72.03</v>
      </c>
      <c r="Z1266" s="11">
        <v>81.22</v>
      </c>
      <c r="AA1266" s="11">
        <v>79.682000000000002</v>
      </c>
      <c r="AB1266" s="11">
        <v>78.281000000000006</v>
      </c>
      <c r="AC1266" s="11">
        <v>77.540999999999997</v>
      </c>
      <c r="AD1266" s="11">
        <v>76.974999999999994</v>
      </c>
      <c r="AE1266" s="11">
        <v>76.411000000000001</v>
      </c>
      <c r="AF1266" s="11">
        <v>75.885000000000005</v>
      </c>
      <c r="AG1266" s="11">
        <v>75.367000000000004</v>
      </c>
      <c r="AH1266" s="11">
        <v>74.87</v>
      </c>
      <c r="AI1266" s="11">
        <v>74.355000000000004</v>
      </c>
      <c r="AJ1266" s="11">
        <v>73.885000000000005</v>
      </c>
      <c r="AK1266" s="11">
        <v>73.438000000000002</v>
      </c>
      <c r="AL1266" s="11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3"/>
      <c r="CK1266" s="3"/>
      <c r="CL1266" s="3"/>
      <c r="CM1266" s="3"/>
      <c r="CN1266" s="3"/>
      <c r="CO1266" s="3"/>
      <c r="CP1266" s="3"/>
      <c r="CQ1266" s="3"/>
      <c r="CR1266" s="3"/>
      <c r="CS1266" s="3"/>
      <c r="CT1266" s="3"/>
      <c r="CU1266" s="3"/>
      <c r="CV1266" s="3"/>
      <c r="CW1266" s="3"/>
      <c r="CX1266" s="3"/>
      <c r="CY1266" s="3"/>
      <c r="CZ1266" s="3"/>
      <c r="DA1266" s="3"/>
      <c r="DB1266" s="3"/>
      <c r="DC1266" s="3"/>
      <c r="DD1266" s="3"/>
      <c r="DE1266" s="3"/>
      <c r="DF1266" s="3"/>
      <c r="DG1266" s="3"/>
      <c r="DH1266" s="3"/>
      <c r="DI1266" s="3"/>
      <c r="DJ1266" s="3"/>
      <c r="DK1266" s="3"/>
      <c r="DL1266" s="3"/>
      <c r="DM1266" s="3"/>
      <c r="DN1266" s="3"/>
      <c r="DO1266" s="3"/>
      <c r="DP1266" s="3"/>
      <c r="DQ1266" s="3"/>
      <c r="DR1266" s="3"/>
      <c r="DS1266" s="3"/>
      <c r="DT1266" s="3"/>
      <c r="DU1266" s="3"/>
      <c r="DV1266" s="3"/>
      <c r="DW1266" s="3"/>
      <c r="DX1266" s="3"/>
      <c r="DY1266" s="3"/>
      <c r="DZ1266" s="3"/>
      <c r="EA1266" s="3"/>
      <c r="EB1266" s="3"/>
      <c r="EC1266" s="3"/>
      <c r="ED1266" s="3"/>
      <c r="EE1266" s="3"/>
      <c r="EF1266" s="3"/>
      <c r="EG1266" s="3"/>
      <c r="EH1266" s="3"/>
      <c r="EI1266" s="3"/>
      <c r="EJ1266" s="3"/>
      <c r="EK1266" s="3"/>
      <c r="EL1266" s="3"/>
      <c r="EM1266" s="3"/>
      <c r="EN1266" s="3"/>
      <c r="EO1266" s="3"/>
      <c r="EP1266" s="3"/>
      <c r="EQ1266" s="3"/>
    </row>
    <row r="1267" spans="1:147" x14ac:dyDescent="0.3">
      <c r="A1267" s="9">
        <f>DATE(2021, 11, 24)</f>
        <v>44524</v>
      </c>
      <c r="B1267" s="10">
        <v>82.25</v>
      </c>
      <c r="C1267" s="10">
        <v>81.05</v>
      </c>
      <c r="D1267" s="10">
        <v>80.42</v>
      </c>
      <c r="E1267" s="10">
        <v>79.83</v>
      </c>
      <c r="F1267" s="10">
        <v>79.25</v>
      </c>
      <c r="G1267" s="10">
        <v>78.66</v>
      </c>
      <c r="H1267" s="10">
        <v>78.069999999999993</v>
      </c>
      <c r="I1267" s="10">
        <v>77.52</v>
      </c>
      <c r="J1267" s="10">
        <v>77</v>
      </c>
      <c r="K1267" s="10">
        <v>76.48</v>
      </c>
      <c r="L1267" s="10">
        <v>76</v>
      </c>
      <c r="M1267" s="10">
        <v>75.55</v>
      </c>
      <c r="N1267" s="10">
        <v>78.39</v>
      </c>
      <c r="O1267" s="10">
        <v>77.81</v>
      </c>
      <c r="P1267" s="10">
        <v>77.150000000000006</v>
      </c>
      <c r="Q1267" s="10">
        <v>76.510000000000005</v>
      </c>
      <c r="R1267" s="10">
        <v>75.88</v>
      </c>
      <c r="S1267" s="10">
        <v>75.25</v>
      </c>
      <c r="T1267" s="10">
        <v>74.650000000000006</v>
      </c>
      <c r="U1267" s="10">
        <v>74.06</v>
      </c>
      <c r="V1267" s="10">
        <v>73.48</v>
      </c>
      <c r="W1267" s="10">
        <v>72.91</v>
      </c>
      <c r="X1267" s="10">
        <v>72.37</v>
      </c>
      <c r="Y1267" s="10">
        <v>71.86</v>
      </c>
      <c r="Z1267" s="11">
        <v>81.244</v>
      </c>
      <c r="AA1267" s="11">
        <v>79.605000000000004</v>
      </c>
      <c r="AB1267" s="11">
        <v>78.061999999999998</v>
      </c>
      <c r="AC1267" s="11">
        <v>77.320999999999998</v>
      </c>
      <c r="AD1267" s="11">
        <v>76.754000000000005</v>
      </c>
      <c r="AE1267" s="11">
        <v>76.19</v>
      </c>
      <c r="AF1267" s="11">
        <v>75.655000000000001</v>
      </c>
      <c r="AG1267" s="11">
        <v>75.116</v>
      </c>
      <c r="AH1267" s="11">
        <v>74.594999999999999</v>
      </c>
      <c r="AI1267" s="11">
        <v>74.088999999999999</v>
      </c>
      <c r="AJ1267" s="11">
        <v>73.62</v>
      </c>
      <c r="AK1267" s="11">
        <v>73.168000000000006</v>
      </c>
      <c r="AL1267" s="11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3"/>
      <c r="CK1267" s="3"/>
      <c r="CL1267" s="3"/>
      <c r="CM1267" s="3"/>
      <c r="CN1267" s="3"/>
      <c r="CO1267" s="3"/>
      <c r="CP1267" s="3"/>
      <c r="CQ1267" s="3"/>
      <c r="CR1267" s="3"/>
      <c r="CS1267" s="3"/>
      <c r="CT1267" s="3"/>
      <c r="CU1267" s="3"/>
      <c r="CV1267" s="3"/>
      <c r="CW1267" s="3"/>
      <c r="CX1267" s="3"/>
      <c r="CY1267" s="3"/>
      <c r="CZ1267" s="3"/>
      <c r="DA1267" s="3"/>
      <c r="DB1267" s="3"/>
      <c r="DC1267" s="3"/>
      <c r="DD1267" s="3"/>
      <c r="DE1267" s="3"/>
      <c r="DF1267" s="3"/>
      <c r="DG1267" s="3"/>
      <c r="DH1267" s="3"/>
      <c r="DI1267" s="3"/>
      <c r="DJ1267" s="3"/>
      <c r="DK1267" s="3"/>
      <c r="DL1267" s="3"/>
      <c r="DM1267" s="3"/>
      <c r="DN1267" s="3"/>
      <c r="DO1267" s="3"/>
      <c r="DP1267" s="3"/>
      <c r="DQ1267" s="3"/>
      <c r="DR1267" s="3"/>
      <c r="DS1267" s="3"/>
      <c r="DT1267" s="3"/>
      <c r="DU1267" s="3"/>
      <c r="DV1267" s="3"/>
      <c r="DW1267" s="3"/>
      <c r="DX1267" s="3"/>
      <c r="DY1267" s="3"/>
      <c r="DZ1267" s="3"/>
      <c r="EA1267" s="3"/>
      <c r="EB1267" s="3"/>
      <c r="EC1267" s="3"/>
      <c r="ED1267" s="3"/>
      <c r="EE1267" s="3"/>
      <c r="EF1267" s="3"/>
      <c r="EG1267" s="3"/>
      <c r="EH1267" s="3"/>
      <c r="EI1267" s="3"/>
      <c r="EJ1267" s="3"/>
      <c r="EK1267" s="3"/>
      <c r="EL1267" s="3"/>
      <c r="EM1267" s="3"/>
      <c r="EN1267" s="3"/>
      <c r="EO1267" s="3"/>
      <c r="EP1267" s="3"/>
      <c r="EQ1267" s="3"/>
    </row>
    <row r="1268" spans="1:147" x14ac:dyDescent="0.3">
      <c r="A1268" s="9">
        <f>DATE(2021, 11, 25)</f>
        <v>44525</v>
      </c>
      <c r="B1268" s="10">
        <v>82.22</v>
      </c>
      <c r="C1268" s="10">
        <v>80.92</v>
      </c>
      <c r="D1268" s="10">
        <v>80.36</v>
      </c>
      <c r="E1268" s="10">
        <v>79.8</v>
      </c>
      <c r="F1268" s="10">
        <v>79.239999999999995</v>
      </c>
      <c r="G1268" s="10">
        <v>78.66</v>
      </c>
      <c r="H1268" s="10">
        <v>78.08</v>
      </c>
      <c r="I1268" s="10">
        <v>77.55</v>
      </c>
      <c r="J1268" s="10">
        <v>77.06</v>
      </c>
      <c r="K1268" s="10">
        <v>76.58</v>
      </c>
      <c r="L1268" s="10">
        <v>76.14</v>
      </c>
      <c r="M1268" s="10">
        <v>75.73</v>
      </c>
      <c r="N1268" s="10">
        <v>78.39</v>
      </c>
      <c r="O1268" s="10">
        <v>77.81</v>
      </c>
      <c r="P1268" s="10">
        <v>77.150000000000006</v>
      </c>
      <c r="Q1268" s="10">
        <v>76.510000000000005</v>
      </c>
      <c r="R1268" s="10">
        <v>75.88</v>
      </c>
      <c r="S1268" s="10">
        <v>75.25</v>
      </c>
      <c r="T1268" s="10">
        <v>74.650000000000006</v>
      </c>
      <c r="U1268" s="10">
        <v>74.06</v>
      </c>
      <c r="V1268" s="10">
        <v>73.48</v>
      </c>
      <c r="W1268" s="10">
        <v>72.91</v>
      </c>
      <c r="X1268" s="10">
        <v>72.37</v>
      </c>
      <c r="Y1268" s="10">
        <v>71.86</v>
      </c>
      <c r="Z1268" s="11">
        <v>81.197999999999993</v>
      </c>
      <c r="AA1268" s="11">
        <v>79.343999999999994</v>
      </c>
      <c r="AB1268" s="11">
        <v>77.893000000000001</v>
      </c>
      <c r="AC1268" s="11">
        <v>77.231999999999999</v>
      </c>
      <c r="AD1268" s="11">
        <v>76.704999999999998</v>
      </c>
      <c r="AE1268" s="11">
        <v>76.161000000000001</v>
      </c>
      <c r="AF1268" s="11">
        <v>75.635999999999996</v>
      </c>
      <c r="AG1268" s="11">
        <v>75.108000000000004</v>
      </c>
      <c r="AH1268" s="11">
        <v>74.596999999999994</v>
      </c>
      <c r="AI1268" s="11">
        <v>74.090999999999994</v>
      </c>
      <c r="AJ1268" s="11">
        <v>73.650999999999996</v>
      </c>
      <c r="AK1268" s="11">
        <v>73.22</v>
      </c>
      <c r="AL1268" s="11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3"/>
      <c r="CK1268" s="3"/>
      <c r="CL1268" s="3"/>
      <c r="CM1268" s="3"/>
      <c r="CN1268" s="3"/>
      <c r="CO1268" s="3"/>
      <c r="CP1268" s="3"/>
      <c r="CQ1268" s="3"/>
      <c r="CR1268" s="3"/>
      <c r="CS1268" s="3"/>
      <c r="CT1268" s="3"/>
      <c r="CU1268" s="3"/>
      <c r="CV1268" s="3"/>
      <c r="CW1268" s="3"/>
      <c r="CX1268" s="3"/>
      <c r="CY1268" s="3"/>
      <c r="CZ1268" s="3"/>
      <c r="DA1268" s="3"/>
      <c r="DB1268" s="3"/>
      <c r="DC1268" s="3"/>
      <c r="DD1268" s="3"/>
      <c r="DE1268" s="3"/>
      <c r="DF1268" s="3"/>
      <c r="DG1268" s="3"/>
      <c r="DH1268" s="3"/>
      <c r="DI1268" s="3"/>
      <c r="DJ1268" s="3"/>
      <c r="DK1268" s="3"/>
      <c r="DL1268" s="3"/>
      <c r="DM1268" s="3"/>
      <c r="DN1268" s="3"/>
      <c r="DO1268" s="3"/>
      <c r="DP1268" s="3"/>
      <c r="DQ1268" s="3"/>
      <c r="DR1268" s="3"/>
      <c r="DS1268" s="3"/>
      <c r="DT1268" s="3"/>
      <c r="DU1268" s="3"/>
      <c r="DV1268" s="3"/>
      <c r="DW1268" s="3"/>
      <c r="DX1268" s="3"/>
      <c r="DY1268" s="3"/>
      <c r="DZ1268" s="3"/>
      <c r="EA1268" s="3"/>
      <c r="EB1268" s="3"/>
      <c r="EC1268" s="3"/>
      <c r="ED1268" s="3"/>
      <c r="EE1268" s="3"/>
      <c r="EF1268" s="3"/>
      <c r="EG1268" s="3"/>
      <c r="EH1268" s="3"/>
      <c r="EI1268" s="3"/>
      <c r="EJ1268" s="3"/>
      <c r="EK1268" s="3"/>
      <c r="EL1268" s="3"/>
      <c r="EM1268" s="3"/>
      <c r="EN1268" s="3"/>
      <c r="EO1268" s="3"/>
      <c r="EP1268" s="3"/>
      <c r="EQ1268" s="3"/>
    </row>
    <row r="1269" spans="1:147" x14ac:dyDescent="0.3">
      <c r="A1269" s="9">
        <f>DATE(2021, 11, 26)</f>
        <v>44526</v>
      </c>
      <c r="B1269" s="10">
        <v>72.72</v>
      </c>
      <c r="C1269" s="10">
        <v>71.59</v>
      </c>
      <c r="D1269" s="10">
        <v>71.209999999999994</v>
      </c>
      <c r="E1269" s="10">
        <v>70.83</v>
      </c>
      <c r="F1269" s="10">
        <v>70.400000000000006</v>
      </c>
      <c r="G1269" s="10">
        <v>69.94</v>
      </c>
      <c r="H1269" s="10">
        <v>69.459999999999994</v>
      </c>
      <c r="I1269" s="10">
        <v>69.05</v>
      </c>
      <c r="J1269" s="10">
        <v>68.680000000000007</v>
      </c>
      <c r="K1269" s="10">
        <v>68.319999999999993</v>
      </c>
      <c r="L1269" s="10">
        <v>68.02</v>
      </c>
      <c r="M1269" s="10">
        <v>67.739999999999995</v>
      </c>
      <c r="N1269" s="10">
        <v>68.150000000000006</v>
      </c>
      <c r="O1269" s="10">
        <v>67.84</v>
      </c>
      <c r="P1269" s="10">
        <v>67.48</v>
      </c>
      <c r="Q1269" s="10">
        <v>67.09</v>
      </c>
      <c r="R1269" s="10">
        <v>66.7</v>
      </c>
      <c r="S1269" s="10">
        <v>66.3</v>
      </c>
      <c r="T1269" s="10">
        <v>65.91</v>
      </c>
      <c r="U1269" s="10">
        <v>65.52</v>
      </c>
      <c r="V1269" s="10">
        <v>65.12</v>
      </c>
      <c r="W1269" s="10">
        <v>64.73</v>
      </c>
      <c r="X1269" s="10">
        <v>64.36</v>
      </c>
      <c r="Y1269" s="10">
        <v>63.98</v>
      </c>
      <c r="Z1269" s="11">
        <v>80.117000000000004</v>
      </c>
      <c r="AA1269" s="11">
        <v>70.122</v>
      </c>
      <c r="AB1269" s="11">
        <v>68.882000000000005</v>
      </c>
      <c r="AC1269" s="11">
        <v>68.409000000000006</v>
      </c>
      <c r="AD1269" s="11">
        <v>67.98</v>
      </c>
      <c r="AE1269" s="11">
        <v>67.566000000000003</v>
      </c>
      <c r="AF1269" s="11">
        <v>67.090999999999994</v>
      </c>
      <c r="AG1269" s="11">
        <v>66.683000000000007</v>
      </c>
      <c r="AH1269" s="11">
        <v>66.352999999999994</v>
      </c>
      <c r="AI1269" s="11">
        <v>65.997</v>
      </c>
      <c r="AJ1269" s="11">
        <v>65.667000000000002</v>
      </c>
      <c r="AK1269" s="11">
        <v>65.355999999999995</v>
      </c>
      <c r="AL1269" s="11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3"/>
      <c r="CK1269" s="3"/>
      <c r="CL1269" s="3"/>
      <c r="CM1269" s="3"/>
      <c r="CN1269" s="3"/>
      <c r="CO1269" s="3"/>
      <c r="CP1269" s="3"/>
      <c r="CQ1269" s="3"/>
      <c r="CR1269" s="3"/>
      <c r="CS1269" s="3"/>
      <c r="CT1269" s="3"/>
      <c r="CU1269" s="3"/>
      <c r="CV1269" s="3"/>
      <c r="CW1269" s="3"/>
      <c r="CX1269" s="3"/>
      <c r="CY1269" s="3"/>
      <c r="CZ1269" s="3"/>
      <c r="DA1269" s="3"/>
      <c r="DB1269" s="3"/>
      <c r="DC1269" s="3"/>
      <c r="DD1269" s="3"/>
      <c r="DE1269" s="3"/>
      <c r="DF1269" s="3"/>
      <c r="DG1269" s="3"/>
      <c r="DH1269" s="3"/>
      <c r="DI1269" s="3"/>
      <c r="DJ1269" s="3"/>
      <c r="DK1269" s="3"/>
      <c r="DL1269" s="3"/>
      <c r="DM1269" s="3"/>
      <c r="DN1269" s="3"/>
      <c r="DO1269" s="3"/>
      <c r="DP1269" s="3"/>
      <c r="DQ1269" s="3"/>
      <c r="DR1269" s="3"/>
      <c r="DS1269" s="3"/>
      <c r="DT1269" s="3"/>
      <c r="DU1269" s="3"/>
      <c r="DV1269" s="3"/>
      <c r="DW1269" s="3"/>
      <c r="DX1269" s="3"/>
      <c r="DY1269" s="3"/>
      <c r="DZ1269" s="3"/>
      <c r="EA1269" s="3"/>
      <c r="EB1269" s="3"/>
      <c r="EC1269" s="3"/>
      <c r="ED1269" s="3"/>
      <c r="EE1269" s="3"/>
      <c r="EF1269" s="3"/>
      <c r="EG1269" s="3"/>
      <c r="EH1269" s="3"/>
      <c r="EI1269" s="3"/>
      <c r="EJ1269" s="3"/>
      <c r="EK1269" s="3"/>
      <c r="EL1269" s="3"/>
      <c r="EM1269" s="3"/>
      <c r="EN1269" s="3"/>
      <c r="EO1269" s="3"/>
      <c r="EP1269" s="3"/>
      <c r="EQ1269" s="3"/>
    </row>
    <row r="1270" spans="1:147" x14ac:dyDescent="0.3">
      <c r="A1270" s="9">
        <f>DATE(2021, 11, 29)</f>
        <v>44529</v>
      </c>
      <c r="B1270" s="10">
        <v>73.44</v>
      </c>
      <c r="C1270" s="10">
        <v>73.22</v>
      </c>
      <c r="D1270" s="10">
        <v>72.84</v>
      </c>
      <c r="E1270" s="10">
        <v>72.459999999999994</v>
      </c>
      <c r="F1270" s="10">
        <v>72.069999999999993</v>
      </c>
      <c r="G1270" s="10">
        <v>71.62</v>
      </c>
      <c r="H1270" s="10">
        <v>71.16</v>
      </c>
      <c r="I1270" s="10">
        <v>70.760000000000005</v>
      </c>
      <c r="J1270" s="10">
        <v>70.41</v>
      </c>
      <c r="K1270" s="10">
        <v>70.069999999999993</v>
      </c>
      <c r="L1270" s="10">
        <v>69.77</v>
      </c>
      <c r="M1270" s="10">
        <v>69.48</v>
      </c>
      <c r="N1270" s="10">
        <v>69.95</v>
      </c>
      <c r="O1270" s="10">
        <v>69.62</v>
      </c>
      <c r="P1270" s="10">
        <v>69.28</v>
      </c>
      <c r="Q1270" s="10">
        <v>68.92</v>
      </c>
      <c r="R1270" s="10">
        <v>68.56</v>
      </c>
      <c r="S1270" s="10">
        <v>68.19</v>
      </c>
      <c r="T1270" s="10">
        <v>67.81</v>
      </c>
      <c r="U1270" s="10">
        <v>67.430000000000007</v>
      </c>
      <c r="V1270" s="10">
        <v>67.040000000000006</v>
      </c>
      <c r="W1270" s="10">
        <v>66.650000000000006</v>
      </c>
      <c r="X1270" s="10">
        <v>66.260000000000005</v>
      </c>
      <c r="Y1270" s="10">
        <v>65.88</v>
      </c>
      <c r="Z1270" s="11">
        <v>80.334000000000003</v>
      </c>
      <c r="AA1270" s="11">
        <v>71.837000000000003</v>
      </c>
      <c r="AB1270" s="11">
        <v>70.611999999999995</v>
      </c>
      <c r="AC1270" s="11">
        <v>70.191999999999993</v>
      </c>
      <c r="AD1270" s="11">
        <v>69.790999999999997</v>
      </c>
      <c r="AE1270" s="11">
        <v>69.328999999999994</v>
      </c>
      <c r="AF1270" s="11">
        <v>68.872</v>
      </c>
      <c r="AG1270" s="11">
        <v>68.474000000000004</v>
      </c>
      <c r="AH1270" s="11">
        <v>68.093999999999994</v>
      </c>
      <c r="AI1270" s="11">
        <v>67.736999999999995</v>
      </c>
      <c r="AJ1270" s="11">
        <v>67.417000000000002</v>
      </c>
      <c r="AK1270" s="11">
        <v>67.147000000000006</v>
      </c>
      <c r="AL1270" s="11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3"/>
      <c r="CK1270" s="3"/>
      <c r="CL1270" s="3"/>
      <c r="CM1270" s="3"/>
      <c r="CN1270" s="3"/>
      <c r="CO1270" s="3"/>
      <c r="CP1270" s="3"/>
      <c r="CQ1270" s="3"/>
      <c r="CR1270" s="3"/>
      <c r="CS1270" s="3"/>
      <c r="CT1270" s="3"/>
      <c r="CU1270" s="3"/>
      <c r="CV1270" s="3"/>
      <c r="CW1270" s="3"/>
      <c r="CX1270" s="3"/>
      <c r="CY1270" s="3"/>
      <c r="CZ1270" s="3"/>
      <c r="DA1270" s="3"/>
      <c r="DB1270" s="3"/>
      <c r="DC1270" s="3"/>
      <c r="DD1270" s="3"/>
      <c r="DE1270" s="3"/>
      <c r="DF1270" s="3"/>
      <c r="DG1270" s="3"/>
      <c r="DH1270" s="3"/>
      <c r="DI1270" s="3"/>
      <c r="DJ1270" s="3"/>
      <c r="DK1270" s="3"/>
      <c r="DL1270" s="3"/>
      <c r="DM1270" s="3"/>
      <c r="DN1270" s="3"/>
      <c r="DO1270" s="3"/>
      <c r="DP1270" s="3"/>
      <c r="DQ1270" s="3"/>
      <c r="DR1270" s="3"/>
      <c r="DS1270" s="3"/>
      <c r="DT1270" s="3"/>
      <c r="DU1270" s="3"/>
      <c r="DV1270" s="3"/>
      <c r="DW1270" s="3"/>
      <c r="DX1270" s="3"/>
      <c r="DY1270" s="3"/>
      <c r="DZ1270" s="3"/>
      <c r="EA1270" s="3"/>
      <c r="EB1270" s="3"/>
      <c r="EC1270" s="3"/>
      <c r="ED1270" s="3"/>
      <c r="EE1270" s="3"/>
      <c r="EF1270" s="3"/>
      <c r="EG1270" s="3"/>
      <c r="EH1270" s="3"/>
      <c r="EI1270" s="3"/>
      <c r="EJ1270" s="3"/>
      <c r="EK1270" s="3"/>
      <c r="EL1270" s="3"/>
      <c r="EM1270" s="3"/>
      <c r="EN1270" s="3"/>
      <c r="EO1270" s="3"/>
      <c r="EP1270" s="3"/>
      <c r="EQ1270" s="3"/>
    </row>
    <row r="1271" spans="1:147" x14ac:dyDescent="0.3">
      <c r="A1271" s="9">
        <f>DATE(2021, 11, 30)</f>
        <v>44530</v>
      </c>
      <c r="B1271" s="10">
        <v>70.569999999999993</v>
      </c>
      <c r="C1271" s="10">
        <v>69.23</v>
      </c>
      <c r="D1271" s="10">
        <v>68.88</v>
      </c>
      <c r="E1271" s="10">
        <v>68.55</v>
      </c>
      <c r="F1271" s="10">
        <v>68.209999999999994</v>
      </c>
      <c r="G1271" s="10">
        <v>67.819999999999993</v>
      </c>
      <c r="H1271" s="10">
        <v>67.42</v>
      </c>
      <c r="I1271" s="10">
        <v>67.08</v>
      </c>
      <c r="J1271" s="10">
        <v>66.77</v>
      </c>
      <c r="K1271" s="10">
        <v>66.48</v>
      </c>
      <c r="L1271" s="10">
        <v>66.22</v>
      </c>
      <c r="M1271" s="10">
        <v>65.98</v>
      </c>
      <c r="N1271" s="10">
        <v>66.180000000000007</v>
      </c>
      <c r="O1271" s="10">
        <v>65.849999999999994</v>
      </c>
      <c r="P1271" s="10">
        <v>65.489999999999995</v>
      </c>
      <c r="Q1271" s="10">
        <v>65.150000000000006</v>
      </c>
      <c r="R1271" s="10">
        <v>64.81</v>
      </c>
      <c r="S1271" s="10">
        <v>64.47</v>
      </c>
      <c r="T1271" s="10">
        <v>64.13</v>
      </c>
      <c r="U1271" s="10">
        <v>63.78</v>
      </c>
      <c r="V1271" s="10">
        <v>63.46</v>
      </c>
      <c r="W1271" s="10">
        <v>63.13</v>
      </c>
      <c r="X1271" s="10">
        <v>62.82</v>
      </c>
      <c r="Y1271" s="10">
        <v>62.5</v>
      </c>
      <c r="Z1271" s="11">
        <v>80.275999999999996</v>
      </c>
      <c r="AA1271" s="11">
        <v>67.989999999999995</v>
      </c>
      <c r="AB1271" s="11">
        <v>67.063999999999993</v>
      </c>
      <c r="AC1271" s="11">
        <v>66.722999999999999</v>
      </c>
      <c r="AD1271" s="11">
        <v>66.393000000000001</v>
      </c>
      <c r="AE1271" s="11">
        <v>65.989999999999995</v>
      </c>
      <c r="AF1271" s="11">
        <v>65.594999999999999</v>
      </c>
      <c r="AG1271" s="11">
        <v>65.206000000000003</v>
      </c>
      <c r="AH1271" s="11">
        <v>64.876000000000005</v>
      </c>
      <c r="AI1271" s="11">
        <v>64.558999999999997</v>
      </c>
      <c r="AJ1271" s="11">
        <v>64.259</v>
      </c>
      <c r="AK1271" s="11">
        <v>63.987000000000002</v>
      </c>
      <c r="AL1271" s="11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3"/>
      <c r="CK1271" s="3"/>
      <c r="CL1271" s="3"/>
      <c r="CM1271" s="3"/>
      <c r="CN1271" s="3"/>
      <c r="CO1271" s="3"/>
      <c r="CP1271" s="3"/>
      <c r="CQ1271" s="3"/>
      <c r="CR1271" s="3"/>
      <c r="CS1271" s="3"/>
      <c r="CT1271" s="3"/>
      <c r="CU1271" s="3"/>
      <c r="CV1271" s="3"/>
      <c r="CW1271" s="3"/>
      <c r="CX1271" s="3"/>
      <c r="CY1271" s="3"/>
      <c r="CZ1271" s="3"/>
      <c r="DA1271" s="3"/>
      <c r="DB1271" s="3"/>
      <c r="DC1271" s="3"/>
      <c r="DD1271" s="3"/>
      <c r="DE1271" s="3"/>
      <c r="DF1271" s="3"/>
      <c r="DG1271" s="3"/>
      <c r="DH1271" s="3"/>
      <c r="DI1271" s="3"/>
      <c r="DJ1271" s="3"/>
      <c r="DK1271" s="3"/>
      <c r="DL1271" s="3"/>
      <c r="DM1271" s="3"/>
      <c r="DN1271" s="3"/>
      <c r="DO1271" s="3"/>
      <c r="DP1271" s="3"/>
      <c r="DQ1271" s="3"/>
      <c r="DR1271" s="3"/>
      <c r="DS1271" s="3"/>
      <c r="DT1271" s="3"/>
      <c r="DU1271" s="3"/>
      <c r="DV1271" s="3"/>
      <c r="DW1271" s="3"/>
      <c r="DX1271" s="3"/>
      <c r="DY1271" s="3"/>
      <c r="DZ1271" s="3"/>
      <c r="EA1271" s="3"/>
      <c r="EB1271" s="3"/>
      <c r="EC1271" s="3"/>
      <c r="ED1271" s="3"/>
      <c r="EE1271" s="3"/>
      <c r="EF1271" s="3"/>
      <c r="EG1271" s="3"/>
      <c r="EH1271" s="3"/>
      <c r="EI1271" s="3"/>
      <c r="EJ1271" s="3"/>
      <c r="EK1271" s="3"/>
      <c r="EL1271" s="3"/>
      <c r="EM1271" s="3"/>
      <c r="EN1271" s="3"/>
      <c r="EO1271" s="3"/>
      <c r="EP1271" s="3"/>
      <c r="EQ1271" s="3"/>
    </row>
    <row r="1272" spans="1:147" x14ac:dyDescent="0.3">
      <c r="A1272" s="9">
        <f>DATE(2021, 12, 1)</f>
        <v>44531</v>
      </c>
      <c r="B1272" s="10">
        <v>68.87</v>
      </c>
      <c r="C1272" s="10">
        <v>68.569999999999993</v>
      </c>
      <c r="D1272" s="10">
        <v>68.28</v>
      </c>
      <c r="E1272" s="10">
        <v>67.989999999999995</v>
      </c>
      <c r="F1272" s="10">
        <v>67.66</v>
      </c>
      <c r="G1272" s="10">
        <v>67.31</v>
      </c>
      <c r="H1272" s="10">
        <v>67.010000000000005</v>
      </c>
      <c r="I1272" s="10">
        <v>66.73</v>
      </c>
      <c r="J1272" s="10">
        <v>66.459999999999994</v>
      </c>
      <c r="K1272" s="10">
        <v>66.22</v>
      </c>
      <c r="L1272" s="10">
        <v>65.989999999999995</v>
      </c>
      <c r="M1272" s="10">
        <v>65.73</v>
      </c>
      <c r="N1272" s="10">
        <v>65.569999999999993</v>
      </c>
      <c r="O1272" s="10">
        <v>65.37</v>
      </c>
      <c r="P1272" s="10">
        <v>65.11</v>
      </c>
      <c r="Q1272" s="10">
        <v>64.83</v>
      </c>
      <c r="R1272" s="10">
        <v>64.540000000000006</v>
      </c>
      <c r="S1272" s="10">
        <v>64.25</v>
      </c>
      <c r="T1272" s="10">
        <v>63.95</v>
      </c>
      <c r="U1272" s="10">
        <v>63.64</v>
      </c>
      <c r="V1272" s="10">
        <v>63.34</v>
      </c>
      <c r="W1272" s="10">
        <v>63.03</v>
      </c>
      <c r="X1272" s="10">
        <v>62.74</v>
      </c>
      <c r="Y1272" s="10">
        <v>62.43</v>
      </c>
      <c r="Z1272" s="11">
        <v>80.275999999999996</v>
      </c>
      <c r="AA1272" s="11">
        <v>67.959000000000003</v>
      </c>
      <c r="AB1272" s="11">
        <v>66.656000000000006</v>
      </c>
      <c r="AC1272" s="11">
        <v>66.262</v>
      </c>
      <c r="AD1272" s="11">
        <v>65.986000000000004</v>
      </c>
      <c r="AE1272" s="11">
        <v>65.643000000000001</v>
      </c>
      <c r="AF1272" s="11">
        <v>65.296000000000006</v>
      </c>
      <c r="AG1272" s="11">
        <v>64.986999999999995</v>
      </c>
      <c r="AH1272" s="11">
        <v>64.677000000000007</v>
      </c>
      <c r="AI1272" s="11">
        <v>64.39</v>
      </c>
      <c r="AJ1272" s="11">
        <v>64.11</v>
      </c>
      <c r="AK1272" s="11">
        <v>63.838000000000001</v>
      </c>
      <c r="AL1272" s="11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3"/>
      <c r="CK1272" s="3"/>
      <c r="CL1272" s="3"/>
      <c r="CM1272" s="3"/>
      <c r="CN1272" s="3"/>
      <c r="CO1272" s="3"/>
      <c r="CP1272" s="3"/>
      <c r="CQ1272" s="3"/>
      <c r="CR1272" s="3"/>
      <c r="CS1272" s="3"/>
      <c r="CT1272" s="3"/>
      <c r="CU1272" s="3"/>
      <c r="CV1272" s="3"/>
      <c r="CW1272" s="3"/>
      <c r="CX1272" s="3"/>
      <c r="CY1272" s="3"/>
      <c r="CZ1272" s="3"/>
      <c r="DA1272" s="3"/>
      <c r="DB1272" s="3"/>
      <c r="DC1272" s="3"/>
      <c r="DD1272" s="3"/>
      <c r="DE1272" s="3"/>
      <c r="DF1272" s="3"/>
      <c r="DG1272" s="3"/>
      <c r="DH1272" s="3"/>
      <c r="DI1272" s="3"/>
      <c r="DJ1272" s="3"/>
      <c r="DK1272" s="3"/>
      <c r="DL1272" s="3"/>
      <c r="DM1272" s="3"/>
      <c r="DN1272" s="3"/>
      <c r="DO1272" s="3"/>
      <c r="DP1272" s="3"/>
      <c r="DQ1272" s="3"/>
      <c r="DR1272" s="3"/>
      <c r="DS1272" s="3"/>
      <c r="DT1272" s="3"/>
      <c r="DU1272" s="3"/>
      <c r="DV1272" s="3"/>
      <c r="DW1272" s="3"/>
      <c r="DX1272" s="3"/>
      <c r="DY1272" s="3"/>
      <c r="DZ1272" s="3"/>
      <c r="EA1272" s="3"/>
      <c r="EB1272" s="3"/>
      <c r="EC1272" s="3"/>
      <c r="ED1272" s="3"/>
      <c r="EE1272" s="3"/>
      <c r="EF1272" s="3"/>
      <c r="EG1272" s="3"/>
      <c r="EH1272" s="3"/>
      <c r="EI1272" s="3"/>
      <c r="EJ1272" s="3"/>
      <c r="EK1272" s="3"/>
      <c r="EL1272" s="3"/>
      <c r="EM1272" s="3"/>
      <c r="EN1272" s="3"/>
      <c r="EO1272" s="3"/>
      <c r="EP1272" s="3"/>
      <c r="EQ1272" s="3"/>
    </row>
    <row r="1273" spans="1:147" x14ac:dyDescent="0.3">
      <c r="A1273" s="9">
        <f>DATE(2021, 12, 2)</f>
        <v>44532</v>
      </c>
      <c r="B1273" s="10">
        <v>69.67</v>
      </c>
      <c r="C1273" s="10">
        <v>69.319999999999993</v>
      </c>
      <c r="D1273" s="10">
        <v>69</v>
      </c>
      <c r="E1273" s="10">
        <v>68.73</v>
      </c>
      <c r="F1273" s="10">
        <v>68.44</v>
      </c>
      <c r="G1273" s="10">
        <v>68.13</v>
      </c>
      <c r="H1273" s="10">
        <v>67.84</v>
      </c>
      <c r="I1273" s="10">
        <v>67.55</v>
      </c>
      <c r="J1273" s="10">
        <v>67.27</v>
      </c>
      <c r="K1273" s="10">
        <v>67.03</v>
      </c>
      <c r="L1273" s="10">
        <v>66.78</v>
      </c>
      <c r="M1273" s="10">
        <v>66.52</v>
      </c>
      <c r="N1273" s="10">
        <v>66.5</v>
      </c>
      <c r="O1273" s="10">
        <v>66.27</v>
      </c>
      <c r="P1273" s="10">
        <v>66.03</v>
      </c>
      <c r="Q1273" s="10">
        <v>65.77</v>
      </c>
      <c r="R1273" s="10">
        <v>65.510000000000005</v>
      </c>
      <c r="S1273" s="10">
        <v>65.239999999999995</v>
      </c>
      <c r="T1273" s="10">
        <v>64.94</v>
      </c>
      <c r="U1273" s="10">
        <v>64.64</v>
      </c>
      <c r="V1273" s="10">
        <v>64.33</v>
      </c>
      <c r="W1273" s="10">
        <v>64.010000000000005</v>
      </c>
      <c r="X1273" s="10">
        <v>63.72</v>
      </c>
      <c r="Y1273" s="10">
        <v>63.43</v>
      </c>
      <c r="Z1273" s="11">
        <v>68.634</v>
      </c>
      <c r="AA1273" s="11">
        <v>67.274000000000001</v>
      </c>
      <c r="AB1273" s="11">
        <v>66.835999999999999</v>
      </c>
      <c r="AC1273" s="11">
        <v>66.576999999999998</v>
      </c>
      <c r="AD1273" s="11">
        <v>66.265000000000001</v>
      </c>
      <c r="AE1273" s="11">
        <v>65.956999999999994</v>
      </c>
      <c r="AF1273" s="11">
        <v>65.667000000000002</v>
      </c>
      <c r="AG1273" s="11">
        <v>65.367000000000004</v>
      </c>
      <c r="AH1273" s="11">
        <v>65.08</v>
      </c>
      <c r="AI1273" s="11">
        <v>64.799000000000007</v>
      </c>
      <c r="AJ1273" s="11">
        <v>64.537999999999997</v>
      </c>
      <c r="AK1273" s="11">
        <v>64.278999999999996</v>
      </c>
      <c r="AL1273" s="11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3"/>
      <c r="CK1273" s="3"/>
      <c r="CL1273" s="3"/>
      <c r="CM1273" s="3"/>
      <c r="CN1273" s="3"/>
      <c r="CO1273" s="3"/>
      <c r="CP1273" s="3"/>
      <c r="CQ1273" s="3"/>
      <c r="CR1273" s="3"/>
      <c r="CS1273" s="3"/>
      <c r="CT1273" s="3"/>
      <c r="CU1273" s="3"/>
      <c r="CV1273" s="3"/>
      <c r="CW1273" s="3"/>
      <c r="CX1273" s="3"/>
      <c r="CY1273" s="3"/>
      <c r="CZ1273" s="3"/>
      <c r="DA1273" s="3"/>
      <c r="DB1273" s="3"/>
      <c r="DC1273" s="3"/>
      <c r="DD1273" s="3"/>
      <c r="DE1273" s="3"/>
      <c r="DF1273" s="3"/>
      <c r="DG1273" s="3"/>
      <c r="DH1273" s="3"/>
      <c r="DI1273" s="3"/>
      <c r="DJ1273" s="3"/>
      <c r="DK1273" s="3"/>
      <c r="DL1273" s="3"/>
      <c r="DM1273" s="3"/>
      <c r="DN1273" s="3"/>
      <c r="DO1273" s="3"/>
      <c r="DP1273" s="3"/>
      <c r="DQ1273" s="3"/>
      <c r="DR1273" s="3"/>
      <c r="DS1273" s="3"/>
      <c r="DT1273" s="3"/>
      <c r="DU1273" s="3"/>
      <c r="DV1273" s="3"/>
      <c r="DW1273" s="3"/>
      <c r="DX1273" s="3"/>
      <c r="DY1273" s="3"/>
      <c r="DZ1273" s="3"/>
      <c r="EA1273" s="3"/>
      <c r="EB1273" s="3"/>
      <c r="EC1273" s="3"/>
      <c r="ED1273" s="3"/>
      <c r="EE1273" s="3"/>
      <c r="EF1273" s="3"/>
      <c r="EG1273" s="3"/>
      <c r="EH1273" s="3"/>
      <c r="EI1273" s="3"/>
      <c r="EJ1273" s="3"/>
      <c r="EK1273" s="3"/>
      <c r="EL1273" s="3"/>
      <c r="EM1273" s="3"/>
      <c r="EN1273" s="3"/>
      <c r="EO1273" s="3"/>
      <c r="EP1273" s="3"/>
      <c r="EQ1273" s="3"/>
    </row>
    <row r="1274" spans="1:147" x14ac:dyDescent="0.3">
      <c r="A1274" s="9">
        <f>DATE(2021, 12, 3)</f>
        <v>44533</v>
      </c>
      <c r="B1274" s="10">
        <v>69.88</v>
      </c>
      <c r="C1274" s="10">
        <v>69.510000000000005</v>
      </c>
      <c r="D1274" s="10">
        <v>69.2</v>
      </c>
      <c r="E1274" s="10">
        <v>68.97</v>
      </c>
      <c r="F1274" s="10">
        <v>68.73</v>
      </c>
      <c r="G1274" s="10">
        <v>68.459999999999994</v>
      </c>
      <c r="H1274" s="10">
        <v>68.2</v>
      </c>
      <c r="I1274" s="10">
        <v>67.930000000000007</v>
      </c>
      <c r="J1274" s="10">
        <v>67.67</v>
      </c>
      <c r="K1274" s="10">
        <v>67.45</v>
      </c>
      <c r="L1274" s="10">
        <v>67.2</v>
      </c>
      <c r="M1274" s="10">
        <v>66.94</v>
      </c>
      <c r="N1274" s="10">
        <v>66.260000000000005</v>
      </c>
      <c r="O1274" s="10">
        <v>66.099999999999994</v>
      </c>
      <c r="P1274" s="10">
        <v>65.930000000000007</v>
      </c>
      <c r="Q1274" s="10">
        <v>65.709999999999994</v>
      </c>
      <c r="R1274" s="10">
        <v>65.489999999999995</v>
      </c>
      <c r="S1274" s="10">
        <v>65.260000000000005</v>
      </c>
      <c r="T1274" s="10">
        <v>65.010000000000005</v>
      </c>
      <c r="U1274" s="10">
        <v>64.75</v>
      </c>
      <c r="V1274" s="10">
        <v>64.489999999999995</v>
      </c>
      <c r="W1274" s="10">
        <v>64.209999999999994</v>
      </c>
      <c r="X1274" s="10">
        <v>63.96</v>
      </c>
      <c r="Y1274" s="10">
        <v>63.69</v>
      </c>
      <c r="Z1274" s="11">
        <v>68.864999999999995</v>
      </c>
      <c r="AA1274" s="11">
        <v>67.426000000000002</v>
      </c>
      <c r="AB1274" s="11">
        <v>66.921000000000006</v>
      </c>
      <c r="AC1274" s="11">
        <v>66.709999999999994</v>
      </c>
      <c r="AD1274" s="11">
        <v>66.427999999999997</v>
      </c>
      <c r="AE1274" s="11">
        <v>66.138000000000005</v>
      </c>
      <c r="AF1274" s="11">
        <v>65.867999999999995</v>
      </c>
      <c r="AG1274" s="11">
        <v>65.617999999999995</v>
      </c>
      <c r="AH1274" s="11">
        <v>65.36</v>
      </c>
      <c r="AI1274" s="11">
        <v>65.138999999999996</v>
      </c>
      <c r="AJ1274" s="11">
        <v>64.867999999999995</v>
      </c>
      <c r="AK1274" s="11">
        <v>64.619</v>
      </c>
      <c r="AL1274" s="11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3"/>
      <c r="CK1274" s="3"/>
      <c r="CL1274" s="3"/>
      <c r="CM1274" s="3"/>
      <c r="CN1274" s="3"/>
      <c r="CO1274" s="3"/>
      <c r="CP1274" s="3"/>
      <c r="CQ1274" s="3"/>
      <c r="CR1274" s="3"/>
      <c r="CS1274" s="3"/>
      <c r="CT1274" s="3"/>
      <c r="CU1274" s="3"/>
      <c r="CV1274" s="3"/>
      <c r="CW1274" s="3"/>
      <c r="CX1274" s="3"/>
      <c r="CY1274" s="3"/>
      <c r="CZ1274" s="3"/>
      <c r="DA1274" s="3"/>
      <c r="DB1274" s="3"/>
      <c r="DC1274" s="3"/>
      <c r="DD1274" s="3"/>
      <c r="DE1274" s="3"/>
      <c r="DF1274" s="3"/>
      <c r="DG1274" s="3"/>
      <c r="DH1274" s="3"/>
      <c r="DI1274" s="3"/>
      <c r="DJ1274" s="3"/>
      <c r="DK1274" s="3"/>
      <c r="DL1274" s="3"/>
      <c r="DM1274" s="3"/>
      <c r="DN1274" s="3"/>
      <c r="DO1274" s="3"/>
      <c r="DP1274" s="3"/>
      <c r="DQ1274" s="3"/>
      <c r="DR1274" s="3"/>
      <c r="DS1274" s="3"/>
      <c r="DT1274" s="3"/>
      <c r="DU1274" s="3"/>
      <c r="DV1274" s="3"/>
      <c r="DW1274" s="3"/>
      <c r="DX1274" s="3"/>
      <c r="DY1274" s="3"/>
      <c r="DZ1274" s="3"/>
      <c r="EA1274" s="3"/>
      <c r="EB1274" s="3"/>
      <c r="EC1274" s="3"/>
      <c r="ED1274" s="3"/>
      <c r="EE1274" s="3"/>
      <c r="EF1274" s="3"/>
      <c r="EG1274" s="3"/>
      <c r="EH1274" s="3"/>
      <c r="EI1274" s="3"/>
      <c r="EJ1274" s="3"/>
      <c r="EK1274" s="3"/>
      <c r="EL1274" s="3"/>
      <c r="EM1274" s="3"/>
      <c r="EN1274" s="3"/>
      <c r="EO1274" s="3"/>
      <c r="EP1274" s="3"/>
      <c r="EQ1274" s="3"/>
    </row>
    <row r="1275" spans="1:147" x14ac:dyDescent="0.3">
      <c r="A1275" s="9">
        <f>DATE(2021, 12, 6)</f>
        <v>44536</v>
      </c>
      <c r="B1275" s="10">
        <v>73.08</v>
      </c>
      <c r="C1275" s="10">
        <v>72.69</v>
      </c>
      <c r="D1275" s="10">
        <v>72.319999999999993</v>
      </c>
      <c r="E1275" s="10">
        <v>72</v>
      </c>
      <c r="F1275" s="10">
        <v>71.69</v>
      </c>
      <c r="G1275" s="10">
        <v>71.36</v>
      </c>
      <c r="H1275" s="10">
        <v>71.03</v>
      </c>
      <c r="I1275" s="10">
        <v>70.69</v>
      </c>
      <c r="J1275" s="10">
        <v>70.36</v>
      </c>
      <c r="K1275" s="10">
        <v>70.08</v>
      </c>
      <c r="L1275" s="10">
        <v>69.78</v>
      </c>
      <c r="M1275" s="10">
        <v>69.47</v>
      </c>
      <c r="N1275" s="10">
        <v>69.489999999999995</v>
      </c>
      <c r="O1275" s="10">
        <v>69.3</v>
      </c>
      <c r="P1275" s="10">
        <v>69.069999999999993</v>
      </c>
      <c r="Q1275" s="10">
        <v>68.8</v>
      </c>
      <c r="R1275" s="10">
        <v>68.510000000000005</v>
      </c>
      <c r="S1275" s="10">
        <v>68.209999999999994</v>
      </c>
      <c r="T1275" s="10">
        <v>67.900000000000006</v>
      </c>
      <c r="U1275" s="10">
        <v>67.58</v>
      </c>
      <c r="V1275" s="10">
        <v>67.22</v>
      </c>
      <c r="W1275" s="10">
        <v>66.87</v>
      </c>
      <c r="X1275" s="10">
        <v>66.53</v>
      </c>
      <c r="Y1275" s="10">
        <v>66.19</v>
      </c>
      <c r="Z1275" s="11">
        <v>71.613</v>
      </c>
      <c r="AA1275" s="11">
        <v>70.602000000000004</v>
      </c>
      <c r="AB1275" s="11">
        <v>70.043999999999997</v>
      </c>
      <c r="AC1275" s="11">
        <v>69.747</v>
      </c>
      <c r="AD1275" s="11">
        <v>69.433999999999997</v>
      </c>
      <c r="AE1275" s="11">
        <v>69.105000000000004</v>
      </c>
      <c r="AF1275" s="11">
        <v>68.814999999999998</v>
      </c>
      <c r="AG1275" s="11">
        <v>68.474000000000004</v>
      </c>
      <c r="AH1275" s="11">
        <v>68.138000000000005</v>
      </c>
      <c r="AI1275" s="11">
        <v>67.846000000000004</v>
      </c>
      <c r="AJ1275" s="11">
        <v>67.504999999999995</v>
      </c>
      <c r="AK1275" s="11">
        <v>67.197000000000003</v>
      </c>
      <c r="AL1275" s="11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3"/>
      <c r="CK1275" s="3"/>
      <c r="CL1275" s="3"/>
      <c r="CM1275" s="3"/>
      <c r="CN1275" s="3"/>
      <c r="CO1275" s="3"/>
      <c r="CP1275" s="3"/>
      <c r="CQ1275" s="3"/>
      <c r="CR1275" s="3"/>
      <c r="CS1275" s="3"/>
      <c r="CT1275" s="3"/>
      <c r="CU1275" s="3"/>
      <c r="CV1275" s="3"/>
      <c r="CW1275" s="3"/>
      <c r="CX1275" s="3"/>
      <c r="CY1275" s="3"/>
      <c r="CZ1275" s="3"/>
      <c r="DA1275" s="3"/>
      <c r="DB1275" s="3"/>
      <c r="DC1275" s="3"/>
      <c r="DD1275" s="3"/>
      <c r="DE1275" s="3"/>
      <c r="DF1275" s="3"/>
      <c r="DG1275" s="3"/>
      <c r="DH1275" s="3"/>
      <c r="DI1275" s="3"/>
      <c r="DJ1275" s="3"/>
      <c r="DK1275" s="3"/>
      <c r="DL1275" s="3"/>
      <c r="DM1275" s="3"/>
      <c r="DN1275" s="3"/>
      <c r="DO1275" s="3"/>
      <c r="DP1275" s="3"/>
      <c r="DQ1275" s="3"/>
      <c r="DR1275" s="3"/>
      <c r="DS1275" s="3"/>
      <c r="DT1275" s="3"/>
      <c r="DU1275" s="3"/>
      <c r="DV1275" s="3"/>
      <c r="DW1275" s="3"/>
      <c r="DX1275" s="3"/>
      <c r="DY1275" s="3"/>
      <c r="DZ1275" s="3"/>
      <c r="EA1275" s="3"/>
      <c r="EB1275" s="3"/>
      <c r="EC1275" s="3"/>
      <c r="ED1275" s="3"/>
      <c r="EE1275" s="3"/>
      <c r="EF1275" s="3"/>
      <c r="EG1275" s="3"/>
      <c r="EH1275" s="3"/>
      <c r="EI1275" s="3"/>
      <c r="EJ1275" s="3"/>
      <c r="EK1275" s="3"/>
      <c r="EL1275" s="3"/>
      <c r="EM1275" s="3"/>
      <c r="EN1275" s="3"/>
      <c r="EO1275" s="3"/>
      <c r="EP1275" s="3"/>
      <c r="EQ1275" s="3"/>
    </row>
    <row r="1276" spans="1:147" x14ac:dyDescent="0.3">
      <c r="A1276" s="9">
        <f>DATE(2021, 12, 7)</f>
        <v>44537</v>
      </c>
      <c r="B1276" s="10">
        <v>75.44</v>
      </c>
      <c r="C1276" s="10">
        <v>75.099999999999994</v>
      </c>
      <c r="D1276" s="10">
        <v>74.73</v>
      </c>
      <c r="E1276" s="10">
        <v>74.400000000000006</v>
      </c>
      <c r="F1276" s="10">
        <v>74.069999999999993</v>
      </c>
      <c r="G1276" s="10">
        <v>73.709999999999994</v>
      </c>
      <c r="H1276" s="10">
        <v>73.349999999999994</v>
      </c>
      <c r="I1276" s="10">
        <v>72.98</v>
      </c>
      <c r="J1276" s="10">
        <v>72.61</v>
      </c>
      <c r="K1276" s="10">
        <v>72.28</v>
      </c>
      <c r="L1276" s="10">
        <v>71.930000000000007</v>
      </c>
      <c r="M1276" s="10">
        <v>71.59</v>
      </c>
      <c r="N1276" s="10">
        <v>72.05</v>
      </c>
      <c r="O1276" s="10">
        <v>71.84</v>
      </c>
      <c r="P1276" s="10">
        <v>71.56</v>
      </c>
      <c r="Q1276" s="10">
        <v>71.260000000000005</v>
      </c>
      <c r="R1276" s="10">
        <v>70.95</v>
      </c>
      <c r="S1276" s="10">
        <v>70.61</v>
      </c>
      <c r="T1276" s="10">
        <v>70.260000000000005</v>
      </c>
      <c r="U1276" s="10">
        <v>69.900000000000006</v>
      </c>
      <c r="V1276" s="10">
        <v>69.52</v>
      </c>
      <c r="W1276" s="10">
        <v>69.13</v>
      </c>
      <c r="X1276" s="10">
        <v>68.739999999999995</v>
      </c>
      <c r="Y1276" s="10">
        <v>68.34</v>
      </c>
      <c r="Z1276" s="11">
        <v>73.572000000000003</v>
      </c>
      <c r="AA1276" s="11">
        <v>73.061999999999998</v>
      </c>
      <c r="AB1276" s="11">
        <v>72.375</v>
      </c>
      <c r="AC1276" s="11">
        <v>72.081000000000003</v>
      </c>
      <c r="AD1276" s="11">
        <v>71.733999999999995</v>
      </c>
      <c r="AE1276" s="11">
        <v>71.373000000000005</v>
      </c>
      <c r="AF1276" s="11">
        <v>71.013000000000005</v>
      </c>
      <c r="AG1276" s="11">
        <v>70.647000000000006</v>
      </c>
      <c r="AH1276" s="11">
        <v>70.281000000000006</v>
      </c>
      <c r="AI1276" s="11">
        <v>69.944000000000003</v>
      </c>
      <c r="AJ1276" s="11">
        <v>69.593999999999994</v>
      </c>
      <c r="AK1276" s="11">
        <v>69.295000000000002</v>
      </c>
      <c r="AL1276" s="11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3"/>
      <c r="CK1276" s="3"/>
      <c r="CL1276" s="3"/>
      <c r="CM1276" s="3"/>
      <c r="CN1276" s="3"/>
      <c r="CO1276" s="3"/>
      <c r="CP1276" s="3"/>
      <c r="CQ1276" s="3"/>
      <c r="CR1276" s="3"/>
      <c r="CS1276" s="3"/>
      <c r="CT1276" s="3"/>
      <c r="CU1276" s="3"/>
      <c r="CV1276" s="3"/>
      <c r="CW1276" s="3"/>
      <c r="CX1276" s="3"/>
      <c r="CY1276" s="3"/>
      <c r="CZ1276" s="3"/>
      <c r="DA1276" s="3"/>
      <c r="DB1276" s="3"/>
      <c r="DC1276" s="3"/>
      <c r="DD1276" s="3"/>
      <c r="DE1276" s="3"/>
      <c r="DF1276" s="3"/>
      <c r="DG1276" s="3"/>
      <c r="DH1276" s="3"/>
      <c r="DI1276" s="3"/>
      <c r="DJ1276" s="3"/>
      <c r="DK1276" s="3"/>
      <c r="DL1276" s="3"/>
      <c r="DM1276" s="3"/>
      <c r="DN1276" s="3"/>
      <c r="DO1276" s="3"/>
      <c r="DP1276" s="3"/>
      <c r="DQ1276" s="3"/>
      <c r="DR1276" s="3"/>
      <c r="DS1276" s="3"/>
      <c r="DT1276" s="3"/>
      <c r="DU1276" s="3"/>
      <c r="DV1276" s="3"/>
      <c r="DW1276" s="3"/>
      <c r="DX1276" s="3"/>
      <c r="DY1276" s="3"/>
      <c r="DZ1276" s="3"/>
      <c r="EA1276" s="3"/>
      <c r="EB1276" s="3"/>
      <c r="EC1276" s="3"/>
      <c r="ED1276" s="3"/>
      <c r="EE1276" s="3"/>
      <c r="EF1276" s="3"/>
      <c r="EG1276" s="3"/>
      <c r="EH1276" s="3"/>
      <c r="EI1276" s="3"/>
      <c r="EJ1276" s="3"/>
      <c r="EK1276" s="3"/>
      <c r="EL1276" s="3"/>
      <c r="EM1276" s="3"/>
      <c r="EN1276" s="3"/>
      <c r="EO1276" s="3"/>
      <c r="EP1276" s="3"/>
      <c r="EQ1276" s="3"/>
    </row>
    <row r="1277" spans="1:147" x14ac:dyDescent="0.3">
      <c r="A1277" s="9">
        <f>DATE(2021, 12, 8)</f>
        <v>44538</v>
      </c>
      <c r="B1277" s="10">
        <v>75.819999999999993</v>
      </c>
      <c r="C1277" s="10">
        <v>75.59</v>
      </c>
      <c r="D1277" s="10">
        <v>75.25</v>
      </c>
      <c r="E1277" s="10">
        <v>74.94</v>
      </c>
      <c r="F1277" s="10">
        <v>74.64</v>
      </c>
      <c r="G1277" s="10">
        <v>74.3</v>
      </c>
      <c r="H1277" s="10">
        <v>73.97</v>
      </c>
      <c r="I1277" s="10">
        <v>73.61</v>
      </c>
      <c r="J1277" s="10">
        <v>73.260000000000005</v>
      </c>
      <c r="K1277" s="10">
        <v>72.95</v>
      </c>
      <c r="L1277" s="10">
        <v>72.62</v>
      </c>
      <c r="M1277" s="10">
        <v>72.290000000000006</v>
      </c>
      <c r="N1277" s="10">
        <v>72.36</v>
      </c>
      <c r="O1277" s="10">
        <v>72.180000000000007</v>
      </c>
      <c r="P1277" s="10">
        <v>71.900000000000006</v>
      </c>
      <c r="Q1277" s="10">
        <v>71.64</v>
      </c>
      <c r="R1277" s="10">
        <v>71.38</v>
      </c>
      <c r="S1277" s="10">
        <v>71.08</v>
      </c>
      <c r="T1277" s="10">
        <v>70.77</v>
      </c>
      <c r="U1277" s="10">
        <v>70.45</v>
      </c>
      <c r="V1277" s="10">
        <v>70.099999999999994</v>
      </c>
      <c r="W1277" s="10">
        <v>69.73</v>
      </c>
      <c r="X1277" s="10">
        <v>69.36</v>
      </c>
      <c r="Y1277" s="10">
        <v>68.989999999999995</v>
      </c>
      <c r="Z1277" s="11">
        <v>73.745000000000005</v>
      </c>
      <c r="AA1277" s="11">
        <v>73.445999999999998</v>
      </c>
      <c r="AB1277" s="11">
        <v>72.784999999999997</v>
      </c>
      <c r="AC1277" s="11">
        <v>72.533000000000001</v>
      </c>
      <c r="AD1277" s="11">
        <v>72.222999999999999</v>
      </c>
      <c r="AE1277" s="11">
        <v>71.885000000000005</v>
      </c>
      <c r="AF1277" s="11">
        <v>71.554000000000002</v>
      </c>
      <c r="AG1277" s="11">
        <v>71.203000000000003</v>
      </c>
      <c r="AH1277" s="11">
        <v>70.826999999999998</v>
      </c>
      <c r="AI1277" s="11">
        <v>70.495000000000005</v>
      </c>
      <c r="AJ1277" s="11">
        <v>70.183999999999997</v>
      </c>
      <c r="AK1277" s="11">
        <v>69.855999999999995</v>
      </c>
      <c r="AL1277" s="11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3"/>
      <c r="CK1277" s="3"/>
      <c r="CL1277" s="3"/>
      <c r="CM1277" s="3"/>
      <c r="CN1277" s="3"/>
      <c r="CO1277" s="3"/>
      <c r="CP1277" s="3"/>
      <c r="CQ1277" s="3"/>
      <c r="CR1277" s="3"/>
      <c r="CS1277" s="3"/>
      <c r="CT1277" s="3"/>
      <c r="CU1277" s="3"/>
      <c r="CV1277" s="3"/>
      <c r="CW1277" s="3"/>
      <c r="CX1277" s="3"/>
      <c r="CY1277" s="3"/>
      <c r="CZ1277" s="3"/>
      <c r="DA1277" s="3"/>
      <c r="DB1277" s="3"/>
      <c r="DC1277" s="3"/>
      <c r="DD1277" s="3"/>
      <c r="DE1277" s="3"/>
      <c r="DF1277" s="3"/>
      <c r="DG1277" s="3"/>
      <c r="DH1277" s="3"/>
      <c r="DI1277" s="3"/>
      <c r="DJ1277" s="3"/>
      <c r="DK1277" s="3"/>
      <c r="DL1277" s="3"/>
      <c r="DM1277" s="3"/>
      <c r="DN1277" s="3"/>
      <c r="DO1277" s="3"/>
      <c r="DP1277" s="3"/>
      <c r="DQ1277" s="3"/>
      <c r="DR1277" s="3"/>
      <c r="DS1277" s="3"/>
      <c r="DT1277" s="3"/>
      <c r="DU1277" s="3"/>
      <c r="DV1277" s="3"/>
      <c r="DW1277" s="3"/>
      <c r="DX1277" s="3"/>
      <c r="DY1277" s="3"/>
      <c r="DZ1277" s="3"/>
      <c r="EA1277" s="3"/>
      <c r="EB1277" s="3"/>
      <c r="EC1277" s="3"/>
      <c r="ED1277" s="3"/>
      <c r="EE1277" s="3"/>
      <c r="EF1277" s="3"/>
      <c r="EG1277" s="3"/>
      <c r="EH1277" s="3"/>
      <c r="EI1277" s="3"/>
      <c r="EJ1277" s="3"/>
      <c r="EK1277" s="3"/>
      <c r="EL1277" s="3"/>
      <c r="EM1277" s="3"/>
      <c r="EN1277" s="3"/>
      <c r="EO1277" s="3"/>
      <c r="EP1277" s="3"/>
      <c r="EQ1277" s="3"/>
    </row>
    <row r="1278" spans="1:147" x14ac:dyDescent="0.3">
      <c r="A1278" s="9">
        <f>DATE(2021, 12, 9)</f>
        <v>44539</v>
      </c>
      <c r="B1278" s="10">
        <v>74.42</v>
      </c>
      <c r="C1278" s="10">
        <v>74.23</v>
      </c>
      <c r="D1278" s="10">
        <v>73.91</v>
      </c>
      <c r="E1278" s="10">
        <v>73.61</v>
      </c>
      <c r="F1278" s="10">
        <v>73.33</v>
      </c>
      <c r="G1278" s="10">
        <v>73.02</v>
      </c>
      <c r="H1278" s="10">
        <v>72.709999999999994</v>
      </c>
      <c r="I1278" s="10">
        <v>72.39</v>
      </c>
      <c r="J1278" s="10">
        <v>72.069999999999993</v>
      </c>
      <c r="K1278" s="10">
        <v>71.78</v>
      </c>
      <c r="L1278" s="10">
        <v>71.48</v>
      </c>
      <c r="M1278" s="10">
        <v>71.17</v>
      </c>
      <c r="N1278" s="10">
        <v>70.94</v>
      </c>
      <c r="O1278" s="10">
        <v>70.790000000000006</v>
      </c>
      <c r="P1278" s="10">
        <v>70.540000000000006</v>
      </c>
      <c r="Q1278" s="10">
        <v>70.290000000000006</v>
      </c>
      <c r="R1278" s="10">
        <v>70.05</v>
      </c>
      <c r="S1278" s="10">
        <v>69.790000000000006</v>
      </c>
      <c r="T1278" s="10">
        <v>69.489999999999995</v>
      </c>
      <c r="U1278" s="10">
        <v>69.19</v>
      </c>
      <c r="V1278" s="10">
        <v>68.87</v>
      </c>
      <c r="W1278" s="10">
        <v>68.53</v>
      </c>
      <c r="X1278" s="10">
        <v>68.19</v>
      </c>
      <c r="Y1278" s="10">
        <v>67.84</v>
      </c>
      <c r="Z1278" s="11">
        <v>72.774000000000001</v>
      </c>
      <c r="AA1278" s="11">
        <v>72.034999999999997</v>
      </c>
      <c r="AB1278" s="11">
        <v>71.444999999999993</v>
      </c>
      <c r="AC1278" s="11">
        <v>71.198999999999998</v>
      </c>
      <c r="AD1278" s="11">
        <v>70.908000000000001</v>
      </c>
      <c r="AE1278" s="11">
        <v>70.587000000000003</v>
      </c>
      <c r="AF1278" s="11">
        <v>70.275000000000006</v>
      </c>
      <c r="AG1278" s="11">
        <v>69.954999999999998</v>
      </c>
      <c r="AH1278" s="11">
        <v>69.626999999999995</v>
      </c>
      <c r="AI1278" s="11">
        <v>69.353999999999999</v>
      </c>
      <c r="AJ1278" s="11">
        <v>69.064999999999998</v>
      </c>
      <c r="AK1278" s="11">
        <v>68.754000000000005</v>
      </c>
      <c r="AL1278" s="11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3"/>
      <c r="CK1278" s="3"/>
      <c r="CL1278" s="3"/>
      <c r="CM1278" s="3"/>
      <c r="CN1278" s="3"/>
      <c r="CO1278" s="3"/>
      <c r="CP1278" s="3"/>
      <c r="CQ1278" s="3"/>
      <c r="CR1278" s="3"/>
      <c r="CS1278" s="3"/>
      <c r="CT1278" s="3"/>
      <c r="CU1278" s="3"/>
      <c r="CV1278" s="3"/>
      <c r="CW1278" s="3"/>
      <c r="CX1278" s="3"/>
      <c r="CY1278" s="3"/>
      <c r="CZ1278" s="3"/>
      <c r="DA1278" s="3"/>
      <c r="DB1278" s="3"/>
      <c r="DC1278" s="3"/>
      <c r="DD1278" s="3"/>
      <c r="DE1278" s="3"/>
      <c r="DF1278" s="3"/>
      <c r="DG1278" s="3"/>
      <c r="DH1278" s="3"/>
      <c r="DI1278" s="3"/>
      <c r="DJ1278" s="3"/>
      <c r="DK1278" s="3"/>
      <c r="DL1278" s="3"/>
      <c r="DM1278" s="3"/>
      <c r="DN1278" s="3"/>
      <c r="DO1278" s="3"/>
      <c r="DP1278" s="3"/>
      <c r="DQ1278" s="3"/>
      <c r="DR1278" s="3"/>
      <c r="DS1278" s="3"/>
      <c r="DT1278" s="3"/>
      <c r="DU1278" s="3"/>
      <c r="DV1278" s="3"/>
      <c r="DW1278" s="3"/>
      <c r="DX1278" s="3"/>
      <c r="DY1278" s="3"/>
      <c r="DZ1278" s="3"/>
      <c r="EA1278" s="3"/>
      <c r="EB1278" s="3"/>
      <c r="EC1278" s="3"/>
      <c r="ED1278" s="3"/>
      <c r="EE1278" s="3"/>
      <c r="EF1278" s="3"/>
      <c r="EG1278" s="3"/>
      <c r="EH1278" s="3"/>
      <c r="EI1278" s="3"/>
      <c r="EJ1278" s="3"/>
      <c r="EK1278" s="3"/>
      <c r="EL1278" s="3"/>
      <c r="EM1278" s="3"/>
      <c r="EN1278" s="3"/>
      <c r="EO1278" s="3"/>
      <c r="EP1278" s="3"/>
      <c r="EQ1278" s="3"/>
    </row>
    <row r="1279" spans="1:147" x14ac:dyDescent="0.3">
      <c r="A1279" s="9">
        <f>DATE(2021, 12, 10)</f>
        <v>44540</v>
      </c>
      <c r="B1279" s="10">
        <v>75.150000000000006</v>
      </c>
      <c r="C1279" s="10">
        <v>74.91</v>
      </c>
      <c r="D1279" s="10">
        <v>74.540000000000006</v>
      </c>
      <c r="E1279" s="10">
        <v>74.2</v>
      </c>
      <c r="F1279" s="10">
        <v>73.88</v>
      </c>
      <c r="G1279" s="10">
        <v>73.53</v>
      </c>
      <c r="H1279" s="10">
        <v>73.180000000000007</v>
      </c>
      <c r="I1279" s="10">
        <v>72.83</v>
      </c>
      <c r="J1279" s="10">
        <v>72.48</v>
      </c>
      <c r="K1279" s="10">
        <v>72.17</v>
      </c>
      <c r="L1279" s="10">
        <v>71.84</v>
      </c>
      <c r="M1279" s="10">
        <v>71.510000000000005</v>
      </c>
      <c r="N1279" s="10">
        <v>71.67</v>
      </c>
      <c r="O1279" s="10">
        <v>71.48</v>
      </c>
      <c r="P1279" s="10">
        <v>71.22</v>
      </c>
      <c r="Q1279" s="10">
        <v>70.95</v>
      </c>
      <c r="R1279" s="10">
        <v>70.67</v>
      </c>
      <c r="S1279" s="10">
        <v>70.37</v>
      </c>
      <c r="T1279" s="10">
        <v>70.040000000000006</v>
      </c>
      <c r="U1279" s="10">
        <v>69.7</v>
      </c>
      <c r="V1279" s="10">
        <v>69.36</v>
      </c>
      <c r="W1279" s="10">
        <v>68.98</v>
      </c>
      <c r="X1279" s="10">
        <v>68.62</v>
      </c>
      <c r="Y1279" s="10">
        <v>68.260000000000005</v>
      </c>
      <c r="Z1279" s="11">
        <v>73.078000000000003</v>
      </c>
      <c r="AA1279" s="11">
        <v>72.552000000000007</v>
      </c>
      <c r="AB1279" s="11">
        <v>72.063999999999993</v>
      </c>
      <c r="AC1279" s="11">
        <v>71.823999999999998</v>
      </c>
      <c r="AD1279" s="11">
        <v>71.507000000000005</v>
      </c>
      <c r="AE1279" s="11">
        <v>71.168999999999997</v>
      </c>
      <c r="AF1279" s="11">
        <v>70.831000000000003</v>
      </c>
      <c r="AG1279" s="11">
        <v>70.462999999999994</v>
      </c>
      <c r="AH1279" s="11">
        <v>70.126999999999995</v>
      </c>
      <c r="AI1279" s="11">
        <v>69.795000000000002</v>
      </c>
      <c r="AJ1279" s="11">
        <v>69.483999999999995</v>
      </c>
      <c r="AK1279" s="11">
        <v>69.173000000000002</v>
      </c>
      <c r="AL1279" s="11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3"/>
      <c r="CK1279" s="3"/>
      <c r="CL1279" s="3"/>
      <c r="CM1279" s="3"/>
      <c r="CN1279" s="3"/>
      <c r="CO1279" s="3"/>
      <c r="CP1279" s="3"/>
      <c r="CQ1279" s="3"/>
      <c r="CR1279" s="3"/>
      <c r="CS1279" s="3"/>
      <c r="CT1279" s="3"/>
      <c r="CU1279" s="3"/>
      <c r="CV1279" s="3"/>
      <c r="CW1279" s="3"/>
      <c r="CX1279" s="3"/>
      <c r="CY1279" s="3"/>
      <c r="CZ1279" s="3"/>
      <c r="DA1279" s="3"/>
      <c r="DB1279" s="3"/>
      <c r="DC1279" s="3"/>
      <c r="DD1279" s="3"/>
      <c r="DE1279" s="3"/>
      <c r="DF1279" s="3"/>
      <c r="DG1279" s="3"/>
      <c r="DH1279" s="3"/>
      <c r="DI1279" s="3"/>
      <c r="DJ1279" s="3"/>
      <c r="DK1279" s="3"/>
      <c r="DL1279" s="3"/>
      <c r="DM1279" s="3"/>
      <c r="DN1279" s="3"/>
      <c r="DO1279" s="3"/>
      <c r="DP1279" s="3"/>
      <c r="DQ1279" s="3"/>
      <c r="DR1279" s="3"/>
      <c r="DS1279" s="3"/>
      <c r="DT1279" s="3"/>
      <c r="DU1279" s="3"/>
      <c r="DV1279" s="3"/>
      <c r="DW1279" s="3"/>
      <c r="DX1279" s="3"/>
      <c r="DY1279" s="3"/>
      <c r="DZ1279" s="3"/>
      <c r="EA1279" s="3"/>
      <c r="EB1279" s="3"/>
      <c r="EC1279" s="3"/>
      <c r="ED1279" s="3"/>
      <c r="EE1279" s="3"/>
      <c r="EF1279" s="3"/>
      <c r="EG1279" s="3"/>
      <c r="EH1279" s="3"/>
      <c r="EI1279" s="3"/>
      <c r="EJ1279" s="3"/>
      <c r="EK1279" s="3"/>
      <c r="EL1279" s="3"/>
      <c r="EM1279" s="3"/>
      <c r="EN1279" s="3"/>
      <c r="EO1279" s="3"/>
      <c r="EP1279" s="3"/>
      <c r="EQ1279" s="3"/>
    </row>
    <row r="1280" spans="1:147" x14ac:dyDescent="0.3">
      <c r="A1280" s="9">
        <f>DATE(2021, 12, 13)</f>
        <v>44543</v>
      </c>
      <c r="B1280" s="10">
        <v>74.39</v>
      </c>
      <c r="C1280" s="10">
        <v>74.28</v>
      </c>
      <c r="D1280" s="10">
        <v>73.98</v>
      </c>
      <c r="E1280" s="10">
        <v>73.69</v>
      </c>
      <c r="F1280" s="10">
        <v>73.400000000000006</v>
      </c>
      <c r="G1280" s="10">
        <v>73.069999999999993</v>
      </c>
      <c r="H1280" s="10">
        <v>72.739999999999995</v>
      </c>
      <c r="I1280" s="10">
        <v>72.41</v>
      </c>
      <c r="J1280" s="10">
        <v>72.069999999999993</v>
      </c>
      <c r="K1280" s="10">
        <v>71.77</v>
      </c>
      <c r="L1280" s="10">
        <v>71.459999999999994</v>
      </c>
      <c r="M1280" s="10">
        <v>71.14</v>
      </c>
      <c r="N1280" s="10">
        <v>71.290000000000006</v>
      </c>
      <c r="O1280" s="10">
        <v>71.06</v>
      </c>
      <c r="P1280" s="10">
        <v>70.8</v>
      </c>
      <c r="Q1280" s="10">
        <v>70.53</v>
      </c>
      <c r="R1280" s="10">
        <v>70.25</v>
      </c>
      <c r="S1280" s="10">
        <v>69.95</v>
      </c>
      <c r="T1280" s="10">
        <v>69.64</v>
      </c>
      <c r="U1280" s="10">
        <v>69.319999999999993</v>
      </c>
      <c r="V1280" s="10">
        <v>68.989999999999995</v>
      </c>
      <c r="W1280" s="10">
        <v>68.64</v>
      </c>
      <c r="X1280" s="10">
        <v>68.3</v>
      </c>
      <c r="Y1280" s="10">
        <v>67.959999999999994</v>
      </c>
      <c r="Z1280" s="11">
        <v>72.588999999999999</v>
      </c>
      <c r="AA1280" s="11">
        <v>71.858000000000004</v>
      </c>
      <c r="AB1280" s="11">
        <v>71.438000000000002</v>
      </c>
      <c r="AC1280" s="11">
        <v>71.257000000000005</v>
      </c>
      <c r="AD1280" s="11">
        <v>70.977999999999994</v>
      </c>
      <c r="AE1280" s="11">
        <v>70.668999999999997</v>
      </c>
      <c r="AF1280" s="11">
        <v>70.344999999999999</v>
      </c>
      <c r="AG1280" s="11">
        <v>70.034000000000006</v>
      </c>
      <c r="AH1280" s="11">
        <v>69.716999999999999</v>
      </c>
      <c r="AI1280" s="11">
        <v>69.406000000000006</v>
      </c>
      <c r="AJ1280" s="11">
        <v>69.094999999999999</v>
      </c>
      <c r="AK1280" s="11">
        <v>68.787000000000006</v>
      </c>
      <c r="AL1280" s="11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3"/>
      <c r="CK1280" s="3"/>
      <c r="CL1280" s="3"/>
      <c r="CM1280" s="3"/>
      <c r="CN1280" s="3"/>
      <c r="CO1280" s="3"/>
      <c r="CP1280" s="3"/>
      <c r="CQ1280" s="3"/>
      <c r="CR1280" s="3"/>
      <c r="CS1280" s="3"/>
      <c r="CT1280" s="3"/>
      <c r="CU1280" s="3"/>
      <c r="CV1280" s="3"/>
      <c r="CW1280" s="3"/>
      <c r="CX1280" s="3"/>
      <c r="CY1280" s="3"/>
      <c r="CZ1280" s="3"/>
      <c r="DA1280" s="3"/>
      <c r="DB1280" s="3"/>
      <c r="DC1280" s="3"/>
      <c r="DD1280" s="3"/>
      <c r="DE1280" s="3"/>
      <c r="DF1280" s="3"/>
      <c r="DG1280" s="3"/>
      <c r="DH1280" s="3"/>
      <c r="DI1280" s="3"/>
      <c r="DJ1280" s="3"/>
      <c r="DK1280" s="3"/>
      <c r="DL1280" s="3"/>
      <c r="DM1280" s="3"/>
      <c r="DN1280" s="3"/>
      <c r="DO1280" s="3"/>
      <c r="DP1280" s="3"/>
      <c r="DQ1280" s="3"/>
      <c r="DR1280" s="3"/>
      <c r="DS1280" s="3"/>
      <c r="DT1280" s="3"/>
      <c r="DU1280" s="3"/>
      <c r="DV1280" s="3"/>
      <c r="DW1280" s="3"/>
      <c r="DX1280" s="3"/>
      <c r="DY1280" s="3"/>
      <c r="DZ1280" s="3"/>
      <c r="EA1280" s="3"/>
      <c r="EB1280" s="3"/>
      <c r="EC1280" s="3"/>
      <c r="ED1280" s="3"/>
      <c r="EE1280" s="3"/>
      <c r="EF1280" s="3"/>
      <c r="EG1280" s="3"/>
      <c r="EH1280" s="3"/>
      <c r="EI1280" s="3"/>
      <c r="EJ1280" s="3"/>
      <c r="EK1280" s="3"/>
      <c r="EL1280" s="3"/>
      <c r="EM1280" s="3"/>
      <c r="EN1280" s="3"/>
      <c r="EO1280" s="3"/>
      <c r="EP1280" s="3"/>
      <c r="EQ1280" s="3"/>
    </row>
    <row r="1281" spans="1:147" x14ac:dyDescent="0.3">
      <c r="A1281" s="9">
        <f>DATE(2021, 12, 14)</f>
        <v>44544</v>
      </c>
      <c r="B1281" s="10">
        <v>73.7</v>
      </c>
      <c r="C1281" s="10">
        <v>73.63</v>
      </c>
      <c r="D1281" s="10">
        <v>73.349999999999994</v>
      </c>
      <c r="E1281" s="10">
        <v>73.069999999999993</v>
      </c>
      <c r="F1281" s="10">
        <v>72.790000000000006</v>
      </c>
      <c r="G1281" s="10">
        <v>72.48</v>
      </c>
      <c r="H1281" s="10">
        <v>72.16</v>
      </c>
      <c r="I1281" s="10">
        <v>71.84</v>
      </c>
      <c r="J1281" s="10">
        <v>71.52</v>
      </c>
      <c r="K1281" s="10">
        <v>71.239999999999995</v>
      </c>
      <c r="L1281" s="10">
        <v>70.94</v>
      </c>
      <c r="M1281" s="10">
        <v>70.64</v>
      </c>
      <c r="N1281" s="10">
        <v>70.73</v>
      </c>
      <c r="O1281" s="10">
        <v>70.52</v>
      </c>
      <c r="P1281" s="10">
        <v>70.260000000000005</v>
      </c>
      <c r="Q1281" s="10">
        <v>69.98</v>
      </c>
      <c r="R1281" s="10">
        <v>69.709999999999994</v>
      </c>
      <c r="S1281" s="10">
        <v>69.42</v>
      </c>
      <c r="T1281" s="10">
        <v>69.12</v>
      </c>
      <c r="U1281" s="10">
        <v>68.81</v>
      </c>
      <c r="V1281" s="10">
        <v>68.489999999999995</v>
      </c>
      <c r="W1281" s="10">
        <v>68.16</v>
      </c>
      <c r="X1281" s="10">
        <v>67.83</v>
      </c>
      <c r="Y1281" s="10">
        <v>67.510000000000005</v>
      </c>
      <c r="Z1281" s="11">
        <v>72.287000000000006</v>
      </c>
      <c r="AA1281" s="11">
        <v>71.316999999999993</v>
      </c>
      <c r="AB1281" s="11">
        <v>70.855999999999995</v>
      </c>
      <c r="AC1281" s="11">
        <v>70.668000000000006</v>
      </c>
      <c r="AD1281" s="11">
        <v>70.39</v>
      </c>
      <c r="AE1281" s="11">
        <v>70.075000000000003</v>
      </c>
      <c r="AF1281" s="11">
        <v>69.774000000000001</v>
      </c>
      <c r="AG1281" s="11">
        <v>69.465000000000003</v>
      </c>
      <c r="AH1281" s="11">
        <v>69.168000000000006</v>
      </c>
      <c r="AI1281" s="11">
        <v>68.876000000000005</v>
      </c>
      <c r="AJ1281" s="11">
        <v>68.585999999999999</v>
      </c>
      <c r="AK1281" s="11">
        <v>68.296999999999997</v>
      </c>
      <c r="AL1281" s="11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3"/>
      <c r="CK1281" s="3"/>
      <c r="CL1281" s="3"/>
      <c r="CM1281" s="3"/>
      <c r="CN1281" s="3"/>
      <c r="CO1281" s="3"/>
      <c r="CP1281" s="3"/>
      <c r="CQ1281" s="3"/>
      <c r="CR1281" s="3"/>
      <c r="CS1281" s="3"/>
      <c r="CT1281" s="3"/>
      <c r="CU1281" s="3"/>
      <c r="CV1281" s="3"/>
      <c r="CW1281" s="3"/>
      <c r="CX1281" s="3"/>
      <c r="CY1281" s="3"/>
      <c r="CZ1281" s="3"/>
      <c r="DA1281" s="3"/>
      <c r="DB1281" s="3"/>
      <c r="DC1281" s="3"/>
      <c r="DD1281" s="3"/>
      <c r="DE1281" s="3"/>
      <c r="DF1281" s="3"/>
      <c r="DG1281" s="3"/>
      <c r="DH1281" s="3"/>
      <c r="DI1281" s="3"/>
      <c r="DJ1281" s="3"/>
      <c r="DK1281" s="3"/>
      <c r="DL1281" s="3"/>
      <c r="DM1281" s="3"/>
      <c r="DN1281" s="3"/>
      <c r="DO1281" s="3"/>
      <c r="DP1281" s="3"/>
      <c r="DQ1281" s="3"/>
      <c r="DR1281" s="3"/>
      <c r="DS1281" s="3"/>
      <c r="DT1281" s="3"/>
      <c r="DU1281" s="3"/>
      <c r="DV1281" s="3"/>
      <c r="DW1281" s="3"/>
      <c r="DX1281" s="3"/>
      <c r="DY1281" s="3"/>
      <c r="DZ1281" s="3"/>
      <c r="EA1281" s="3"/>
      <c r="EB1281" s="3"/>
      <c r="EC1281" s="3"/>
      <c r="ED1281" s="3"/>
      <c r="EE1281" s="3"/>
      <c r="EF1281" s="3"/>
      <c r="EG1281" s="3"/>
      <c r="EH1281" s="3"/>
      <c r="EI1281" s="3"/>
      <c r="EJ1281" s="3"/>
      <c r="EK1281" s="3"/>
      <c r="EL1281" s="3"/>
      <c r="EM1281" s="3"/>
      <c r="EN1281" s="3"/>
      <c r="EO1281" s="3"/>
      <c r="EP1281" s="3"/>
      <c r="EQ1281" s="3"/>
    </row>
    <row r="1282" spans="1:147" x14ac:dyDescent="0.3">
      <c r="A1282" s="9">
        <f>DATE(2021, 12, 15)</f>
        <v>44545</v>
      </c>
      <c r="B1282" s="10">
        <v>73.88</v>
      </c>
      <c r="C1282" s="10">
        <v>73.78</v>
      </c>
      <c r="D1282" s="10">
        <v>73.45</v>
      </c>
      <c r="E1282" s="10">
        <v>73.13</v>
      </c>
      <c r="F1282" s="10">
        <v>72.8</v>
      </c>
      <c r="G1282" s="10">
        <v>72.459999999999994</v>
      </c>
      <c r="H1282" s="10">
        <v>72.11</v>
      </c>
      <c r="I1282" s="10">
        <v>71.739999999999995</v>
      </c>
      <c r="J1282" s="10">
        <v>71.39</v>
      </c>
      <c r="K1282" s="10">
        <v>71.069999999999993</v>
      </c>
      <c r="L1282" s="10">
        <v>70.739999999999995</v>
      </c>
      <c r="M1282" s="10">
        <v>70.41</v>
      </c>
      <c r="N1282" s="10">
        <v>70.87</v>
      </c>
      <c r="O1282" s="10">
        <v>70.66</v>
      </c>
      <c r="P1282" s="10">
        <v>70.36</v>
      </c>
      <c r="Q1282" s="10">
        <v>70.05</v>
      </c>
      <c r="R1282" s="10">
        <v>69.739999999999995</v>
      </c>
      <c r="S1282" s="10">
        <v>69.41</v>
      </c>
      <c r="T1282" s="10">
        <v>69.069999999999993</v>
      </c>
      <c r="U1282" s="10">
        <v>68.709999999999994</v>
      </c>
      <c r="V1282" s="10">
        <v>68.34</v>
      </c>
      <c r="W1282" s="10">
        <v>67.97</v>
      </c>
      <c r="X1282" s="10">
        <v>67.62</v>
      </c>
      <c r="Y1282" s="10">
        <v>67.28</v>
      </c>
      <c r="Z1282" s="11">
        <v>72.41</v>
      </c>
      <c r="AA1282" s="11">
        <v>71.554000000000002</v>
      </c>
      <c r="AB1282" s="11">
        <v>71.034000000000006</v>
      </c>
      <c r="AC1282" s="11">
        <v>70.745999999999995</v>
      </c>
      <c r="AD1282" s="11">
        <v>70.423000000000002</v>
      </c>
      <c r="AE1282" s="11">
        <v>70.073999999999998</v>
      </c>
      <c r="AF1282" s="11">
        <v>69.734999999999999</v>
      </c>
      <c r="AG1282" s="11">
        <v>69.382999999999996</v>
      </c>
      <c r="AH1282" s="11">
        <v>69.055999999999997</v>
      </c>
      <c r="AI1282" s="11">
        <v>68.724999999999994</v>
      </c>
      <c r="AJ1282" s="11">
        <v>68.403999999999996</v>
      </c>
      <c r="AK1282" s="11">
        <v>68.085999999999999</v>
      </c>
      <c r="AL1282" s="11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3"/>
      <c r="CK1282" s="3"/>
      <c r="CL1282" s="3"/>
      <c r="CM1282" s="3"/>
      <c r="CN1282" s="3"/>
      <c r="CO1282" s="3"/>
      <c r="CP1282" s="3"/>
      <c r="CQ1282" s="3"/>
      <c r="CR1282" s="3"/>
      <c r="CS1282" s="3"/>
      <c r="CT1282" s="3"/>
      <c r="CU1282" s="3"/>
      <c r="CV1282" s="3"/>
      <c r="CW1282" s="3"/>
      <c r="CX1282" s="3"/>
      <c r="CY1282" s="3"/>
      <c r="CZ1282" s="3"/>
      <c r="DA1282" s="3"/>
      <c r="DB1282" s="3"/>
      <c r="DC1282" s="3"/>
      <c r="DD1282" s="3"/>
      <c r="DE1282" s="3"/>
      <c r="DF1282" s="3"/>
      <c r="DG1282" s="3"/>
      <c r="DH1282" s="3"/>
      <c r="DI1282" s="3"/>
      <c r="DJ1282" s="3"/>
      <c r="DK1282" s="3"/>
      <c r="DL1282" s="3"/>
      <c r="DM1282" s="3"/>
      <c r="DN1282" s="3"/>
      <c r="DO1282" s="3"/>
      <c r="DP1282" s="3"/>
      <c r="DQ1282" s="3"/>
      <c r="DR1282" s="3"/>
      <c r="DS1282" s="3"/>
      <c r="DT1282" s="3"/>
      <c r="DU1282" s="3"/>
      <c r="DV1282" s="3"/>
      <c r="DW1282" s="3"/>
      <c r="DX1282" s="3"/>
      <c r="DY1282" s="3"/>
      <c r="DZ1282" s="3"/>
      <c r="EA1282" s="3"/>
      <c r="EB1282" s="3"/>
      <c r="EC1282" s="3"/>
      <c r="ED1282" s="3"/>
      <c r="EE1282" s="3"/>
      <c r="EF1282" s="3"/>
      <c r="EG1282" s="3"/>
      <c r="EH1282" s="3"/>
      <c r="EI1282" s="3"/>
      <c r="EJ1282" s="3"/>
      <c r="EK1282" s="3"/>
      <c r="EL1282" s="3"/>
      <c r="EM1282" s="3"/>
      <c r="EN1282" s="3"/>
      <c r="EO1282" s="3"/>
      <c r="EP1282" s="3"/>
      <c r="EQ1282" s="3"/>
    </row>
    <row r="1283" spans="1:147" x14ac:dyDescent="0.3">
      <c r="A1283" s="9">
        <f>DATE(2021, 12, 16)</f>
        <v>44546</v>
      </c>
      <c r="B1283" s="10">
        <v>75.02</v>
      </c>
      <c r="C1283" s="10">
        <v>74.92</v>
      </c>
      <c r="D1283" s="10">
        <v>74.56</v>
      </c>
      <c r="E1283" s="10">
        <v>74.180000000000007</v>
      </c>
      <c r="F1283" s="10">
        <v>73.8</v>
      </c>
      <c r="G1283" s="10">
        <v>73.400000000000006</v>
      </c>
      <c r="H1283" s="10">
        <v>72.989999999999995</v>
      </c>
      <c r="I1283" s="10">
        <v>72.569999999999993</v>
      </c>
      <c r="J1283" s="10">
        <v>72.17</v>
      </c>
      <c r="K1283" s="10">
        <v>71.790000000000006</v>
      </c>
      <c r="L1283" s="10">
        <v>71.400000000000006</v>
      </c>
      <c r="M1283" s="10">
        <v>71.03</v>
      </c>
      <c r="N1283" s="10">
        <v>72.38</v>
      </c>
      <c r="O1283" s="10">
        <v>72.150000000000006</v>
      </c>
      <c r="P1283" s="10">
        <v>71.75</v>
      </c>
      <c r="Q1283" s="10">
        <v>71.349999999999994</v>
      </c>
      <c r="R1283" s="10">
        <v>70.959999999999994</v>
      </c>
      <c r="S1283" s="10">
        <v>70.55</v>
      </c>
      <c r="T1283" s="10">
        <v>70.13</v>
      </c>
      <c r="U1283" s="10">
        <v>69.7</v>
      </c>
      <c r="V1283" s="10">
        <v>69.27</v>
      </c>
      <c r="W1283" s="10">
        <v>68.849999999999994</v>
      </c>
      <c r="X1283" s="10">
        <v>68.400000000000006</v>
      </c>
      <c r="Y1283" s="10">
        <v>68</v>
      </c>
      <c r="Z1283" s="11">
        <v>73.034999999999997</v>
      </c>
      <c r="AA1283" s="11">
        <v>72.882999999999996</v>
      </c>
      <c r="AB1283" s="11">
        <v>72.230999999999995</v>
      </c>
      <c r="AC1283" s="11">
        <v>71.852999999999994</v>
      </c>
      <c r="AD1283" s="11">
        <v>71.47</v>
      </c>
      <c r="AE1283" s="11">
        <v>71.051000000000002</v>
      </c>
      <c r="AF1283" s="11">
        <v>70.650000000000006</v>
      </c>
      <c r="AG1283" s="11">
        <v>70.251000000000005</v>
      </c>
      <c r="AH1283" s="11">
        <v>69.882999999999996</v>
      </c>
      <c r="AI1283" s="11">
        <v>69.531999999999996</v>
      </c>
      <c r="AJ1283" s="11">
        <v>69.162000000000006</v>
      </c>
      <c r="AK1283" s="11">
        <v>68.793999999999997</v>
      </c>
      <c r="AL1283" s="11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3"/>
      <c r="CK1283" s="3"/>
      <c r="CL1283" s="3"/>
      <c r="CM1283" s="3"/>
      <c r="CN1283" s="3"/>
      <c r="CO1283" s="3"/>
      <c r="CP1283" s="3"/>
      <c r="CQ1283" s="3"/>
      <c r="CR1283" s="3"/>
      <c r="CS1283" s="3"/>
      <c r="CT1283" s="3"/>
      <c r="CU1283" s="3"/>
      <c r="CV1283" s="3"/>
      <c r="CW1283" s="3"/>
      <c r="CX1283" s="3"/>
      <c r="CY1283" s="3"/>
      <c r="CZ1283" s="3"/>
      <c r="DA1283" s="3"/>
      <c r="DB1283" s="3"/>
      <c r="DC1283" s="3"/>
      <c r="DD1283" s="3"/>
      <c r="DE1283" s="3"/>
      <c r="DF1283" s="3"/>
      <c r="DG1283" s="3"/>
      <c r="DH1283" s="3"/>
      <c r="DI1283" s="3"/>
      <c r="DJ1283" s="3"/>
      <c r="DK1283" s="3"/>
      <c r="DL1283" s="3"/>
      <c r="DM1283" s="3"/>
      <c r="DN1283" s="3"/>
      <c r="DO1283" s="3"/>
      <c r="DP1283" s="3"/>
      <c r="DQ1283" s="3"/>
      <c r="DR1283" s="3"/>
      <c r="DS1283" s="3"/>
      <c r="DT1283" s="3"/>
      <c r="DU1283" s="3"/>
      <c r="DV1283" s="3"/>
      <c r="DW1283" s="3"/>
      <c r="DX1283" s="3"/>
      <c r="DY1283" s="3"/>
      <c r="DZ1283" s="3"/>
      <c r="EA1283" s="3"/>
      <c r="EB1283" s="3"/>
      <c r="EC1283" s="3"/>
      <c r="ED1283" s="3"/>
      <c r="EE1283" s="3"/>
      <c r="EF1283" s="3"/>
      <c r="EG1283" s="3"/>
      <c r="EH1283" s="3"/>
      <c r="EI1283" s="3"/>
      <c r="EJ1283" s="3"/>
      <c r="EK1283" s="3"/>
      <c r="EL1283" s="3"/>
      <c r="EM1283" s="3"/>
      <c r="EN1283" s="3"/>
      <c r="EO1283" s="3"/>
      <c r="EP1283" s="3"/>
      <c r="EQ1283" s="3"/>
    </row>
    <row r="1284" spans="1:147" x14ac:dyDescent="0.3">
      <c r="A1284" s="9">
        <f>DATE(2021, 12, 17)</f>
        <v>44547</v>
      </c>
      <c r="B1284" s="10">
        <v>73.52</v>
      </c>
      <c r="C1284" s="10">
        <v>73.52</v>
      </c>
      <c r="D1284" s="10">
        <v>73.17</v>
      </c>
      <c r="E1284" s="10">
        <v>72.8</v>
      </c>
      <c r="F1284" s="10">
        <v>72.41</v>
      </c>
      <c r="G1284" s="10">
        <v>71.989999999999995</v>
      </c>
      <c r="H1284" s="10">
        <v>71.58</v>
      </c>
      <c r="I1284" s="10">
        <v>71.16</v>
      </c>
      <c r="J1284" s="10">
        <v>70.760000000000005</v>
      </c>
      <c r="K1284" s="10">
        <v>70.39</v>
      </c>
      <c r="L1284" s="10">
        <v>70.02</v>
      </c>
      <c r="M1284" s="10">
        <v>69.650000000000006</v>
      </c>
      <c r="N1284" s="10">
        <v>70.86</v>
      </c>
      <c r="O1284" s="10">
        <v>70.72</v>
      </c>
      <c r="P1284" s="10">
        <v>70.349999999999994</v>
      </c>
      <c r="Q1284" s="10">
        <v>69.95</v>
      </c>
      <c r="R1284" s="10">
        <v>69.53</v>
      </c>
      <c r="S1284" s="10">
        <v>69.099999999999994</v>
      </c>
      <c r="T1284" s="10">
        <v>68.650000000000006</v>
      </c>
      <c r="U1284" s="10">
        <v>68.2</v>
      </c>
      <c r="V1284" s="10">
        <v>67.75</v>
      </c>
      <c r="W1284" s="10">
        <v>67.319999999999993</v>
      </c>
      <c r="X1284" s="10">
        <v>66.86</v>
      </c>
      <c r="Y1284" s="10">
        <v>66.44</v>
      </c>
      <c r="Z1284" s="11">
        <v>72.474000000000004</v>
      </c>
      <c r="AA1284" s="11">
        <v>71.522999999999996</v>
      </c>
      <c r="AB1284" s="11">
        <v>70.861999999999995</v>
      </c>
      <c r="AC1284" s="11">
        <v>70.483000000000004</v>
      </c>
      <c r="AD1284" s="11">
        <v>70.088999999999999</v>
      </c>
      <c r="AE1284" s="11">
        <v>69.661000000000001</v>
      </c>
      <c r="AF1284" s="11">
        <v>69.251000000000005</v>
      </c>
      <c r="AG1284" s="11">
        <v>68.850999999999999</v>
      </c>
      <c r="AH1284" s="11">
        <v>68.474000000000004</v>
      </c>
      <c r="AI1284" s="11">
        <v>68.102999999999994</v>
      </c>
      <c r="AJ1284" s="11">
        <v>67.762</v>
      </c>
      <c r="AK1284" s="11">
        <v>67.405000000000001</v>
      </c>
      <c r="AL1284" s="11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3"/>
      <c r="CK1284" s="3"/>
      <c r="CL1284" s="3"/>
      <c r="CM1284" s="3"/>
      <c r="CN1284" s="3"/>
      <c r="CO1284" s="3"/>
      <c r="CP1284" s="3"/>
      <c r="CQ1284" s="3"/>
      <c r="CR1284" s="3"/>
      <c r="CS1284" s="3"/>
      <c r="CT1284" s="3"/>
      <c r="CU1284" s="3"/>
      <c r="CV1284" s="3"/>
      <c r="CW1284" s="3"/>
      <c r="CX1284" s="3"/>
      <c r="CY1284" s="3"/>
      <c r="CZ1284" s="3"/>
      <c r="DA1284" s="3"/>
      <c r="DB1284" s="3"/>
      <c r="DC1284" s="3"/>
      <c r="DD1284" s="3"/>
      <c r="DE1284" s="3"/>
      <c r="DF1284" s="3"/>
      <c r="DG1284" s="3"/>
      <c r="DH1284" s="3"/>
      <c r="DI1284" s="3"/>
      <c r="DJ1284" s="3"/>
      <c r="DK1284" s="3"/>
      <c r="DL1284" s="3"/>
      <c r="DM1284" s="3"/>
      <c r="DN1284" s="3"/>
      <c r="DO1284" s="3"/>
      <c r="DP1284" s="3"/>
      <c r="DQ1284" s="3"/>
      <c r="DR1284" s="3"/>
      <c r="DS1284" s="3"/>
      <c r="DT1284" s="3"/>
      <c r="DU1284" s="3"/>
      <c r="DV1284" s="3"/>
      <c r="DW1284" s="3"/>
      <c r="DX1284" s="3"/>
      <c r="DY1284" s="3"/>
      <c r="DZ1284" s="3"/>
      <c r="EA1284" s="3"/>
      <c r="EB1284" s="3"/>
      <c r="EC1284" s="3"/>
      <c r="ED1284" s="3"/>
      <c r="EE1284" s="3"/>
      <c r="EF1284" s="3"/>
      <c r="EG1284" s="3"/>
      <c r="EH1284" s="3"/>
      <c r="EI1284" s="3"/>
      <c r="EJ1284" s="3"/>
      <c r="EK1284" s="3"/>
      <c r="EL1284" s="3"/>
      <c r="EM1284" s="3"/>
      <c r="EN1284" s="3"/>
      <c r="EO1284" s="3"/>
      <c r="EP1284" s="3"/>
      <c r="EQ1284" s="3"/>
    </row>
    <row r="1285" spans="1:147" x14ac:dyDescent="0.3">
      <c r="A1285" s="9">
        <f>DATE(2021, 12, 20)</f>
        <v>44550</v>
      </c>
      <c r="B1285" s="10">
        <v>71.52</v>
      </c>
      <c r="C1285" s="10">
        <v>71.569999999999993</v>
      </c>
      <c r="D1285" s="10">
        <v>71.28</v>
      </c>
      <c r="E1285" s="10">
        <v>70.97</v>
      </c>
      <c r="F1285" s="10">
        <v>70.62</v>
      </c>
      <c r="G1285" s="10">
        <v>70.23</v>
      </c>
      <c r="H1285" s="10">
        <v>69.86</v>
      </c>
      <c r="I1285" s="10">
        <v>69.489999999999995</v>
      </c>
      <c r="J1285" s="10">
        <v>69.150000000000006</v>
      </c>
      <c r="K1285" s="10">
        <v>68.819999999999993</v>
      </c>
      <c r="L1285" s="10">
        <v>68.489999999999995</v>
      </c>
      <c r="M1285" s="10">
        <v>68.16</v>
      </c>
      <c r="N1285" s="10">
        <v>68.23</v>
      </c>
      <c r="O1285" s="10">
        <v>68.61</v>
      </c>
      <c r="P1285" s="10">
        <v>68.36</v>
      </c>
      <c r="Q1285" s="10">
        <v>68.03</v>
      </c>
      <c r="R1285" s="10">
        <v>67.680000000000007</v>
      </c>
      <c r="S1285" s="10">
        <v>67.31</v>
      </c>
      <c r="T1285" s="10">
        <v>66.930000000000007</v>
      </c>
      <c r="U1285" s="10">
        <v>66.53</v>
      </c>
      <c r="V1285" s="10">
        <v>66.14</v>
      </c>
      <c r="W1285" s="10">
        <v>65.739999999999995</v>
      </c>
      <c r="X1285" s="10">
        <v>65.36</v>
      </c>
      <c r="Y1285" s="10">
        <v>64.97</v>
      </c>
      <c r="Z1285" s="11">
        <v>71.61</v>
      </c>
      <c r="AA1285" s="11">
        <v>69.536000000000001</v>
      </c>
      <c r="AB1285" s="11">
        <v>69.004999999999995</v>
      </c>
      <c r="AC1285" s="11">
        <v>68.709999999999994</v>
      </c>
      <c r="AD1285" s="11">
        <v>68.320999999999998</v>
      </c>
      <c r="AE1285" s="11">
        <v>67.903999999999996</v>
      </c>
      <c r="AF1285" s="11">
        <v>67.543000000000006</v>
      </c>
      <c r="AG1285" s="11">
        <v>67.174000000000007</v>
      </c>
      <c r="AH1285" s="11">
        <v>66.846000000000004</v>
      </c>
      <c r="AI1285" s="11">
        <v>66.525000000000006</v>
      </c>
      <c r="AJ1285" s="11">
        <v>66.203999999999994</v>
      </c>
      <c r="AK1285" s="11">
        <v>65.887</v>
      </c>
      <c r="AL1285" s="11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3"/>
      <c r="CK1285" s="3"/>
      <c r="CL1285" s="3"/>
      <c r="CM1285" s="3"/>
      <c r="CN1285" s="3"/>
      <c r="CO1285" s="3"/>
      <c r="CP1285" s="3"/>
      <c r="CQ1285" s="3"/>
      <c r="CR1285" s="3"/>
      <c r="CS1285" s="3"/>
      <c r="CT1285" s="3"/>
      <c r="CU1285" s="3"/>
      <c r="CV1285" s="3"/>
      <c r="CW1285" s="3"/>
      <c r="CX1285" s="3"/>
      <c r="CY1285" s="3"/>
      <c r="CZ1285" s="3"/>
      <c r="DA1285" s="3"/>
      <c r="DB1285" s="3"/>
      <c r="DC1285" s="3"/>
      <c r="DD1285" s="3"/>
      <c r="DE1285" s="3"/>
      <c r="DF1285" s="3"/>
      <c r="DG1285" s="3"/>
      <c r="DH1285" s="3"/>
      <c r="DI1285" s="3"/>
      <c r="DJ1285" s="3"/>
      <c r="DK1285" s="3"/>
      <c r="DL1285" s="3"/>
      <c r="DM1285" s="3"/>
      <c r="DN1285" s="3"/>
      <c r="DO1285" s="3"/>
      <c r="DP1285" s="3"/>
      <c r="DQ1285" s="3"/>
      <c r="DR1285" s="3"/>
      <c r="DS1285" s="3"/>
      <c r="DT1285" s="3"/>
      <c r="DU1285" s="3"/>
      <c r="DV1285" s="3"/>
      <c r="DW1285" s="3"/>
      <c r="DX1285" s="3"/>
      <c r="DY1285" s="3"/>
      <c r="DZ1285" s="3"/>
      <c r="EA1285" s="3"/>
      <c r="EB1285" s="3"/>
      <c r="EC1285" s="3"/>
      <c r="ED1285" s="3"/>
      <c r="EE1285" s="3"/>
      <c r="EF1285" s="3"/>
      <c r="EG1285" s="3"/>
      <c r="EH1285" s="3"/>
      <c r="EI1285" s="3"/>
      <c r="EJ1285" s="3"/>
      <c r="EK1285" s="3"/>
      <c r="EL1285" s="3"/>
      <c r="EM1285" s="3"/>
      <c r="EN1285" s="3"/>
      <c r="EO1285" s="3"/>
      <c r="EP1285" s="3"/>
      <c r="EQ1285" s="3"/>
    </row>
    <row r="1286" spans="1:147" x14ac:dyDescent="0.3">
      <c r="A1286" s="9">
        <f>DATE(2021, 12, 21)</f>
        <v>44551</v>
      </c>
      <c r="B1286" s="10">
        <v>73.98</v>
      </c>
      <c r="C1286" s="10">
        <v>73.959999999999994</v>
      </c>
      <c r="D1286" s="10">
        <v>73.62</v>
      </c>
      <c r="E1286" s="10">
        <v>73.28</v>
      </c>
      <c r="F1286" s="10">
        <v>72.89</v>
      </c>
      <c r="G1286" s="10">
        <v>72.45</v>
      </c>
      <c r="H1286" s="10">
        <v>72.03</v>
      </c>
      <c r="I1286" s="10">
        <v>71.62</v>
      </c>
      <c r="J1286" s="10">
        <v>71.23</v>
      </c>
      <c r="K1286" s="10">
        <v>70.86</v>
      </c>
      <c r="L1286" s="10">
        <v>70.5</v>
      </c>
      <c r="M1286" s="10">
        <v>70.14</v>
      </c>
      <c r="N1286" s="10">
        <v>71.12</v>
      </c>
      <c r="O1286" s="10">
        <v>70.819999999999993</v>
      </c>
      <c r="P1286" s="10">
        <v>70.44</v>
      </c>
      <c r="Q1286" s="10">
        <v>70.05</v>
      </c>
      <c r="R1286" s="10">
        <v>69.64</v>
      </c>
      <c r="S1286" s="10">
        <v>69.2</v>
      </c>
      <c r="T1286" s="10">
        <v>68.739999999999995</v>
      </c>
      <c r="U1286" s="10">
        <v>68.31</v>
      </c>
      <c r="V1286" s="10">
        <v>67.86</v>
      </c>
      <c r="W1286" s="10">
        <v>67.430000000000007</v>
      </c>
      <c r="X1286" s="10">
        <v>67</v>
      </c>
      <c r="Y1286" s="10">
        <v>66.569999999999993</v>
      </c>
      <c r="Z1286" s="11">
        <v>72.355000000000004</v>
      </c>
      <c r="AA1286" s="11">
        <v>71.924000000000007</v>
      </c>
      <c r="AB1286" s="11">
        <v>71.403000000000006</v>
      </c>
      <c r="AC1286" s="11">
        <v>71.108000000000004</v>
      </c>
      <c r="AD1286" s="11">
        <v>70.683000000000007</v>
      </c>
      <c r="AE1286" s="11">
        <v>70.210999999999999</v>
      </c>
      <c r="AF1286" s="11">
        <v>69.771000000000001</v>
      </c>
      <c r="AG1286" s="11">
        <v>69.391000000000005</v>
      </c>
      <c r="AH1286" s="11">
        <v>69.013999999999996</v>
      </c>
      <c r="AI1286" s="11">
        <v>68.644000000000005</v>
      </c>
      <c r="AJ1286" s="11">
        <v>68.283000000000001</v>
      </c>
      <c r="AK1286" s="11">
        <v>67.944999999999993</v>
      </c>
      <c r="AL1286" s="11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3"/>
      <c r="CK1286" s="3"/>
      <c r="CL1286" s="3"/>
      <c r="CM1286" s="3"/>
      <c r="CN1286" s="3"/>
      <c r="CO1286" s="3"/>
      <c r="CP1286" s="3"/>
      <c r="CQ1286" s="3"/>
      <c r="CR1286" s="3"/>
      <c r="CS1286" s="3"/>
      <c r="CT1286" s="3"/>
      <c r="CU1286" s="3"/>
      <c r="CV1286" s="3"/>
      <c r="CW1286" s="3"/>
      <c r="CX1286" s="3"/>
      <c r="CY1286" s="3"/>
      <c r="CZ1286" s="3"/>
      <c r="DA1286" s="3"/>
      <c r="DB1286" s="3"/>
      <c r="DC1286" s="3"/>
      <c r="DD1286" s="3"/>
      <c r="DE1286" s="3"/>
      <c r="DF1286" s="3"/>
      <c r="DG1286" s="3"/>
      <c r="DH1286" s="3"/>
      <c r="DI1286" s="3"/>
      <c r="DJ1286" s="3"/>
      <c r="DK1286" s="3"/>
      <c r="DL1286" s="3"/>
      <c r="DM1286" s="3"/>
      <c r="DN1286" s="3"/>
      <c r="DO1286" s="3"/>
      <c r="DP1286" s="3"/>
      <c r="DQ1286" s="3"/>
      <c r="DR1286" s="3"/>
      <c r="DS1286" s="3"/>
      <c r="DT1286" s="3"/>
      <c r="DU1286" s="3"/>
      <c r="DV1286" s="3"/>
      <c r="DW1286" s="3"/>
      <c r="DX1286" s="3"/>
      <c r="DY1286" s="3"/>
      <c r="DZ1286" s="3"/>
      <c r="EA1286" s="3"/>
      <c r="EB1286" s="3"/>
      <c r="EC1286" s="3"/>
      <c r="ED1286" s="3"/>
      <c r="EE1286" s="3"/>
      <c r="EF1286" s="3"/>
      <c r="EG1286" s="3"/>
      <c r="EH1286" s="3"/>
      <c r="EI1286" s="3"/>
      <c r="EJ1286" s="3"/>
      <c r="EK1286" s="3"/>
      <c r="EL1286" s="3"/>
      <c r="EM1286" s="3"/>
      <c r="EN1286" s="3"/>
      <c r="EO1286" s="3"/>
      <c r="EP1286" s="3"/>
      <c r="EQ1286" s="3"/>
    </row>
    <row r="1287" spans="1:147" x14ac:dyDescent="0.3">
      <c r="A1287" s="9">
        <f>DATE(2021, 12, 22)</f>
        <v>44552</v>
      </c>
      <c r="B1287" s="10">
        <v>75.290000000000006</v>
      </c>
      <c r="C1287" s="10">
        <v>75.28</v>
      </c>
      <c r="D1287" s="10">
        <v>74.87</v>
      </c>
      <c r="E1287" s="10">
        <v>74.44</v>
      </c>
      <c r="F1287" s="10">
        <v>73.959999999999994</v>
      </c>
      <c r="G1287" s="10">
        <v>73.45</v>
      </c>
      <c r="H1287" s="10">
        <v>72.959999999999994</v>
      </c>
      <c r="I1287" s="10">
        <v>72.48</v>
      </c>
      <c r="J1287" s="10">
        <v>72.02</v>
      </c>
      <c r="K1287" s="10">
        <v>71.59</v>
      </c>
      <c r="L1287" s="10">
        <v>71.16</v>
      </c>
      <c r="M1287" s="10">
        <v>70.73</v>
      </c>
      <c r="N1287" s="10">
        <v>72.760000000000005</v>
      </c>
      <c r="O1287" s="10">
        <v>72.33</v>
      </c>
      <c r="P1287" s="10">
        <v>71.83</v>
      </c>
      <c r="Q1287" s="10">
        <v>71.319999999999993</v>
      </c>
      <c r="R1287" s="10">
        <v>70.790000000000006</v>
      </c>
      <c r="S1287" s="10">
        <v>70.25</v>
      </c>
      <c r="T1287" s="10">
        <v>69.709999999999994</v>
      </c>
      <c r="U1287" s="10">
        <v>69.180000000000007</v>
      </c>
      <c r="V1287" s="10">
        <v>68.66</v>
      </c>
      <c r="W1287" s="10">
        <v>68.16</v>
      </c>
      <c r="X1287" s="10">
        <v>67.67</v>
      </c>
      <c r="Y1287" s="10">
        <v>67.17</v>
      </c>
      <c r="Z1287" s="11">
        <v>72.682000000000002</v>
      </c>
      <c r="AA1287" s="11">
        <v>73.239999999999995</v>
      </c>
      <c r="AB1287" s="11">
        <v>72.659000000000006</v>
      </c>
      <c r="AC1287" s="11">
        <v>72.269000000000005</v>
      </c>
      <c r="AD1287" s="11">
        <v>71.795000000000002</v>
      </c>
      <c r="AE1287" s="11">
        <v>71.302999999999997</v>
      </c>
      <c r="AF1287" s="11">
        <v>70.822999999999993</v>
      </c>
      <c r="AG1287" s="11">
        <v>70.347999999999999</v>
      </c>
      <c r="AH1287" s="11">
        <v>69.900999999999996</v>
      </c>
      <c r="AI1287" s="11">
        <v>69.47</v>
      </c>
      <c r="AJ1287" s="11">
        <v>69.040000000000006</v>
      </c>
      <c r="AK1287" s="11">
        <v>68.613</v>
      </c>
      <c r="AL1287" s="11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3"/>
      <c r="CK1287" s="3"/>
      <c r="CL1287" s="3"/>
      <c r="CM1287" s="3"/>
      <c r="CN1287" s="3"/>
      <c r="CO1287" s="3"/>
      <c r="CP1287" s="3"/>
      <c r="CQ1287" s="3"/>
      <c r="CR1287" s="3"/>
      <c r="CS1287" s="3"/>
      <c r="CT1287" s="3"/>
      <c r="CU1287" s="3"/>
      <c r="CV1287" s="3"/>
      <c r="CW1287" s="3"/>
      <c r="CX1287" s="3"/>
      <c r="CY1287" s="3"/>
      <c r="CZ1287" s="3"/>
      <c r="DA1287" s="3"/>
      <c r="DB1287" s="3"/>
      <c r="DC1287" s="3"/>
      <c r="DD1287" s="3"/>
      <c r="DE1287" s="3"/>
      <c r="DF1287" s="3"/>
      <c r="DG1287" s="3"/>
      <c r="DH1287" s="3"/>
      <c r="DI1287" s="3"/>
      <c r="DJ1287" s="3"/>
      <c r="DK1287" s="3"/>
      <c r="DL1287" s="3"/>
      <c r="DM1287" s="3"/>
      <c r="DN1287" s="3"/>
      <c r="DO1287" s="3"/>
      <c r="DP1287" s="3"/>
      <c r="DQ1287" s="3"/>
      <c r="DR1287" s="3"/>
      <c r="DS1287" s="3"/>
      <c r="DT1287" s="3"/>
      <c r="DU1287" s="3"/>
      <c r="DV1287" s="3"/>
      <c r="DW1287" s="3"/>
      <c r="DX1287" s="3"/>
      <c r="DY1287" s="3"/>
      <c r="DZ1287" s="3"/>
      <c r="EA1287" s="3"/>
      <c r="EB1287" s="3"/>
      <c r="EC1287" s="3"/>
      <c r="ED1287" s="3"/>
      <c r="EE1287" s="3"/>
      <c r="EF1287" s="3"/>
      <c r="EG1287" s="3"/>
      <c r="EH1287" s="3"/>
      <c r="EI1287" s="3"/>
      <c r="EJ1287" s="3"/>
      <c r="EK1287" s="3"/>
      <c r="EL1287" s="3"/>
      <c r="EM1287" s="3"/>
      <c r="EN1287" s="3"/>
      <c r="EO1287" s="3"/>
      <c r="EP1287" s="3"/>
      <c r="EQ1287" s="3"/>
    </row>
    <row r="1288" spans="1:147" x14ac:dyDescent="0.3">
      <c r="A1288" s="9">
        <f>DATE(2021, 12, 23)</f>
        <v>44553</v>
      </c>
      <c r="B1288" s="10">
        <v>76.849999999999994</v>
      </c>
      <c r="C1288" s="10">
        <v>76.64</v>
      </c>
      <c r="D1288" s="10">
        <v>76.14</v>
      </c>
      <c r="E1288" s="10">
        <v>75.66</v>
      </c>
      <c r="F1288" s="10">
        <v>75.13</v>
      </c>
      <c r="G1288" s="10">
        <v>74.599999999999994</v>
      </c>
      <c r="H1288" s="10">
        <v>74.09</v>
      </c>
      <c r="I1288" s="10">
        <v>73.58</v>
      </c>
      <c r="J1288" s="10">
        <v>73.099999999999994</v>
      </c>
      <c r="K1288" s="10">
        <v>72.650000000000006</v>
      </c>
      <c r="L1288" s="10">
        <v>72.180000000000007</v>
      </c>
      <c r="M1288" s="10">
        <v>71.739999999999995</v>
      </c>
      <c r="N1288" s="10">
        <v>73.790000000000006</v>
      </c>
      <c r="O1288" s="10">
        <v>73.42</v>
      </c>
      <c r="P1288" s="10">
        <v>72.930000000000007</v>
      </c>
      <c r="Q1288" s="10">
        <v>72.400000000000006</v>
      </c>
      <c r="R1288" s="10">
        <v>71.819999999999993</v>
      </c>
      <c r="S1288" s="10">
        <v>71.239999999999995</v>
      </c>
      <c r="T1288" s="10">
        <v>70.66</v>
      </c>
      <c r="U1288" s="10">
        <v>70.09</v>
      </c>
      <c r="V1288" s="10">
        <v>69.540000000000006</v>
      </c>
      <c r="W1288" s="10">
        <v>69.03</v>
      </c>
      <c r="X1288" s="10">
        <v>68.540000000000006</v>
      </c>
      <c r="Y1288" s="10">
        <v>68.040000000000006</v>
      </c>
      <c r="Z1288" s="11">
        <v>72.894999999999996</v>
      </c>
      <c r="AA1288" s="11">
        <v>74.525999999999996</v>
      </c>
      <c r="AB1288" s="11">
        <v>73.906000000000006</v>
      </c>
      <c r="AC1288" s="11">
        <v>73.456999999999994</v>
      </c>
      <c r="AD1288" s="11">
        <v>72.956999999999994</v>
      </c>
      <c r="AE1288" s="11">
        <v>72.456999999999994</v>
      </c>
      <c r="AF1288" s="11">
        <v>71.936999999999998</v>
      </c>
      <c r="AG1288" s="11">
        <v>71.456999999999994</v>
      </c>
      <c r="AH1288" s="11">
        <v>70.98</v>
      </c>
      <c r="AI1288" s="11">
        <v>70.549000000000007</v>
      </c>
      <c r="AJ1288" s="11">
        <v>70.069000000000003</v>
      </c>
      <c r="AK1288" s="11">
        <v>69.652000000000001</v>
      </c>
      <c r="AL1288" s="11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3"/>
      <c r="CK1288" s="3"/>
      <c r="CL1288" s="3"/>
      <c r="CM1288" s="3"/>
      <c r="CN1288" s="3"/>
      <c r="CO1288" s="3"/>
      <c r="CP1288" s="3"/>
      <c r="CQ1288" s="3"/>
      <c r="CR1288" s="3"/>
      <c r="CS1288" s="3"/>
      <c r="CT1288" s="3"/>
      <c r="CU1288" s="3"/>
      <c r="CV1288" s="3"/>
      <c r="CW1288" s="3"/>
      <c r="CX1288" s="3"/>
      <c r="CY1288" s="3"/>
      <c r="CZ1288" s="3"/>
      <c r="DA1288" s="3"/>
      <c r="DB1288" s="3"/>
      <c r="DC1288" s="3"/>
      <c r="DD1288" s="3"/>
      <c r="DE1288" s="3"/>
      <c r="DF1288" s="3"/>
      <c r="DG1288" s="3"/>
      <c r="DH1288" s="3"/>
      <c r="DI1288" s="3"/>
      <c r="DJ1288" s="3"/>
      <c r="DK1288" s="3"/>
      <c r="DL1288" s="3"/>
      <c r="DM1288" s="3"/>
      <c r="DN1288" s="3"/>
      <c r="DO1288" s="3"/>
      <c r="DP1288" s="3"/>
      <c r="DQ1288" s="3"/>
      <c r="DR1288" s="3"/>
      <c r="DS1288" s="3"/>
      <c r="DT1288" s="3"/>
      <c r="DU1288" s="3"/>
      <c r="DV1288" s="3"/>
      <c r="DW1288" s="3"/>
      <c r="DX1288" s="3"/>
      <c r="DY1288" s="3"/>
      <c r="DZ1288" s="3"/>
      <c r="EA1288" s="3"/>
      <c r="EB1288" s="3"/>
      <c r="EC1288" s="3"/>
      <c r="ED1288" s="3"/>
      <c r="EE1288" s="3"/>
      <c r="EF1288" s="3"/>
      <c r="EG1288" s="3"/>
      <c r="EH1288" s="3"/>
      <c r="EI1288" s="3"/>
      <c r="EJ1288" s="3"/>
      <c r="EK1288" s="3"/>
      <c r="EL1288" s="3"/>
      <c r="EM1288" s="3"/>
      <c r="EN1288" s="3"/>
      <c r="EO1288" s="3"/>
      <c r="EP1288" s="3"/>
      <c r="EQ1288" s="3"/>
    </row>
    <row r="1289" spans="1:147" x14ac:dyDescent="0.3">
      <c r="A1289" s="9">
        <f>DATE(2021, 12, 24)</f>
        <v>44554</v>
      </c>
      <c r="B1289" s="10">
        <v>76.14</v>
      </c>
      <c r="C1289" s="10">
        <v>75.790000000000006</v>
      </c>
      <c r="D1289" s="10">
        <v>75.27</v>
      </c>
      <c r="E1289" s="10">
        <v>74.77</v>
      </c>
      <c r="F1289" s="10">
        <v>74.23</v>
      </c>
      <c r="G1289" s="10">
        <v>73.650000000000006</v>
      </c>
      <c r="H1289" s="10">
        <v>73.08</v>
      </c>
      <c r="I1289" s="10">
        <v>72.52</v>
      </c>
      <c r="J1289" s="10">
        <v>72.02</v>
      </c>
      <c r="K1289" s="10">
        <v>71.52</v>
      </c>
      <c r="L1289" s="10">
        <v>71.03</v>
      </c>
      <c r="M1289" s="10">
        <v>70.59</v>
      </c>
      <c r="N1289" s="10">
        <v>73.790000000000006</v>
      </c>
      <c r="O1289" s="10">
        <v>73.42</v>
      </c>
      <c r="P1289" s="10">
        <v>72.930000000000007</v>
      </c>
      <c r="Q1289" s="10">
        <v>72.400000000000006</v>
      </c>
      <c r="R1289" s="10">
        <v>71.819999999999993</v>
      </c>
      <c r="S1289" s="10">
        <v>71.239999999999995</v>
      </c>
      <c r="T1289" s="10">
        <v>70.66</v>
      </c>
      <c r="U1289" s="10">
        <v>70.09</v>
      </c>
      <c r="V1289" s="10">
        <v>69.540000000000006</v>
      </c>
      <c r="W1289" s="10">
        <v>69.03</v>
      </c>
      <c r="X1289" s="10">
        <v>68.540000000000006</v>
      </c>
      <c r="Y1289" s="10">
        <v>68.040000000000006</v>
      </c>
      <c r="Z1289" s="11">
        <v>72.706000000000003</v>
      </c>
      <c r="AA1289" s="11">
        <v>73.685000000000002</v>
      </c>
      <c r="AB1289" s="11">
        <v>73.055000000000007</v>
      </c>
      <c r="AC1289" s="11">
        <v>72.605000000000004</v>
      </c>
      <c r="AD1289" s="11">
        <v>72.075999999999993</v>
      </c>
      <c r="AE1289" s="11">
        <v>71.546000000000006</v>
      </c>
      <c r="AF1289" s="11">
        <v>70.905000000000001</v>
      </c>
      <c r="AG1289" s="11">
        <v>70.396000000000001</v>
      </c>
      <c r="AH1289" s="11">
        <v>69.897999999999996</v>
      </c>
      <c r="AI1289" s="11">
        <v>69.408000000000001</v>
      </c>
      <c r="AJ1289" s="11">
        <v>68.909000000000006</v>
      </c>
      <c r="AK1289" s="11">
        <v>68.501000000000005</v>
      </c>
      <c r="AL1289" s="11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3"/>
      <c r="CK1289" s="3"/>
      <c r="CL1289" s="3"/>
      <c r="CM1289" s="3"/>
      <c r="CN1289" s="3"/>
      <c r="CO1289" s="3"/>
      <c r="CP1289" s="3"/>
      <c r="CQ1289" s="3"/>
      <c r="CR1289" s="3"/>
      <c r="CS1289" s="3"/>
      <c r="CT1289" s="3"/>
      <c r="CU1289" s="3"/>
      <c r="CV1289" s="3"/>
      <c r="CW1289" s="3"/>
      <c r="CX1289" s="3"/>
      <c r="CY1289" s="3"/>
      <c r="CZ1289" s="3"/>
      <c r="DA1289" s="3"/>
      <c r="DB1289" s="3"/>
      <c r="DC1289" s="3"/>
      <c r="DD1289" s="3"/>
      <c r="DE1289" s="3"/>
      <c r="DF1289" s="3"/>
      <c r="DG1289" s="3"/>
      <c r="DH1289" s="3"/>
      <c r="DI1289" s="3"/>
      <c r="DJ1289" s="3"/>
      <c r="DK1289" s="3"/>
      <c r="DL1289" s="3"/>
      <c r="DM1289" s="3"/>
      <c r="DN1289" s="3"/>
      <c r="DO1289" s="3"/>
      <c r="DP1289" s="3"/>
      <c r="DQ1289" s="3"/>
      <c r="DR1289" s="3"/>
      <c r="DS1289" s="3"/>
      <c r="DT1289" s="3"/>
      <c r="DU1289" s="3"/>
      <c r="DV1289" s="3"/>
      <c r="DW1289" s="3"/>
      <c r="DX1289" s="3"/>
      <c r="DY1289" s="3"/>
      <c r="DZ1289" s="3"/>
      <c r="EA1289" s="3"/>
      <c r="EB1289" s="3"/>
      <c r="EC1289" s="3"/>
      <c r="ED1289" s="3"/>
      <c r="EE1289" s="3"/>
      <c r="EF1289" s="3"/>
      <c r="EG1289" s="3"/>
      <c r="EH1289" s="3"/>
      <c r="EI1289" s="3"/>
      <c r="EJ1289" s="3"/>
      <c r="EK1289" s="3"/>
      <c r="EL1289" s="3"/>
      <c r="EM1289" s="3"/>
      <c r="EN1289" s="3"/>
      <c r="EO1289" s="3"/>
      <c r="EP1289" s="3"/>
      <c r="EQ1289" s="3"/>
    </row>
    <row r="1290" spans="1:147" x14ac:dyDescent="0.3">
      <c r="A1290" s="9">
        <f>DATE(2021, 12, 27)</f>
        <v>44557</v>
      </c>
      <c r="B1290" s="10">
        <v>78.599999999999994</v>
      </c>
      <c r="C1290" s="10">
        <v>78.22</v>
      </c>
      <c r="D1290" s="10">
        <v>77.73</v>
      </c>
      <c r="E1290" s="10">
        <v>77.25</v>
      </c>
      <c r="F1290" s="10">
        <v>76.73</v>
      </c>
      <c r="G1290" s="10">
        <v>76.180000000000007</v>
      </c>
      <c r="H1290" s="10">
        <v>75.64</v>
      </c>
      <c r="I1290" s="10">
        <v>75.099999999999994</v>
      </c>
      <c r="J1290" s="10">
        <v>74.59</v>
      </c>
      <c r="K1290" s="10">
        <v>74.09</v>
      </c>
      <c r="L1290" s="10">
        <v>73.61</v>
      </c>
      <c r="M1290" s="10">
        <v>73.14</v>
      </c>
      <c r="N1290" s="10">
        <v>75.569999999999993</v>
      </c>
      <c r="O1290" s="10">
        <v>75.180000000000007</v>
      </c>
      <c r="P1290" s="10">
        <v>74.67</v>
      </c>
      <c r="Q1290" s="10">
        <v>74.12</v>
      </c>
      <c r="R1290" s="10">
        <v>73.540000000000006</v>
      </c>
      <c r="S1290" s="10">
        <v>72.959999999999994</v>
      </c>
      <c r="T1290" s="10">
        <v>72.36</v>
      </c>
      <c r="U1290" s="10">
        <v>71.760000000000005</v>
      </c>
      <c r="V1290" s="10">
        <v>71.180000000000007</v>
      </c>
      <c r="W1290" s="10">
        <v>70.63</v>
      </c>
      <c r="X1290" s="10">
        <v>70.099999999999994</v>
      </c>
      <c r="Y1290" s="10">
        <v>69.569999999999993</v>
      </c>
      <c r="Z1290" s="11">
        <v>73.150000000000006</v>
      </c>
      <c r="AA1290" s="11">
        <v>75.897000000000006</v>
      </c>
      <c r="AB1290" s="11">
        <v>75.316000000000003</v>
      </c>
      <c r="AC1290" s="11">
        <v>74.897000000000006</v>
      </c>
      <c r="AD1290" s="11">
        <v>74.442999999999998</v>
      </c>
      <c r="AE1290" s="11">
        <v>73.935000000000002</v>
      </c>
      <c r="AF1290" s="11">
        <v>73.435000000000002</v>
      </c>
      <c r="AG1290" s="11">
        <v>72.896000000000001</v>
      </c>
      <c r="AH1290" s="11">
        <v>72.388000000000005</v>
      </c>
      <c r="AI1290" s="11">
        <v>71.897999999999996</v>
      </c>
      <c r="AJ1290" s="11">
        <v>71.388000000000005</v>
      </c>
      <c r="AK1290" s="11">
        <v>70.95</v>
      </c>
      <c r="AL1290" s="11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3"/>
      <c r="CK1290" s="3"/>
      <c r="CL1290" s="3"/>
      <c r="CM1290" s="3"/>
      <c r="CN1290" s="3"/>
      <c r="CO1290" s="3"/>
      <c r="CP1290" s="3"/>
      <c r="CQ1290" s="3"/>
      <c r="CR1290" s="3"/>
      <c r="CS1290" s="3"/>
      <c r="CT1290" s="3"/>
      <c r="CU1290" s="3"/>
      <c r="CV1290" s="3"/>
      <c r="CW1290" s="3"/>
      <c r="CX1290" s="3"/>
      <c r="CY1290" s="3"/>
      <c r="CZ1290" s="3"/>
      <c r="DA1290" s="3"/>
      <c r="DB1290" s="3"/>
      <c r="DC1290" s="3"/>
      <c r="DD1290" s="3"/>
      <c r="DE1290" s="3"/>
      <c r="DF1290" s="3"/>
      <c r="DG1290" s="3"/>
      <c r="DH1290" s="3"/>
      <c r="DI1290" s="3"/>
      <c r="DJ1290" s="3"/>
      <c r="DK1290" s="3"/>
      <c r="DL1290" s="3"/>
      <c r="DM1290" s="3"/>
      <c r="DN1290" s="3"/>
      <c r="DO1290" s="3"/>
      <c r="DP1290" s="3"/>
      <c r="DQ1290" s="3"/>
      <c r="DR1290" s="3"/>
      <c r="DS1290" s="3"/>
      <c r="DT1290" s="3"/>
      <c r="DU1290" s="3"/>
      <c r="DV1290" s="3"/>
      <c r="DW1290" s="3"/>
      <c r="DX1290" s="3"/>
      <c r="DY1290" s="3"/>
      <c r="DZ1290" s="3"/>
      <c r="EA1290" s="3"/>
      <c r="EB1290" s="3"/>
      <c r="EC1290" s="3"/>
      <c r="ED1290" s="3"/>
      <c r="EE1290" s="3"/>
      <c r="EF1290" s="3"/>
      <c r="EG1290" s="3"/>
      <c r="EH1290" s="3"/>
      <c r="EI1290" s="3"/>
      <c r="EJ1290" s="3"/>
      <c r="EK1290" s="3"/>
      <c r="EL1290" s="3"/>
      <c r="EM1290" s="3"/>
      <c r="EN1290" s="3"/>
      <c r="EO1290" s="3"/>
      <c r="EP1290" s="3"/>
      <c r="EQ1290" s="3"/>
    </row>
    <row r="1291" spans="1:147" x14ac:dyDescent="0.3">
      <c r="A1291" s="9">
        <f>DATE(2021, 12, 28)</f>
        <v>44558</v>
      </c>
      <c r="B1291" s="10">
        <v>78.94</v>
      </c>
      <c r="C1291" s="10">
        <v>78.67</v>
      </c>
      <c r="D1291" s="10">
        <v>78.209999999999994</v>
      </c>
      <c r="E1291" s="10">
        <v>77.73</v>
      </c>
      <c r="F1291" s="10">
        <v>77.2</v>
      </c>
      <c r="G1291" s="10">
        <v>76.650000000000006</v>
      </c>
      <c r="H1291" s="10">
        <v>76.099999999999994</v>
      </c>
      <c r="I1291" s="10">
        <v>75.55</v>
      </c>
      <c r="J1291" s="10">
        <v>75.02</v>
      </c>
      <c r="K1291" s="10">
        <v>74.510000000000005</v>
      </c>
      <c r="L1291" s="10">
        <v>74.02</v>
      </c>
      <c r="M1291" s="10">
        <v>73.540000000000006</v>
      </c>
      <c r="N1291" s="10">
        <v>75.98</v>
      </c>
      <c r="O1291" s="10">
        <v>75.599999999999994</v>
      </c>
      <c r="P1291" s="10">
        <v>75.13</v>
      </c>
      <c r="Q1291" s="10">
        <v>74.59</v>
      </c>
      <c r="R1291" s="10">
        <v>74</v>
      </c>
      <c r="S1291" s="10">
        <v>73.39</v>
      </c>
      <c r="T1291" s="10">
        <v>72.78</v>
      </c>
      <c r="U1291" s="10">
        <v>72.17</v>
      </c>
      <c r="V1291" s="10">
        <v>71.569999999999993</v>
      </c>
      <c r="W1291" s="10">
        <v>71</v>
      </c>
      <c r="X1291" s="10">
        <v>70.45</v>
      </c>
      <c r="Y1291" s="10">
        <v>69.900000000000006</v>
      </c>
      <c r="Z1291" s="11">
        <v>73.212000000000003</v>
      </c>
      <c r="AA1291" s="11">
        <v>76.447999999999993</v>
      </c>
      <c r="AB1291" s="11">
        <v>75.825999999999993</v>
      </c>
      <c r="AC1291" s="11">
        <v>75.367000000000004</v>
      </c>
      <c r="AD1291" s="11">
        <v>74.882999999999996</v>
      </c>
      <c r="AE1291" s="11">
        <v>74.355000000000004</v>
      </c>
      <c r="AF1291" s="11">
        <v>73.844999999999999</v>
      </c>
      <c r="AG1291" s="11">
        <v>73.334999999999994</v>
      </c>
      <c r="AH1291" s="11">
        <v>72.817999999999998</v>
      </c>
      <c r="AI1291" s="11">
        <v>72.308000000000007</v>
      </c>
      <c r="AJ1291" s="11">
        <v>71.807000000000002</v>
      </c>
      <c r="AK1291" s="11">
        <v>71.338999999999999</v>
      </c>
      <c r="AL1291" s="11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3"/>
      <c r="CK1291" s="3"/>
      <c r="CL1291" s="3"/>
      <c r="CM1291" s="3"/>
      <c r="CN1291" s="3"/>
      <c r="CO1291" s="3"/>
      <c r="CP1291" s="3"/>
      <c r="CQ1291" s="3"/>
      <c r="CR1291" s="3"/>
      <c r="CS1291" s="3"/>
      <c r="CT1291" s="3"/>
      <c r="CU1291" s="3"/>
      <c r="CV1291" s="3"/>
      <c r="CW1291" s="3"/>
      <c r="CX1291" s="3"/>
      <c r="CY1291" s="3"/>
      <c r="CZ1291" s="3"/>
      <c r="DA1291" s="3"/>
      <c r="DB1291" s="3"/>
      <c r="DC1291" s="3"/>
      <c r="DD1291" s="3"/>
      <c r="DE1291" s="3"/>
      <c r="DF1291" s="3"/>
      <c r="DG1291" s="3"/>
      <c r="DH1291" s="3"/>
      <c r="DI1291" s="3"/>
      <c r="DJ1291" s="3"/>
      <c r="DK1291" s="3"/>
      <c r="DL1291" s="3"/>
      <c r="DM1291" s="3"/>
      <c r="DN1291" s="3"/>
      <c r="DO1291" s="3"/>
      <c r="DP1291" s="3"/>
      <c r="DQ1291" s="3"/>
      <c r="DR1291" s="3"/>
      <c r="DS1291" s="3"/>
      <c r="DT1291" s="3"/>
      <c r="DU1291" s="3"/>
      <c r="DV1291" s="3"/>
      <c r="DW1291" s="3"/>
      <c r="DX1291" s="3"/>
      <c r="DY1291" s="3"/>
      <c r="DZ1291" s="3"/>
      <c r="EA1291" s="3"/>
      <c r="EB1291" s="3"/>
      <c r="EC1291" s="3"/>
      <c r="ED1291" s="3"/>
      <c r="EE1291" s="3"/>
      <c r="EF1291" s="3"/>
      <c r="EG1291" s="3"/>
      <c r="EH1291" s="3"/>
      <c r="EI1291" s="3"/>
      <c r="EJ1291" s="3"/>
      <c r="EK1291" s="3"/>
      <c r="EL1291" s="3"/>
      <c r="EM1291" s="3"/>
      <c r="EN1291" s="3"/>
      <c r="EO1291" s="3"/>
      <c r="EP1291" s="3"/>
      <c r="EQ1291" s="3"/>
    </row>
    <row r="1292" spans="1:147" x14ac:dyDescent="0.3">
      <c r="A1292" s="9">
        <f>DATE(2021, 12, 29)</f>
        <v>44559</v>
      </c>
      <c r="B1292" s="10">
        <v>79.23</v>
      </c>
      <c r="C1292" s="10">
        <v>79.209999999999994</v>
      </c>
      <c r="D1292" s="10">
        <v>78.790000000000006</v>
      </c>
      <c r="E1292" s="10">
        <v>78.319999999999993</v>
      </c>
      <c r="F1292" s="10">
        <v>77.790000000000006</v>
      </c>
      <c r="G1292" s="10">
        <v>77.22</v>
      </c>
      <c r="H1292" s="10">
        <v>76.680000000000007</v>
      </c>
      <c r="I1292" s="10">
        <v>76.14</v>
      </c>
      <c r="J1292" s="10">
        <v>75.62</v>
      </c>
      <c r="K1292" s="10">
        <v>75.12</v>
      </c>
      <c r="L1292" s="10">
        <v>74.63</v>
      </c>
      <c r="M1292" s="10">
        <v>74.14</v>
      </c>
      <c r="N1292" s="10">
        <v>76.56</v>
      </c>
      <c r="O1292" s="10">
        <v>76.180000000000007</v>
      </c>
      <c r="P1292" s="10">
        <v>75.709999999999994</v>
      </c>
      <c r="Q1292" s="10">
        <v>75.180000000000007</v>
      </c>
      <c r="R1292" s="10">
        <v>74.61</v>
      </c>
      <c r="S1292" s="10">
        <v>74.010000000000005</v>
      </c>
      <c r="T1292" s="10">
        <v>73.400000000000006</v>
      </c>
      <c r="U1292" s="10">
        <v>72.790000000000006</v>
      </c>
      <c r="V1292" s="10">
        <v>72.209999999999994</v>
      </c>
      <c r="W1292" s="10">
        <v>71.64</v>
      </c>
      <c r="X1292" s="10">
        <v>71.09</v>
      </c>
      <c r="Y1292" s="10">
        <v>70.540000000000006</v>
      </c>
      <c r="Z1292" s="11">
        <v>73.197000000000003</v>
      </c>
      <c r="AA1292" s="11">
        <v>76.995000000000005</v>
      </c>
      <c r="AB1292" s="11">
        <v>76.417000000000002</v>
      </c>
      <c r="AC1292" s="11">
        <v>75.951999999999998</v>
      </c>
      <c r="AD1292" s="11">
        <v>75.471999999999994</v>
      </c>
      <c r="AE1292" s="11">
        <v>74.944999999999993</v>
      </c>
      <c r="AF1292" s="11">
        <v>74.424999999999997</v>
      </c>
      <c r="AG1292" s="11">
        <v>73.915000000000006</v>
      </c>
      <c r="AH1292" s="11">
        <v>73.397999999999996</v>
      </c>
      <c r="AI1292" s="11">
        <v>72.897999999999996</v>
      </c>
      <c r="AJ1292" s="11">
        <v>72.397000000000006</v>
      </c>
      <c r="AK1292" s="11">
        <v>71.92</v>
      </c>
      <c r="AL1292" s="11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3"/>
      <c r="CK1292" s="3"/>
      <c r="CL1292" s="3"/>
      <c r="CM1292" s="3"/>
      <c r="CN1292" s="3"/>
      <c r="CO1292" s="3"/>
      <c r="CP1292" s="3"/>
      <c r="CQ1292" s="3"/>
      <c r="CR1292" s="3"/>
      <c r="CS1292" s="3"/>
      <c r="CT1292" s="3"/>
      <c r="CU1292" s="3"/>
      <c r="CV1292" s="3"/>
      <c r="CW1292" s="3"/>
      <c r="CX1292" s="3"/>
      <c r="CY1292" s="3"/>
      <c r="CZ1292" s="3"/>
      <c r="DA1292" s="3"/>
      <c r="DB1292" s="3"/>
      <c r="DC1292" s="3"/>
      <c r="DD1292" s="3"/>
      <c r="DE1292" s="3"/>
      <c r="DF1292" s="3"/>
      <c r="DG1292" s="3"/>
      <c r="DH1292" s="3"/>
      <c r="DI1292" s="3"/>
      <c r="DJ1292" s="3"/>
      <c r="DK1292" s="3"/>
      <c r="DL1292" s="3"/>
      <c r="DM1292" s="3"/>
      <c r="DN1292" s="3"/>
      <c r="DO1292" s="3"/>
      <c r="DP1292" s="3"/>
      <c r="DQ1292" s="3"/>
      <c r="DR1292" s="3"/>
      <c r="DS1292" s="3"/>
      <c r="DT1292" s="3"/>
      <c r="DU1292" s="3"/>
      <c r="DV1292" s="3"/>
      <c r="DW1292" s="3"/>
      <c r="DX1292" s="3"/>
      <c r="DY1292" s="3"/>
      <c r="DZ1292" s="3"/>
      <c r="EA1292" s="3"/>
      <c r="EB1292" s="3"/>
      <c r="EC1292" s="3"/>
      <c r="ED1292" s="3"/>
      <c r="EE1292" s="3"/>
      <c r="EF1292" s="3"/>
      <c r="EG1292" s="3"/>
      <c r="EH1292" s="3"/>
      <c r="EI1292" s="3"/>
      <c r="EJ1292" s="3"/>
      <c r="EK1292" s="3"/>
      <c r="EL1292" s="3"/>
      <c r="EM1292" s="3"/>
      <c r="EN1292" s="3"/>
      <c r="EO1292" s="3"/>
      <c r="EP1292" s="3"/>
      <c r="EQ1292" s="3"/>
    </row>
    <row r="1293" spans="1:147" x14ac:dyDescent="0.3">
      <c r="A1293" s="9">
        <f>DATE(2021, 12, 30)</f>
        <v>44560</v>
      </c>
      <c r="B1293" s="10">
        <v>79.319999999999993</v>
      </c>
      <c r="C1293" s="10">
        <v>79.53</v>
      </c>
      <c r="D1293" s="10">
        <v>79.08</v>
      </c>
      <c r="E1293" s="10">
        <v>78.61</v>
      </c>
      <c r="F1293" s="10">
        <v>78.08</v>
      </c>
      <c r="G1293" s="10">
        <v>77.52</v>
      </c>
      <c r="H1293" s="10">
        <v>76.989999999999995</v>
      </c>
      <c r="I1293" s="10">
        <v>76.459999999999994</v>
      </c>
      <c r="J1293" s="10">
        <v>75.95</v>
      </c>
      <c r="K1293" s="10">
        <v>75.45</v>
      </c>
      <c r="L1293" s="10">
        <v>74.959999999999994</v>
      </c>
      <c r="M1293" s="10">
        <v>74.48</v>
      </c>
      <c r="N1293" s="10">
        <v>76.989999999999995</v>
      </c>
      <c r="O1293" s="10">
        <v>76.61</v>
      </c>
      <c r="P1293" s="10">
        <v>76.13</v>
      </c>
      <c r="Q1293" s="10">
        <v>75.58</v>
      </c>
      <c r="R1293" s="10">
        <v>74.989999999999995</v>
      </c>
      <c r="S1293" s="10">
        <v>74.37</v>
      </c>
      <c r="T1293" s="10">
        <v>73.760000000000005</v>
      </c>
      <c r="U1293" s="10">
        <v>73.14</v>
      </c>
      <c r="V1293" s="10">
        <v>72.56</v>
      </c>
      <c r="W1293" s="10">
        <v>71.989999999999995</v>
      </c>
      <c r="X1293" s="10">
        <v>71.44</v>
      </c>
      <c r="Y1293" s="10">
        <v>70.89</v>
      </c>
      <c r="Z1293" s="11">
        <v>73.218000000000004</v>
      </c>
      <c r="AA1293" s="11">
        <v>77.319000000000003</v>
      </c>
      <c r="AB1293" s="11">
        <v>76.727000000000004</v>
      </c>
      <c r="AC1293" s="11">
        <v>76.236999999999995</v>
      </c>
      <c r="AD1293" s="11">
        <v>75.741</v>
      </c>
      <c r="AE1293" s="11">
        <v>75.186000000000007</v>
      </c>
      <c r="AF1293" s="11">
        <v>74.676000000000002</v>
      </c>
      <c r="AG1293" s="11">
        <v>74.156000000000006</v>
      </c>
      <c r="AH1293" s="11">
        <v>73.658000000000001</v>
      </c>
      <c r="AI1293" s="11">
        <v>73.147999999999996</v>
      </c>
      <c r="AJ1293" s="11">
        <v>72.626999999999995</v>
      </c>
      <c r="AK1293" s="11">
        <v>72.159000000000006</v>
      </c>
      <c r="AL1293" s="11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3"/>
      <c r="CK1293" s="3"/>
      <c r="CL1293" s="3"/>
      <c r="CM1293" s="3"/>
      <c r="CN1293" s="3"/>
      <c r="CO1293" s="3"/>
      <c r="CP1293" s="3"/>
      <c r="CQ1293" s="3"/>
      <c r="CR1293" s="3"/>
      <c r="CS1293" s="3"/>
      <c r="CT1293" s="3"/>
      <c r="CU1293" s="3"/>
      <c r="CV1293" s="3"/>
      <c r="CW1293" s="3"/>
      <c r="CX1293" s="3"/>
      <c r="CY1293" s="3"/>
      <c r="CZ1293" s="3"/>
      <c r="DA1293" s="3"/>
      <c r="DB1293" s="3"/>
      <c r="DC1293" s="3"/>
      <c r="DD1293" s="3"/>
      <c r="DE1293" s="3"/>
      <c r="DF1293" s="3"/>
      <c r="DG1293" s="3"/>
      <c r="DH1293" s="3"/>
      <c r="DI1293" s="3"/>
      <c r="DJ1293" s="3"/>
      <c r="DK1293" s="3"/>
      <c r="DL1293" s="3"/>
      <c r="DM1293" s="3"/>
      <c r="DN1293" s="3"/>
      <c r="DO1293" s="3"/>
      <c r="DP1293" s="3"/>
      <c r="DQ1293" s="3"/>
      <c r="DR1293" s="3"/>
      <c r="DS1293" s="3"/>
      <c r="DT1293" s="3"/>
      <c r="DU1293" s="3"/>
      <c r="DV1293" s="3"/>
      <c r="DW1293" s="3"/>
      <c r="DX1293" s="3"/>
      <c r="DY1293" s="3"/>
      <c r="DZ1293" s="3"/>
      <c r="EA1293" s="3"/>
      <c r="EB1293" s="3"/>
      <c r="EC1293" s="3"/>
      <c r="ED1293" s="3"/>
      <c r="EE1293" s="3"/>
      <c r="EF1293" s="3"/>
      <c r="EG1293" s="3"/>
      <c r="EH1293" s="3"/>
      <c r="EI1293" s="3"/>
      <c r="EJ1293" s="3"/>
      <c r="EK1293" s="3"/>
      <c r="EL1293" s="3"/>
      <c r="EM1293" s="3"/>
      <c r="EN1293" s="3"/>
      <c r="EO1293" s="3"/>
      <c r="EP1293" s="3"/>
      <c r="EQ1293" s="3"/>
    </row>
    <row r="1294" spans="1:147" x14ac:dyDescent="0.3">
      <c r="A1294" s="9">
        <f>DATE(2021, 12, 31)</f>
        <v>44561</v>
      </c>
      <c r="B1294" s="10">
        <v>77.78</v>
      </c>
      <c r="C1294" s="10">
        <v>77.349999999999994</v>
      </c>
      <c r="D1294" s="10">
        <v>76.900000000000006</v>
      </c>
      <c r="E1294" s="10">
        <v>76.39</v>
      </c>
      <c r="F1294" s="10">
        <v>75.84</v>
      </c>
      <c r="G1294" s="10">
        <v>75.319999999999993</v>
      </c>
      <c r="H1294" s="10">
        <v>74.8</v>
      </c>
      <c r="I1294" s="10">
        <v>74.31</v>
      </c>
      <c r="J1294" s="10">
        <v>73.83</v>
      </c>
      <c r="K1294" s="10">
        <v>73.349999999999994</v>
      </c>
      <c r="L1294" s="10">
        <v>72.88</v>
      </c>
      <c r="M1294" s="10">
        <v>72.45</v>
      </c>
      <c r="N1294" s="10">
        <v>75.209999999999994</v>
      </c>
      <c r="O1294" s="10">
        <v>74.88</v>
      </c>
      <c r="P1294" s="10">
        <v>74.45</v>
      </c>
      <c r="Q1294" s="10">
        <v>73.94</v>
      </c>
      <c r="R1294" s="10">
        <v>73.37</v>
      </c>
      <c r="S1294" s="10">
        <v>72.78</v>
      </c>
      <c r="T1294" s="10">
        <v>72.17</v>
      </c>
      <c r="U1294" s="10">
        <v>71.56</v>
      </c>
      <c r="V1294" s="10">
        <v>70.97</v>
      </c>
      <c r="W1294" s="10">
        <v>70.38</v>
      </c>
      <c r="X1294" s="10">
        <v>69.83</v>
      </c>
      <c r="Y1294" s="10">
        <v>69.28</v>
      </c>
      <c r="Z1294" s="11">
        <v>73.185000000000002</v>
      </c>
      <c r="AA1294" s="11">
        <v>75.67</v>
      </c>
      <c r="AB1294" s="11">
        <v>75.078000000000003</v>
      </c>
      <c r="AC1294" s="11">
        <v>74.567999999999998</v>
      </c>
      <c r="AD1294" s="11">
        <v>74.078000000000003</v>
      </c>
      <c r="AE1294" s="11">
        <v>73.555999999999997</v>
      </c>
      <c r="AF1294" s="11">
        <v>73.055999999999997</v>
      </c>
      <c r="AG1294" s="11">
        <v>72.576999999999998</v>
      </c>
      <c r="AH1294" s="11">
        <v>72.119</v>
      </c>
      <c r="AI1294" s="11">
        <v>71.617999999999995</v>
      </c>
      <c r="AJ1294" s="11">
        <v>71.128</v>
      </c>
      <c r="AK1294" s="11">
        <v>70.658000000000001</v>
      </c>
      <c r="AL1294" s="11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3"/>
      <c r="CK1294" s="3"/>
      <c r="CL1294" s="3"/>
      <c r="CM1294" s="3"/>
      <c r="CN1294" s="3"/>
      <c r="CO1294" s="3"/>
      <c r="CP1294" s="3"/>
      <c r="CQ1294" s="3"/>
      <c r="CR1294" s="3"/>
      <c r="CS1294" s="3"/>
      <c r="CT1294" s="3"/>
      <c r="CU1294" s="3"/>
      <c r="CV1294" s="3"/>
      <c r="CW1294" s="3"/>
      <c r="CX1294" s="3"/>
      <c r="CY1294" s="3"/>
      <c r="CZ1294" s="3"/>
      <c r="DA1294" s="3"/>
      <c r="DB1294" s="3"/>
      <c r="DC1294" s="3"/>
      <c r="DD1294" s="3"/>
      <c r="DE1294" s="3"/>
      <c r="DF1294" s="3"/>
      <c r="DG1294" s="3"/>
      <c r="DH1294" s="3"/>
      <c r="DI1294" s="3"/>
      <c r="DJ1294" s="3"/>
      <c r="DK1294" s="3"/>
      <c r="DL1294" s="3"/>
      <c r="DM1294" s="3"/>
      <c r="DN1294" s="3"/>
      <c r="DO1294" s="3"/>
      <c r="DP1294" s="3"/>
      <c r="DQ1294" s="3"/>
      <c r="DR1294" s="3"/>
      <c r="DS1294" s="3"/>
      <c r="DT1294" s="3"/>
      <c r="DU1294" s="3"/>
      <c r="DV1294" s="3"/>
      <c r="DW1294" s="3"/>
      <c r="DX1294" s="3"/>
      <c r="DY1294" s="3"/>
      <c r="DZ1294" s="3"/>
      <c r="EA1294" s="3"/>
      <c r="EB1294" s="3"/>
      <c r="EC1294" s="3"/>
      <c r="ED1294" s="3"/>
      <c r="EE1294" s="3"/>
      <c r="EF1294" s="3"/>
      <c r="EG1294" s="3"/>
      <c r="EH1294" s="3"/>
      <c r="EI1294" s="3"/>
      <c r="EJ1294" s="3"/>
      <c r="EK1294" s="3"/>
      <c r="EL1294" s="3"/>
      <c r="EM1294" s="3"/>
      <c r="EN1294" s="3"/>
      <c r="EO1294" s="3"/>
      <c r="EP1294" s="3"/>
      <c r="EQ1294" s="3"/>
    </row>
    <row r="1295" spans="1:147" x14ac:dyDescent="0.3">
      <c r="A1295" s="9">
        <f>DATE(2022, 1, 3)</f>
        <v>44564</v>
      </c>
      <c r="B1295" s="10">
        <v>78.98</v>
      </c>
      <c r="C1295" s="10">
        <v>78.569999999999993</v>
      </c>
      <c r="D1295" s="10">
        <v>78.12</v>
      </c>
      <c r="E1295" s="10">
        <v>77.62</v>
      </c>
      <c r="F1295" s="10">
        <v>77.09</v>
      </c>
      <c r="G1295" s="10">
        <v>76.569999999999993</v>
      </c>
      <c r="H1295" s="10">
        <v>76.06</v>
      </c>
      <c r="I1295" s="10">
        <v>75.56</v>
      </c>
      <c r="J1295" s="10">
        <v>75.069999999999993</v>
      </c>
      <c r="K1295" s="10">
        <v>74.59</v>
      </c>
      <c r="L1295" s="10">
        <v>74.12</v>
      </c>
      <c r="M1295" s="10">
        <v>73.680000000000007</v>
      </c>
      <c r="N1295" s="10">
        <v>76.08</v>
      </c>
      <c r="O1295" s="10">
        <v>75.849999999999994</v>
      </c>
      <c r="P1295" s="10">
        <v>75.48</v>
      </c>
      <c r="Q1295" s="10">
        <v>75.040000000000006</v>
      </c>
      <c r="R1295" s="10">
        <v>74.540000000000006</v>
      </c>
      <c r="S1295" s="10">
        <v>73.989999999999995</v>
      </c>
      <c r="T1295" s="10">
        <v>73.41</v>
      </c>
      <c r="U1295" s="10">
        <v>72.819999999999993</v>
      </c>
      <c r="V1295" s="10">
        <v>72.23</v>
      </c>
      <c r="W1295" s="10">
        <v>71.66</v>
      </c>
      <c r="X1295" s="10">
        <v>71.11</v>
      </c>
      <c r="Y1295" s="10">
        <v>70.55</v>
      </c>
      <c r="Z1295" s="11">
        <v>73.185000000000002</v>
      </c>
      <c r="AA1295" s="11">
        <v>77.039000000000001</v>
      </c>
      <c r="AB1295" s="11">
        <v>76.358000000000004</v>
      </c>
      <c r="AC1295" s="11">
        <v>75.778000000000006</v>
      </c>
      <c r="AD1295" s="11">
        <v>75.274000000000001</v>
      </c>
      <c r="AE1295" s="11">
        <v>74.775999999999996</v>
      </c>
      <c r="AF1295" s="11">
        <v>74.275000000000006</v>
      </c>
      <c r="AG1295" s="11">
        <v>73.793999999999997</v>
      </c>
      <c r="AH1295" s="11">
        <v>73.308999999999997</v>
      </c>
      <c r="AI1295" s="11">
        <v>72.817999999999998</v>
      </c>
      <c r="AJ1295" s="11">
        <v>72.328000000000003</v>
      </c>
      <c r="AK1295" s="11">
        <v>71.837999999999994</v>
      </c>
      <c r="AL1295" s="11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3"/>
      <c r="CK1295" s="3"/>
      <c r="CL1295" s="3"/>
      <c r="CM1295" s="3"/>
      <c r="CN1295" s="3"/>
      <c r="CO1295" s="3"/>
      <c r="CP1295" s="3"/>
      <c r="CQ1295" s="3"/>
      <c r="CR1295" s="3"/>
      <c r="CS1295" s="3"/>
      <c r="CT1295" s="3"/>
      <c r="CU1295" s="3"/>
      <c r="CV1295" s="3"/>
      <c r="CW1295" s="3"/>
      <c r="CX1295" s="3"/>
      <c r="CY1295" s="3"/>
      <c r="CZ1295" s="3"/>
      <c r="DA1295" s="3"/>
      <c r="DB1295" s="3"/>
      <c r="DC1295" s="3"/>
      <c r="DD1295" s="3"/>
      <c r="DE1295" s="3"/>
      <c r="DF1295" s="3"/>
      <c r="DG1295" s="3"/>
      <c r="DH1295" s="3"/>
      <c r="DI1295" s="3"/>
      <c r="DJ1295" s="3"/>
      <c r="DK1295" s="3"/>
      <c r="DL1295" s="3"/>
      <c r="DM1295" s="3"/>
      <c r="DN1295" s="3"/>
      <c r="DO1295" s="3"/>
      <c r="DP1295" s="3"/>
      <c r="DQ1295" s="3"/>
      <c r="DR1295" s="3"/>
      <c r="DS1295" s="3"/>
      <c r="DT1295" s="3"/>
      <c r="DU1295" s="3"/>
      <c r="DV1295" s="3"/>
      <c r="DW1295" s="3"/>
      <c r="DX1295" s="3"/>
      <c r="DY1295" s="3"/>
      <c r="DZ1295" s="3"/>
      <c r="EA1295" s="3"/>
      <c r="EB1295" s="3"/>
      <c r="EC1295" s="3"/>
      <c r="ED1295" s="3"/>
      <c r="EE1295" s="3"/>
      <c r="EF1295" s="3"/>
      <c r="EG1295" s="3"/>
      <c r="EH1295" s="3"/>
      <c r="EI1295" s="3"/>
      <c r="EJ1295" s="3"/>
      <c r="EK1295" s="3"/>
      <c r="EL1295" s="3"/>
      <c r="EM1295" s="3"/>
      <c r="EN1295" s="3"/>
      <c r="EO1295" s="3"/>
      <c r="EP1295" s="3"/>
      <c r="EQ1295" s="3"/>
    </row>
    <row r="1296" spans="1:147" x14ac:dyDescent="0.3">
      <c r="A1296" s="9">
        <f>DATE(2022, 1, 4)</f>
        <v>44565</v>
      </c>
      <c r="B1296" s="10">
        <v>80</v>
      </c>
      <c r="C1296" s="10">
        <v>79.55</v>
      </c>
      <c r="D1296" s="10">
        <v>79.09</v>
      </c>
      <c r="E1296" s="10">
        <v>78.59</v>
      </c>
      <c r="F1296" s="10">
        <v>78.069999999999993</v>
      </c>
      <c r="G1296" s="10">
        <v>77.56</v>
      </c>
      <c r="H1296" s="10">
        <v>77.05</v>
      </c>
      <c r="I1296" s="10">
        <v>76.56</v>
      </c>
      <c r="J1296" s="10">
        <v>76.069999999999993</v>
      </c>
      <c r="K1296" s="10">
        <v>75.59</v>
      </c>
      <c r="L1296" s="10">
        <v>75.11</v>
      </c>
      <c r="M1296" s="10">
        <v>74.66</v>
      </c>
      <c r="N1296" s="10">
        <v>76.989999999999995</v>
      </c>
      <c r="O1296" s="10">
        <v>76.739999999999995</v>
      </c>
      <c r="P1296" s="10">
        <v>76.38</v>
      </c>
      <c r="Q1296" s="10">
        <v>75.95</v>
      </c>
      <c r="R1296" s="10">
        <v>75.47</v>
      </c>
      <c r="S1296" s="10">
        <v>74.94</v>
      </c>
      <c r="T1296" s="10">
        <v>74.39</v>
      </c>
      <c r="U1296" s="10">
        <v>73.81</v>
      </c>
      <c r="V1296" s="10">
        <v>73.23</v>
      </c>
      <c r="W1296" s="10">
        <v>72.67</v>
      </c>
      <c r="X1296" s="10">
        <v>72.11</v>
      </c>
      <c r="Y1296" s="10">
        <v>71.55</v>
      </c>
      <c r="Z1296" s="11">
        <v>78.004000000000005</v>
      </c>
      <c r="AA1296" s="11">
        <v>77.441999999999993</v>
      </c>
      <c r="AB1296" s="11">
        <v>76.828000000000003</v>
      </c>
      <c r="AC1296" s="11">
        <v>76.326999999999998</v>
      </c>
      <c r="AD1296" s="11">
        <v>75.796999999999997</v>
      </c>
      <c r="AE1296" s="11">
        <v>75.256</v>
      </c>
      <c r="AF1296" s="11">
        <v>74.754999999999995</v>
      </c>
      <c r="AG1296" s="11">
        <v>74.308999999999997</v>
      </c>
      <c r="AH1296" s="11">
        <v>73.817999999999998</v>
      </c>
      <c r="AI1296" s="11">
        <v>73.325000000000003</v>
      </c>
      <c r="AJ1296" s="11">
        <v>72.87</v>
      </c>
      <c r="AK1296" s="11">
        <v>72.474000000000004</v>
      </c>
      <c r="AL1296" s="11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3"/>
      <c r="CK1296" s="3"/>
      <c r="CL1296" s="3"/>
      <c r="CM1296" s="3"/>
      <c r="CN1296" s="3"/>
      <c r="CO1296" s="3"/>
      <c r="CP1296" s="3"/>
      <c r="CQ1296" s="3"/>
      <c r="CR1296" s="3"/>
      <c r="CS1296" s="3"/>
      <c r="CT1296" s="3"/>
      <c r="CU1296" s="3"/>
      <c r="CV1296" s="3"/>
      <c r="CW1296" s="3"/>
      <c r="CX1296" s="3"/>
      <c r="CY1296" s="3"/>
      <c r="CZ1296" s="3"/>
      <c r="DA1296" s="3"/>
      <c r="DB1296" s="3"/>
      <c r="DC1296" s="3"/>
      <c r="DD1296" s="3"/>
      <c r="DE1296" s="3"/>
      <c r="DF1296" s="3"/>
      <c r="DG1296" s="3"/>
      <c r="DH1296" s="3"/>
      <c r="DI1296" s="3"/>
      <c r="DJ1296" s="3"/>
      <c r="DK1296" s="3"/>
      <c r="DL1296" s="3"/>
      <c r="DM1296" s="3"/>
      <c r="DN1296" s="3"/>
      <c r="DO1296" s="3"/>
      <c r="DP1296" s="3"/>
      <c r="DQ1296" s="3"/>
      <c r="DR1296" s="3"/>
      <c r="DS1296" s="3"/>
      <c r="DT1296" s="3"/>
      <c r="DU1296" s="3"/>
      <c r="DV1296" s="3"/>
      <c r="DW1296" s="3"/>
      <c r="DX1296" s="3"/>
      <c r="DY1296" s="3"/>
      <c r="DZ1296" s="3"/>
      <c r="EA1296" s="3"/>
      <c r="EB1296" s="3"/>
      <c r="EC1296" s="3"/>
      <c r="ED1296" s="3"/>
      <c r="EE1296" s="3"/>
      <c r="EF1296" s="3"/>
      <c r="EG1296" s="3"/>
      <c r="EH1296" s="3"/>
      <c r="EI1296" s="3"/>
      <c r="EJ1296" s="3"/>
      <c r="EK1296" s="3"/>
      <c r="EL1296" s="3"/>
      <c r="EM1296" s="3"/>
      <c r="EN1296" s="3"/>
      <c r="EO1296" s="3"/>
      <c r="EP1296" s="3"/>
      <c r="EQ1296" s="3"/>
    </row>
    <row r="1297" spans="1:147" x14ac:dyDescent="0.3">
      <c r="A1297" s="9">
        <f>DATE(2022, 1, 5)</f>
        <v>44566</v>
      </c>
      <c r="B1297" s="10">
        <v>80.8</v>
      </c>
      <c r="C1297" s="10">
        <v>80.19</v>
      </c>
      <c r="D1297" s="10">
        <v>79.59</v>
      </c>
      <c r="E1297" s="10">
        <v>79.010000000000005</v>
      </c>
      <c r="F1297" s="10">
        <v>78.41</v>
      </c>
      <c r="G1297" s="10">
        <v>77.849999999999994</v>
      </c>
      <c r="H1297" s="10">
        <v>77.3</v>
      </c>
      <c r="I1297" s="10">
        <v>76.78</v>
      </c>
      <c r="J1297" s="10">
        <v>76.27</v>
      </c>
      <c r="K1297" s="10">
        <v>75.75</v>
      </c>
      <c r="L1297" s="10">
        <v>75.25</v>
      </c>
      <c r="M1297" s="10">
        <v>74.77</v>
      </c>
      <c r="N1297" s="10">
        <v>77.849999999999994</v>
      </c>
      <c r="O1297" s="10">
        <v>77.47</v>
      </c>
      <c r="P1297" s="10">
        <v>77.010000000000005</v>
      </c>
      <c r="Q1297" s="10">
        <v>76.48</v>
      </c>
      <c r="R1297" s="10">
        <v>75.91</v>
      </c>
      <c r="S1297" s="10">
        <v>75.31</v>
      </c>
      <c r="T1297" s="10">
        <v>74.69</v>
      </c>
      <c r="U1297" s="10">
        <v>74.069999999999993</v>
      </c>
      <c r="V1297" s="10">
        <v>73.44</v>
      </c>
      <c r="W1297" s="10">
        <v>72.83</v>
      </c>
      <c r="X1297" s="10">
        <v>72.23</v>
      </c>
      <c r="Y1297" s="10">
        <v>71.64</v>
      </c>
      <c r="Z1297" s="11">
        <v>78.781000000000006</v>
      </c>
      <c r="AA1297" s="11">
        <v>78.031000000000006</v>
      </c>
      <c r="AB1297" s="11">
        <v>77.334999999999994</v>
      </c>
      <c r="AC1297" s="11">
        <v>76.760000000000005</v>
      </c>
      <c r="AD1297" s="11">
        <v>76.165000000000006</v>
      </c>
      <c r="AE1297" s="11">
        <v>75.594999999999999</v>
      </c>
      <c r="AF1297" s="11">
        <v>75.034999999999997</v>
      </c>
      <c r="AG1297" s="11">
        <v>74.518000000000001</v>
      </c>
      <c r="AH1297" s="11">
        <v>74.016000000000005</v>
      </c>
      <c r="AI1297" s="11">
        <v>73.516000000000005</v>
      </c>
      <c r="AJ1297" s="11">
        <v>73.018000000000001</v>
      </c>
      <c r="AK1297" s="11">
        <v>72.531000000000006</v>
      </c>
      <c r="AL1297" s="11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3"/>
      <c r="CK1297" s="3"/>
      <c r="CL1297" s="3"/>
      <c r="CM1297" s="3"/>
      <c r="CN1297" s="3"/>
      <c r="CO1297" s="3"/>
      <c r="CP1297" s="3"/>
      <c r="CQ1297" s="3"/>
      <c r="CR1297" s="3"/>
      <c r="CS1297" s="3"/>
      <c r="CT1297" s="3"/>
      <c r="CU1297" s="3"/>
      <c r="CV1297" s="3"/>
      <c r="CW1297" s="3"/>
      <c r="CX1297" s="3"/>
      <c r="CY1297" s="3"/>
      <c r="CZ1297" s="3"/>
      <c r="DA1297" s="3"/>
      <c r="DB1297" s="3"/>
      <c r="DC1297" s="3"/>
      <c r="DD1297" s="3"/>
      <c r="DE1297" s="3"/>
      <c r="DF1297" s="3"/>
      <c r="DG1297" s="3"/>
      <c r="DH1297" s="3"/>
      <c r="DI1297" s="3"/>
      <c r="DJ1297" s="3"/>
      <c r="DK1297" s="3"/>
      <c r="DL1297" s="3"/>
      <c r="DM1297" s="3"/>
      <c r="DN1297" s="3"/>
      <c r="DO1297" s="3"/>
      <c r="DP1297" s="3"/>
      <c r="DQ1297" s="3"/>
      <c r="DR1297" s="3"/>
      <c r="DS1297" s="3"/>
      <c r="DT1297" s="3"/>
      <c r="DU1297" s="3"/>
      <c r="DV1297" s="3"/>
      <c r="DW1297" s="3"/>
      <c r="DX1297" s="3"/>
      <c r="DY1297" s="3"/>
      <c r="DZ1297" s="3"/>
      <c r="EA1297" s="3"/>
      <c r="EB1297" s="3"/>
      <c r="EC1297" s="3"/>
      <c r="ED1297" s="3"/>
      <c r="EE1297" s="3"/>
      <c r="EF1297" s="3"/>
      <c r="EG1297" s="3"/>
      <c r="EH1297" s="3"/>
      <c r="EI1297" s="3"/>
      <c r="EJ1297" s="3"/>
      <c r="EK1297" s="3"/>
      <c r="EL1297" s="3"/>
      <c r="EM1297" s="3"/>
      <c r="EN1297" s="3"/>
      <c r="EO1297" s="3"/>
      <c r="EP1297" s="3"/>
      <c r="EQ1297" s="3"/>
    </row>
    <row r="1298" spans="1:147" x14ac:dyDescent="0.3">
      <c r="A1298" s="9">
        <f>DATE(2022, 1, 6)</f>
        <v>44567</v>
      </c>
      <c r="B1298" s="10">
        <v>81.99</v>
      </c>
      <c r="C1298" s="10">
        <v>81.290000000000006</v>
      </c>
      <c r="D1298" s="10">
        <v>80.61</v>
      </c>
      <c r="E1298" s="10">
        <v>79.989999999999995</v>
      </c>
      <c r="F1298" s="10">
        <v>79.34</v>
      </c>
      <c r="G1298" s="10">
        <v>78.739999999999995</v>
      </c>
      <c r="H1298" s="10">
        <v>78.150000000000006</v>
      </c>
      <c r="I1298" s="10">
        <v>77.59</v>
      </c>
      <c r="J1298" s="10">
        <v>77.03</v>
      </c>
      <c r="K1298" s="10">
        <v>76.48</v>
      </c>
      <c r="L1298" s="10">
        <v>75.94</v>
      </c>
      <c r="M1298" s="10">
        <v>75.430000000000007</v>
      </c>
      <c r="N1298" s="10">
        <v>79.459999999999994</v>
      </c>
      <c r="O1298" s="10">
        <v>78.88</v>
      </c>
      <c r="P1298" s="10">
        <v>78.23</v>
      </c>
      <c r="Q1298" s="10">
        <v>77.599999999999994</v>
      </c>
      <c r="R1298" s="10">
        <v>76.94</v>
      </c>
      <c r="S1298" s="10">
        <v>76.28</v>
      </c>
      <c r="T1298" s="10">
        <v>75.599999999999994</v>
      </c>
      <c r="U1298" s="10">
        <v>74.91</v>
      </c>
      <c r="V1298" s="10">
        <v>74.239999999999995</v>
      </c>
      <c r="W1298" s="10">
        <v>73.599999999999994</v>
      </c>
      <c r="X1298" s="10">
        <v>72.97</v>
      </c>
      <c r="Y1298" s="10">
        <v>72.34</v>
      </c>
      <c r="Z1298" s="11">
        <v>79.756</v>
      </c>
      <c r="AA1298" s="11">
        <v>79.146000000000001</v>
      </c>
      <c r="AB1298" s="11">
        <v>78.373000000000005</v>
      </c>
      <c r="AC1298" s="11">
        <v>77.748000000000005</v>
      </c>
      <c r="AD1298" s="11">
        <v>77.102999999999994</v>
      </c>
      <c r="AE1298" s="11">
        <v>76.483000000000004</v>
      </c>
      <c r="AF1298" s="11">
        <v>75.893000000000001</v>
      </c>
      <c r="AG1298" s="11">
        <v>75.346000000000004</v>
      </c>
      <c r="AH1298" s="11">
        <v>74.795000000000002</v>
      </c>
      <c r="AI1298" s="11">
        <v>74.233999999999995</v>
      </c>
      <c r="AJ1298" s="11">
        <v>73.697000000000003</v>
      </c>
      <c r="AK1298" s="11">
        <v>73.168000000000006</v>
      </c>
      <c r="AL1298" s="11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3"/>
      <c r="CK1298" s="3"/>
      <c r="CL1298" s="3"/>
      <c r="CM1298" s="3"/>
      <c r="CN1298" s="3"/>
      <c r="CO1298" s="3"/>
      <c r="CP1298" s="3"/>
      <c r="CQ1298" s="3"/>
      <c r="CR1298" s="3"/>
      <c r="CS1298" s="3"/>
      <c r="CT1298" s="3"/>
      <c r="CU1298" s="3"/>
      <c r="CV1298" s="3"/>
      <c r="CW1298" s="3"/>
      <c r="CX1298" s="3"/>
      <c r="CY1298" s="3"/>
      <c r="CZ1298" s="3"/>
      <c r="DA1298" s="3"/>
      <c r="DB1298" s="3"/>
      <c r="DC1298" s="3"/>
      <c r="DD1298" s="3"/>
      <c r="DE1298" s="3"/>
      <c r="DF1298" s="3"/>
      <c r="DG1298" s="3"/>
      <c r="DH1298" s="3"/>
      <c r="DI1298" s="3"/>
      <c r="DJ1298" s="3"/>
      <c r="DK1298" s="3"/>
      <c r="DL1298" s="3"/>
      <c r="DM1298" s="3"/>
      <c r="DN1298" s="3"/>
      <c r="DO1298" s="3"/>
      <c r="DP1298" s="3"/>
      <c r="DQ1298" s="3"/>
      <c r="DR1298" s="3"/>
      <c r="DS1298" s="3"/>
      <c r="DT1298" s="3"/>
      <c r="DU1298" s="3"/>
      <c r="DV1298" s="3"/>
      <c r="DW1298" s="3"/>
      <c r="DX1298" s="3"/>
      <c r="DY1298" s="3"/>
      <c r="DZ1298" s="3"/>
      <c r="EA1298" s="3"/>
      <c r="EB1298" s="3"/>
      <c r="EC1298" s="3"/>
      <c r="ED1298" s="3"/>
      <c r="EE1298" s="3"/>
      <c r="EF1298" s="3"/>
      <c r="EG1298" s="3"/>
      <c r="EH1298" s="3"/>
      <c r="EI1298" s="3"/>
      <c r="EJ1298" s="3"/>
      <c r="EK1298" s="3"/>
      <c r="EL1298" s="3"/>
      <c r="EM1298" s="3"/>
      <c r="EN1298" s="3"/>
      <c r="EO1298" s="3"/>
      <c r="EP1298" s="3"/>
      <c r="EQ1298" s="3"/>
    </row>
    <row r="1299" spans="1:147" x14ac:dyDescent="0.3">
      <c r="A1299" s="9">
        <f>DATE(2022, 1, 7)</f>
        <v>44568</v>
      </c>
      <c r="B1299" s="10">
        <v>81.75</v>
      </c>
      <c r="C1299" s="10">
        <v>81.06</v>
      </c>
      <c r="D1299" s="10">
        <v>80.38</v>
      </c>
      <c r="E1299" s="10">
        <v>79.760000000000005</v>
      </c>
      <c r="F1299" s="10">
        <v>79.11</v>
      </c>
      <c r="G1299" s="10">
        <v>78.510000000000005</v>
      </c>
      <c r="H1299" s="10">
        <v>77.930000000000007</v>
      </c>
      <c r="I1299" s="10">
        <v>77.37</v>
      </c>
      <c r="J1299" s="10">
        <v>76.83</v>
      </c>
      <c r="K1299" s="10">
        <v>76.3</v>
      </c>
      <c r="L1299" s="10">
        <v>75.77</v>
      </c>
      <c r="M1299" s="10">
        <v>75.27</v>
      </c>
      <c r="N1299" s="10">
        <v>78.900000000000006</v>
      </c>
      <c r="O1299" s="10">
        <v>78.44</v>
      </c>
      <c r="P1299" s="10">
        <v>77.819999999999993</v>
      </c>
      <c r="Q1299" s="10">
        <v>77.19</v>
      </c>
      <c r="R1299" s="10">
        <v>76.56</v>
      </c>
      <c r="S1299" s="10">
        <v>75.91</v>
      </c>
      <c r="T1299" s="10">
        <v>75.239999999999995</v>
      </c>
      <c r="U1299" s="10">
        <v>74.56</v>
      </c>
      <c r="V1299" s="10">
        <v>73.900000000000006</v>
      </c>
      <c r="W1299" s="10">
        <v>73.260000000000005</v>
      </c>
      <c r="X1299" s="10">
        <v>72.66</v>
      </c>
      <c r="Y1299" s="10">
        <v>72.040000000000006</v>
      </c>
      <c r="Z1299" s="11">
        <v>79.507999999999996</v>
      </c>
      <c r="AA1299" s="11">
        <v>78.885999999999996</v>
      </c>
      <c r="AB1299" s="11">
        <v>78.102999999999994</v>
      </c>
      <c r="AC1299" s="11">
        <v>77.477999999999994</v>
      </c>
      <c r="AD1299" s="11">
        <v>76.822999999999993</v>
      </c>
      <c r="AE1299" s="11">
        <v>76.201999999999998</v>
      </c>
      <c r="AF1299" s="11">
        <v>75.628</v>
      </c>
      <c r="AG1299" s="11">
        <v>75.081999999999994</v>
      </c>
      <c r="AH1299" s="11">
        <v>74.536000000000001</v>
      </c>
      <c r="AI1299" s="11">
        <v>74.004999999999995</v>
      </c>
      <c r="AJ1299" s="11">
        <v>73.466999999999999</v>
      </c>
      <c r="AK1299" s="11">
        <v>72.938000000000002</v>
      </c>
      <c r="AL1299" s="11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3"/>
      <c r="CK1299" s="3"/>
      <c r="CL1299" s="3"/>
      <c r="CM1299" s="3"/>
      <c r="CN1299" s="3"/>
      <c r="CO1299" s="3"/>
      <c r="CP1299" s="3"/>
      <c r="CQ1299" s="3"/>
      <c r="CR1299" s="3"/>
      <c r="CS1299" s="3"/>
      <c r="CT1299" s="3"/>
      <c r="CU1299" s="3"/>
      <c r="CV1299" s="3"/>
      <c r="CW1299" s="3"/>
      <c r="CX1299" s="3"/>
      <c r="CY1299" s="3"/>
      <c r="CZ1299" s="3"/>
      <c r="DA1299" s="3"/>
      <c r="DB1299" s="3"/>
      <c r="DC1299" s="3"/>
      <c r="DD1299" s="3"/>
      <c r="DE1299" s="3"/>
      <c r="DF1299" s="3"/>
      <c r="DG1299" s="3"/>
      <c r="DH1299" s="3"/>
      <c r="DI1299" s="3"/>
      <c r="DJ1299" s="3"/>
      <c r="DK1299" s="3"/>
      <c r="DL1299" s="3"/>
      <c r="DM1299" s="3"/>
      <c r="DN1299" s="3"/>
      <c r="DO1299" s="3"/>
      <c r="DP1299" s="3"/>
      <c r="DQ1299" s="3"/>
      <c r="DR1299" s="3"/>
      <c r="DS1299" s="3"/>
      <c r="DT1299" s="3"/>
      <c r="DU1299" s="3"/>
      <c r="DV1299" s="3"/>
      <c r="DW1299" s="3"/>
      <c r="DX1299" s="3"/>
      <c r="DY1299" s="3"/>
      <c r="DZ1299" s="3"/>
      <c r="EA1299" s="3"/>
      <c r="EB1299" s="3"/>
      <c r="EC1299" s="3"/>
      <c r="ED1299" s="3"/>
      <c r="EE1299" s="3"/>
      <c r="EF1299" s="3"/>
      <c r="EG1299" s="3"/>
      <c r="EH1299" s="3"/>
      <c r="EI1299" s="3"/>
      <c r="EJ1299" s="3"/>
      <c r="EK1299" s="3"/>
      <c r="EL1299" s="3"/>
      <c r="EM1299" s="3"/>
      <c r="EN1299" s="3"/>
      <c r="EO1299" s="3"/>
      <c r="EP1299" s="3"/>
      <c r="EQ1299" s="3"/>
    </row>
    <row r="1300" spans="1:147" x14ac:dyDescent="0.3">
      <c r="A1300" s="9">
        <f>DATE(2022, 1, 10)</f>
        <v>44571</v>
      </c>
      <c r="B1300" s="10">
        <v>80.87</v>
      </c>
      <c r="C1300" s="10">
        <v>80.3</v>
      </c>
      <c r="D1300" s="10">
        <v>79.7</v>
      </c>
      <c r="E1300" s="10">
        <v>79.099999999999994</v>
      </c>
      <c r="F1300" s="10">
        <v>78.47</v>
      </c>
      <c r="G1300" s="10">
        <v>77.89</v>
      </c>
      <c r="H1300" s="10">
        <v>77.31</v>
      </c>
      <c r="I1300" s="10">
        <v>76.77</v>
      </c>
      <c r="J1300" s="10">
        <v>76.25</v>
      </c>
      <c r="K1300" s="10">
        <v>75.73</v>
      </c>
      <c r="L1300" s="10">
        <v>75.22</v>
      </c>
      <c r="M1300" s="10">
        <v>74.73</v>
      </c>
      <c r="N1300" s="10">
        <v>78.23</v>
      </c>
      <c r="O1300" s="10">
        <v>77.7</v>
      </c>
      <c r="P1300" s="10">
        <v>77.099999999999994</v>
      </c>
      <c r="Q1300" s="10">
        <v>76.48</v>
      </c>
      <c r="R1300" s="10">
        <v>75.849999999999994</v>
      </c>
      <c r="S1300" s="10">
        <v>75.22</v>
      </c>
      <c r="T1300" s="10">
        <v>74.56</v>
      </c>
      <c r="U1300" s="10">
        <v>73.89</v>
      </c>
      <c r="V1300" s="10">
        <v>73.23</v>
      </c>
      <c r="W1300" s="10">
        <v>72.61</v>
      </c>
      <c r="X1300" s="10">
        <v>72.010000000000005</v>
      </c>
      <c r="Y1300" s="10">
        <v>71.400000000000006</v>
      </c>
      <c r="Z1300" s="11">
        <v>78.933999999999997</v>
      </c>
      <c r="AA1300" s="11">
        <v>78.11</v>
      </c>
      <c r="AB1300" s="11">
        <v>77.373999999999995</v>
      </c>
      <c r="AC1300" s="11">
        <v>76.789000000000001</v>
      </c>
      <c r="AD1300" s="11">
        <v>76.174000000000007</v>
      </c>
      <c r="AE1300" s="11">
        <v>75.572999999999993</v>
      </c>
      <c r="AF1300" s="11">
        <v>75.013999999999996</v>
      </c>
      <c r="AG1300" s="11">
        <v>74.466999999999999</v>
      </c>
      <c r="AH1300" s="11">
        <v>73.936000000000007</v>
      </c>
      <c r="AI1300" s="11">
        <v>73.415999999999997</v>
      </c>
      <c r="AJ1300" s="11">
        <v>72.897999999999996</v>
      </c>
      <c r="AK1300" s="11">
        <v>72.39</v>
      </c>
      <c r="AL1300" s="11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3"/>
      <c r="CK1300" s="3"/>
      <c r="CL1300" s="3"/>
      <c r="CM1300" s="3"/>
      <c r="CN1300" s="3"/>
      <c r="CO1300" s="3"/>
      <c r="CP1300" s="3"/>
      <c r="CQ1300" s="3"/>
      <c r="CR1300" s="3"/>
      <c r="CS1300" s="3"/>
      <c r="CT1300" s="3"/>
      <c r="CU1300" s="3"/>
      <c r="CV1300" s="3"/>
      <c r="CW1300" s="3"/>
      <c r="CX1300" s="3"/>
      <c r="CY1300" s="3"/>
      <c r="CZ1300" s="3"/>
      <c r="DA1300" s="3"/>
      <c r="DB1300" s="3"/>
      <c r="DC1300" s="3"/>
      <c r="DD1300" s="3"/>
      <c r="DE1300" s="3"/>
      <c r="DF1300" s="3"/>
      <c r="DG1300" s="3"/>
      <c r="DH1300" s="3"/>
      <c r="DI1300" s="3"/>
      <c r="DJ1300" s="3"/>
      <c r="DK1300" s="3"/>
      <c r="DL1300" s="3"/>
      <c r="DM1300" s="3"/>
      <c r="DN1300" s="3"/>
      <c r="DO1300" s="3"/>
      <c r="DP1300" s="3"/>
      <c r="DQ1300" s="3"/>
      <c r="DR1300" s="3"/>
      <c r="DS1300" s="3"/>
      <c r="DT1300" s="3"/>
      <c r="DU1300" s="3"/>
      <c r="DV1300" s="3"/>
      <c r="DW1300" s="3"/>
      <c r="DX1300" s="3"/>
      <c r="DY1300" s="3"/>
      <c r="DZ1300" s="3"/>
      <c r="EA1300" s="3"/>
      <c r="EB1300" s="3"/>
      <c r="EC1300" s="3"/>
      <c r="ED1300" s="3"/>
      <c r="EE1300" s="3"/>
      <c r="EF1300" s="3"/>
      <c r="EG1300" s="3"/>
      <c r="EH1300" s="3"/>
      <c r="EI1300" s="3"/>
      <c r="EJ1300" s="3"/>
      <c r="EK1300" s="3"/>
      <c r="EL1300" s="3"/>
      <c r="EM1300" s="3"/>
      <c r="EN1300" s="3"/>
      <c r="EO1300" s="3"/>
      <c r="EP1300" s="3"/>
      <c r="EQ1300" s="3"/>
    </row>
    <row r="1301" spans="1:147" x14ac:dyDescent="0.3">
      <c r="A1301" s="9">
        <f>DATE(2022, 1, 11)</f>
        <v>44572</v>
      </c>
      <c r="B1301" s="10">
        <v>83.72</v>
      </c>
      <c r="C1301" s="10">
        <v>83.08</v>
      </c>
      <c r="D1301" s="10">
        <v>82.42</v>
      </c>
      <c r="E1301" s="10">
        <v>81.739999999999995</v>
      </c>
      <c r="F1301" s="10">
        <v>81.03</v>
      </c>
      <c r="G1301" s="10">
        <v>80.37</v>
      </c>
      <c r="H1301" s="10">
        <v>79.72</v>
      </c>
      <c r="I1301" s="10">
        <v>79.099999999999994</v>
      </c>
      <c r="J1301" s="10">
        <v>78.5</v>
      </c>
      <c r="K1301" s="10">
        <v>77.92</v>
      </c>
      <c r="L1301" s="10">
        <v>77.34</v>
      </c>
      <c r="M1301" s="10">
        <v>76.8</v>
      </c>
      <c r="N1301" s="10">
        <v>81.22</v>
      </c>
      <c r="O1301" s="10">
        <v>80.67</v>
      </c>
      <c r="P1301" s="10">
        <v>79.98</v>
      </c>
      <c r="Q1301" s="10">
        <v>79.28</v>
      </c>
      <c r="R1301" s="10">
        <v>78.569999999999993</v>
      </c>
      <c r="S1301" s="10">
        <v>77.849999999999994</v>
      </c>
      <c r="T1301" s="10">
        <v>77.099999999999994</v>
      </c>
      <c r="U1301" s="10">
        <v>76.34</v>
      </c>
      <c r="V1301" s="10">
        <v>75.61</v>
      </c>
      <c r="W1301" s="10">
        <v>74.92</v>
      </c>
      <c r="X1301" s="10">
        <v>74.25</v>
      </c>
      <c r="Y1301" s="10">
        <v>73.58</v>
      </c>
      <c r="Z1301" s="11">
        <v>80.731999999999999</v>
      </c>
      <c r="AA1301" s="11">
        <v>80.736999999999995</v>
      </c>
      <c r="AB1301" s="11">
        <v>79.98</v>
      </c>
      <c r="AC1301" s="11">
        <v>79.323999999999998</v>
      </c>
      <c r="AD1301" s="11">
        <v>78.63</v>
      </c>
      <c r="AE1301" s="11">
        <v>77.97</v>
      </c>
      <c r="AF1301" s="11">
        <v>77.31</v>
      </c>
      <c r="AG1301" s="11">
        <v>76.683999999999997</v>
      </c>
      <c r="AH1301" s="11">
        <v>76.103999999999999</v>
      </c>
      <c r="AI1301" s="11">
        <v>75.501999999999995</v>
      </c>
      <c r="AJ1301" s="11">
        <v>74.935000000000002</v>
      </c>
      <c r="AK1301" s="11">
        <v>74.394000000000005</v>
      </c>
      <c r="AL1301" s="11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3"/>
      <c r="CK1301" s="3"/>
      <c r="CL1301" s="3"/>
      <c r="CM1301" s="3"/>
      <c r="CN1301" s="3"/>
      <c r="CO1301" s="3"/>
      <c r="CP1301" s="3"/>
      <c r="CQ1301" s="3"/>
      <c r="CR1301" s="3"/>
      <c r="CS1301" s="3"/>
      <c r="CT1301" s="3"/>
      <c r="CU1301" s="3"/>
      <c r="CV1301" s="3"/>
      <c r="CW1301" s="3"/>
      <c r="CX1301" s="3"/>
      <c r="CY1301" s="3"/>
      <c r="CZ1301" s="3"/>
      <c r="DA1301" s="3"/>
      <c r="DB1301" s="3"/>
      <c r="DC1301" s="3"/>
      <c r="DD1301" s="3"/>
      <c r="DE1301" s="3"/>
      <c r="DF1301" s="3"/>
      <c r="DG1301" s="3"/>
      <c r="DH1301" s="3"/>
      <c r="DI1301" s="3"/>
      <c r="DJ1301" s="3"/>
      <c r="DK1301" s="3"/>
      <c r="DL1301" s="3"/>
      <c r="DM1301" s="3"/>
      <c r="DN1301" s="3"/>
      <c r="DO1301" s="3"/>
      <c r="DP1301" s="3"/>
      <c r="DQ1301" s="3"/>
      <c r="DR1301" s="3"/>
      <c r="DS1301" s="3"/>
      <c r="DT1301" s="3"/>
      <c r="DU1301" s="3"/>
      <c r="DV1301" s="3"/>
      <c r="DW1301" s="3"/>
      <c r="DX1301" s="3"/>
      <c r="DY1301" s="3"/>
      <c r="DZ1301" s="3"/>
      <c r="EA1301" s="3"/>
      <c r="EB1301" s="3"/>
      <c r="EC1301" s="3"/>
      <c r="ED1301" s="3"/>
      <c r="EE1301" s="3"/>
      <c r="EF1301" s="3"/>
      <c r="EG1301" s="3"/>
      <c r="EH1301" s="3"/>
      <c r="EI1301" s="3"/>
      <c r="EJ1301" s="3"/>
      <c r="EK1301" s="3"/>
      <c r="EL1301" s="3"/>
      <c r="EM1301" s="3"/>
      <c r="EN1301" s="3"/>
      <c r="EO1301" s="3"/>
      <c r="EP1301" s="3"/>
      <c r="EQ1301" s="3"/>
    </row>
    <row r="1302" spans="1:147" x14ac:dyDescent="0.3">
      <c r="A1302" s="9">
        <f>DATE(2022, 1, 12)</f>
        <v>44573</v>
      </c>
      <c r="B1302" s="10">
        <v>84.67</v>
      </c>
      <c r="C1302" s="10">
        <v>83.98</v>
      </c>
      <c r="D1302" s="10">
        <v>83.25</v>
      </c>
      <c r="E1302" s="10">
        <v>82.51</v>
      </c>
      <c r="F1302" s="10">
        <v>81.77</v>
      </c>
      <c r="G1302" s="10">
        <v>81.069999999999993</v>
      </c>
      <c r="H1302" s="10">
        <v>80.39</v>
      </c>
      <c r="I1302" s="10">
        <v>79.73</v>
      </c>
      <c r="J1302" s="10">
        <v>79.11</v>
      </c>
      <c r="K1302" s="10">
        <v>78.489999999999995</v>
      </c>
      <c r="L1302" s="10">
        <v>77.88</v>
      </c>
      <c r="M1302" s="10">
        <v>77.3</v>
      </c>
      <c r="N1302" s="10">
        <v>82.64</v>
      </c>
      <c r="O1302" s="10">
        <v>82.02</v>
      </c>
      <c r="P1302" s="10">
        <v>81.180000000000007</v>
      </c>
      <c r="Q1302" s="10">
        <v>80.34</v>
      </c>
      <c r="R1302" s="10">
        <v>79.5</v>
      </c>
      <c r="S1302" s="10">
        <v>78.69</v>
      </c>
      <c r="T1302" s="10">
        <v>77.89</v>
      </c>
      <c r="U1302" s="10">
        <v>77.099999999999994</v>
      </c>
      <c r="V1302" s="10">
        <v>76.33</v>
      </c>
      <c r="W1302" s="10">
        <v>75.61</v>
      </c>
      <c r="X1302" s="10">
        <v>74.91</v>
      </c>
      <c r="Y1302" s="10">
        <v>74.209999999999994</v>
      </c>
      <c r="Z1302" s="11">
        <v>81.364000000000004</v>
      </c>
      <c r="AA1302" s="11">
        <v>81.724000000000004</v>
      </c>
      <c r="AB1302" s="11">
        <v>80.867999999999995</v>
      </c>
      <c r="AC1302" s="11">
        <v>80.123000000000005</v>
      </c>
      <c r="AD1302" s="11">
        <v>79.367999999999995</v>
      </c>
      <c r="AE1302" s="11">
        <v>78.647000000000006</v>
      </c>
      <c r="AF1302" s="11">
        <v>77.959000000000003</v>
      </c>
      <c r="AG1302" s="11">
        <v>77.322999999999993</v>
      </c>
      <c r="AH1302" s="11">
        <v>76.712000000000003</v>
      </c>
      <c r="AI1302" s="11">
        <v>76.085999999999999</v>
      </c>
      <c r="AJ1302" s="11">
        <v>75.483999999999995</v>
      </c>
      <c r="AK1302" s="11">
        <v>74.881</v>
      </c>
      <c r="AL1302" s="11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3"/>
      <c r="CK1302" s="3"/>
      <c r="CL1302" s="3"/>
      <c r="CM1302" s="3"/>
      <c r="CN1302" s="3"/>
      <c r="CO1302" s="3"/>
      <c r="CP1302" s="3"/>
      <c r="CQ1302" s="3"/>
      <c r="CR1302" s="3"/>
      <c r="CS1302" s="3"/>
      <c r="CT1302" s="3"/>
      <c r="CU1302" s="3"/>
      <c r="CV1302" s="3"/>
      <c r="CW1302" s="3"/>
      <c r="CX1302" s="3"/>
      <c r="CY1302" s="3"/>
      <c r="CZ1302" s="3"/>
      <c r="DA1302" s="3"/>
      <c r="DB1302" s="3"/>
      <c r="DC1302" s="3"/>
      <c r="DD1302" s="3"/>
      <c r="DE1302" s="3"/>
      <c r="DF1302" s="3"/>
      <c r="DG1302" s="3"/>
      <c r="DH1302" s="3"/>
      <c r="DI1302" s="3"/>
      <c r="DJ1302" s="3"/>
      <c r="DK1302" s="3"/>
      <c r="DL1302" s="3"/>
      <c r="DM1302" s="3"/>
      <c r="DN1302" s="3"/>
      <c r="DO1302" s="3"/>
      <c r="DP1302" s="3"/>
      <c r="DQ1302" s="3"/>
      <c r="DR1302" s="3"/>
      <c r="DS1302" s="3"/>
      <c r="DT1302" s="3"/>
      <c r="DU1302" s="3"/>
      <c r="DV1302" s="3"/>
      <c r="DW1302" s="3"/>
      <c r="DX1302" s="3"/>
      <c r="DY1302" s="3"/>
      <c r="DZ1302" s="3"/>
      <c r="EA1302" s="3"/>
      <c r="EB1302" s="3"/>
      <c r="EC1302" s="3"/>
      <c r="ED1302" s="3"/>
      <c r="EE1302" s="3"/>
      <c r="EF1302" s="3"/>
      <c r="EG1302" s="3"/>
      <c r="EH1302" s="3"/>
      <c r="EI1302" s="3"/>
      <c r="EJ1302" s="3"/>
      <c r="EK1302" s="3"/>
      <c r="EL1302" s="3"/>
      <c r="EM1302" s="3"/>
      <c r="EN1302" s="3"/>
      <c r="EO1302" s="3"/>
      <c r="EP1302" s="3"/>
      <c r="EQ1302" s="3"/>
    </row>
    <row r="1303" spans="1:147" x14ac:dyDescent="0.3">
      <c r="A1303" s="9">
        <f>DATE(2022, 1, 13)</f>
        <v>44574</v>
      </c>
      <c r="B1303" s="10">
        <v>84.47</v>
      </c>
      <c r="C1303" s="10">
        <v>83.77</v>
      </c>
      <c r="D1303" s="10">
        <v>83.03</v>
      </c>
      <c r="E1303" s="10">
        <v>82.29</v>
      </c>
      <c r="F1303" s="10">
        <v>81.55</v>
      </c>
      <c r="G1303" s="10">
        <v>80.87</v>
      </c>
      <c r="H1303" s="10">
        <v>80.2</v>
      </c>
      <c r="I1303" s="10">
        <v>79.56</v>
      </c>
      <c r="J1303" s="10">
        <v>78.94</v>
      </c>
      <c r="K1303" s="10">
        <v>78.33</v>
      </c>
      <c r="L1303" s="10">
        <v>77.73</v>
      </c>
      <c r="M1303" s="10">
        <v>77.150000000000006</v>
      </c>
      <c r="N1303" s="10">
        <v>82.12</v>
      </c>
      <c r="O1303" s="10">
        <v>81.62</v>
      </c>
      <c r="P1303" s="10">
        <v>80.86</v>
      </c>
      <c r="Q1303" s="10">
        <v>80.09</v>
      </c>
      <c r="R1303" s="10">
        <v>79.290000000000006</v>
      </c>
      <c r="S1303" s="10">
        <v>78.5</v>
      </c>
      <c r="T1303" s="10">
        <v>77.709999999999994</v>
      </c>
      <c r="U1303" s="10">
        <v>76.94</v>
      </c>
      <c r="V1303" s="10">
        <v>76.180000000000007</v>
      </c>
      <c r="W1303" s="10">
        <v>75.47</v>
      </c>
      <c r="X1303" s="10">
        <v>74.790000000000006</v>
      </c>
      <c r="Y1303" s="10">
        <v>74.08</v>
      </c>
      <c r="Z1303" s="11">
        <v>81.332999999999998</v>
      </c>
      <c r="AA1303" s="11">
        <v>81.613</v>
      </c>
      <c r="AB1303" s="11">
        <v>80.738</v>
      </c>
      <c r="AC1303" s="11">
        <v>79.992999999999995</v>
      </c>
      <c r="AD1303" s="11">
        <v>79.239000000000004</v>
      </c>
      <c r="AE1303" s="11">
        <v>78.5</v>
      </c>
      <c r="AF1303" s="11">
        <v>77.81</v>
      </c>
      <c r="AG1303" s="11">
        <v>77.192999999999998</v>
      </c>
      <c r="AH1303" s="11">
        <v>76.561999999999998</v>
      </c>
      <c r="AI1303" s="11">
        <v>75.941000000000003</v>
      </c>
      <c r="AJ1303" s="11">
        <v>75.323999999999998</v>
      </c>
      <c r="AK1303" s="11">
        <v>74.712000000000003</v>
      </c>
      <c r="AL1303" s="11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3"/>
      <c r="CK1303" s="3"/>
      <c r="CL1303" s="3"/>
      <c r="CM1303" s="3"/>
      <c r="CN1303" s="3"/>
      <c r="CO1303" s="3"/>
      <c r="CP1303" s="3"/>
      <c r="CQ1303" s="3"/>
      <c r="CR1303" s="3"/>
      <c r="CS1303" s="3"/>
      <c r="CT1303" s="3"/>
      <c r="CU1303" s="3"/>
      <c r="CV1303" s="3"/>
      <c r="CW1303" s="3"/>
      <c r="CX1303" s="3"/>
      <c r="CY1303" s="3"/>
      <c r="CZ1303" s="3"/>
      <c r="DA1303" s="3"/>
      <c r="DB1303" s="3"/>
      <c r="DC1303" s="3"/>
      <c r="DD1303" s="3"/>
      <c r="DE1303" s="3"/>
      <c r="DF1303" s="3"/>
      <c r="DG1303" s="3"/>
      <c r="DH1303" s="3"/>
      <c r="DI1303" s="3"/>
      <c r="DJ1303" s="3"/>
      <c r="DK1303" s="3"/>
      <c r="DL1303" s="3"/>
      <c r="DM1303" s="3"/>
      <c r="DN1303" s="3"/>
      <c r="DO1303" s="3"/>
      <c r="DP1303" s="3"/>
      <c r="DQ1303" s="3"/>
      <c r="DR1303" s="3"/>
      <c r="DS1303" s="3"/>
      <c r="DT1303" s="3"/>
      <c r="DU1303" s="3"/>
      <c r="DV1303" s="3"/>
      <c r="DW1303" s="3"/>
      <c r="DX1303" s="3"/>
      <c r="DY1303" s="3"/>
      <c r="DZ1303" s="3"/>
      <c r="EA1303" s="3"/>
      <c r="EB1303" s="3"/>
      <c r="EC1303" s="3"/>
      <c r="ED1303" s="3"/>
      <c r="EE1303" s="3"/>
      <c r="EF1303" s="3"/>
      <c r="EG1303" s="3"/>
      <c r="EH1303" s="3"/>
      <c r="EI1303" s="3"/>
      <c r="EJ1303" s="3"/>
      <c r="EK1303" s="3"/>
      <c r="EL1303" s="3"/>
      <c r="EM1303" s="3"/>
      <c r="EN1303" s="3"/>
      <c r="EO1303" s="3"/>
      <c r="EP1303" s="3"/>
      <c r="EQ1303" s="3"/>
    </row>
    <row r="1304" spans="1:147" x14ac:dyDescent="0.3">
      <c r="A1304" s="9">
        <f>DATE(2022, 1, 14)</f>
        <v>44575</v>
      </c>
      <c r="B1304" s="10">
        <v>86.06</v>
      </c>
      <c r="C1304" s="10">
        <v>85.35</v>
      </c>
      <c r="D1304" s="10">
        <v>84.57</v>
      </c>
      <c r="E1304" s="10">
        <v>83.76</v>
      </c>
      <c r="F1304" s="10">
        <v>82.96</v>
      </c>
      <c r="G1304" s="10">
        <v>82.23</v>
      </c>
      <c r="H1304" s="10">
        <v>81.510000000000005</v>
      </c>
      <c r="I1304" s="10">
        <v>80.81</v>
      </c>
      <c r="J1304" s="10">
        <v>80.14</v>
      </c>
      <c r="K1304" s="10">
        <v>79.489999999999995</v>
      </c>
      <c r="L1304" s="10">
        <v>78.86</v>
      </c>
      <c r="M1304" s="10">
        <v>78.260000000000005</v>
      </c>
      <c r="N1304" s="10">
        <v>83.82</v>
      </c>
      <c r="O1304" s="10">
        <v>83.3</v>
      </c>
      <c r="P1304" s="10">
        <v>82.42</v>
      </c>
      <c r="Q1304" s="10">
        <v>81.56</v>
      </c>
      <c r="R1304" s="10">
        <v>80.69</v>
      </c>
      <c r="S1304" s="10">
        <v>79.83</v>
      </c>
      <c r="T1304" s="10">
        <v>78.989999999999995</v>
      </c>
      <c r="U1304" s="10">
        <v>78.16</v>
      </c>
      <c r="V1304" s="10">
        <v>77.349999999999994</v>
      </c>
      <c r="W1304" s="10">
        <v>76.58</v>
      </c>
      <c r="X1304" s="10">
        <v>75.84</v>
      </c>
      <c r="Y1304" s="10">
        <v>75.11</v>
      </c>
      <c r="Z1304" s="11">
        <v>82.453000000000003</v>
      </c>
      <c r="AA1304" s="11">
        <v>83.370999999999995</v>
      </c>
      <c r="AB1304" s="11">
        <v>82.384</v>
      </c>
      <c r="AC1304" s="11">
        <v>81.564999999999998</v>
      </c>
      <c r="AD1304" s="11">
        <v>80.742000000000004</v>
      </c>
      <c r="AE1304" s="11">
        <v>79.962000000000003</v>
      </c>
      <c r="AF1304" s="11">
        <v>79.231999999999999</v>
      </c>
      <c r="AG1304" s="11">
        <v>78.521000000000001</v>
      </c>
      <c r="AH1304" s="11">
        <v>77.849999999999994</v>
      </c>
      <c r="AI1304" s="11">
        <v>77.2</v>
      </c>
      <c r="AJ1304" s="11">
        <v>76.572999999999993</v>
      </c>
      <c r="AK1304" s="11">
        <v>75.965000000000003</v>
      </c>
      <c r="AL1304" s="11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4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</row>
    <row r="1305" spans="1:147" x14ac:dyDescent="0.3">
      <c r="A1305" s="9">
        <f>DATE(2022, 1, 17)</f>
        <v>44578</v>
      </c>
      <c r="B1305" s="10">
        <v>86.48</v>
      </c>
      <c r="C1305" s="10">
        <v>85.77</v>
      </c>
      <c r="D1305" s="10">
        <v>84.96</v>
      </c>
      <c r="E1305" s="10">
        <v>84.14</v>
      </c>
      <c r="F1305" s="10">
        <v>83.33</v>
      </c>
      <c r="G1305" s="10">
        <v>82.59</v>
      </c>
      <c r="H1305" s="10">
        <v>81.87</v>
      </c>
      <c r="I1305" s="10">
        <v>81.180000000000007</v>
      </c>
      <c r="J1305" s="10">
        <v>80.52</v>
      </c>
      <c r="K1305" s="10">
        <v>79.87</v>
      </c>
      <c r="L1305" s="10">
        <v>79.23</v>
      </c>
      <c r="M1305" s="10">
        <v>78.63</v>
      </c>
      <c r="N1305" s="10">
        <v>83.82</v>
      </c>
      <c r="O1305" s="10">
        <v>83.3</v>
      </c>
      <c r="P1305" s="10">
        <v>82.42</v>
      </c>
      <c r="Q1305" s="10">
        <v>81.56</v>
      </c>
      <c r="R1305" s="10">
        <v>80.69</v>
      </c>
      <c r="S1305" s="10">
        <v>79.83</v>
      </c>
      <c r="T1305" s="10">
        <v>78.989999999999995</v>
      </c>
      <c r="U1305" s="10">
        <v>78.16</v>
      </c>
      <c r="V1305" s="10">
        <v>77.349999999999994</v>
      </c>
      <c r="W1305" s="10">
        <v>76.58</v>
      </c>
      <c r="X1305" s="10">
        <v>75.84</v>
      </c>
      <c r="Y1305" s="10">
        <v>75.11</v>
      </c>
      <c r="Z1305" s="11">
        <v>82.715999999999994</v>
      </c>
      <c r="AA1305" s="11">
        <v>83.73</v>
      </c>
      <c r="AB1305" s="11">
        <v>82.763999999999996</v>
      </c>
      <c r="AC1305" s="11">
        <v>81.93</v>
      </c>
      <c r="AD1305" s="11">
        <v>81.096000000000004</v>
      </c>
      <c r="AE1305" s="11">
        <v>80.307000000000002</v>
      </c>
      <c r="AF1305" s="11">
        <v>79.557000000000002</v>
      </c>
      <c r="AG1305" s="11">
        <v>78.870999999999995</v>
      </c>
      <c r="AH1305" s="11">
        <v>78.209999999999994</v>
      </c>
      <c r="AI1305" s="11">
        <v>77.540000000000006</v>
      </c>
      <c r="AJ1305" s="11">
        <v>76.903000000000006</v>
      </c>
      <c r="AK1305" s="11">
        <v>76.278999999999996</v>
      </c>
      <c r="AL1305" s="11"/>
    </row>
    <row r="1306" spans="1:147" x14ac:dyDescent="0.3">
      <c r="A1306" s="9">
        <f>DATE(2022, 1, 18)</f>
        <v>44579</v>
      </c>
      <c r="B1306" s="10">
        <v>87.51</v>
      </c>
      <c r="C1306" s="10">
        <v>86.78</v>
      </c>
      <c r="D1306" s="10">
        <v>85.94</v>
      </c>
      <c r="E1306" s="10">
        <v>85.08</v>
      </c>
      <c r="F1306" s="10">
        <v>84.25</v>
      </c>
      <c r="G1306" s="10">
        <v>83.5</v>
      </c>
      <c r="H1306" s="10">
        <v>82.77</v>
      </c>
      <c r="I1306" s="10">
        <v>82.06</v>
      </c>
      <c r="J1306" s="10">
        <v>81.37</v>
      </c>
      <c r="K1306" s="10">
        <v>80.7</v>
      </c>
      <c r="L1306" s="10">
        <v>80.040000000000006</v>
      </c>
      <c r="M1306" s="10">
        <v>79.42</v>
      </c>
      <c r="N1306" s="10">
        <v>85.43</v>
      </c>
      <c r="O1306" s="10">
        <v>84.83</v>
      </c>
      <c r="P1306" s="10">
        <v>83.86</v>
      </c>
      <c r="Q1306" s="10">
        <v>82.92</v>
      </c>
      <c r="R1306" s="10">
        <v>82</v>
      </c>
      <c r="S1306" s="10">
        <v>81.099999999999994</v>
      </c>
      <c r="T1306" s="10">
        <v>80.23</v>
      </c>
      <c r="U1306" s="10">
        <v>79.38</v>
      </c>
      <c r="V1306" s="10">
        <v>78.55</v>
      </c>
      <c r="W1306" s="10">
        <v>77.77</v>
      </c>
      <c r="X1306" s="10">
        <v>77.03</v>
      </c>
      <c r="Y1306" s="10">
        <v>76.28</v>
      </c>
      <c r="Z1306" s="11">
        <v>83.257000000000005</v>
      </c>
      <c r="AA1306" s="11">
        <v>84.778000000000006</v>
      </c>
      <c r="AB1306" s="11">
        <v>83.728999999999999</v>
      </c>
      <c r="AC1306" s="11">
        <v>82.84</v>
      </c>
      <c r="AD1306" s="11">
        <v>81.99</v>
      </c>
      <c r="AE1306" s="11">
        <v>81.186999999999998</v>
      </c>
      <c r="AF1306" s="11">
        <v>80.436000000000007</v>
      </c>
      <c r="AG1306" s="11">
        <v>79.73</v>
      </c>
      <c r="AH1306" s="11">
        <v>79.040000000000006</v>
      </c>
      <c r="AI1306" s="11">
        <v>78.369</v>
      </c>
      <c r="AJ1306" s="11">
        <v>77.712000000000003</v>
      </c>
      <c r="AK1306" s="11">
        <v>77.067999999999998</v>
      </c>
      <c r="AL1306" s="11"/>
    </row>
    <row r="1307" spans="1:147" x14ac:dyDescent="0.3">
      <c r="A1307" s="9">
        <f>DATE(2022, 1, 19)</f>
        <v>44580</v>
      </c>
      <c r="B1307" s="10">
        <v>88.44</v>
      </c>
      <c r="C1307" s="10">
        <v>87.59</v>
      </c>
      <c r="D1307" s="10">
        <v>86.69</v>
      </c>
      <c r="E1307" s="10">
        <v>85.8</v>
      </c>
      <c r="F1307" s="10">
        <v>84.94</v>
      </c>
      <c r="G1307" s="10">
        <v>84.16</v>
      </c>
      <c r="H1307" s="10">
        <v>83.39</v>
      </c>
      <c r="I1307" s="10">
        <v>82.64</v>
      </c>
      <c r="J1307" s="10">
        <v>81.93</v>
      </c>
      <c r="K1307" s="10">
        <v>81.23</v>
      </c>
      <c r="L1307" s="10">
        <v>80.55</v>
      </c>
      <c r="M1307" s="10">
        <v>79.900000000000006</v>
      </c>
      <c r="N1307" s="10">
        <v>86.96</v>
      </c>
      <c r="O1307" s="10">
        <v>85.8</v>
      </c>
      <c r="P1307" s="10">
        <v>84.79</v>
      </c>
      <c r="Q1307" s="10">
        <v>83.8</v>
      </c>
      <c r="R1307" s="10">
        <v>82.82</v>
      </c>
      <c r="S1307" s="10">
        <v>81.87</v>
      </c>
      <c r="T1307" s="10">
        <v>80.94</v>
      </c>
      <c r="U1307" s="10">
        <v>80.040000000000006</v>
      </c>
      <c r="V1307" s="10">
        <v>79.17</v>
      </c>
      <c r="W1307" s="10">
        <v>78.36</v>
      </c>
      <c r="X1307" s="10">
        <v>77.569999999999993</v>
      </c>
      <c r="Y1307" s="10">
        <v>76.790000000000006</v>
      </c>
      <c r="Z1307" s="11">
        <v>83.58</v>
      </c>
      <c r="AA1307" s="11">
        <v>85.555000000000007</v>
      </c>
      <c r="AB1307" s="11">
        <v>84.491</v>
      </c>
      <c r="AC1307" s="11">
        <v>83.555000000000007</v>
      </c>
      <c r="AD1307" s="11">
        <v>82.685000000000002</v>
      </c>
      <c r="AE1307" s="11">
        <v>81.855000000000004</v>
      </c>
      <c r="AF1307" s="11">
        <v>81.063999999999993</v>
      </c>
      <c r="AG1307" s="11">
        <v>80.319000000000003</v>
      </c>
      <c r="AH1307" s="11">
        <v>79.587999999999994</v>
      </c>
      <c r="AI1307" s="11">
        <v>78.888000000000005</v>
      </c>
      <c r="AJ1307" s="11">
        <v>78.2</v>
      </c>
      <c r="AK1307" s="11">
        <v>77.534999999999997</v>
      </c>
      <c r="AL1307" s="11"/>
    </row>
    <row r="1308" spans="1:147" x14ac:dyDescent="0.3">
      <c r="A1308" s="9">
        <f>DATE(2022, 1, 20)</f>
        <v>44581</v>
      </c>
      <c r="B1308" s="10">
        <v>88.38</v>
      </c>
      <c r="C1308" s="10">
        <v>87.61</v>
      </c>
      <c r="D1308" s="10">
        <v>86.74</v>
      </c>
      <c r="E1308" s="10">
        <v>85.86</v>
      </c>
      <c r="F1308" s="10">
        <v>85.02</v>
      </c>
      <c r="G1308" s="10">
        <v>84.28</v>
      </c>
      <c r="H1308" s="10">
        <v>83.56</v>
      </c>
      <c r="I1308" s="10">
        <v>82.86</v>
      </c>
      <c r="J1308" s="10">
        <v>82.2</v>
      </c>
      <c r="K1308" s="10">
        <v>81.540000000000006</v>
      </c>
      <c r="L1308" s="10">
        <v>80.89</v>
      </c>
      <c r="M1308" s="10">
        <v>80.27</v>
      </c>
      <c r="N1308" s="10">
        <v>86.9</v>
      </c>
      <c r="O1308" s="10">
        <v>85.55</v>
      </c>
      <c r="P1308" s="10">
        <v>84.65</v>
      </c>
      <c r="Q1308" s="10">
        <v>83.77</v>
      </c>
      <c r="R1308" s="10">
        <v>82.89</v>
      </c>
      <c r="S1308" s="10">
        <v>82.01</v>
      </c>
      <c r="T1308" s="10">
        <v>81.150000000000006</v>
      </c>
      <c r="U1308" s="10">
        <v>80.319999999999993</v>
      </c>
      <c r="V1308" s="10">
        <v>79.52</v>
      </c>
      <c r="W1308" s="10">
        <v>78.77</v>
      </c>
      <c r="X1308" s="10">
        <v>78.03</v>
      </c>
      <c r="Y1308" s="10">
        <v>77.31</v>
      </c>
      <c r="Z1308" s="11">
        <v>83.537000000000006</v>
      </c>
      <c r="AA1308" s="11">
        <v>85.617000000000004</v>
      </c>
      <c r="AB1308" s="11">
        <v>84.522000000000006</v>
      </c>
      <c r="AC1308" s="11">
        <v>83.638000000000005</v>
      </c>
      <c r="AD1308" s="11">
        <v>82.775999999999996</v>
      </c>
      <c r="AE1308" s="11">
        <v>81.966999999999999</v>
      </c>
      <c r="AF1308" s="11">
        <v>81.206000000000003</v>
      </c>
      <c r="AG1308" s="11">
        <v>80.531000000000006</v>
      </c>
      <c r="AH1308" s="11">
        <v>79.87</v>
      </c>
      <c r="AI1308" s="11">
        <v>79.209000000000003</v>
      </c>
      <c r="AJ1308" s="11">
        <v>78.531999999999996</v>
      </c>
      <c r="AK1308" s="11">
        <v>77.879000000000005</v>
      </c>
      <c r="AL1308" s="11"/>
    </row>
    <row r="1309" spans="1:147" x14ac:dyDescent="0.3">
      <c r="A1309" s="9">
        <f>DATE(2022, 1, 21)</f>
        <v>44582</v>
      </c>
      <c r="B1309" s="10">
        <v>87.89</v>
      </c>
      <c r="C1309" s="10">
        <v>87.08</v>
      </c>
      <c r="D1309" s="10">
        <v>86.19</v>
      </c>
      <c r="E1309" s="10">
        <v>85.3</v>
      </c>
      <c r="F1309" s="10">
        <v>84.45</v>
      </c>
      <c r="G1309" s="10">
        <v>83.7</v>
      </c>
      <c r="H1309" s="10">
        <v>82.97</v>
      </c>
      <c r="I1309" s="10">
        <v>82.27</v>
      </c>
      <c r="J1309" s="10">
        <v>81.62</v>
      </c>
      <c r="K1309" s="10">
        <v>80.98</v>
      </c>
      <c r="L1309" s="10">
        <v>80.349999999999994</v>
      </c>
      <c r="M1309" s="10">
        <v>79.760000000000005</v>
      </c>
      <c r="N1309" s="10">
        <v>85.14</v>
      </c>
      <c r="O1309" s="10">
        <v>84.14</v>
      </c>
      <c r="P1309" s="10">
        <v>83.2</v>
      </c>
      <c r="Q1309" s="10">
        <v>82.28</v>
      </c>
      <c r="R1309" s="10">
        <v>81.38</v>
      </c>
      <c r="S1309" s="10">
        <v>80.510000000000005</v>
      </c>
      <c r="T1309" s="10">
        <v>79.7</v>
      </c>
      <c r="U1309" s="10">
        <v>78.91</v>
      </c>
      <c r="V1309" s="10">
        <v>78.180000000000007</v>
      </c>
      <c r="W1309" s="10">
        <v>77.47</v>
      </c>
      <c r="X1309" s="10">
        <v>76.760000000000005</v>
      </c>
      <c r="Y1309" s="10">
        <v>76.099999999999994</v>
      </c>
      <c r="Z1309" s="11">
        <v>83.260999999999996</v>
      </c>
      <c r="AA1309" s="11">
        <v>85.126000000000005</v>
      </c>
      <c r="AB1309" s="11">
        <v>84.010999999999996</v>
      </c>
      <c r="AC1309" s="11">
        <v>83.091999999999999</v>
      </c>
      <c r="AD1309" s="11">
        <v>82.212000000000003</v>
      </c>
      <c r="AE1309" s="11">
        <v>81.406999999999996</v>
      </c>
      <c r="AF1309" s="11">
        <v>80.647000000000006</v>
      </c>
      <c r="AG1309" s="11">
        <v>79.951999999999998</v>
      </c>
      <c r="AH1309" s="11">
        <v>79.301000000000002</v>
      </c>
      <c r="AI1309" s="11">
        <v>78.63</v>
      </c>
      <c r="AJ1309" s="11">
        <v>77.962999999999994</v>
      </c>
      <c r="AK1309" s="11">
        <v>77.37</v>
      </c>
      <c r="AL1309" s="11"/>
    </row>
    <row r="1310" spans="1:147" x14ac:dyDescent="0.3">
      <c r="A1310" s="9">
        <f>DATE(2022, 1, 24)</f>
        <v>44585</v>
      </c>
      <c r="B1310" s="10">
        <v>86.27</v>
      </c>
      <c r="C1310" s="10">
        <v>85.43</v>
      </c>
      <c r="D1310" s="10">
        <v>84.56</v>
      </c>
      <c r="E1310" s="10">
        <v>83.71</v>
      </c>
      <c r="F1310" s="10">
        <v>82.9</v>
      </c>
      <c r="G1310" s="10">
        <v>82.18</v>
      </c>
      <c r="H1310" s="10">
        <v>81.48</v>
      </c>
      <c r="I1310" s="10">
        <v>80.819999999999993</v>
      </c>
      <c r="J1310" s="10">
        <v>80.209999999999994</v>
      </c>
      <c r="K1310" s="10">
        <v>79.62</v>
      </c>
      <c r="L1310" s="10">
        <v>79.03</v>
      </c>
      <c r="M1310" s="10">
        <v>78.48</v>
      </c>
      <c r="N1310" s="10">
        <v>83.31</v>
      </c>
      <c r="O1310" s="10">
        <v>82.41</v>
      </c>
      <c r="P1310" s="10">
        <v>81.540000000000006</v>
      </c>
      <c r="Q1310" s="10">
        <v>80.680000000000007</v>
      </c>
      <c r="R1310" s="10">
        <v>79.83</v>
      </c>
      <c r="S1310" s="10">
        <v>79</v>
      </c>
      <c r="T1310" s="10">
        <v>78.209999999999994</v>
      </c>
      <c r="U1310" s="10">
        <v>77.45</v>
      </c>
      <c r="V1310" s="10">
        <v>76.760000000000005</v>
      </c>
      <c r="W1310" s="10">
        <v>76.08</v>
      </c>
      <c r="X1310" s="10">
        <v>75.430000000000007</v>
      </c>
      <c r="Y1310" s="10">
        <v>74.8</v>
      </c>
      <c r="Z1310" s="11">
        <v>82.872</v>
      </c>
      <c r="AA1310" s="11">
        <v>83.546999999999997</v>
      </c>
      <c r="AB1310" s="11">
        <v>82.433000000000007</v>
      </c>
      <c r="AC1310" s="11">
        <v>81.52</v>
      </c>
      <c r="AD1310" s="11">
        <v>80.677000000000007</v>
      </c>
      <c r="AE1310" s="11">
        <v>79.888000000000005</v>
      </c>
      <c r="AF1310" s="11">
        <v>79.149000000000001</v>
      </c>
      <c r="AG1310" s="11">
        <v>78.513000000000005</v>
      </c>
      <c r="AH1310" s="11">
        <v>77.893000000000001</v>
      </c>
      <c r="AI1310" s="11">
        <v>77.272000000000006</v>
      </c>
      <c r="AJ1310" s="11">
        <v>76.674999999999997</v>
      </c>
      <c r="AK1310" s="11">
        <v>76.094999999999999</v>
      </c>
      <c r="AL1310" s="11"/>
    </row>
    <row r="1311" spans="1:147" x14ac:dyDescent="0.3">
      <c r="A1311" s="9">
        <f>DATE(2022, 1, 25)</f>
        <v>44586</v>
      </c>
      <c r="B1311" s="10">
        <v>88.2</v>
      </c>
      <c r="C1311" s="10">
        <v>87.18</v>
      </c>
      <c r="D1311" s="10">
        <v>86.23</v>
      </c>
      <c r="E1311" s="10">
        <v>85.32</v>
      </c>
      <c r="F1311" s="10">
        <v>84.45</v>
      </c>
      <c r="G1311" s="10">
        <v>83.67</v>
      </c>
      <c r="H1311" s="10">
        <v>82.91</v>
      </c>
      <c r="I1311" s="10">
        <v>82.2</v>
      </c>
      <c r="J1311" s="10">
        <v>81.540000000000006</v>
      </c>
      <c r="K1311" s="10">
        <v>80.92</v>
      </c>
      <c r="L1311" s="10">
        <v>80.31</v>
      </c>
      <c r="M1311" s="10">
        <v>79.739999999999995</v>
      </c>
      <c r="N1311" s="10">
        <v>85.6</v>
      </c>
      <c r="O1311" s="10">
        <v>84.37</v>
      </c>
      <c r="P1311" s="10">
        <v>83.29</v>
      </c>
      <c r="Q1311" s="10">
        <v>82.27</v>
      </c>
      <c r="R1311" s="10">
        <v>81.3</v>
      </c>
      <c r="S1311" s="10">
        <v>80.39</v>
      </c>
      <c r="T1311" s="10">
        <v>79.55</v>
      </c>
      <c r="U1311" s="10">
        <v>78.75</v>
      </c>
      <c r="V1311" s="10">
        <v>78.010000000000005</v>
      </c>
      <c r="W1311" s="10">
        <v>77.319999999999993</v>
      </c>
      <c r="X1311" s="10">
        <v>76.64</v>
      </c>
      <c r="Y1311" s="10">
        <v>75.98</v>
      </c>
      <c r="Z1311" s="11">
        <v>83.177999999999997</v>
      </c>
      <c r="AA1311" s="11">
        <v>85.322999999999993</v>
      </c>
      <c r="AB1311" s="11">
        <v>84.11</v>
      </c>
      <c r="AC1311" s="11">
        <v>83.131</v>
      </c>
      <c r="AD1311" s="11">
        <v>82.234999999999999</v>
      </c>
      <c r="AE1311" s="11">
        <v>81.364999999999995</v>
      </c>
      <c r="AF1311" s="11">
        <v>80.575999999999993</v>
      </c>
      <c r="AG1311" s="11">
        <v>79.870999999999995</v>
      </c>
      <c r="AH1311" s="11">
        <v>79.212000000000003</v>
      </c>
      <c r="AI1311" s="11">
        <v>78.590999999999994</v>
      </c>
      <c r="AJ1311" s="11">
        <v>77.983999999999995</v>
      </c>
      <c r="AK1311" s="11">
        <v>77.391999999999996</v>
      </c>
      <c r="AL1311" s="11"/>
    </row>
    <row r="1312" spans="1:147" x14ac:dyDescent="0.3">
      <c r="A1312" s="9">
        <f>DATE(2022, 1, 26)</f>
        <v>44587</v>
      </c>
      <c r="B1312" s="10">
        <v>89.96</v>
      </c>
      <c r="C1312" s="10">
        <v>88.74</v>
      </c>
      <c r="D1312" s="10">
        <v>87.65</v>
      </c>
      <c r="E1312" s="10">
        <v>86.66</v>
      </c>
      <c r="F1312" s="10">
        <v>85.73</v>
      </c>
      <c r="G1312" s="10">
        <v>84.88</v>
      </c>
      <c r="H1312" s="10">
        <v>84.06</v>
      </c>
      <c r="I1312" s="10">
        <v>83.28</v>
      </c>
      <c r="J1312" s="10">
        <v>82.57</v>
      </c>
      <c r="K1312" s="10">
        <v>81.89</v>
      </c>
      <c r="L1312" s="10">
        <v>81.23</v>
      </c>
      <c r="M1312" s="10">
        <v>80.62</v>
      </c>
      <c r="N1312" s="10">
        <v>87.35</v>
      </c>
      <c r="O1312" s="10">
        <v>85.96</v>
      </c>
      <c r="P1312" s="10">
        <v>84.78</v>
      </c>
      <c r="Q1312" s="10">
        <v>83.67</v>
      </c>
      <c r="R1312" s="10">
        <v>82.63</v>
      </c>
      <c r="S1312" s="10">
        <v>81.66</v>
      </c>
      <c r="T1312" s="10">
        <v>80.77</v>
      </c>
      <c r="U1312" s="10">
        <v>79.930000000000007</v>
      </c>
      <c r="V1312" s="10">
        <v>79.16</v>
      </c>
      <c r="W1312" s="10">
        <v>78.42</v>
      </c>
      <c r="X1312" s="10">
        <v>77.7</v>
      </c>
      <c r="Y1312" s="10">
        <v>77.010000000000005</v>
      </c>
      <c r="Z1312" s="11">
        <v>83.445999999999998</v>
      </c>
      <c r="AA1312" s="11">
        <v>86.816000000000003</v>
      </c>
      <c r="AB1312" s="11">
        <v>85.507000000000005</v>
      </c>
      <c r="AC1312" s="11">
        <v>84.463999999999999</v>
      </c>
      <c r="AD1312" s="11">
        <v>83.480999999999995</v>
      </c>
      <c r="AE1312" s="11">
        <v>82.563000000000002</v>
      </c>
      <c r="AF1312" s="11">
        <v>81.712999999999994</v>
      </c>
      <c r="AG1312" s="11">
        <v>80.959000000000003</v>
      </c>
      <c r="AH1312" s="11">
        <v>80.228999999999999</v>
      </c>
      <c r="AI1312" s="11">
        <v>79.539000000000001</v>
      </c>
      <c r="AJ1312" s="11">
        <v>78.872</v>
      </c>
      <c r="AK1312" s="11">
        <v>78.218999999999994</v>
      </c>
      <c r="AL1312" s="11"/>
    </row>
    <row r="1313" spans="1:38" x14ac:dyDescent="0.3">
      <c r="A1313" s="9">
        <f>DATE(2022, 1, 27)</f>
        <v>44588</v>
      </c>
      <c r="B1313" s="10">
        <v>89.34</v>
      </c>
      <c r="C1313" s="10">
        <v>88.17</v>
      </c>
      <c r="D1313" s="10">
        <v>87.02</v>
      </c>
      <c r="E1313" s="10">
        <v>85.98</v>
      </c>
      <c r="F1313" s="10">
        <v>85.01</v>
      </c>
      <c r="G1313" s="10">
        <v>84.15</v>
      </c>
      <c r="H1313" s="10">
        <v>83.33</v>
      </c>
      <c r="I1313" s="10">
        <v>82.55</v>
      </c>
      <c r="J1313" s="10">
        <v>81.84</v>
      </c>
      <c r="K1313" s="10">
        <v>81.180000000000007</v>
      </c>
      <c r="L1313" s="10">
        <v>80.53</v>
      </c>
      <c r="M1313" s="10">
        <v>79.92</v>
      </c>
      <c r="N1313" s="10">
        <v>86.61</v>
      </c>
      <c r="O1313" s="10">
        <v>85.29</v>
      </c>
      <c r="P1313" s="10">
        <v>84.13</v>
      </c>
      <c r="Q1313" s="10">
        <v>83.03</v>
      </c>
      <c r="R1313" s="10">
        <v>82</v>
      </c>
      <c r="S1313" s="10">
        <v>81.03</v>
      </c>
      <c r="T1313" s="10">
        <v>80.13</v>
      </c>
      <c r="U1313" s="10">
        <v>79.290000000000006</v>
      </c>
      <c r="V1313" s="10">
        <v>78.510000000000005</v>
      </c>
      <c r="W1313" s="10">
        <v>77.790000000000006</v>
      </c>
      <c r="X1313" s="10">
        <v>77.069999999999993</v>
      </c>
      <c r="Y1313" s="10">
        <v>76.39</v>
      </c>
      <c r="Z1313" s="11">
        <v>83.388999999999996</v>
      </c>
      <c r="AA1313" s="11">
        <v>86.283000000000001</v>
      </c>
      <c r="AB1313" s="11">
        <v>84.834999999999994</v>
      </c>
      <c r="AC1313" s="11">
        <v>83.727000000000004</v>
      </c>
      <c r="AD1313" s="11">
        <v>82.710999999999999</v>
      </c>
      <c r="AE1313" s="11">
        <v>81.772999999999996</v>
      </c>
      <c r="AF1313" s="11">
        <v>80.927999999999997</v>
      </c>
      <c r="AG1313" s="11">
        <v>80.168999999999997</v>
      </c>
      <c r="AH1313" s="11">
        <v>79.459999999999994</v>
      </c>
      <c r="AI1313" s="11">
        <v>78.778999999999996</v>
      </c>
      <c r="AJ1313" s="11">
        <v>78.111999999999995</v>
      </c>
      <c r="AK1313" s="11">
        <v>77.47</v>
      </c>
      <c r="AL1313" s="11"/>
    </row>
    <row r="1314" spans="1:38" x14ac:dyDescent="0.3">
      <c r="A1314" s="9">
        <f>DATE(2022, 1, 28)</f>
        <v>44589</v>
      </c>
      <c r="B1314" s="10">
        <v>90.03</v>
      </c>
      <c r="C1314" s="10">
        <v>88.52</v>
      </c>
      <c r="D1314" s="10">
        <v>87.17</v>
      </c>
      <c r="E1314" s="10">
        <v>86.03</v>
      </c>
      <c r="F1314" s="10">
        <v>85</v>
      </c>
      <c r="G1314" s="10">
        <v>84.11</v>
      </c>
      <c r="H1314" s="10">
        <v>83.28</v>
      </c>
      <c r="I1314" s="10">
        <v>82.5</v>
      </c>
      <c r="J1314" s="10">
        <v>81.78</v>
      </c>
      <c r="K1314" s="10">
        <v>81.099999999999994</v>
      </c>
      <c r="L1314" s="10">
        <v>80.44</v>
      </c>
      <c r="M1314" s="10">
        <v>79.819999999999993</v>
      </c>
      <c r="N1314" s="10">
        <v>86.82</v>
      </c>
      <c r="O1314" s="10">
        <v>85.43</v>
      </c>
      <c r="P1314" s="10">
        <v>84.21</v>
      </c>
      <c r="Q1314" s="10">
        <v>83.06</v>
      </c>
      <c r="R1314" s="10">
        <v>81.98</v>
      </c>
      <c r="S1314" s="10">
        <v>80.989999999999995</v>
      </c>
      <c r="T1314" s="10">
        <v>80.08</v>
      </c>
      <c r="U1314" s="10">
        <v>79.23</v>
      </c>
      <c r="V1314" s="10">
        <v>78.459999999999994</v>
      </c>
      <c r="W1314" s="10">
        <v>77.739999999999995</v>
      </c>
      <c r="X1314" s="10">
        <v>77.02</v>
      </c>
      <c r="Y1314" s="10">
        <v>76.33</v>
      </c>
      <c r="Z1314" s="11">
        <v>83.462999999999994</v>
      </c>
      <c r="AA1314" s="11">
        <v>86.753</v>
      </c>
      <c r="AB1314" s="11">
        <v>85</v>
      </c>
      <c r="AC1314" s="11">
        <v>83.748999999999995</v>
      </c>
      <c r="AD1314" s="11">
        <v>82.66</v>
      </c>
      <c r="AE1314" s="11">
        <v>81.691999999999993</v>
      </c>
      <c r="AF1314" s="11">
        <v>80.840999999999994</v>
      </c>
      <c r="AG1314" s="11">
        <v>80.078999999999994</v>
      </c>
      <c r="AH1314" s="11">
        <v>79.328999999999994</v>
      </c>
      <c r="AI1314" s="11">
        <v>78.623999999999995</v>
      </c>
      <c r="AJ1314" s="11">
        <v>77.971999999999994</v>
      </c>
      <c r="AK1314" s="11">
        <v>77.349000000000004</v>
      </c>
      <c r="AL1314" s="11"/>
    </row>
    <row r="1315" spans="1:38" x14ac:dyDescent="0.3">
      <c r="A1315" s="9">
        <f>DATE(2022, 1, 31)</f>
        <v>44592</v>
      </c>
      <c r="B1315" s="10">
        <v>91.21</v>
      </c>
      <c r="C1315" s="10">
        <v>89.26</v>
      </c>
      <c r="D1315" s="10">
        <v>87.85</v>
      </c>
      <c r="E1315" s="10">
        <v>86.64</v>
      </c>
      <c r="F1315" s="10">
        <v>85.57</v>
      </c>
      <c r="G1315" s="10">
        <v>84.68</v>
      </c>
      <c r="H1315" s="10">
        <v>83.85</v>
      </c>
      <c r="I1315" s="10">
        <v>83.05</v>
      </c>
      <c r="J1315" s="10">
        <v>82.32</v>
      </c>
      <c r="K1315" s="10">
        <v>81.62</v>
      </c>
      <c r="L1315" s="10">
        <v>80.959999999999994</v>
      </c>
      <c r="M1315" s="10">
        <v>80.319999999999993</v>
      </c>
      <c r="N1315" s="10">
        <v>88.15</v>
      </c>
      <c r="O1315" s="10">
        <v>86.49</v>
      </c>
      <c r="P1315" s="10">
        <v>85.11</v>
      </c>
      <c r="Q1315" s="10">
        <v>83.85</v>
      </c>
      <c r="R1315" s="10">
        <v>82.7</v>
      </c>
      <c r="S1315" s="10">
        <v>81.66</v>
      </c>
      <c r="T1315" s="10">
        <v>80.709999999999994</v>
      </c>
      <c r="U1315" s="10">
        <v>79.83</v>
      </c>
      <c r="V1315" s="10">
        <v>79.05</v>
      </c>
      <c r="W1315" s="10">
        <v>78.3</v>
      </c>
      <c r="X1315" s="10">
        <v>77.55</v>
      </c>
      <c r="Y1315" s="10">
        <v>76.84</v>
      </c>
      <c r="Z1315" s="11">
        <v>83.454999999999998</v>
      </c>
      <c r="AA1315" s="11">
        <v>87.4</v>
      </c>
      <c r="AB1315" s="11">
        <v>85.668999999999997</v>
      </c>
      <c r="AC1315" s="11">
        <v>84.387</v>
      </c>
      <c r="AD1315" s="11">
        <v>83.27</v>
      </c>
      <c r="AE1315" s="11">
        <v>82.28</v>
      </c>
      <c r="AF1315" s="11">
        <v>81.432000000000002</v>
      </c>
      <c r="AG1315" s="11">
        <v>80.668000000000006</v>
      </c>
      <c r="AH1315" s="11">
        <v>79.938000000000002</v>
      </c>
      <c r="AI1315" s="11">
        <v>79.198999999999998</v>
      </c>
      <c r="AJ1315" s="11">
        <v>78.540999999999997</v>
      </c>
      <c r="AK1315" s="11">
        <v>77.876000000000005</v>
      </c>
      <c r="AL1315" s="11"/>
    </row>
    <row r="1316" spans="1:38" x14ac:dyDescent="0.3">
      <c r="A1316" s="9">
        <f>DATE(2022, 2, 1)</f>
        <v>44593</v>
      </c>
      <c r="B1316" s="10">
        <v>89.16</v>
      </c>
      <c r="C1316" s="10">
        <v>87.77</v>
      </c>
      <c r="D1316" s="10">
        <v>86.55</v>
      </c>
      <c r="E1316" s="10">
        <v>85.48</v>
      </c>
      <c r="F1316" s="10">
        <v>84.6</v>
      </c>
      <c r="G1316" s="10">
        <v>83.77</v>
      </c>
      <c r="H1316" s="10">
        <v>82.98</v>
      </c>
      <c r="I1316" s="10">
        <v>82.26</v>
      </c>
      <c r="J1316" s="10">
        <v>81.569999999999993</v>
      </c>
      <c r="K1316" s="10">
        <v>80.92</v>
      </c>
      <c r="L1316" s="10">
        <v>80.28</v>
      </c>
      <c r="M1316" s="10">
        <v>79.72</v>
      </c>
      <c r="N1316" s="10">
        <v>88.2</v>
      </c>
      <c r="O1316" s="10">
        <v>86.46</v>
      </c>
      <c r="P1316" s="10">
        <v>85.02</v>
      </c>
      <c r="Q1316" s="10">
        <v>83.72</v>
      </c>
      <c r="R1316" s="10">
        <v>82.56</v>
      </c>
      <c r="S1316" s="10">
        <v>81.52</v>
      </c>
      <c r="T1316" s="10">
        <v>80.58</v>
      </c>
      <c r="U1316" s="10">
        <v>79.709999999999994</v>
      </c>
      <c r="V1316" s="10">
        <v>78.930000000000007</v>
      </c>
      <c r="W1316" s="10">
        <v>78.19</v>
      </c>
      <c r="X1316" s="10">
        <v>77.45</v>
      </c>
      <c r="Y1316" s="10">
        <v>76.77</v>
      </c>
      <c r="Z1316" s="11">
        <v>83.454999999999998</v>
      </c>
      <c r="AA1316" s="11">
        <v>87.387</v>
      </c>
      <c r="AB1316" s="11">
        <v>85.587000000000003</v>
      </c>
      <c r="AC1316" s="11">
        <v>84.247</v>
      </c>
      <c r="AD1316" s="11">
        <v>83.13</v>
      </c>
      <c r="AE1316" s="11">
        <v>82.152000000000001</v>
      </c>
      <c r="AF1316" s="11">
        <v>81.301000000000002</v>
      </c>
      <c r="AG1316" s="11">
        <v>80.549000000000007</v>
      </c>
      <c r="AH1316" s="11">
        <v>79.828999999999994</v>
      </c>
      <c r="AI1316" s="11">
        <v>79.129000000000005</v>
      </c>
      <c r="AJ1316" s="11">
        <v>78.460999999999999</v>
      </c>
      <c r="AK1316" s="11">
        <v>77.787000000000006</v>
      </c>
      <c r="AL1316" s="11"/>
    </row>
    <row r="1317" spans="1:38" x14ac:dyDescent="0.3">
      <c r="A1317" s="9">
        <f>DATE(2022, 2, 2)</f>
        <v>44594</v>
      </c>
      <c r="B1317" s="10">
        <v>89.47</v>
      </c>
      <c r="C1317" s="10">
        <v>88.12</v>
      </c>
      <c r="D1317" s="10">
        <v>86.91</v>
      </c>
      <c r="E1317" s="10">
        <v>85.87</v>
      </c>
      <c r="F1317" s="10">
        <v>85</v>
      </c>
      <c r="G1317" s="10">
        <v>84.18</v>
      </c>
      <c r="H1317" s="10">
        <v>83.4</v>
      </c>
      <c r="I1317" s="10">
        <v>82.68</v>
      </c>
      <c r="J1317" s="10">
        <v>81.99</v>
      </c>
      <c r="K1317" s="10">
        <v>81.33</v>
      </c>
      <c r="L1317" s="10">
        <v>80.7</v>
      </c>
      <c r="M1317" s="10">
        <v>80.14</v>
      </c>
      <c r="N1317" s="10">
        <v>88.26</v>
      </c>
      <c r="O1317" s="10">
        <v>86.69</v>
      </c>
      <c r="P1317" s="10">
        <v>85.32</v>
      </c>
      <c r="Q1317" s="10">
        <v>84.07</v>
      </c>
      <c r="R1317" s="10">
        <v>82.94</v>
      </c>
      <c r="S1317" s="10">
        <v>81.91</v>
      </c>
      <c r="T1317" s="10">
        <v>80.989999999999995</v>
      </c>
      <c r="U1317" s="10">
        <v>80.14</v>
      </c>
      <c r="V1317" s="10">
        <v>79.37</v>
      </c>
      <c r="W1317" s="10">
        <v>78.63</v>
      </c>
      <c r="X1317" s="10">
        <v>77.900000000000006</v>
      </c>
      <c r="Y1317" s="10">
        <v>77.209999999999994</v>
      </c>
      <c r="Z1317" s="11">
        <v>87.716999999999999</v>
      </c>
      <c r="AA1317" s="11">
        <v>85.966999999999999</v>
      </c>
      <c r="AB1317" s="11">
        <v>84.567999999999998</v>
      </c>
      <c r="AC1317" s="11">
        <v>83.47</v>
      </c>
      <c r="AD1317" s="11">
        <v>82.533000000000001</v>
      </c>
      <c r="AE1317" s="11">
        <v>81.683000000000007</v>
      </c>
      <c r="AF1317" s="11">
        <v>80.929000000000002</v>
      </c>
      <c r="AG1317" s="11">
        <v>80.218999999999994</v>
      </c>
      <c r="AH1317" s="11">
        <v>79.509</v>
      </c>
      <c r="AI1317" s="11">
        <v>78.840999999999994</v>
      </c>
      <c r="AJ1317" s="11">
        <v>78.186999999999998</v>
      </c>
      <c r="AK1317" s="11">
        <v>77.665999999999997</v>
      </c>
      <c r="AL1317" s="11"/>
    </row>
    <row r="1318" spans="1:38" x14ac:dyDescent="0.3">
      <c r="A1318" s="9">
        <f>DATE(2022, 2, 3)</f>
        <v>44595</v>
      </c>
      <c r="B1318" s="10">
        <v>91.11</v>
      </c>
      <c r="C1318" s="10">
        <v>89.69</v>
      </c>
      <c r="D1318" s="10">
        <v>88.42</v>
      </c>
      <c r="E1318" s="10">
        <v>87.35</v>
      </c>
      <c r="F1318" s="10">
        <v>86.43</v>
      </c>
      <c r="G1318" s="10">
        <v>85.57</v>
      </c>
      <c r="H1318" s="10">
        <v>84.75</v>
      </c>
      <c r="I1318" s="10">
        <v>83.99</v>
      </c>
      <c r="J1318" s="10">
        <v>83.27</v>
      </c>
      <c r="K1318" s="10">
        <v>82.59</v>
      </c>
      <c r="L1318" s="10">
        <v>81.93</v>
      </c>
      <c r="M1318" s="10">
        <v>81.34</v>
      </c>
      <c r="N1318" s="10">
        <v>90.27</v>
      </c>
      <c r="O1318" s="10">
        <v>88.45</v>
      </c>
      <c r="P1318" s="10">
        <v>87</v>
      </c>
      <c r="Q1318" s="10">
        <v>85.67</v>
      </c>
      <c r="R1318" s="10">
        <v>84.47</v>
      </c>
      <c r="S1318" s="10">
        <v>83.38</v>
      </c>
      <c r="T1318" s="10">
        <v>82.4</v>
      </c>
      <c r="U1318" s="10">
        <v>81.5</v>
      </c>
      <c r="V1318" s="10">
        <v>80.680000000000007</v>
      </c>
      <c r="W1318" s="10">
        <v>79.900000000000006</v>
      </c>
      <c r="X1318" s="10">
        <v>79.14</v>
      </c>
      <c r="Y1318" s="10">
        <v>78.41</v>
      </c>
      <c r="Z1318" s="11">
        <v>89.037999999999997</v>
      </c>
      <c r="AA1318" s="11">
        <v>87.441999999999993</v>
      </c>
      <c r="AB1318" s="11">
        <v>86.094999999999999</v>
      </c>
      <c r="AC1318" s="11">
        <v>84.998000000000005</v>
      </c>
      <c r="AD1318" s="11">
        <v>84.010999999999996</v>
      </c>
      <c r="AE1318" s="11">
        <v>83.120999999999995</v>
      </c>
      <c r="AF1318" s="11">
        <v>82.277000000000001</v>
      </c>
      <c r="AG1318" s="11">
        <v>81.527000000000001</v>
      </c>
      <c r="AH1318" s="11">
        <v>80.787999999999997</v>
      </c>
      <c r="AI1318" s="11">
        <v>80.099999999999994</v>
      </c>
      <c r="AJ1318" s="11">
        <v>79.414000000000001</v>
      </c>
      <c r="AK1318" s="11">
        <v>78.864000000000004</v>
      </c>
      <c r="AL1318" s="11"/>
    </row>
    <row r="1319" spans="1:38" x14ac:dyDescent="0.3">
      <c r="A1319" s="9">
        <f>DATE(2022, 2, 4)</f>
        <v>44596</v>
      </c>
      <c r="B1319" s="10">
        <v>93.27</v>
      </c>
      <c r="C1319" s="10">
        <v>91.65</v>
      </c>
      <c r="D1319" s="10">
        <v>90.22</v>
      </c>
      <c r="E1319" s="10">
        <v>89.02</v>
      </c>
      <c r="F1319" s="10">
        <v>88</v>
      </c>
      <c r="G1319" s="10">
        <v>87.05</v>
      </c>
      <c r="H1319" s="10">
        <v>86.15</v>
      </c>
      <c r="I1319" s="10">
        <v>85.31</v>
      </c>
      <c r="J1319" s="10">
        <v>84.52</v>
      </c>
      <c r="K1319" s="10">
        <v>83.78</v>
      </c>
      <c r="L1319" s="10">
        <v>83.06</v>
      </c>
      <c r="M1319" s="10">
        <v>82.42</v>
      </c>
      <c r="N1319" s="10">
        <v>92.31</v>
      </c>
      <c r="O1319" s="10">
        <v>90.33</v>
      </c>
      <c r="P1319" s="10">
        <v>88.78</v>
      </c>
      <c r="Q1319" s="10">
        <v>87.36</v>
      </c>
      <c r="R1319" s="10">
        <v>86.06</v>
      </c>
      <c r="S1319" s="10">
        <v>84.87</v>
      </c>
      <c r="T1319" s="10">
        <v>83.79</v>
      </c>
      <c r="U1319" s="10">
        <v>82.8</v>
      </c>
      <c r="V1319" s="10">
        <v>81.900000000000006</v>
      </c>
      <c r="W1319" s="10">
        <v>81.040000000000006</v>
      </c>
      <c r="X1319" s="10">
        <v>80.2</v>
      </c>
      <c r="Y1319" s="10">
        <v>79.41</v>
      </c>
      <c r="Z1319" s="11">
        <v>91.215000000000003</v>
      </c>
      <c r="AA1319" s="11">
        <v>89.510999999999996</v>
      </c>
      <c r="AB1319" s="11">
        <v>87.94</v>
      </c>
      <c r="AC1319" s="11">
        <v>86.664000000000001</v>
      </c>
      <c r="AD1319" s="11">
        <v>85.576999999999998</v>
      </c>
      <c r="AE1319" s="11">
        <v>84.606999999999999</v>
      </c>
      <c r="AF1319" s="11">
        <v>83.712999999999994</v>
      </c>
      <c r="AG1319" s="11">
        <v>82.873999999999995</v>
      </c>
      <c r="AH1319" s="11">
        <v>82.075000000000003</v>
      </c>
      <c r="AI1319" s="11">
        <v>81.316999999999993</v>
      </c>
      <c r="AJ1319" s="11">
        <v>80.569000000000003</v>
      </c>
      <c r="AK1319" s="11">
        <v>79.971999999999994</v>
      </c>
      <c r="AL1319" s="11"/>
    </row>
    <row r="1320" spans="1:38" x14ac:dyDescent="0.3">
      <c r="A1320" s="9">
        <f>DATE(2022, 2, 7)</f>
        <v>44599</v>
      </c>
      <c r="B1320" s="10">
        <v>92.69</v>
      </c>
      <c r="C1320" s="10">
        <v>91.23</v>
      </c>
      <c r="D1320" s="10">
        <v>89.89</v>
      </c>
      <c r="E1320" s="10">
        <v>88.75</v>
      </c>
      <c r="F1320" s="10">
        <v>87.82</v>
      </c>
      <c r="G1320" s="10">
        <v>86.93</v>
      </c>
      <c r="H1320" s="10">
        <v>86.09</v>
      </c>
      <c r="I1320" s="10">
        <v>85.3</v>
      </c>
      <c r="J1320" s="10">
        <v>84.55</v>
      </c>
      <c r="K1320" s="10">
        <v>83.85</v>
      </c>
      <c r="L1320" s="10">
        <v>83.16</v>
      </c>
      <c r="M1320" s="10">
        <v>82.56</v>
      </c>
      <c r="N1320" s="10">
        <v>91.32</v>
      </c>
      <c r="O1320" s="10">
        <v>89.77</v>
      </c>
      <c r="P1320" s="10">
        <v>88.33</v>
      </c>
      <c r="Q1320" s="10">
        <v>87.02</v>
      </c>
      <c r="R1320" s="10">
        <v>85.81</v>
      </c>
      <c r="S1320" s="10">
        <v>84.69</v>
      </c>
      <c r="T1320" s="10">
        <v>83.66</v>
      </c>
      <c r="U1320" s="10">
        <v>82.71</v>
      </c>
      <c r="V1320" s="10">
        <v>81.849999999999994</v>
      </c>
      <c r="W1320" s="10">
        <v>81.05</v>
      </c>
      <c r="X1320" s="10">
        <v>80.239999999999995</v>
      </c>
      <c r="Y1320" s="10">
        <v>79.489999999999995</v>
      </c>
      <c r="Z1320" s="11">
        <v>90.775999999999996</v>
      </c>
      <c r="AA1320" s="11">
        <v>89.022000000000006</v>
      </c>
      <c r="AB1320" s="11">
        <v>87.552999999999997</v>
      </c>
      <c r="AC1320" s="11">
        <v>86.370999999999995</v>
      </c>
      <c r="AD1320" s="11">
        <v>85.35</v>
      </c>
      <c r="AE1320" s="11">
        <v>84.438999999999993</v>
      </c>
      <c r="AF1320" s="11">
        <v>83.585999999999999</v>
      </c>
      <c r="AG1320" s="11">
        <v>82.775999999999996</v>
      </c>
      <c r="AH1320" s="11">
        <v>81.995999999999995</v>
      </c>
      <c r="AI1320" s="11">
        <v>81.248999999999995</v>
      </c>
      <c r="AJ1320" s="11">
        <v>80.552999999999997</v>
      </c>
      <c r="AK1320" s="11">
        <v>79.983999999999995</v>
      </c>
      <c r="AL1320" s="11"/>
    </row>
    <row r="1321" spans="1:38" x14ac:dyDescent="0.3">
      <c r="A1321" s="9">
        <f>DATE(2022, 2, 8)</f>
        <v>44600</v>
      </c>
      <c r="B1321" s="10">
        <v>90.78</v>
      </c>
      <c r="C1321" s="10">
        <v>89.38</v>
      </c>
      <c r="D1321" s="10">
        <v>88.13</v>
      </c>
      <c r="E1321" s="10">
        <v>87.06</v>
      </c>
      <c r="F1321" s="10">
        <v>86.17</v>
      </c>
      <c r="G1321" s="10">
        <v>85.33</v>
      </c>
      <c r="H1321" s="10">
        <v>84.54</v>
      </c>
      <c r="I1321" s="10">
        <v>83.81</v>
      </c>
      <c r="J1321" s="10">
        <v>83.11</v>
      </c>
      <c r="K1321" s="10">
        <v>82.45</v>
      </c>
      <c r="L1321" s="10">
        <v>81.819999999999993</v>
      </c>
      <c r="M1321" s="10">
        <v>81.27</v>
      </c>
      <c r="N1321" s="10">
        <v>89.36</v>
      </c>
      <c r="O1321" s="10">
        <v>87.9</v>
      </c>
      <c r="P1321" s="10">
        <v>86.55</v>
      </c>
      <c r="Q1321" s="10">
        <v>85.29</v>
      </c>
      <c r="R1321" s="10">
        <v>84.13</v>
      </c>
      <c r="S1321" s="10">
        <v>83.06</v>
      </c>
      <c r="T1321" s="10">
        <v>82.08</v>
      </c>
      <c r="U1321" s="10">
        <v>81.180000000000007</v>
      </c>
      <c r="V1321" s="10">
        <v>80.39</v>
      </c>
      <c r="W1321" s="10">
        <v>79.63</v>
      </c>
      <c r="X1321" s="10">
        <v>78.89</v>
      </c>
      <c r="Y1321" s="10">
        <v>78.19</v>
      </c>
      <c r="Z1321" s="11">
        <v>89.313999999999993</v>
      </c>
      <c r="AA1321" s="11">
        <v>87.195999999999998</v>
      </c>
      <c r="AB1321" s="11">
        <v>85.816999999999993</v>
      </c>
      <c r="AC1321" s="11">
        <v>84.68</v>
      </c>
      <c r="AD1321" s="11">
        <v>83.742000000000004</v>
      </c>
      <c r="AE1321" s="11">
        <v>82.882999999999996</v>
      </c>
      <c r="AF1321" s="11">
        <v>82.058000000000007</v>
      </c>
      <c r="AG1321" s="11">
        <v>81.308000000000007</v>
      </c>
      <c r="AH1321" s="11">
        <v>80.578999999999994</v>
      </c>
      <c r="AI1321" s="11">
        <v>79.911000000000001</v>
      </c>
      <c r="AJ1321" s="11">
        <v>79.238</v>
      </c>
      <c r="AK1321" s="11">
        <v>78.725999999999999</v>
      </c>
      <c r="AL1321" s="11"/>
    </row>
    <row r="1322" spans="1:38" x14ac:dyDescent="0.3">
      <c r="A1322" s="9">
        <f>DATE(2022, 2, 9)</f>
        <v>44601</v>
      </c>
      <c r="B1322" s="10">
        <v>91.55</v>
      </c>
      <c r="C1322" s="10">
        <v>90.18</v>
      </c>
      <c r="D1322" s="10">
        <v>88.97</v>
      </c>
      <c r="E1322" s="10">
        <v>87.94</v>
      </c>
      <c r="F1322" s="10">
        <v>87.08</v>
      </c>
      <c r="G1322" s="10">
        <v>86.26</v>
      </c>
      <c r="H1322" s="10">
        <v>85.49</v>
      </c>
      <c r="I1322" s="10">
        <v>84.77</v>
      </c>
      <c r="J1322" s="10">
        <v>84.09</v>
      </c>
      <c r="K1322" s="10">
        <v>83.45</v>
      </c>
      <c r="L1322" s="10">
        <v>82.83</v>
      </c>
      <c r="M1322" s="10">
        <v>82.29</v>
      </c>
      <c r="N1322" s="10">
        <v>89.66</v>
      </c>
      <c r="O1322" s="10">
        <v>88.53</v>
      </c>
      <c r="P1322" s="10">
        <v>87.33</v>
      </c>
      <c r="Q1322" s="10">
        <v>86.15</v>
      </c>
      <c r="R1322" s="10">
        <v>85.03</v>
      </c>
      <c r="S1322" s="10">
        <v>83.98</v>
      </c>
      <c r="T1322" s="10">
        <v>83.02</v>
      </c>
      <c r="U1322" s="10">
        <v>82.15</v>
      </c>
      <c r="V1322" s="10">
        <v>81.349999999999994</v>
      </c>
      <c r="W1322" s="10">
        <v>80.61</v>
      </c>
      <c r="X1322" s="10">
        <v>79.87</v>
      </c>
      <c r="Y1322" s="10">
        <v>79.19</v>
      </c>
      <c r="Z1322" s="11">
        <v>89.974000000000004</v>
      </c>
      <c r="AA1322" s="11">
        <v>88.087000000000003</v>
      </c>
      <c r="AB1322" s="11">
        <v>86.728999999999999</v>
      </c>
      <c r="AC1322" s="11">
        <v>85.590999999999994</v>
      </c>
      <c r="AD1322" s="11">
        <v>84.643000000000001</v>
      </c>
      <c r="AE1322" s="11">
        <v>83.811000000000007</v>
      </c>
      <c r="AF1322" s="11">
        <v>83.049000000000007</v>
      </c>
      <c r="AG1322" s="11">
        <v>82.328999999999994</v>
      </c>
      <c r="AH1322" s="11">
        <v>81.62</v>
      </c>
      <c r="AI1322" s="11">
        <v>80.962000000000003</v>
      </c>
      <c r="AJ1322" s="11">
        <v>80.319000000000003</v>
      </c>
      <c r="AK1322" s="11">
        <v>79.837000000000003</v>
      </c>
      <c r="AL1322" s="11"/>
    </row>
    <row r="1323" spans="1:38" x14ac:dyDescent="0.3">
      <c r="A1323" s="9">
        <f>DATE(2022, 2, 10)</f>
        <v>44602</v>
      </c>
      <c r="B1323" s="10">
        <v>91.41</v>
      </c>
      <c r="C1323" s="10">
        <v>90.03</v>
      </c>
      <c r="D1323" s="10">
        <v>88.82</v>
      </c>
      <c r="E1323" s="10">
        <v>87.79</v>
      </c>
      <c r="F1323" s="10">
        <v>86.94</v>
      </c>
      <c r="G1323" s="10">
        <v>86.13</v>
      </c>
      <c r="H1323" s="10">
        <v>85.37</v>
      </c>
      <c r="I1323" s="10">
        <v>84.68</v>
      </c>
      <c r="J1323" s="10">
        <v>84.02</v>
      </c>
      <c r="K1323" s="10">
        <v>83.38</v>
      </c>
      <c r="L1323" s="10">
        <v>82.77</v>
      </c>
      <c r="M1323" s="10">
        <v>82.24</v>
      </c>
      <c r="N1323" s="10">
        <v>89.88</v>
      </c>
      <c r="O1323" s="10">
        <v>88.56</v>
      </c>
      <c r="P1323" s="10">
        <v>87.26</v>
      </c>
      <c r="Q1323" s="10">
        <v>86.01</v>
      </c>
      <c r="R1323" s="10">
        <v>84.85</v>
      </c>
      <c r="S1323" s="10">
        <v>83.79</v>
      </c>
      <c r="T1323" s="10">
        <v>82.84</v>
      </c>
      <c r="U1323" s="10">
        <v>81.99</v>
      </c>
      <c r="V1323" s="10">
        <v>81.22</v>
      </c>
      <c r="W1323" s="10">
        <v>80.5</v>
      </c>
      <c r="X1323" s="10">
        <v>79.8</v>
      </c>
      <c r="Y1323" s="10">
        <v>79.14</v>
      </c>
      <c r="Z1323" s="11">
        <v>90</v>
      </c>
      <c r="AA1323" s="11">
        <v>88.087000000000003</v>
      </c>
      <c r="AB1323" s="11">
        <v>86.688999999999993</v>
      </c>
      <c r="AC1323" s="11">
        <v>85.501000000000005</v>
      </c>
      <c r="AD1323" s="11">
        <v>84.563000000000002</v>
      </c>
      <c r="AE1323" s="11">
        <v>83.713999999999999</v>
      </c>
      <c r="AF1323" s="11">
        <v>82.95</v>
      </c>
      <c r="AG1323" s="11">
        <v>82.25</v>
      </c>
      <c r="AH1323" s="11">
        <v>81.540000000000006</v>
      </c>
      <c r="AI1323" s="11">
        <v>80.902000000000001</v>
      </c>
      <c r="AJ1323" s="11">
        <v>80.27</v>
      </c>
      <c r="AK1323" s="11">
        <v>79.796999999999997</v>
      </c>
      <c r="AL1323" s="11"/>
    </row>
    <row r="1324" spans="1:38" x14ac:dyDescent="0.3">
      <c r="A1324" s="9">
        <f>DATE(2022, 2, 11)</f>
        <v>44603</v>
      </c>
      <c r="B1324" s="10">
        <v>94.44</v>
      </c>
      <c r="C1324" s="10">
        <v>92.62</v>
      </c>
      <c r="D1324" s="10">
        <v>91.05</v>
      </c>
      <c r="E1324" s="10">
        <v>89.81</v>
      </c>
      <c r="F1324" s="10">
        <v>88.8</v>
      </c>
      <c r="G1324" s="10">
        <v>87.87</v>
      </c>
      <c r="H1324" s="10">
        <v>87</v>
      </c>
      <c r="I1324" s="10">
        <v>86.23</v>
      </c>
      <c r="J1324" s="10">
        <v>85.5</v>
      </c>
      <c r="K1324" s="10">
        <v>84.81</v>
      </c>
      <c r="L1324" s="10">
        <v>84.14</v>
      </c>
      <c r="M1324" s="10">
        <v>83.56</v>
      </c>
      <c r="N1324" s="10">
        <v>93.1</v>
      </c>
      <c r="O1324" s="10">
        <v>91.42</v>
      </c>
      <c r="P1324" s="10">
        <v>89.7</v>
      </c>
      <c r="Q1324" s="10">
        <v>88.09</v>
      </c>
      <c r="R1324" s="10">
        <v>86.7</v>
      </c>
      <c r="S1324" s="10">
        <v>85.51</v>
      </c>
      <c r="T1324" s="10">
        <v>84.47</v>
      </c>
      <c r="U1324" s="10">
        <v>83.52</v>
      </c>
      <c r="V1324" s="10">
        <v>82.69</v>
      </c>
      <c r="W1324" s="10">
        <v>81.92</v>
      </c>
      <c r="X1324" s="10">
        <v>81.17</v>
      </c>
      <c r="Y1324" s="10">
        <v>80.47</v>
      </c>
      <c r="Z1324" s="11">
        <v>91.647000000000006</v>
      </c>
      <c r="AA1324" s="11">
        <v>90.772000000000006</v>
      </c>
      <c r="AB1324" s="11">
        <v>89.048000000000002</v>
      </c>
      <c r="AC1324" s="11">
        <v>87.634</v>
      </c>
      <c r="AD1324" s="11">
        <v>86.507999999999996</v>
      </c>
      <c r="AE1324" s="11">
        <v>85.519000000000005</v>
      </c>
      <c r="AF1324" s="11">
        <v>84.667000000000002</v>
      </c>
      <c r="AG1324" s="11">
        <v>83.887</v>
      </c>
      <c r="AH1324" s="11">
        <v>83.117000000000004</v>
      </c>
      <c r="AI1324" s="11">
        <v>82.41</v>
      </c>
      <c r="AJ1324" s="11">
        <v>81.694999999999993</v>
      </c>
      <c r="AK1324" s="11">
        <v>81.165000000000006</v>
      </c>
      <c r="AL1324" s="11"/>
    </row>
    <row r="1325" spans="1:38" x14ac:dyDescent="0.3">
      <c r="A1325" s="9">
        <f>DATE(2022, 2, 14)</f>
        <v>44606</v>
      </c>
      <c r="B1325" s="10">
        <v>96.48</v>
      </c>
      <c r="C1325" s="10">
        <v>94.41</v>
      </c>
      <c r="D1325" s="10">
        <v>92.59</v>
      </c>
      <c r="E1325" s="10">
        <v>91.15</v>
      </c>
      <c r="F1325" s="10">
        <v>90.01</v>
      </c>
      <c r="G1325" s="10">
        <v>88.96</v>
      </c>
      <c r="H1325" s="10">
        <v>88.01</v>
      </c>
      <c r="I1325" s="10">
        <v>87.17</v>
      </c>
      <c r="J1325" s="10">
        <v>86.38</v>
      </c>
      <c r="K1325" s="10">
        <v>85.63</v>
      </c>
      <c r="L1325" s="10">
        <v>84.92</v>
      </c>
      <c r="M1325" s="10">
        <v>84.28</v>
      </c>
      <c r="N1325" s="10">
        <v>95.46</v>
      </c>
      <c r="O1325" s="10">
        <v>93.5</v>
      </c>
      <c r="P1325" s="10">
        <v>91.52</v>
      </c>
      <c r="Q1325" s="10">
        <v>89.6</v>
      </c>
      <c r="R1325" s="10">
        <v>87.94</v>
      </c>
      <c r="S1325" s="10">
        <v>86.59</v>
      </c>
      <c r="T1325" s="10">
        <v>85.45</v>
      </c>
      <c r="U1325" s="10">
        <v>84.43</v>
      </c>
      <c r="V1325" s="10">
        <v>83.53</v>
      </c>
      <c r="W1325" s="10">
        <v>82.7</v>
      </c>
      <c r="X1325" s="10">
        <v>81.89</v>
      </c>
      <c r="Y1325" s="10">
        <v>81.13</v>
      </c>
      <c r="Z1325" s="11">
        <v>92.495999999999995</v>
      </c>
      <c r="AA1325" s="11">
        <v>92.301000000000002</v>
      </c>
      <c r="AB1325" s="11">
        <v>90.528000000000006</v>
      </c>
      <c r="AC1325" s="11">
        <v>88.998000000000005</v>
      </c>
      <c r="AD1325" s="11">
        <v>87.701999999999998</v>
      </c>
      <c r="AE1325" s="11">
        <v>86.61</v>
      </c>
      <c r="AF1325" s="11">
        <v>85.673000000000002</v>
      </c>
      <c r="AG1325" s="11">
        <v>84.834000000000003</v>
      </c>
      <c r="AH1325" s="11">
        <v>84.034000000000006</v>
      </c>
      <c r="AI1325" s="11">
        <v>83.278000000000006</v>
      </c>
      <c r="AJ1325" s="11">
        <v>82.528999999999996</v>
      </c>
      <c r="AK1325" s="11">
        <v>81.912999999999997</v>
      </c>
      <c r="AL1325" s="11"/>
    </row>
    <row r="1326" spans="1:38" x14ac:dyDescent="0.3">
      <c r="A1326" s="9">
        <f>DATE(2022, 2, 15)</f>
        <v>44607</v>
      </c>
      <c r="B1326" s="10">
        <v>93.28</v>
      </c>
      <c r="C1326" s="10">
        <v>91.1</v>
      </c>
      <c r="D1326" s="10">
        <v>89.29</v>
      </c>
      <c r="E1326" s="10">
        <v>87.89</v>
      </c>
      <c r="F1326" s="10">
        <v>86.83</v>
      </c>
      <c r="G1326" s="10">
        <v>85.88</v>
      </c>
      <c r="H1326" s="10">
        <v>85.02</v>
      </c>
      <c r="I1326" s="10">
        <v>84.26</v>
      </c>
      <c r="J1326" s="10">
        <v>83.55</v>
      </c>
      <c r="K1326" s="10">
        <v>82.86</v>
      </c>
      <c r="L1326" s="10">
        <v>82.21</v>
      </c>
      <c r="M1326" s="10">
        <v>81.650000000000006</v>
      </c>
      <c r="N1326" s="10">
        <v>92.07</v>
      </c>
      <c r="O1326" s="10">
        <v>90.21</v>
      </c>
      <c r="P1326" s="10">
        <v>88.29</v>
      </c>
      <c r="Q1326" s="10">
        <v>86.39</v>
      </c>
      <c r="R1326" s="10">
        <v>84.79</v>
      </c>
      <c r="S1326" s="10">
        <v>83.49</v>
      </c>
      <c r="T1326" s="10">
        <v>82.43</v>
      </c>
      <c r="U1326" s="10">
        <v>81.5</v>
      </c>
      <c r="V1326" s="10">
        <v>80.680000000000007</v>
      </c>
      <c r="W1326" s="10">
        <v>79.91</v>
      </c>
      <c r="X1326" s="10">
        <v>79.16</v>
      </c>
      <c r="Y1326" s="10">
        <v>78.459999999999994</v>
      </c>
      <c r="Z1326" s="11">
        <v>90.894999999999996</v>
      </c>
      <c r="AA1326" s="11">
        <v>89.191000000000003</v>
      </c>
      <c r="AB1326" s="11">
        <v>87.38</v>
      </c>
      <c r="AC1326" s="11">
        <v>85.861999999999995</v>
      </c>
      <c r="AD1326" s="11">
        <v>84.626999999999995</v>
      </c>
      <c r="AE1326" s="11">
        <v>83.599000000000004</v>
      </c>
      <c r="AF1326" s="11">
        <v>82.686999999999998</v>
      </c>
      <c r="AG1326" s="11">
        <v>81.927999999999997</v>
      </c>
      <c r="AH1326" s="11">
        <v>81.206999999999994</v>
      </c>
      <c r="AI1326" s="11">
        <v>80.510000000000005</v>
      </c>
      <c r="AJ1326" s="11">
        <v>79.826999999999998</v>
      </c>
      <c r="AK1326" s="11">
        <v>79.305000000000007</v>
      </c>
      <c r="AL1326" s="11"/>
    </row>
    <row r="1327" spans="1:38" x14ac:dyDescent="0.3">
      <c r="A1327" s="9">
        <f>DATE(2022, 2, 16)</f>
        <v>44608</v>
      </c>
      <c r="B1327" s="10">
        <v>94.81</v>
      </c>
      <c r="C1327" s="10">
        <v>92.49</v>
      </c>
      <c r="D1327" s="10">
        <v>90.61</v>
      </c>
      <c r="E1327" s="10">
        <v>89.07</v>
      </c>
      <c r="F1327" s="10">
        <v>87.87</v>
      </c>
      <c r="G1327" s="10">
        <v>86.82</v>
      </c>
      <c r="H1327" s="10">
        <v>85.93</v>
      </c>
      <c r="I1327" s="10">
        <v>85.17</v>
      </c>
      <c r="J1327" s="10">
        <v>84.46</v>
      </c>
      <c r="K1327" s="10">
        <v>83.77</v>
      </c>
      <c r="L1327" s="10">
        <v>83.12</v>
      </c>
      <c r="M1327" s="10">
        <v>82.54</v>
      </c>
      <c r="N1327" s="10">
        <v>93.66</v>
      </c>
      <c r="O1327" s="10">
        <v>91.83</v>
      </c>
      <c r="P1327" s="10">
        <v>89.81</v>
      </c>
      <c r="Q1327" s="10">
        <v>87.79</v>
      </c>
      <c r="R1327" s="10">
        <v>86.05</v>
      </c>
      <c r="S1327" s="10">
        <v>84.62</v>
      </c>
      <c r="T1327" s="10">
        <v>83.45</v>
      </c>
      <c r="U1327" s="10">
        <v>82.45</v>
      </c>
      <c r="V1327" s="10">
        <v>81.59</v>
      </c>
      <c r="W1327" s="10">
        <v>80.819999999999993</v>
      </c>
      <c r="X1327" s="10">
        <v>80.05</v>
      </c>
      <c r="Y1327" s="10">
        <v>79.349999999999994</v>
      </c>
      <c r="Z1327" s="11">
        <v>91.611000000000004</v>
      </c>
      <c r="AA1327" s="11">
        <v>90.558000000000007</v>
      </c>
      <c r="AB1327" s="11">
        <v>88.613</v>
      </c>
      <c r="AC1327" s="11">
        <v>86.954999999999998</v>
      </c>
      <c r="AD1327" s="11">
        <v>85.611999999999995</v>
      </c>
      <c r="AE1327" s="11">
        <v>84.498000000000005</v>
      </c>
      <c r="AF1327" s="11">
        <v>83.566999999999993</v>
      </c>
      <c r="AG1327" s="11">
        <v>82.828000000000003</v>
      </c>
      <c r="AH1327" s="11">
        <v>82.117000000000004</v>
      </c>
      <c r="AI1327" s="11">
        <v>81.41</v>
      </c>
      <c r="AJ1327" s="11">
        <v>80.704999999999998</v>
      </c>
      <c r="AK1327" s="11">
        <v>80.194999999999993</v>
      </c>
      <c r="AL1327" s="11"/>
    </row>
    <row r="1328" spans="1:38" x14ac:dyDescent="0.3">
      <c r="A1328" s="9">
        <f>DATE(2022, 2, 17)</f>
        <v>44609</v>
      </c>
      <c r="B1328" s="10">
        <v>92.97</v>
      </c>
      <c r="C1328" s="10">
        <v>90.81</v>
      </c>
      <c r="D1328" s="10">
        <v>89.08</v>
      </c>
      <c r="E1328" s="10">
        <v>87.69</v>
      </c>
      <c r="F1328" s="10">
        <v>86.62</v>
      </c>
      <c r="G1328" s="10">
        <v>85.69</v>
      </c>
      <c r="H1328" s="10">
        <v>84.88</v>
      </c>
      <c r="I1328" s="10">
        <v>84.19</v>
      </c>
      <c r="J1328" s="10">
        <v>83.54</v>
      </c>
      <c r="K1328" s="10">
        <v>82.92</v>
      </c>
      <c r="L1328" s="10">
        <v>82.32</v>
      </c>
      <c r="M1328" s="10">
        <v>81.790000000000006</v>
      </c>
      <c r="N1328" s="10">
        <v>91.76</v>
      </c>
      <c r="O1328" s="10">
        <v>90.04</v>
      </c>
      <c r="P1328" s="10">
        <v>88.19</v>
      </c>
      <c r="Q1328" s="10">
        <v>86.35</v>
      </c>
      <c r="R1328" s="10">
        <v>84.77</v>
      </c>
      <c r="S1328" s="10">
        <v>83.47</v>
      </c>
      <c r="T1328" s="10">
        <v>82.4</v>
      </c>
      <c r="U1328" s="10">
        <v>81.489999999999995</v>
      </c>
      <c r="V1328" s="10">
        <v>80.7</v>
      </c>
      <c r="W1328" s="10">
        <v>79.97</v>
      </c>
      <c r="X1328" s="10">
        <v>79.260000000000005</v>
      </c>
      <c r="Y1328" s="10">
        <v>78.61</v>
      </c>
      <c r="Z1328" s="11">
        <v>90.805999999999997</v>
      </c>
      <c r="AA1328" s="11">
        <v>88.734999999999999</v>
      </c>
      <c r="AB1328" s="11">
        <v>86.811000000000007</v>
      </c>
      <c r="AC1328" s="11">
        <v>85.290999999999997</v>
      </c>
      <c r="AD1328" s="11">
        <v>84.117999999999995</v>
      </c>
      <c r="AE1328" s="11">
        <v>83.161000000000001</v>
      </c>
      <c r="AF1328" s="11">
        <v>82.32</v>
      </c>
      <c r="AG1328" s="11">
        <v>81.61</v>
      </c>
      <c r="AH1328" s="11">
        <v>80.98</v>
      </c>
      <c r="AI1328" s="11">
        <v>80.343000000000004</v>
      </c>
      <c r="AJ1328" s="11">
        <v>79.73</v>
      </c>
      <c r="AK1328" s="11">
        <v>79.236999999999995</v>
      </c>
      <c r="AL1328" s="11"/>
    </row>
    <row r="1329" spans="1:38" x14ac:dyDescent="0.3">
      <c r="A1329" s="9">
        <f>DATE(2022, 2, 18)</f>
        <v>44610</v>
      </c>
      <c r="B1329" s="10">
        <v>93.54</v>
      </c>
      <c r="C1329" s="10">
        <v>91.39</v>
      </c>
      <c r="D1329" s="10">
        <v>89.69</v>
      </c>
      <c r="E1329" s="10">
        <v>88.35</v>
      </c>
      <c r="F1329" s="10">
        <v>87.31</v>
      </c>
      <c r="G1329" s="10">
        <v>86.4</v>
      </c>
      <c r="H1329" s="10">
        <v>85.6</v>
      </c>
      <c r="I1329" s="10">
        <v>84.91</v>
      </c>
      <c r="J1329" s="10">
        <v>84.25</v>
      </c>
      <c r="K1329" s="10">
        <v>83.61</v>
      </c>
      <c r="L1329" s="10">
        <v>83</v>
      </c>
      <c r="M1329" s="10">
        <v>82.46</v>
      </c>
      <c r="N1329" s="10">
        <v>91.07</v>
      </c>
      <c r="O1329" s="10">
        <v>90.21</v>
      </c>
      <c r="P1329" s="10">
        <v>88.6</v>
      </c>
      <c r="Q1329" s="10">
        <v>86.92</v>
      </c>
      <c r="R1329" s="10">
        <v>85.42</v>
      </c>
      <c r="S1329" s="10">
        <v>84.18</v>
      </c>
      <c r="T1329" s="10">
        <v>83.14</v>
      </c>
      <c r="U1329" s="10">
        <v>82.25</v>
      </c>
      <c r="V1329" s="10">
        <v>81.47</v>
      </c>
      <c r="W1329" s="10">
        <v>80.739999999999995</v>
      </c>
      <c r="X1329" s="10">
        <v>80.02</v>
      </c>
      <c r="Y1329" s="10">
        <v>79.349999999999994</v>
      </c>
      <c r="Z1329" s="11">
        <v>91.091999999999999</v>
      </c>
      <c r="AA1329" s="11">
        <v>89.445999999999998</v>
      </c>
      <c r="AB1329" s="11">
        <v>87.393000000000001</v>
      </c>
      <c r="AC1329" s="11">
        <v>85.903000000000006</v>
      </c>
      <c r="AD1329" s="11">
        <v>84.769000000000005</v>
      </c>
      <c r="AE1329" s="11">
        <v>83.772000000000006</v>
      </c>
      <c r="AF1329" s="11">
        <v>82.97</v>
      </c>
      <c r="AG1329" s="11">
        <v>82.29</v>
      </c>
      <c r="AH1329" s="11">
        <v>81.64</v>
      </c>
      <c r="AI1329" s="11">
        <v>80.992000000000004</v>
      </c>
      <c r="AJ1329" s="11">
        <v>80.369</v>
      </c>
      <c r="AK1329" s="11">
        <v>79.887</v>
      </c>
      <c r="AL1329" s="11"/>
    </row>
    <row r="1330" spans="1:38" x14ac:dyDescent="0.3">
      <c r="A1330" s="9">
        <f>DATE(2022, 2, 21)</f>
        <v>44613</v>
      </c>
      <c r="B1330" s="10">
        <v>95.39</v>
      </c>
      <c r="C1330" s="10">
        <v>92.99</v>
      </c>
      <c r="D1330" s="10">
        <v>91.17</v>
      </c>
      <c r="E1330" s="10">
        <v>89.74</v>
      </c>
      <c r="F1330" s="10">
        <v>88.65</v>
      </c>
      <c r="G1330" s="10">
        <v>87.71</v>
      </c>
      <c r="H1330" s="10">
        <v>86.88</v>
      </c>
      <c r="I1330" s="10">
        <v>86.15</v>
      </c>
      <c r="J1330" s="10">
        <v>85.47</v>
      </c>
      <c r="K1330" s="10">
        <v>84.82</v>
      </c>
      <c r="L1330" s="10">
        <v>84.2</v>
      </c>
      <c r="M1330" s="10">
        <v>83.64</v>
      </c>
      <c r="N1330" s="10">
        <v>91.07</v>
      </c>
      <c r="O1330" s="10">
        <v>90.21</v>
      </c>
      <c r="P1330" s="10">
        <v>88.6</v>
      </c>
      <c r="Q1330" s="10">
        <v>86.92</v>
      </c>
      <c r="R1330" s="10">
        <v>85.42</v>
      </c>
      <c r="S1330" s="10">
        <v>84.18</v>
      </c>
      <c r="T1330" s="10">
        <v>83.14</v>
      </c>
      <c r="U1330" s="10">
        <v>82.25</v>
      </c>
      <c r="V1330" s="10">
        <v>81.47</v>
      </c>
      <c r="W1330" s="10">
        <v>80.739999999999995</v>
      </c>
      <c r="X1330" s="10">
        <v>80.02</v>
      </c>
      <c r="Y1330" s="10">
        <v>79.349999999999994</v>
      </c>
      <c r="Z1330" s="11">
        <v>91.555999999999997</v>
      </c>
      <c r="AA1330" s="11">
        <v>91.162999999999997</v>
      </c>
      <c r="AB1330" s="11">
        <v>88.914000000000001</v>
      </c>
      <c r="AC1330" s="11">
        <v>87.28</v>
      </c>
      <c r="AD1330" s="11">
        <v>86.057000000000002</v>
      </c>
      <c r="AE1330" s="11">
        <v>85.04</v>
      </c>
      <c r="AF1330" s="11">
        <v>84.227999999999994</v>
      </c>
      <c r="AG1330" s="11">
        <v>83.519000000000005</v>
      </c>
      <c r="AH1330" s="11">
        <v>82.838999999999999</v>
      </c>
      <c r="AI1330" s="11">
        <v>82.182000000000002</v>
      </c>
      <c r="AJ1330" s="11">
        <v>81.546999999999997</v>
      </c>
      <c r="AK1330" s="11">
        <v>81.046000000000006</v>
      </c>
      <c r="AL1330" s="11"/>
    </row>
    <row r="1331" spans="1:38" x14ac:dyDescent="0.3">
      <c r="A1331" s="9">
        <f>DATE(2022, 2, 22)</f>
        <v>44614</v>
      </c>
      <c r="B1331" s="10">
        <v>96.84</v>
      </c>
      <c r="C1331" s="10">
        <v>93.85</v>
      </c>
      <c r="D1331" s="10">
        <v>91.75</v>
      </c>
      <c r="E1331" s="10">
        <v>90.22</v>
      </c>
      <c r="F1331" s="10">
        <v>89.07</v>
      </c>
      <c r="G1331" s="10">
        <v>88.09</v>
      </c>
      <c r="H1331" s="10">
        <v>87.23</v>
      </c>
      <c r="I1331" s="10">
        <v>86.49</v>
      </c>
      <c r="J1331" s="10">
        <v>85.79</v>
      </c>
      <c r="K1331" s="10">
        <v>85.13</v>
      </c>
      <c r="L1331" s="10">
        <v>84.49</v>
      </c>
      <c r="M1331" s="10">
        <v>83.91</v>
      </c>
      <c r="N1331" s="10">
        <v>92.35</v>
      </c>
      <c r="O1331" s="10">
        <v>91.91</v>
      </c>
      <c r="P1331" s="10">
        <v>90.39</v>
      </c>
      <c r="Q1331" s="10">
        <v>88.67</v>
      </c>
      <c r="R1331" s="10">
        <v>87.07</v>
      </c>
      <c r="S1331" s="10">
        <v>85.75</v>
      </c>
      <c r="T1331" s="10">
        <v>84.66</v>
      </c>
      <c r="U1331" s="10">
        <v>83.72</v>
      </c>
      <c r="V1331" s="10">
        <v>82.89</v>
      </c>
      <c r="W1331" s="10">
        <v>82.11</v>
      </c>
      <c r="X1331" s="10">
        <v>81.37</v>
      </c>
      <c r="Y1331" s="10">
        <v>80.680000000000007</v>
      </c>
      <c r="Z1331" s="11">
        <v>91.881</v>
      </c>
      <c r="AA1331" s="11">
        <v>91.989000000000004</v>
      </c>
      <c r="AB1331" s="11">
        <v>89.504000000000005</v>
      </c>
      <c r="AC1331" s="11">
        <v>87.778000000000006</v>
      </c>
      <c r="AD1331" s="11">
        <v>86.484999999999999</v>
      </c>
      <c r="AE1331" s="11">
        <v>85.429000000000002</v>
      </c>
      <c r="AF1331" s="11">
        <v>84.578000000000003</v>
      </c>
      <c r="AG1331" s="11">
        <v>83.858000000000004</v>
      </c>
      <c r="AH1331" s="11">
        <v>83.159000000000006</v>
      </c>
      <c r="AI1331" s="11">
        <v>82.491</v>
      </c>
      <c r="AJ1331" s="11">
        <v>81.834999999999994</v>
      </c>
      <c r="AK1331" s="11">
        <v>81.316000000000003</v>
      </c>
      <c r="AL1331" s="11"/>
    </row>
    <row r="1332" spans="1:38" x14ac:dyDescent="0.3">
      <c r="A1332" s="9">
        <f>DATE(2022, 2, 23)</f>
        <v>44615</v>
      </c>
      <c r="B1332" s="10">
        <v>96.84</v>
      </c>
      <c r="C1332" s="10">
        <v>94.05</v>
      </c>
      <c r="D1332" s="10">
        <v>92.18</v>
      </c>
      <c r="E1332" s="10">
        <v>90.81</v>
      </c>
      <c r="F1332" s="10">
        <v>89.75</v>
      </c>
      <c r="G1332" s="10">
        <v>88.82</v>
      </c>
      <c r="H1332" s="10">
        <v>87.99</v>
      </c>
      <c r="I1332" s="10">
        <v>87.25</v>
      </c>
      <c r="J1332" s="10">
        <v>86.56</v>
      </c>
      <c r="K1332" s="10">
        <v>85.9</v>
      </c>
      <c r="L1332" s="10">
        <v>85.28</v>
      </c>
      <c r="M1332" s="10">
        <v>84.72</v>
      </c>
      <c r="N1332" s="10">
        <v>92.1</v>
      </c>
      <c r="O1332" s="10">
        <v>90.69</v>
      </c>
      <c r="P1332" s="10">
        <v>89.08</v>
      </c>
      <c r="Q1332" s="10">
        <v>87.56</v>
      </c>
      <c r="R1332" s="10">
        <v>86.32</v>
      </c>
      <c r="S1332" s="10">
        <v>85.28</v>
      </c>
      <c r="T1332" s="10">
        <v>84.38</v>
      </c>
      <c r="U1332" s="10">
        <v>83.58</v>
      </c>
      <c r="V1332" s="10">
        <v>82.83</v>
      </c>
      <c r="W1332" s="10">
        <v>82.11</v>
      </c>
      <c r="X1332" s="10">
        <v>81.430000000000007</v>
      </c>
      <c r="Y1332" s="10">
        <v>80.8</v>
      </c>
      <c r="Z1332" s="11">
        <v>91.878</v>
      </c>
      <c r="AA1332" s="11">
        <v>92.147999999999996</v>
      </c>
      <c r="AB1332" s="11">
        <v>89.793000000000006</v>
      </c>
      <c r="AC1332" s="11">
        <v>88.231999999999999</v>
      </c>
      <c r="AD1332" s="11">
        <v>87.067999999999998</v>
      </c>
      <c r="AE1332" s="11">
        <v>86.07</v>
      </c>
      <c r="AF1332" s="11">
        <v>85.248000000000005</v>
      </c>
      <c r="AG1332" s="11">
        <v>84.528999999999996</v>
      </c>
      <c r="AH1332" s="11">
        <v>83.838999999999999</v>
      </c>
      <c r="AI1332" s="11">
        <v>83.171999999999997</v>
      </c>
      <c r="AJ1332" s="11">
        <v>82.537000000000006</v>
      </c>
      <c r="AK1332" s="11">
        <v>82.036000000000001</v>
      </c>
      <c r="AL1332" s="11"/>
    </row>
    <row r="1333" spans="1:38" x14ac:dyDescent="0.3">
      <c r="A1333" s="9">
        <f>DATE(2022, 2, 24)</f>
        <v>44616</v>
      </c>
      <c r="B1333" s="10">
        <v>99.08</v>
      </c>
      <c r="C1333" s="10">
        <v>95.42</v>
      </c>
      <c r="D1333" s="10">
        <v>92.89</v>
      </c>
      <c r="E1333" s="10">
        <v>91.15</v>
      </c>
      <c r="F1333" s="10">
        <v>89.8</v>
      </c>
      <c r="G1333" s="10">
        <v>88.69</v>
      </c>
      <c r="H1333" s="10">
        <v>87.76</v>
      </c>
      <c r="I1333" s="10">
        <v>86.98</v>
      </c>
      <c r="J1333" s="10">
        <v>86.24</v>
      </c>
      <c r="K1333" s="10">
        <v>85.52</v>
      </c>
      <c r="L1333" s="10">
        <v>84.83</v>
      </c>
      <c r="M1333" s="10">
        <v>84.21</v>
      </c>
      <c r="N1333" s="10">
        <v>92.81</v>
      </c>
      <c r="O1333" s="10">
        <v>90.94</v>
      </c>
      <c r="P1333" s="10">
        <v>88.84</v>
      </c>
      <c r="Q1333" s="10">
        <v>86.99</v>
      </c>
      <c r="R1333" s="10">
        <v>85.49</v>
      </c>
      <c r="S1333" s="10">
        <v>84.29</v>
      </c>
      <c r="T1333" s="10">
        <v>83.3</v>
      </c>
      <c r="U1333" s="10">
        <v>82.45</v>
      </c>
      <c r="V1333" s="10">
        <v>81.680000000000007</v>
      </c>
      <c r="W1333" s="10">
        <v>80.92</v>
      </c>
      <c r="X1333" s="10">
        <v>80.19</v>
      </c>
      <c r="Y1333" s="10">
        <v>79.52</v>
      </c>
      <c r="Z1333" s="11">
        <v>91.938999999999993</v>
      </c>
      <c r="AA1333" s="11">
        <v>92.69</v>
      </c>
      <c r="AB1333" s="11">
        <v>90.102999999999994</v>
      </c>
      <c r="AC1333" s="11">
        <v>88.338999999999999</v>
      </c>
      <c r="AD1333" s="11">
        <v>86.95</v>
      </c>
      <c r="AE1333" s="11">
        <v>85.825999999999993</v>
      </c>
      <c r="AF1333" s="11">
        <v>84.876000000000005</v>
      </c>
      <c r="AG1333" s="11">
        <v>84.135999999999996</v>
      </c>
      <c r="AH1333" s="11">
        <v>83.415999999999997</v>
      </c>
      <c r="AI1333" s="11">
        <v>82.688999999999993</v>
      </c>
      <c r="AJ1333" s="11">
        <v>81.950999999999993</v>
      </c>
      <c r="AK1333" s="11">
        <v>81.373000000000005</v>
      </c>
      <c r="AL1333" s="11"/>
    </row>
    <row r="1334" spans="1:38" x14ac:dyDescent="0.3">
      <c r="A1334" s="9">
        <f>DATE(2022, 2, 25)</f>
        <v>44617</v>
      </c>
      <c r="B1334" s="10">
        <v>97.93</v>
      </c>
      <c r="C1334" s="10">
        <v>94.12</v>
      </c>
      <c r="D1334" s="10">
        <v>91.77</v>
      </c>
      <c r="E1334" s="10">
        <v>90.08</v>
      </c>
      <c r="F1334" s="10">
        <v>88.75</v>
      </c>
      <c r="G1334" s="10">
        <v>87.65</v>
      </c>
      <c r="H1334" s="10">
        <v>86.74</v>
      </c>
      <c r="I1334" s="10">
        <v>85.96</v>
      </c>
      <c r="J1334" s="10">
        <v>85.24</v>
      </c>
      <c r="K1334" s="10">
        <v>84.54</v>
      </c>
      <c r="L1334" s="10">
        <v>83.85</v>
      </c>
      <c r="M1334" s="10">
        <v>83.24</v>
      </c>
      <c r="N1334" s="10">
        <v>91.59</v>
      </c>
      <c r="O1334" s="10">
        <v>89.89</v>
      </c>
      <c r="P1334" s="10">
        <v>87.93</v>
      </c>
      <c r="Q1334" s="10">
        <v>86.19</v>
      </c>
      <c r="R1334" s="10">
        <v>84.76</v>
      </c>
      <c r="S1334" s="10">
        <v>83.6</v>
      </c>
      <c r="T1334" s="10">
        <v>82.63</v>
      </c>
      <c r="U1334" s="10">
        <v>81.8</v>
      </c>
      <c r="V1334" s="10">
        <v>81.03</v>
      </c>
      <c r="W1334" s="10">
        <v>80.27</v>
      </c>
      <c r="X1334" s="10">
        <v>79.55</v>
      </c>
      <c r="Y1334" s="10">
        <v>78.88</v>
      </c>
      <c r="Z1334" s="11">
        <v>92.072000000000003</v>
      </c>
      <c r="AA1334" s="11">
        <v>91.968000000000004</v>
      </c>
      <c r="AB1334" s="11">
        <v>89.266000000000005</v>
      </c>
      <c r="AC1334" s="11">
        <v>87.48</v>
      </c>
      <c r="AD1334" s="11">
        <v>86.11</v>
      </c>
      <c r="AE1334" s="11">
        <v>84.927000000000007</v>
      </c>
      <c r="AF1334" s="11">
        <v>83.975999999999999</v>
      </c>
      <c r="AG1334" s="11">
        <v>83.206999999999994</v>
      </c>
      <c r="AH1334" s="11">
        <v>82.486999999999995</v>
      </c>
      <c r="AI1334" s="11">
        <v>81.769000000000005</v>
      </c>
      <c r="AJ1334" s="11">
        <v>81.061999999999998</v>
      </c>
      <c r="AK1334" s="11">
        <v>80.513000000000005</v>
      </c>
      <c r="AL1334" s="11"/>
    </row>
    <row r="1335" spans="1:38" x14ac:dyDescent="0.3">
      <c r="A1335" s="9">
        <f>DATE(2022, 2, 28)</f>
        <v>44620</v>
      </c>
      <c r="B1335" s="10">
        <v>100.99</v>
      </c>
      <c r="C1335" s="10">
        <v>97.97</v>
      </c>
      <c r="D1335" s="10">
        <v>95.1</v>
      </c>
      <c r="E1335" s="10">
        <v>92.9</v>
      </c>
      <c r="F1335" s="10">
        <v>91.15</v>
      </c>
      <c r="G1335" s="10">
        <v>89.74</v>
      </c>
      <c r="H1335" s="10">
        <v>88.63</v>
      </c>
      <c r="I1335" s="10">
        <v>87.7</v>
      </c>
      <c r="J1335" s="10">
        <v>86.85</v>
      </c>
      <c r="K1335" s="10">
        <v>86.02</v>
      </c>
      <c r="L1335" s="10">
        <v>85.21</v>
      </c>
      <c r="M1335" s="10">
        <v>84.47</v>
      </c>
      <c r="N1335" s="10">
        <v>95.72</v>
      </c>
      <c r="O1335" s="10">
        <v>93.5</v>
      </c>
      <c r="P1335" s="10">
        <v>90.98</v>
      </c>
      <c r="Q1335" s="10">
        <v>88.72</v>
      </c>
      <c r="R1335" s="10">
        <v>86.78</v>
      </c>
      <c r="S1335" s="10">
        <v>85.25</v>
      </c>
      <c r="T1335" s="10">
        <v>84.08</v>
      </c>
      <c r="U1335" s="10">
        <v>83.11</v>
      </c>
      <c r="V1335" s="10">
        <v>82.24</v>
      </c>
      <c r="W1335" s="10">
        <v>81.37</v>
      </c>
      <c r="X1335" s="10">
        <v>80.540000000000006</v>
      </c>
      <c r="Y1335" s="10">
        <v>79.739999999999995</v>
      </c>
      <c r="Z1335" s="11">
        <v>92.34</v>
      </c>
      <c r="AA1335" s="11">
        <v>95.344999999999999</v>
      </c>
      <c r="AB1335" s="11">
        <v>92.18</v>
      </c>
      <c r="AC1335" s="11">
        <v>89.95</v>
      </c>
      <c r="AD1335" s="11">
        <v>88.225999999999999</v>
      </c>
      <c r="AE1335" s="11">
        <v>86.787000000000006</v>
      </c>
      <c r="AF1335" s="11">
        <v>85.71</v>
      </c>
      <c r="AG1335" s="11">
        <v>84.790999999999997</v>
      </c>
      <c r="AH1335" s="11">
        <v>83.95</v>
      </c>
      <c r="AI1335" s="11">
        <v>83.123000000000005</v>
      </c>
      <c r="AJ1335" s="11">
        <v>82.31</v>
      </c>
      <c r="AK1335" s="11">
        <v>81.608999999999995</v>
      </c>
      <c r="AL1335" s="11"/>
    </row>
    <row r="1336" spans="1:38" x14ac:dyDescent="0.3">
      <c r="A1336" s="9">
        <f>DATE(2022, 3, 1)</f>
        <v>44621</v>
      </c>
      <c r="B1336" s="10">
        <v>104.97</v>
      </c>
      <c r="C1336" s="10">
        <v>101.13</v>
      </c>
      <c r="D1336" s="10">
        <v>97.97</v>
      </c>
      <c r="E1336" s="10">
        <v>95.21</v>
      </c>
      <c r="F1336" s="10">
        <v>92.86</v>
      </c>
      <c r="G1336" s="10">
        <v>91.21</v>
      </c>
      <c r="H1336" s="10">
        <v>90.05</v>
      </c>
      <c r="I1336" s="10">
        <v>89</v>
      </c>
      <c r="J1336" s="10">
        <v>88.02</v>
      </c>
      <c r="K1336" s="10">
        <v>87.08</v>
      </c>
      <c r="L1336" s="10">
        <v>86.27</v>
      </c>
      <c r="M1336" s="10">
        <v>85.58</v>
      </c>
      <c r="N1336" s="10">
        <v>103.41</v>
      </c>
      <c r="O1336" s="10">
        <v>100.21</v>
      </c>
      <c r="P1336" s="10">
        <v>96.24</v>
      </c>
      <c r="Q1336" s="10">
        <v>92.64</v>
      </c>
      <c r="R1336" s="10">
        <v>89.54</v>
      </c>
      <c r="S1336" s="10">
        <v>87.34</v>
      </c>
      <c r="T1336" s="10">
        <v>85.89</v>
      </c>
      <c r="U1336" s="10">
        <v>84.71</v>
      </c>
      <c r="V1336" s="10">
        <v>83.68</v>
      </c>
      <c r="W1336" s="10">
        <v>82.68</v>
      </c>
      <c r="X1336" s="10">
        <v>81.77</v>
      </c>
      <c r="Y1336" s="10">
        <v>80.930000000000007</v>
      </c>
      <c r="Z1336" s="11">
        <v>92.34</v>
      </c>
      <c r="AA1336" s="11">
        <v>102.459</v>
      </c>
      <c r="AB1336" s="11">
        <v>97.891999999999996</v>
      </c>
      <c r="AC1336" s="11">
        <v>94.674999999999997</v>
      </c>
      <c r="AD1336" s="11">
        <v>91.983000000000004</v>
      </c>
      <c r="AE1336" s="11">
        <v>89.661000000000001</v>
      </c>
      <c r="AF1336" s="11">
        <v>88.02</v>
      </c>
      <c r="AG1336" s="11">
        <v>86.861999999999995</v>
      </c>
      <c r="AH1336" s="11">
        <v>85.822999999999993</v>
      </c>
      <c r="AI1336" s="11">
        <v>84.846999999999994</v>
      </c>
      <c r="AJ1336" s="11">
        <v>83.893000000000001</v>
      </c>
      <c r="AK1336" s="11">
        <v>83.206999999999994</v>
      </c>
      <c r="AL1336" s="11"/>
    </row>
    <row r="1337" spans="1:38" x14ac:dyDescent="0.3">
      <c r="A1337" s="9">
        <f>DATE(2022, 3, 2)</f>
        <v>44622</v>
      </c>
      <c r="B1337" s="10">
        <v>112.93</v>
      </c>
      <c r="C1337" s="10">
        <v>108.29</v>
      </c>
      <c r="D1337" s="10">
        <v>104.16</v>
      </c>
      <c r="E1337" s="10">
        <v>100.72</v>
      </c>
      <c r="F1337" s="10">
        <v>97.95</v>
      </c>
      <c r="G1337" s="10">
        <v>95.94</v>
      </c>
      <c r="H1337" s="10">
        <v>94.56</v>
      </c>
      <c r="I1337" s="10">
        <v>93.28</v>
      </c>
      <c r="J1337" s="10">
        <v>92.08</v>
      </c>
      <c r="K1337" s="10">
        <v>91.04</v>
      </c>
      <c r="L1337" s="10">
        <v>90.16</v>
      </c>
      <c r="M1337" s="10">
        <v>89.45</v>
      </c>
      <c r="N1337" s="10">
        <v>110.6</v>
      </c>
      <c r="O1337" s="10">
        <v>107.06</v>
      </c>
      <c r="P1337" s="10">
        <v>102.37</v>
      </c>
      <c r="Q1337" s="10">
        <v>97.58</v>
      </c>
      <c r="R1337" s="10">
        <v>93.82</v>
      </c>
      <c r="S1337" s="10">
        <v>91.27</v>
      </c>
      <c r="T1337" s="10">
        <v>89.59</v>
      </c>
      <c r="U1337" s="10">
        <v>88.37</v>
      </c>
      <c r="V1337" s="10">
        <v>87.31</v>
      </c>
      <c r="W1337" s="10">
        <v>86.32</v>
      </c>
      <c r="X1337" s="10">
        <v>85.38</v>
      </c>
      <c r="Y1337" s="10">
        <v>84.53</v>
      </c>
      <c r="Z1337" s="11">
        <v>110.479</v>
      </c>
      <c r="AA1337" s="11">
        <v>104.054</v>
      </c>
      <c r="AB1337" s="11">
        <v>100.06399999999999</v>
      </c>
      <c r="AC1337" s="11">
        <v>96.784000000000006</v>
      </c>
      <c r="AD1337" s="11">
        <v>94.323999999999998</v>
      </c>
      <c r="AE1337" s="11">
        <v>92.38</v>
      </c>
      <c r="AF1337" s="11">
        <v>91.031999999999996</v>
      </c>
      <c r="AG1337" s="11">
        <v>89.793000000000006</v>
      </c>
      <c r="AH1337" s="11">
        <v>88.632999999999996</v>
      </c>
      <c r="AI1337" s="11">
        <v>87.585999999999999</v>
      </c>
      <c r="AJ1337" s="11">
        <v>86.796000000000006</v>
      </c>
      <c r="AK1337" s="11">
        <v>86.144999999999996</v>
      </c>
      <c r="AL1337" s="11"/>
    </row>
    <row r="1338" spans="1:38" x14ac:dyDescent="0.3">
      <c r="A1338" s="9">
        <f>DATE(2022, 3, 3)</f>
        <v>44623</v>
      </c>
      <c r="B1338" s="10">
        <v>110.46</v>
      </c>
      <c r="C1338" s="10">
        <v>106.54</v>
      </c>
      <c r="D1338" s="10">
        <v>103</v>
      </c>
      <c r="E1338" s="10">
        <v>100.02</v>
      </c>
      <c r="F1338" s="10">
        <v>97.59</v>
      </c>
      <c r="G1338" s="10">
        <v>95.9</v>
      </c>
      <c r="H1338" s="10">
        <v>94.65</v>
      </c>
      <c r="I1338" s="10">
        <v>93.46</v>
      </c>
      <c r="J1338" s="10">
        <v>92.31</v>
      </c>
      <c r="K1338" s="10">
        <v>91.28</v>
      </c>
      <c r="L1338" s="10">
        <v>90.51</v>
      </c>
      <c r="M1338" s="10">
        <v>89.84</v>
      </c>
      <c r="N1338" s="10">
        <v>107.67</v>
      </c>
      <c r="O1338" s="10">
        <v>104.61</v>
      </c>
      <c r="P1338" s="10">
        <v>100.74</v>
      </c>
      <c r="Q1338" s="10">
        <v>96.78</v>
      </c>
      <c r="R1338" s="10">
        <v>93.57</v>
      </c>
      <c r="S1338" s="10">
        <v>91.23</v>
      </c>
      <c r="T1338" s="10">
        <v>89.75</v>
      </c>
      <c r="U1338" s="10">
        <v>88.62</v>
      </c>
      <c r="V1338" s="10">
        <v>87.65</v>
      </c>
      <c r="W1338" s="10">
        <v>86.73</v>
      </c>
      <c r="X1338" s="10">
        <v>85.9</v>
      </c>
      <c r="Y1338" s="10">
        <v>85.12</v>
      </c>
      <c r="Z1338" s="11">
        <v>108.71</v>
      </c>
      <c r="AA1338" s="11">
        <v>101.253</v>
      </c>
      <c r="AB1338" s="11">
        <v>97.444999999999993</v>
      </c>
      <c r="AC1338" s="11">
        <v>94.92</v>
      </c>
      <c r="AD1338" s="11">
        <v>93.05</v>
      </c>
      <c r="AE1338" s="11">
        <v>91.646000000000001</v>
      </c>
      <c r="AF1338" s="11">
        <v>90.596000000000004</v>
      </c>
      <c r="AG1338" s="11">
        <v>89.575000000000003</v>
      </c>
      <c r="AH1338" s="11">
        <v>88.563000000000002</v>
      </c>
      <c r="AI1338" s="11">
        <v>87.637</v>
      </c>
      <c r="AJ1338" s="11">
        <v>86.947999999999993</v>
      </c>
      <c r="AK1338" s="11">
        <v>86.338999999999999</v>
      </c>
      <c r="AL1338" s="11"/>
    </row>
    <row r="1339" spans="1:38" x14ac:dyDescent="0.3">
      <c r="A1339" s="9">
        <f>DATE(2022, 3, 4)</f>
        <v>44624</v>
      </c>
      <c r="B1339" s="10">
        <v>118.11</v>
      </c>
      <c r="C1339" s="10">
        <v>114.34</v>
      </c>
      <c r="D1339" s="10">
        <v>110.87</v>
      </c>
      <c r="E1339" s="10">
        <v>107.91</v>
      </c>
      <c r="F1339" s="10">
        <v>105.46</v>
      </c>
      <c r="G1339" s="10">
        <v>103.58</v>
      </c>
      <c r="H1339" s="10">
        <v>102.11</v>
      </c>
      <c r="I1339" s="10">
        <v>100.74</v>
      </c>
      <c r="J1339" s="10">
        <v>99.44</v>
      </c>
      <c r="K1339" s="10">
        <v>98.23</v>
      </c>
      <c r="L1339" s="10">
        <v>97.25</v>
      </c>
      <c r="M1339" s="10">
        <v>96.44</v>
      </c>
      <c r="N1339" s="10">
        <v>115.68</v>
      </c>
      <c r="O1339" s="10">
        <v>112.11</v>
      </c>
      <c r="P1339" s="10">
        <v>108.12</v>
      </c>
      <c r="Q1339" s="10">
        <v>104.18</v>
      </c>
      <c r="R1339" s="10">
        <v>100.97</v>
      </c>
      <c r="S1339" s="10">
        <v>98.54</v>
      </c>
      <c r="T1339" s="10">
        <v>96.79</v>
      </c>
      <c r="U1339" s="10">
        <v>95.49</v>
      </c>
      <c r="V1339" s="10">
        <v>94.42</v>
      </c>
      <c r="W1339" s="10">
        <v>93.4</v>
      </c>
      <c r="X1339" s="10">
        <v>92.43</v>
      </c>
      <c r="Y1339" s="10">
        <v>91.49</v>
      </c>
      <c r="Z1339" s="11">
        <v>114.985</v>
      </c>
      <c r="AA1339" s="11">
        <v>109.417</v>
      </c>
      <c r="AB1339" s="11">
        <v>105.785</v>
      </c>
      <c r="AC1339" s="11">
        <v>103.01900000000001</v>
      </c>
      <c r="AD1339" s="11">
        <v>101.02</v>
      </c>
      <c r="AE1339" s="11">
        <v>99.516000000000005</v>
      </c>
      <c r="AF1339" s="11">
        <v>98.298000000000002</v>
      </c>
      <c r="AG1339" s="11">
        <v>96.977999999999994</v>
      </c>
      <c r="AH1339" s="11">
        <v>95.704999999999998</v>
      </c>
      <c r="AI1339" s="11">
        <v>94.566999999999993</v>
      </c>
      <c r="AJ1339" s="11">
        <v>93.730999999999995</v>
      </c>
      <c r="AK1339" s="11">
        <v>92.972999999999999</v>
      </c>
      <c r="AL1339" s="11"/>
    </row>
    <row r="1340" spans="1:38" x14ac:dyDescent="0.3">
      <c r="A1340" s="9">
        <f>DATE(2022, 3, 7)</f>
        <v>44627</v>
      </c>
      <c r="B1340" s="10">
        <v>123.21</v>
      </c>
      <c r="C1340" s="10">
        <v>118.87</v>
      </c>
      <c r="D1340" s="10">
        <v>115.1</v>
      </c>
      <c r="E1340" s="10">
        <v>111.7</v>
      </c>
      <c r="F1340" s="10">
        <v>108.79</v>
      </c>
      <c r="G1340" s="10">
        <v>106.46</v>
      </c>
      <c r="H1340" s="10">
        <v>104.66</v>
      </c>
      <c r="I1340" s="10">
        <v>103</v>
      </c>
      <c r="J1340" s="10">
        <v>101.52</v>
      </c>
      <c r="K1340" s="10">
        <v>100.18</v>
      </c>
      <c r="L1340" s="10">
        <v>99.04</v>
      </c>
      <c r="M1340" s="10">
        <v>98.14</v>
      </c>
      <c r="N1340" s="10">
        <v>119.4</v>
      </c>
      <c r="O1340" s="10">
        <v>115.8</v>
      </c>
      <c r="P1340" s="10">
        <v>111.71</v>
      </c>
      <c r="Q1340" s="10">
        <v>107.72</v>
      </c>
      <c r="R1340" s="10">
        <v>104.28</v>
      </c>
      <c r="S1340" s="10">
        <v>101.5</v>
      </c>
      <c r="T1340" s="10">
        <v>99.45</v>
      </c>
      <c r="U1340" s="10">
        <v>97.75</v>
      </c>
      <c r="V1340" s="10">
        <v>96.28</v>
      </c>
      <c r="W1340" s="10">
        <v>94.92</v>
      </c>
      <c r="X1340" s="10">
        <v>93.66</v>
      </c>
      <c r="Y1340" s="10">
        <v>92.55</v>
      </c>
      <c r="Z1340" s="11">
        <v>118.893</v>
      </c>
      <c r="AA1340" s="11">
        <v>113.55200000000001</v>
      </c>
      <c r="AB1340" s="11">
        <v>109.69499999999999</v>
      </c>
      <c r="AC1340" s="11">
        <v>106.72799999999999</v>
      </c>
      <c r="AD1340" s="11">
        <v>104.379</v>
      </c>
      <c r="AE1340" s="11">
        <v>102.652</v>
      </c>
      <c r="AF1340" s="11">
        <v>100.97499999999999</v>
      </c>
      <c r="AG1340" s="11">
        <v>99.48</v>
      </c>
      <c r="AH1340" s="11">
        <v>97.978999999999999</v>
      </c>
      <c r="AI1340" s="11">
        <v>96.691000000000003</v>
      </c>
      <c r="AJ1340" s="11">
        <v>95.647000000000006</v>
      </c>
      <c r="AK1340" s="11">
        <v>94.766999999999996</v>
      </c>
      <c r="AL1340" s="11"/>
    </row>
    <row r="1341" spans="1:38" x14ac:dyDescent="0.3">
      <c r="A1341" s="9">
        <f>DATE(2022, 3, 8)</f>
        <v>44628</v>
      </c>
      <c r="B1341" s="10">
        <v>127.98</v>
      </c>
      <c r="C1341" s="10">
        <v>123.48</v>
      </c>
      <c r="D1341" s="10">
        <v>119.34</v>
      </c>
      <c r="E1341" s="10">
        <v>115.46</v>
      </c>
      <c r="F1341" s="10">
        <v>111.86</v>
      </c>
      <c r="G1341" s="10">
        <v>108.85</v>
      </c>
      <c r="H1341" s="10">
        <v>106.4</v>
      </c>
      <c r="I1341" s="10">
        <v>104.33</v>
      </c>
      <c r="J1341" s="10">
        <v>102.47</v>
      </c>
      <c r="K1341" s="10">
        <v>100.79</v>
      </c>
      <c r="L1341" s="10">
        <v>99.39</v>
      </c>
      <c r="M1341" s="10">
        <v>98.22</v>
      </c>
      <c r="N1341" s="10">
        <v>123.7</v>
      </c>
      <c r="O1341" s="10">
        <v>119.65</v>
      </c>
      <c r="P1341" s="10">
        <v>115.21</v>
      </c>
      <c r="Q1341" s="10">
        <v>110.83</v>
      </c>
      <c r="R1341" s="10">
        <v>106.8</v>
      </c>
      <c r="S1341" s="10">
        <v>103.41</v>
      </c>
      <c r="T1341" s="10">
        <v>100.77</v>
      </c>
      <c r="U1341" s="10">
        <v>98.61</v>
      </c>
      <c r="V1341" s="10">
        <v>96.77</v>
      </c>
      <c r="W1341" s="10">
        <v>95.09</v>
      </c>
      <c r="X1341" s="10">
        <v>93.55</v>
      </c>
      <c r="Y1341" s="10">
        <v>92.17</v>
      </c>
      <c r="Z1341" s="11">
        <v>122.622</v>
      </c>
      <c r="AA1341" s="11">
        <v>118.473</v>
      </c>
      <c r="AB1341" s="11">
        <v>114.09399999999999</v>
      </c>
      <c r="AC1341" s="11">
        <v>110.586</v>
      </c>
      <c r="AD1341" s="11">
        <v>107.64700000000001</v>
      </c>
      <c r="AE1341" s="11">
        <v>105.32299999999999</v>
      </c>
      <c r="AF1341" s="11">
        <v>103.07599999999999</v>
      </c>
      <c r="AG1341" s="11">
        <v>101.011</v>
      </c>
      <c r="AH1341" s="11">
        <v>99.174000000000007</v>
      </c>
      <c r="AI1341" s="11">
        <v>97.456999999999994</v>
      </c>
      <c r="AJ1341" s="11">
        <v>96.203999999999994</v>
      </c>
      <c r="AK1341" s="11">
        <v>95.063000000000002</v>
      </c>
      <c r="AL1341" s="11"/>
    </row>
    <row r="1342" spans="1:38" x14ac:dyDescent="0.3">
      <c r="A1342" s="9">
        <f>DATE(2022, 3, 9)</f>
        <v>44629</v>
      </c>
      <c r="B1342" s="10">
        <v>111.14</v>
      </c>
      <c r="C1342" s="10">
        <v>107.03</v>
      </c>
      <c r="D1342" s="10">
        <v>103.51</v>
      </c>
      <c r="E1342" s="10">
        <v>100.32</v>
      </c>
      <c r="F1342" s="10">
        <v>97.66</v>
      </c>
      <c r="G1342" s="10">
        <v>95.55</v>
      </c>
      <c r="H1342" s="10">
        <v>93.73</v>
      </c>
      <c r="I1342" s="10">
        <v>92.15</v>
      </c>
      <c r="J1342" s="10">
        <v>90.75</v>
      </c>
      <c r="K1342" s="10">
        <v>89.5</v>
      </c>
      <c r="L1342" s="10">
        <v>88.49</v>
      </c>
      <c r="M1342" s="10">
        <v>87.61</v>
      </c>
      <c r="N1342" s="10">
        <v>108.7</v>
      </c>
      <c r="O1342" s="10">
        <v>105.05</v>
      </c>
      <c r="P1342" s="10">
        <v>100.95</v>
      </c>
      <c r="Q1342" s="10">
        <v>97.26</v>
      </c>
      <c r="R1342" s="10">
        <v>93.91</v>
      </c>
      <c r="S1342" s="10">
        <v>91.22</v>
      </c>
      <c r="T1342" s="10">
        <v>89.14</v>
      </c>
      <c r="U1342" s="10">
        <v>87.52</v>
      </c>
      <c r="V1342" s="10">
        <v>86.17</v>
      </c>
      <c r="W1342" s="10">
        <v>84.95</v>
      </c>
      <c r="X1342" s="10">
        <v>83.83</v>
      </c>
      <c r="Y1342" s="10">
        <v>82.82</v>
      </c>
      <c r="Z1342" s="11">
        <v>111.21899999999999</v>
      </c>
      <c r="AA1342" s="11">
        <v>102.354</v>
      </c>
      <c r="AB1342" s="11">
        <v>98.495000000000005</v>
      </c>
      <c r="AC1342" s="11">
        <v>95.558999999999997</v>
      </c>
      <c r="AD1342" s="11">
        <v>93.49</v>
      </c>
      <c r="AE1342" s="11">
        <v>92.021000000000001</v>
      </c>
      <c r="AF1342" s="11">
        <v>90.468000000000004</v>
      </c>
      <c r="AG1342" s="11">
        <v>88.882999999999996</v>
      </c>
      <c r="AH1342" s="11">
        <v>87.472999999999999</v>
      </c>
      <c r="AI1342" s="11">
        <v>86.164000000000001</v>
      </c>
      <c r="AJ1342" s="11">
        <v>85.298000000000002</v>
      </c>
      <c r="AK1342" s="11">
        <v>84.45</v>
      </c>
      <c r="AL1342" s="11"/>
    </row>
    <row r="1343" spans="1:38" x14ac:dyDescent="0.3">
      <c r="A1343" s="9">
        <f>DATE(2022, 3, 10)</f>
        <v>44630</v>
      </c>
      <c r="B1343" s="10">
        <v>109.33</v>
      </c>
      <c r="C1343" s="10">
        <v>105.43</v>
      </c>
      <c r="D1343" s="10">
        <v>102.36</v>
      </c>
      <c r="E1343" s="10">
        <v>99.69</v>
      </c>
      <c r="F1343" s="10">
        <v>97.51</v>
      </c>
      <c r="G1343" s="10">
        <v>95.59</v>
      </c>
      <c r="H1343" s="10">
        <v>93.89</v>
      </c>
      <c r="I1343" s="10">
        <v>92.38</v>
      </c>
      <c r="J1343" s="10">
        <v>91.07</v>
      </c>
      <c r="K1343" s="10">
        <v>89.95</v>
      </c>
      <c r="L1343" s="10">
        <v>89.13</v>
      </c>
      <c r="M1343" s="10">
        <v>88.35</v>
      </c>
      <c r="N1343" s="10">
        <v>106.02</v>
      </c>
      <c r="O1343" s="10">
        <v>102.99</v>
      </c>
      <c r="P1343" s="10">
        <v>99.64</v>
      </c>
      <c r="Q1343" s="10">
        <v>96.73</v>
      </c>
      <c r="R1343" s="10">
        <v>94.05</v>
      </c>
      <c r="S1343" s="10">
        <v>91.59</v>
      </c>
      <c r="T1343" s="10">
        <v>89.61</v>
      </c>
      <c r="U1343" s="10">
        <v>88.06</v>
      </c>
      <c r="V1343" s="10">
        <v>86.81</v>
      </c>
      <c r="W1343" s="10">
        <v>85.69</v>
      </c>
      <c r="X1343" s="10">
        <v>84.68</v>
      </c>
      <c r="Y1343" s="10">
        <v>83.76</v>
      </c>
      <c r="Z1343" s="11">
        <v>110.062</v>
      </c>
      <c r="AA1343" s="11">
        <v>101.277</v>
      </c>
      <c r="AB1343" s="11">
        <v>97.459000000000003</v>
      </c>
      <c r="AC1343" s="11">
        <v>94.950999999999993</v>
      </c>
      <c r="AD1343" s="11">
        <v>93.269000000000005</v>
      </c>
      <c r="AE1343" s="11">
        <v>92.006</v>
      </c>
      <c r="AF1343" s="11">
        <v>90.570999999999998</v>
      </c>
      <c r="AG1343" s="11">
        <v>89.007999999999996</v>
      </c>
      <c r="AH1343" s="11">
        <v>87.698999999999998</v>
      </c>
      <c r="AI1343" s="11">
        <v>86.572000000000003</v>
      </c>
      <c r="AJ1343" s="11">
        <v>85.852999999999994</v>
      </c>
      <c r="AK1343" s="11">
        <v>85.164000000000001</v>
      </c>
      <c r="AL1343" s="11"/>
    </row>
    <row r="1344" spans="1:38" x14ac:dyDescent="0.3">
      <c r="A1344" s="9">
        <f>DATE(2022, 3, 11)</f>
        <v>44631</v>
      </c>
      <c r="B1344" s="10">
        <v>112.67</v>
      </c>
      <c r="C1344" s="10">
        <v>109.1</v>
      </c>
      <c r="D1344" s="10">
        <v>106.16</v>
      </c>
      <c r="E1344" s="10">
        <v>103.59</v>
      </c>
      <c r="F1344" s="10">
        <v>101.34</v>
      </c>
      <c r="G1344" s="10">
        <v>99.36</v>
      </c>
      <c r="H1344" s="10">
        <v>97.55</v>
      </c>
      <c r="I1344" s="10">
        <v>95.96</v>
      </c>
      <c r="J1344" s="10">
        <v>94.57</v>
      </c>
      <c r="K1344" s="10">
        <v>93.37</v>
      </c>
      <c r="L1344" s="10">
        <v>92.48</v>
      </c>
      <c r="M1344" s="10">
        <v>91.68</v>
      </c>
      <c r="N1344" s="10">
        <v>109.33</v>
      </c>
      <c r="O1344" s="10">
        <v>106.3</v>
      </c>
      <c r="P1344" s="10">
        <v>103.2</v>
      </c>
      <c r="Q1344" s="10">
        <v>100.48</v>
      </c>
      <c r="R1344" s="10">
        <v>97.86</v>
      </c>
      <c r="S1344" s="10">
        <v>95.31</v>
      </c>
      <c r="T1344" s="10">
        <v>93.26</v>
      </c>
      <c r="U1344" s="10">
        <v>91.62</v>
      </c>
      <c r="V1344" s="10">
        <v>90.23</v>
      </c>
      <c r="W1344" s="10">
        <v>88.98</v>
      </c>
      <c r="X1344" s="10">
        <v>87.85</v>
      </c>
      <c r="Y1344" s="10">
        <v>86.84</v>
      </c>
      <c r="Z1344" s="11">
        <v>112.69799999999999</v>
      </c>
      <c r="AA1344" s="11">
        <v>105.46299999999999</v>
      </c>
      <c r="AB1344" s="11">
        <v>101.383</v>
      </c>
      <c r="AC1344" s="11">
        <v>98.938000000000002</v>
      </c>
      <c r="AD1344" s="11">
        <v>97.186000000000007</v>
      </c>
      <c r="AE1344" s="11">
        <v>95.801000000000002</v>
      </c>
      <c r="AF1344" s="11">
        <v>94.278000000000006</v>
      </c>
      <c r="AG1344" s="11">
        <v>92.744</v>
      </c>
      <c r="AH1344" s="11">
        <v>91.224999999999994</v>
      </c>
      <c r="AI1344" s="11">
        <v>89.984999999999999</v>
      </c>
      <c r="AJ1344" s="11">
        <v>89.201999999999998</v>
      </c>
      <c r="AK1344" s="11">
        <v>88.492000000000004</v>
      </c>
      <c r="AL1344" s="11"/>
    </row>
    <row r="1345" spans="1:38" x14ac:dyDescent="0.3">
      <c r="A1345" s="9">
        <f>DATE(2022, 3, 14)</f>
        <v>44634</v>
      </c>
      <c r="B1345" s="10">
        <v>106.9</v>
      </c>
      <c r="C1345" s="10">
        <v>103.4</v>
      </c>
      <c r="D1345" s="10">
        <v>100.58</v>
      </c>
      <c r="E1345" s="10">
        <v>98.21</v>
      </c>
      <c r="F1345" s="10">
        <v>96.3</v>
      </c>
      <c r="G1345" s="10">
        <v>94.67</v>
      </c>
      <c r="H1345" s="10">
        <v>93.27</v>
      </c>
      <c r="I1345" s="10">
        <v>91.96</v>
      </c>
      <c r="J1345" s="10">
        <v>90.76</v>
      </c>
      <c r="K1345" s="10">
        <v>89.7</v>
      </c>
      <c r="L1345" s="10">
        <v>88.85</v>
      </c>
      <c r="M1345" s="10">
        <v>88.11</v>
      </c>
      <c r="N1345" s="10">
        <v>103.01</v>
      </c>
      <c r="O1345" s="10">
        <v>101.18</v>
      </c>
      <c r="P1345" s="10">
        <v>98.44</v>
      </c>
      <c r="Q1345" s="10">
        <v>95.84</v>
      </c>
      <c r="R1345" s="10">
        <v>93.39</v>
      </c>
      <c r="S1345" s="10">
        <v>91.18</v>
      </c>
      <c r="T1345" s="10">
        <v>89.41</v>
      </c>
      <c r="U1345" s="10">
        <v>88</v>
      </c>
      <c r="V1345" s="10">
        <v>86.76</v>
      </c>
      <c r="W1345" s="10">
        <v>85.61</v>
      </c>
      <c r="X1345" s="10">
        <v>84.55</v>
      </c>
      <c r="Y1345" s="10">
        <v>83.59</v>
      </c>
      <c r="Z1345" s="11">
        <v>109.247</v>
      </c>
      <c r="AA1345" s="11">
        <v>99.659000000000006</v>
      </c>
      <c r="AB1345" s="11">
        <v>96.001999999999995</v>
      </c>
      <c r="AC1345" s="11">
        <v>93.863</v>
      </c>
      <c r="AD1345" s="11">
        <v>92.341999999999999</v>
      </c>
      <c r="AE1345" s="11">
        <v>91.129000000000005</v>
      </c>
      <c r="AF1345" s="11">
        <v>90.01</v>
      </c>
      <c r="AG1345" s="11">
        <v>88.753</v>
      </c>
      <c r="AH1345" s="11">
        <v>87.421999999999997</v>
      </c>
      <c r="AI1345" s="11">
        <v>86.319000000000003</v>
      </c>
      <c r="AJ1345" s="11">
        <v>85.635000000000005</v>
      </c>
      <c r="AK1345" s="11">
        <v>85.006</v>
      </c>
      <c r="AL1345" s="11"/>
    </row>
    <row r="1346" spans="1:38" x14ac:dyDescent="0.3">
      <c r="A1346" s="9">
        <f>DATE(2022, 3, 15)</f>
        <v>44635</v>
      </c>
      <c r="B1346" s="10">
        <v>99.91</v>
      </c>
      <c r="C1346" s="10">
        <v>97.58</v>
      </c>
      <c r="D1346" s="10">
        <v>95.64</v>
      </c>
      <c r="E1346" s="10">
        <v>94</v>
      </c>
      <c r="F1346" s="10">
        <v>92.66</v>
      </c>
      <c r="G1346" s="10">
        <v>91.5</v>
      </c>
      <c r="H1346" s="10">
        <v>90.45</v>
      </c>
      <c r="I1346" s="10">
        <v>89.46</v>
      </c>
      <c r="J1346" s="10">
        <v>88.54</v>
      </c>
      <c r="K1346" s="10">
        <v>87.68</v>
      </c>
      <c r="L1346" s="10">
        <v>86.96</v>
      </c>
      <c r="M1346" s="10">
        <v>86.34</v>
      </c>
      <c r="N1346" s="10">
        <v>96.44</v>
      </c>
      <c r="O1346" s="10">
        <v>94.79</v>
      </c>
      <c r="P1346" s="10">
        <v>92.83</v>
      </c>
      <c r="Q1346" s="10">
        <v>90.87</v>
      </c>
      <c r="R1346" s="10">
        <v>88.95</v>
      </c>
      <c r="S1346" s="10">
        <v>87.35</v>
      </c>
      <c r="T1346" s="10">
        <v>86.1</v>
      </c>
      <c r="U1346" s="10">
        <v>85.07</v>
      </c>
      <c r="V1346" s="10">
        <v>84.13</v>
      </c>
      <c r="W1346" s="10">
        <v>83.24</v>
      </c>
      <c r="X1346" s="10">
        <v>82.39</v>
      </c>
      <c r="Y1346" s="10">
        <v>81.58</v>
      </c>
      <c r="Z1346" s="11">
        <v>105.747</v>
      </c>
      <c r="AA1346" s="11">
        <v>94.593000000000004</v>
      </c>
      <c r="AB1346" s="11">
        <v>91.465000000000003</v>
      </c>
      <c r="AC1346" s="11">
        <v>90.009</v>
      </c>
      <c r="AD1346" s="11">
        <v>89.034999999999997</v>
      </c>
      <c r="AE1346" s="11">
        <v>88.084000000000003</v>
      </c>
      <c r="AF1346" s="11">
        <v>87.204999999999998</v>
      </c>
      <c r="AG1346" s="11">
        <v>86.325999999999993</v>
      </c>
      <c r="AH1346" s="11">
        <v>85.290999999999997</v>
      </c>
      <c r="AI1346" s="11">
        <v>84.411000000000001</v>
      </c>
      <c r="AJ1346" s="11">
        <v>83.83</v>
      </c>
      <c r="AK1346" s="11">
        <v>83.281999999999996</v>
      </c>
      <c r="AL1346" s="11"/>
    </row>
    <row r="1347" spans="1:38" x14ac:dyDescent="0.3">
      <c r="A1347" s="9">
        <f>DATE(2022, 3, 16)</f>
        <v>44636</v>
      </c>
      <c r="B1347" s="10">
        <v>98.02</v>
      </c>
      <c r="C1347" s="10">
        <v>95.64</v>
      </c>
      <c r="D1347" s="10">
        <v>93.66</v>
      </c>
      <c r="E1347" s="10">
        <v>91.98</v>
      </c>
      <c r="F1347" s="10">
        <v>90.59</v>
      </c>
      <c r="G1347" s="10">
        <v>89.46</v>
      </c>
      <c r="H1347" s="10">
        <v>88.47</v>
      </c>
      <c r="I1347" s="10">
        <v>87.53</v>
      </c>
      <c r="J1347" s="10">
        <v>86.65</v>
      </c>
      <c r="K1347" s="10">
        <v>85.83</v>
      </c>
      <c r="L1347" s="10">
        <v>85.15</v>
      </c>
      <c r="M1347" s="10">
        <v>84.54</v>
      </c>
      <c r="N1347" s="10">
        <v>95.04</v>
      </c>
      <c r="O1347" s="10">
        <v>93.59</v>
      </c>
      <c r="P1347" s="10">
        <v>91.59</v>
      </c>
      <c r="Q1347" s="10">
        <v>89.53</v>
      </c>
      <c r="R1347" s="10">
        <v>87.56</v>
      </c>
      <c r="S1347" s="10">
        <v>85.95</v>
      </c>
      <c r="T1347" s="10">
        <v>84.68</v>
      </c>
      <c r="U1347" s="10">
        <v>83.62</v>
      </c>
      <c r="V1347" s="10">
        <v>82.7</v>
      </c>
      <c r="W1347" s="10">
        <v>81.819999999999993</v>
      </c>
      <c r="X1347" s="10">
        <v>81.010000000000005</v>
      </c>
      <c r="Y1347" s="10">
        <v>80.239999999999995</v>
      </c>
      <c r="Z1347" s="11">
        <v>105.01600000000001</v>
      </c>
      <c r="AA1347" s="11">
        <v>92.741</v>
      </c>
      <c r="AB1347" s="11">
        <v>89.784000000000006</v>
      </c>
      <c r="AC1347" s="11">
        <v>88.266999999999996</v>
      </c>
      <c r="AD1347" s="11">
        <v>87.195999999999998</v>
      </c>
      <c r="AE1347" s="11">
        <v>86.287000000000006</v>
      </c>
      <c r="AF1347" s="11">
        <v>85.447000000000003</v>
      </c>
      <c r="AG1347" s="11">
        <v>84.408000000000001</v>
      </c>
      <c r="AH1347" s="11">
        <v>83.552999999999997</v>
      </c>
      <c r="AI1347" s="11">
        <v>82.704999999999998</v>
      </c>
      <c r="AJ1347" s="11">
        <v>82.111000000000004</v>
      </c>
      <c r="AK1347" s="11">
        <v>81.572999999999993</v>
      </c>
      <c r="AL1347" s="11"/>
    </row>
    <row r="1348" spans="1:38" x14ac:dyDescent="0.3">
      <c r="A1348" s="9">
        <f>DATE(2022, 3, 17)</f>
        <v>44637</v>
      </c>
      <c r="B1348" s="10">
        <v>106.64</v>
      </c>
      <c r="C1348" s="10">
        <v>103.56</v>
      </c>
      <c r="D1348" s="10">
        <v>100.95</v>
      </c>
      <c r="E1348" s="10">
        <v>98.83</v>
      </c>
      <c r="F1348" s="10">
        <v>97.05</v>
      </c>
      <c r="G1348" s="10">
        <v>95.56</v>
      </c>
      <c r="H1348" s="10">
        <v>94.26</v>
      </c>
      <c r="I1348" s="10">
        <v>93.04</v>
      </c>
      <c r="J1348" s="10">
        <v>91.91</v>
      </c>
      <c r="K1348" s="10">
        <v>90.91</v>
      </c>
      <c r="L1348" s="10">
        <v>90.08</v>
      </c>
      <c r="M1348" s="10">
        <v>89.35</v>
      </c>
      <c r="N1348" s="10">
        <v>102.98</v>
      </c>
      <c r="O1348" s="10">
        <v>101.65</v>
      </c>
      <c r="P1348" s="10">
        <v>99.38</v>
      </c>
      <c r="Q1348" s="10">
        <v>96.98</v>
      </c>
      <c r="R1348" s="10">
        <v>94.5</v>
      </c>
      <c r="S1348" s="10">
        <v>92.36</v>
      </c>
      <c r="T1348" s="10">
        <v>90.65</v>
      </c>
      <c r="U1348" s="10">
        <v>89.29</v>
      </c>
      <c r="V1348" s="10">
        <v>88.12</v>
      </c>
      <c r="W1348" s="10">
        <v>87.04</v>
      </c>
      <c r="X1348" s="10">
        <v>86.05</v>
      </c>
      <c r="Y1348" s="10">
        <v>85.14</v>
      </c>
      <c r="Z1348" s="11">
        <v>108.6</v>
      </c>
      <c r="AA1348" s="11">
        <v>100.77</v>
      </c>
      <c r="AB1348" s="11">
        <v>97.424000000000007</v>
      </c>
      <c r="AC1348" s="11">
        <v>95.209000000000003</v>
      </c>
      <c r="AD1348" s="11">
        <v>93.748999999999995</v>
      </c>
      <c r="AE1348" s="11">
        <v>92.442999999999998</v>
      </c>
      <c r="AF1348" s="11">
        <v>91.305000000000007</v>
      </c>
      <c r="AG1348" s="11">
        <v>90.075999999999993</v>
      </c>
      <c r="AH1348" s="11">
        <v>88.905000000000001</v>
      </c>
      <c r="AI1348" s="11">
        <v>87.801000000000002</v>
      </c>
      <c r="AJ1348" s="11">
        <v>87.084999999999994</v>
      </c>
      <c r="AK1348" s="11">
        <v>86.427999999999997</v>
      </c>
      <c r="AL1348" s="11"/>
    </row>
    <row r="1349" spans="1:38" x14ac:dyDescent="0.3">
      <c r="A1349" s="9">
        <f>DATE(2022, 3, 18)</f>
        <v>44638</v>
      </c>
      <c r="B1349" s="10">
        <v>107.93</v>
      </c>
      <c r="C1349" s="10">
        <v>105.07</v>
      </c>
      <c r="D1349" s="10">
        <v>102.54</v>
      </c>
      <c r="E1349" s="10">
        <v>100.43</v>
      </c>
      <c r="F1349" s="10">
        <v>98.62</v>
      </c>
      <c r="G1349" s="10">
        <v>97.06</v>
      </c>
      <c r="H1349" s="10">
        <v>95.67</v>
      </c>
      <c r="I1349" s="10">
        <v>94.35</v>
      </c>
      <c r="J1349" s="10">
        <v>93.16</v>
      </c>
      <c r="K1349" s="10">
        <v>92.1</v>
      </c>
      <c r="L1349" s="10">
        <v>91.2</v>
      </c>
      <c r="M1349" s="10">
        <v>90.4</v>
      </c>
      <c r="N1349" s="10">
        <v>104.7</v>
      </c>
      <c r="O1349" s="10">
        <v>103.09</v>
      </c>
      <c r="P1349" s="10">
        <v>100.65</v>
      </c>
      <c r="Q1349" s="10">
        <v>98.19</v>
      </c>
      <c r="R1349" s="10">
        <v>95.75</v>
      </c>
      <c r="S1349" s="10">
        <v>93.62</v>
      </c>
      <c r="T1349" s="10">
        <v>91.91</v>
      </c>
      <c r="U1349" s="10">
        <v>90.47</v>
      </c>
      <c r="V1349" s="10">
        <v>89.2</v>
      </c>
      <c r="W1349" s="10">
        <v>88.03</v>
      </c>
      <c r="X1349" s="10">
        <v>86.95</v>
      </c>
      <c r="Y1349" s="10">
        <v>85.96</v>
      </c>
      <c r="Z1349" s="11">
        <v>109.297</v>
      </c>
      <c r="AA1349" s="11">
        <v>102.164</v>
      </c>
      <c r="AB1349" s="11">
        <v>98.793999999999997</v>
      </c>
      <c r="AC1349" s="11">
        <v>96.677999999999997</v>
      </c>
      <c r="AD1349" s="11">
        <v>95.215999999999994</v>
      </c>
      <c r="AE1349" s="11">
        <v>93.95</v>
      </c>
      <c r="AF1349" s="11">
        <v>92.71</v>
      </c>
      <c r="AG1349" s="11">
        <v>91.382999999999996</v>
      </c>
      <c r="AH1349" s="11">
        <v>90.152000000000001</v>
      </c>
      <c r="AI1349" s="11">
        <v>88.983999999999995</v>
      </c>
      <c r="AJ1349" s="11">
        <v>88.201999999999998</v>
      </c>
      <c r="AK1349" s="11">
        <v>87.474999999999994</v>
      </c>
      <c r="AL1349" s="11"/>
    </row>
    <row r="1350" spans="1:38" x14ac:dyDescent="0.3">
      <c r="A1350" s="9">
        <f>DATE(2022, 3, 21)</f>
        <v>44641</v>
      </c>
      <c r="B1350" s="10">
        <v>115.62</v>
      </c>
      <c r="C1350" s="10">
        <v>111.92</v>
      </c>
      <c r="D1350" s="10">
        <v>108.64</v>
      </c>
      <c r="E1350" s="10">
        <v>105.9</v>
      </c>
      <c r="F1350" s="10">
        <v>103.66</v>
      </c>
      <c r="G1350" s="10">
        <v>101.73</v>
      </c>
      <c r="H1350" s="10">
        <v>100.04</v>
      </c>
      <c r="I1350" s="10">
        <v>98.47</v>
      </c>
      <c r="J1350" s="10">
        <v>97.02</v>
      </c>
      <c r="K1350" s="10">
        <v>95.73</v>
      </c>
      <c r="L1350" s="10">
        <v>94.65</v>
      </c>
      <c r="M1350" s="10">
        <v>93.69</v>
      </c>
      <c r="N1350" s="10">
        <v>112.12</v>
      </c>
      <c r="O1350" s="10">
        <v>109.97</v>
      </c>
      <c r="P1350" s="10">
        <v>107.06</v>
      </c>
      <c r="Q1350" s="10">
        <v>103.98</v>
      </c>
      <c r="R1350" s="10">
        <v>100.96</v>
      </c>
      <c r="S1350" s="10">
        <v>98.37</v>
      </c>
      <c r="T1350" s="10">
        <v>96.33</v>
      </c>
      <c r="U1350" s="10">
        <v>94.68</v>
      </c>
      <c r="V1350" s="10">
        <v>93.25</v>
      </c>
      <c r="W1350" s="10">
        <v>91.93</v>
      </c>
      <c r="X1350" s="10">
        <v>90.69</v>
      </c>
      <c r="Y1350" s="10">
        <v>89.55</v>
      </c>
      <c r="Z1350" s="11">
        <v>111.661</v>
      </c>
      <c r="AA1350" s="11">
        <v>108.71599999999999</v>
      </c>
      <c r="AB1350" s="11">
        <v>104.637</v>
      </c>
      <c r="AC1350" s="11">
        <v>101.94799999999999</v>
      </c>
      <c r="AD1350" s="11">
        <v>100.148</v>
      </c>
      <c r="AE1350" s="11">
        <v>98.576999999999998</v>
      </c>
      <c r="AF1350" s="11">
        <v>96.998999999999995</v>
      </c>
      <c r="AG1350" s="11">
        <v>95.411000000000001</v>
      </c>
      <c r="AH1350" s="11">
        <v>93.891000000000005</v>
      </c>
      <c r="AI1350" s="11">
        <v>92.497</v>
      </c>
      <c r="AJ1350" s="11">
        <v>91.563999999999993</v>
      </c>
      <c r="AK1350" s="11">
        <v>90.677999999999997</v>
      </c>
      <c r="AL1350" s="11"/>
    </row>
    <row r="1351" spans="1:38" x14ac:dyDescent="0.3">
      <c r="A1351" s="9">
        <f>DATE(2022, 3, 22)</f>
        <v>44642</v>
      </c>
      <c r="B1351" s="10">
        <v>115.48</v>
      </c>
      <c r="C1351" s="10">
        <v>111.83</v>
      </c>
      <c r="D1351" s="10">
        <v>108.53</v>
      </c>
      <c r="E1351" s="10">
        <v>105.78</v>
      </c>
      <c r="F1351" s="10">
        <v>103.51</v>
      </c>
      <c r="G1351" s="10">
        <v>101.57</v>
      </c>
      <c r="H1351" s="10">
        <v>99.82</v>
      </c>
      <c r="I1351" s="10">
        <v>98.19</v>
      </c>
      <c r="J1351" s="10">
        <v>96.7</v>
      </c>
      <c r="K1351" s="10">
        <v>95.39</v>
      </c>
      <c r="L1351" s="10">
        <v>94.33</v>
      </c>
      <c r="M1351" s="10">
        <v>93.37</v>
      </c>
      <c r="N1351" s="10">
        <v>111.76</v>
      </c>
      <c r="O1351" s="10">
        <v>109.27</v>
      </c>
      <c r="P1351" s="10">
        <v>106.55</v>
      </c>
      <c r="Q1351" s="10">
        <v>103.57</v>
      </c>
      <c r="R1351" s="10">
        <v>100.63</v>
      </c>
      <c r="S1351" s="10">
        <v>98.03</v>
      </c>
      <c r="T1351" s="10">
        <v>95.9</v>
      </c>
      <c r="U1351" s="10">
        <v>94.17</v>
      </c>
      <c r="V1351" s="10">
        <v>92.69</v>
      </c>
      <c r="W1351" s="10">
        <v>91.34</v>
      </c>
      <c r="X1351" s="10">
        <v>90.1</v>
      </c>
      <c r="Y1351" s="10">
        <v>88.96</v>
      </c>
      <c r="Z1351" s="11">
        <v>111.301</v>
      </c>
      <c r="AA1351" s="11">
        <v>108.38500000000001</v>
      </c>
      <c r="AB1351" s="11">
        <v>104.395</v>
      </c>
      <c r="AC1351" s="11">
        <v>101.78700000000001</v>
      </c>
      <c r="AD1351" s="11">
        <v>99.897999999999996</v>
      </c>
      <c r="AE1351" s="11">
        <v>98.244</v>
      </c>
      <c r="AF1351" s="11">
        <v>96.646000000000001</v>
      </c>
      <c r="AG1351" s="11">
        <v>94.968999999999994</v>
      </c>
      <c r="AH1351" s="11">
        <v>93.44</v>
      </c>
      <c r="AI1351" s="11">
        <v>92.069000000000003</v>
      </c>
      <c r="AJ1351" s="11">
        <v>91.084000000000003</v>
      </c>
      <c r="AK1351" s="11">
        <v>90.206999999999994</v>
      </c>
      <c r="AL1351" s="11"/>
    </row>
    <row r="1352" spans="1:38" x14ac:dyDescent="0.3">
      <c r="A1352" s="9">
        <f>DATE(2022, 3, 23)</f>
        <v>44643</v>
      </c>
      <c r="B1352" s="10">
        <v>121.6</v>
      </c>
      <c r="C1352" s="10">
        <v>117.75</v>
      </c>
      <c r="D1352" s="10">
        <v>113.86</v>
      </c>
      <c r="E1352" s="10">
        <v>110.49</v>
      </c>
      <c r="F1352" s="10">
        <v>107.65</v>
      </c>
      <c r="G1352" s="10">
        <v>105.23</v>
      </c>
      <c r="H1352" s="10">
        <v>103.13</v>
      </c>
      <c r="I1352" s="10">
        <v>101.22</v>
      </c>
      <c r="J1352" s="10">
        <v>99.51</v>
      </c>
      <c r="K1352" s="10">
        <v>98.01</v>
      </c>
      <c r="L1352" s="10">
        <v>96.83</v>
      </c>
      <c r="M1352" s="10">
        <v>95.76</v>
      </c>
      <c r="N1352" s="10">
        <v>114.93</v>
      </c>
      <c r="O1352" s="10">
        <v>111.99</v>
      </c>
      <c r="P1352" s="10">
        <v>108.65</v>
      </c>
      <c r="Q1352" s="10">
        <v>105.26</v>
      </c>
      <c r="R1352" s="10">
        <v>102.12</v>
      </c>
      <c r="S1352" s="10">
        <v>99.52</v>
      </c>
      <c r="T1352" s="10">
        <v>97.46</v>
      </c>
      <c r="U1352" s="10">
        <v>95.72</v>
      </c>
      <c r="V1352" s="10">
        <v>94.16</v>
      </c>
      <c r="W1352" s="10">
        <v>92.73</v>
      </c>
      <c r="X1352" s="10">
        <v>91.44</v>
      </c>
      <c r="Y1352" s="10">
        <v>90.3</v>
      </c>
      <c r="Z1352" s="11">
        <v>112.497</v>
      </c>
      <c r="AA1352" s="11">
        <v>113.196</v>
      </c>
      <c r="AB1352" s="11">
        <v>108.907</v>
      </c>
      <c r="AC1352" s="11">
        <v>105.73099999999999</v>
      </c>
      <c r="AD1352" s="11">
        <v>103.325</v>
      </c>
      <c r="AE1352" s="11">
        <v>101.249</v>
      </c>
      <c r="AF1352" s="11">
        <v>99.302999999999997</v>
      </c>
      <c r="AG1352" s="11">
        <v>97.448999999999998</v>
      </c>
      <c r="AH1352" s="11">
        <v>95.682000000000002</v>
      </c>
      <c r="AI1352" s="11">
        <v>94.358000000000004</v>
      </c>
      <c r="AJ1352" s="11">
        <v>93.489000000000004</v>
      </c>
      <c r="AK1352" s="11">
        <v>92.593000000000004</v>
      </c>
      <c r="AL1352" s="11"/>
    </row>
    <row r="1353" spans="1:38" x14ac:dyDescent="0.3">
      <c r="A1353" s="9">
        <f>DATE(2022, 3, 24)</f>
        <v>44644</v>
      </c>
      <c r="B1353" s="10">
        <v>119.03</v>
      </c>
      <c r="C1353" s="10">
        <v>115.3</v>
      </c>
      <c r="D1353" s="10">
        <v>111.51</v>
      </c>
      <c r="E1353" s="10">
        <v>108.21</v>
      </c>
      <c r="F1353" s="10">
        <v>105.4</v>
      </c>
      <c r="G1353" s="10">
        <v>103.02</v>
      </c>
      <c r="H1353" s="10">
        <v>100.99</v>
      </c>
      <c r="I1353" s="10">
        <v>99.14</v>
      </c>
      <c r="J1353" s="10">
        <v>97.45</v>
      </c>
      <c r="K1353" s="10">
        <v>95.97</v>
      </c>
      <c r="L1353" s="10">
        <v>94.78</v>
      </c>
      <c r="M1353" s="10">
        <v>93.7</v>
      </c>
      <c r="N1353" s="10">
        <v>112.34</v>
      </c>
      <c r="O1353" s="10">
        <v>109.43</v>
      </c>
      <c r="P1353" s="10">
        <v>106.19</v>
      </c>
      <c r="Q1353" s="10">
        <v>102.87</v>
      </c>
      <c r="R1353" s="10">
        <v>99.75</v>
      </c>
      <c r="S1353" s="10">
        <v>97.19</v>
      </c>
      <c r="T1353" s="10">
        <v>95.18</v>
      </c>
      <c r="U1353" s="10">
        <v>93.48</v>
      </c>
      <c r="V1353" s="10">
        <v>91.94</v>
      </c>
      <c r="W1353" s="10">
        <v>90.53</v>
      </c>
      <c r="X1353" s="10">
        <v>89.25</v>
      </c>
      <c r="Y1353" s="10">
        <v>88.1</v>
      </c>
      <c r="Z1353" s="11">
        <v>110.78</v>
      </c>
      <c r="AA1353" s="11">
        <v>111.505</v>
      </c>
      <c r="AB1353" s="11">
        <v>106.905</v>
      </c>
      <c r="AC1353" s="11">
        <v>103.595</v>
      </c>
      <c r="AD1353" s="11">
        <v>101.185</v>
      </c>
      <c r="AE1353" s="11">
        <v>99.174999999999997</v>
      </c>
      <c r="AF1353" s="11">
        <v>97.215000000000003</v>
      </c>
      <c r="AG1353" s="11">
        <v>95.355000000000004</v>
      </c>
      <c r="AH1353" s="11">
        <v>93.584999999999994</v>
      </c>
      <c r="AI1353" s="11">
        <v>92.265000000000001</v>
      </c>
      <c r="AJ1353" s="11">
        <v>91.394999999999996</v>
      </c>
      <c r="AK1353" s="11">
        <v>90.495000000000005</v>
      </c>
      <c r="AL1353" s="11"/>
    </row>
    <row r="1354" spans="1:38" x14ac:dyDescent="0.3">
      <c r="A1354" s="9">
        <f>DATE(2022, 3, 25)</f>
        <v>44645</v>
      </c>
      <c r="B1354" s="10">
        <v>120.65</v>
      </c>
      <c r="C1354" s="10">
        <v>117.37</v>
      </c>
      <c r="D1354" s="10">
        <v>113.58</v>
      </c>
      <c r="E1354" s="10">
        <v>110.19</v>
      </c>
      <c r="F1354" s="10">
        <v>107.22</v>
      </c>
      <c r="G1354" s="10">
        <v>104.69</v>
      </c>
      <c r="H1354" s="10">
        <v>102.56</v>
      </c>
      <c r="I1354" s="10">
        <v>100.61</v>
      </c>
      <c r="J1354" s="10">
        <v>98.86</v>
      </c>
      <c r="K1354" s="10">
        <v>97.33</v>
      </c>
      <c r="L1354" s="10">
        <v>96.09</v>
      </c>
      <c r="M1354" s="10">
        <v>94.96</v>
      </c>
      <c r="N1354" s="10">
        <v>113.9</v>
      </c>
      <c r="O1354" s="10">
        <v>111.06</v>
      </c>
      <c r="P1354" s="10">
        <v>107.93</v>
      </c>
      <c r="Q1354" s="10">
        <v>104.54</v>
      </c>
      <c r="R1354" s="10">
        <v>101.31</v>
      </c>
      <c r="S1354" s="10">
        <v>98.66</v>
      </c>
      <c r="T1354" s="10">
        <v>96.58</v>
      </c>
      <c r="U1354" s="10">
        <v>94.83</v>
      </c>
      <c r="V1354" s="10">
        <v>93.25</v>
      </c>
      <c r="W1354" s="10">
        <v>91.8</v>
      </c>
      <c r="X1354" s="10">
        <v>90.49</v>
      </c>
      <c r="Y1354" s="10">
        <v>89.33</v>
      </c>
      <c r="Z1354" s="11">
        <v>112.246</v>
      </c>
      <c r="AA1354" s="11">
        <v>113.39100000000001</v>
      </c>
      <c r="AB1354" s="11">
        <v>108.726</v>
      </c>
      <c r="AC1354" s="11">
        <v>105.30500000000001</v>
      </c>
      <c r="AD1354" s="11">
        <v>102.74</v>
      </c>
      <c r="AE1354" s="11">
        <v>100.67700000000001</v>
      </c>
      <c r="AF1354" s="11">
        <v>98.730999999999995</v>
      </c>
      <c r="AG1354" s="11">
        <v>96.837000000000003</v>
      </c>
      <c r="AH1354" s="11">
        <v>95.02</v>
      </c>
      <c r="AI1354" s="11">
        <v>93.632000000000005</v>
      </c>
      <c r="AJ1354" s="11">
        <v>92.626000000000005</v>
      </c>
      <c r="AK1354" s="11">
        <v>91.692999999999998</v>
      </c>
      <c r="AL1354" s="11"/>
    </row>
    <row r="1355" spans="1:38" x14ac:dyDescent="0.3">
      <c r="A1355" s="9">
        <f>DATE(2022, 3, 28)</f>
        <v>44648</v>
      </c>
      <c r="B1355" s="10">
        <v>112.48</v>
      </c>
      <c r="C1355" s="10">
        <v>109.49</v>
      </c>
      <c r="D1355" s="10">
        <v>106.16</v>
      </c>
      <c r="E1355" s="10">
        <v>103.23</v>
      </c>
      <c r="F1355" s="10">
        <v>100.74</v>
      </c>
      <c r="G1355" s="10">
        <v>98.63</v>
      </c>
      <c r="H1355" s="10">
        <v>96.88</v>
      </c>
      <c r="I1355" s="10">
        <v>95.28</v>
      </c>
      <c r="J1355" s="10">
        <v>93.84</v>
      </c>
      <c r="K1355" s="10">
        <v>92.58</v>
      </c>
      <c r="L1355" s="10">
        <v>91.56</v>
      </c>
      <c r="M1355" s="10">
        <v>90.64</v>
      </c>
      <c r="N1355" s="10">
        <v>105.96</v>
      </c>
      <c r="O1355" s="10">
        <v>103.42</v>
      </c>
      <c r="P1355" s="10">
        <v>100.72</v>
      </c>
      <c r="Q1355" s="10">
        <v>97.84</v>
      </c>
      <c r="R1355" s="10">
        <v>95.09</v>
      </c>
      <c r="S1355" s="10">
        <v>92.82</v>
      </c>
      <c r="T1355" s="10">
        <v>91.08</v>
      </c>
      <c r="U1355" s="10">
        <v>89.61</v>
      </c>
      <c r="V1355" s="10">
        <v>88.29</v>
      </c>
      <c r="W1355" s="10">
        <v>87.1</v>
      </c>
      <c r="X1355" s="10">
        <v>86.02</v>
      </c>
      <c r="Y1355" s="10">
        <v>85.05</v>
      </c>
      <c r="Z1355" s="11">
        <v>110.825</v>
      </c>
      <c r="AA1355" s="11">
        <v>105.774</v>
      </c>
      <c r="AB1355" s="11">
        <v>101.217</v>
      </c>
      <c r="AC1355" s="11">
        <v>98.356999999999999</v>
      </c>
      <c r="AD1355" s="11">
        <v>96.28</v>
      </c>
      <c r="AE1355" s="11">
        <v>94.603999999999999</v>
      </c>
      <c r="AF1355" s="11">
        <v>93.057000000000002</v>
      </c>
      <c r="AG1355" s="11">
        <v>91.570999999999998</v>
      </c>
      <c r="AH1355" s="11">
        <v>90.153000000000006</v>
      </c>
      <c r="AI1355" s="11">
        <v>88.912999999999997</v>
      </c>
      <c r="AJ1355" s="11">
        <v>88.156000000000006</v>
      </c>
      <c r="AK1355" s="11">
        <v>87.391999999999996</v>
      </c>
      <c r="AL1355" s="11"/>
    </row>
    <row r="1356" spans="1:38" x14ac:dyDescent="0.3">
      <c r="A1356" s="9">
        <f>DATE(2022, 3, 29)</f>
        <v>44649</v>
      </c>
      <c r="B1356" s="10">
        <v>110.23</v>
      </c>
      <c r="C1356" s="10">
        <v>107.71</v>
      </c>
      <c r="D1356" s="10">
        <v>104.74</v>
      </c>
      <c r="E1356" s="10">
        <v>102.14</v>
      </c>
      <c r="F1356" s="10">
        <v>99.96</v>
      </c>
      <c r="G1356" s="10">
        <v>98.12</v>
      </c>
      <c r="H1356" s="10">
        <v>96.57</v>
      </c>
      <c r="I1356" s="10">
        <v>95.14</v>
      </c>
      <c r="J1356" s="10">
        <v>93.8</v>
      </c>
      <c r="K1356" s="10">
        <v>92.61</v>
      </c>
      <c r="L1356" s="10">
        <v>91.64</v>
      </c>
      <c r="M1356" s="10">
        <v>90.74</v>
      </c>
      <c r="N1356" s="10">
        <v>104.24</v>
      </c>
      <c r="O1356" s="10">
        <v>102.05</v>
      </c>
      <c r="P1356" s="10">
        <v>99.65</v>
      </c>
      <c r="Q1356" s="10">
        <v>97.07</v>
      </c>
      <c r="R1356" s="10">
        <v>94.64</v>
      </c>
      <c r="S1356" s="10">
        <v>92.65</v>
      </c>
      <c r="T1356" s="10">
        <v>91.06</v>
      </c>
      <c r="U1356" s="10">
        <v>89.68</v>
      </c>
      <c r="V1356" s="10">
        <v>88.44</v>
      </c>
      <c r="W1356" s="10">
        <v>87.3</v>
      </c>
      <c r="X1356" s="10">
        <v>86.25</v>
      </c>
      <c r="Y1356" s="10">
        <v>85.29</v>
      </c>
      <c r="Z1356" s="11">
        <v>110.741</v>
      </c>
      <c r="AA1356" s="11">
        <v>104.352</v>
      </c>
      <c r="AB1356" s="11">
        <v>100.042</v>
      </c>
      <c r="AC1356" s="11">
        <v>97.421000000000006</v>
      </c>
      <c r="AD1356" s="11">
        <v>95.602000000000004</v>
      </c>
      <c r="AE1356" s="11">
        <v>94.173000000000002</v>
      </c>
      <c r="AF1356" s="11">
        <v>92.834999999999994</v>
      </c>
      <c r="AG1356" s="11">
        <v>91.495999999999995</v>
      </c>
      <c r="AH1356" s="11">
        <v>90.165999999999997</v>
      </c>
      <c r="AI1356" s="11">
        <v>88.977999999999994</v>
      </c>
      <c r="AJ1356" s="11">
        <v>88.147000000000006</v>
      </c>
      <c r="AK1356" s="11">
        <v>87.460999999999999</v>
      </c>
      <c r="AL1356" s="11"/>
    </row>
    <row r="1357" spans="1:38" x14ac:dyDescent="0.3">
      <c r="A1357" s="9">
        <f>DATE(2022, 3, 30)</f>
        <v>44650</v>
      </c>
      <c r="B1357" s="10">
        <v>113.45</v>
      </c>
      <c r="C1357" s="10">
        <v>111.44</v>
      </c>
      <c r="D1357" s="10">
        <v>108.64</v>
      </c>
      <c r="E1357" s="10">
        <v>106.07</v>
      </c>
      <c r="F1357" s="10">
        <v>103.77</v>
      </c>
      <c r="G1357" s="10">
        <v>101.78</v>
      </c>
      <c r="H1357" s="10">
        <v>100.04</v>
      </c>
      <c r="I1357" s="10">
        <v>98.44</v>
      </c>
      <c r="J1357" s="10">
        <v>96.97</v>
      </c>
      <c r="K1357" s="10">
        <v>95.66</v>
      </c>
      <c r="L1357" s="10">
        <v>94.57</v>
      </c>
      <c r="M1357" s="10">
        <v>93.56</v>
      </c>
      <c r="N1357" s="10">
        <v>107.82</v>
      </c>
      <c r="O1357" s="10">
        <v>105.68</v>
      </c>
      <c r="P1357" s="10">
        <v>103.32</v>
      </c>
      <c r="Q1357" s="10">
        <v>100.74</v>
      </c>
      <c r="R1357" s="10">
        <v>98.24</v>
      </c>
      <c r="S1357" s="10">
        <v>96.08</v>
      </c>
      <c r="T1357" s="10">
        <v>94.36</v>
      </c>
      <c r="U1357" s="10">
        <v>92.86</v>
      </c>
      <c r="V1357" s="10">
        <v>91.5</v>
      </c>
      <c r="W1357" s="10">
        <v>90.26</v>
      </c>
      <c r="X1357" s="10">
        <v>89.11</v>
      </c>
      <c r="Y1357" s="10">
        <v>88.06</v>
      </c>
      <c r="Z1357" s="11">
        <v>111.01300000000001</v>
      </c>
      <c r="AA1357" s="11">
        <v>108.2</v>
      </c>
      <c r="AB1357" s="11">
        <v>103.783</v>
      </c>
      <c r="AC1357" s="11">
        <v>101.16500000000001</v>
      </c>
      <c r="AD1357" s="11">
        <v>99.295000000000002</v>
      </c>
      <c r="AE1357" s="11">
        <v>97.754000000000005</v>
      </c>
      <c r="AF1357" s="11">
        <v>96.296999999999997</v>
      </c>
      <c r="AG1357" s="11">
        <v>94.83</v>
      </c>
      <c r="AH1357" s="11">
        <v>93.38</v>
      </c>
      <c r="AI1357" s="11">
        <v>92.055999999999997</v>
      </c>
      <c r="AJ1357" s="11">
        <v>91.171999999999997</v>
      </c>
      <c r="AK1357" s="11">
        <v>90.335999999999999</v>
      </c>
      <c r="AL1357" s="11"/>
    </row>
    <row r="1358" spans="1:38" x14ac:dyDescent="0.3">
      <c r="A1358" s="9">
        <f>DATE(2022, 3, 31)</f>
        <v>44651</v>
      </c>
      <c r="B1358" s="10">
        <v>107.91</v>
      </c>
      <c r="C1358" s="10">
        <v>104.71</v>
      </c>
      <c r="D1358" s="10">
        <v>102.73</v>
      </c>
      <c r="E1358" s="10">
        <v>100.98</v>
      </c>
      <c r="F1358" s="10">
        <v>99.43</v>
      </c>
      <c r="G1358" s="10">
        <v>98.04</v>
      </c>
      <c r="H1358" s="10">
        <v>96.75</v>
      </c>
      <c r="I1358" s="10">
        <v>95.51</v>
      </c>
      <c r="J1358" s="10">
        <v>94.35</v>
      </c>
      <c r="K1358" s="10">
        <v>93.33</v>
      </c>
      <c r="L1358" s="10">
        <v>92.53</v>
      </c>
      <c r="M1358" s="10">
        <v>91.78</v>
      </c>
      <c r="N1358" s="10">
        <v>100.28</v>
      </c>
      <c r="O1358" s="10">
        <v>98.52</v>
      </c>
      <c r="P1358" s="10">
        <v>96.88</v>
      </c>
      <c r="Q1358" s="10">
        <v>95.08</v>
      </c>
      <c r="R1358" s="10">
        <v>93.32</v>
      </c>
      <c r="S1358" s="10">
        <v>91.82</v>
      </c>
      <c r="T1358" s="10">
        <v>90.64</v>
      </c>
      <c r="U1358" s="10">
        <v>89.6</v>
      </c>
      <c r="V1358" s="10">
        <v>88.62</v>
      </c>
      <c r="W1358" s="10">
        <v>87.7</v>
      </c>
      <c r="X1358" s="10">
        <v>86.84</v>
      </c>
      <c r="Y1358" s="10">
        <v>86.05</v>
      </c>
      <c r="Z1358" s="11">
        <v>110.89400000000001</v>
      </c>
      <c r="AA1358" s="11">
        <v>102.31100000000001</v>
      </c>
      <c r="AB1358" s="11">
        <v>98.4</v>
      </c>
      <c r="AC1358" s="11">
        <v>96.52</v>
      </c>
      <c r="AD1358" s="11">
        <v>95.293999999999997</v>
      </c>
      <c r="AE1358" s="11">
        <v>94.263999999999996</v>
      </c>
      <c r="AF1358" s="11">
        <v>93.284000000000006</v>
      </c>
      <c r="AG1358" s="11">
        <v>92.094999999999999</v>
      </c>
      <c r="AH1358" s="11">
        <v>90.944000000000003</v>
      </c>
      <c r="AI1358" s="11">
        <v>89.894000000000005</v>
      </c>
      <c r="AJ1358" s="11">
        <v>89.274000000000001</v>
      </c>
      <c r="AK1358" s="11">
        <v>88.677999999999997</v>
      </c>
      <c r="AL1358" s="11"/>
    </row>
    <row r="1359" spans="1:38" x14ac:dyDescent="0.3">
      <c r="A1359" s="9">
        <f>DATE(2022, 4, 1)</f>
        <v>44652</v>
      </c>
      <c r="B1359" s="10">
        <v>104.39</v>
      </c>
      <c r="C1359" s="10">
        <v>102.82</v>
      </c>
      <c r="D1359" s="10">
        <v>101.44</v>
      </c>
      <c r="E1359" s="10">
        <v>100.24</v>
      </c>
      <c r="F1359" s="10">
        <v>99.12</v>
      </c>
      <c r="G1359" s="10">
        <v>98.03</v>
      </c>
      <c r="H1359" s="10">
        <v>97</v>
      </c>
      <c r="I1359" s="10">
        <v>96.01</v>
      </c>
      <c r="J1359" s="10">
        <v>95.1</v>
      </c>
      <c r="K1359" s="10">
        <v>94.38</v>
      </c>
      <c r="L1359" s="10">
        <v>93.67</v>
      </c>
      <c r="M1359" s="10">
        <v>93.05</v>
      </c>
      <c r="N1359" s="10">
        <v>99.27</v>
      </c>
      <c r="O1359" s="10">
        <v>97.9</v>
      </c>
      <c r="P1359" s="10">
        <v>96.76</v>
      </c>
      <c r="Q1359" s="10">
        <v>95.53</v>
      </c>
      <c r="R1359" s="10">
        <v>94.29</v>
      </c>
      <c r="S1359" s="10">
        <v>93.17</v>
      </c>
      <c r="T1359" s="10">
        <v>92.22</v>
      </c>
      <c r="U1359" s="10">
        <v>91.33</v>
      </c>
      <c r="V1359" s="10">
        <v>90.48</v>
      </c>
      <c r="W1359" s="10">
        <v>89.68</v>
      </c>
      <c r="X1359" s="10">
        <v>88.91</v>
      </c>
      <c r="Y1359" s="10">
        <v>88.19</v>
      </c>
      <c r="Z1359" s="11">
        <v>110.89400000000001</v>
      </c>
      <c r="AA1359" s="11">
        <v>101.873</v>
      </c>
      <c r="AB1359" s="11">
        <v>98.617000000000004</v>
      </c>
      <c r="AC1359" s="11">
        <v>97.114999999999995</v>
      </c>
      <c r="AD1359" s="11">
        <v>96.167000000000002</v>
      </c>
      <c r="AE1359" s="11">
        <v>95.373000000000005</v>
      </c>
      <c r="AF1359" s="11">
        <v>94.613</v>
      </c>
      <c r="AG1359" s="11">
        <v>93.632999999999996</v>
      </c>
      <c r="AH1359" s="11">
        <v>92.649000000000001</v>
      </c>
      <c r="AI1359" s="11">
        <v>91.710999999999999</v>
      </c>
      <c r="AJ1359" s="11">
        <v>91.176000000000002</v>
      </c>
      <c r="AK1359" s="11">
        <v>90.638999999999996</v>
      </c>
      <c r="AL1359" s="11"/>
    </row>
    <row r="1360" spans="1:38" x14ac:dyDescent="0.3">
      <c r="A1360" s="9">
        <f>DATE(2022, 4, 4)</f>
        <v>44655</v>
      </c>
      <c r="B1360" s="10">
        <v>107.53</v>
      </c>
      <c r="C1360" s="10">
        <v>106</v>
      </c>
      <c r="D1360" s="10">
        <v>104.56</v>
      </c>
      <c r="E1360" s="10">
        <v>103.26</v>
      </c>
      <c r="F1360" s="10">
        <v>102.06</v>
      </c>
      <c r="G1360" s="10">
        <v>100.93</v>
      </c>
      <c r="H1360" s="10">
        <v>99.85</v>
      </c>
      <c r="I1360" s="10">
        <v>98.81</v>
      </c>
      <c r="J1360" s="10">
        <v>97.81</v>
      </c>
      <c r="K1360" s="10">
        <v>96.97</v>
      </c>
      <c r="L1360" s="10">
        <v>96.18</v>
      </c>
      <c r="M1360" s="10">
        <v>95.48</v>
      </c>
      <c r="N1360" s="10">
        <v>103.28</v>
      </c>
      <c r="O1360" s="10">
        <v>101.84</v>
      </c>
      <c r="P1360" s="10">
        <v>100.6</v>
      </c>
      <c r="Q1360" s="10">
        <v>99.28</v>
      </c>
      <c r="R1360" s="10">
        <v>97.95</v>
      </c>
      <c r="S1360" s="10">
        <v>96.66</v>
      </c>
      <c r="T1360" s="10">
        <v>95.52</v>
      </c>
      <c r="U1360" s="10">
        <v>94.47</v>
      </c>
      <c r="V1360" s="10">
        <v>93.49</v>
      </c>
      <c r="W1360" s="10">
        <v>92.55</v>
      </c>
      <c r="X1360" s="10">
        <v>91.66</v>
      </c>
      <c r="Y1360" s="10">
        <v>90.83</v>
      </c>
      <c r="Z1360" s="11">
        <v>104.404</v>
      </c>
      <c r="AA1360" s="11">
        <v>101.705</v>
      </c>
      <c r="AB1360" s="11">
        <v>100.241</v>
      </c>
      <c r="AC1360" s="11">
        <v>99.293000000000006</v>
      </c>
      <c r="AD1360" s="11">
        <v>98.450999999999993</v>
      </c>
      <c r="AE1360" s="11">
        <v>97.611000000000004</v>
      </c>
      <c r="AF1360" s="11">
        <v>96.53</v>
      </c>
      <c r="AG1360" s="11">
        <v>95.504999999999995</v>
      </c>
      <c r="AH1360" s="11">
        <v>94.46</v>
      </c>
      <c r="AI1360" s="11">
        <v>93.822000000000003</v>
      </c>
      <c r="AJ1360" s="11">
        <v>93.185000000000002</v>
      </c>
      <c r="AK1360" s="11">
        <v>92.558999999999997</v>
      </c>
      <c r="AL1360" s="11"/>
    </row>
    <row r="1361" spans="1:38" x14ac:dyDescent="0.3">
      <c r="A1361" s="9">
        <f>DATE(2022, 4, 5)</f>
        <v>44656</v>
      </c>
      <c r="B1361" s="10">
        <v>106.64</v>
      </c>
      <c r="C1361" s="10">
        <v>105.2</v>
      </c>
      <c r="D1361" s="10">
        <v>103.8</v>
      </c>
      <c r="E1361" s="10">
        <v>102.51</v>
      </c>
      <c r="F1361" s="10">
        <v>101.31</v>
      </c>
      <c r="G1361" s="10">
        <v>100.17</v>
      </c>
      <c r="H1361" s="10">
        <v>99.05</v>
      </c>
      <c r="I1361" s="10">
        <v>97.99</v>
      </c>
      <c r="J1361" s="10">
        <v>96.98</v>
      </c>
      <c r="K1361" s="10">
        <v>96.13</v>
      </c>
      <c r="L1361" s="10">
        <v>95.34</v>
      </c>
      <c r="M1361" s="10">
        <v>94.64</v>
      </c>
      <c r="N1361" s="10">
        <v>101.96</v>
      </c>
      <c r="O1361" s="10">
        <v>100.68</v>
      </c>
      <c r="P1361" s="10">
        <v>99.55</v>
      </c>
      <c r="Q1361" s="10">
        <v>98.31</v>
      </c>
      <c r="R1361" s="10">
        <v>97.07</v>
      </c>
      <c r="S1361" s="10">
        <v>95.88</v>
      </c>
      <c r="T1361" s="10">
        <v>94.78</v>
      </c>
      <c r="U1361" s="10">
        <v>93.74</v>
      </c>
      <c r="V1361" s="10">
        <v>92.76</v>
      </c>
      <c r="W1361" s="10">
        <v>91.82</v>
      </c>
      <c r="X1361" s="10">
        <v>90.93</v>
      </c>
      <c r="Y1361" s="10">
        <v>90.08</v>
      </c>
      <c r="Z1361" s="11">
        <v>103.542</v>
      </c>
      <c r="AA1361" s="11">
        <v>100.65600000000001</v>
      </c>
      <c r="AB1361" s="11">
        <v>99.210999999999999</v>
      </c>
      <c r="AC1361" s="11">
        <v>98.293000000000006</v>
      </c>
      <c r="AD1361" s="11">
        <v>97.46</v>
      </c>
      <c r="AE1361" s="11">
        <v>96.638999999999996</v>
      </c>
      <c r="AF1361" s="11">
        <v>95.55</v>
      </c>
      <c r="AG1361" s="11">
        <v>94.463999999999999</v>
      </c>
      <c r="AH1361" s="11">
        <v>93.578999999999994</v>
      </c>
      <c r="AI1361" s="11">
        <v>92.882000000000005</v>
      </c>
      <c r="AJ1361" s="11">
        <v>92.334999999999994</v>
      </c>
      <c r="AK1361" s="11">
        <v>91.778999999999996</v>
      </c>
      <c r="AL1361" s="11"/>
    </row>
    <row r="1362" spans="1:38" x14ac:dyDescent="0.3">
      <c r="A1362" s="9">
        <f>DATE(2022, 4, 6)</f>
        <v>44657</v>
      </c>
      <c r="B1362" s="10">
        <v>101.07</v>
      </c>
      <c r="C1362" s="10">
        <v>100.25</v>
      </c>
      <c r="D1362" s="10">
        <v>99.31</v>
      </c>
      <c r="E1362" s="10">
        <v>98.38</v>
      </c>
      <c r="F1362" s="10">
        <v>97.43</v>
      </c>
      <c r="G1362" s="10">
        <v>96.51</v>
      </c>
      <c r="H1362" s="10">
        <v>95.63</v>
      </c>
      <c r="I1362" s="10">
        <v>94.77</v>
      </c>
      <c r="J1362" s="10">
        <v>93.95</v>
      </c>
      <c r="K1362" s="10">
        <v>93.25</v>
      </c>
      <c r="L1362" s="10">
        <v>92.58</v>
      </c>
      <c r="M1362" s="10">
        <v>91.99</v>
      </c>
      <c r="N1362" s="10">
        <v>96.23</v>
      </c>
      <c r="O1362" s="10">
        <v>95.41</v>
      </c>
      <c r="P1362" s="10">
        <v>94.63</v>
      </c>
      <c r="Q1362" s="10">
        <v>93.76</v>
      </c>
      <c r="R1362" s="10">
        <v>92.86</v>
      </c>
      <c r="S1362" s="10">
        <v>91.98</v>
      </c>
      <c r="T1362" s="10">
        <v>91.17</v>
      </c>
      <c r="U1362" s="10">
        <v>90.37</v>
      </c>
      <c r="V1362" s="10">
        <v>89.59</v>
      </c>
      <c r="W1362" s="10">
        <v>88.82</v>
      </c>
      <c r="X1362" s="10">
        <v>88.08</v>
      </c>
      <c r="Y1362" s="10">
        <v>87.39</v>
      </c>
      <c r="Z1362" s="11">
        <v>98.756</v>
      </c>
      <c r="AA1362" s="11">
        <v>95.167000000000002</v>
      </c>
      <c r="AB1362" s="11">
        <v>94.128</v>
      </c>
      <c r="AC1362" s="11">
        <v>93.594999999999999</v>
      </c>
      <c r="AD1362" s="11">
        <v>93.02</v>
      </c>
      <c r="AE1362" s="11">
        <v>92.44</v>
      </c>
      <c r="AF1362" s="11">
        <v>91.888999999999996</v>
      </c>
      <c r="AG1362" s="11">
        <v>91.123000000000005</v>
      </c>
      <c r="AH1362" s="11">
        <v>90.382999999999996</v>
      </c>
      <c r="AI1362" s="11">
        <v>89.918000000000006</v>
      </c>
      <c r="AJ1362" s="11">
        <v>89.501999999999995</v>
      </c>
      <c r="AK1362" s="11">
        <v>89.063999999999993</v>
      </c>
      <c r="AL1362" s="11"/>
    </row>
    <row r="1363" spans="1:38" x14ac:dyDescent="0.3">
      <c r="A1363" s="9">
        <f>DATE(2022, 4, 7)</f>
        <v>44658</v>
      </c>
      <c r="B1363" s="10">
        <v>100.58</v>
      </c>
      <c r="C1363" s="10">
        <v>100.05</v>
      </c>
      <c r="D1363" s="10">
        <v>99.36</v>
      </c>
      <c r="E1363" s="10">
        <v>98.62</v>
      </c>
      <c r="F1363" s="10">
        <v>97.79</v>
      </c>
      <c r="G1363" s="10">
        <v>96.95</v>
      </c>
      <c r="H1363" s="10">
        <v>96.12</v>
      </c>
      <c r="I1363" s="10">
        <v>95.31</v>
      </c>
      <c r="J1363" s="10">
        <v>94.53</v>
      </c>
      <c r="K1363" s="10">
        <v>93.86</v>
      </c>
      <c r="L1363" s="10">
        <v>93.18</v>
      </c>
      <c r="M1363" s="10">
        <v>92.6</v>
      </c>
      <c r="N1363" s="10">
        <v>96.03</v>
      </c>
      <c r="O1363" s="10">
        <v>95.51</v>
      </c>
      <c r="P1363" s="10">
        <v>94.81</v>
      </c>
      <c r="Q1363" s="10">
        <v>94.12</v>
      </c>
      <c r="R1363" s="10">
        <v>93.42</v>
      </c>
      <c r="S1363" s="10">
        <v>92.68</v>
      </c>
      <c r="T1363" s="10">
        <v>91.94</v>
      </c>
      <c r="U1363" s="10">
        <v>91.19</v>
      </c>
      <c r="V1363" s="10">
        <v>90.47</v>
      </c>
      <c r="W1363" s="10">
        <v>89.74</v>
      </c>
      <c r="X1363" s="10">
        <v>89.01</v>
      </c>
      <c r="Y1363" s="10">
        <v>88.32</v>
      </c>
      <c r="Z1363" s="11">
        <v>98.397000000000006</v>
      </c>
      <c r="AA1363" s="11">
        <v>95.459000000000003</v>
      </c>
      <c r="AB1363" s="11">
        <v>94.676000000000002</v>
      </c>
      <c r="AC1363" s="11">
        <v>94.18</v>
      </c>
      <c r="AD1363" s="11">
        <v>93.623000000000005</v>
      </c>
      <c r="AE1363" s="11">
        <v>93.081999999999994</v>
      </c>
      <c r="AF1363" s="11">
        <v>92.480999999999995</v>
      </c>
      <c r="AG1363" s="11">
        <v>91.795000000000002</v>
      </c>
      <c r="AH1363" s="11">
        <v>91.105999999999995</v>
      </c>
      <c r="AI1363" s="11">
        <v>90.578000000000003</v>
      </c>
      <c r="AJ1363" s="11">
        <v>90.081000000000003</v>
      </c>
      <c r="AK1363" s="11">
        <v>89.605999999999995</v>
      </c>
      <c r="AL1363" s="11"/>
    </row>
    <row r="1364" spans="1:38" x14ac:dyDescent="0.3">
      <c r="A1364" s="9">
        <f>DATE(2022, 4, 8)</f>
        <v>44659</v>
      </c>
      <c r="B1364" s="10">
        <v>102.78</v>
      </c>
      <c r="C1364" s="10">
        <v>102.17</v>
      </c>
      <c r="D1364" s="10">
        <v>101.37</v>
      </c>
      <c r="E1364" s="10">
        <v>100.58</v>
      </c>
      <c r="F1364" s="10">
        <v>99.74</v>
      </c>
      <c r="G1364" s="10">
        <v>98.86</v>
      </c>
      <c r="H1364" s="10">
        <v>97.95</v>
      </c>
      <c r="I1364" s="10">
        <v>97.04</v>
      </c>
      <c r="J1364" s="10">
        <v>96.15</v>
      </c>
      <c r="K1364" s="10">
        <v>95.36</v>
      </c>
      <c r="L1364" s="10">
        <v>94.58</v>
      </c>
      <c r="M1364" s="10">
        <v>93.9</v>
      </c>
      <c r="N1364" s="10">
        <v>98.26</v>
      </c>
      <c r="O1364" s="10">
        <v>97.73</v>
      </c>
      <c r="P1364" s="10">
        <v>97.01</v>
      </c>
      <c r="Q1364" s="10">
        <v>96.29</v>
      </c>
      <c r="R1364" s="10">
        <v>95.51</v>
      </c>
      <c r="S1364" s="10">
        <v>94.66</v>
      </c>
      <c r="T1364" s="10">
        <v>93.82</v>
      </c>
      <c r="U1364" s="10">
        <v>92.99</v>
      </c>
      <c r="V1364" s="10">
        <v>92.17</v>
      </c>
      <c r="W1364" s="10">
        <v>91.35</v>
      </c>
      <c r="X1364" s="10">
        <v>90.54</v>
      </c>
      <c r="Y1364" s="10">
        <v>89.77</v>
      </c>
      <c r="Z1364" s="11">
        <v>99.86</v>
      </c>
      <c r="AA1364" s="11">
        <v>97.634</v>
      </c>
      <c r="AB1364" s="11">
        <v>96.763999999999996</v>
      </c>
      <c r="AC1364" s="11">
        <v>96.05</v>
      </c>
      <c r="AD1364" s="11">
        <v>95.492000000000004</v>
      </c>
      <c r="AE1364" s="11">
        <v>94.938999999999993</v>
      </c>
      <c r="AF1364" s="11">
        <v>94.287000000000006</v>
      </c>
      <c r="AG1364" s="11">
        <v>93.39</v>
      </c>
      <c r="AH1364" s="11">
        <v>92.495000000000005</v>
      </c>
      <c r="AI1364" s="11">
        <v>91.942999999999998</v>
      </c>
      <c r="AJ1364" s="11">
        <v>91.406000000000006</v>
      </c>
      <c r="AK1364" s="11">
        <v>90.872</v>
      </c>
      <c r="AL1364" s="11"/>
    </row>
    <row r="1365" spans="1:38" x14ac:dyDescent="0.3">
      <c r="A1365" s="9">
        <f>DATE(2022, 4, 11)</f>
        <v>44662</v>
      </c>
      <c r="B1365" s="10">
        <v>98.48</v>
      </c>
      <c r="C1365" s="10">
        <v>98.27</v>
      </c>
      <c r="D1365" s="10">
        <v>97.87</v>
      </c>
      <c r="E1365" s="10">
        <v>97.4</v>
      </c>
      <c r="F1365" s="10">
        <v>96.82</v>
      </c>
      <c r="G1365" s="10">
        <v>96.16</v>
      </c>
      <c r="H1365" s="10">
        <v>95.45</v>
      </c>
      <c r="I1365" s="10">
        <v>94.73</v>
      </c>
      <c r="J1365" s="10">
        <v>93.99</v>
      </c>
      <c r="K1365" s="10">
        <v>93.32</v>
      </c>
      <c r="L1365" s="10">
        <v>92.64</v>
      </c>
      <c r="M1365" s="10">
        <v>92.06</v>
      </c>
      <c r="N1365" s="10">
        <v>94.29</v>
      </c>
      <c r="O1365" s="10">
        <v>93.92</v>
      </c>
      <c r="P1365" s="10">
        <v>93.46</v>
      </c>
      <c r="Q1365" s="10">
        <v>92.97</v>
      </c>
      <c r="R1365" s="10">
        <v>92.46</v>
      </c>
      <c r="S1365" s="10">
        <v>91.86</v>
      </c>
      <c r="T1365" s="10">
        <v>91.23</v>
      </c>
      <c r="U1365" s="10">
        <v>90.58</v>
      </c>
      <c r="V1365" s="10">
        <v>89.92</v>
      </c>
      <c r="W1365" s="10">
        <v>89.23</v>
      </c>
      <c r="X1365" s="10">
        <v>88.53</v>
      </c>
      <c r="Y1365" s="10">
        <v>87.84</v>
      </c>
      <c r="Z1365" s="11">
        <v>97.545000000000002</v>
      </c>
      <c r="AA1365" s="11">
        <v>93.998999999999995</v>
      </c>
      <c r="AB1365" s="11">
        <v>93.519000000000005</v>
      </c>
      <c r="AC1365" s="11">
        <v>93.018000000000001</v>
      </c>
      <c r="AD1365" s="11">
        <v>92.537999999999997</v>
      </c>
      <c r="AE1365" s="11">
        <v>92.067999999999998</v>
      </c>
      <c r="AF1365" s="11">
        <v>91.518000000000001</v>
      </c>
      <c r="AG1365" s="11">
        <v>90.927999999999997</v>
      </c>
      <c r="AH1365" s="11">
        <v>90.337999999999994</v>
      </c>
      <c r="AI1365" s="11">
        <v>89.822999999999993</v>
      </c>
      <c r="AJ1365" s="11">
        <v>89.361000000000004</v>
      </c>
      <c r="AK1365" s="11">
        <v>88.927000000000007</v>
      </c>
      <c r="AL1365" s="11"/>
    </row>
    <row r="1366" spans="1:38" x14ac:dyDescent="0.3">
      <c r="A1366" s="9">
        <f>DATE(2022, 4, 12)</f>
        <v>44663</v>
      </c>
      <c r="B1366" s="10">
        <v>104.64</v>
      </c>
      <c r="C1366" s="10">
        <v>104.22</v>
      </c>
      <c r="D1366" s="10">
        <v>103.55</v>
      </c>
      <c r="E1366" s="10">
        <v>102.71</v>
      </c>
      <c r="F1366" s="10">
        <v>101.75</v>
      </c>
      <c r="G1366" s="10">
        <v>100.74</v>
      </c>
      <c r="H1366" s="10">
        <v>99.7</v>
      </c>
      <c r="I1366" s="10">
        <v>98.68</v>
      </c>
      <c r="J1366" s="10">
        <v>97.67</v>
      </c>
      <c r="K1366" s="10">
        <v>96.75</v>
      </c>
      <c r="L1366" s="10">
        <v>95.86</v>
      </c>
      <c r="M1366" s="10">
        <v>95.09</v>
      </c>
      <c r="N1366" s="10">
        <v>100.6</v>
      </c>
      <c r="O1366" s="10">
        <v>100.15</v>
      </c>
      <c r="P1366" s="10">
        <v>99.4</v>
      </c>
      <c r="Q1366" s="10">
        <v>98.52</v>
      </c>
      <c r="R1366" s="10">
        <v>97.58</v>
      </c>
      <c r="S1366" s="10">
        <v>96.57</v>
      </c>
      <c r="T1366" s="10">
        <v>95.59</v>
      </c>
      <c r="U1366" s="10">
        <v>94.62</v>
      </c>
      <c r="V1366" s="10">
        <v>93.67</v>
      </c>
      <c r="W1366" s="10">
        <v>92.71</v>
      </c>
      <c r="X1366" s="10">
        <v>91.78</v>
      </c>
      <c r="Y1366" s="10">
        <v>90.89</v>
      </c>
      <c r="Z1366" s="11">
        <v>101.51900000000001</v>
      </c>
      <c r="AA1366" s="11">
        <v>100.33</v>
      </c>
      <c r="AB1366" s="11">
        <v>99.501999999999995</v>
      </c>
      <c r="AC1366" s="11">
        <v>98.617000000000004</v>
      </c>
      <c r="AD1366" s="11">
        <v>97.706000000000003</v>
      </c>
      <c r="AE1366" s="11">
        <v>96.873000000000005</v>
      </c>
      <c r="AF1366" s="11">
        <v>96.031000000000006</v>
      </c>
      <c r="AG1366" s="11">
        <v>95.084000000000003</v>
      </c>
      <c r="AH1366" s="11">
        <v>94.152000000000001</v>
      </c>
      <c r="AI1366" s="11">
        <v>93.408000000000001</v>
      </c>
      <c r="AJ1366" s="11">
        <v>92.671999999999997</v>
      </c>
      <c r="AK1366" s="11">
        <v>92.019000000000005</v>
      </c>
      <c r="AL1366" s="11"/>
    </row>
    <row r="1367" spans="1:38" x14ac:dyDescent="0.3">
      <c r="A1367" s="9">
        <f>DATE(2022, 4, 13)</f>
        <v>44664</v>
      </c>
      <c r="B1367" s="10">
        <v>108.78</v>
      </c>
      <c r="C1367" s="10">
        <v>108.08</v>
      </c>
      <c r="D1367" s="10">
        <v>106.99</v>
      </c>
      <c r="E1367" s="10">
        <v>105.81</v>
      </c>
      <c r="F1367" s="10">
        <v>104.6</v>
      </c>
      <c r="G1367" s="10">
        <v>103.42</v>
      </c>
      <c r="H1367" s="10">
        <v>102.24</v>
      </c>
      <c r="I1367" s="10">
        <v>101.1</v>
      </c>
      <c r="J1367" s="10">
        <v>100</v>
      </c>
      <c r="K1367" s="10">
        <v>99</v>
      </c>
      <c r="L1367" s="10">
        <v>98.03</v>
      </c>
      <c r="M1367" s="10">
        <v>97.2</v>
      </c>
      <c r="N1367" s="10">
        <v>104.25</v>
      </c>
      <c r="O1367" s="10">
        <v>103.79</v>
      </c>
      <c r="P1367" s="10">
        <v>102.89</v>
      </c>
      <c r="Q1367" s="10">
        <v>101.76</v>
      </c>
      <c r="R1367" s="10">
        <v>100.52</v>
      </c>
      <c r="S1367" s="10">
        <v>99.32</v>
      </c>
      <c r="T1367" s="10">
        <v>98.17</v>
      </c>
      <c r="U1367" s="10">
        <v>97.06</v>
      </c>
      <c r="V1367" s="10">
        <v>95.98</v>
      </c>
      <c r="W1367" s="10">
        <v>94.92</v>
      </c>
      <c r="X1367" s="10">
        <v>93.91</v>
      </c>
      <c r="Y1367" s="10">
        <v>92.95</v>
      </c>
      <c r="Z1367" s="11">
        <v>103.66200000000001</v>
      </c>
      <c r="AA1367" s="11">
        <v>104.11</v>
      </c>
      <c r="AB1367" s="11">
        <v>102.955</v>
      </c>
      <c r="AC1367" s="11">
        <v>101.77200000000001</v>
      </c>
      <c r="AD1367" s="11">
        <v>100.699</v>
      </c>
      <c r="AE1367" s="11">
        <v>99.725999999999999</v>
      </c>
      <c r="AF1367" s="11">
        <v>98.665999999999997</v>
      </c>
      <c r="AG1367" s="11">
        <v>97.6</v>
      </c>
      <c r="AH1367" s="11">
        <v>96.555000000000007</v>
      </c>
      <c r="AI1367" s="11">
        <v>95.713999999999999</v>
      </c>
      <c r="AJ1367" s="11">
        <v>94.899000000000001</v>
      </c>
      <c r="AK1367" s="11">
        <v>94.185000000000002</v>
      </c>
      <c r="AL1367" s="11"/>
    </row>
    <row r="1368" spans="1:38" x14ac:dyDescent="0.3">
      <c r="A1368" s="9">
        <f>DATE(2022, 4, 14)</f>
        <v>44665</v>
      </c>
      <c r="B1368" s="10">
        <v>111.7</v>
      </c>
      <c r="C1368" s="10">
        <v>110.8</v>
      </c>
      <c r="D1368" s="10">
        <v>109.47</v>
      </c>
      <c r="E1368" s="10">
        <v>107.98</v>
      </c>
      <c r="F1368" s="10">
        <v>106.49</v>
      </c>
      <c r="G1368" s="10">
        <v>105.03</v>
      </c>
      <c r="H1368" s="10">
        <v>103.6</v>
      </c>
      <c r="I1368" s="10">
        <v>102.22</v>
      </c>
      <c r="J1368" s="10">
        <v>100.92</v>
      </c>
      <c r="K1368" s="10">
        <v>99.77</v>
      </c>
      <c r="L1368" s="10">
        <v>98.68</v>
      </c>
      <c r="M1368" s="10">
        <v>97.74</v>
      </c>
      <c r="N1368" s="10">
        <v>106.95</v>
      </c>
      <c r="O1368" s="10">
        <v>106.38</v>
      </c>
      <c r="P1368" s="10">
        <v>105.44</v>
      </c>
      <c r="Q1368" s="10">
        <v>104.03</v>
      </c>
      <c r="R1368" s="10">
        <v>102.47</v>
      </c>
      <c r="S1368" s="10">
        <v>100.97</v>
      </c>
      <c r="T1368" s="10">
        <v>99.59</v>
      </c>
      <c r="U1368" s="10">
        <v>98.29</v>
      </c>
      <c r="V1368" s="10">
        <v>97.03</v>
      </c>
      <c r="W1368" s="10">
        <v>95.81</v>
      </c>
      <c r="X1368" s="10">
        <v>94.66</v>
      </c>
      <c r="Y1368" s="10">
        <v>93.6</v>
      </c>
      <c r="Z1368" s="11">
        <v>103.999</v>
      </c>
      <c r="AA1368" s="11">
        <v>106.67</v>
      </c>
      <c r="AB1368" s="11">
        <v>105.19199999999999</v>
      </c>
      <c r="AC1368" s="11">
        <v>103.669</v>
      </c>
      <c r="AD1368" s="11">
        <v>102.497</v>
      </c>
      <c r="AE1368" s="11">
        <v>101.325</v>
      </c>
      <c r="AF1368" s="11">
        <v>99.903999999999996</v>
      </c>
      <c r="AG1368" s="11">
        <v>98.620999999999995</v>
      </c>
      <c r="AH1368" s="11">
        <v>97.46</v>
      </c>
      <c r="AI1368" s="11">
        <v>96.447999999999993</v>
      </c>
      <c r="AJ1368" s="11">
        <v>95.543000000000006</v>
      </c>
      <c r="AK1368" s="11">
        <v>94.722999999999999</v>
      </c>
      <c r="AL1368" s="11"/>
    </row>
    <row r="1369" spans="1:38" x14ac:dyDescent="0.3">
      <c r="A1369" s="9">
        <f>DATE(2022, 4, 18)</f>
        <v>44669</v>
      </c>
      <c r="B1369" s="10">
        <v>113.16</v>
      </c>
      <c r="C1369" s="10">
        <v>111.94</v>
      </c>
      <c r="D1369" s="10">
        <v>110.31</v>
      </c>
      <c r="E1369" s="10">
        <v>108.64</v>
      </c>
      <c r="F1369" s="10">
        <v>107</v>
      </c>
      <c r="G1369" s="10">
        <v>105.39</v>
      </c>
      <c r="H1369" s="10">
        <v>103.82</v>
      </c>
      <c r="I1369" s="10">
        <v>102.34</v>
      </c>
      <c r="J1369" s="10">
        <v>100.97</v>
      </c>
      <c r="K1369" s="10">
        <v>99.77</v>
      </c>
      <c r="L1369" s="10">
        <v>98.64</v>
      </c>
      <c r="M1369" s="10">
        <v>97.66</v>
      </c>
      <c r="N1369" s="10">
        <v>108.21</v>
      </c>
      <c r="O1369" s="10">
        <v>107.61</v>
      </c>
      <c r="P1369" s="10">
        <v>106.41</v>
      </c>
      <c r="Q1369" s="10">
        <v>104.74</v>
      </c>
      <c r="R1369" s="10">
        <v>103.01</v>
      </c>
      <c r="S1369" s="10">
        <v>101.38</v>
      </c>
      <c r="T1369" s="10">
        <v>99.86</v>
      </c>
      <c r="U1369" s="10">
        <v>98.43</v>
      </c>
      <c r="V1369" s="10">
        <v>97.06</v>
      </c>
      <c r="W1369" s="10">
        <v>95.76</v>
      </c>
      <c r="X1369" s="10">
        <v>94.54</v>
      </c>
      <c r="Y1369" s="10">
        <v>93.4</v>
      </c>
      <c r="Z1369" s="11">
        <v>105.542</v>
      </c>
      <c r="AA1369" s="11">
        <v>107.746</v>
      </c>
      <c r="AB1369" s="11">
        <v>105.914</v>
      </c>
      <c r="AC1369" s="11">
        <v>104.22199999999999</v>
      </c>
      <c r="AD1369" s="11">
        <v>102.81</v>
      </c>
      <c r="AE1369" s="11">
        <v>101.399</v>
      </c>
      <c r="AF1369" s="11">
        <v>99.93</v>
      </c>
      <c r="AG1369" s="11">
        <v>98.548000000000002</v>
      </c>
      <c r="AH1369" s="11">
        <v>97.266000000000005</v>
      </c>
      <c r="AI1369" s="11">
        <v>96.296000000000006</v>
      </c>
      <c r="AJ1369" s="11">
        <v>95.381</v>
      </c>
      <c r="AK1369" s="11">
        <v>94.52</v>
      </c>
      <c r="AL1369" s="11"/>
    </row>
    <row r="1370" spans="1:38" x14ac:dyDescent="0.3">
      <c r="A1370" s="9">
        <f>DATE(2022, 4, 19)</f>
        <v>44670</v>
      </c>
      <c r="B1370" s="10">
        <v>107.25</v>
      </c>
      <c r="C1370" s="10">
        <v>106.63</v>
      </c>
      <c r="D1370" s="10">
        <v>105.23</v>
      </c>
      <c r="E1370" s="10">
        <v>103.73</v>
      </c>
      <c r="F1370" s="10">
        <v>102.23</v>
      </c>
      <c r="G1370" s="10">
        <v>100.71</v>
      </c>
      <c r="H1370" s="10">
        <v>99.23</v>
      </c>
      <c r="I1370" s="10">
        <v>97.82</v>
      </c>
      <c r="J1370" s="10">
        <v>96.52</v>
      </c>
      <c r="K1370" s="10">
        <v>95.38</v>
      </c>
      <c r="L1370" s="10">
        <v>94.31</v>
      </c>
      <c r="M1370" s="10">
        <v>93.41</v>
      </c>
      <c r="N1370" s="10">
        <v>102.56</v>
      </c>
      <c r="O1370" s="10">
        <v>102.05</v>
      </c>
      <c r="P1370" s="10">
        <v>101.16</v>
      </c>
      <c r="Q1370" s="10">
        <v>99.84</v>
      </c>
      <c r="R1370" s="10">
        <v>98.34</v>
      </c>
      <c r="S1370" s="10">
        <v>96.8</v>
      </c>
      <c r="T1370" s="10">
        <v>95.33</v>
      </c>
      <c r="U1370" s="10">
        <v>93.91</v>
      </c>
      <c r="V1370" s="10">
        <v>92.57</v>
      </c>
      <c r="W1370" s="10">
        <v>91.32</v>
      </c>
      <c r="X1370" s="10">
        <v>90.16</v>
      </c>
      <c r="Y1370" s="10">
        <v>89.08</v>
      </c>
      <c r="Z1370" s="11">
        <v>103.185</v>
      </c>
      <c r="AA1370" s="11">
        <v>102.65600000000001</v>
      </c>
      <c r="AB1370" s="11">
        <v>100.952</v>
      </c>
      <c r="AC1370" s="11">
        <v>99.399000000000001</v>
      </c>
      <c r="AD1370" s="11">
        <v>98.013999999999996</v>
      </c>
      <c r="AE1370" s="11">
        <v>96.643000000000001</v>
      </c>
      <c r="AF1370" s="11">
        <v>95.283000000000001</v>
      </c>
      <c r="AG1370" s="11">
        <v>93.911000000000001</v>
      </c>
      <c r="AH1370" s="11">
        <v>92.700999999999993</v>
      </c>
      <c r="AI1370" s="11">
        <v>91.759</v>
      </c>
      <c r="AJ1370" s="11">
        <v>90.894999999999996</v>
      </c>
      <c r="AK1370" s="11">
        <v>90.146000000000001</v>
      </c>
      <c r="AL1370" s="11"/>
    </row>
    <row r="1371" spans="1:38" x14ac:dyDescent="0.3">
      <c r="A1371" s="9">
        <f>DATE(2022, 4, 20)</f>
        <v>44671</v>
      </c>
      <c r="B1371" s="10">
        <v>106.8</v>
      </c>
      <c r="C1371" s="10">
        <v>106.33</v>
      </c>
      <c r="D1371" s="10">
        <v>105.21</v>
      </c>
      <c r="E1371" s="10">
        <v>103.91</v>
      </c>
      <c r="F1371" s="10">
        <v>102.53</v>
      </c>
      <c r="G1371" s="10">
        <v>101.14</v>
      </c>
      <c r="H1371" s="10">
        <v>99.74</v>
      </c>
      <c r="I1371" s="10">
        <v>98.39</v>
      </c>
      <c r="J1371" s="10">
        <v>97.13</v>
      </c>
      <c r="K1371" s="10">
        <v>96.01</v>
      </c>
      <c r="L1371" s="10">
        <v>94.94</v>
      </c>
      <c r="M1371" s="10">
        <v>94.03</v>
      </c>
      <c r="N1371" s="10">
        <v>102.75</v>
      </c>
      <c r="O1371" s="10">
        <v>102.19</v>
      </c>
      <c r="P1371" s="10">
        <v>101.36</v>
      </c>
      <c r="Q1371" s="10">
        <v>100.17</v>
      </c>
      <c r="R1371" s="10">
        <v>98.76</v>
      </c>
      <c r="S1371" s="10">
        <v>97.28</v>
      </c>
      <c r="T1371" s="10">
        <v>95.85</v>
      </c>
      <c r="U1371" s="10">
        <v>94.49</v>
      </c>
      <c r="V1371" s="10">
        <v>93.19</v>
      </c>
      <c r="W1371" s="10">
        <v>91.95</v>
      </c>
      <c r="X1371" s="10">
        <v>90.78</v>
      </c>
      <c r="Y1371" s="10">
        <v>89.69</v>
      </c>
      <c r="Z1371" s="11">
        <v>103.34399999999999</v>
      </c>
      <c r="AA1371" s="11">
        <v>102.749</v>
      </c>
      <c r="AB1371" s="11">
        <v>101.001</v>
      </c>
      <c r="AC1371" s="11">
        <v>99.513999999999996</v>
      </c>
      <c r="AD1371" s="11">
        <v>98.25</v>
      </c>
      <c r="AE1371" s="11">
        <v>96.995999999999995</v>
      </c>
      <c r="AF1371" s="11">
        <v>95.745999999999995</v>
      </c>
      <c r="AG1371" s="11">
        <v>94.492999999999995</v>
      </c>
      <c r="AH1371" s="11">
        <v>93.313000000000002</v>
      </c>
      <c r="AI1371" s="11">
        <v>92.388999999999996</v>
      </c>
      <c r="AJ1371" s="11">
        <v>91.525000000000006</v>
      </c>
      <c r="AK1371" s="11">
        <v>90.745000000000005</v>
      </c>
      <c r="AL1371" s="11"/>
    </row>
    <row r="1372" spans="1:38" x14ac:dyDescent="0.3">
      <c r="A1372" s="9">
        <f>DATE(2022, 4, 21)</f>
        <v>44672</v>
      </c>
      <c r="B1372" s="10">
        <v>108.33</v>
      </c>
      <c r="C1372" s="10">
        <v>107.96</v>
      </c>
      <c r="D1372" s="10">
        <v>106.77</v>
      </c>
      <c r="E1372" s="10">
        <v>105.42</v>
      </c>
      <c r="F1372" s="10">
        <v>103.98</v>
      </c>
      <c r="G1372" s="10">
        <v>102.53</v>
      </c>
      <c r="H1372" s="10">
        <v>101.1</v>
      </c>
      <c r="I1372" s="10">
        <v>99.73</v>
      </c>
      <c r="J1372" s="10">
        <v>98.47</v>
      </c>
      <c r="K1372" s="10">
        <v>97.35</v>
      </c>
      <c r="L1372" s="10">
        <v>96.3</v>
      </c>
      <c r="M1372" s="10">
        <v>95.4</v>
      </c>
      <c r="N1372" s="10">
        <v>103.79</v>
      </c>
      <c r="O1372" s="10">
        <v>102.96</v>
      </c>
      <c r="P1372" s="10">
        <v>101.74</v>
      </c>
      <c r="Q1372" s="10">
        <v>100.23</v>
      </c>
      <c r="R1372" s="10">
        <v>98.71</v>
      </c>
      <c r="S1372" s="10">
        <v>97.26</v>
      </c>
      <c r="T1372" s="10">
        <v>95.89</v>
      </c>
      <c r="U1372" s="10">
        <v>94.57</v>
      </c>
      <c r="V1372" s="10">
        <v>93.33</v>
      </c>
      <c r="W1372" s="10">
        <v>92.17</v>
      </c>
      <c r="X1372" s="10">
        <v>91.11</v>
      </c>
      <c r="Y1372" s="10">
        <v>90.13</v>
      </c>
      <c r="Z1372" s="11">
        <v>103.91</v>
      </c>
      <c r="AA1372" s="11">
        <v>104.376</v>
      </c>
      <c r="AB1372" s="11">
        <v>102.46899999999999</v>
      </c>
      <c r="AC1372" s="11">
        <v>100.95099999999999</v>
      </c>
      <c r="AD1372" s="11">
        <v>99.587000000000003</v>
      </c>
      <c r="AE1372" s="11">
        <v>98.224999999999994</v>
      </c>
      <c r="AF1372" s="11">
        <v>97.004999999999995</v>
      </c>
      <c r="AG1372" s="11">
        <v>95.742999999999995</v>
      </c>
      <c r="AH1372" s="11">
        <v>94.533000000000001</v>
      </c>
      <c r="AI1372" s="11">
        <v>93.64</v>
      </c>
      <c r="AJ1372" s="11">
        <v>92.795000000000002</v>
      </c>
      <c r="AK1372" s="11">
        <v>92.064999999999998</v>
      </c>
      <c r="AL1372" s="11"/>
    </row>
    <row r="1373" spans="1:38" x14ac:dyDescent="0.3">
      <c r="A1373" s="9">
        <f>DATE(2022, 4, 22)</f>
        <v>44673</v>
      </c>
      <c r="B1373" s="10">
        <v>106.65</v>
      </c>
      <c r="C1373" s="10">
        <v>106.15</v>
      </c>
      <c r="D1373" s="10">
        <v>104.87</v>
      </c>
      <c r="E1373" s="10">
        <v>103.44</v>
      </c>
      <c r="F1373" s="10">
        <v>101.92</v>
      </c>
      <c r="G1373" s="10">
        <v>100.41</v>
      </c>
      <c r="H1373" s="10">
        <v>98.93</v>
      </c>
      <c r="I1373" s="10">
        <v>97.53</v>
      </c>
      <c r="J1373" s="10">
        <v>96.25</v>
      </c>
      <c r="K1373" s="10">
        <v>95.13</v>
      </c>
      <c r="L1373" s="10">
        <v>94.11</v>
      </c>
      <c r="M1373" s="10">
        <v>93.24</v>
      </c>
      <c r="N1373" s="10">
        <v>102.07</v>
      </c>
      <c r="O1373" s="10">
        <v>101.05</v>
      </c>
      <c r="P1373" s="10">
        <v>99.72</v>
      </c>
      <c r="Q1373" s="10">
        <v>98.16</v>
      </c>
      <c r="R1373" s="10">
        <v>96.58</v>
      </c>
      <c r="S1373" s="10">
        <v>95.09</v>
      </c>
      <c r="T1373" s="10">
        <v>93.68</v>
      </c>
      <c r="U1373" s="10">
        <v>92.35</v>
      </c>
      <c r="V1373" s="10">
        <v>91.11</v>
      </c>
      <c r="W1373" s="10">
        <v>89.96</v>
      </c>
      <c r="X1373" s="10">
        <v>88.92</v>
      </c>
      <c r="Y1373" s="10">
        <v>87.96</v>
      </c>
      <c r="Z1373" s="11">
        <v>103.4</v>
      </c>
      <c r="AA1373" s="11">
        <v>102.66200000000001</v>
      </c>
      <c r="AB1373" s="11">
        <v>100.625</v>
      </c>
      <c r="AC1373" s="11">
        <v>98.968000000000004</v>
      </c>
      <c r="AD1373" s="11">
        <v>97.494</v>
      </c>
      <c r="AE1373" s="11">
        <v>96.043000000000006</v>
      </c>
      <c r="AF1373" s="11">
        <v>94.653000000000006</v>
      </c>
      <c r="AG1373" s="11">
        <v>93.341999999999999</v>
      </c>
      <c r="AH1373" s="11">
        <v>92.072999999999993</v>
      </c>
      <c r="AI1373" s="11">
        <v>91.200999999999993</v>
      </c>
      <c r="AJ1373" s="11">
        <v>90.417000000000002</v>
      </c>
      <c r="AK1373" s="11">
        <v>89.716999999999999</v>
      </c>
      <c r="AL1373" s="11"/>
    </row>
    <row r="1374" spans="1:38" x14ac:dyDescent="0.3">
      <c r="A1374" s="9">
        <f>DATE(2022, 4, 25)</f>
        <v>44676</v>
      </c>
      <c r="B1374" s="10">
        <v>102.32</v>
      </c>
      <c r="C1374" s="10">
        <v>102.16</v>
      </c>
      <c r="D1374" s="10">
        <v>101.2</v>
      </c>
      <c r="E1374" s="10">
        <v>100.03</v>
      </c>
      <c r="F1374" s="10">
        <v>98.69</v>
      </c>
      <c r="G1374" s="10">
        <v>97.36</v>
      </c>
      <c r="H1374" s="10">
        <v>96.07</v>
      </c>
      <c r="I1374" s="10">
        <v>94.84</v>
      </c>
      <c r="J1374" s="10">
        <v>93.72</v>
      </c>
      <c r="K1374" s="10">
        <v>92.74</v>
      </c>
      <c r="L1374" s="10">
        <v>91.81</v>
      </c>
      <c r="M1374" s="10">
        <v>91.03</v>
      </c>
      <c r="N1374" s="10">
        <v>98.54</v>
      </c>
      <c r="O1374" s="10">
        <v>97.67</v>
      </c>
      <c r="P1374" s="10">
        <v>96.53</v>
      </c>
      <c r="Q1374" s="10">
        <v>95.18</v>
      </c>
      <c r="R1374" s="10">
        <v>93.76</v>
      </c>
      <c r="S1374" s="10">
        <v>92.41</v>
      </c>
      <c r="T1374" s="10">
        <v>91.12</v>
      </c>
      <c r="U1374" s="10">
        <v>89.91</v>
      </c>
      <c r="V1374" s="10">
        <v>88.8</v>
      </c>
      <c r="W1374" s="10">
        <v>87.74</v>
      </c>
      <c r="X1374" s="10">
        <v>86.79</v>
      </c>
      <c r="Y1374" s="10">
        <v>85.9</v>
      </c>
      <c r="Z1374" s="11">
        <v>102.33799999999999</v>
      </c>
      <c r="AA1374" s="11">
        <v>98.665999999999997</v>
      </c>
      <c r="AB1374" s="11">
        <v>97.027000000000001</v>
      </c>
      <c r="AC1374" s="11">
        <v>95.616</v>
      </c>
      <c r="AD1374" s="11">
        <v>94.272000000000006</v>
      </c>
      <c r="AE1374" s="11">
        <v>92.991</v>
      </c>
      <c r="AF1374" s="11">
        <v>91.781000000000006</v>
      </c>
      <c r="AG1374" s="11">
        <v>90.619</v>
      </c>
      <c r="AH1374" s="11">
        <v>89.516999999999996</v>
      </c>
      <c r="AI1374" s="11">
        <v>88.786000000000001</v>
      </c>
      <c r="AJ1374" s="11">
        <v>88.051000000000002</v>
      </c>
      <c r="AK1374" s="11">
        <v>87.45</v>
      </c>
      <c r="AL1374" s="11"/>
    </row>
    <row r="1375" spans="1:38" x14ac:dyDescent="0.3">
      <c r="A1375" s="9">
        <f>DATE(2022, 4, 26)</f>
        <v>44677</v>
      </c>
      <c r="B1375" s="10">
        <v>104.99</v>
      </c>
      <c r="C1375" s="10">
        <v>104.61</v>
      </c>
      <c r="D1375" s="10">
        <v>103.52</v>
      </c>
      <c r="E1375" s="10">
        <v>102.16</v>
      </c>
      <c r="F1375" s="10">
        <v>100.62</v>
      </c>
      <c r="G1375" s="10">
        <v>99.09</v>
      </c>
      <c r="H1375" s="10">
        <v>97.61</v>
      </c>
      <c r="I1375" s="10">
        <v>96.23</v>
      </c>
      <c r="J1375" s="10">
        <v>94.99</v>
      </c>
      <c r="K1375" s="10">
        <v>93.91</v>
      </c>
      <c r="L1375" s="10">
        <v>92.92</v>
      </c>
      <c r="M1375" s="10">
        <v>92.06</v>
      </c>
      <c r="N1375" s="10">
        <v>101.7</v>
      </c>
      <c r="O1375" s="10">
        <v>100.41</v>
      </c>
      <c r="P1375" s="10">
        <v>98.95</v>
      </c>
      <c r="Q1375" s="10">
        <v>97.39</v>
      </c>
      <c r="R1375" s="10">
        <v>95.84</v>
      </c>
      <c r="S1375" s="10">
        <v>94.34</v>
      </c>
      <c r="T1375" s="10">
        <v>92.89</v>
      </c>
      <c r="U1375" s="10">
        <v>91.53</v>
      </c>
      <c r="V1375" s="10">
        <v>90.26</v>
      </c>
      <c r="W1375" s="10">
        <v>89.1</v>
      </c>
      <c r="X1375" s="10">
        <v>88.05</v>
      </c>
      <c r="Y1375" s="10">
        <v>87.09</v>
      </c>
      <c r="Z1375" s="11">
        <v>102.64100000000001</v>
      </c>
      <c r="AA1375" s="11">
        <v>101.16</v>
      </c>
      <c r="AB1375" s="11">
        <v>99.397000000000006</v>
      </c>
      <c r="AC1375" s="11">
        <v>97.736000000000004</v>
      </c>
      <c r="AD1375" s="11">
        <v>96.213999999999999</v>
      </c>
      <c r="AE1375" s="11">
        <v>94.783000000000001</v>
      </c>
      <c r="AF1375" s="11">
        <v>93.373999999999995</v>
      </c>
      <c r="AG1375" s="11">
        <v>92.063999999999993</v>
      </c>
      <c r="AH1375" s="11">
        <v>90.826999999999998</v>
      </c>
      <c r="AI1375" s="11">
        <v>89.972999999999999</v>
      </c>
      <c r="AJ1375" s="11">
        <v>89.186999999999998</v>
      </c>
      <c r="AK1375" s="11">
        <v>88.507000000000005</v>
      </c>
      <c r="AL1375" s="11"/>
    </row>
    <row r="1376" spans="1:38" x14ac:dyDescent="0.3">
      <c r="A1376" s="9">
        <f>DATE(2022, 4, 27)</f>
        <v>44678</v>
      </c>
      <c r="B1376" s="10">
        <v>105.32</v>
      </c>
      <c r="C1376" s="10">
        <v>104.95</v>
      </c>
      <c r="D1376" s="10">
        <v>103.85</v>
      </c>
      <c r="E1376" s="10">
        <v>102.47</v>
      </c>
      <c r="F1376" s="10">
        <v>100.92</v>
      </c>
      <c r="G1376" s="10">
        <v>99.4</v>
      </c>
      <c r="H1376" s="10">
        <v>97.92</v>
      </c>
      <c r="I1376" s="10">
        <v>96.53</v>
      </c>
      <c r="J1376" s="10">
        <v>95.24</v>
      </c>
      <c r="K1376" s="10">
        <v>94.11</v>
      </c>
      <c r="L1376" s="10">
        <v>93.07</v>
      </c>
      <c r="M1376" s="10">
        <v>92.16</v>
      </c>
      <c r="N1376" s="10">
        <v>102.02</v>
      </c>
      <c r="O1376" s="10">
        <v>100.68</v>
      </c>
      <c r="P1376" s="10">
        <v>99.21</v>
      </c>
      <c r="Q1376" s="10">
        <v>97.66</v>
      </c>
      <c r="R1376" s="10">
        <v>96.08</v>
      </c>
      <c r="S1376" s="10">
        <v>94.56</v>
      </c>
      <c r="T1376" s="10">
        <v>93.11</v>
      </c>
      <c r="U1376" s="10">
        <v>91.73</v>
      </c>
      <c r="V1376" s="10">
        <v>90.43</v>
      </c>
      <c r="W1376" s="10">
        <v>89.23</v>
      </c>
      <c r="X1376" s="10">
        <v>88.15</v>
      </c>
      <c r="Y1376" s="10">
        <v>87.17</v>
      </c>
      <c r="Z1376" s="11">
        <v>102.67400000000001</v>
      </c>
      <c r="AA1376" s="11">
        <v>101.57</v>
      </c>
      <c r="AB1376" s="11">
        <v>99.856999999999999</v>
      </c>
      <c r="AC1376" s="11">
        <v>98.206000000000003</v>
      </c>
      <c r="AD1376" s="11">
        <v>96.683999999999997</v>
      </c>
      <c r="AE1376" s="11">
        <v>95.203000000000003</v>
      </c>
      <c r="AF1376" s="11">
        <v>93.774000000000001</v>
      </c>
      <c r="AG1376" s="11">
        <v>92.400999999999996</v>
      </c>
      <c r="AH1376" s="11">
        <v>91.102000000000004</v>
      </c>
      <c r="AI1376" s="11">
        <v>90.24</v>
      </c>
      <c r="AJ1376" s="11">
        <v>89.435000000000002</v>
      </c>
      <c r="AK1376" s="11">
        <v>88.715999999999994</v>
      </c>
      <c r="AL1376" s="11"/>
    </row>
    <row r="1377" spans="1:38" x14ac:dyDescent="0.3">
      <c r="A1377" s="9">
        <f>DATE(2022, 4, 28)</f>
        <v>44679</v>
      </c>
      <c r="B1377" s="10">
        <v>107.59</v>
      </c>
      <c r="C1377" s="10">
        <v>107.26</v>
      </c>
      <c r="D1377" s="10">
        <v>105.72</v>
      </c>
      <c r="E1377" s="10">
        <v>103.96</v>
      </c>
      <c r="F1377" s="10">
        <v>102.11</v>
      </c>
      <c r="G1377" s="10">
        <v>100.4</v>
      </c>
      <c r="H1377" s="10">
        <v>98.79</v>
      </c>
      <c r="I1377" s="10">
        <v>97.29</v>
      </c>
      <c r="J1377" s="10">
        <v>95.9</v>
      </c>
      <c r="K1377" s="10">
        <v>94.67</v>
      </c>
      <c r="L1377" s="10">
        <v>93.57</v>
      </c>
      <c r="M1377" s="10">
        <v>92.6</v>
      </c>
      <c r="N1377" s="10">
        <v>105.36</v>
      </c>
      <c r="O1377" s="10">
        <v>103.47</v>
      </c>
      <c r="P1377" s="10">
        <v>101.52</v>
      </c>
      <c r="Q1377" s="10">
        <v>99.47</v>
      </c>
      <c r="R1377" s="10">
        <v>97.53</v>
      </c>
      <c r="S1377" s="10">
        <v>95.77</v>
      </c>
      <c r="T1377" s="10">
        <v>94.15</v>
      </c>
      <c r="U1377" s="10">
        <v>92.64</v>
      </c>
      <c r="V1377" s="10">
        <v>91.22</v>
      </c>
      <c r="W1377" s="10">
        <v>89.91</v>
      </c>
      <c r="X1377" s="10">
        <v>88.74</v>
      </c>
      <c r="Y1377" s="10">
        <v>87.67</v>
      </c>
      <c r="Z1377" s="11">
        <v>102.776</v>
      </c>
      <c r="AA1377" s="11">
        <v>103.65</v>
      </c>
      <c r="AB1377" s="11">
        <v>101.68</v>
      </c>
      <c r="AC1377" s="11">
        <v>99.622</v>
      </c>
      <c r="AD1377" s="11">
        <v>97.823999999999998</v>
      </c>
      <c r="AE1377" s="11">
        <v>96.186999999999998</v>
      </c>
      <c r="AF1377" s="11">
        <v>94.638999999999996</v>
      </c>
      <c r="AG1377" s="11">
        <v>93.156999999999996</v>
      </c>
      <c r="AH1377" s="11">
        <v>91.753</v>
      </c>
      <c r="AI1377" s="11">
        <v>90.798000000000002</v>
      </c>
      <c r="AJ1377" s="11">
        <v>89.932000000000002</v>
      </c>
      <c r="AK1377" s="11">
        <v>89.152000000000001</v>
      </c>
      <c r="AL1377" s="11"/>
    </row>
    <row r="1378" spans="1:38" x14ac:dyDescent="0.3">
      <c r="A1378" s="9">
        <f>DATE(2022, 4, 29)</f>
        <v>44680</v>
      </c>
      <c r="B1378" s="10">
        <v>109.34</v>
      </c>
      <c r="C1378" s="10">
        <v>107.14</v>
      </c>
      <c r="D1378" s="10">
        <v>105.45</v>
      </c>
      <c r="E1378" s="10">
        <v>103.48</v>
      </c>
      <c r="F1378" s="10">
        <v>101.54</v>
      </c>
      <c r="G1378" s="10">
        <v>99.79</v>
      </c>
      <c r="H1378" s="10">
        <v>98.14</v>
      </c>
      <c r="I1378" s="10">
        <v>96.59</v>
      </c>
      <c r="J1378" s="10">
        <v>95.16</v>
      </c>
      <c r="K1378" s="10">
        <v>93.91</v>
      </c>
      <c r="L1378" s="10">
        <v>92.81</v>
      </c>
      <c r="M1378" s="10">
        <v>91.83</v>
      </c>
      <c r="N1378" s="10">
        <v>104.69</v>
      </c>
      <c r="O1378" s="10">
        <v>102.94</v>
      </c>
      <c r="P1378" s="10">
        <v>100.88</v>
      </c>
      <c r="Q1378" s="10">
        <v>98.69</v>
      </c>
      <c r="R1378" s="10">
        <v>96.68</v>
      </c>
      <c r="S1378" s="10">
        <v>94.94</v>
      </c>
      <c r="T1378" s="10">
        <v>93.33</v>
      </c>
      <c r="U1378" s="10">
        <v>91.82</v>
      </c>
      <c r="V1378" s="10">
        <v>90.4</v>
      </c>
      <c r="W1378" s="10">
        <v>89.09</v>
      </c>
      <c r="X1378" s="10">
        <v>87.9</v>
      </c>
      <c r="Y1378" s="10">
        <v>86.83</v>
      </c>
      <c r="Z1378" s="11">
        <v>102.786</v>
      </c>
      <c r="AA1378" s="11">
        <v>103.563</v>
      </c>
      <c r="AB1378" s="11">
        <v>101.31</v>
      </c>
      <c r="AC1378" s="11">
        <v>99.048000000000002</v>
      </c>
      <c r="AD1378" s="11">
        <v>97.153999999999996</v>
      </c>
      <c r="AE1378" s="11">
        <v>95.465000000000003</v>
      </c>
      <c r="AF1378" s="11">
        <v>93.885999999999996</v>
      </c>
      <c r="AG1378" s="11">
        <v>92.415000000000006</v>
      </c>
      <c r="AH1378" s="11">
        <v>91.010999999999996</v>
      </c>
      <c r="AI1378" s="11">
        <v>89.988</v>
      </c>
      <c r="AJ1378" s="11">
        <v>89.120999999999995</v>
      </c>
      <c r="AK1378" s="11">
        <v>88.331999999999994</v>
      </c>
      <c r="AL1378" s="11"/>
    </row>
    <row r="1379" spans="1:38" x14ac:dyDescent="0.3">
      <c r="A1379" s="9">
        <f>DATE(2022, 5, 2)</f>
        <v>44683</v>
      </c>
      <c r="B1379" s="10">
        <v>107.58</v>
      </c>
      <c r="C1379" s="10">
        <v>105.97</v>
      </c>
      <c r="D1379" s="10">
        <v>104.08</v>
      </c>
      <c r="E1379" s="10">
        <v>102.19</v>
      </c>
      <c r="F1379" s="10">
        <v>100.44</v>
      </c>
      <c r="G1379" s="10">
        <v>98.78</v>
      </c>
      <c r="H1379" s="10">
        <v>97.25</v>
      </c>
      <c r="I1379" s="10">
        <v>95.84</v>
      </c>
      <c r="J1379" s="10">
        <v>94.6</v>
      </c>
      <c r="K1379" s="10">
        <v>93.5</v>
      </c>
      <c r="L1379" s="10">
        <v>92.53</v>
      </c>
      <c r="M1379" s="10">
        <v>91.65</v>
      </c>
      <c r="N1379" s="10">
        <v>105.17</v>
      </c>
      <c r="O1379" s="10">
        <v>103.42</v>
      </c>
      <c r="P1379" s="10">
        <v>101.38</v>
      </c>
      <c r="Q1379" s="10">
        <v>99.29</v>
      </c>
      <c r="R1379" s="10">
        <v>97.33</v>
      </c>
      <c r="S1379" s="10">
        <v>95.57</v>
      </c>
      <c r="T1379" s="10">
        <v>93.94</v>
      </c>
      <c r="U1379" s="10">
        <v>92.41</v>
      </c>
      <c r="V1379" s="10">
        <v>90.99</v>
      </c>
      <c r="W1379" s="10">
        <v>89.7</v>
      </c>
      <c r="X1379" s="10">
        <v>88.51</v>
      </c>
      <c r="Y1379" s="10">
        <v>87.45</v>
      </c>
      <c r="Z1379" s="11">
        <v>102.786</v>
      </c>
      <c r="AA1379" s="11">
        <v>104.014</v>
      </c>
      <c r="AB1379" s="11">
        <v>101.81399999999999</v>
      </c>
      <c r="AC1379" s="11">
        <v>99.49</v>
      </c>
      <c r="AD1379" s="11">
        <v>97.644000000000005</v>
      </c>
      <c r="AE1379" s="11">
        <v>95.905000000000001</v>
      </c>
      <c r="AF1379" s="11">
        <v>94.307000000000002</v>
      </c>
      <c r="AG1379" s="11">
        <v>92.945999999999998</v>
      </c>
      <c r="AH1379" s="11">
        <v>91.691999999999993</v>
      </c>
      <c r="AI1379" s="11">
        <v>90.677999999999997</v>
      </c>
      <c r="AJ1379" s="11">
        <v>89.811999999999998</v>
      </c>
      <c r="AK1379" s="11">
        <v>89.031999999999996</v>
      </c>
      <c r="AL1379" s="11"/>
    </row>
    <row r="1380" spans="1:38" x14ac:dyDescent="0.3">
      <c r="A1380" s="9">
        <f>DATE(2022, 5, 3)</f>
        <v>44684</v>
      </c>
      <c r="B1380" s="10">
        <v>104.97</v>
      </c>
      <c r="C1380" s="10">
        <v>103.73</v>
      </c>
      <c r="D1380" s="10">
        <v>102.16</v>
      </c>
      <c r="E1380" s="10">
        <v>100.54</v>
      </c>
      <c r="F1380" s="10">
        <v>98.98</v>
      </c>
      <c r="G1380" s="10">
        <v>97.45</v>
      </c>
      <c r="H1380" s="10">
        <v>96.03</v>
      </c>
      <c r="I1380" s="10">
        <v>94.72</v>
      </c>
      <c r="J1380" s="10">
        <v>93.59</v>
      </c>
      <c r="K1380" s="10">
        <v>92.56</v>
      </c>
      <c r="L1380" s="10">
        <v>91.65</v>
      </c>
      <c r="M1380" s="10">
        <v>90.83</v>
      </c>
      <c r="N1380" s="10">
        <v>102.41</v>
      </c>
      <c r="O1380" s="10">
        <v>100.9</v>
      </c>
      <c r="P1380" s="10">
        <v>99.22</v>
      </c>
      <c r="Q1380" s="10">
        <v>97.52</v>
      </c>
      <c r="R1380" s="10">
        <v>95.84</v>
      </c>
      <c r="S1380" s="10">
        <v>94.22</v>
      </c>
      <c r="T1380" s="10">
        <v>92.7</v>
      </c>
      <c r="U1380" s="10">
        <v>91.28</v>
      </c>
      <c r="V1380" s="10">
        <v>89.98</v>
      </c>
      <c r="W1380" s="10">
        <v>88.79</v>
      </c>
      <c r="X1380" s="10">
        <v>87.69</v>
      </c>
      <c r="Y1380" s="10">
        <v>86.69</v>
      </c>
      <c r="Z1380" s="11">
        <v>101.259</v>
      </c>
      <c r="AA1380" s="11">
        <v>99.459000000000003</v>
      </c>
      <c r="AB1380" s="11">
        <v>97.453000000000003</v>
      </c>
      <c r="AC1380" s="11">
        <v>95.912000000000006</v>
      </c>
      <c r="AD1380" s="11">
        <v>94.4</v>
      </c>
      <c r="AE1380" s="11">
        <v>92.941999999999993</v>
      </c>
      <c r="AF1380" s="11">
        <v>91.6</v>
      </c>
      <c r="AG1380" s="11">
        <v>90.402000000000001</v>
      </c>
      <c r="AH1380" s="11">
        <v>89.491</v>
      </c>
      <c r="AI1380" s="11">
        <v>88.685000000000002</v>
      </c>
      <c r="AJ1380" s="11">
        <v>87.953999999999994</v>
      </c>
      <c r="AK1380" s="11">
        <v>87.247</v>
      </c>
      <c r="AL1380" s="11"/>
    </row>
    <row r="1381" spans="1:38" x14ac:dyDescent="0.3">
      <c r="A1381" s="9">
        <f>DATE(2022, 5, 4)</f>
        <v>44685</v>
      </c>
      <c r="B1381" s="10">
        <v>110.14</v>
      </c>
      <c r="C1381" s="10">
        <v>108.72</v>
      </c>
      <c r="D1381" s="10">
        <v>106.95</v>
      </c>
      <c r="E1381" s="10">
        <v>105.14</v>
      </c>
      <c r="F1381" s="10">
        <v>103.42</v>
      </c>
      <c r="G1381" s="10">
        <v>101.73</v>
      </c>
      <c r="H1381" s="10">
        <v>100.12</v>
      </c>
      <c r="I1381" s="10">
        <v>98.64</v>
      </c>
      <c r="J1381" s="10">
        <v>97.35</v>
      </c>
      <c r="K1381" s="10">
        <v>96.16</v>
      </c>
      <c r="L1381" s="10">
        <v>95.1</v>
      </c>
      <c r="M1381" s="10">
        <v>94.16</v>
      </c>
      <c r="N1381" s="10">
        <v>107.81</v>
      </c>
      <c r="O1381" s="10">
        <v>106.22</v>
      </c>
      <c r="P1381" s="10">
        <v>104.42</v>
      </c>
      <c r="Q1381" s="10">
        <v>102.49</v>
      </c>
      <c r="R1381" s="10">
        <v>100.58</v>
      </c>
      <c r="S1381" s="10">
        <v>98.76</v>
      </c>
      <c r="T1381" s="10">
        <v>97.04</v>
      </c>
      <c r="U1381" s="10">
        <v>95.43</v>
      </c>
      <c r="V1381" s="10">
        <v>93.94</v>
      </c>
      <c r="W1381" s="10">
        <v>92.57</v>
      </c>
      <c r="X1381" s="10">
        <v>91.31</v>
      </c>
      <c r="Y1381" s="10">
        <v>90.16</v>
      </c>
      <c r="Z1381" s="11">
        <v>105.867</v>
      </c>
      <c r="AA1381" s="11">
        <v>104.23</v>
      </c>
      <c r="AB1381" s="11">
        <v>102.004</v>
      </c>
      <c r="AC1381" s="11">
        <v>100.255</v>
      </c>
      <c r="AD1381" s="11">
        <v>98.623000000000005</v>
      </c>
      <c r="AE1381" s="11">
        <v>97.022999999999996</v>
      </c>
      <c r="AF1381" s="11">
        <v>95.492999999999995</v>
      </c>
      <c r="AG1381" s="11">
        <v>94.037000000000006</v>
      </c>
      <c r="AH1381" s="11">
        <v>93.022999999999996</v>
      </c>
      <c r="AI1381" s="11">
        <v>92.106999999999999</v>
      </c>
      <c r="AJ1381" s="11">
        <v>91.269000000000005</v>
      </c>
      <c r="AK1381" s="11">
        <v>90.501000000000005</v>
      </c>
      <c r="AL1381" s="11"/>
    </row>
    <row r="1382" spans="1:38" x14ac:dyDescent="0.3">
      <c r="A1382" s="9">
        <f>DATE(2022, 5, 5)</f>
        <v>44686</v>
      </c>
      <c r="B1382" s="10">
        <v>110.9</v>
      </c>
      <c r="C1382" s="10">
        <v>109.22</v>
      </c>
      <c r="D1382" s="10">
        <v>107.31</v>
      </c>
      <c r="E1382" s="10">
        <v>105.46</v>
      </c>
      <c r="F1382" s="10">
        <v>103.72</v>
      </c>
      <c r="G1382" s="10">
        <v>102</v>
      </c>
      <c r="H1382" s="10">
        <v>100.35</v>
      </c>
      <c r="I1382" s="10">
        <v>98.84</v>
      </c>
      <c r="J1382" s="10">
        <v>97.55</v>
      </c>
      <c r="K1382" s="10">
        <v>96.37</v>
      </c>
      <c r="L1382" s="10">
        <v>95.3</v>
      </c>
      <c r="M1382" s="10">
        <v>94.35</v>
      </c>
      <c r="N1382" s="10">
        <v>108.26</v>
      </c>
      <c r="O1382" s="10">
        <v>106.74</v>
      </c>
      <c r="P1382" s="10">
        <v>104.86</v>
      </c>
      <c r="Q1382" s="10">
        <v>102.84</v>
      </c>
      <c r="R1382" s="10">
        <v>100.88</v>
      </c>
      <c r="S1382" s="10">
        <v>99.04</v>
      </c>
      <c r="T1382" s="10">
        <v>97.31</v>
      </c>
      <c r="U1382" s="10">
        <v>95.7</v>
      </c>
      <c r="V1382" s="10">
        <v>94.2</v>
      </c>
      <c r="W1382" s="10">
        <v>92.83</v>
      </c>
      <c r="X1382" s="10">
        <v>91.58</v>
      </c>
      <c r="Y1382" s="10">
        <v>90.44</v>
      </c>
      <c r="Z1382" s="11">
        <v>106.51</v>
      </c>
      <c r="AA1382" s="11">
        <v>104.68300000000001</v>
      </c>
      <c r="AB1382" s="11">
        <v>102.342</v>
      </c>
      <c r="AC1382" s="11">
        <v>100.474</v>
      </c>
      <c r="AD1382" s="11">
        <v>98.772000000000006</v>
      </c>
      <c r="AE1382" s="11">
        <v>97.141000000000005</v>
      </c>
      <c r="AF1382" s="11">
        <v>95.590999999999994</v>
      </c>
      <c r="AG1382" s="11">
        <v>94.137</v>
      </c>
      <c r="AH1382" s="11">
        <v>93.004000000000005</v>
      </c>
      <c r="AI1382" s="11">
        <v>91.977000000000004</v>
      </c>
      <c r="AJ1382" s="11">
        <v>91.039000000000001</v>
      </c>
      <c r="AK1382" s="11">
        <v>90.369</v>
      </c>
      <c r="AL1382" s="11"/>
    </row>
    <row r="1383" spans="1:38" x14ac:dyDescent="0.3">
      <c r="A1383" s="9">
        <f>DATE(2022, 5, 6)</f>
        <v>44687</v>
      </c>
      <c r="B1383" s="10">
        <v>112.39</v>
      </c>
      <c r="C1383" s="10">
        <v>110.84</v>
      </c>
      <c r="D1383" s="10">
        <v>108.99</v>
      </c>
      <c r="E1383" s="10">
        <v>107.16</v>
      </c>
      <c r="F1383" s="10">
        <v>105.39</v>
      </c>
      <c r="G1383" s="10">
        <v>103.61</v>
      </c>
      <c r="H1383" s="10">
        <v>101.89</v>
      </c>
      <c r="I1383" s="10">
        <v>100.29</v>
      </c>
      <c r="J1383" s="10">
        <v>98.88</v>
      </c>
      <c r="K1383" s="10">
        <v>97.6</v>
      </c>
      <c r="L1383" s="10">
        <v>96.44</v>
      </c>
      <c r="M1383" s="10">
        <v>95.39</v>
      </c>
      <c r="N1383" s="10">
        <v>109.77</v>
      </c>
      <c r="O1383" s="10">
        <v>108.33</v>
      </c>
      <c r="P1383" s="10">
        <v>106.48</v>
      </c>
      <c r="Q1383" s="10">
        <v>104.45</v>
      </c>
      <c r="R1383" s="10">
        <v>102.47</v>
      </c>
      <c r="S1383" s="10">
        <v>100.57</v>
      </c>
      <c r="T1383" s="10">
        <v>98.73</v>
      </c>
      <c r="U1383" s="10">
        <v>97</v>
      </c>
      <c r="V1383" s="10">
        <v>95.39</v>
      </c>
      <c r="W1383" s="10">
        <v>93.91</v>
      </c>
      <c r="X1383" s="10">
        <v>92.55</v>
      </c>
      <c r="Y1383" s="10">
        <v>91.31</v>
      </c>
      <c r="Z1383" s="11">
        <v>107.783</v>
      </c>
      <c r="AA1383" s="11">
        <v>106.121</v>
      </c>
      <c r="AB1383" s="11">
        <v>103.783</v>
      </c>
      <c r="AC1383" s="11">
        <v>101.873</v>
      </c>
      <c r="AD1383" s="11">
        <v>100.119</v>
      </c>
      <c r="AE1383" s="11">
        <v>98.418000000000006</v>
      </c>
      <c r="AF1383" s="11">
        <v>96.837000000000003</v>
      </c>
      <c r="AG1383" s="11">
        <v>95.305999999999997</v>
      </c>
      <c r="AH1383" s="11">
        <v>94.099000000000004</v>
      </c>
      <c r="AI1383" s="11">
        <v>92.941999999999993</v>
      </c>
      <c r="AJ1383" s="11">
        <v>91.914000000000001</v>
      </c>
      <c r="AK1383" s="11">
        <v>91.126999999999995</v>
      </c>
      <c r="AL1383" s="11"/>
    </row>
    <row r="1384" spans="1:38" x14ac:dyDescent="0.3">
      <c r="A1384" s="9">
        <f>DATE(2022, 5, 9)</f>
        <v>44690</v>
      </c>
      <c r="B1384" s="10">
        <v>105.94</v>
      </c>
      <c r="C1384" s="10">
        <v>104.6</v>
      </c>
      <c r="D1384" s="10">
        <v>102.99</v>
      </c>
      <c r="E1384" s="10">
        <v>101.49</v>
      </c>
      <c r="F1384" s="10">
        <v>100.03</v>
      </c>
      <c r="G1384" s="10">
        <v>98.55</v>
      </c>
      <c r="H1384" s="10">
        <v>97.1</v>
      </c>
      <c r="I1384" s="10">
        <v>95.73</v>
      </c>
      <c r="J1384" s="10">
        <v>94.52</v>
      </c>
      <c r="K1384" s="10">
        <v>93.4</v>
      </c>
      <c r="L1384" s="10">
        <v>92.39</v>
      </c>
      <c r="M1384" s="10">
        <v>91.48</v>
      </c>
      <c r="N1384" s="10">
        <v>103.09</v>
      </c>
      <c r="O1384" s="10">
        <v>101.77</v>
      </c>
      <c r="P1384" s="10">
        <v>100.1</v>
      </c>
      <c r="Q1384" s="10">
        <v>98.35</v>
      </c>
      <c r="R1384" s="10">
        <v>96.67</v>
      </c>
      <c r="S1384" s="10">
        <v>95.07</v>
      </c>
      <c r="T1384" s="10">
        <v>93.53</v>
      </c>
      <c r="U1384" s="10">
        <v>92.09</v>
      </c>
      <c r="V1384" s="10">
        <v>90.74</v>
      </c>
      <c r="W1384" s="10">
        <v>89.47</v>
      </c>
      <c r="X1384" s="10">
        <v>88.31</v>
      </c>
      <c r="Y1384" s="10">
        <v>87.24</v>
      </c>
      <c r="Z1384" s="11">
        <v>102.833</v>
      </c>
      <c r="AA1384" s="11">
        <v>99.837000000000003</v>
      </c>
      <c r="AB1384" s="11">
        <v>97.608999999999995</v>
      </c>
      <c r="AC1384" s="11">
        <v>96.007000000000005</v>
      </c>
      <c r="AD1384" s="11">
        <v>94.563000000000002</v>
      </c>
      <c r="AE1384" s="11">
        <v>93.141000000000005</v>
      </c>
      <c r="AF1384" s="11">
        <v>91.778000000000006</v>
      </c>
      <c r="AG1384" s="11">
        <v>90.484999999999999</v>
      </c>
      <c r="AH1384" s="11">
        <v>89.466999999999999</v>
      </c>
      <c r="AI1384" s="11">
        <v>88.48</v>
      </c>
      <c r="AJ1384" s="11">
        <v>87.7</v>
      </c>
      <c r="AK1384" s="11">
        <v>86.972999999999999</v>
      </c>
      <c r="AL1384" s="11"/>
    </row>
    <row r="1385" spans="1:38" x14ac:dyDescent="0.3">
      <c r="A1385" s="9">
        <f>DATE(2022, 5, 10)</f>
        <v>44691</v>
      </c>
      <c r="B1385" s="10">
        <v>102.46</v>
      </c>
      <c r="C1385" s="10">
        <v>101.24</v>
      </c>
      <c r="D1385" s="10">
        <v>99.77</v>
      </c>
      <c r="E1385" s="10">
        <v>98.42</v>
      </c>
      <c r="F1385" s="10">
        <v>97.13</v>
      </c>
      <c r="G1385" s="10">
        <v>95.84</v>
      </c>
      <c r="H1385" s="10">
        <v>94.56</v>
      </c>
      <c r="I1385" s="10">
        <v>93.37</v>
      </c>
      <c r="J1385" s="10">
        <v>92.31</v>
      </c>
      <c r="K1385" s="10">
        <v>91.35</v>
      </c>
      <c r="L1385" s="10">
        <v>90.49</v>
      </c>
      <c r="M1385" s="10">
        <v>89.7</v>
      </c>
      <c r="N1385" s="10">
        <v>99.76</v>
      </c>
      <c r="O1385" s="10">
        <v>98.45</v>
      </c>
      <c r="P1385" s="10">
        <v>96.87</v>
      </c>
      <c r="Q1385" s="10">
        <v>95.26</v>
      </c>
      <c r="R1385" s="10">
        <v>93.76</v>
      </c>
      <c r="S1385" s="10">
        <v>92.33</v>
      </c>
      <c r="T1385" s="10">
        <v>90.95</v>
      </c>
      <c r="U1385" s="10">
        <v>89.65</v>
      </c>
      <c r="V1385" s="10">
        <v>88.44</v>
      </c>
      <c r="W1385" s="10">
        <v>87.34</v>
      </c>
      <c r="X1385" s="10">
        <v>86.33</v>
      </c>
      <c r="Y1385" s="10">
        <v>85.41</v>
      </c>
      <c r="Z1385" s="11">
        <v>100.88</v>
      </c>
      <c r="AA1385" s="11">
        <v>96.742999999999995</v>
      </c>
      <c r="AB1385" s="11">
        <v>94.656000000000006</v>
      </c>
      <c r="AC1385" s="11">
        <v>93.123999999999995</v>
      </c>
      <c r="AD1385" s="11">
        <v>91.840999999999994</v>
      </c>
      <c r="AE1385" s="11">
        <v>90.578999999999994</v>
      </c>
      <c r="AF1385" s="11">
        <v>89.406000000000006</v>
      </c>
      <c r="AG1385" s="11">
        <v>88.259</v>
      </c>
      <c r="AH1385" s="11">
        <v>87.444000000000003</v>
      </c>
      <c r="AI1385" s="11">
        <v>86.647000000000006</v>
      </c>
      <c r="AJ1385" s="11">
        <v>85.915999999999997</v>
      </c>
      <c r="AK1385" s="11">
        <v>85.257999999999996</v>
      </c>
      <c r="AL1385" s="11"/>
    </row>
    <row r="1386" spans="1:38" x14ac:dyDescent="0.3">
      <c r="A1386" s="9">
        <f>DATE(2022, 5, 11)</f>
        <v>44692</v>
      </c>
      <c r="B1386" s="10">
        <v>107.51</v>
      </c>
      <c r="C1386" s="10">
        <v>106.1</v>
      </c>
      <c r="D1386" s="10">
        <v>104.46</v>
      </c>
      <c r="E1386" s="10">
        <v>102.92</v>
      </c>
      <c r="F1386" s="10">
        <v>101.49</v>
      </c>
      <c r="G1386" s="10">
        <v>100.08</v>
      </c>
      <c r="H1386" s="10">
        <v>98.7</v>
      </c>
      <c r="I1386" s="10">
        <v>97.41</v>
      </c>
      <c r="J1386" s="10">
        <v>96.3</v>
      </c>
      <c r="K1386" s="10">
        <v>95.3</v>
      </c>
      <c r="L1386" s="10">
        <v>94.42</v>
      </c>
      <c r="M1386" s="10">
        <v>93.61</v>
      </c>
      <c r="N1386" s="10">
        <v>105.71</v>
      </c>
      <c r="O1386" s="10">
        <v>104.03</v>
      </c>
      <c r="P1386" s="10">
        <v>102.2</v>
      </c>
      <c r="Q1386" s="10">
        <v>100.34</v>
      </c>
      <c r="R1386" s="10">
        <v>98.59</v>
      </c>
      <c r="S1386" s="10">
        <v>96.95</v>
      </c>
      <c r="T1386" s="10">
        <v>95.4</v>
      </c>
      <c r="U1386" s="10">
        <v>93.96</v>
      </c>
      <c r="V1386" s="10">
        <v>92.64</v>
      </c>
      <c r="W1386" s="10">
        <v>91.47</v>
      </c>
      <c r="X1386" s="10">
        <v>90.42</v>
      </c>
      <c r="Y1386" s="10">
        <v>89.47</v>
      </c>
      <c r="Z1386" s="11">
        <v>104.73099999999999</v>
      </c>
      <c r="AA1386" s="11">
        <v>101.77500000000001</v>
      </c>
      <c r="AB1386" s="11">
        <v>99.486999999999995</v>
      </c>
      <c r="AC1386" s="11">
        <v>97.808000000000007</v>
      </c>
      <c r="AD1386" s="11">
        <v>96.366</v>
      </c>
      <c r="AE1386" s="11">
        <v>95.004000000000005</v>
      </c>
      <c r="AF1386" s="11">
        <v>93.691000000000003</v>
      </c>
      <c r="AG1386" s="11">
        <v>92.504000000000005</v>
      </c>
      <c r="AH1386" s="11">
        <v>91.531999999999996</v>
      </c>
      <c r="AI1386" s="11">
        <v>90.715999999999994</v>
      </c>
      <c r="AJ1386" s="11">
        <v>89.954999999999998</v>
      </c>
      <c r="AK1386" s="11">
        <v>89.308000000000007</v>
      </c>
      <c r="AL1386" s="11"/>
    </row>
    <row r="1387" spans="1:38" x14ac:dyDescent="0.3">
      <c r="A1387" s="9">
        <f>DATE(2022, 5, 12)</f>
        <v>44693</v>
      </c>
      <c r="B1387" s="10">
        <v>107.45</v>
      </c>
      <c r="C1387" s="10">
        <v>105.99</v>
      </c>
      <c r="D1387" s="10">
        <v>104.23</v>
      </c>
      <c r="E1387" s="10">
        <v>102.6</v>
      </c>
      <c r="F1387" s="10">
        <v>101.1</v>
      </c>
      <c r="G1387" s="10">
        <v>99.64</v>
      </c>
      <c r="H1387" s="10">
        <v>98.24</v>
      </c>
      <c r="I1387" s="10">
        <v>96.93</v>
      </c>
      <c r="J1387" s="10">
        <v>95.79</v>
      </c>
      <c r="K1387" s="10">
        <v>94.76</v>
      </c>
      <c r="L1387" s="10">
        <v>93.86</v>
      </c>
      <c r="M1387" s="10">
        <v>93.05</v>
      </c>
      <c r="N1387" s="10">
        <v>106.13</v>
      </c>
      <c r="O1387" s="10">
        <v>104.4</v>
      </c>
      <c r="P1387" s="10">
        <v>102.42</v>
      </c>
      <c r="Q1387" s="10">
        <v>100.42</v>
      </c>
      <c r="R1387" s="10">
        <v>98.54</v>
      </c>
      <c r="S1387" s="10">
        <v>96.81</v>
      </c>
      <c r="T1387" s="10">
        <v>95.19</v>
      </c>
      <c r="U1387" s="10">
        <v>93.7</v>
      </c>
      <c r="V1387" s="10">
        <v>92.33</v>
      </c>
      <c r="W1387" s="10">
        <v>91.12</v>
      </c>
      <c r="X1387" s="10">
        <v>90.03</v>
      </c>
      <c r="Y1387" s="10">
        <v>89.06</v>
      </c>
      <c r="Z1387" s="11">
        <v>104.748</v>
      </c>
      <c r="AA1387" s="11">
        <v>101.83</v>
      </c>
      <c r="AB1387" s="11">
        <v>99.352000000000004</v>
      </c>
      <c r="AC1387" s="11">
        <v>97.525000000000006</v>
      </c>
      <c r="AD1387" s="11">
        <v>95.994</v>
      </c>
      <c r="AE1387" s="11">
        <v>94.563000000000002</v>
      </c>
      <c r="AF1387" s="11">
        <v>93.23</v>
      </c>
      <c r="AG1387" s="11">
        <v>91.960999999999999</v>
      </c>
      <c r="AH1387" s="11">
        <v>90.950999999999993</v>
      </c>
      <c r="AI1387" s="11">
        <v>90.094999999999999</v>
      </c>
      <c r="AJ1387" s="11">
        <v>89.305000000000007</v>
      </c>
      <c r="AK1387" s="11">
        <v>88.658000000000001</v>
      </c>
      <c r="AL1387" s="11"/>
    </row>
    <row r="1388" spans="1:38" x14ac:dyDescent="0.3">
      <c r="A1388" s="9">
        <f>DATE(2022, 5, 13)</f>
        <v>44694</v>
      </c>
      <c r="B1388" s="10">
        <v>111.55</v>
      </c>
      <c r="C1388" s="10">
        <v>109.75</v>
      </c>
      <c r="D1388" s="10">
        <v>107.71</v>
      </c>
      <c r="E1388" s="10">
        <v>105.74</v>
      </c>
      <c r="F1388" s="10">
        <v>103.94</v>
      </c>
      <c r="G1388" s="10">
        <v>102.24</v>
      </c>
      <c r="H1388" s="10">
        <v>100.65</v>
      </c>
      <c r="I1388" s="10">
        <v>99.19</v>
      </c>
      <c r="J1388" s="10">
        <v>97.91</v>
      </c>
      <c r="K1388" s="10">
        <v>96.76</v>
      </c>
      <c r="L1388" s="10">
        <v>95.76</v>
      </c>
      <c r="M1388" s="10">
        <v>94.86</v>
      </c>
      <c r="N1388" s="10">
        <v>110.49</v>
      </c>
      <c r="O1388" s="10">
        <v>108.63</v>
      </c>
      <c r="P1388" s="10">
        <v>106.27</v>
      </c>
      <c r="Q1388" s="10">
        <v>103.86</v>
      </c>
      <c r="R1388" s="10">
        <v>101.64</v>
      </c>
      <c r="S1388" s="10">
        <v>99.66</v>
      </c>
      <c r="T1388" s="10">
        <v>97.85</v>
      </c>
      <c r="U1388" s="10">
        <v>96.19</v>
      </c>
      <c r="V1388" s="10">
        <v>94.67</v>
      </c>
      <c r="W1388" s="10">
        <v>93.3</v>
      </c>
      <c r="X1388" s="10">
        <v>92.09</v>
      </c>
      <c r="Y1388" s="10">
        <v>91</v>
      </c>
      <c r="Z1388" s="11">
        <v>106.976</v>
      </c>
      <c r="AA1388" s="11">
        <v>105.637</v>
      </c>
      <c r="AB1388" s="11">
        <v>102.93600000000001</v>
      </c>
      <c r="AC1388" s="11">
        <v>100.792</v>
      </c>
      <c r="AD1388" s="11">
        <v>98.903000000000006</v>
      </c>
      <c r="AE1388" s="11">
        <v>97.203999999999994</v>
      </c>
      <c r="AF1388" s="11">
        <v>95.683999999999997</v>
      </c>
      <c r="AG1388" s="11">
        <v>94.227999999999994</v>
      </c>
      <c r="AH1388" s="11">
        <v>93.105000000000004</v>
      </c>
      <c r="AI1388" s="11">
        <v>92.1</v>
      </c>
      <c r="AJ1388" s="11">
        <v>91.230999999999995</v>
      </c>
      <c r="AK1388" s="11">
        <v>90.433000000000007</v>
      </c>
      <c r="AL1388" s="11"/>
    </row>
    <row r="1389" spans="1:38" x14ac:dyDescent="0.3">
      <c r="A1389" s="9">
        <f>DATE(2022, 5, 16)</f>
        <v>44697</v>
      </c>
      <c r="B1389" s="10">
        <v>114.24</v>
      </c>
      <c r="C1389" s="10">
        <v>112.11</v>
      </c>
      <c r="D1389" s="10">
        <v>109.68</v>
      </c>
      <c r="E1389" s="10">
        <v>107.36</v>
      </c>
      <c r="F1389" s="10">
        <v>105.29</v>
      </c>
      <c r="G1389" s="10">
        <v>103.37</v>
      </c>
      <c r="H1389" s="10">
        <v>101.62</v>
      </c>
      <c r="I1389" s="10">
        <v>100.02</v>
      </c>
      <c r="J1389" s="10">
        <v>98.65</v>
      </c>
      <c r="K1389" s="10">
        <v>97.44</v>
      </c>
      <c r="L1389" s="10">
        <v>96.39</v>
      </c>
      <c r="M1389" s="10">
        <v>95.43</v>
      </c>
      <c r="N1389" s="10">
        <v>114.2</v>
      </c>
      <c r="O1389" s="10">
        <v>111.82</v>
      </c>
      <c r="P1389" s="10">
        <v>108.91</v>
      </c>
      <c r="Q1389" s="10">
        <v>105.93</v>
      </c>
      <c r="R1389" s="10">
        <v>103.25</v>
      </c>
      <c r="S1389" s="10">
        <v>100.99</v>
      </c>
      <c r="T1389" s="10">
        <v>98.99</v>
      </c>
      <c r="U1389" s="10">
        <v>97.16</v>
      </c>
      <c r="V1389" s="10">
        <v>95.51</v>
      </c>
      <c r="W1389" s="10">
        <v>94.06</v>
      </c>
      <c r="X1389" s="10">
        <v>92.78</v>
      </c>
      <c r="Y1389" s="10">
        <v>91.65</v>
      </c>
      <c r="Z1389" s="11">
        <v>108.211</v>
      </c>
      <c r="AA1389" s="11">
        <v>107.77</v>
      </c>
      <c r="AB1389" s="11">
        <v>104.989</v>
      </c>
      <c r="AC1389" s="11">
        <v>102.57299999999999</v>
      </c>
      <c r="AD1389" s="11">
        <v>100.425</v>
      </c>
      <c r="AE1389" s="11">
        <v>98.507000000000005</v>
      </c>
      <c r="AF1389" s="11">
        <v>96.747</v>
      </c>
      <c r="AG1389" s="11">
        <v>95.27</v>
      </c>
      <c r="AH1389" s="11">
        <v>93.841999999999999</v>
      </c>
      <c r="AI1389" s="11">
        <v>92.778000000000006</v>
      </c>
      <c r="AJ1389" s="11">
        <v>91.927999999999997</v>
      </c>
      <c r="AK1389" s="11">
        <v>91.081000000000003</v>
      </c>
      <c r="AL1389" s="11"/>
    </row>
    <row r="1390" spans="1:38" x14ac:dyDescent="0.3">
      <c r="A1390" s="9">
        <f>DATE(2022, 5, 17)</f>
        <v>44698</v>
      </c>
      <c r="B1390" s="10">
        <v>111.93</v>
      </c>
      <c r="C1390" s="10">
        <v>109.85</v>
      </c>
      <c r="D1390" s="10">
        <v>107.53</v>
      </c>
      <c r="E1390" s="10">
        <v>105.33</v>
      </c>
      <c r="F1390" s="10">
        <v>103.41</v>
      </c>
      <c r="G1390" s="10">
        <v>101.61</v>
      </c>
      <c r="H1390" s="10">
        <v>99.96</v>
      </c>
      <c r="I1390" s="10">
        <v>98.45</v>
      </c>
      <c r="J1390" s="10">
        <v>97.17</v>
      </c>
      <c r="K1390" s="10">
        <v>96.03</v>
      </c>
      <c r="L1390" s="10">
        <v>95.06</v>
      </c>
      <c r="M1390" s="10">
        <v>94.19</v>
      </c>
      <c r="N1390" s="10">
        <v>112.4</v>
      </c>
      <c r="O1390" s="10">
        <v>109.63</v>
      </c>
      <c r="P1390" s="10">
        <v>106.76</v>
      </c>
      <c r="Q1390" s="10">
        <v>103.86</v>
      </c>
      <c r="R1390" s="10">
        <v>101.28</v>
      </c>
      <c r="S1390" s="10">
        <v>99.11</v>
      </c>
      <c r="T1390" s="10">
        <v>97.22</v>
      </c>
      <c r="U1390" s="10">
        <v>95.5</v>
      </c>
      <c r="V1390" s="10">
        <v>93.96</v>
      </c>
      <c r="W1390" s="10">
        <v>92.61</v>
      </c>
      <c r="X1390" s="10">
        <v>91.43</v>
      </c>
      <c r="Y1390" s="10">
        <v>90.39</v>
      </c>
      <c r="Z1390" s="11">
        <v>106.863</v>
      </c>
      <c r="AA1390" s="11">
        <v>105.46</v>
      </c>
      <c r="AB1390" s="11">
        <v>102.705</v>
      </c>
      <c r="AC1390" s="11">
        <v>100.417</v>
      </c>
      <c r="AD1390" s="11">
        <v>98.528000000000006</v>
      </c>
      <c r="AE1390" s="11">
        <v>96.661000000000001</v>
      </c>
      <c r="AF1390" s="11">
        <v>95.081000000000003</v>
      </c>
      <c r="AG1390" s="11">
        <v>93.638000000000005</v>
      </c>
      <c r="AH1390" s="11">
        <v>92.366</v>
      </c>
      <c r="AI1390" s="11">
        <v>91.372</v>
      </c>
      <c r="AJ1390" s="11">
        <v>90.602000000000004</v>
      </c>
      <c r="AK1390" s="11">
        <v>89.844999999999999</v>
      </c>
      <c r="AL1390" s="11"/>
    </row>
    <row r="1391" spans="1:38" x14ac:dyDescent="0.3">
      <c r="A1391" s="9">
        <f>DATE(2022, 5, 18)</f>
        <v>44699</v>
      </c>
      <c r="B1391" s="10">
        <v>109.11</v>
      </c>
      <c r="C1391" s="10">
        <v>106.93</v>
      </c>
      <c r="D1391" s="10">
        <v>104.53</v>
      </c>
      <c r="E1391" s="10">
        <v>102.33</v>
      </c>
      <c r="F1391" s="10">
        <v>100.46</v>
      </c>
      <c r="G1391" s="10">
        <v>98.76</v>
      </c>
      <c r="H1391" s="10">
        <v>97.21</v>
      </c>
      <c r="I1391" s="10">
        <v>95.81</v>
      </c>
      <c r="J1391" s="10">
        <v>94.64</v>
      </c>
      <c r="K1391" s="10">
        <v>93.6</v>
      </c>
      <c r="L1391" s="10">
        <v>92.72</v>
      </c>
      <c r="M1391" s="10">
        <v>91.94</v>
      </c>
      <c r="N1391" s="10">
        <v>109.59</v>
      </c>
      <c r="O1391" s="10">
        <v>107.04</v>
      </c>
      <c r="P1391" s="10">
        <v>104.07</v>
      </c>
      <c r="Q1391" s="10">
        <v>101.08</v>
      </c>
      <c r="R1391" s="10">
        <v>98.45</v>
      </c>
      <c r="S1391" s="10">
        <v>96.31</v>
      </c>
      <c r="T1391" s="10">
        <v>94.48</v>
      </c>
      <c r="U1391" s="10">
        <v>92.84</v>
      </c>
      <c r="V1391" s="10">
        <v>91.39</v>
      </c>
      <c r="W1391" s="10">
        <v>90.13</v>
      </c>
      <c r="X1391" s="10">
        <v>89.03</v>
      </c>
      <c r="Y1391" s="10">
        <v>88.06</v>
      </c>
      <c r="Z1391" s="11">
        <v>105.70399999999999</v>
      </c>
      <c r="AA1391" s="11">
        <v>102.741</v>
      </c>
      <c r="AB1391" s="11">
        <v>99.915000000000006</v>
      </c>
      <c r="AC1391" s="11">
        <v>97.599000000000004</v>
      </c>
      <c r="AD1391" s="11">
        <v>95.703000000000003</v>
      </c>
      <c r="AE1391" s="11">
        <v>93.971000000000004</v>
      </c>
      <c r="AF1391" s="11">
        <v>92.555999999999997</v>
      </c>
      <c r="AG1391" s="11">
        <v>91.209000000000003</v>
      </c>
      <c r="AH1391" s="11">
        <v>89.99</v>
      </c>
      <c r="AI1391" s="11">
        <v>89.055999999999997</v>
      </c>
      <c r="AJ1391" s="11">
        <v>88.366</v>
      </c>
      <c r="AK1391" s="11">
        <v>87.697999999999993</v>
      </c>
      <c r="AL1391" s="11"/>
    </row>
    <row r="1392" spans="1:38" x14ac:dyDescent="0.3">
      <c r="A1392" s="9">
        <f>DATE(2022, 5, 19)</f>
        <v>44700</v>
      </c>
      <c r="B1392" s="10">
        <v>112.04</v>
      </c>
      <c r="C1392" s="10">
        <v>109.82</v>
      </c>
      <c r="D1392" s="10">
        <v>107.31</v>
      </c>
      <c r="E1392" s="10">
        <v>105.01</v>
      </c>
      <c r="F1392" s="10">
        <v>103.04</v>
      </c>
      <c r="G1392" s="10">
        <v>101.24</v>
      </c>
      <c r="H1392" s="10">
        <v>99.6</v>
      </c>
      <c r="I1392" s="10">
        <v>98.11</v>
      </c>
      <c r="J1392" s="10">
        <v>96.84</v>
      </c>
      <c r="K1392" s="10">
        <v>95.71</v>
      </c>
      <c r="L1392" s="10">
        <v>94.72</v>
      </c>
      <c r="M1392" s="10">
        <v>93.84</v>
      </c>
      <c r="N1392" s="10">
        <v>112.21</v>
      </c>
      <c r="O1392" s="10">
        <v>109.89</v>
      </c>
      <c r="P1392" s="10">
        <v>106.82</v>
      </c>
      <c r="Q1392" s="10">
        <v>103.67</v>
      </c>
      <c r="R1392" s="10">
        <v>100.89</v>
      </c>
      <c r="S1392" s="10">
        <v>98.61</v>
      </c>
      <c r="T1392" s="10">
        <v>96.71</v>
      </c>
      <c r="U1392" s="10">
        <v>95</v>
      </c>
      <c r="V1392" s="10">
        <v>93.47</v>
      </c>
      <c r="W1392" s="10">
        <v>92.12</v>
      </c>
      <c r="X1392" s="10">
        <v>90.94</v>
      </c>
      <c r="Y1392" s="10">
        <v>89.88</v>
      </c>
      <c r="Z1392" s="11">
        <v>107.039</v>
      </c>
      <c r="AA1392" s="11">
        <v>105.746</v>
      </c>
      <c r="AB1392" s="11">
        <v>102.86</v>
      </c>
      <c r="AC1392" s="11">
        <v>100.39400000000001</v>
      </c>
      <c r="AD1392" s="11">
        <v>98.418000000000006</v>
      </c>
      <c r="AE1392" s="11">
        <v>96.591999999999999</v>
      </c>
      <c r="AF1392" s="11">
        <v>95.022000000000006</v>
      </c>
      <c r="AG1392" s="11">
        <v>93.539000000000001</v>
      </c>
      <c r="AH1392" s="11">
        <v>92.256</v>
      </c>
      <c r="AI1392" s="11">
        <v>91.241</v>
      </c>
      <c r="AJ1392" s="11">
        <v>90.432000000000002</v>
      </c>
      <c r="AK1392" s="11">
        <v>89.665000000000006</v>
      </c>
      <c r="AL1392" s="11"/>
    </row>
    <row r="1393" spans="1:38" x14ac:dyDescent="0.3">
      <c r="A1393" s="9">
        <f>DATE(2022, 5, 20)</f>
        <v>44701</v>
      </c>
      <c r="B1393" s="10">
        <v>112.55</v>
      </c>
      <c r="C1393" s="10">
        <v>109.99</v>
      </c>
      <c r="D1393" s="10">
        <v>107.32</v>
      </c>
      <c r="E1393" s="10">
        <v>104.9</v>
      </c>
      <c r="F1393" s="10">
        <v>102.87</v>
      </c>
      <c r="G1393" s="10">
        <v>101.04</v>
      </c>
      <c r="H1393" s="10">
        <v>99.39</v>
      </c>
      <c r="I1393" s="10">
        <v>97.88</v>
      </c>
      <c r="J1393" s="10">
        <v>96.59</v>
      </c>
      <c r="K1393" s="10">
        <v>95.42</v>
      </c>
      <c r="L1393" s="10">
        <v>94.4</v>
      </c>
      <c r="M1393" s="10">
        <v>93.51</v>
      </c>
      <c r="N1393" s="10">
        <v>113.23</v>
      </c>
      <c r="O1393" s="10">
        <v>110.28</v>
      </c>
      <c r="P1393" s="10">
        <v>107.17</v>
      </c>
      <c r="Q1393" s="10">
        <v>103.94</v>
      </c>
      <c r="R1393" s="10">
        <v>101.07</v>
      </c>
      <c r="S1393" s="10">
        <v>98.7</v>
      </c>
      <c r="T1393" s="10">
        <v>96.7</v>
      </c>
      <c r="U1393" s="10">
        <v>94.92</v>
      </c>
      <c r="V1393" s="10">
        <v>93.35</v>
      </c>
      <c r="W1393" s="10">
        <v>91.97</v>
      </c>
      <c r="X1393" s="10">
        <v>90.76</v>
      </c>
      <c r="Y1393" s="10">
        <v>89.68</v>
      </c>
      <c r="Z1393" s="11">
        <v>107.15600000000001</v>
      </c>
      <c r="AA1393" s="11">
        <v>106.07899999999999</v>
      </c>
      <c r="AB1393" s="11">
        <v>102.995</v>
      </c>
      <c r="AC1393" s="11">
        <v>100.41200000000001</v>
      </c>
      <c r="AD1393" s="11">
        <v>98.326999999999998</v>
      </c>
      <c r="AE1393" s="11">
        <v>96.480999999999995</v>
      </c>
      <c r="AF1393" s="11">
        <v>94.891000000000005</v>
      </c>
      <c r="AG1393" s="11">
        <v>93.387</v>
      </c>
      <c r="AH1393" s="11">
        <v>92.063999999999993</v>
      </c>
      <c r="AI1393" s="11">
        <v>90.948999999999998</v>
      </c>
      <c r="AJ1393" s="11">
        <v>90.081000000000003</v>
      </c>
      <c r="AK1393" s="11">
        <v>89.295000000000002</v>
      </c>
      <c r="AL1393" s="11"/>
    </row>
    <row r="1394" spans="1:38" x14ac:dyDescent="0.3">
      <c r="A1394" s="9">
        <f>DATE(2022, 5, 23)</f>
        <v>44704</v>
      </c>
      <c r="B1394" s="10">
        <v>113.42</v>
      </c>
      <c r="C1394" s="10">
        <v>110.78</v>
      </c>
      <c r="D1394" s="10">
        <v>108.1</v>
      </c>
      <c r="E1394" s="10">
        <v>105.75</v>
      </c>
      <c r="F1394" s="10">
        <v>103.78</v>
      </c>
      <c r="G1394" s="10">
        <v>102.01</v>
      </c>
      <c r="H1394" s="10">
        <v>100.41</v>
      </c>
      <c r="I1394" s="10">
        <v>98.91</v>
      </c>
      <c r="J1394" s="10">
        <v>97.6</v>
      </c>
      <c r="K1394" s="10">
        <v>96.43</v>
      </c>
      <c r="L1394" s="10">
        <v>95.39</v>
      </c>
      <c r="M1394" s="10">
        <v>94.49</v>
      </c>
      <c r="N1394" s="10">
        <v>110.29</v>
      </c>
      <c r="O1394" s="10">
        <v>107.54</v>
      </c>
      <c r="P1394" s="10">
        <v>104.61</v>
      </c>
      <c r="Q1394" s="10">
        <v>101.94</v>
      </c>
      <c r="R1394" s="10">
        <v>99.66</v>
      </c>
      <c r="S1394" s="10">
        <v>97.69</v>
      </c>
      <c r="T1394" s="10">
        <v>95.94</v>
      </c>
      <c r="U1394" s="10">
        <v>94.38</v>
      </c>
      <c r="V1394" s="10">
        <v>93</v>
      </c>
      <c r="W1394" s="10">
        <v>91.78</v>
      </c>
      <c r="X1394" s="10">
        <v>90.69</v>
      </c>
      <c r="Y1394" s="10">
        <v>89.7</v>
      </c>
      <c r="Z1394" s="11">
        <v>107.4</v>
      </c>
      <c r="AA1394" s="11">
        <v>106.708</v>
      </c>
      <c r="AB1394" s="11">
        <v>103.648</v>
      </c>
      <c r="AC1394" s="11">
        <v>101.134</v>
      </c>
      <c r="AD1394" s="11">
        <v>99.09</v>
      </c>
      <c r="AE1394" s="11">
        <v>97.313999999999993</v>
      </c>
      <c r="AF1394" s="11">
        <v>95.751999999999995</v>
      </c>
      <c r="AG1394" s="11">
        <v>94.254999999999995</v>
      </c>
      <c r="AH1394" s="11">
        <v>93.073999999999998</v>
      </c>
      <c r="AI1394" s="11">
        <v>91.957999999999998</v>
      </c>
      <c r="AJ1394" s="11">
        <v>91.070999999999998</v>
      </c>
      <c r="AK1394" s="11">
        <v>90.274000000000001</v>
      </c>
      <c r="AL1394" s="11"/>
    </row>
    <row r="1395" spans="1:38" x14ac:dyDescent="0.3">
      <c r="A1395" s="9">
        <f>DATE(2022, 5, 24)</f>
        <v>44705</v>
      </c>
      <c r="B1395" s="10">
        <v>113.56</v>
      </c>
      <c r="C1395" s="10">
        <v>110.69</v>
      </c>
      <c r="D1395" s="10">
        <v>108.11</v>
      </c>
      <c r="E1395" s="10">
        <v>105.88</v>
      </c>
      <c r="F1395" s="10">
        <v>103.99</v>
      </c>
      <c r="G1395" s="10">
        <v>102.28</v>
      </c>
      <c r="H1395" s="10">
        <v>100.72</v>
      </c>
      <c r="I1395" s="10">
        <v>99.27</v>
      </c>
      <c r="J1395" s="10">
        <v>97.99</v>
      </c>
      <c r="K1395" s="10">
        <v>96.82</v>
      </c>
      <c r="L1395" s="10">
        <v>95.79</v>
      </c>
      <c r="M1395" s="10">
        <v>94.89</v>
      </c>
      <c r="N1395" s="10">
        <v>109.77</v>
      </c>
      <c r="O1395" s="10">
        <v>107.2</v>
      </c>
      <c r="P1395" s="10">
        <v>104.45</v>
      </c>
      <c r="Q1395" s="10">
        <v>101.93</v>
      </c>
      <c r="R1395" s="10">
        <v>99.76</v>
      </c>
      <c r="S1395" s="10">
        <v>97.86</v>
      </c>
      <c r="T1395" s="10">
        <v>96.18</v>
      </c>
      <c r="U1395" s="10">
        <v>94.67</v>
      </c>
      <c r="V1395" s="10">
        <v>93.31</v>
      </c>
      <c r="W1395" s="10">
        <v>92.11</v>
      </c>
      <c r="X1395" s="10">
        <v>91.03</v>
      </c>
      <c r="Y1395" s="10">
        <v>90.04</v>
      </c>
      <c r="Z1395" s="11">
        <v>107.214</v>
      </c>
      <c r="AA1395" s="11">
        <v>106.613</v>
      </c>
      <c r="AB1395" s="11">
        <v>103.654</v>
      </c>
      <c r="AC1395" s="11">
        <v>101.248</v>
      </c>
      <c r="AD1395" s="11">
        <v>99.281999999999996</v>
      </c>
      <c r="AE1395" s="11">
        <v>97.566000000000003</v>
      </c>
      <c r="AF1395" s="11">
        <v>96.043999999999997</v>
      </c>
      <c r="AG1395" s="11">
        <v>94.597999999999999</v>
      </c>
      <c r="AH1395" s="11">
        <v>93.394000000000005</v>
      </c>
      <c r="AI1395" s="11">
        <v>92.299000000000007</v>
      </c>
      <c r="AJ1395" s="11">
        <v>91.441000000000003</v>
      </c>
      <c r="AK1395" s="11">
        <v>90.643000000000001</v>
      </c>
      <c r="AL1395" s="11"/>
    </row>
    <row r="1396" spans="1:38" x14ac:dyDescent="0.3">
      <c r="A1396" s="9">
        <f>DATE(2022, 5, 25)</f>
        <v>44706</v>
      </c>
      <c r="B1396" s="10">
        <v>114.03</v>
      </c>
      <c r="C1396" s="10">
        <v>111.12</v>
      </c>
      <c r="D1396" s="10">
        <v>108.68</v>
      </c>
      <c r="E1396" s="10">
        <v>106.52</v>
      </c>
      <c r="F1396" s="10">
        <v>104.68</v>
      </c>
      <c r="G1396" s="10">
        <v>103.01</v>
      </c>
      <c r="H1396" s="10">
        <v>101.46</v>
      </c>
      <c r="I1396" s="10">
        <v>99.99</v>
      </c>
      <c r="J1396" s="10">
        <v>98.67</v>
      </c>
      <c r="K1396" s="10">
        <v>97.47</v>
      </c>
      <c r="L1396" s="10">
        <v>96.41</v>
      </c>
      <c r="M1396" s="10">
        <v>95.49</v>
      </c>
      <c r="N1396" s="10">
        <v>110.33</v>
      </c>
      <c r="O1396" s="10">
        <v>107.75</v>
      </c>
      <c r="P1396" s="10">
        <v>105.03</v>
      </c>
      <c r="Q1396" s="10">
        <v>102.54</v>
      </c>
      <c r="R1396" s="10">
        <v>100.42</v>
      </c>
      <c r="S1396" s="10">
        <v>98.56</v>
      </c>
      <c r="T1396" s="10">
        <v>96.88</v>
      </c>
      <c r="U1396" s="10">
        <v>95.35</v>
      </c>
      <c r="V1396" s="10">
        <v>93.97</v>
      </c>
      <c r="W1396" s="10">
        <v>92.74</v>
      </c>
      <c r="X1396" s="10">
        <v>91.63</v>
      </c>
      <c r="Y1396" s="10">
        <v>90.63</v>
      </c>
      <c r="Z1396" s="11">
        <v>107.3</v>
      </c>
      <c r="AA1396" s="11">
        <v>106.849</v>
      </c>
      <c r="AB1396" s="11">
        <v>104.127</v>
      </c>
      <c r="AC1396" s="11">
        <v>101.8</v>
      </c>
      <c r="AD1396" s="11">
        <v>99.873999999999995</v>
      </c>
      <c r="AE1396" s="11">
        <v>98.206000000000003</v>
      </c>
      <c r="AF1396" s="11">
        <v>96.742999999999995</v>
      </c>
      <c r="AG1396" s="11">
        <v>95.263999999999996</v>
      </c>
      <c r="AH1396" s="11">
        <v>94.022999999999996</v>
      </c>
      <c r="AI1396" s="11">
        <v>92.917000000000002</v>
      </c>
      <c r="AJ1396" s="11">
        <v>91.97</v>
      </c>
      <c r="AK1396" s="11">
        <v>91.203000000000003</v>
      </c>
      <c r="AL1396" s="11"/>
    </row>
    <row r="1397" spans="1:38" x14ac:dyDescent="0.3">
      <c r="A1397" s="9">
        <f>DATE(2022, 5, 26)</f>
        <v>44707</v>
      </c>
      <c r="B1397" s="10">
        <v>117.4</v>
      </c>
      <c r="C1397" s="10">
        <v>114.17</v>
      </c>
      <c r="D1397" s="10">
        <v>111.55</v>
      </c>
      <c r="E1397" s="10">
        <v>109.22</v>
      </c>
      <c r="F1397" s="10">
        <v>107.24</v>
      </c>
      <c r="G1397" s="10">
        <v>105.44</v>
      </c>
      <c r="H1397" s="10">
        <v>103.75</v>
      </c>
      <c r="I1397" s="10">
        <v>102.14</v>
      </c>
      <c r="J1397" s="10">
        <v>100.68</v>
      </c>
      <c r="K1397" s="10">
        <v>99.34</v>
      </c>
      <c r="L1397" s="10">
        <v>98.16</v>
      </c>
      <c r="M1397" s="10">
        <v>97.13</v>
      </c>
      <c r="N1397" s="10">
        <v>114.09</v>
      </c>
      <c r="O1397" s="10">
        <v>111.25</v>
      </c>
      <c r="P1397" s="10">
        <v>108.28</v>
      </c>
      <c r="Q1397" s="10">
        <v>105.57</v>
      </c>
      <c r="R1397" s="10">
        <v>103.26</v>
      </c>
      <c r="S1397" s="10">
        <v>101.21</v>
      </c>
      <c r="T1397" s="10">
        <v>99.35</v>
      </c>
      <c r="U1397" s="10">
        <v>97.66</v>
      </c>
      <c r="V1397" s="10">
        <v>96.12</v>
      </c>
      <c r="W1397" s="10">
        <v>94.77</v>
      </c>
      <c r="X1397" s="10">
        <v>93.55</v>
      </c>
      <c r="Y1397" s="10">
        <v>92.42</v>
      </c>
      <c r="Z1397" s="11">
        <v>107.68899999999999</v>
      </c>
      <c r="AA1397" s="11">
        <v>109.551</v>
      </c>
      <c r="AB1397" s="11">
        <v>106.82899999999999</v>
      </c>
      <c r="AC1397" s="11">
        <v>104.434</v>
      </c>
      <c r="AD1397" s="11">
        <v>102.398</v>
      </c>
      <c r="AE1397" s="11">
        <v>100.59</v>
      </c>
      <c r="AF1397" s="11">
        <v>98.906999999999996</v>
      </c>
      <c r="AG1397" s="11">
        <v>97.320999999999998</v>
      </c>
      <c r="AH1397" s="11">
        <v>96.025999999999996</v>
      </c>
      <c r="AI1397" s="11">
        <v>94.781000000000006</v>
      </c>
      <c r="AJ1397" s="11">
        <v>93.715000000000003</v>
      </c>
      <c r="AK1397" s="11">
        <v>92.775999999999996</v>
      </c>
      <c r="AL1397" s="11"/>
    </row>
    <row r="1398" spans="1:38" x14ac:dyDescent="0.3">
      <c r="A1398" s="9">
        <f>DATE(2022, 5, 27)</f>
        <v>44708</v>
      </c>
      <c r="B1398" s="10">
        <v>119.43</v>
      </c>
      <c r="C1398" s="10">
        <v>115.56</v>
      </c>
      <c r="D1398" s="10">
        <v>112.7</v>
      </c>
      <c r="E1398" s="10">
        <v>110.21</v>
      </c>
      <c r="F1398" s="10">
        <v>108.08</v>
      </c>
      <c r="G1398" s="10">
        <v>106.2</v>
      </c>
      <c r="H1398" s="10">
        <v>104.46</v>
      </c>
      <c r="I1398" s="10">
        <v>102.81</v>
      </c>
      <c r="J1398" s="10">
        <v>101.32</v>
      </c>
      <c r="K1398" s="10">
        <v>99.96</v>
      </c>
      <c r="L1398" s="10">
        <v>98.75</v>
      </c>
      <c r="M1398" s="10">
        <v>97.67</v>
      </c>
      <c r="N1398" s="10">
        <v>115.07</v>
      </c>
      <c r="O1398" s="10">
        <v>112.23</v>
      </c>
      <c r="P1398" s="10">
        <v>109.23</v>
      </c>
      <c r="Q1398" s="10">
        <v>106.48</v>
      </c>
      <c r="R1398" s="10">
        <v>104.13</v>
      </c>
      <c r="S1398" s="10">
        <v>102.05</v>
      </c>
      <c r="T1398" s="10">
        <v>100.16</v>
      </c>
      <c r="U1398" s="10">
        <v>98.43</v>
      </c>
      <c r="V1398" s="10">
        <v>96.85</v>
      </c>
      <c r="W1398" s="10">
        <v>95.46</v>
      </c>
      <c r="X1398" s="10">
        <v>94.2</v>
      </c>
      <c r="Y1398" s="10">
        <v>93.04</v>
      </c>
      <c r="Z1398" s="11">
        <v>107.943</v>
      </c>
      <c r="AA1398" s="11">
        <v>110.68</v>
      </c>
      <c r="AB1398" s="11">
        <v>107.611</v>
      </c>
      <c r="AC1398" s="11">
        <v>105.117</v>
      </c>
      <c r="AD1398" s="11">
        <v>102.988</v>
      </c>
      <c r="AE1398" s="11">
        <v>101.127</v>
      </c>
      <c r="AF1398" s="11">
        <v>99.454999999999998</v>
      </c>
      <c r="AG1398" s="11">
        <v>97.808000000000007</v>
      </c>
      <c r="AH1398" s="11">
        <v>96.465000000000003</v>
      </c>
      <c r="AI1398" s="11">
        <v>95.3</v>
      </c>
      <c r="AJ1398" s="11">
        <v>94.203000000000003</v>
      </c>
      <c r="AK1398" s="11">
        <v>93.165000000000006</v>
      </c>
      <c r="AL1398" s="11"/>
    </row>
    <row r="1399" spans="1:38" x14ac:dyDescent="0.3">
      <c r="A1399" s="9">
        <f>DATE(2022, 5, 30)</f>
        <v>44711</v>
      </c>
      <c r="B1399" s="10">
        <v>121.67</v>
      </c>
      <c r="C1399" s="10">
        <v>117.6</v>
      </c>
      <c r="D1399" s="10">
        <v>114.51</v>
      </c>
      <c r="E1399" s="10">
        <v>111.79</v>
      </c>
      <c r="F1399" s="10">
        <v>109.48</v>
      </c>
      <c r="G1399" s="10">
        <v>107.46</v>
      </c>
      <c r="H1399" s="10">
        <v>105.61</v>
      </c>
      <c r="I1399" s="10">
        <v>103.88</v>
      </c>
      <c r="J1399" s="10">
        <v>102.32</v>
      </c>
      <c r="K1399" s="10">
        <v>100.89</v>
      </c>
      <c r="L1399" s="10">
        <v>99.61</v>
      </c>
      <c r="M1399" s="10">
        <v>98.47</v>
      </c>
      <c r="N1399" s="10">
        <v>115.07</v>
      </c>
      <c r="O1399" s="10">
        <v>112.23</v>
      </c>
      <c r="P1399" s="10">
        <v>109.23</v>
      </c>
      <c r="Q1399" s="10">
        <v>106.48</v>
      </c>
      <c r="R1399" s="10">
        <v>104.13</v>
      </c>
      <c r="S1399" s="10">
        <v>102.05</v>
      </c>
      <c r="T1399" s="10">
        <v>100.16</v>
      </c>
      <c r="U1399" s="10">
        <v>98.43</v>
      </c>
      <c r="V1399" s="10">
        <v>96.85</v>
      </c>
      <c r="W1399" s="10">
        <v>95.46</v>
      </c>
      <c r="X1399" s="10">
        <v>94.2</v>
      </c>
      <c r="Y1399" s="10">
        <v>93.04</v>
      </c>
      <c r="Z1399" s="11">
        <v>108.074</v>
      </c>
      <c r="AA1399" s="11">
        <v>112.66</v>
      </c>
      <c r="AB1399" s="11">
        <v>109.23</v>
      </c>
      <c r="AC1399" s="11">
        <v>106.5</v>
      </c>
      <c r="AD1399" s="11">
        <v>104.208</v>
      </c>
      <c r="AE1399" s="11">
        <v>102.212</v>
      </c>
      <c r="AF1399" s="11">
        <v>100.351</v>
      </c>
      <c r="AG1399" s="11">
        <v>98.631</v>
      </c>
      <c r="AH1399" s="11">
        <v>97.152000000000001</v>
      </c>
      <c r="AI1399" s="11">
        <v>95.855999999999995</v>
      </c>
      <c r="AJ1399" s="11">
        <v>94.67</v>
      </c>
      <c r="AK1399" s="11">
        <v>93.602000000000004</v>
      </c>
      <c r="AL1399" s="11"/>
    </row>
    <row r="1400" spans="1:38" x14ac:dyDescent="0.3">
      <c r="A1400" s="9">
        <f>DATE(2022, 5, 31)</f>
        <v>44712</v>
      </c>
      <c r="B1400" s="10">
        <v>122.84</v>
      </c>
      <c r="C1400" s="10">
        <v>115.6</v>
      </c>
      <c r="D1400" s="10">
        <v>112.58</v>
      </c>
      <c r="E1400" s="10">
        <v>109.93</v>
      </c>
      <c r="F1400" s="10">
        <v>107.67</v>
      </c>
      <c r="G1400" s="10">
        <v>105.67</v>
      </c>
      <c r="H1400" s="10">
        <v>103.85</v>
      </c>
      <c r="I1400" s="10">
        <v>102.16</v>
      </c>
      <c r="J1400" s="10">
        <v>100.67</v>
      </c>
      <c r="K1400" s="10">
        <v>99.3</v>
      </c>
      <c r="L1400" s="10">
        <v>98.08</v>
      </c>
      <c r="M1400" s="10">
        <v>97</v>
      </c>
      <c r="N1400" s="10">
        <v>114.67</v>
      </c>
      <c r="O1400" s="10">
        <v>111.91</v>
      </c>
      <c r="P1400" s="10">
        <v>108.9</v>
      </c>
      <c r="Q1400" s="10">
        <v>106.05</v>
      </c>
      <c r="R1400" s="10">
        <v>103.59</v>
      </c>
      <c r="S1400" s="10">
        <v>101.42</v>
      </c>
      <c r="T1400" s="10">
        <v>99.46</v>
      </c>
      <c r="U1400" s="10">
        <v>97.7</v>
      </c>
      <c r="V1400" s="10">
        <v>96.12</v>
      </c>
      <c r="W1400" s="10">
        <v>94.69</v>
      </c>
      <c r="X1400" s="10">
        <v>93.4</v>
      </c>
      <c r="Y1400" s="10">
        <v>92.23</v>
      </c>
      <c r="Z1400" s="11">
        <v>108.13200000000001</v>
      </c>
      <c r="AA1400" s="11">
        <v>110.57299999999999</v>
      </c>
      <c r="AB1400" s="11">
        <v>107.17400000000001</v>
      </c>
      <c r="AC1400" s="11">
        <v>104.52200000000001</v>
      </c>
      <c r="AD1400" s="11">
        <v>102.249</v>
      </c>
      <c r="AE1400" s="11">
        <v>100.273</v>
      </c>
      <c r="AF1400" s="11">
        <v>98.442999999999998</v>
      </c>
      <c r="AG1400" s="11">
        <v>96.748000000000005</v>
      </c>
      <c r="AH1400" s="11">
        <v>95.334999999999994</v>
      </c>
      <c r="AI1400" s="11">
        <v>94.088999999999999</v>
      </c>
      <c r="AJ1400" s="11">
        <v>92.972999999999999</v>
      </c>
      <c r="AK1400" s="11">
        <v>92.034999999999997</v>
      </c>
      <c r="AL1400" s="11"/>
    </row>
    <row r="1401" spans="1:38" x14ac:dyDescent="0.3">
      <c r="A1401" s="9">
        <f>DATE(2022, 6, 1)</f>
        <v>44713</v>
      </c>
      <c r="B1401" s="10">
        <v>116.29</v>
      </c>
      <c r="C1401" s="10">
        <v>113.56</v>
      </c>
      <c r="D1401" s="10">
        <v>111.03</v>
      </c>
      <c r="E1401" s="10">
        <v>108.82</v>
      </c>
      <c r="F1401" s="10">
        <v>106.81</v>
      </c>
      <c r="G1401" s="10">
        <v>104.92</v>
      </c>
      <c r="H1401" s="10">
        <v>103.17</v>
      </c>
      <c r="I1401" s="10">
        <v>101.6</v>
      </c>
      <c r="J1401" s="10">
        <v>100.17</v>
      </c>
      <c r="K1401" s="10">
        <v>98.92</v>
      </c>
      <c r="L1401" s="10">
        <v>97.82</v>
      </c>
      <c r="M1401" s="10">
        <v>96.77</v>
      </c>
      <c r="N1401" s="10">
        <v>115.26</v>
      </c>
      <c r="O1401" s="10">
        <v>112.72</v>
      </c>
      <c r="P1401" s="10">
        <v>109.96</v>
      </c>
      <c r="Q1401" s="10">
        <v>107.32</v>
      </c>
      <c r="R1401" s="10">
        <v>104.93</v>
      </c>
      <c r="S1401" s="10">
        <v>102.72</v>
      </c>
      <c r="T1401" s="10">
        <v>100.7</v>
      </c>
      <c r="U1401" s="10">
        <v>98.87</v>
      </c>
      <c r="V1401" s="10">
        <v>97.22</v>
      </c>
      <c r="W1401" s="10">
        <v>95.74</v>
      </c>
      <c r="X1401" s="10">
        <v>94.42</v>
      </c>
      <c r="Y1401" s="10">
        <v>93.23</v>
      </c>
      <c r="Z1401" s="11">
        <v>108.13200000000001</v>
      </c>
      <c r="AA1401" s="11">
        <v>111.76300000000001</v>
      </c>
      <c r="AB1401" s="11">
        <v>107.75</v>
      </c>
      <c r="AC1401" s="11">
        <v>105.004</v>
      </c>
      <c r="AD1401" s="11">
        <v>102.759</v>
      </c>
      <c r="AE1401" s="11">
        <v>100.84</v>
      </c>
      <c r="AF1401" s="11">
        <v>98.98</v>
      </c>
      <c r="AG1401" s="11">
        <v>97.27</v>
      </c>
      <c r="AH1401" s="11">
        <v>95.811999999999998</v>
      </c>
      <c r="AI1401" s="11">
        <v>94.558000000000007</v>
      </c>
      <c r="AJ1401" s="11">
        <v>93.432000000000002</v>
      </c>
      <c r="AK1401" s="11">
        <v>92.504999999999995</v>
      </c>
      <c r="AL1401" s="11"/>
    </row>
    <row r="1402" spans="1:38" x14ac:dyDescent="0.3">
      <c r="A1402" s="9">
        <f>DATE(2022, 6, 2)</f>
        <v>44714</v>
      </c>
      <c r="B1402" s="10">
        <v>117.61</v>
      </c>
      <c r="C1402" s="10">
        <v>115.03</v>
      </c>
      <c r="D1402" s="10">
        <v>112.55</v>
      </c>
      <c r="E1402" s="10">
        <v>110.35</v>
      </c>
      <c r="F1402" s="10">
        <v>108.37</v>
      </c>
      <c r="G1402" s="10">
        <v>106.51</v>
      </c>
      <c r="H1402" s="10">
        <v>104.76</v>
      </c>
      <c r="I1402" s="10">
        <v>103.15</v>
      </c>
      <c r="J1402" s="10">
        <v>101.67</v>
      </c>
      <c r="K1402" s="10">
        <v>100.38</v>
      </c>
      <c r="L1402" s="10">
        <v>99.26</v>
      </c>
      <c r="M1402" s="10">
        <v>98.18</v>
      </c>
      <c r="N1402" s="10">
        <v>116.87</v>
      </c>
      <c r="O1402" s="10">
        <v>114.3</v>
      </c>
      <c r="P1402" s="10">
        <v>111.58</v>
      </c>
      <c r="Q1402" s="10">
        <v>108.85</v>
      </c>
      <c r="R1402" s="10">
        <v>106.42</v>
      </c>
      <c r="S1402" s="10">
        <v>104.21</v>
      </c>
      <c r="T1402" s="10">
        <v>102.2</v>
      </c>
      <c r="U1402" s="10">
        <v>100.38</v>
      </c>
      <c r="V1402" s="10">
        <v>98.73</v>
      </c>
      <c r="W1402" s="10">
        <v>97.25</v>
      </c>
      <c r="X1402" s="10">
        <v>95.9</v>
      </c>
      <c r="Y1402" s="10">
        <v>94.67</v>
      </c>
      <c r="Z1402" s="11">
        <v>112.729</v>
      </c>
      <c r="AA1402" s="11">
        <v>108.952</v>
      </c>
      <c r="AB1402" s="11">
        <v>106.14400000000001</v>
      </c>
      <c r="AC1402" s="11">
        <v>103.89</v>
      </c>
      <c r="AD1402" s="11">
        <v>101.93</v>
      </c>
      <c r="AE1402" s="11">
        <v>100.08</v>
      </c>
      <c r="AF1402" s="11">
        <v>98.326999999999998</v>
      </c>
      <c r="AG1402" s="11">
        <v>96.93</v>
      </c>
      <c r="AH1402" s="11">
        <v>95.656000000000006</v>
      </c>
      <c r="AI1402" s="11">
        <v>94.581000000000003</v>
      </c>
      <c r="AJ1402" s="11">
        <v>93.503</v>
      </c>
      <c r="AK1402" s="11">
        <v>92.635000000000005</v>
      </c>
      <c r="AL1402" s="11"/>
    </row>
    <row r="1403" spans="1:38" x14ac:dyDescent="0.3">
      <c r="A1403" s="9">
        <f>DATE(2022, 6, 3)</f>
        <v>44715</v>
      </c>
      <c r="B1403" s="10">
        <v>119.72</v>
      </c>
      <c r="C1403" s="10">
        <v>117.03</v>
      </c>
      <c r="D1403" s="10">
        <v>114.43</v>
      </c>
      <c r="E1403" s="10">
        <v>112.16</v>
      </c>
      <c r="F1403" s="10">
        <v>110.13</v>
      </c>
      <c r="G1403" s="10">
        <v>108.21</v>
      </c>
      <c r="H1403" s="10">
        <v>106.36</v>
      </c>
      <c r="I1403" s="10">
        <v>104.66</v>
      </c>
      <c r="J1403" s="10">
        <v>103.1</v>
      </c>
      <c r="K1403" s="10">
        <v>101.73</v>
      </c>
      <c r="L1403" s="10">
        <v>100.54</v>
      </c>
      <c r="M1403" s="10">
        <v>99.37</v>
      </c>
      <c r="N1403" s="10">
        <v>118.87</v>
      </c>
      <c r="O1403" s="10">
        <v>116.23</v>
      </c>
      <c r="P1403" s="10">
        <v>113.47</v>
      </c>
      <c r="Q1403" s="10">
        <v>110.7</v>
      </c>
      <c r="R1403" s="10">
        <v>108.21</v>
      </c>
      <c r="S1403" s="10">
        <v>105.91</v>
      </c>
      <c r="T1403" s="10">
        <v>103.79</v>
      </c>
      <c r="U1403" s="10">
        <v>101.88</v>
      </c>
      <c r="V1403" s="10">
        <v>100.15</v>
      </c>
      <c r="W1403" s="10">
        <v>98.58</v>
      </c>
      <c r="X1403" s="10">
        <v>97.14</v>
      </c>
      <c r="Y1403" s="10">
        <v>95.82</v>
      </c>
      <c r="Z1403" s="11">
        <v>114.578</v>
      </c>
      <c r="AA1403" s="11">
        <v>111.136</v>
      </c>
      <c r="AB1403" s="11">
        <v>108.191</v>
      </c>
      <c r="AC1403" s="11">
        <v>105.86799999999999</v>
      </c>
      <c r="AD1403" s="11">
        <v>103.869</v>
      </c>
      <c r="AE1403" s="11">
        <v>102.006</v>
      </c>
      <c r="AF1403" s="11">
        <v>100.078</v>
      </c>
      <c r="AG1403" s="11">
        <v>98.436000000000007</v>
      </c>
      <c r="AH1403" s="11">
        <v>97.081999999999994</v>
      </c>
      <c r="AI1403" s="11">
        <v>95.828000000000003</v>
      </c>
      <c r="AJ1403" s="11">
        <v>94.778000000000006</v>
      </c>
      <c r="AK1403" s="11">
        <v>93.822999999999993</v>
      </c>
      <c r="AL1403" s="11"/>
    </row>
    <row r="1404" spans="1:38" x14ac:dyDescent="0.3">
      <c r="A1404" s="9">
        <f>DATE(2022, 6, 6)</f>
        <v>44718</v>
      </c>
      <c r="B1404" s="10">
        <v>119.51</v>
      </c>
      <c r="C1404" s="10">
        <v>116.97</v>
      </c>
      <c r="D1404" s="10">
        <v>114.45</v>
      </c>
      <c r="E1404" s="10">
        <v>112.25</v>
      </c>
      <c r="F1404" s="10">
        <v>110.26</v>
      </c>
      <c r="G1404" s="10">
        <v>108.33</v>
      </c>
      <c r="H1404" s="10">
        <v>106.47</v>
      </c>
      <c r="I1404" s="10">
        <v>104.75</v>
      </c>
      <c r="J1404" s="10">
        <v>103.16</v>
      </c>
      <c r="K1404" s="10">
        <v>101.77</v>
      </c>
      <c r="L1404" s="10">
        <v>100.56</v>
      </c>
      <c r="M1404" s="10">
        <v>99.38</v>
      </c>
      <c r="N1404" s="10">
        <v>118.5</v>
      </c>
      <c r="O1404" s="10">
        <v>116.06</v>
      </c>
      <c r="P1404" s="10">
        <v>113.35</v>
      </c>
      <c r="Q1404" s="10">
        <v>110.67</v>
      </c>
      <c r="R1404" s="10">
        <v>108.24</v>
      </c>
      <c r="S1404" s="10">
        <v>105.92</v>
      </c>
      <c r="T1404" s="10">
        <v>103.79</v>
      </c>
      <c r="U1404" s="10">
        <v>101.85</v>
      </c>
      <c r="V1404" s="10">
        <v>100.09</v>
      </c>
      <c r="W1404" s="10">
        <v>98.49</v>
      </c>
      <c r="X1404" s="10">
        <v>97.02</v>
      </c>
      <c r="Y1404" s="10">
        <v>95.7</v>
      </c>
      <c r="Z1404" s="11">
        <v>114.407</v>
      </c>
      <c r="AA1404" s="11">
        <v>111.02</v>
      </c>
      <c r="AB1404" s="11">
        <v>108.104</v>
      </c>
      <c r="AC1404" s="11">
        <v>105.82</v>
      </c>
      <c r="AD1404" s="11">
        <v>103.83799999999999</v>
      </c>
      <c r="AE1404" s="11">
        <v>101.965</v>
      </c>
      <c r="AF1404" s="11">
        <v>100.116</v>
      </c>
      <c r="AG1404" s="11">
        <v>98.524000000000001</v>
      </c>
      <c r="AH1404" s="11">
        <v>97.031000000000006</v>
      </c>
      <c r="AI1404" s="11">
        <v>95.787000000000006</v>
      </c>
      <c r="AJ1404" s="11">
        <v>94.697999999999993</v>
      </c>
      <c r="AK1404" s="11">
        <v>93.712000000000003</v>
      </c>
      <c r="AL1404" s="11"/>
    </row>
    <row r="1405" spans="1:38" x14ac:dyDescent="0.3">
      <c r="A1405" s="9">
        <f>DATE(2022, 6, 7)</f>
        <v>44719</v>
      </c>
      <c r="B1405" s="10">
        <v>120.57</v>
      </c>
      <c r="C1405" s="10">
        <v>118.14</v>
      </c>
      <c r="D1405" s="10">
        <v>115.8</v>
      </c>
      <c r="E1405" s="10">
        <v>113.74</v>
      </c>
      <c r="F1405" s="10">
        <v>111.85</v>
      </c>
      <c r="G1405" s="10">
        <v>110</v>
      </c>
      <c r="H1405" s="10">
        <v>108.2</v>
      </c>
      <c r="I1405" s="10">
        <v>106.52</v>
      </c>
      <c r="J1405" s="10">
        <v>104.98</v>
      </c>
      <c r="K1405" s="10">
        <v>103.61</v>
      </c>
      <c r="L1405" s="10">
        <v>102.41</v>
      </c>
      <c r="M1405" s="10">
        <v>101.25</v>
      </c>
      <c r="N1405" s="10">
        <v>119.41</v>
      </c>
      <c r="O1405" s="10">
        <v>117.1</v>
      </c>
      <c r="P1405" s="10">
        <v>114.54</v>
      </c>
      <c r="Q1405" s="10">
        <v>112.04</v>
      </c>
      <c r="R1405" s="10">
        <v>109.74</v>
      </c>
      <c r="S1405" s="10">
        <v>107.58</v>
      </c>
      <c r="T1405" s="10">
        <v>105.56</v>
      </c>
      <c r="U1405" s="10">
        <v>103.69</v>
      </c>
      <c r="V1405" s="10">
        <v>101.98</v>
      </c>
      <c r="W1405" s="10">
        <v>100.41</v>
      </c>
      <c r="X1405" s="10">
        <v>98.98</v>
      </c>
      <c r="Y1405" s="10">
        <v>97.67</v>
      </c>
      <c r="Z1405" s="11">
        <v>115.187</v>
      </c>
      <c r="AA1405" s="11">
        <v>112.04900000000001</v>
      </c>
      <c r="AB1405" s="11">
        <v>109.33</v>
      </c>
      <c r="AC1405" s="11">
        <v>107.154</v>
      </c>
      <c r="AD1405" s="11">
        <v>105.312</v>
      </c>
      <c r="AE1405" s="11">
        <v>103.518</v>
      </c>
      <c r="AF1405" s="11">
        <v>101.73</v>
      </c>
      <c r="AG1405" s="11">
        <v>100.167</v>
      </c>
      <c r="AH1405" s="11">
        <v>98.731999999999999</v>
      </c>
      <c r="AI1405" s="11">
        <v>97.507999999999996</v>
      </c>
      <c r="AJ1405" s="11">
        <v>96.399000000000001</v>
      </c>
      <c r="AK1405" s="11">
        <v>95.381</v>
      </c>
      <c r="AL1405" s="11"/>
    </row>
    <row r="1406" spans="1:38" x14ac:dyDescent="0.3">
      <c r="A1406" s="9">
        <f>DATE(2022, 6, 8)</f>
        <v>44720</v>
      </c>
      <c r="B1406" s="10">
        <v>123.58</v>
      </c>
      <c r="C1406" s="10">
        <v>120.89</v>
      </c>
      <c r="D1406" s="10">
        <v>118.36</v>
      </c>
      <c r="E1406" s="10">
        <v>116.18</v>
      </c>
      <c r="F1406" s="10">
        <v>114.19</v>
      </c>
      <c r="G1406" s="10">
        <v>112.29</v>
      </c>
      <c r="H1406" s="10">
        <v>110.46</v>
      </c>
      <c r="I1406" s="10">
        <v>108.75</v>
      </c>
      <c r="J1406" s="10">
        <v>107.15</v>
      </c>
      <c r="K1406" s="10">
        <v>105.73</v>
      </c>
      <c r="L1406" s="10">
        <v>104.47</v>
      </c>
      <c r="M1406" s="10">
        <v>103.26</v>
      </c>
      <c r="N1406" s="10">
        <v>122.11</v>
      </c>
      <c r="O1406" s="10">
        <v>119.78</v>
      </c>
      <c r="P1406" s="10">
        <v>117.15</v>
      </c>
      <c r="Q1406" s="10">
        <v>114.57</v>
      </c>
      <c r="R1406" s="10">
        <v>112.18</v>
      </c>
      <c r="S1406" s="10">
        <v>109.95</v>
      </c>
      <c r="T1406" s="10">
        <v>107.86</v>
      </c>
      <c r="U1406" s="10">
        <v>105.94</v>
      </c>
      <c r="V1406" s="10">
        <v>104.18</v>
      </c>
      <c r="W1406" s="10">
        <v>102.55</v>
      </c>
      <c r="X1406" s="10">
        <v>101.07</v>
      </c>
      <c r="Y1406" s="10">
        <v>99.71</v>
      </c>
      <c r="Z1406" s="11">
        <v>117.386</v>
      </c>
      <c r="AA1406" s="11">
        <v>115.03</v>
      </c>
      <c r="AB1406" s="11">
        <v>112.015</v>
      </c>
      <c r="AC1406" s="11">
        <v>109.68</v>
      </c>
      <c r="AD1406" s="11">
        <v>107.75</v>
      </c>
      <c r="AE1406" s="11">
        <v>105.907</v>
      </c>
      <c r="AF1406" s="11">
        <v>104.087</v>
      </c>
      <c r="AG1406" s="11">
        <v>102.48399999999999</v>
      </c>
      <c r="AH1406" s="11">
        <v>100.979</v>
      </c>
      <c r="AI1406" s="11">
        <v>99.715000000000003</v>
      </c>
      <c r="AJ1406" s="11">
        <v>98.495999999999995</v>
      </c>
      <c r="AK1406" s="11">
        <v>97.39</v>
      </c>
      <c r="AL1406" s="11"/>
    </row>
    <row r="1407" spans="1:38" x14ac:dyDescent="0.3">
      <c r="A1407" s="9">
        <f>DATE(2022, 6, 9)</f>
        <v>44721</v>
      </c>
      <c r="B1407" s="10">
        <v>123.07</v>
      </c>
      <c r="C1407" s="10">
        <v>120.3</v>
      </c>
      <c r="D1407" s="10">
        <v>117.82</v>
      </c>
      <c r="E1407" s="10">
        <v>115.7</v>
      </c>
      <c r="F1407" s="10">
        <v>113.78</v>
      </c>
      <c r="G1407" s="10">
        <v>111.96</v>
      </c>
      <c r="H1407" s="10">
        <v>110.26</v>
      </c>
      <c r="I1407" s="10">
        <v>108.7</v>
      </c>
      <c r="J1407" s="10">
        <v>107.23</v>
      </c>
      <c r="K1407" s="10">
        <v>105.93</v>
      </c>
      <c r="L1407" s="10">
        <v>104.75</v>
      </c>
      <c r="M1407" s="10">
        <v>103.57</v>
      </c>
      <c r="N1407" s="10">
        <v>121.51</v>
      </c>
      <c r="O1407" s="10">
        <v>119.09</v>
      </c>
      <c r="P1407" s="10">
        <v>116.49</v>
      </c>
      <c r="Q1407" s="10">
        <v>114.01</v>
      </c>
      <c r="R1407" s="10">
        <v>111.69</v>
      </c>
      <c r="S1407" s="10">
        <v>109.51</v>
      </c>
      <c r="T1407" s="10">
        <v>107.52</v>
      </c>
      <c r="U1407" s="10">
        <v>105.72</v>
      </c>
      <c r="V1407" s="10">
        <v>104.1</v>
      </c>
      <c r="W1407" s="10">
        <v>102.6</v>
      </c>
      <c r="X1407" s="10">
        <v>101.23</v>
      </c>
      <c r="Y1407" s="10">
        <v>99.98</v>
      </c>
      <c r="Z1407" s="11">
        <v>117.209</v>
      </c>
      <c r="AA1407" s="11">
        <v>114.76300000000001</v>
      </c>
      <c r="AB1407" s="11">
        <v>111.685</v>
      </c>
      <c r="AC1407" s="11">
        <v>109.363</v>
      </c>
      <c r="AD1407" s="11">
        <v>107.462</v>
      </c>
      <c r="AE1407" s="11">
        <v>105.68</v>
      </c>
      <c r="AF1407" s="11">
        <v>103.93899999999999</v>
      </c>
      <c r="AG1407" s="11">
        <v>102.48</v>
      </c>
      <c r="AH1407" s="11">
        <v>101.155</v>
      </c>
      <c r="AI1407" s="11">
        <v>99.959000000000003</v>
      </c>
      <c r="AJ1407" s="11">
        <v>98.778000000000006</v>
      </c>
      <c r="AK1407" s="11">
        <v>97.700999999999993</v>
      </c>
      <c r="AL1407" s="11"/>
    </row>
    <row r="1408" spans="1:38" x14ac:dyDescent="0.3">
      <c r="A1408" s="9">
        <f>DATE(2022, 6, 10)</f>
        <v>44722</v>
      </c>
      <c r="B1408" s="10">
        <v>122.01</v>
      </c>
      <c r="C1408" s="10">
        <v>119.02</v>
      </c>
      <c r="D1408" s="10">
        <v>116.37</v>
      </c>
      <c r="E1408" s="10">
        <v>114.17</v>
      </c>
      <c r="F1408" s="10">
        <v>112.24</v>
      </c>
      <c r="G1408" s="10">
        <v>110.44</v>
      </c>
      <c r="H1408" s="10">
        <v>108.78</v>
      </c>
      <c r="I1408" s="10">
        <v>107.27</v>
      </c>
      <c r="J1408" s="10">
        <v>105.85</v>
      </c>
      <c r="K1408" s="10">
        <v>104.59</v>
      </c>
      <c r="L1408" s="10">
        <v>103.47</v>
      </c>
      <c r="M1408" s="10">
        <v>102.34</v>
      </c>
      <c r="N1408" s="10">
        <v>120.67</v>
      </c>
      <c r="O1408" s="10">
        <v>118.12</v>
      </c>
      <c r="P1408" s="10">
        <v>115.34</v>
      </c>
      <c r="Q1408" s="10">
        <v>112.73</v>
      </c>
      <c r="R1408" s="10">
        <v>110.38</v>
      </c>
      <c r="S1408" s="10">
        <v>108.22</v>
      </c>
      <c r="T1408" s="10">
        <v>106.25</v>
      </c>
      <c r="U1408" s="10">
        <v>104.48</v>
      </c>
      <c r="V1408" s="10">
        <v>102.9</v>
      </c>
      <c r="W1408" s="10">
        <v>101.46</v>
      </c>
      <c r="X1408" s="10">
        <v>100.15</v>
      </c>
      <c r="Y1408" s="10">
        <v>98.94</v>
      </c>
      <c r="Z1408" s="11">
        <v>116.598</v>
      </c>
      <c r="AA1408" s="11">
        <v>113.774</v>
      </c>
      <c r="AB1408" s="11">
        <v>110.404</v>
      </c>
      <c r="AC1408" s="11">
        <v>107.952</v>
      </c>
      <c r="AD1408" s="11">
        <v>106.054</v>
      </c>
      <c r="AE1408" s="11">
        <v>104.285</v>
      </c>
      <c r="AF1408" s="11">
        <v>102.556</v>
      </c>
      <c r="AG1408" s="11">
        <v>101.152</v>
      </c>
      <c r="AH1408" s="11">
        <v>99.777000000000001</v>
      </c>
      <c r="AI1408" s="11">
        <v>98.620999999999995</v>
      </c>
      <c r="AJ1408" s="11">
        <v>97.570999999999998</v>
      </c>
      <c r="AK1408" s="11">
        <v>96.572000000000003</v>
      </c>
      <c r="AL1408" s="11"/>
    </row>
    <row r="1409" spans="1:38" x14ac:dyDescent="0.3">
      <c r="A1409" s="9">
        <f>DATE(2022, 6, 13)</f>
        <v>44725</v>
      </c>
      <c r="B1409" s="10">
        <v>122.27</v>
      </c>
      <c r="C1409" s="10">
        <v>119.07</v>
      </c>
      <c r="D1409" s="10">
        <v>116.35</v>
      </c>
      <c r="E1409" s="10">
        <v>114.09</v>
      </c>
      <c r="F1409" s="10">
        <v>112.13</v>
      </c>
      <c r="G1409" s="10">
        <v>110.33</v>
      </c>
      <c r="H1409" s="10">
        <v>108.7</v>
      </c>
      <c r="I1409" s="10">
        <v>107.24</v>
      </c>
      <c r="J1409" s="10">
        <v>105.87</v>
      </c>
      <c r="K1409" s="10">
        <v>104.66</v>
      </c>
      <c r="L1409" s="10">
        <v>103.6</v>
      </c>
      <c r="M1409" s="10">
        <v>102.53</v>
      </c>
      <c r="N1409" s="10">
        <v>120.93</v>
      </c>
      <c r="O1409" s="10">
        <v>118.25</v>
      </c>
      <c r="P1409" s="10">
        <v>115.31</v>
      </c>
      <c r="Q1409" s="10">
        <v>112.62</v>
      </c>
      <c r="R1409" s="10">
        <v>110.25</v>
      </c>
      <c r="S1409" s="10">
        <v>108.1</v>
      </c>
      <c r="T1409" s="10">
        <v>106.16</v>
      </c>
      <c r="U1409" s="10">
        <v>104.43</v>
      </c>
      <c r="V1409" s="10">
        <v>102.9</v>
      </c>
      <c r="W1409" s="10">
        <v>101.51</v>
      </c>
      <c r="X1409" s="10">
        <v>100.25</v>
      </c>
      <c r="Y1409" s="10">
        <v>99.07</v>
      </c>
      <c r="Z1409" s="11">
        <v>116.479</v>
      </c>
      <c r="AA1409" s="11">
        <v>113.82</v>
      </c>
      <c r="AB1409" s="11">
        <v>110.462</v>
      </c>
      <c r="AC1409" s="11">
        <v>107.961</v>
      </c>
      <c r="AD1409" s="11">
        <v>105.994</v>
      </c>
      <c r="AE1409" s="11">
        <v>104.226</v>
      </c>
      <c r="AF1409" s="11">
        <v>102.511</v>
      </c>
      <c r="AG1409" s="11">
        <v>101.155</v>
      </c>
      <c r="AH1409" s="11">
        <v>99.83</v>
      </c>
      <c r="AI1409" s="11">
        <v>98.724000000000004</v>
      </c>
      <c r="AJ1409" s="11">
        <v>97.754000000000005</v>
      </c>
      <c r="AK1409" s="11">
        <v>96.834999999999994</v>
      </c>
      <c r="AL1409" s="11"/>
    </row>
    <row r="1410" spans="1:38" x14ac:dyDescent="0.3">
      <c r="A1410" s="9">
        <f>DATE(2022, 6, 14)</f>
        <v>44726</v>
      </c>
      <c r="B1410" s="10">
        <v>121.17</v>
      </c>
      <c r="C1410" s="10">
        <v>117.78</v>
      </c>
      <c r="D1410" s="10">
        <v>114.94</v>
      </c>
      <c r="E1410" s="10">
        <v>112.67</v>
      </c>
      <c r="F1410" s="10">
        <v>110.72</v>
      </c>
      <c r="G1410" s="10">
        <v>108.9</v>
      </c>
      <c r="H1410" s="10">
        <v>107.25</v>
      </c>
      <c r="I1410" s="10">
        <v>105.77</v>
      </c>
      <c r="J1410" s="10">
        <v>104.4</v>
      </c>
      <c r="K1410" s="10">
        <v>103.21</v>
      </c>
      <c r="L1410" s="10">
        <v>102.16</v>
      </c>
      <c r="M1410" s="10">
        <v>101.1</v>
      </c>
      <c r="N1410" s="10">
        <v>118.93</v>
      </c>
      <c r="O1410" s="10">
        <v>116.26</v>
      </c>
      <c r="P1410" s="10">
        <v>113.48</v>
      </c>
      <c r="Q1410" s="10">
        <v>110.86</v>
      </c>
      <c r="R1410" s="10">
        <v>108.5</v>
      </c>
      <c r="S1410" s="10">
        <v>106.36</v>
      </c>
      <c r="T1410" s="10">
        <v>104.44</v>
      </c>
      <c r="U1410" s="10">
        <v>102.72</v>
      </c>
      <c r="V1410" s="10">
        <v>101.19</v>
      </c>
      <c r="W1410" s="10">
        <v>99.83</v>
      </c>
      <c r="X1410" s="10">
        <v>98.59</v>
      </c>
      <c r="Y1410" s="10">
        <v>97.45</v>
      </c>
      <c r="Z1410" s="11">
        <v>115.77800000000001</v>
      </c>
      <c r="AA1410" s="11">
        <v>112.294</v>
      </c>
      <c r="AB1410" s="11">
        <v>108.771</v>
      </c>
      <c r="AC1410" s="11">
        <v>106.28100000000001</v>
      </c>
      <c r="AD1410" s="11">
        <v>104.29300000000001</v>
      </c>
      <c r="AE1410" s="11">
        <v>102.47499999999999</v>
      </c>
      <c r="AF1410" s="11">
        <v>100.754</v>
      </c>
      <c r="AG1410" s="11">
        <v>99.344999999999999</v>
      </c>
      <c r="AH1410" s="11">
        <v>98.070999999999998</v>
      </c>
      <c r="AI1410" s="11">
        <v>97.084000000000003</v>
      </c>
      <c r="AJ1410" s="11">
        <v>96.183999999999997</v>
      </c>
      <c r="AK1410" s="11">
        <v>95.277000000000001</v>
      </c>
      <c r="AL1410" s="11"/>
    </row>
    <row r="1411" spans="1:38" x14ac:dyDescent="0.3">
      <c r="A1411" s="9">
        <f>DATE(2022, 6, 15)</f>
        <v>44727</v>
      </c>
      <c r="B1411" s="10">
        <v>118.51</v>
      </c>
      <c r="C1411" s="10">
        <v>115.47</v>
      </c>
      <c r="D1411" s="10">
        <v>112.85</v>
      </c>
      <c r="E1411" s="10">
        <v>110.76</v>
      </c>
      <c r="F1411" s="10">
        <v>108.92</v>
      </c>
      <c r="G1411" s="10">
        <v>107.19</v>
      </c>
      <c r="H1411" s="10">
        <v>105.61</v>
      </c>
      <c r="I1411" s="10">
        <v>104.2</v>
      </c>
      <c r="J1411" s="10">
        <v>102.88</v>
      </c>
      <c r="K1411" s="10">
        <v>101.75</v>
      </c>
      <c r="L1411" s="10">
        <v>100.76</v>
      </c>
      <c r="M1411" s="10">
        <v>99.77</v>
      </c>
      <c r="N1411" s="10">
        <v>115.31</v>
      </c>
      <c r="O1411" s="10">
        <v>113.09</v>
      </c>
      <c r="P1411" s="10">
        <v>110.75</v>
      </c>
      <c r="Q1411" s="10">
        <v>108.42</v>
      </c>
      <c r="R1411" s="10">
        <v>106.27</v>
      </c>
      <c r="S1411" s="10">
        <v>104.31</v>
      </c>
      <c r="T1411" s="10">
        <v>102.52</v>
      </c>
      <c r="U1411" s="10">
        <v>100.91</v>
      </c>
      <c r="V1411" s="10">
        <v>99.47</v>
      </c>
      <c r="W1411" s="10">
        <v>98.18</v>
      </c>
      <c r="X1411" s="10">
        <v>97.01</v>
      </c>
      <c r="Y1411" s="10">
        <v>95.94</v>
      </c>
      <c r="Z1411" s="11">
        <v>114.75</v>
      </c>
      <c r="AA1411" s="11">
        <v>110.375</v>
      </c>
      <c r="AB1411" s="11">
        <v>106.792</v>
      </c>
      <c r="AC1411" s="11">
        <v>104.31699999999999</v>
      </c>
      <c r="AD1411" s="11">
        <v>102.47799999999999</v>
      </c>
      <c r="AE1411" s="11">
        <v>100.73099999999999</v>
      </c>
      <c r="AF1411" s="11">
        <v>99.028000000000006</v>
      </c>
      <c r="AG1411" s="11">
        <v>97.697000000000003</v>
      </c>
      <c r="AH1411" s="11">
        <v>96.554000000000002</v>
      </c>
      <c r="AI1411" s="11">
        <v>95.527000000000001</v>
      </c>
      <c r="AJ1411" s="11">
        <v>94.707999999999998</v>
      </c>
      <c r="AK1411" s="11">
        <v>93.879000000000005</v>
      </c>
      <c r="AL1411" s="11"/>
    </row>
    <row r="1412" spans="1:38" x14ac:dyDescent="0.3">
      <c r="A1412" s="9">
        <f>DATE(2022, 6, 16)</f>
        <v>44728</v>
      </c>
      <c r="B1412" s="10">
        <v>119.81</v>
      </c>
      <c r="C1412" s="10">
        <v>117</v>
      </c>
      <c r="D1412" s="10">
        <v>114.4</v>
      </c>
      <c r="E1412" s="10">
        <v>112.29</v>
      </c>
      <c r="F1412" s="10">
        <v>110.41</v>
      </c>
      <c r="G1412" s="10">
        <v>108.63</v>
      </c>
      <c r="H1412" s="10">
        <v>106.98</v>
      </c>
      <c r="I1412" s="10">
        <v>105.5</v>
      </c>
      <c r="J1412" s="10">
        <v>104.14</v>
      </c>
      <c r="K1412" s="10">
        <v>102.97</v>
      </c>
      <c r="L1412" s="10">
        <v>101.94</v>
      </c>
      <c r="M1412" s="10">
        <v>100.92</v>
      </c>
      <c r="N1412" s="10">
        <v>117.59</v>
      </c>
      <c r="O1412" s="10">
        <v>115.25</v>
      </c>
      <c r="P1412" s="10">
        <v>112.7</v>
      </c>
      <c r="Q1412" s="10">
        <v>110.25</v>
      </c>
      <c r="R1412" s="10">
        <v>108.05</v>
      </c>
      <c r="S1412" s="10">
        <v>106.04</v>
      </c>
      <c r="T1412" s="10">
        <v>104.18</v>
      </c>
      <c r="U1412" s="10">
        <v>102.48</v>
      </c>
      <c r="V1412" s="10">
        <v>100.95</v>
      </c>
      <c r="W1412" s="10">
        <v>99.58</v>
      </c>
      <c r="X1412" s="10">
        <v>98.34</v>
      </c>
      <c r="Y1412" s="10">
        <v>97.21</v>
      </c>
      <c r="Z1412" s="11">
        <v>115.55800000000001</v>
      </c>
      <c r="AA1412" s="11">
        <v>112.066</v>
      </c>
      <c r="AB1412" s="11">
        <v>108.58799999999999</v>
      </c>
      <c r="AC1412" s="11">
        <v>106.015</v>
      </c>
      <c r="AD1412" s="11">
        <v>104.105</v>
      </c>
      <c r="AE1412" s="11">
        <v>102.295</v>
      </c>
      <c r="AF1412" s="11">
        <v>100.529</v>
      </c>
      <c r="AG1412" s="11">
        <v>99.135000000000005</v>
      </c>
      <c r="AH1412" s="11">
        <v>97.811999999999998</v>
      </c>
      <c r="AI1412" s="11">
        <v>96.745000000000005</v>
      </c>
      <c r="AJ1412" s="11">
        <v>95.786000000000001</v>
      </c>
      <c r="AK1412" s="11">
        <v>94.957999999999998</v>
      </c>
      <c r="AL1412" s="11"/>
    </row>
    <row r="1413" spans="1:38" x14ac:dyDescent="0.3">
      <c r="A1413" s="9">
        <f>DATE(2022, 6, 17)</f>
        <v>44729</v>
      </c>
      <c r="B1413" s="10">
        <v>113.12</v>
      </c>
      <c r="C1413" s="10">
        <v>110.39</v>
      </c>
      <c r="D1413" s="10">
        <v>107.92</v>
      </c>
      <c r="E1413" s="10">
        <v>105.95</v>
      </c>
      <c r="F1413" s="10">
        <v>104.24</v>
      </c>
      <c r="G1413" s="10">
        <v>102.65</v>
      </c>
      <c r="H1413" s="10">
        <v>101.21</v>
      </c>
      <c r="I1413" s="10">
        <v>99.94</v>
      </c>
      <c r="J1413" s="10">
        <v>98.81</v>
      </c>
      <c r="K1413" s="10">
        <v>97.84</v>
      </c>
      <c r="L1413" s="10">
        <v>97.02</v>
      </c>
      <c r="M1413" s="10">
        <v>96.19</v>
      </c>
      <c r="N1413" s="10">
        <v>109.56</v>
      </c>
      <c r="O1413" s="10">
        <v>107.99</v>
      </c>
      <c r="P1413" s="10">
        <v>105.78</v>
      </c>
      <c r="Q1413" s="10">
        <v>103.57</v>
      </c>
      <c r="R1413" s="10">
        <v>101.56</v>
      </c>
      <c r="S1413" s="10">
        <v>99.76</v>
      </c>
      <c r="T1413" s="10">
        <v>98.12</v>
      </c>
      <c r="U1413" s="10">
        <v>96.64</v>
      </c>
      <c r="V1413" s="10">
        <v>95.33</v>
      </c>
      <c r="W1413" s="10">
        <v>94.15</v>
      </c>
      <c r="X1413" s="10">
        <v>93.09</v>
      </c>
      <c r="Y1413" s="10">
        <v>92.13</v>
      </c>
      <c r="Z1413" s="11">
        <v>113.004</v>
      </c>
      <c r="AA1413" s="11">
        <v>105.572</v>
      </c>
      <c r="AB1413" s="11">
        <v>102.084</v>
      </c>
      <c r="AC1413" s="11">
        <v>99.701999999999998</v>
      </c>
      <c r="AD1413" s="11">
        <v>97.894000000000005</v>
      </c>
      <c r="AE1413" s="11">
        <v>96.215000000000003</v>
      </c>
      <c r="AF1413" s="11">
        <v>94.638999999999996</v>
      </c>
      <c r="AG1413" s="11">
        <v>93.396000000000001</v>
      </c>
      <c r="AH1413" s="11">
        <v>92.352000000000004</v>
      </c>
      <c r="AI1413" s="11">
        <v>91.474000000000004</v>
      </c>
      <c r="AJ1413" s="11">
        <v>90.796000000000006</v>
      </c>
      <c r="AK1413" s="11">
        <v>90.094999999999999</v>
      </c>
      <c r="AL1413" s="11"/>
    </row>
    <row r="1414" spans="1:38" x14ac:dyDescent="0.3">
      <c r="A1414" s="9">
        <f>DATE(2022, 6, 20)</f>
        <v>44732</v>
      </c>
      <c r="B1414" s="10">
        <v>114.13</v>
      </c>
      <c r="C1414" s="10">
        <v>111.36</v>
      </c>
      <c r="D1414" s="10">
        <v>108.88</v>
      </c>
      <c r="E1414" s="10">
        <v>106.82</v>
      </c>
      <c r="F1414" s="10">
        <v>105.08</v>
      </c>
      <c r="G1414" s="10">
        <v>103.49</v>
      </c>
      <c r="H1414" s="10">
        <v>102.04</v>
      </c>
      <c r="I1414" s="10">
        <v>100.76</v>
      </c>
      <c r="J1414" s="10">
        <v>99.61</v>
      </c>
      <c r="K1414" s="10">
        <v>98.64</v>
      </c>
      <c r="L1414" s="10">
        <v>97.81</v>
      </c>
      <c r="M1414" s="10">
        <v>96.96</v>
      </c>
      <c r="N1414" s="10">
        <v>109.56</v>
      </c>
      <c r="O1414" s="10">
        <v>107.99</v>
      </c>
      <c r="P1414" s="10">
        <v>105.78</v>
      </c>
      <c r="Q1414" s="10">
        <v>103.57</v>
      </c>
      <c r="R1414" s="10">
        <v>101.56</v>
      </c>
      <c r="S1414" s="10">
        <v>99.76</v>
      </c>
      <c r="T1414" s="10">
        <v>98.12</v>
      </c>
      <c r="U1414" s="10">
        <v>96.64</v>
      </c>
      <c r="V1414" s="10">
        <v>95.33</v>
      </c>
      <c r="W1414" s="10">
        <v>94.15</v>
      </c>
      <c r="X1414" s="10">
        <v>93.09</v>
      </c>
      <c r="Y1414" s="10">
        <v>92.13</v>
      </c>
      <c r="Z1414" s="11">
        <v>113.19199999999999</v>
      </c>
      <c r="AA1414" s="11">
        <v>106.41200000000001</v>
      </c>
      <c r="AB1414" s="11">
        <v>102.94</v>
      </c>
      <c r="AC1414" s="11">
        <v>100.491</v>
      </c>
      <c r="AD1414" s="11">
        <v>98.724000000000004</v>
      </c>
      <c r="AE1414" s="11">
        <v>97.073999999999998</v>
      </c>
      <c r="AF1414" s="11">
        <v>95.468000000000004</v>
      </c>
      <c r="AG1414" s="11">
        <v>94.245000000000005</v>
      </c>
      <c r="AH1414" s="11">
        <v>93.182000000000002</v>
      </c>
      <c r="AI1414" s="11">
        <v>92.304000000000002</v>
      </c>
      <c r="AJ1414" s="11">
        <v>91.584999999999994</v>
      </c>
      <c r="AK1414" s="11">
        <v>90.884</v>
      </c>
      <c r="AL1414" s="11"/>
    </row>
    <row r="1415" spans="1:38" x14ac:dyDescent="0.3">
      <c r="A1415" s="9">
        <f>DATE(2022, 6, 21)</f>
        <v>44733</v>
      </c>
      <c r="B1415" s="10">
        <v>114.65</v>
      </c>
      <c r="C1415" s="10">
        <v>111.77</v>
      </c>
      <c r="D1415" s="10">
        <v>109.19</v>
      </c>
      <c r="E1415" s="10">
        <v>107.09</v>
      </c>
      <c r="F1415" s="10">
        <v>105.25</v>
      </c>
      <c r="G1415" s="10">
        <v>103.54</v>
      </c>
      <c r="H1415" s="10">
        <v>102.01</v>
      </c>
      <c r="I1415" s="10">
        <v>100.65</v>
      </c>
      <c r="J1415" s="10">
        <v>99.45</v>
      </c>
      <c r="K1415" s="10">
        <v>98.44</v>
      </c>
      <c r="L1415" s="10">
        <v>97.57</v>
      </c>
      <c r="M1415" s="10">
        <v>96.68</v>
      </c>
      <c r="N1415" s="10">
        <v>110.65</v>
      </c>
      <c r="O1415" s="10">
        <v>109.52</v>
      </c>
      <c r="P1415" s="10">
        <v>107.34</v>
      </c>
      <c r="Q1415" s="10">
        <v>105.06</v>
      </c>
      <c r="R1415" s="10">
        <v>102.97</v>
      </c>
      <c r="S1415" s="10">
        <v>101.07</v>
      </c>
      <c r="T1415" s="10">
        <v>99.35</v>
      </c>
      <c r="U1415" s="10">
        <v>97.78</v>
      </c>
      <c r="V1415" s="10">
        <v>96.37</v>
      </c>
      <c r="W1415" s="10">
        <v>95.12</v>
      </c>
      <c r="X1415" s="10">
        <v>93.99</v>
      </c>
      <c r="Y1415" s="10">
        <v>92.97</v>
      </c>
      <c r="Z1415" s="11">
        <v>113.29300000000001</v>
      </c>
      <c r="AA1415" s="11">
        <v>106.947</v>
      </c>
      <c r="AB1415" s="11">
        <v>103.449</v>
      </c>
      <c r="AC1415" s="11">
        <v>100.93600000000001</v>
      </c>
      <c r="AD1415" s="11">
        <v>99.028999999999996</v>
      </c>
      <c r="AE1415" s="11">
        <v>97.25</v>
      </c>
      <c r="AF1415" s="11">
        <v>95.52</v>
      </c>
      <c r="AG1415" s="11">
        <v>94.183000000000007</v>
      </c>
      <c r="AH1415" s="11">
        <v>93.02</v>
      </c>
      <c r="AI1415" s="11">
        <v>92.102000000000004</v>
      </c>
      <c r="AJ1415" s="11">
        <v>91.343000000000004</v>
      </c>
      <c r="AK1415" s="11">
        <v>90.602999999999994</v>
      </c>
      <c r="AL1415" s="11"/>
    </row>
    <row r="1416" spans="1:38" x14ac:dyDescent="0.3">
      <c r="A1416" s="9">
        <f>DATE(2022, 6, 22)</f>
        <v>44734</v>
      </c>
      <c r="B1416" s="10">
        <v>111.74</v>
      </c>
      <c r="C1416" s="10">
        <v>108.65</v>
      </c>
      <c r="D1416" s="10">
        <v>106.15</v>
      </c>
      <c r="E1416" s="10">
        <v>104.16</v>
      </c>
      <c r="F1416" s="10">
        <v>102.43</v>
      </c>
      <c r="G1416" s="10">
        <v>100.85</v>
      </c>
      <c r="H1416" s="10">
        <v>99.45</v>
      </c>
      <c r="I1416" s="10">
        <v>98.21</v>
      </c>
      <c r="J1416" s="10">
        <v>97.12</v>
      </c>
      <c r="K1416" s="10">
        <v>96.21</v>
      </c>
      <c r="L1416" s="10">
        <v>95.4</v>
      </c>
      <c r="M1416" s="10">
        <v>94.57</v>
      </c>
      <c r="N1416" s="10">
        <v>106.19</v>
      </c>
      <c r="O1416" s="10">
        <v>103.99</v>
      </c>
      <c r="P1416" s="10">
        <v>101.83</v>
      </c>
      <c r="Q1416" s="10">
        <v>99.9</v>
      </c>
      <c r="R1416" s="10">
        <v>98.15</v>
      </c>
      <c r="S1416" s="10">
        <v>96.56</v>
      </c>
      <c r="T1416" s="10">
        <v>95.11</v>
      </c>
      <c r="U1416" s="10">
        <v>93.82</v>
      </c>
      <c r="V1416" s="10">
        <v>92.67</v>
      </c>
      <c r="W1416" s="10">
        <v>91.63</v>
      </c>
      <c r="X1416" s="10">
        <v>90.7</v>
      </c>
      <c r="Y1416" s="10">
        <v>89.81</v>
      </c>
      <c r="Z1416" s="11">
        <v>112.389</v>
      </c>
      <c r="AA1416" s="11">
        <v>104.181</v>
      </c>
      <c r="AB1416" s="11">
        <v>100.753</v>
      </c>
      <c r="AC1416" s="11">
        <v>98.260999999999996</v>
      </c>
      <c r="AD1416" s="11">
        <v>96.375</v>
      </c>
      <c r="AE1416" s="11">
        <v>94.715999999999994</v>
      </c>
      <c r="AF1416" s="11">
        <v>93.242000000000004</v>
      </c>
      <c r="AG1416" s="11">
        <v>91.988</v>
      </c>
      <c r="AH1416" s="11">
        <v>90.855000000000004</v>
      </c>
      <c r="AI1416" s="11">
        <v>89.944999999999993</v>
      </c>
      <c r="AJ1416" s="11">
        <v>89.256</v>
      </c>
      <c r="AK1416" s="11">
        <v>88.596000000000004</v>
      </c>
      <c r="AL1416" s="11"/>
    </row>
    <row r="1417" spans="1:38" x14ac:dyDescent="0.3">
      <c r="A1417" s="9">
        <f>DATE(2022, 6, 23)</f>
        <v>44735</v>
      </c>
      <c r="B1417" s="10">
        <v>110.05</v>
      </c>
      <c r="C1417" s="10">
        <v>106.46</v>
      </c>
      <c r="D1417" s="10">
        <v>103.69</v>
      </c>
      <c r="E1417" s="10">
        <v>101.42</v>
      </c>
      <c r="F1417" s="10">
        <v>99.53</v>
      </c>
      <c r="G1417" s="10">
        <v>97.85</v>
      </c>
      <c r="H1417" s="10">
        <v>96.37</v>
      </c>
      <c r="I1417" s="10">
        <v>95.08</v>
      </c>
      <c r="J1417" s="10">
        <v>93.96</v>
      </c>
      <c r="K1417" s="10">
        <v>93.02</v>
      </c>
      <c r="L1417" s="10">
        <v>92.2</v>
      </c>
      <c r="M1417" s="10">
        <v>91.37</v>
      </c>
      <c r="N1417" s="10">
        <v>104.27</v>
      </c>
      <c r="O1417" s="10">
        <v>101.58</v>
      </c>
      <c r="P1417" s="10">
        <v>99.05</v>
      </c>
      <c r="Q1417" s="10">
        <v>96.88</v>
      </c>
      <c r="R1417" s="10">
        <v>94.97</v>
      </c>
      <c r="S1417" s="10">
        <v>93.29</v>
      </c>
      <c r="T1417" s="10">
        <v>91.8</v>
      </c>
      <c r="U1417" s="10">
        <v>90.47</v>
      </c>
      <c r="V1417" s="10">
        <v>89.3</v>
      </c>
      <c r="W1417" s="10">
        <v>88.26</v>
      </c>
      <c r="X1417" s="10">
        <v>87.31</v>
      </c>
      <c r="Y1417" s="10">
        <v>86.42</v>
      </c>
      <c r="Z1417" s="11">
        <v>111.88500000000001</v>
      </c>
      <c r="AA1417" s="11">
        <v>102.018</v>
      </c>
      <c r="AB1417" s="11">
        <v>98.421000000000006</v>
      </c>
      <c r="AC1417" s="11">
        <v>95.744</v>
      </c>
      <c r="AD1417" s="11">
        <v>93.66</v>
      </c>
      <c r="AE1417" s="11">
        <v>91.863</v>
      </c>
      <c r="AF1417" s="11">
        <v>90.227000000000004</v>
      </c>
      <c r="AG1417" s="11">
        <v>88.977000000000004</v>
      </c>
      <c r="AH1417" s="11">
        <v>87.813000000000002</v>
      </c>
      <c r="AI1417" s="11">
        <v>86.853999999999999</v>
      </c>
      <c r="AJ1417" s="11">
        <v>86.055999999999997</v>
      </c>
      <c r="AK1417" s="11">
        <v>85.397000000000006</v>
      </c>
      <c r="AL1417" s="11"/>
    </row>
    <row r="1418" spans="1:38" x14ac:dyDescent="0.3">
      <c r="A1418" s="9">
        <f>DATE(2022, 6, 24)</f>
        <v>44736</v>
      </c>
      <c r="B1418" s="10">
        <v>113.12</v>
      </c>
      <c r="C1418" s="10">
        <v>109.1</v>
      </c>
      <c r="D1418" s="10">
        <v>106.09</v>
      </c>
      <c r="E1418" s="10">
        <v>103.61</v>
      </c>
      <c r="F1418" s="10">
        <v>101.56</v>
      </c>
      <c r="G1418" s="10">
        <v>99.74</v>
      </c>
      <c r="H1418" s="10">
        <v>98.18</v>
      </c>
      <c r="I1418" s="10">
        <v>96.86</v>
      </c>
      <c r="J1418" s="10">
        <v>95.73</v>
      </c>
      <c r="K1418" s="10">
        <v>94.79</v>
      </c>
      <c r="L1418" s="10">
        <v>93.98</v>
      </c>
      <c r="M1418" s="10">
        <v>93.16</v>
      </c>
      <c r="N1418" s="10">
        <v>107.62</v>
      </c>
      <c r="O1418" s="10">
        <v>104.45</v>
      </c>
      <c r="P1418" s="10">
        <v>101.47</v>
      </c>
      <c r="Q1418" s="10">
        <v>98.97</v>
      </c>
      <c r="R1418" s="10">
        <v>96.83</v>
      </c>
      <c r="S1418" s="10">
        <v>94.99</v>
      </c>
      <c r="T1418" s="10">
        <v>93.4</v>
      </c>
      <c r="U1418" s="10">
        <v>92.05</v>
      </c>
      <c r="V1418" s="10">
        <v>90.89</v>
      </c>
      <c r="W1418" s="10">
        <v>89.87</v>
      </c>
      <c r="X1418" s="10">
        <v>88.95</v>
      </c>
      <c r="Y1418" s="10">
        <v>88.09</v>
      </c>
      <c r="Z1418" s="11">
        <v>112.544</v>
      </c>
      <c r="AA1418" s="11">
        <v>104.837</v>
      </c>
      <c r="AB1418" s="11">
        <v>101.032</v>
      </c>
      <c r="AC1418" s="11">
        <v>98.022000000000006</v>
      </c>
      <c r="AD1418" s="11">
        <v>95.778000000000006</v>
      </c>
      <c r="AE1418" s="11">
        <v>93.879000000000005</v>
      </c>
      <c r="AF1418" s="11">
        <v>92.153999999999996</v>
      </c>
      <c r="AG1418" s="11">
        <v>90.775999999999996</v>
      </c>
      <c r="AH1418" s="11">
        <v>89.673000000000002</v>
      </c>
      <c r="AI1418" s="11">
        <v>88.765000000000001</v>
      </c>
      <c r="AJ1418" s="11">
        <v>88.007000000000005</v>
      </c>
      <c r="AK1418" s="11">
        <v>87.296999999999997</v>
      </c>
      <c r="AL1418" s="11"/>
    </row>
    <row r="1419" spans="1:38" x14ac:dyDescent="0.3">
      <c r="A1419" s="9">
        <f>DATE(2022, 6, 27)</f>
        <v>44739</v>
      </c>
      <c r="B1419" s="10">
        <v>115.09</v>
      </c>
      <c r="C1419" s="10">
        <v>110.98</v>
      </c>
      <c r="D1419" s="10">
        <v>107.88</v>
      </c>
      <c r="E1419" s="10">
        <v>105.32</v>
      </c>
      <c r="F1419" s="10">
        <v>103.19</v>
      </c>
      <c r="G1419" s="10">
        <v>101.28</v>
      </c>
      <c r="H1419" s="10">
        <v>99.65</v>
      </c>
      <c r="I1419" s="10">
        <v>98.29</v>
      </c>
      <c r="J1419" s="10">
        <v>97.14</v>
      </c>
      <c r="K1419" s="10">
        <v>96.2</v>
      </c>
      <c r="L1419" s="10">
        <v>95.37</v>
      </c>
      <c r="M1419" s="10">
        <v>94.57</v>
      </c>
      <c r="N1419" s="10">
        <v>109.57</v>
      </c>
      <c r="O1419" s="10">
        <v>106.38</v>
      </c>
      <c r="P1419" s="10">
        <v>103.3</v>
      </c>
      <c r="Q1419" s="10">
        <v>100.68</v>
      </c>
      <c r="R1419" s="10">
        <v>98.44</v>
      </c>
      <c r="S1419" s="10">
        <v>96.5</v>
      </c>
      <c r="T1419" s="10">
        <v>94.86</v>
      </c>
      <c r="U1419" s="10">
        <v>93.46</v>
      </c>
      <c r="V1419" s="10">
        <v>92.27</v>
      </c>
      <c r="W1419" s="10">
        <v>91.22</v>
      </c>
      <c r="X1419" s="10">
        <v>90.28</v>
      </c>
      <c r="Y1419" s="10">
        <v>89.39</v>
      </c>
      <c r="Z1419" s="11">
        <v>112.923</v>
      </c>
      <c r="AA1419" s="11">
        <v>106.83199999999999</v>
      </c>
      <c r="AB1419" s="11">
        <v>102.90900000000001</v>
      </c>
      <c r="AC1419" s="11">
        <v>99.772999999999996</v>
      </c>
      <c r="AD1419" s="11">
        <v>97.418999999999997</v>
      </c>
      <c r="AE1419" s="11">
        <v>95.385999999999996</v>
      </c>
      <c r="AF1419" s="11">
        <v>93.65</v>
      </c>
      <c r="AG1419" s="11">
        <v>92.254999999999995</v>
      </c>
      <c r="AH1419" s="11">
        <v>91.132999999999996</v>
      </c>
      <c r="AI1419" s="11">
        <v>90.213999999999999</v>
      </c>
      <c r="AJ1419" s="11">
        <v>89.397999999999996</v>
      </c>
      <c r="AK1419" s="11">
        <v>88.736999999999995</v>
      </c>
      <c r="AL1419" s="11"/>
    </row>
    <row r="1420" spans="1:38" x14ac:dyDescent="0.3">
      <c r="A1420" s="9">
        <f>DATE(2022, 6, 28)</f>
        <v>44740</v>
      </c>
      <c r="B1420" s="10">
        <v>117.98</v>
      </c>
      <c r="C1420" s="10">
        <v>113.8</v>
      </c>
      <c r="D1420" s="10">
        <v>110.78</v>
      </c>
      <c r="E1420" s="10">
        <v>108.27</v>
      </c>
      <c r="F1420" s="10">
        <v>106.11</v>
      </c>
      <c r="G1420" s="10">
        <v>104.15</v>
      </c>
      <c r="H1420" s="10">
        <v>102.46</v>
      </c>
      <c r="I1420" s="10">
        <v>101.07</v>
      </c>
      <c r="J1420" s="10">
        <v>99.87</v>
      </c>
      <c r="K1420" s="10">
        <v>98.88</v>
      </c>
      <c r="L1420" s="10">
        <v>97.98</v>
      </c>
      <c r="M1420" s="10">
        <v>97.13</v>
      </c>
      <c r="N1420" s="10">
        <v>111.76</v>
      </c>
      <c r="O1420" s="10">
        <v>108.89</v>
      </c>
      <c r="P1420" s="10">
        <v>105.99</v>
      </c>
      <c r="Q1420" s="10">
        <v>103.43</v>
      </c>
      <c r="R1420" s="10">
        <v>101.18</v>
      </c>
      <c r="S1420" s="10">
        <v>99.21</v>
      </c>
      <c r="T1420" s="10">
        <v>97.52</v>
      </c>
      <c r="U1420" s="10">
        <v>96.07</v>
      </c>
      <c r="V1420" s="10">
        <v>94.83</v>
      </c>
      <c r="W1420" s="10">
        <v>93.75</v>
      </c>
      <c r="X1420" s="10">
        <v>92.77</v>
      </c>
      <c r="Y1420" s="10">
        <v>91.84</v>
      </c>
      <c r="Z1420" s="11">
        <v>113.26600000000001</v>
      </c>
      <c r="AA1420" s="11">
        <v>109.536</v>
      </c>
      <c r="AB1420" s="11">
        <v>105.59099999999999</v>
      </c>
      <c r="AC1420" s="11">
        <v>102.452</v>
      </c>
      <c r="AD1420" s="11">
        <v>100.087</v>
      </c>
      <c r="AE1420" s="11">
        <v>98.043000000000006</v>
      </c>
      <c r="AF1420" s="11">
        <v>96.317999999999998</v>
      </c>
      <c r="AG1420" s="11">
        <v>95.013000000000005</v>
      </c>
      <c r="AH1420" s="11">
        <v>93.861000000000004</v>
      </c>
      <c r="AI1420" s="11">
        <v>92.891000000000005</v>
      </c>
      <c r="AJ1420" s="11">
        <v>91.984999999999999</v>
      </c>
      <c r="AK1420" s="11">
        <v>91.275999999999996</v>
      </c>
      <c r="AL1420" s="11"/>
    </row>
    <row r="1421" spans="1:38" x14ac:dyDescent="0.3">
      <c r="A1421" s="9">
        <f>DATE(2022, 6, 29)</f>
        <v>44741</v>
      </c>
      <c r="B1421" s="10">
        <v>116.26</v>
      </c>
      <c r="C1421" s="10">
        <v>112.45</v>
      </c>
      <c r="D1421" s="10">
        <v>109.26</v>
      </c>
      <c r="E1421" s="10">
        <v>106.6</v>
      </c>
      <c r="F1421" s="10">
        <v>104.36</v>
      </c>
      <c r="G1421" s="10">
        <v>102.36</v>
      </c>
      <c r="H1421" s="10">
        <v>100.66</v>
      </c>
      <c r="I1421" s="10">
        <v>99.3</v>
      </c>
      <c r="J1421" s="10">
        <v>98.15</v>
      </c>
      <c r="K1421" s="10">
        <v>97.21</v>
      </c>
      <c r="L1421" s="10">
        <v>96.37</v>
      </c>
      <c r="M1421" s="10">
        <v>95.57</v>
      </c>
      <c r="N1421" s="10">
        <v>109.78</v>
      </c>
      <c r="O1421" s="10">
        <v>107.01</v>
      </c>
      <c r="P1421" s="10">
        <v>104.13</v>
      </c>
      <c r="Q1421" s="10">
        <v>101.56</v>
      </c>
      <c r="R1421" s="10">
        <v>99.28</v>
      </c>
      <c r="S1421" s="10">
        <v>97.3</v>
      </c>
      <c r="T1421" s="10">
        <v>95.61</v>
      </c>
      <c r="U1421" s="10">
        <v>94.19</v>
      </c>
      <c r="V1421" s="10">
        <v>92.99</v>
      </c>
      <c r="W1421" s="10">
        <v>91.97</v>
      </c>
      <c r="X1421" s="10">
        <v>91.04</v>
      </c>
      <c r="Y1421" s="10">
        <v>90.17</v>
      </c>
      <c r="Z1421" s="11">
        <v>113.21599999999999</v>
      </c>
      <c r="AA1421" s="11">
        <v>108.288</v>
      </c>
      <c r="AB1421" s="11">
        <v>104.187</v>
      </c>
      <c r="AC1421" s="11">
        <v>100.898</v>
      </c>
      <c r="AD1421" s="11">
        <v>98.396000000000001</v>
      </c>
      <c r="AE1421" s="11">
        <v>96.313000000000002</v>
      </c>
      <c r="AF1421" s="11">
        <v>94.52</v>
      </c>
      <c r="AG1421" s="11">
        <v>93.114999999999995</v>
      </c>
      <c r="AH1421" s="11">
        <v>92.013000000000005</v>
      </c>
      <c r="AI1421" s="11">
        <v>91.113</v>
      </c>
      <c r="AJ1421" s="11">
        <v>90.378</v>
      </c>
      <c r="AK1421" s="11">
        <v>89.718000000000004</v>
      </c>
      <c r="AL1421" s="11"/>
    </row>
    <row r="1422" spans="1:38" x14ac:dyDescent="0.3">
      <c r="A1422" s="9">
        <f>DATE(2022, 6, 30)</f>
        <v>44742</v>
      </c>
      <c r="B1422" s="10">
        <v>114.81</v>
      </c>
      <c r="C1422" s="10">
        <v>109.03</v>
      </c>
      <c r="D1422" s="10">
        <v>105.59</v>
      </c>
      <c r="E1422" s="10">
        <v>102.82</v>
      </c>
      <c r="F1422" s="10">
        <v>100.58</v>
      </c>
      <c r="G1422" s="10">
        <v>98.6</v>
      </c>
      <c r="H1422" s="10">
        <v>96.95</v>
      </c>
      <c r="I1422" s="10">
        <v>95.63</v>
      </c>
      <c r="J1422" s="10">
        <v>94.53</v>
      </c>
      <c r="K1422" s="10">
        <v>93.63</v>
      </c>
      <c r="L1422" s="10">
        <v>92.83</v>
      </c>
      <c r="M1422" s="10">
        <v>92.07</v>
      </c>
      <c r="N1422" s="10">
        <v>105.76</v>
      </c>
      <c r="O1422" s="10">
        <v>103.1</v>
      </c>
      <c r="P1422" s="10">
        <v>100.27</v>
      </c>
      <c r="Q1422" s="10">
        <v>97.75</v>
      </c>
      <c r="R1422" s="10">
        <v>95.56</v>
      </c>
      <c r="S1422" s="10">
        <v>93.67</v>
      </c>
      <c r="T1422" s="10">
        <v>92.05</v>
      </c>
      <c r="U1422" s="10">
        <v>90.68</v>
      </c>
      <c r="V1422" s="10">
        <v>89.52</v>
      </c>
      <c r="W1422" s="10">
        <v>88.51</v>
      </c>
      <c r="X1422" s="10">
        <v>87.62</v>
      </c>
      <c r="Y1422" s="10">
        <v>86.79</v>
      </c>
      <c r="Z1422" s="11">
        <v>113.242</v>
      </c>
      <c r="AA1422" s="11">
        <v>104.916</v>
      </c>
      <c r="AB1422" s="11">
        <v>100.66</v>
      </c>
      <c r="AC1422" s="11">
        <v>97.257999999999996</v>
      </c>
      <c r="AD1422" s="11">
        <v>94.756</v>
      </c>
      <c r="AE1422" s="11">
        <v>92.665000000000006</v>
      </c>
      <c r="AF1422" s="11">
        <v>90.813999999999993</v>
      </c>
      <c r="AG1422" s="11">
        <v>89.507999999999996</v>
      </c>
      <c r="AH1422" s="11">
        <v>88.394999999999996</v>
      </c>
      <c r="AI1422" s="11">
        <v>87.515000000000001</v>
      </c>
      <c r="AJ1422" s="11">
        <v>86.84</v>
      </c>
      <c r="AK1422" s="11">
        <v>86.22</v>
      </c>
      <c r="AL1422" s="11"/>
    </row>
    <row r="1423" spans="1:38" x14ac:dyDescent="0.3">
      <c r="A1423" s="9">
        <f>DATE(2022, 7, 1)</f>
        <v>44743</v>
      </c>
      <c r="B1423" s="10">
        <v>111.63</v>
      </c>
      <c r="C1423" s="10">
        <v>107.8</v>
      </c>
      <c r="D1423" s="10">
        <v>104.65</v>
      </c>
      <c r="E1423" s="10">
        <v>102.16</v>
      </c>
      <c r="F1423" s="10">
        <v>100.01</v>
      </c>
      <c r="G1423" s="10">
        <v>98.25</v>
      </c>
      <c r="H1423" s="10">
        <v>96.85</v>
      </c>
      <c r="I1423" s="10">
        <v>95.67</v>
      </c>
      <c r="J1423" s="10">
        <v>94.69</v>
      </c>
      <c r="K1423" s="10">
        <v>93.82</v>
      </c>
      <c r="L1423" s="10">
        <v>92.97</v>
      </c>
      <c r="M1423" s="10">
        <v>92.19</v>
      </c>
      <c r="N1423" s="10">
        <v>108.43</v>
      </c>
      <c r="O1423" s="10">
        <v>105.39</v>
      </c>
      <c r="P1423" s="10">
        <v>102.31</v>
      </c>
      <c r="Q1423" s="10">
        <v>99.62</v>
      </c>
      <c r="R1423" s="10">
        <v>97.3</v>
      </c>
      <c r="S1423" s="10">
        <v>95.27</v>
      </c>
      <c r="T1423" s="10">
        <v>93.54</v>
      </c>
      <c r="U1423" s="10">
        <v>92.07</v>
      </c>
      <c r="V1423" s="10">
        <v>90.81</v>
      </c>
      <c r="W1423" s="10">
        <v>89.73</v>
      </c>
      <c r="X1423" s="10">
        <v>88.77</v>
      </c>
      <c r="Y1423" s="10">
        <v>87.85</v>
      </c>
      <c r="Z1423" s="11">
        <v>113.242</v>
      </c>
      <c r="AA1423" s="11">
        <v>107.681</v>
      </c>
      <c r="AB1423" s="11">
        <v>103.15300000000001</v>
      </c>
      <c r="AC1423" s="11">
        <v>99.236999999999995</v>
      </c>
      <c r="AD1423" s="11">
        <v>96.468000000000004</v>
      </c>
      <c r="AE1423" s="11">
        <v>94.17</v>
      </c>
      <c r="AF1423" s="11">
        <v>92.227000000000004</v>
      </c>
      <c r="AG1423" s="11">
        <v>90.793999999999997</v>
      </c>
      <c r="AH1423" s="11">
        <v>89.730999999999995</v>
      </c>
      <c r="AI1423" s="11">
        <v>88.902000000000001</v>
      </c>
      <c r="AJ1423" s="11">
        <v>88.105000000000004</v>
      </c>
      <c r="AK1423" s="11">
        <v>87.325999999999993</v>
      </c>
      <c r="AL1423" s="11"/>
    </row>
    <row r="1424" spans="1:38" x14ac:dyDescent="0.3">
      <c r="A1424" s="9">
        <f>DATE(2022, 7, 4)</f>
        <v>44746</v>
      </c>
      <c r="B1424" s="10">
        <v>113.5</v>
      </c>
      <c r="C1424" s="10">
        <v>109.46</v>
      </c>
      <c r="D1424" s="10">
        <v>106.11</v>
      </c>
      <c r="E1424" s="10">
        <v>103.5</v>
      </c>
      <c r="F1424" s="10">
        <v>101.23</v>
      </c>
      <c r="G1424" s="10">
        <v>99.43</v>
      </c>
      <c r="H1424" s="10">
        <v>98.03</v>
      </c>
      <c r="I1424" s="10">
        <v>96.86</v>
      </c>
      <c r="J1424" s="10">
        <v>95.9</v>
      </c>
      <c r="K1424" s="10">
        <v>95.05</v>
      </c>
      <c r="L1424" s="10">
        <v>94.23</v>
      </c>
      <c r="M1424" s="10">
        <v>93.46</v>
      </c>
      <c r="N1424" s="10">
        <v>108.43</v>
      </c>
      <c r="O1424" s="10">
        <v>105.39</v>
      </c>
      <c r="P1424" s="10">
        <v>102.31</v>
      </c>
      <c r="Q1424" s="10">
        <v>99.62</v>
      </c>
      <c r="R1424" s="10">
        <v>97.3</v>
      </c>
      <c r="S1424" s="10">
        <v>95.27</v>
      </c>
      <c r="T1424" s="10">
        <v>93.54</v>
      </c>
      <c r="U1424" s="10">
        <v>92.07</v>
      </c>
      <c r="V1424" s="10">
        <v>90.81</v>
      </c>
      <c r="W1424" s="10">
        <v>89.73</v>
      </c>
      <c r="X1424" s="10">
        <v>88.77</v>
      </c>
      <c r="Y1424" s="10">
        <v>87.85</v>
      </c>
      <c r="Z1424" s="11">
        <v>109.89100000000001</v>
      </c>
      <c r="AA1424" s="11">
        <v>105.17400000000001</v>
      </c>
      <c r="AB1424" s="11">
        <v>100.98099999999999</v>
      </c>
      <c r="AC1424" s="11">
        <v>98.042000000000002</v>
      </c>
      <c r="AD1424" s="11">
        <v>95.587999999999994</v>
      </c>
      <c r="AE1424" s="11">
        <v>93.606999999999999</v>
      </c>
      <c r="AF1424" s="11">
        <v>92.203999999999994</v>
      </c>
      <c r="AG1424" s="11">
        <v>91.122</v>
      </c>
      <c r="AH1424" s="11">
        <v>90.272999999999996</v>
      </c>
      <c r="AI1424" s="11">
        <v>89.466999999999999</v>
      </c>
      <c r="AJ1424" s="11">
        <v>88.697000000000003</v>
      </c>
      <c r="AK1424" s="11">
        <v>87.936999999999998</v>
      </c>
      <c r="AL1424" s="11"/>
    </row>
    <row r="1425" spans="1:38" x14ac:dyDescent="0.3">
      <c r="A1425" s="9">
        <f>DATE(2022, 7, 5)</f>
        <v>44747</v>
      </c>
      <c r="B1425" s="10">
        <v>102.77</v>
      </c>
      <c r="C1425" s="10">
        <v>98.99</v>
      </c>
      <c r="D1425" s="10">
        <v>95.79</v>
      </c>
      <c r="E1425" s="10">
        <v>93.3</v>
      </c>
      <c r="F1425" s="10">
        <v>91.21</v>
      </c>
      <c r="G1425" s="10">
        <v>89.58</v>
      </c>
      <c r="H1425" s="10">
        <v>88.35</v>
      </c>
      <c r="I1425" s="10">
        <v>87.38</v>
      </c>
      <c r="J1425" s="10">
        <v>86.61</v>
      </c>
      <c r="K1425" s="10">
        <v>85.95</v>
      </c>
      <c r="L1425" s="10">
        <v>85.33</v>
      </c>
      <c r="M1425" s="10">
        <v>84.76</v>
      </c>
      <c r="N1425" s="10">
        <v>99.5</v>
      </c>
      <c r="O1425" s="10">
        <v>96.52</v>
      </c>
      <c r="P1425" s="10">
        <v>93.44</v>
      </c>
      <c r="Q1425" s="10">
        <v>90.73</v>
      </c>
      <c r="R1425" s="10">
        <v>88.46</v>
      </c>
      <c r="S1425" s="10">
        <v>86.53</v>
      </c>
      <c r="T1425" s="10">
        <v>84.94</v>
      </c>
      <c r="U1425" s="10">
        <v>83.64</v>
      </c>
      <c r="V1425" s="10">
        <v>82.58</v>
      </c>
      <c r="W1425" s="10">
        <v>81.7</v>
      </c>
      <c r="X1425" s="10">
        <v>80.930000000000007</v>
      </c>
      <c r="Y1425" s="10">
        <v>80.23</v>
      </c>
      <c r="Z1425" s="11">
        <v>100.82599999999999</v>
      </c>
      <c r="AA1425" s="11">
        <v>94.661000000000001</v>
      </c>
      <c r="AB1425" s="11">
        <v>90.587000000000003</v>
      </c>
      <c r="AC1425" s="11">
        <v>87.77</v>
      </c>
      <c r="AD1425" s="11">
        <v>85.506</v>
      </c>
      <c r="AE1425" s="11">
        <v>83.712999999999994</v>
      </c>
      <c r="AF1425" s="11">
        <v>82.474000000000004</v>
      </c>
      <c r="AG1425" s="11">
        <v>81.572000000000003</v>
      </c>
      <c r="AH1425" s="11">
        <v>80.840999999999994</v>
      </c>
      <c r="AI1425" s="11">
        <v>80.167000000000002</v>
      </c>
      <c r="AJ1425" s="11">
        <v>79.584999999999994</v>
      </c>
      <c r="AK1425" s="11">
        <v>79.284999999999997</v>
      </c>
      <c r="AL1425" s="11"/>
    </row>
    <row r="1426" spans="1:38" x14ac:dyDescent="0.3">
      <c r="A1426" s="9">
        <f>DATE(2022, 7, 6)</f>
        <v>44748</v>
      </c>
      <c r="B1426" s="10">
        <v>100.69</v>
      </c>
      <c r="C1426" s="10">
        <v>97.09</v>
      </c>
      <c r="D1426" s="10">
        <v>94.12</v>
      </c>
      <c r="E1426" s="10">
        <v>91.82</v>
      </c>
      <c r="F1426" s="10">
        <v>89.94</v>
      </c>
      <c r="G1426" s="10">
        <v>88.52</v>
      </c>
      <c r="H1426" s="10">
        <v>87.45</v>
      </c>
      <c r="I1426" s="10">
        <v>86.58</v>
      </c>
      <c r="J1426" s="10">
        <v>85.89</v>
      </c>
      <c r="K1426" s="10">
        <v>85.3</v>
      </c>
      <c r="L1426" s="10">
        <v>84.73</v>
      </c>
      <c r="M1426" s="10">
        <v>84.22</v>
      </c>
      <c r="N1426" s="10">
        <v>98.53</v>
      </c>
      <c r="O1426" s="10">
        <v>94.98</v>
      </c>
      <c r="P1426" s="10">
        <v>91.85</v>
      </c>
      <c r="Q1426" s="10">
        <v>89.24</v>
      </c>
      <c r="R1426" s="10">
        <v>87.14</v>
      </c>
      <c r="S1426" s="10">
        <v>85.36</v>
      </c>
      <c r="T1426" s="10">
        <v>83.9</v>
      </c>
      <c r="U1426" s="10">
        <v>82.7</v>
      </c>
      <c r="V1426" s="10">
        <v>81.73</v>
      </c>
      <c r="W1426" s="10">
        <v>80.94</v>
      </c>
      <c r="X1426" s="10">
        <v>80.27</v>
      </c>
      <c r="Y1426" s="10">
        <v>79.650000000000006</v>
      </c>
      <c r="Z1426" s="11">
        <v>99.25</v>
      </c>
      <c r="AA1426" s="11">
        <v>92.551000000000002</v>
      </c>
      <c r="AB1426" s="11">
        <v>88.814999999999998</v>
      </c>
      <c r="AC1426" s="11">
        <v>86.17</v>
      </c>
      <c r="AD1426" s="11">
        <v>84.02</v>
      </c>
      <c r="AE1426" s="11">
        <v>82.405000000000001</v>
      </c>
      <c r="AF1426" s="11">
        <v>81.248999999999995</v>
      </c>
      <c r="AG1426" s="11">
        <v>80.396000000000001</v>
      </c>
      <c r="AH1426" s="11">
        <v>79.733999999999995</v>
      </c>
      <c r="AI1426" s="11">
        <v>79.28</v>
      </c>
      <c r="AJ1426" s="11">
        <v>78.817999999999998</v>
      </c>
      <c r="AK1426" s="11">
        <v>78.388000000000005</v>
      </c>
      <c r="AL1426" s="11"/>
    </row>
    <row r="1427" spans="1:38" x14ac:dyDescent="0.3">
      <c r="A1427" s="9">
        <f>DATE(2022, 7, 7)</f>
        <v>44749</v>
      </c>
      <c r="B1427" s="10">
        <v>104.65</v>
      </c>
      <c r="C1427" s="10">
        <v>100.98</v>
      </c>
      <c r="D1427" s="10">
        <v>97.99</v>
      </c>
      <c r="E1427" s="10">
        <v>95.54</v>
      </c>
      <c r="F1427" s="10">
        <v>93.49</v>
      </c>
      <c r="G1427" s="10">
        <v>91.91</v>
      </c>
      <c r="H1427" s="10">
        <v>90.69</v>
      </c>
      <c r="I1427" s="10">
        <v>89.69</v>
      </c>
      <c r="J1427" s="10">
        <v>88.91</v>
      </c>
      <c r="K1427" s="10">
        <v>88.21</v>
      </c>
      <c r="L1427" s="10">
        <v>87.55</v>
      </c>
      <c r="M1427" s="10">
        <v>86.94</v>
      </c>
      <c r="N1427" s="10">
        <v>102.73</v>
      </c>
      <c r="O1427" s="10">
        <v>99.25</v>
      </c>
      <c r="P1427" s="10">
        <v>96.04</v>
      </c>
      <c r="Q1427" s="10">
        <v>93.24</v>
      </c>
      <c r="R1427" s="10">
        <v>90.9</v>
      </c>
      <c r="S1427" s="10">
        <v>88.92</v>
      </c>
      <c r="T1427" s="10">
        <v>87.28</v>
      </c>
      <c r="U1427" s="10">
        <v>85.94</v>
      </c>
      <c r="V1427" s="10">
        <v>84.85</v>
      </c>
      <c r="W1427" s="10">
        <v>83.95</v>
      </c>
      <c r="X1427" s="10">
        <v>83.16</v>
      </c>
      <c r="Y1427" s="10">
        <v>82.45</v>
      </c>
      <c r="Z1427" s="11">
        <v>102.367</v>
      </c>
      <c r="AA1427" s="11">
        <v>96.45</v>
      </c>
      <c r="AB1427" s="11">
        <v>92.728999999999999</v>
      </c>
      <c r="AC1427" s="11">
        <v>89.891999999999996</v>
      </c>
      <c r="AD1427" s="11">
        <v>87.602999999999994</v>
      </c>
      <c r="AE1427" s="11">
        <v>85.894000000000005</v>
      </c>
      <c r="AF1427" s="11">
        <v>84.662000000000006</v>
      </c>
      <c r="AG1427" s="11">
        <v>83.751000000000005</v>
      </c>
      <c r="AH1427" s="11">
        <v>82.98</v>
      </c>
      <c r="AI1427" s="11">
        <v>82.275000000000006</v>
      </c>
      <c r="AJ1427" s="11">
        <v>81.673000000000002</v>
      </c>
      <c r="AK1427" s="11">
        <v>81.135000000000005</v>
      </c>
      <c r="AL1427" s="11"/>
    </row>
    <row r="1428" spans="1:38" x14ac:dyDescent="0.3">
      <c r="A1428" s="9">
        <f>DATE(2022, 7, 8)</f>
        <v>44750</v>
      </c>
      <c r="B1428" s="10">
        <v>107.02</v>
      </c>
      <c r="C1428" s="10">
        <v>103.46</v>
      </c>
      <c r="D1428" s="10">
        <v>100.51</v>
      </c>
      <c r="E1428" s="10">
        <v>98.09</v>
      </c>
      <c r="F1428" s="10">
        <v>96.02</v>
      </c>
      <c r="G1428" s="10">
        <v>94.39</v>
      </c>
      <c r="H1428" s="10">
        <v>93.1</v>
      </c>
      <c r="I1428" s="10">
        <v>92.03</v>
      </c>
      <c r="J1428" s="10">
        <v>91.18</v>
      </c>
      <c r="K1428" s="10">
        <v>90.43</v>
      </c>
      <c r="L1428" s="10">
        <v>89.7</v>
      </c>
      <c r="M1428" s="10">
        <v>89.02</v>
      </c>
      <c r="N1428" s="10">
        <v>104.79</v>
      </c>
      <c r="O1428" s="10">
        <v>101.53</v>
      </c>
      <c r="P1428" s="10">
        <v>98.37</v>
      </c>
      <c r="Q1428" s="10">
        <v>95.59</v>
      </c>
      <c r="R1428" s="10">
        <v>93.28</v>
      </c>
      <c r="S1428" s="10">
        <v>91.31</v>
      </c>
      <c r="T1428" s="10">
        <v>89.64</v>
      </c>
      <c r="U1428" s="10">
        <v>88.26</v>
      </c>
      <c r="V1428" s="10">
        <v>87.11</v>
      </c>
      <c r="W1428" s="10">
        <v>86.16</v>
      </c>
      <c r="X1428" s="10">
        <v>85.3</v>
      </c>
      <c r="Y1428" s="10">
        <v>84.51</v>
      </c>
      <c r="Z1428" s="11">
        <v>104.31100000000001</v>
      </c>
      <c r="AA1428" s="11">
        <v>99.042000000000002</v>
      </c>
      <c r="AB1428" s="11">
        <v>95.39</v>
      </c>
      <c r="AC1428" s="11">
        <v>92.611000000000004</v>
      </c>
      <c r="AD1428" s="11">
        <v>90.335999999999999</v>
      </c>
      <c r="AE1428" s="11">
        <v>88.557000000000002</v>
      </c>
      <c r="AF1428" s="11">
        <v>87.179000000000002</v>
      </c>
      <c r="AG1428" s="11">
        <v>86.177999999999997</v>
      </c>
      <c r="AH1428" s="11">
        <v>85.346999999999994</v>
      </c>
      <c r="AI1428" s="11">
        <v>84.591999999999999</v>
      </c>
      <c r="AJ1428" s="11">
        <v>83.97</v>
      </c>
      <c r="AK1428" s="11">
        <v>83.381</v>
      </c>
      <c r="AL1428" s="11"/>
    </row>
    <row r="1429" spans="1:38" x14ac:dyDescent="0.3">
      <c r="A1429" s="9">
        <f>DATE(2022, 7, 11)</f>
        <v>44753</v>
      </c>
      <c r="B1429" s="10">
        <v>107.1</v>
      </c>
      <c r="C1429" s="10">
        <v>103.65</v>
      </c>
      <c r="D1429" s="10">
        <v>100.8</v>
      </c>
      <c r="E1429" s="10">
        <v>98.52</v>
      </c>
      <c r="F1429" s="10">
        <v>96.57</v>
      </c>
      <c r="G1429" s="10">
        <v>95.04</v>
      </c>
      <c r="H1429" s="10">
        <v>93.84</v>
      </c>
      <c r="I1429" s="10">
        <v>92.86</v>
      </c>
      <c r="J1429" s="10">
        <v>92.09</v>
      </c>
      <c r="K1429" s="10">
        <v>91.42</v>
      </c>
      <c r="L1429" s="10">
        <v>90.77</v>
      </c>
      <c r="M1429" s="10">
        <v>90.15</v>
      </c>
      <c r="N1429" s="10">
        <v>104.09</v>
      </c>
      <c r="O1429" s="10">
        <v>101.21</v>
      </c>
      <c r="P1429" s="10">
        <v>98.2</v>
      </c>
      <c r="Q1429" s="10">
        <v>95.58</v>
      </c>
      <c r="R1429" s="10">
        <v>93.41</v>
      </c>
      <c r="S1429" s="10">
        <v>91.58</v>
      </c>
      <c r="T1429" s="10">
        <v>90.05</v>
      </c>
      <c r="U1429" s="10">
        <v>88.79</v>
      </c>
      <c r="V1429" s="10">
        <v>87.74</v>
      </c>
      <c r="W1429" s="10">
        <v>86.84</v>
      </c>
      <c r="X1429" s="10">
        <v>86.07</v>
      </c>
      <c r="Y1429" s="10">
        <v>85.36</v>
      </c>
      <c r="Z1429" s="11">
        <v>104.37</v>
      </c>
      <c r="AA1429" s="11">
        <v>99.126000000000005</v>
      </c>
      <c r="AB1429" s="11">
        <v>95.486999999999995</v>
      </c>
      <c r="AC1429" s="11">
        <v>92.826999999999998</v>
      </c>
      <c r="AD1429" s="11">
        <v>90.66</v>
      </c>
      <c r="AE1429" s="11">
        <v>89.016000000000005</v>
      </c>
      <c r="AF1429" s="11">
        <v>87.793000000000006</v>
      </c>
      <c r="AG1429" s="11">
        <v>86.831999999999994</v>
      </c>
      <c r="AH1429" s="11">
        <v>86.081000000000003</v>
      </c>
      <c r="AI1429" s="11">
        <v>85.415999999999997</v>
      </c>
      <c r="AJ1429" s="11">
        <v>84.893000000000001</v>
      </c>
      <c r="AK1429" s="11">
        <v>84.403000000000006</v>
      </c>
      <c r="AL1429" s="11"/>
    </row>
    <row r="1430" spans="1:38" x14ac:dyDescent="0.3">
      <c r="A1430" s="9">
        <f>DATE(2022, 7, 12)</f>
        <v>44754</v>
      </c>
      <c r="B1430" s="10">
        <v>99.49</v>
      </c>
      <c r="C1430" s="10">
        <v>96.12</v>
      </c>
      <c r="D1430" s="10">
        <v>93.61</v>
      </c>
      <c r="E1430" s="10">
        <v>91.69</v>
      </c>
      <c r="F1430" s="10">
        <v>90.08</v>
      </c>
      <c r="G1430" s="10">
        <v>88.87</v>
      </c>
      <c r="H1430" s="10">
        <v>87.95</v>
      </c>
      <c r="I1430" s="10">
        <v>87.2</v>
      </c>
      <c r="J1430" s="10">
        <v>86.59</v>
      </c>
      <c r="K1430" s="10">
        <v>86.04</v>
      </c>
      <c r="L1430" s="10">
        <v>85.54</v>
      </c>
      <c r="M1430" s="10">
        <v>85.06</v>
      </c>
      <c r="N1430" s="10">
        <v>95.84</v>
      </c>
      <c r="O1430" s="10">
        <v>93.31</v>
      </c>
      <c r="P1430" s="10">
        <v>90.7</v>
      </c>
      <c r="Q1430" s="10">
        <v>88.48</v>
      </c>
      <c r="R1430" s="10">
        <v>86.65</v>
      </c>
      <c r="S1430" s="10">
        <v>85.13</v>
      </c>
      <c r="T1430" s="10">
        <v>83.89</v>
      </c>
      <c r="U1430" s="10">
        <v>82.89</v>
      </c>
      <c r="V1430" s="10">
        <v>82.06</v>
      </c>
      <c r="W1430" s="10">
        <v>81.349999999999994</v>
      </c>
      <c r="X1430" s="10">
        <v>80.73</v>
      </c>
      <c r="Y1430" s="10">
        <v>80.16</v>
      </c>
      <c r="Z1430" s="11">
        <v>99.864999999999995</v>
      </c>
      <c r="AA1430" s="11">
        <v>91.850999999999999</v>
      </c>
      <c r="AB1430" s="11">
        <v>88.613</v>
      </c>
      <c r="AC1430" s="11">
        <v>86.283000000000001</v>
      </c>
      <c r="AD1430" s="11">
        <v>84.465000000000003</v>
      </c>
      <c r="AE1430" s="11">
        <v>83.111999999999995</v>
      </c>
      <c r="AF1430" s="11">
        <v>82.093999999999994</v>
      </c>
      <c r="AG1430" s="11">
        <v>81.42</v>
      </c>
      <c r="AH1430" s="11">
        <v>80.885999999999996</v>
      </c>
      <c r="AI1430" s="11">
        <v>80.364000000000004</v>
      </c>
      <c r="AJ1430" s="11">
        <v>79.938999999999993</v>
      </c>
      <c r="AK1430" s="11">
        <v>79.549000000000007</v>
      </c>
      <c r="AL1430" s="11"/>
    </row>
    <row r="1431" spans="1:38" x14ac:dyDescent="0.3">
      <c r="A1431" s="9">
        <f>DATE(2022, 7, 13)</f>
        <v>44755</v>
      </c>
      <c r="B1431" s="10">
        <v>99.57</v>
      </c>
      <c r="C1431" s="10">
        <v>96.29</v>
      </c>
      <c r="D1431" s="10">
        <v>93.97</v>
      </c>
      <c r="E1431" s="10">
        <v>92.18</v>
      </c>
      <c r="F1431" s="10">
        <v>90.65</v>
      </c>
      <c r="G1431" s="10">
        <v>89.46</v>
      </c>
      <c r="H1431" s="10">
        <v>88.57</v>
      </c>
      <c r="I1431" s="10">
        <v>87.82</v>
      </c>
      <c r="J1431" s="10">
        <v>87.22</v>
      </c>
      <c r="K1431" s="10">
        <v>86.67</v>
      </c>
      <c r="L1431" s="10">
        <v>86.16</v>
      </c>
      <c r="M1431" s="10">
        <v>85.67</v>
      </c>
      <c r="N1431" s="10">
        <v>96.3</v>
      </c>
      <c r="O1431" s="10">
        <v>93.83</v>
      </c>
      <c r="P1431" s="10">
        <v>91.36</v>
      </c>
      <c r="Q1431" s="10">
        <v>89.27</v>
      </c>
      <c r="R1431" s="10">
        <v>87.54</v>
      </c>
      <c r="S1431" s="10">
        <v>86.1</v>
      </c>
      <c r="T1431" s="10">
        <v>84.9</v>
      </c>
      <c r="U1431" s="10">
        <v>83.9</v>
      </c>
      <c r="V1431" s="10">
        <v>83.06</v>
      </c>
      <c r="W1431" s="10">
        <v>82.34</v>
      </c>
      <c r="X1431" s="10">
        <v>81.680000000000007</v>
      </c>
      <c r="Y1431" s="10">
        <v>81.08</v>
      </c>
      <c r="Z1431" s="11">
        <v>99.947999999999993</v>
      </c>
      <c r="AA1431" s="11">
        <v>92.198999999999998</v>
      </c>
      <c r="AB1431" s="11">
        <v>89.209000000000003</v>
      </c>
      <c r="AC1431" s="11">
        <v>86.927000000000007</v>
      </c>
      <c r="AD1431" s="11">
        <v>85.126000000000005</v>
      </c>
      <c r="AE1431" s="11">
        <v>83.775000000000006</v>
      </c>
      <c r="AF1431" s="11">
        <v>82.774000000000001</v>
      </c>
      <c r="AG1431" s="11">
        <v>82.08</v>
      </c>
      <c r="AH1431" s="11">
        <v>81.546000000000006</v>
      </c>
      <c r="AI1431" s="11">
        <v>81.033000000000001</v>
      </c>
      <c r="AJ1431" s="11">
        <v>80.569000000000003</v>
      </c>
      <c r="AK1431" s="11">
        <v>80.138999999999996</v>
      </c>
      <c r="AL1431" s="11"/>
    </row>
    <row r="1432" spans="1:38" x14ac:dyDescent="0.3">
      <c r="A1432" s="9">
        <f>DATE(2022, 7, 14)</f>
        <v>44756</v>
      </c>
      <c r="B1432" s="10">
        <v>99.1</v>
      </c>
      <c r="C1432" s="10">
        <v>95.31</v>
      </c>
      <c r="D1432" s="10">
        <v>92.82</v>
      </c>
      <c r="E1432" s="10">
        <v>90.93</v>
      </c>
      <c r="F1432" s="10">
        <v>89.36</v>
      </c>
      <c r="G1432" s="10">
        <v>88.15</v>
      </c>
      <c r="H1432" s="10">
        <v>87.23</v>
      </c>
      <c r="I1432" s="10">
        <v>86.46</v>
      </c>
      <c r="J1432" s="10">
        <v>85.83</v>
      </c>
      <c r="K1432" s="10">
        <v>85.24</v>
      </c>
      <c r="L1432" s="10">
        <v>84.7</v>
      </c>
      <c r="M1432" s="10">
        <v>84.19</v>
      </c>
      <c r="N1432" s="10">
        <v>95.78</v>
      </c>
      <c r="O1432" s="10">
        <v>92.83</v>
      </c>
      <c r="P1432" s="10">
        <v>90.15</v>
      </c>
      <c r="Q1432" s="10">
        <v>87.96</v>
      </c>
      <c r="R1432" s="10">
        <v>86.17</v>
      </c>
      <c r="S1432" s="10">
        <v>84.67</v>
      </c>
      <c r="T1432" s="10">
        <v>83.43</v>
      </c>
      <c r="U1432" s="10">
        <v>82.41</v>
      </c>
      <c r="V1432" s="10">
        <v>81.540000000000006</v>
      </c>
      <c r="W1432" s="10">
        <v>80.78</v>
      </c>
      <c r="X1432" s="10">
        <v>80.11</v>
      </c>
      <c r="Y1432" s="10">
        <v>79.489999999999995</v>
      </c>
      <c r="Z1432" s="11">
        <v>99.843999999999994</v>
      </c>
      <c r="AA1432" s="11">
        <v>91.781999999999996</v>
      </c>
      <c r="AB1432" s="11">
        <v>88.397000000000006</v>
      </c>
      <c r="AC1432" s="11">
        <v>85.935000000000002</v>
      </c>
      <c r="AD1432" s="11">
        <v>84.015000000000001</v>
      </c>
      <c r="AE1432" s="11">
        <v>82.572000000000003</v>
      </c>
      <c r="AF1432" s="11">
        <v>81.522999999999996</v>
      </c>
      <c r="AG1432" s="11">
        <v>80.778999999999996</v>
      </c>
      <c r="AH1432" s="11">
        <v>80.213999999999999</v>
      </c>
      <c r="AI1432" s="11">
        <v>79.658000000000001</v>
      </c>
      <c r="AJ1432" s="11">
        <v>79.174000000000007</v>
      </c>
      <c r="AK1432" s="11">
        <v>78.733999999999995</v>
      </c>
      <c r="AL1432" s="11"/>
    </row>
    <row r="1433" spans="1:38" x14ac:dyDescent="0.3">
      <c r="A1433" s="9">
        <f>DATE(2022, 7, 15)</f>
        <v>44757</v>
      </c>
      <c r="B1433" s="10">
        <v>101.16</v>
      </c>
      <c r="C1433" s="10">
        <v>97.15</v>
      </c>
      <c r="D1433" s="10">
        <v>94.54</v>
      </c>
      <c r="E1433" s="10">
        <v>92.51</v>
      </c>
      <c r="F1433" s="10">
        <v>90.83</v>
      </c>
      <c r="G1433" s="10">
        <v>89.54</v>
      </c>
      <c r="H1433" s="10">
        <v>88.53</v>
      </c>
      <c r="I1433" s="10">
        <v>87.7</v>
      </c>
      <c r="J1433" s="10">
        <v>87.03</v>
      </c>
      <c r="K1433" s="10">
        <v>86.4</v>
      </c>
      <c r="L1433" s="10">
        <v>85.85</v>
      </c>
      <c r="M1433" s="10">
        <v>85.34</v>
      </c>
      <c r="N1433" s="10">
        <v>97.59</v>
      </c>
      <c r="O1433" s="10">
        <v>94.57</v>
      </c>
      <c r="P1433" s="10">
        <v>91.74</v>
      </c>
      <c r="Q1433" s="10">
        <v>89.37</v>
      </c>
      <c r="R1433" s="10">
        <v>87.43</v>
      </c>
      <c r="S1433" s="10">
        <v>85.82</v>
      </c>
      <c r="T1433" s="10">
        <v>84.51</v>
      </c>
      <c r="U1433" s="10">
        <v>83.43</v>
      </c>
      <c r="V1433" s="10">
        <v>82.52</v>
      </c>
      <c r="W1433" s="10">
        <v>81.739999999999995</v>
      </c>
      <c r="X1433" s="10">
        <v>81.069999999999993</v>
      </c>
      <c r="Y1433" s="10">
        <v>80.459999999999994</v>
      </c>
      <c r="Z1433" s="11">
        <v>101.093</v>
      </c>
      <c r="AA1433" s="11">
        <v>94.167000000000002</v>
      </c>
      <c r="AB1433" s="11">
        <v>90.558000000000007</v>
      </c>
      <c r="AC1433" s="11">
        <v>87.74</v>
      </c>
      <c r="AD1433" s="11">
        <v>85.680999999999997</v>
      </c>
      <c r="AE1433" s="11">
        <v>84.103999999999999</v>
      </c>
      <c r="AF1433" s="11">
        <v>82.99</v>
      </c>
      <c r="AG1433" s="11">
        <v>82.247</v>
      </c>
      <c r="AH1433" s="11">
        <v>81.643000000000001</v>
      </c>
      <c r="AI1433" s="11">
        <v>81.061000000000007</v>
      </c>
      <c r="AJ1433" s="11">
        <v>80.537999999999997</v>
      </c>
      <c r="AK1433" s="11">
        <v>80.037999999999997</v>
      </c>
      <c r="AL1433" s="11"/>
    </row>
    <row r="1434" spans="1:38" x14ac:dyDescent="0.3">
      <c r="A1434" s="9">
        <f>DATE(2022, 7, 18)</f>
        <v>44760</v>
      </c>
      <c r="B1434" s="10">
        <v>106.27</v>
      </c>
      <c r="C1434" s="10">
        <v>101.86</v>
      </c>
      <c r="D1434" s="10">
        <v>98.95</v>
      </c>
      <c r="E1434" s="10">
        <v>96.7</v>
      </c>
      <c r="F1434" s="10">
        <v>94.86</v>
      </c>
      <c r="G1434" s="10">
        <v>93.46</v>
      </c>
      <c r="H1434" s="10">
        <v>92.36</v>
      </c>
      <c r="I1434" s="10">
        <v>91.44</v>
      </c>
      <c r="J1434" s="10">
        <v>90.67</v>
      </c>
      <c r="K1434" s="10">
        <v>89.96</v>
      </c>
      <c r="L1434" s="10">
        <v>89.35</v>
      </c>
      <c r="M1434" s="10">
        <v>88.79</v>
      </c>
      <c r="N1434" s="10">
        <v>102.6</v>
      </c>
      <c r="O1434" s="10">
        <v>99.42</v>
      </c>
      <c r="P1434" s="10">
        <v>96.36</v>
      </c>
      <c r="Q1434" s="10">
        <v>93.79</v>
      </c>
      <c r="R1434" s="10">
        <v>91.62</v>
      </c>
      <c r="S1434" s="10">
        <v>89.81</v>
      </c>
      <c r="T1434" s="10">
        <v>88.35</v>
      </c>
      <c r="U1434" s="10">
        <v>87.15</v>
      </c>
      <c r="V1434" s="10">
        <v>86.15</v>
      </c>
      <c r="W1434" s="10">
        <v>85.32</v>
      </c>
      <c r="X1434" s="10">
        <v>84.58</v>
      </c>
      <c r="Y1434" s="10">
        <v>83.91</v>
      </c>
      <c r="Z1434" s="11">
        <v>103.587</v>
      </c>
      <c r="AA1434" s="11">
        <v>99.034000000000006</v>
      </c>
      <c r="AB1434" s="11">
        <v>95.034999999999997</v>
      </c>
      <c r="AC1434" s="11">
        <v>92.021000000000001</v>
      </c>
      <c r="AD1434" s="11">
        <v>89.775000000000006</v>
      </c>
      <c r="AE1434" s="11">
        <v>88.055000000000007</v>
      </c>
      <c r="AF1434" s="11">
        <v>86.885999999999996</v>
      </c>
      <c r="AG1434" s="11">
        <v>86.072000000000003</v>
      </c>
      <c r="AH1434" s="11">
        <v>85.358999999999995</v>
      </c>
      <c r="AI1434" s="11">
        <v>84.677999999999997</v>
      </c>
      <c r="AJ1434" s="11">
        <v>84.096000000000004</v>
      </c>
      <c r="AK1434" s="11">
        <v>83.555000000000007</v>
      </c>
      <c r="AL1434" s="11"/>
    </row>
    <row r="1435" spans="1:38" x14ac:dyDescent="0.3">
      <c r="A1435" s="9">
        <f>DATE(2022, 7, 19)</f>
        <v>44761</v>
      </c>
      <c r="B1435" s="10">
        <v>107.35</v>
      </c>
      <c r="C1435" s="10">
        <v>102.88</v>
      </c>
      <c r="D1435" s="10">
        <v>99.84</v>
      </c>
      <c r="E1435" s="10">
        <v>97.48</v>
      </c>
      <c r="F1435" s="10">
        <v>95.55</v>
      </c>
      <c r="G1435" s="10">
        <v>94.07</v>
      </c>
      <c r="H1435" s="10">
        <v>92.93</v>
      </c>
      <c r="I1435" s="10">
        <v>91.98</v>
      </c>
      <c r="J1435" s="10">
        <v>91.19</v>
      </c>
      <c r="K1435" s="10">
        <v>90.47</v>
      </c>
      <c r="L1435" s="10">
        <v>89.82</v>
      </c>
      <c r="M1435" s="10">
        <v>89.23</v>
      </c>
      <c r="N1435" s="10">
        <v>104.22</v>
      </c>
      <c r="O1435" s="10">
        <v>100.74</v>
      </c>
      <c r="P1435" s="10">
        <v>97.45</v>
      </c>
      <c r="Q1435" s="10">
        <v>94.71</v>
      </c>
      <c r="R1435" s="10">
        <v>92.43</v>
      </c>
      <c r="S1435" s="10">
        <v>90.54</v>
      </c>
      <c r="T1435" s="10">
        <v>89.01</v>
      </c>
      <c r="U1435" s="10">
        <v>87.77</v>
      </c>
      <c r="V1435" s="10">
        <v>86.73</v>
      </c>
      <c r="W1435" s="10">
        <v>85.87</v>
      </c>
      <c r="X1435" s="10">
        <v>85.13</v>
      </c>
      <c r="Y1435" s="10">
        <v>84.44</v>
      </c>
      <c r="Z1435" s="11">
        <v>103.914</v>
      </c>
      <c r="AA1435" s="11">
        <v>99.847999999999999</v>
      </c>
      <c r="AB1435" s="11">
        <v>95.983000000000004</v>
      </c>
      <c r="AC1435" s="11">
        <v>92.908000000000001</v>
      </c>
      <c r="AD1435" s="11">
        <v>90.613</v>
      </c>
      <c r="AE1435" s="11">
        <v>88.840999999999994</v>
      </c>
      <c r="AF1435" s="11">
        <v>87.545000000000002</v>
      </c>
      <c r="AG1435" s="11">
        <v>86.620999999999995</v>
      </c>
      <c r="AH1435" s="11">
        <v>85.929000000000002</v>
      </c>
      <c r="AI1435" s="11">
        <v>85.275999999999996</v>
      </c>
      <c r="AJ1435" s="11">
        <v>84.664000000000001</v>
      </c>
      <c r="AK1435" s="11">
        <v>84.114000000000004</v>
      </c>
      <c r="AL1435" s="11"/>
    </row>
    <row r="1436" spans="1:38" x14ac:dyDescent="0.3">
      <c r="A1436" s="9">
        <f>DATE(2022, 7, 20)</f>
        <v>44762</v>
      </c>
      <c r="B1436" s="10">
        <v>106.92</v>
      </c>
      <c r="C1436" s="10">
        <v>102.37</v>
      </c>
      <c r="D1436" s="10">
        <v>99.51</v>
      </c>
      <c r="E1436" s="10">
        <v>97.36</v>
      </c>
      <c r="F1436" s="10">
        <v>95.58</v>
      </c>
      <c r="G1436" s="10">
        <v>94.19</v>
      </c>
      <c r="H1436" s="10">
        <v>93.09</v>
      </c>
      <c r="I1436" s="10">
        <v>92.15</v>
      </c>
      <c r="J1436" s="10">
        <v>91.36</v>
      </c>
      <c r="K1436" s="10">
        <v>90.62</v>
      </c>
      <c r="L1436" s="10">
        <v>89.96</v>
      </c>
      <c r="M1436" s="10">
        <v>89.34</v>
      </c>
      <c r="N1436" s="10">
        <v>102.26</v>
      </c>
      <c r="O1436" s="10">
        <v>99.88</v>
      </c>
      <c r="P1436" s="10">
        <v>96.88</v>
      </c>
      <c r="Q1436" s="10">
        <v>94.45</v>
      </c>
      <c r="R1436" s="10">
        <v>92.42</v>
      </c>
      <c r="S1436" s="10">
        <v>90.72</v>
      </c>
      <c r="T1436" s="10">
        <v>89.3</v>
      </c>
      <c r="U1436" s="10">
        <v>88.1</v>
      </c>
      <c r="V1436" s="10">
        <v>87.08</v>
      </c>
      <c r="W1436" s="10">
        <v>86.21</v>
      </c>
      <c r="X1436" s="10">
        <v>85.42</v>
      </c>
      <c r="Y1436" s="10">
        <v>84.69</v>
      </c>
      <c r="Z1436" s="11">
        <v>103.61799999999999</v>
      </c>
      <c r="AA1436" s="11">
        <v>99.165999999999997</v>
      </c>
      <c r="AB1436" s="11">
        <v>95.481999999999999</v>
      </c>
      <c r="AC1436" s="11">
        <v>92.625</v>
      </c>
      <c r="AD1436" s="11">
        <v>90.477000000000004</v>
      </c>
      <c r="AE1436" s="11">
        <v>88.805000000000007</v>
      </c>
      <c r="AF1436" s="11">
        <v>87.584999999999994</v>
      </c>
      <c r="AG1436" s="11">
        <v>86.661000000000001</v>
      </c>
      <c r="AH1436" s="11">
        <v>85.968000000000004</v>
      </c>
      <c r="AI1436" s="11">
        <v>85.259</v>
      </c>
      <c r="AJ1436" s="11">
        <v>84.637</v>
      </c>
      <c r="AK1436" s="11">
        <v>84.063000000000002</v>
      </c>
      <c r="AL1436" s="11"/>
    </row>
    <row r="1437" spans="1:38" x14ac:dyDescent="0.3">
      <c r="A1437" s="9">
        <f>DATE(2022, 7, 21)</f>
        <v>44763</v>
      </c>
      <c r="B1437" s="10">
        <v>103.86</v>
      </c>
      <c r="C1437" s="10">
        <v>99.48</v>
      </c>
      <c r="D1437" s="10">
        <v>96.97</v>
      </c>
      <c r="E1437" s="10">
        <v>95.05</v>
      </c>
      <c r="F1437" s="10">
        <v>93.47</v>
      </c>
      <c r="G1437" s="10">
        <v>92.24</v>
      </c>
      <c r="H1437" s="10">
        <v>91.26</v>
      </c>
      <c r="I1437" s="10">
        <v>90.41</v>
      </c>
      <c r="J1437" s="10">
        <v>89.68</v>
      </c>
      <c r="K1437" s="10">
        <v>88.97</v>
      </c>
      <c r="L1437" s="10">
        <v>88.35</v>
      </c>
      <c r="M1437" s="10">
        <v>87.76</v>
      </c>
      <c r="N1437" s="10">
        <v>96.35</v>
      </c>
      <c r="O1437" s="10">
        <v>93.78</v>
      </c>
      <c r="P1437" s="10">
        <v>91.72</v>
      </c>
      <c r="Q1437" s="10">
        <v>89.95</v>
      </c>
      <c r="R1437" s="10">
        <v>88.45</v>
      </c>
      <c r="S1437" s="10">
        <v>87.19</v>
      </c>
      <c r="T1437" s="10">
        <v>86.12</v>
      </c>
      <c r="U1437" s="10">
        <v>85.21</v>
      </c>
      <c r="V1437" s="10">
        <v>84.4</v>
      </c>
      <c r="W1437" s="10">
        <v>83.68</v>
      </c>
      <c r="X1437" s="10">
        <v>83</v>
      </c>
      <c r="Y1437" s="10">
        <v>82.37</v>
      </c>
      <c r="Z1437" s="11">
        <v>102.62</v>
      </c>
      <c r="AA1437" s="11">
        <v>96.911000000000001</v>
      </c>
      <c r="AB1437" s="11">
        <v>93.313000000000002</v>
      </c>
      <c r="AC1437" s="11">
        <v>90.55</v>
      </c>
      <c r="AD1437" s="11">
        <v>88.524000000000001</v>
      </c>
      <c r="AE1437" s="11">
        <v>87.006</v>
      </c>
      <c r="AF1437" s="11">
        <v>85.94</v>
      </c>
      <c r="AG1437" s="11">
        <v>85.063999999999993</v>
      </c>
      <c r="AH1437" s="11">
        <v>84.418999999999997</v>
      </c>
      <c r="AI1437" s="11">
        <v>83.712000000000003</v>
      </c>
      <c r="AJ1437" s="11">
        <v>83.168999999999997</v>
      </c>
      <c r="AK1437" s="11">
        <v>82.638999999999996</v>
      </c>
      <c r="AL1437" s="11"/>
    </row>
    <row r="1438" spans="1:38" x14ac:dyDescent="0.3">
      <c r="A1438" s="9">
        <f>DATE(2022, 7, 22)</f>
        <v>44764</v>
      </c>
      <c r="B1438" s="10">
        <v>103.2</v>
      </c>
      <c r="C1438" s="10">
        <v>98.38</v>
      </c>
      <c r="D1438" s="10">
        <v>95.93</v>
      </c>
      <c r="E1438" s="10">
        <v>94.04</v>
      </c>
      <c r="F1438" s="10">
        <v>92.48</v>
      </c>
      <c r="G1438" s="10">
        <v>91.26</v>
      </c>
      <c r="H1438" s="10">
        <v>90.3</v>
      </c>
      <c r="I1438" s="10">
        <v>89.46</v>
      </c>
      <c r="J1438" s="10">
        <v>88.74</v>
      </c>
      <c r="K1438" s="10">
        <v>88.05</v>
      </c>
      <c r="L1438" s="10">
        <v>87.45</v>
      </c>
      <c r="M1438" s="10">
        <v>86.88</v>
      </c>
      <c r="N1438" s="10">
        <v>94.7</v>
      </c>
      <c r="O1438" s="10">
        <v>92.43</v>
      </c>
      <c r="P1438" s="10">
        <v>90.6</v>
      </c>
      <c r="Q1438" s="10">
        <v>88.93</v>
      </c>
      <c r="R1438" s="10">
        <v>87.49</v>
      </c>
      <c r="S1438" s="10">
        <v>86.25</v>
      </c>
      <c r="T1438" s="10">
        <v>85.19</v>
      </c>
      <c r="U1438" s="10">
        <v>84.27</v>
      </c>
      <c r="V1438" s="10">
        <v>83.45</v>
      </c>
      <c r="W1438" s="10">
        <v>82.74</v>
      </c>
      <c r="X1438" s="10">
        <v>82.07</v>
      </c>
      <c r="Y1438" s="10">
        <v>81.42</v>
      </c>
      <c r="Z1438" s="11">
        <v>102.494</v>
      </c>
      <c r="AA1438" s="11">
        <v>96.283000000000001</v>
      </c>
      <c r="AB1438" s="11">
        <v>92.573999999999998</v>
      </c>
      <c r="AC1438" s="11">
        <v>89.866</v>
      </c>
      <c r="AD1438" s="11">
        <v>87.864999999999995</v>
      </c>
      <c r="AE1438" s="11">
        <v>86.338999999999999</v>
      </c>
      <c r="AF1438" s="11">
        <v>85.27</v>
      </c>
      <c r="AG1438" s="11">
        <v>84.384</v>
      </c>
      <c r="AH1438" s="11">
        <v>83.78</v>
      </c>
      <c r="AI1438" s="11">
        <v>83.128</v>
      </c>
      <c r="AJ1438" s="11">
        <v>82.534999999999997</v>
      </c>
      <c r="AK1438" s="11">
        <v>81.974999999999994</v>
      </c>
      <c r="AL1438" s="11"/>
    </row>
    <row r="1439" spans="1:38" x14ac:dyDescent="0.3">
      <c r="A1439" s="9">
        <f>DATE(2022, 7, 25)</f>
        <v>44767</v>
      </c>
      <c r="B1439" s="10">
        <v>105.15</v>
      </c>
      <c r="C1439" s="10">
        <v>100.19</v>
      </c>
      <c r="D1439" s="10">
        <v>97.8</v>
      </c>
      <c r="E1439" s="10">
        <v>95.92</v>
      </c>
      <c r="F1439" s="10">
        <v>94.37</v>
      </c>
      <c r="G1439" s="10">
        <v>93.18</v>
      </c>
      <c r="H1439" s="10">
        <v>92.24</v>
      </c>
      <c r="I1439" s="10">
        <v>91.4</v>
      </c>
      <c r="J1439" s="10">
        <v>90.66</v>
      </c>
      <c r="K1439" s="10">
        <v>89.96</v>
      </c>
      <c r="L1439" s="10">
        <v>89.33</v>
      </c>
      <c r="M1439" s="10">
        <v>88.74</v>
      </c>
      <c r="N1439" s="10">
        <v>96.7</v>
      </c>
      <c r="O1439" s="10">
        <v>94.42</v>
      </c>
      <c r="P1439" s="10">
        <v>92.58</v>
      </c>
      <c r="Q1439" s="10">
        <v>90.89</v>
      </c>
      <c r="R1439" s="10">
        <v>89.43</v>
      </c>
      <c r="S1439" s="10">
        <v>88.19</v>
      </c>
      <c r="T1439" s="10">
        <v>87.14</v>
      </c>
      <c r="U1439" s="10">
        <v>86.21</v>
      </c>
      <c r="V1439" s="10">
        <v>85.39</v>
      </c>
      <c r="W1439" s="10">
        <v>84.66</v>
      </c>
      <c r="X1439" s="10">
        <v>83.96</v>
      </c>
      <c r="Y1439" s="10">
        <v>83.31</v>
      </c>
      <c r="Z1439" s="11">
        <v>102.883</v>
      </c>
      <c r="AA1439" s="11">
        <v>98.036000000000001</v>
      </c>
      <c r="AB1439" s="11">
        <v>94.405000000000001</v>
      </c>
      <c r="AC1439" s="11">
        <v>91.736000000000004</v>
      </c>
      <c r="AD1439" s="11">
        <v>89.775999999999996</v>
      </c>
      <c r="AE1439" s="11">
        <v>88.31</v>
      </c>
      <c r="AF1439" s="11">
        <v>87.26</v>
      </c>
      <c r="AG1439" s="11">
        <v>86.382999999999996</v>
      </c>
      <c r="AH1439" s="11">
        <v>85.68</v>
      </c>
      <c r="AI1439" s="11">
        <v>85.016999999999996</v>
      </c>
      <c r="AJ1439" s="11">
        <v>84.444000000000003</v>
      </c>
      <c r="AK1439" s="11">
        <v>83.924999999999997</v>
      </c>
      <c r="AL1439" s="11"/>
    </row>
    <row r="1440" spans="1:38" x14ac:dyDescent="0.3">
      <c r="A1440" s="9">
        <f>DATE(2022, 7, 26)</f>
        <v>44768</v>
      </c>
      <c r="B1440" s="10">
        <v>104.4</v>
      </c>
      <c r="C1440" s="10">
        <v>99.46</v>
      </c>
      <c r="D1440" s="10">
        <v>97.14</v>
      </c>
      <c r="E1440" s="10">
        <v>95.34</v>
      </c>
      <c r="F1440" s="10">
        <v>93.84</v>
      </c>
      <c r="G1440" s="10">
        <v>92.7</v>
      </c>
      <c r="H1440" s="10">
        <v>91.81</v>
      </c>
      <c r="I1440" s="10">
        <v>91.04</v>
      </c>
      <c r="J1440" s="10">
        <v>90.34</v>
      </c>
      <c r="K1440" s="10">
        <v>89.67</v>
      </c>
      <c r="L1440" s="10">
        <v>89.09</v>
      </c>
      <c r="M1440" s="10">
        <v>88.53</v>
      </c>
      <c r="N1440" s="10">
        <v>94.98</v>
      </c>
      <c r="O1440" s="10">
        <v>92.88</v>
      </c>
      <c r="P1440" s="10">
        <v>91.32</v>
      </c>
      <c r="Q1440" s="10">
        <v>89.84</v>
      </c>
      <c r="R1440" s="10">
        <v>88.52</v>
      </c>
      <c r="S1440" s="10">
        <v>87.41</v>
      </c>
      <c r="T1440" s="10">
        <v>86.44</v>
      </c>
      <c r="U1440" s="10">
        <v>85.6</v>
      </c>
      <c r="V1440" s="10">
        <v>84.85</v>
      </c>
      <c r="W1440" s="10">
        <v>84.15</v>
      </c>
      <c r="X1440" s="10">
        <v>83.49</v>
      </c>
      <c r="Y1440" s="10">
        <v>82.87</v>
      </c>
      <c r="Z1440" s="11">
        <v>102.83799999999999</v>
      </c>
      <c r="AA1440" s="11">
        <v>97.245999999999995</v>
      </c>
      <c r="AB1440" s="11">
        <v>93.647999999999996</v>
      </c>
      <c r="AC1440" s="11">
        <v>91.078000000000003</v>
      </c>
      <c r="AD1440" s="11">
        <v>89.218000000000004</v>
      </c>
      <c r="AE1440" s="11">
        <v>87.864999999999995</v>
      </c>
      <c r="AF1440" s="11">
        <v>86.923000000000002</v>
      </c>
      <c r="AG1440" s="11">
        <v>86.155000000000001</v>
      </c>
      <c r="AH1440" s="11">
        <v>85.480999999999995</v>
      </c>
      <c r="AI1440" s="11">
        <v>84.828999999999994</v>
      </c>
      <c r="AJ1440" s="11">
        <v>84.316000000000003</v>
      </c>
      <c r="AK1440" s="11">
        <v>83.835999999999999</v>
      </c>
      <c r="AL1440" s="11"/>
    </row>
    <row r="1441" spans="1:38" x14ac:dyDescent="0.3">
      <c r="A1441" s="9">
        <f>DATE(2022, 7, 27)</f>
        <v>44769</v>
      </c>
      <c r="B1441" s="10">
        <v>106.62</v>
      </c>
      <c r="C1441" s="10">
        <v>101.67</v>
      </c>
      <c r="D1441" s="10">
        <v>99.44</v>
      </c>
      <c r="E1441" s="10">
        <v>97.75</v>
      </c>
      <c r="F1441" s="10">
        <v>96.28</v>
      </c>
      <c r="G1441" s="10">
        <v>95.12</v>
      </c>
      <c r="H1441" s="10">
        <v>94.2</v>
      </c>
      <c r="I1441" s="10">
        <v>93.39</v>
      </c>
      <c r="J1441" s="10">
        <v>92.66</v>
      </c>
      <c r="K1441" s="10">
        <v>91.95</v>
      </c>
      <c r="L1441" s="10">
        <v>91.33</v>
      </c>
      <c r="M1441" s="10">
        <v>90.72</v>
      </c>
      <c r="N1441" s="10">
        <v>97.26</v>
      </c>
      <c r="O1441" s="10">
        <v>95.29</v>
      </c>
      <c r="P1441" s="10">
        <v>93.79</v>
      </c>
      <c r="Q1441" s="10">
        <v>92.34</v>
      </c>
      <c r="R1441" s="10">
        <v>91.02</v>
      </c>
      <c r="S1441" s="10">
        <v>89.86</v>
      </c>
      <c r="T1441" s="10">
        <v>88.86</v>
      </c>
      <c r="U1441" s="10">
        <v>87.98</v>
      </c>
      <c r="V1441" s="10">
        <v>87.19</v>
      </c>
      <c r="W1441" s="10">
        <v>86.46</v>
      </c>
      <c r="X1441" s="10">
        <v>85.78</v>
      </c>
      <c r="Y1441" s="10">
        <v>85.13</v>
      </c>
      <c r="Z1441" s="11">
        <v>103</v>
      </c>
      <c r="AA1441" s="11">
        <v>99.483999999999995</v>
      </c>
      <c r="AB1441" s="11">
        <v>96.093000000000004</v>
      </c>
      <c r="AC1441" s="11">
        <v>93.631</v>
      </c>
      <c r="AD1441" s="11">
        <v>91.757000000000005</v>
      </c>
      <c r="AE1441" s="11">
        <v>90.361999999999995</v>
      </c>
      <c r="AF1441" s="11">
        <v>89.421000000000006</v>
      </c>
      <c r="AG1441" s="11">
        <v>88.623999999999995</v>
      </c>
      <c r="AH1441" s="11">
        <v>87.948999999999998</v>
      </c>
      <c r="AI1441" s="11">
        <v>87.296999999999997</v>
      </c>
      <c r="AJ1441" s="11">
        <v>86.733000000000004</v>
      </c>
      <c r="AK1441" s="11">
        <v>86.224000000000004</v>
      </c>
      <c r="AL1441" s="11"/>
    </row>
    <row r="1442" spans="1:38" x14ac:dyDescent="0.3">
      <c r="A1442" s="9">
        <f>DATE(2022, 7, 28)</f>
        <v>44770</v>
      </c>
      <c r="B1442" s="10">
        <v>107.14</v>
      </c>
      <c r="C1442" s="10">
        <v>101.83</v>
      </c>
      <c r="D1442" s="10">
        <v>99.49</v>
      </c>
      <c r="E1442" s="10">
        <v>97.74</v>
      </c>
      <c r="F1442" s="10">
        <v>96.19</v>
      </c>
      <c r="G1442" s="10">
        <v>94.95</v>
      </c>
      <c r="H1442" s="10">
        <v>93.97</v>
      </c>
      <c r="I1442" s="10">
        <v>93.11</v>
      </c>
      <c r="J1442" s="10">
        <v>92.34</v>
      </c>
      <c r="K1442" s="10">
        <v>91.59</v>
      </c>
      <c r="L1442" s="10">
        <v>90.93</v>
      </c>
      <c r="M1442" s="10">
        <v>90.29</v>
      </c>
      <c r="N1442" s="10">
        <v>96.42</v>
      </c>
      <c r="O1442" s="10">
        <v>94.65</v>
      </c>
      <c r="P1442" s="10">
        <v>93.28</v>
      </c>
      <c r="Q1442" s="10">
        <v>91.91</v>
      </c>
      <c r="R1442" s="10">
        <v>90.59</v>
      </c>
      <c r="S1442" s="10">
        <v>89.4</v>
      </c>
      <c r="T1442" s="10">
        <v>88.38</v>
      </c>
      <c r="U1442" s="10">
        <v>87.47</v>
      </c>
      <c r="V1442" s="10">
        <v>86.66</v>
      </c>
      <c r="W1442" s="10">
        <v>85.88</v>
      </c>
      <c r="X1442" s="10">
        <v>85.16</v>
      </c>
      <c r="Y1442" s="10">
        <v>84.48</v>
      </c>
      <c r="Z1442" s="11">
        <v>103.005</v>
      </c>
      <c r="AA1442" s="11">
        <v>99.477999999999994</v>
      </c>
      <c r="AB1442" s="11">
        <v>96.277000000000001</v>
      </c>
      <c r="AC1442" s="11">
        <v>93.906000000000006</v>
      </c>
      <c r="AD1442" s="11">
        <v>91.994</v>
      </c>
      <c r="AE1442" s="11">
        <v>90.516999999999996</v>
      </c>
      <c r="AF1442" s="11">
        <v>89.438999999999993</v>
      </c>
      <c r="AG1442" s="11">
        <v>88.561999999999998</v>
      </c>
      <c r="AH1442" s="11">
        <v>87.887</v>
      </c>
      <c r="AI1442" s="11">
        <v>87.185000000000002</v>
      </c>
      <c r="AJ1442" s="11">
        <v>86.572000000000003</v>
      </c>
      <c r="AK1442" s="11">
        <v>85.953000000000003</v>
      </c>
      <c r="AL1442" s="11"/>
    </row>
    <row r="1443" spans="1:38" x14ac:dyDescent="0.3">
      <c r="A1443" s="9">
        <f>DATE(2022, 7, 29)</f>
        <v>44771</v>
      </c>
      <c r="B1443" s="10">
        <v>110.01</v>
      </c>
      <c r="C1443" s="10">
        <v>103.97</v>
      </c>
      <c r="D1443" s="10">
        <v>101.44</v>
      </c>
      <c r="E1443" s="10">
        <v>99.62</v>
      </c>
      <c r="F1443" s="10">
        <v>98.02</v>
      </c>
      <c r="G1443" s="10">
        <v>96.74</v>
      </c>
      <c r="H1443" s="10">
        <v>95.72</v>
      </c>
      <c r="I1443" s="10">
        <v>94.83</v>
      </c>
      <c r="J1443" s="10">
        <v>94.03</v>
      </c>
      <c r="K1443" s="10">
        <v>93.24</v>
      </c>
      <c r="L1443" s="10">
        <v>92.54</v>
      </c>
      <c r="M1443" s="10">
        <v>91.87</v>
      </c>
      <c r="N1443" s="10">
        <v>98.62</v>
      </c>
      <c r="O1443" s="10">
        <v>96.75</v>
      </c>
      <c r="P1443" s="10">
        <v>95.3</v>
      </c>
      <c r="Q1443" s="10">
        <v>93.87</v>
      </c>
      <c r="R1443" s="10">
        <v>92.52</v>
      </c>
      <c r="S1443" s="10">
        <v>91.29</v>
      </c>
      <c r="T1443" s="10">
        <v>90.22</v>
      </c>
      <c r="U1443" s="10">
        <v>89.27</v>
      </c>
      <c r="V1443" s="10">
        <v>88.41</v>
      </c>
      <c r="W1443" s="10">
        <v>87.59</v>
      </c>
      <c r="X1443" s="10">
        <v>86.84</v>
      </c>
      <c r="Y1443" s="10">
        <v>86.13</v>
      </c>
      <c r="Z1443" s="11">
        <v>103.123</v>
      </c>
      <c r="AA1443" s="11">
        <v>101.667</v>
      </c>
      <c r="AB1443" s="11">
        <v>98.227000000000004</v>
      </c>
      <c r="AC1443" s="11">
        <v>95.706999999999994</v>
      </c>
      <c r="AD1443" s="11">
        <v>93.759</v>
      </c>
      <c r="AE1443" s="11">
        <v>92.23</v>
      </c>
      <c r="AF1443" s="11">
        <v>91.156999999999996</v>
      </c>
      <c r="AG1443" s="11">
        <v>90.269000000000005</v>
      </c>
      <c r="AH1443" s="11">
        <v>89.525999999999996</v>
      </c>
      <c r="AI1443" s="11">
        <v>88.882999999999996</v>
      </c>
      <c r="AJ1443" s="11">
        <v>88.251000000000005</v>
      </c>
      <c r="AK1443" s="11">
        <v>87.662000000000006</v>
      </c>
      <c r="AL1443" s="11"/>
    </row>
    <row r="1444" spans="1:38" x14ac:dyDescent="0.3">
      <c r="A1444" s="9">
        <f>DATE(2022, 8, 1)</f>
        <v>44774</v>
      </c>
      <c r="B1444" s="10">
        <v>100.03</v>
      </c>
      <c r="C1444" s="10">
        <v>97.95</v>
      </c>
      <c r="D1444" s="10">
        <v>96.47</v>
      </c>
      <c r="E1444" s="10">
        <v>95.14</v>
      </c>
      <c r="F1444" s="10">
        <v>94.06</v>
      </c>
      <c r="G1444" s="10">
        <v>93.17</v>
      </c>
      <c r="H1444" s="10">
        <v>92.37</v>
      </c>
      <c r="I1444" s="10">
        <v>91.64</v>
      </c>
      <c r="J1444" s="10">
        <v>90.92</v>
      </c>
      <c r="K1444" s="10">
        <v>90.28</v>
      </c>
      <c r="L1444" s="10">
        <v>89.65</v>
      </c>
      <c r="M1444" s="10">
        <v>89.08</v>
      </c>
      <c r="N1444" s="10">
        <v>93.89</v>
      </c>
      <c r="O1444" s="10">
        <v>92.39</v>
      </c>
      <c r="P1444" s="10">
        <v>91.34</v>
      </c>
      <c r="Q1444" s="10">
        <v>90.29</v>
      </c>
      <c r="R1444" s="10">
        <v>89.25</v>
      </c>
      <c r="S1444" s="10">
        <v>88.25</v>
      </c>
      <c r="T1444" s="10">
        <v>87.35</v>
      </c>
      <c r="U1444" s="10">
        <v>86.51</v>
      </c>
      <c r="V1444" s="10">
        <v>85.73</v>
      </c>
      <c r="W1444" s="10">
        <v>84.99</v>
      </c>
      <c r="X1444" s="10">
        <v>84.31</v>
      </c>
      <c r="Y1444" s="10">
        <v>83.67</v>
      </c>
      <c r="Z1444" s="11">
        <v>103.123</v>
      </c>
      <c r="AA1444" s="11">
        <v>98.581999999999994</v>
      </c>
      <c r="AB1444" s="11">
        <v>94.893000000000001</v>
      </c>
      <c r="AC1444" s="11">
        <v>92.498000000000005</v>
      </c>
      <c r="AD1444" s="11">
        <v>90.766000000000005</v>
      </c>
      <c r="AE1444" s="11">
        <v>89.444999999999993</v>
      </c>
      <c r="AF1444" s="11">
        <v>88.512</v>
      </c>
      <c r="AG1444" s="11">
        <v>87.784000000000006</v>
      </c>
      <c r="AH1444" s="11">
        <v>87.129000000000005</v>
      </c>
      <c r="AI1444" s="11">
        <v>86.486000000000004</v>
      </c>
      <c r="AJ1444" s="11">
        <v>85.873000000000005</v>
      </c>
      <c r="AK1444" s="11">
        <v>85.293999999999997</v>
      </c>
      <c r="AL1444" s="11"/>
    </row>
    <row r="1445" spans="1:38" x14ac:dyDescent="0.3">
      <c r="A1445" s="9">
        <f>DATE(2022, 8, 2)</f>
        <v>44775</v>
      </c>
      <c r="B1445" s="10">
        <v>100.54</v>
      </c>
      <c r="C1445" s="10">
        <v>98.64</v>
      </c>
      <c r="D1445" s="10">
        <v>97.28</v>
      </c>
      <c r="E1445" s="10">
        <v>96.06</v>
      </c>
      <c r="F1445" s="10">
        <v>95.08</v>
      </c>
      <c r="G1445" s="10">
        <v>94.27</v>
      </c>
      <c r="H1445" s="10">
        <v>93.51</v>
      </c>
      <c r="I1445" s="10">
        <v>92.8</v>
      </c>
      <c r="J1445" s="10">
        <v>92.09</v>
      </c>
      <c r="K1445" s="10">
        <v>91.46</v>
      </c>
      <c r="L1445" s="10">
        <v>90.84</v>
      </c>
      <c r="M1445" s="10">
        <v>90.28</v>
      </c>
      <c r="N1445" s="10">
        <v>94.42</v>
      </c>
      <c r="O1445" s="10">
        <v>93.22</v>
      </c>
      <c r="P1445" s="10">
        <v>92.29</v>
      </c>
      <c r="Q1445" s="10">
        <v>91.33</v>
      </c>
      <c r="R1445" s="10">
        <v>90.36</v>
      </c>
      <c r="S1445" s="10">
        <v>89.42</v>
      </c>
      <c r="T1445" s="10">
        <v>88.55</v>
      </c>
      <c r="U1445" s="10">
        <v>87.74</v>
      </c>
      <c r="V1445" s="10">
        <v>86.98</v>
      </c>
      <c r="W1445" s="10">
        <v>86.24</v>
      </c>
      <c r="X1445" s="10">
        <v>85.56</v>
      </c>
      <c r="Y1445" s="10">
        <v>84.91</v>
      </c>
      <c r="Z1445" s="11">
        <v>99.111000000000004</v>
      </c>
      <c r="AA1445" s="11">
        <v>95.567999999999998</v>
      </c>
      <c r="AB1445" s="11">
        <v>93.311999999999998</v>
      </c>
      <c r="AC1445" s="11">
        <v>91.716999999999999</v>
      </c>
      <c r="AD1445" s="11">
        <v>90.522999999999996</v>
      </c>
      <c r="AE1445" s="11">
        <v>89.662000000000006</v>
      </c>
      <c r="AF1445" s="11">
        <v>88.944999999999993</v>
      </c>
      <c r="AG1445" s="11">
        <v>88.299000000000007</v>
      </c>
      <c r="AH1445" s="11">
        <v>87.686999999999998</v>
      </c>
      <c r="AI1445" s="11">
        <v>87.072999999999993</v>
      </c>
      <c r="AJ1445" s="11">
        <v>86.504999999999995</v>
      </c>
      <c r="AK1445" s="11">
        <v>86.015000000000001</v>
      </c>
      <c r="AL1445" s="11"/>
    </row>
    <row r="1446" spans="1:38" x14ac:dyDescent="0.3">
      <c r="A1446" s="9">
        <f>DATE(2022, 8, 3)</f>
        <v>44776</v>
      </c>
      <c r="B1446" s="10">
        <v>96.78</v>
      </c>
      <c r="C1446" s="10">
        <v>95.2</v>
      </c>
      <c r="D1446" s="10">
        <v>94.06</v>
      </c>
      <c r="E1446" s="10">
        <v>93.03</v>
      </c>
      <c r="F1446" s="10">
        <v>92.21</v>
      </c>
      <c r="G1446" s="10">
        <v>91.51</v>
      </c>
      <c r="H1446" s="10">
        <v>90.86</v>
      </c>
      <c r="I1446" s="10">
        <v>90.26</v>
      </c>
      <c r="J1446" s="10">
        <v>89.66</v>
      </c>
      <c r="K1446" s="10">
        <v>89.14</v>
      </c>
      <c r="L1446" s="10">
        <v>88.62</v>
      </c>
      <c r="M1446" s="10">
        <v>88.18</v>
      </c>
      <c r="N1446" s="10">
        <v>90.66</v>
      </c>
      <c r="O1446" s="10">
        <v>89.74</v>
      </c>
      <c r="P1446" s="10">
        <v>89.07</v>
      </c>
      <c r="Q1446" s="10">
        <v>88.32</v>
      </c>
      <c r="R1446" s="10">
        <v>87.51</v>
      </c>
      <c r="S1446" s="10">
        <v>86.7</v>
      </c>
      <c r="T1446" s="10">
        <v>85.93</v>
      </c>
      <c r="U1446" s="10">
        <v>85.22</v>
      </c>
      <c r="V1446" s="10">
        <v>84.57</v>
      </c>
      <c r="W1446" s="10">
        <v>83.95</v>
      </c>
      <c r="X1446" s="10">
        <v>83.37</v>
      </c>
      <c r="Y1446" s="10">
        <v>82.85</v>
      </c>
      <c r="Z1446" s="11">
        <v>96.090999999999994</v>
      </c>
      <c r="AA1446" s="11">
        <v>92.138000000000005</v>
      </c>
      <c r="AB1446" s="11">
        <v>90.111999999999995</v>
      </c>
      <c r="AC1446" s="11">
        <v>88.793000000000006</v>
      </c>
      <c r="AD1446" s="11">
        <v>87.722999999999999</v>
      </c>
      <c r="AE1446" s="11">
        <v>86.968999999999994</v>
      </c>
      <c r="AF1446" s="11">
        <v>86.28</v>
      </c>
      <c r="AG1446" s="11">
        <v>85.644000000000005</v>
      </c>
      <c r="AH1446" s="11">
        <v>85.173000000000002</v>
      </c>
      <c r="AI1446" s="11">
        <v>84.686999999999998</v>
      </c>
      <c r="AJ1446" s="11">
        <v>84.2</v>
      </c>
      <c r="AK1446" s="11">
        <v>83.82</v>
      </c>
      <c r="AL1446" s="11"/>
    </row>
    <row r="1447" spans="1:38" x14ac:dyDescent="0.3">
      <c r="A1447" s="9">
        <f>DATE(2022, 8, 4)</f>
        <v>44777</v>
      </c>
      <c r="B1447" s="10">
        <v>94.12</v>
      </c>
      <c r="C1447" s="10">
        <v>92.5</v>
      </c>
      <c r="D1447" s="10">
        <v>91.31</v>
      </c>
      <c r="E1447" s="10">
        <v>90.24</v>
      </c>
      <c r="F1447" s="10">
        <v>89.43</v>
      </c>
      <c r="G1447" s="10">
        <v>88.75</v>
      </c>
      <c r="H1447" s="10">
        <v>88.11</v>
      </c>
      <c r="I1447" s="10">
        <v>87.52</v>
      </c>
      <c r="J1447" s="10">
        <v>86.93</v>
      </c>
      <c r="K1447" s="10">
        <v>86.43</v>
      </c>
      <c r="L1447" s="10">
        <v>85.94</v>
      </c>
      <c r="M1447" s="10">
        <v>85.51</v>
      </c>
      <c r="N1447" s="10">
        <v>88.54</v>
      </c>
      <c r="O1447" s="10">
        <v>87.56</v>
      </c>
      <c r="P1447" s="10">
        <v>86.81</v>
      </c>
      <c r="Q1447" s="10">
        <v>85.99</v>
      </c>
      <c r="R1447" s="10">
        <v>85.13</v>
      </c>
      <c r="S1447" s="10">
        <v>84.29</v>
      </c>
      <c r="T1447" s="10">
        <v>83.51</v>
      </c>
      <c r="U1447" s="10">
        <v>82.79</v>
      </c>
      <c r="V1447" s="10">
        <v>82.12</v>
      </c>
      <c r="W1447" s="10">
        <v>81.489999999999995</v>
      </c>
      <c r="X1447" s="10">
        <v>80.91</v>
      </c>
      <c r="Y1447" s="10">
        <v>80.38</v>
      </c>
      <c r="Z1447" s="11">
        <v>93.869</v>
      </c>
      <c r="AA1447" s="11">
        <v>89.475999999999999</v>
      </c>
      <c r="AB1447" s="11">
        <v>87.409000000000006</v>
      </c>
      <c r="AC1447" s="11">
        <v>86.043000000000006</v>
      </c>
      <c r="AD1447" s="11">
        <v>84.965000000000003</v>
      </c>
      <c r="AE1447" s="11">
        <v>84.22</v>
      </c>
      <c r="AF1447" s="11">
        <v>83.600999999999999</v>
      </c>
      <c r="AG1447" s="11">
        <v>83.043999999999997</v>
      </c>
      <c r="AH1447" s="11">
        <v>82.524000000000001</v>
      </c>
      <c r="AI1447" s="11">
        <v>82.049000000000007</v>
      </c>
      <c r="AJ1447" s="11">
        <v>81.66</v>
      </c>
      <c r="AK1447" s="11">
        <v>81.281000000000006</v>
      </c>
      <c r="AL1447" s="11"/>
    </row>
    <row r="1448" spans="1:38" x14ac:dyDescent="0.3">
      <c r="A1448" s="9">
        <f>DATE(2022, 8, 5)</f>
        <v>44778</v>
      </c>
      <c r="B1448" s="10">
        <v>94.92</v>
      </c>
      <c r="C1448" s="10">
        <v>93.18</v>
      </c>
      <c r="D1448" s="10">
        <v>91.92</v>
      </c>
      <c r="E1448" s="10">
        <v>90.77</v>
      </c>
      <c r="F1448" s="10">
        <v>89.9</v>
      </c>
      <c r="G1448" s="10">
        <v>89.18</v>
      </c>
      <c r="H1448" s="10">
        <v>88.51</v>
      </c>
      <c r="I1448" s="10">
        <v>87.91</v>
      </c>
      <c r="J1448" s="10">
        <v>87.3</v>
      </c>
      <c r="K1448" s="10">
        <v>86.77</v>
      </c>
      <c r="L1448" s="10">
        <v>86.26</v>
      </c>
      <c r="M1448" s="10">
        <v>85.8</v>
      </c>
      <c r="N1448" s="10">
        <v>89.01</v>
      </c>
      <c r="O1448" s="10">
        <v>88.08</v>
      </c>
      <c r="P1448" s="10">
        <v>87.26</v>
      </c>
      <c r="Q1448" s="10">
        <v>86.39</v>
      </c>
      <c r="R1448" s="10">
        <v>85.51</v>
      </c>
      <c r="S1448" s="10">
        <v>84.66</v>
      </c>
      <c r="T1448" s="10">
        <v>83.88</v>
      </c>
      <c r="U1448" s="10">
        <v>83.15</v>
      </c>
      <c r="V1448" s="10">
        <v>82.47</v>
      </c>
      <c r="W1448" s="10">
        <v>81.819999999999993</v>
      </c>
      <c r="X1448" s="10">
        <v>81.209999999999994</v>
      </c>
      <c r="Y1448" s="10">
        <v>80.650000000000006</v>
      </c>
      <c r="Z1448" s="11">
        <v>94.525999999999996</v>
      </c>
      <c r="AA1448" s="11">
        <v>90.272999999999996</v>
      </c>
      <c r="AB1448" s="11">
        <v>87.944999999999993</v>
      </c>
      <c r="AC1448" s="11">
        <v>86.48</v>
      </c>
      <c r="AD1448" s="11">
        <v>85.350999999999999</v>
      </c>
      <c r="AE1448" s="11">
        <v>84.567999999999998</v>
      </c>
      <c r="AF1448" s="11">
        <v>83.91</v>
      </c>
      <c r="AG1448" s="11">
        <v>83.363</v>
      </c>
      <c r="AH1448" s="11">
        <v>82.891999999999996</v>
      </c>
      <c r="AI1448" s="11">
        <v>82.388000000000005</v>
      </c>
      <c r="AJ1448" s="11">
        <v>81.978999999999999</v>
      </c>
      <c r="AK1448" s="11">
        <v>81.599999999999994</v>
      </c>
      <c r="AL1448" s="11"/>
    </row>
    <row r="1449" spans="1:38" x14ac:dyDescent="0.3">
      <c r="A1449" s="9">
        <f>DATE(2022, 8, 8)</f>
        <v>44781</v>
      </c>
      <c r="B1449" s="10">
        <v>96.65</v>
      </c>
      <c r="C1449" s="10">
        <v>95.12</v>
      </c>
      <c r="D1449" s="10">
        <v>93.9</v>
      </c>
      <c r="E1449" s="10">
        <v>92.82</v>
      </c>
      <c r="F1449" s="10">
        <v>91.99</v>
      </c>
      <c r="G1449" s="10">
        <v>91.27</v>
      </c>
      <c r="H1449" s="10">
        <v>90.6</v>
      </c>
      <c r="I1449" s="10">
        <v>90</v>
      </c>
      <c r="J1449" s="10">
        <v>89.4</v>
      </c>
      <c r="K1449" s="10">
        <v>88.87</v>
      </c>
      <c r="L1449" s="10">
        <v>88.35</v>
      </c>
      <c r="M1449" s="10">
        <v>87.88</v>
      </c>
      <c r="N1449" s="10">
        <v>90.76</v>
      </c>
      <c r="O1449" s="10">
        <v>89.93</v>
      </c>
      <c r="P1449" s="10">
        <v>89.16</v>
      </c>
      <c r="Q1449" s="10">
        <v>88.36</v>
      </c>
      <c r="R1449" s="10">
        <v>87.54</v>
      </c>
      <c r="S1449" s="10">
        <v>86.72</v>
      </c>
      <c r="T1449" s="10">
        <v>85.95</v>
      </c>
      <c r="U1449" s="10">
        <v>85.23</v>
      </c>
      <c r="V1449" s="10">
        <v>84.55</v>
      </c>
      <c r="W1449" s="10">
        <v>83.91</v>
      </c>
      <c r="X1449" s="10">
        <v>83.3</v>
      </c>
      <c r="Y1449" s="10">
        <v>82.75</v>
      </c>
      <c r="Z1449" s="11">
        <v>96.103999999999999</v>
      </c>
      <c r="AA1449" s="11">
        <v>92.405000000000001</v>
      </c>
      <c r="AB1449" s="11">
        <v>89.968999999999994</v>
      </c>
      <c r="AC1449" s="11">
        <v>88.572000000000003</v>
      </c>
      <c r="AD1449" s="11">
        <v>87.460999999999999</v>
      </c>
      <c r="AE1449" s="11">
        <v>86.707999999999998</v>
      </c>
      <c r="AF1449" s="11">
        <v>86.06</v>
      </c>
      <c r="AG1449" s="11">
        <v>85.474000000000004</v>
      </c>
      <c r="AH1449" s="11">
        <v>84.962000000000003</v>
      </c>
      <c r="AI1449" s="11">
        <v>84.466999999999999</v>
      </c>
      <c r="AJ1449" s="11">
        <v>83.998999999999995</v>
      </c>
      <c r="AK1449" s="11">
        <v>83.507000000000005</v>
      </c>
      <c r="AL1449" s="11"/>
    </row>
    <row r="1450" spans="1:38" x14ac:dyDescent="0.3">
      <c r="A1450" s="9">
        <f>DATE(2022, 8, 9)</f>
        <v>44782</v>
      </c>
      <c r="B1450" s="10">
        <v>96.31</v>
      </c>
      <c r="C1450" s="10">
        <v>94.85</v>
      </c>
      <c r="D1450" s="10">
        <v>93.64</v>
      </c>
      <c r="E1450" s="10">
        <v>92.57</v>
      </c>
      <c r="F1450" s="10">
        <v>91.74</v>
      </c>
      <c r="G1450" s="10">
        <v>91.01</v>
      </c>
      <c r="H1450" s="10">
        <v>90.33</v>
      </c>
      <c r="I1450" s="10">
        <v>89.72</v>
      </c>
      <c r="J1450" s="10">
        <v>89.12</v>
      </c>
      <c r="K1450" s="10">
        <v>88.6</v>
      </c>
      <c r="L1450" s="10">
        <v>88.08</v>
      </c>
      <c r="M1450" s="10">
        <v>87.61</v>
      </c>
      <c r="N1450" s="10">
        <v>90.5</v>
      </c>
      <c r="O1450" s="10">
        <v>89.67</v>
      </c>
      <c r="P1450" s="10">
        <v>88.9</v>
      </c>
      <c r="Q1450" s="10">
        <v>88.08</v>
      </c>
      <c r="R1450" s="10">
        <v>87.28</v>
      </c>
      <c r="S1450" s="10">
        <v>86.48</v>
      </c>
      <c r="T1450" s="10">
        <v>85.73</v>
      </c>
      <c r="U1450" s="10">
        <v>85.03</v>
      </c>
      <c r="V1450" s="10">
        <v>84.38</v>
      </c>
      <c r="W1450" s="10">
        <v>83.76</v>
      </c>
      <c r="X1450" s="10">
        <v>83.18</v>
      </c>
      <c r="Y1450" s="10">
        <v>82.62</v>
      </c>
      <c r="Z1450" s="11">
        <v>96.191000000000003</v>
      </c>
      <c r="AA1450" s="11">
        <v>92.114999999999995</v>
      </c>
      <c r="AB1450" s="11">
        <v>89.659000000000006</v>
      </c>
      <c r="AC1450" s="11">
        <v>88.262</v>
      </c>
      <c r="AD1450" s="11">
        <v>87.12</v>
      </c>
      <c r="AE1450" s="11">
        <v>86.358000000000004</v>
      </c>
      <c r="AF1450" s="11">
        <v>85.72</v>
      </c>
      <c r="AG1450" s="11">
        <v>85.153999999999996</v>
      </c>
      <c r="AH1450" s="11">
        <v>84.632999999999996</v>
      </c>
      <c r="AI1450" s="11">
        <v>84.147000000000006</v>
      </c>
      <c r="AJ1450" s="11">
        <v>83.698999999999998</v>
      </c>
      <c r="AK1450" s="11">
        <v>83.22</v>
      </c>
      <c r="AL1450" s="11"/>
    </row>
    <row r="1451" spans="1:38" x14ac:dyDescent="0.3">
      <c r="A1451" s="9">
        <f>DATE(2022, 8, 10)</f>
        <v>44783</v>
      </c>
      <c r="B1451" s="10">
        <v>97.4</v>
      </c>
      <c r="C1451" s="10">
        <v>96.23</v>
      </c>
      <c r="D1451" s="10">
        <v>95.18</v>
      </c>
      <c r="E1451" s="10">
        <v>94.16</v>
      </c>
      <c r="F1451" s="10">
        <v>93.33</v>
      </c>
      <c r="G1451" s="10">
        <v>92.58</v>
      </c>
      <c r="H1451" s="10">
        <v>91.88</v>
      </c>
      <c r="I1451" s="10">
        <v>91.26</v>
      </c>
      <c r="J1451" s="10">
        <v>90.64</v>
      </c>
      <c r="K1451" s="10">
        <v>90.13</v>
      </c>
      <c r="L1451" s="10">
        <v>89.61</v>
      </c>
      <c r="M1451" s="10">
        <v>89.13</v>
      </c>
      <c r="N1451" s="10">
        <v>91.93</v>
      </c>
      <c r="O1451" s="10">
        <v>91.2</v>
      </c>
      <c r="P1451" s="10">
        <v>90.47</v>
      </c>
      <c r="Q1451" s="10">
        <v>89.68</v>
      </c>
      <c r="R1451" s="10">
        <v>88.9</v>
      </c>
      <c r="S1451" s="10">
        <v>88.11</v>
      </c>
      <c r="T1451" s="10">
        <v>87.36</v>
      </c>
      <c r="U1451" s="10">
        <v>86.66</v>
      </c>
      <c r="V1451" s="10">
        <v>85.99</v>
      </c>
      <c r="W1451" s="10">
        <v>85.34</v>
      </c>
      <c r="X1451" s="10">
        <v>84.73</v>
      </c>
      <c r="Y1451" s="10">
        <v>84.16</v>
      </c>
      <c r="Z1451" s="11">
        <v>96.884</v>
      </c>
      <c r="AA1451" s="11">
        <v>93.602000000000004</v>
      </c>
      <c r="AB1451" s="11">
        <v>91.320999999999998</v>
      </c>
      <c r="AC1451" s="11">
        <v>89.932000000000002</v>
      </c>
      <c r="AD1451" s="11">
        <v>88.819000000000003</v>
      </c>
      <c r="AE1451" s="11">
        <v>88.037000000000006</v>
      </c>
      <c r="AF1451" s="11">
        <v>87.379000000000005</v>
      </c>
      <c r="AG1451" s="11">
        <v>86.813000000000002</v>
      </c>
      <c r="AH1451" s="11">
        <v>86.293000000000006</v>
      </c>
      <c r="AI1451" s="11">
        <v>85.816999999999993</v>
      </c>
      <c r="AJ1451" s="11">
        <v>85.388000000000005</v>
      </c>
      <c r="AK1451" s="11">
        <v>84.978999999999999</v>
      </c>
      <c r="AL1451" s="11"/>
    </row>
    <row r="1452" spans="1:38" x14ac:dyDescent="0.3">
      <c r="A1452" s="9">
        <f>DATE(2022, 8, 11)</f>
        <v>44784</v>
      </c>
      <c r="B1452" s="10">
        <v>99.6</v>
      </c>
      <c r="C1452" s="10">
        <v>98.3</v>
      </c>
      <c r="D1452" s="10">
        <v>97.15</v>
      </c>
      <c r="E1452" s="10">
        <v>96.06</v>
      </c>
      <c r="F1452" s="10">
        <v>95.13</v>
      </c>
      <c r="G1452" s="10">
        <v>94.27</v>
      </c>
      <c r="H1452" s="10">
        <v>93.48</v>
      </c>
      <c r="I1452" s="10">
        <v>92.79</v>
      </c>
      <c r="J1452" s="10">
        <v>92.11</v>
      </c>
      <c r="K1452" s="10">
        <v>91.53</v>
      </c>
      <c r="L1452" s="10">
        <v>90.95</v>
      </c>
      <c r="M1452" s="10">
        <v>90.39</v>
      </c>
      <c r="N1452" s="10">
        <v>94.34</v>
      </c>
      <c r="O1452" s="10">
        <v>93.53</v>
      </c>
      <c r="P1452" s="10">
        <v>92.69</v>
      </c>
      <c r="Q1452" s="10">
        <v>91.79</v>
      </c>
      <c r="R1452" s="10">
        <v>90.92</v>
      </c>
      <c r="S1452" s="10">
        <v>90.03</v>
      </c>
      <c r="T1452" s="10">
        <v>89.18</v>
      </c>
      <c r="U1452" s="10">
        <v>88.38</v>
      </c>
      <c r="V1452" s="10">
        <v>87.61</v>
      </c>
      <c r="W1452" s="10">
        <v>86.88</v>
      </c>
      <c r="X1452" s="10">
        <v>86.19</v>
      </c>
      <c r="Y1452" s="10">
        <v>85.53</v>
      </c>
      <c r="Z1452" s="11">
        <v>97.471999999999994</v>
      </c>
      <c r="AA1452" s="11">
        <v>95.457999999999998</v>
      </c>
      <c r="AB1452" s="11">
        <v>93.177999999999997</v>
      </c>
      <c r="AC1452" s="11">
        <v>91.837999999999994</v>
      </c>
      <c r="AD1452" s="11">
        <v>90.677000000000007</v>
      </c>
      <c r="AE1452" s="11">
        <v>89.831999999999994</v>
      </c>
      <c r="AF1452" s="11">
        <v>89.096000000000004</v>
      </c>
      <c r="AG1452" s="11">
        <v>88.51</v>
      </c>
      <c r="AH1452" s="11">
        <v>87.938999999999993</v>
      </c>
      <c r="AI1452" s="11">
        <v>87.385000000000005</v>
      </c>
      <c r="AJ1452" s="11">
        <v>86.864999999999995</v>
      </c>
      <c r="AK1452" s="11">
        <v>86.415999999999997</v>
      </c>
      <c r="AL1452" s="11"/>
    </row>
    <row r="1453" spans="1:38" x14ac:dyDescent="0.3">
      <c r="A1453" s="9">
        <f>DATE(2022, 8, 12)</f>
        <v>44785</v>
      </c>
      <c r="B1453" s="10">
        <v>98.15</v>
      </c>
      <c r="C1453" s="10">
        <v>96.9</v>
      </c>
      <c r="D1453" s="10">
        <v>95.78</v>
      </c>
      <c r="E1453" s="10">
        <v>94.72</v>
      </c>
      <c r="F1453" s="10">
        <v>93.81</v>
      </c>
      <c r="G1453" s="10">
        <v>92.98</v>
      </c>
      <c r="H1453" s="10">
        <v>92.22</v>
      </c>
      <c r="I1453" s="10">
        <v>91.54</v>
      </c>
      <c r="J1453" s="10">
        <v>90.9</v>
      </c>
      <c r="K1453" s="10">
        <v>90.36</v>
      </c>
      <c r="L1453" s="10">
        <v>89.83</v>
      </c>
      <c r="M1453" s="10">
        <v>89.31</v>
      </c>
      <c r="N1453" s="10">
        <v>92.09</v>
      </c>
      <c r="O1453" s="10">
        <v>91.46</v>
      </c>
      <c r="P1453" s="10">
        <v>90.87</v>
      </c>
      <c r="Q1453" s="10">
        <v>90.16</v>
      </c>
      <c r="R1453" s="10">
        <v>89.4</v>
      </c>
      <c r="S1453" s="10">
        <v>88.58</v>
      </c>
      <c r="T1453" s="10">
        <v>87.79</v>
      </c>
      <c r="U1453" s="10">
        <v>87.05</v>
      </c>
      <c r="V1453" s="10">
        <v>86.36</v>
      </c>
      <c r="W1453" s="10">
        <v>85.69</v>
      </c>
      <c r="X1453" s="10">
        <v>85.07</v>
      </c>
      <c r="Y1453" s="10">
        <v>84.47</v>
      </c>
      <c r="Z1453" s="11">
        <v>96.617000000000004</v>
      </c>
      <c r="AA1453" s="11">
        <v>94.129000000000005</v>
      </c>
      <c r="AB1453" s="11">
        <v>91.75</v>
      </c>
      <c r="AC1453" s="11">
        <v>90.429000000000002</v>
      </c>
      <c r="AD1453" s="11">
        <v>89.311000000000007</v>
      </c>
      <c r="AE1453" s="11">
        <v>88.494</v>
      </c>
      <c r="AF1453" s="11">
        <v>87.796000000000006</v>
      </c>
      <c r="AG1453" s="11">
        <v>87.162000000000006</v>
      </c>
      <c r="AH1453" s="11">
        <v>86.632000000000005</v>
      </c>
      <c r="AI1453" s="11">
        <v>86.147000000000006</v>
      </c>
      <c r="AJ1453" s="11">
        <v>85.665999999999997</v>
      </c>
      <c r="AK1453" s="11">
        <v>85.209000000000003</v>
      </c>
      <c r="AL1453" s="11"/>
    </row>
    <row r="1454" spans="1:38" x14ac:dyDescent="0.3">
      <c r="A1454" s="9">
        <f>DATE(2022, 8, 15)</f>
        <v>44788</v>
      </c>
      <c r="B1454" s="10">
        <v>95.1</v>
      </c>
      <c r="C1454" s="10">
        <v>94.28</v>
      </c>
      <c r="D1454" s="10">
        <v>93.4</v>
      </c>
      <c r="E1454" s="10">
        <v>92.5</v>
      </c>
      <c r="F1454" s="10">
        <v>91.71</v>
      </c>
      <c r="G1454" s="10">
        <v>90.98</v>
      </c>
      <c r="H1454" s="10">
        <v>90.31</v>
      </c>
      <c r="I1454" s="10">
        <v>89.72</v>
      </c>
      <c r="J1454" s="10">
        <v>89.14</v>
      </c>
      <c r="K1454" s="10">
        <v>88.65</v>
      </c>
      <c r="L1454" s="10">
        <v>88.18</v>
      </c>
      <c r="M1454" s="10">
        <v>87.73</v>
      </c>
      <c r="N1454" s="10">
        <v>89.41</v>
      </c>
      <c r="O1454" s="10">
        <v>88.85</v>
      </c>
      <c r="P1454" s="10">
        <v>88.41</v>
      </c>
      <c r="Q1454" s="10">
        <v>87.9</v>
      </c>
      <c r="R1454" s="10">
        <v>87.29</v>
      </c>
      <c r="S1454" s="10">
        <v>86.62</v>
      </c>
      <c r="T1454" s="10">
        <v>85.95</v>
      </c>
      <c r="U1454" s="10">
        <v>85.32</v>
      </c>
      <c r="V1454" s="10">
        <v>84.72</v>
      </c>
      <c r="W1454" s="10">
        <v>84.13</v>
      </c>
      <c r="X1454" s="10">
        <v>83.59</v>
      </c>
      <c r="Y1454" s="10">
        <v>83.05</v>
      </c>
      <c r="Z1454" s="11">
        <v>94.914000000000001</v>
      </c>
      <c r="AA1454" s="11">
        <v>91.57</v>
      </c>
      <c r="AB1454" s="11">
        <v>89.427000000000007</v>
      </c>
      <c r="AC1454" s="11">
        <v>88.284000000000006</v>
      </c>
      <c r="AD1454" s="11">
        <v>87.25</v>
      </c>
      <c r="AE1454" s="11">
        <v>86.528000000000006</v>
      </c>
      <c r="AF1454" s="11">
        <v>85.881</v>
      </c>
      <c r="AG1454" s="11">
        <v>85.356999999999999</v>
      </c>
      <c r="AH1454" s="11">
        <v>84.903999999999996</v>
      </c>
      <c r="AI1454" s="11">
        <v>84.46</v>
      </c>
      <c r="AJ1454" s="11">
        <v>84.04</v>
      </c>
      <c r="AK1454" s="11">
        <v>83.64</v>
      </c>
      <c r="AL1454" s="11"/>
    </row>
    <row r="1455" spans="1:38" x14ac:dyDescent="0.3">
      <c r="A1455" s="9">
        <f>DATE(2022, 8, 16)</f>
        <v>44789</v>
      </c>
      <c r="B1455" s="10">
        <v>92.34</v>
      </c>
      <c r="C1455" s="10">
        <v>91.74</v>
      </c>
      <c r="D1455" s="10">
        <v>91.06</v>
      </c>
      <c r="E1455" s="10">
        <v>90.34</v>
      </c>
      <c r="F1455" s="10">
        <v>89.66</v>
      </c>
      <c r="G1455" s="10">
        <v>89.01</v>
      </c>
      <c r="H1455" s="10">
        <v>88.42</v>
      </c>
      <c r="I1455" s="10">
        <v>87.9</v>
      </c>
      <c r="J1455" s="10">
        <v>87.4</v>
      </c>
      <c r="K1455" s="10">
        <v>86.98</v>
      </c>
      <c r="L1455" s="10">
        <v>86.57</v>
      </c>
      <c r="M1455" s="10">
        <v>86.18</v>
      </c>
      <c r="N1455" s="10">
        <v>86.53</v>
      </c>
      <c r="O1455" s="10">
        <v>86.16</v>
      </c>
      <c r="P1455" s="10">
        <v>85.86</v>
      </c>
      <c r="Q1455" s="10">
        <v>85.48</v>
      </c>
      <c r="R1455" s="10">
        <v>85</v>
      </c>
      <c r="S1455" s="10">
        <v>84.45</v>
      </c>
      <c r="T1455" s="10">
        <v>83.89</v>
      </c>
      <c r="U1455" s="10">
        <v>83.36</v>
      </c>
      <c r="V1455" s="10">
        <v>82.85</v>
      </c>
      <c r="W1455" s="10">
        <v>82.33</v>
      </c>
      <c r="X1455" s="10">
        <v>81.86</v>
      </c>
      <c r="Y1455" s="10">
        <v>81.39</v>
      </c>
      <c r="Z1455" s="11">
        <v>93.412999999999997</v>
      </c>
      <c r="AA1455" s="11">
        <v>88.869</v>
      </c>
      <c r="AB1455" s="11">
        <v>87.066000000000003</v>
      </c>
      <c r="AC1455" s="11">
        <v>86.129000000000005</v>
      </c>
      <c r="AD1455" s="11">
        <v>85.236999999999995</v>
      </c>
      <c r="AE1455" s="11">
        <v>84.622</v>
      </c>
      <c r="AF1455" s="11">
        <v>84.034000000000006</v>
      </c>
      <c r="AG1455" s="11">
        <v>83.567999999999998</v>
      </c>
      <c r="AH1455" s="11">
        <v>83.168000000000006</v>
      </c>
      <c r="AI1455" s="11">
        <v>82.822000000000003</v>
      </c>
      <c r="AJ1455" s="11">
        <v>82.531999999999996</v>
      </c>
      <c r="AK1455" s="11">
        <v>82.263999999999996</v>
      </c>
      <c r="AL1455" s="11"/>
    </row>
    <row r="1456" spans="1:38" x14ac:dyDescent="0.3">
      <c r="A1456" s="9">
        <f>DATE(2022, 8, 17)</f>
        <v>44790</v>
      </c>
      <c r="B1456" s="10">
        <v>93.65</v>
      </c>
      <c r="C1456" s="10">
        <v>93.02</v>
      </c>
      <c r="D1456" s="10">
        <v>92.3</v>
      </c>
      <c r="E1456" s="10">
        <v>91.54</v>
      </c>
      <c r="F1456" s="10">
        <v>90.79</v>
      </c>
      <c r="G1456" s="10">
        <v>90.06</v>
      </c>
      <c r="H1456" s="10">
        <v>89.39</v>
      </c>
      <c r="I1456" s="10">
        <v>88.8</v>
      </c>
      <c r="J1456" s="10">
        <v>88.25</v>
      </c>
      <c r="K1456" s="10">
        <v>87.79</v>
      </c>
      <c r="L1456" s="10">
        <v>87.35</v>
      </c>
      <c r="M1456" s="10">
        <v>86.93</v>
      </c>
      <c r="N1456" s="10">
        <v>88.11</v>
      </c>
      <c r="O1456" s="10">
        <v>87.69</v>
      </c>
      <c r="P1456" s="10">
        <v>87.3</v>
      </c>
      <c r="Q1456" s="10">
        <v>86.84</v>
      </c>
      <c r="R1456" s="10">
        <v>86.3</v>
      </c>
      <c r="S1456" s="10">
        <v>85.69</v>
      </c>
      <c r="T1456" s="10">
        <v>85.08</v>
      </c>
      <c r="U1456" s="10">
        <v>84.5</v>
      </c>
      <c r="V1456" s="10">
        <v>83.92</v>
      </c>
      <c r="W1456" s="10">
        <v>83.37</v>
      </c>
      <c r="X1456" s="10">
        <v>82.85</v>
      </c>
      <c r="Y1456" s="10">
        <v>82.34</v>
      </c>
      <c r="Z1456" s="11">
        <v>93.938000000000002</v>
      </c>
      <c r="AA1456" s="11">
        <v>90.436999999999998</v>
      </c>
      <c r="AB1456" s="11">
        <v>88.513999999999996</v>
      </c>
      <c r="AC1456" s="11">
        <v>87.596000000000004</v>
      </c>
      <c r="AD1456" s="11">
        <v>86.679000000000002</v>
      </c>
      <c r="AE1456" s="11">
        <v>85.998000000000005</v>
      </c>
      <c r="AF1456" s="11">
        <v>85.331000000000003</v>
      </c>
      <c r="AG1456" s="11">
        <v>84.786000000000001</v>
      </c>
      <c r="AH1456" s="11">
        <v>84.335999999999999</v>
      </c>
      <c r="AI1456" s="11">
        <v>83.971000000000004</v>
      </c>
      <c r="AJ1456" s="11">
        <v>83.671000000000006</v>
      </c>
      <c r="AK1456" s="11">
        <v>83.341999999999999</v>
      </c>
      <c r="AL1456" s="11"/>
    </row>
    <row r="1457" spans="1:38" x14ac:dyDescent="0.3">
      <c r="A1457" s="9">
        <f>DATE(2022, 8, 18)</f>
        <v>44791</v>
      </c>
      <c r="B1457" s="10">
        <v>96.59</v>
      </c>
      <c r="C1457" s="10">
        <v>95.76</v>
      </c>
      <c r="D1457" s="10">
        <v>94.68</v>
      </c>
      <c r="E1457" s="10">
        <v>93.64</v>
      </c>
      <c r="F1457" s="10">
        <v>92.71</v>
      </c>
      <c r="G1457" s="10">
        <v>91.85</v>
      </c>
      <c r="H1457" s="10">
        <v>91.06</v>
      </c>
      <c r="I1457" s="10">
        <v>90.35</v>
      </c>
      <c r="J1457" s="10">
        <v>89.69</v>
      </c>
      <c r="K1457" s="10">
        <v>89.13</v>
      </c>
      <c r="L1457" s="10">
        <v>88.58</v>
      </c>
      <c r="M1457" s="10">
        <v>88.06</v>
      </c>
      <c r="N1457" s="10">
        <v>90.5</v>
      </c>
      <c r="O1457" s="10">
        <v>90.11</v>
      </c>
      <c r="P1457" s="10">
        <v>89.67</v>
      </c>
      <c r="Q1457" s="10">
        <v>89.08</v>
      </c>
      <c r="R1457" s="10">
        <v>88.39</v>
      </c>
      <c r="S1457" s="10">
        <v>87.64</v>
      </c>
      <c r="T1457" s="10">
        <v>86.88</v>
      </c>
      <c r="U1457" s="10">
        <v>86.15</v>
      </c>
      <c r="V1457" s="10">
        <v>85.43</v>
      </c>
      <c r="W1457" s="10">
        <v>84.74</v>
      </c>
      <c r="X1457" s="10">
        <v>84.09</v>
      </c>
      <c r="Y1457" s="10">
        <v>83.48</v>
      </c>
      <c r="Z1457" s="11">
        <v>95.296999999999997</v>
      </c>
      <c r="AA1457" s="11">
        <v>93.409000000000006</v>
      </c>
      <c r="AB1457" s="11">
        <v>91.21</v>
      </c>
      <c r="AC1457" s="11">
        <v>89.927999999999997</v>
      </c>
      <c r="AD1457" s="11">
        <v>88.738</v>
      </c>
      <c r="AE1457" s="11">
        <v>87.902000000000001</v>
      </c>
      <c r="AF1457" s="11">
        <v>87.144999999999996</v>
      </c>
      <c r="AG1457" s="11">
        <v>86.480999999999995</v>
      </c>
      <c r="AH1457" s="11">
        <v>85.900999999999996</v>
      </c>
      <c r="AI1457" s="11">
        <v>85.415999999999997</v>
      </c>
      <c r="AJ1457" s="11">
        <v>84.975999999999999</v>
      </c>
      <c r="AK1457" s="11">
        <v>84.548000000000002</v>
      </c>
      <c r="AL1457" s="11"/>
    </row>
    <row r="1458" spans="1:38" x14ac:dyDescent="0.3">
      <c r="A1458" s="9">
        <f>DATE(2022, 8, 19)</f>
        <v>44792</v>
      </c>
      <c r="B1458" s="10">
        <v>96.72</v>
      </c>
      <c r="C1458" s="10">
        <v>96.09</v>
      </c>
      <c r="D1458" s="10">
        <v>95.14</v>
      </c>
      <c r="E1458" s="10">
        <v>94.16</v>
      </c>
      <c r="F1458" s="10">
        <v>93.26</v>
      </c>
      <c r="G1458" s="10">
        <v>92.43</v>
      </c>
      <c r="H1458" s="10">
        <v>91.67</v>
      </c>
      <c r="I1458" s="10">
        <v>90.98</v>
      </c>
      <c r="J1458" s="10">
        <v>90.32</v>
      </c>
      <c r="K1458" s="10">
        <v>89.74</v>
      </c>
      <c r="L1458" s="10">
        <v>89.17</v>
      </c>
      <c r="M1458" s="10">
        <v>88.64</v>
      </c>
      <c r="N1458" s="10">
        <v>90.77</v>
      </c>
      <c r="O1458" s="10">
        <v>90.44</v>
      </c>
      <c r="P1458" s="10">
        <v>90.11</v>
      </c>
      <c r="Q1458" s="10">
        <v>89.61</v>
      </c>
      <c r="R1458" s="10">
        <v>88.95</v>
      </c>
      <c r="S1458" s="10">
        <v>88.2</v>
      </c>
      <c r="T1458" s="10">
        <v>87.45</v>
      </c>
      <c r="U1458" s="10">
        <v>86.73</v>
      </c>
      <c r="V1458" s="10">
        <v>86.03</v>
      </c>
      <c r="W1458" s="10">
        <v>85.33</v>
      </c>
      <c r="X1458" s="10">
        <v>84.67</v>
      </c>
      <c r="Y1458" s="10">
        <v>84.03</v>
      </c>
      <c r="Z1458" s="11">
        <v>95.513000000000005</v>
      </c>
      <c r="AA1458" s="11">
        <v>94.096999999999994</v>
      </c>
      <c r="AB1458" s="11">
        <v>91.992999999999995</v>
      </c>
      <c r="AC1458" s="11">
        <v>90.599000000000004</v>
      </c>
      <c r="AD1458" s="11">
        <v>89.370999999999995</v>
      </c>
      <c r="AE1458" s="11">
        <v>88.524000000000001</v>
      </c>
      <c r="AF1458" s="11">
        <v>87.816000000000003</v>
      </c>
      <c r="AG1458" s="11">
        <v>87.210999999999999</v>
      </c>
      <c r="AH1458" s="11">
        <v>86.619</v>
      </c>
      <c r="AI1458" s="11">
        <v>86.144999999999996</v>
      </c>
      <c r="AJ1458" s="11">
        <v>85.706000000000003</v>
      </c>
      <c r="AK1458" s="11">
        <v>85.266999999999996</v>
      </c>
      <c r="AL1458" s="11"/>
    </row>
    <row r="1459" spans="1:38" x14ac:dyDescent="0.3">
      <c r="A1459" s="9">
        <f>DATE(2022, 8, 22)</f>
        <v>44795</v>
      </c>
      <c r="B1459" s="10">
        <v>96.48</v>
      </c>
      <c r="C1459" s="10">
        <v>95.81</v>
      </c>
      <c r="D1459" s="10">
        <v>94.88</v>
      </c>
      <c r="E1459" s="10">
        <v>93.94</v>
      </c>
      <c r="F1459" s="10">
        <v>93.04</v>
      </c>
      <c r="G1459" s="10">
        <v>92.2</v>
      </c>
      <c r="H1459" s="10">
        <v>91.44</v>
      </c>
      <c r="I1459" s="10">
        <v>90.76</v>
      </c>
      <c r="J1459" s="10">
        <v>90.12</v>
      </c>
      <c r="K1459" s="10">
        <v>89.55</v>
      </c>
      <c r="L1459" s="10">
        <v>88.99</v>
      </c>
      <c r="M1459" s="10">
        <v>88.48</v>
      </c>
      <c r="N1459" s="10">
        <v>90.23</v>
      </c>
      <c r="O1459" s="10">
        <v>90.36</v>
      </c>
      <c r="P1459" s="10">
        <v>89.97</v>
      </c>
      <c r="Q1459" s="10">
        <v>89.45</v>
      </c>
      <c r="R1459" s="10">
        <v>88.78</v>
      </c>
      <c r="S1459" s="10">
        <v>88.04</v>
      </c>
      <c r="T1459" s="10">
        <v>87.31</v>
      </c>
      <c r="U1459" s="10">
        <v>86.6</v>
      </c>
      <c r="V1459" s="10">
        <v>85.91</v>
      </c>
      <c r="W1459" s="10">
        <v>85.25</v>
      </c>
      <c r="X1459" s="10">
        <v>84.61</v>
      </c>
      <c r="Y1459" s="10">
        <v>83.97</v>
      </c>
      <c r="Z1459" s="11">
        <v>95.372</v>
      </c>
      <c r="AA1459" s="11">
        <v>93.918000000000006</v>
      </c>
      <c r="AB1459" s="11">
        <v>91.855000000000004</v>
      </c>
      <c r="AC1459" s="11">
        <v>90.489000000000004</v>
      </c>
      <c r="AD1459" s="11">
        <v>89.32</v>
      </c>
      <c r="AE1459" s="11">
        <v>88.444000000000003</v>
      </c>
      <c r="AF1459" s="11">
        <v>87.695999999999998</v>
      </c>
      <c r="AG1459" s="11">
        <v>87.132000000000005</v>
      </c>
      <c r="AH1459" s="11">
        <v>86.56</v>
      </c>
      <c r="AI1459" s="11">
        <v>86.046000000000006</v>
      </c>
      <c r="AJ1459" s="11">
        <v>85.576999999999998</v>
      </c>
      <c r="AK1459" s="11">
        <v>85.158000000000001</v>
      </c>
      <c r="AL1459" s="11"/>
    </row>
    <row r="1460" spans="1:38" x14ac:dyDescent="0.3">
      <c r="A1460" s="9">
        <f>DATE(2022, 8, 23)</f>
        <v>44796</v>
      </c>
      <c r="B1460" s="10">
        <v>100.22</v>
      </c>
      <c r="C1460" s="10">
        <v>99.17</v>
      </c>
      <c r="D1460" s="10">
        <v>98</v>
      </c>
      <c r="E1460" s="10">
        <v>96.87</v>
      </c>
      <c r="F1460" s="10">
        <v>95.79</v>
      </c>
      <c r="G1460" s="10">
        <v>94.8</v>
      </c>
      <c r="H1460" s="10">
        <v>93.92</v>
      </c>
      <c r="I1460" s="10">
        <v>93.12</v>
      </c>
      <c r="J1460" s="10">
        <v>92.38</v>
      </c>
      <c r="K1460" s="10">
        <v>91.72</v>
      </c>
      <c r="L1460" s="10">
        <v>91.07</v>
      </c>
      <c r="M1460" s="10">
        <v>90.47</v>
      </c>
      <c r="N1460" s="10">
        <v>93.74</v>
      </c>
      <c r="O1460" s="10">
        <v>93.25</v>
      </c>
      <c r="P1460" s="10">
        <v>92.53</v>
      </c>
      <c r="Q1460" s="10">
        <v>91.68</v>
      </c>
      <c r="R1460" s="10">
        <v>90.76</v>
      </c>
      <c r="S1460" s="10">
        <v>89.87</v>
      </c>
      <c r="T1460" s="10">
        <v>89.02</v>
      </c>
      <c r="U1460" s="10">
        <v>88.2</v>
      </c>
      <c r="V1460" s="10">
        <v>87.41</v>
      </c>
      <c r="W1460" s="10">
        <v>86.65</v>
      </c>
      <c r="X1460" s="10">
        <v>85.9</v>
      </c>
      <c r="Y1460" s="10">
        <v>85.19</v>
      </c>
      <c r="Z1460" s="11">
        <v>96.25</v>
      </c>
      <c r="AA1460" s="11">
        <v>97.19</v>
      </c>
      <c r="AB1460" s="11">
        <v>94.938999999999993</v>
      </c>
      <c r="AC1460" s="11">
        <v>93.433000000000007</v>
      </c>
      <c r="AD1460" s="11">
        <v>92.084000000000003</v>
      </c>
      <c r="AE1460" s="11">
        <v>91.078000000000003</v>
      </c>
      <c r="AF1460" s="11">
        <v>90.23</v>
      </c>
      <c r="AG1460" s="11">
        <v>89.507999999999996</v>
      </c>
      <c r="AH1460" s="11">
        <v>88.825000000000003</v>
      </c>
      <c r="AI1460" s="11">
        <v>88.281999999999996</v>
      </c>
      <c r="AJ1460" s="11">
        <v>87.722999999999999</v>
      </c>
      <c r="AK1460" s="11">
        <v>87.274000000000001</v>
      </c>
      <c r="AL1460" s="11"/>
    </row>
    <row r="1461" spans="1:38" x14ac:dyDescent="0.3">
      <c r="A1461" s="9">
        <f>DATE(2022, 8, 24)</f>
        <v>44797</v>
      </c>
      <c r="B1461" s="10">
        <v>101.22</v>
      </c>
      <c r="C1461" s="10">
        <v>100.34</v>
      </c>
      <c r="D1461" s="10">
        <v>99.11</v>
      </c>
      <c r="E1461" s="10">
        <v>97.88</v>
      </c>
      <c r="F1461" s="10">
        <v>96.66</v>
      </c>
      <c r="G1461" s="10">
        <v>95.54</v>
      </c>
      <c r="H1461" s="10">
        <v>94.54</v>
      </c>
      <c r="I1461" s="10">
        <v>93.64</v>
      </c>
      <c r="J1461" s="10">
        <v>92.81</v>
      </c>
      <c r="K1461" s="10">
        <v>92.08</v>
      </c>
      <c r="L1461" s="10">
        <v>91.39</v>
      </c>
      <c r="M1461" s="10">
        <v>90.74</v>
      </c>
      <c r="N1461" s="10">
        <v>94.89</v>
      </c>
      <c r="O1461" s="10">
        <v>94.4</v>
      </c>
      <c r="P1461" s="10">
        <v>93.65</v>
      </c>
      <c r="Q1461" s="10">
        <v>92.72</v>
      </c>
      <c r="R1461" s="10">
        <v>91.69</v>
      </c>
      <c r="S1461" s="10">
        <v>90.67</v>
      </c>
      <c r="T1461" s="10">
        <v>89.71</v>
      </c>
      <c r="U1461" s="10">
        <v>88.8</v>
      </c>
      <c r="V1461" s="10">
        <v>87.92</v>
      </c>
      <c r="W1461" s="10">
        <v>87.09</v>
      </c>
      <c r="X1461" s="10">
        <v>86.28</v>
      </c>
      <c r="Y1461" s="10">
        <v>85.49</v>
      </c>
      <c r="Z1461" s="11">
        <v>96.573999999999998</v>
      </c>
      <c r="AA1461" s="11">
        <v>98.453000000000003</v>
      </c>
      <c r="AB1461" s="11">
        <v>96.070999999999998</v>
      </c>
      <c r="AC1461" s="11">
        <v>94.405000000000001</v>
      </c>
      <c r="AD1461" s="11">
        <v>92.923000000000002</v>
      </c>
      <c r="AE1461" s="11">
        <v>91.772999999999996</v>
      </c>
      <c r="AF1461" s="11">
        <v>90.835999999999999</v>
      </c>
      <c r="AG1461" s="11">
        <v>90.043999999999997</v>
      </c>
      <c r="AH1461" s="11">
        <v>89.311999999999998</v>
      </c>
      <c r="AI1461" s="11">
        <v>88.72</v>
      </c>
      <c r="AJ1461" s="11">
        <v>88.15</v>
      </c>
      <c r="AK1461" s="11">
        <v>87.602000000000004</v>
      </c>
      <c r="AL1461" s="11"/>
    </row>
    <row r="1462" spans="1:38" x14ac:dyDescent="0.3">
      <c r="A1462" s="9">
        <f>DATE(2022, 8, 25)</f>
        <v>44798</v>
      </c>
      <c r="B1462" s="10">
        <v>99.34</v>
      </c>
      <c r="C1462" s="10">
        <v>98.46</v>
      </c>
      <c r="D1462" s="10">
        <v>97.25</v>
      </c>
      <c r="E1462" s="10">
        <v>96.02</v>
      </c>
      <c r="F1462" s="10">
        <v>94.79</v>
      </c>
      <c r="G1462" s="10">
        <v>93.67</v>
      </c>
      <c r="H1462" s="10">
        <v>92.67</v>
      </c>
      <c r="I1462" s="10">
        <v>91.77</v>
      </c>
      <c r="J1462" s="10">
        <v>90.95</v>
      </c>
      <c r="K1462" s="10">
        <v>90.25</v>
      </c>
      <c r="L1462" s="10">
        <v>89.57</v>
      </c>
      <c r="M1462" s="10">
        <v>88.94</v>
      </c>
      <c r="N1462" s="10">
        <v>92.52</v>
      </c>
      <c r="O1462" s="10">
        <v>92.19</v>
      </c>
      <c r="P1462" s="10">
        <v>91.58</v>
      </c>
      <c r="Q1462" s="10">
        <v>90.71</v>
      </c>
      <c r="R1462" s="10">
        <v>89.7</v>
      </c>
      <c r="S1462" s="10">
        <v>88.69</v>
      </c>
      <c r="T1462" s="10">
        <v>87.74</v>
      </c>
      <c r="U1462" s="10">
        <v>86.85</v>
      </c>
      <c r="V1462" s="10">
        <v>86.01</v>
      </c>
      <c r="W1462" s="10">
        <v>85.2</v>
      </c>
      <c r="X1462" s="10">
        <v>84.44</v>
      </c>
      <c r="Y1462" s="10">
        <v>83.72</v>
      </c>
      <c r="Z1462" s="11">
        <v>96.281000000000006</v>
      </c>
      <c r="AA1462" s="11">
        <v>97.054000000000002</v>
      </c>
      <c r="AB1462" s="11">
        <v>94.450999999999993</v>
      </c>
      <c r="AC1462" s="11">
        <v>92.534000000000006</v>
      </c>
      <c r="AD1462" s="11">
        <v>90.972999999999999</v>
      </c>
      <c r="AE1462" s="11">
        <v>89.831999999999994</v>
      </c>
      <c r="AF1462" s="11">
        <v>88.965000000000003</v>
      </c>
      <c r="AG1462" s="11">
        <v>88.174000000000007</v>
      </c>
      <c r="AH1462" s="11">
        <v>87.442999999999998</v>
      </c>
      <c r="AI1462" s="11">
        <v>86.83</v>
      </c>
      <c r="AJ1462" s="11">
        <v>86.290999999999997</v>
      </c>
      <c r="AK1462" s="11">
        <v>85.772999999999996</v>
      </c>
      <c r="AL1462" s="11"/>
    </row>
    <row r="1463" spans="1:38" x14ac:dyDescent="0.3">
      <c r="A1463" s="9">
        <f>DATE(2022, 8, 26)</f>
        <v>44799</v>
      </c>
      <c r="B1463" s="10">
        <v>100.99</v>
      </c>
      <c r="C1463" s="10">
        <v>99.01</v>
      </c>
      <c r="D1463" s="10">
        <v>97.35</v>
      </c>
      <c r="E1463" s="10">
        <v>95.87</v>
      </c>
      <c r="F1463" s="10">
        <v>94.51</v>
      </c>
      <c r="G1463" s="10">
        <v>93.33</v>
      </c>
      <c r="H1463" s="10">
        <v>92.3</v>
      </c>
      <c r="I1463" s="10">
        <v>91.42</v>
      </c>
      <c r="J1463" s="10">
        <v>90.62</v>
      </c>
      <c r="K1463" s="10">
        <v>89.94</v>
      </c>
      <c r="L1463" s="10">
        <v>89.28</v>
      </c>
      <c r="M1463" s="10">
        <v>88.67</v>
      </c>
      <c r="N1463" s="10">
        <v>93.06</v>
      </c>
      <c r="O1463" s="10">
        <v>92.39</v>
      </c>
      <c r="P1463" s="10">
        <v>91.55</v>
      </c>
      <c r="Q1463" s="10">
        <v>90.5</v>
      </c>
      <c r="R1463" s="10">
        <v>89.4</v>
      </c>
      <c r="S1463" s="10">
        <v>88.35</v>
      </c>
      <c r="T1463" s="10">
        <v>87.38</v>
      </c>
      <c r="U1463" s="10">
        <v>86.48</v>
      </c>
      <c r="V1463" s="10">
        <v>85.64</v>
      </c>
      <c r="W1463" s="10">
        <v>84.85</v>
      </c>
      <c r="X1463" s="10">
        <v>84.11</v>
      </c>
      <c r="Y1463" s="10">
        <v>83.41</v>
      </c>
      <c r="Z1463" s="11">
        <v>96.456999999999994</v>
      </c>
      <c r="AA1463" s="11">
        <v>97.915000000000006</v>
      </c>
      <c r="AB1463" s="11">
        <v>94.67</v>
      </c>
      <c r="AC1463" s="11">
        <v>92.378</v>
      </c>
      <c r="AD1463" s="11">
        <v>90.597999999999999</v>
      </c>
      <c r="AE1463" s="11">
        <v>89.290999999999997</v>
      </c>
      <c r="AF1463" s="11">
        <v>88.355999999999995</v>
      </c>
      <c r="AG1463" s="11">
        <v>87.614999999999995</v>
      </c>
      <c r="AH1463" s="11">
        <v>86.933999999999997</v>
      </c>
      <c r="AI1463" s="11">
        <v>86.331000000000003</v>
      </c>
      <c r="AJ1463" s="11">
        <v>85.802000000000007</v>
      </c>
      <c r="AK1463" s="11">
        <v>85.323999999999998</v>
      </c>
      <c r="AL1463" s="11"/>
    </row>
    <row r="1464" spans="1:38" x14ac:dyDescent="0.3">
      <c r="A1464" s="9">
        <f>DATE(2022, 8, 29)</f>
        <v>44802</v>
      </c>
      <c r="B1464" s="10">
        <v>105.09</v>
      </c>
      <c r="C1464" s="10">
        <v>102.93</v>
      </c>
      <c r="D1464" s="10">
        <v>100.94</v>
      </c>
      <c r="E1464" s="10">
        <v>99.11</v>
      </c>
      <c r="F1464" s="10">
        <v>97.47</v>
      </c>
      <c r="G1464" s="10">
        <v>96.07</v>
      </c>
      <c r="H1464" s="10">
        <v>94.87</v>
      </c>
      <c r="I1464" s="10">
        <v>93.83</v>
      </c>
      <c r="J1464" s="10">
        <v>92.88</v>
      </c>
      <c r="K1464" s="10">
        <v>92.08</v>
      </c>
      <c r="L1464" s="10">
        <v>91.31</v>
      </c>
      <c r="M1464" s="10">
        <v>90.59</v>
      </c>
      <c r="N1464" s="10">
        <v>97.01</v>
      </c>
      <c r="O1464" s="10">
        <v>96.19</v>
      </c>
      <c r="P1464" s="10">
        <v>95.03</v>
      </c>
      <c r="Q1464" s="10">
        <v>93.73</v>
      </c>
      <c r="R1464" s="10">
        <v>92.37</v>
      </c>
      <c r="S1464" s="10">
        <v>91.1</v>
      </c>
      <c r="T1464" s="10">
        <v>89.94</v>
      </c>
      <c r="U1464" s="10">
        <v>88.88</v>
      </c>
      <c r="V1464" s="10">
        <v>87.91</v>
      </c>
      <c r="W1464" s="10">
        <v>87</v>
      </c>
      <c r="X1464" s="10">
        <v>86.14</v>
      </c>
      <c r="Y1464" s="10">
        <v>85.33</v>
      </c>
      <c r="Z1464" s="11">
        <v>96.831000000000003</v>
      </c>
      <c r="AA1464" s="11">
        <v>101.56</v>
      </c>
      <c r="AB1464" s="11">
        <v>97.893000000000001</v>
      </c>
      <c r="AC1464" s="11">
        <v>95.325000000000003</v>
      </c>
      <c r="AD1464" s="11">
        <v>93.266999999999996</v>
      </c>
      <c r="AE1464" s="11">
        <v>91.763000000000005</v>
      </c>
      <c r="AF1464" s="11">
        <v>90.608000000000004</v>
      </c>
      <c r="AG1464" s="11">
        <v>89.709000000000003</v>
      </c>
      <c r="AH1464" s="11">
        <v>88.878</v>
      </c>
      <c r="AI1464" s="11">
        <v>88.156999999999996</v>
      </c>
      <c r="AJ1464" s="11">
        <v>87.516999999999996</v>
      </c>
      <c r="AK1464" s="11">
        <v>86.948999999999998</v>
      </c>
      <c r="AL1464" s="11"/>
    </row>
    <row r="1465" spans="1:38" x14ac:dyDescent="0.3">
      <c r="A1465" s="9">
        <f>DATE(2022, 8, 30)</f>
        <v>44803</v>
      </c>
      <c r="B1465" s="10">
        <v>99.31</v>
      </c>
      <c r="C1465" s="10">
        <v>97.84</v>
      </c>
      <c r="D1465" s="10">
        <v>96.46</v>
      </c>
      <c r="E1465" s="10">
        <v>95.06</v>
      </c>
      <c r="F1465" s="10">
        <v>93.68</v>
      </c>
      <c r="G1465" s="10">
        <v>92.49</v>
      </c>
      <c r="H1465" s="10">
        <v>91.46</v>
      </c>
      <c r="I1465" s="10">
        <v>90.55</v>
      </c>
      <c r="J1465" s="10">
        <v>89.71</v>
      </c>
      <c r="K1465" s="10">
        <v>88.99</v>
      </c>
      <c r="L1465" s="10">
        <v>88.28</v>
      </c>
      <c r="M1465" s="10">
        <v>87.63</v>
      </c>
      <c r="N1465" s="10">
        <v>91.64</v>
      </c>
      <c r="O1465" s="10">
        <v>91.17</v>
      </c>
      <c r="P1465" s="10">
        <v>90.46</v>
      </c>
      <c r="Q1465" s="10">
        <v>89.53</v>
      </c>
      <c r="R1465" s="10">
        <v>88.47</v>
      </c>
      <c r="S1465" s="10">
        <v>87.45</v>
      </c>
      <c r="T1465" s="10">
        <v>86.49</v>
      </c>
      <c r="U1465" s="10">
        <v>85.59</v>
      </c>
      <c r="V1465" s="10">
        <v>84.74</v>
      </c>
      <c r="W1465" s="10">
        <v>83.94</v>
      </c>
      <c r="X1465" s="10">
        <v>83.18</v>
      </c>
      <c r="Y1465" s="10">
        <v>82.46</v>
      </c>
      <c r="Z1465" s="11">
        <v>96.603999999999999</v>
      </c>
      <c r="AA1465" s="11">
        <v>96.617000000000004</v>
      </c>
      <c r="AB1465" s="11">
        <v>93.453000000000003</v>
      </c>
      <c r="AC1465" s="11">
        <v>91.126999999999995</v>
      </c>
      <c r="AD1465" s="11">
        <v>89.337000000000003</v>
      </c>
      <c r="AE1465" s="11">
        <v>87.991</v>
      </c>
      <c r="AF1465" s="11">
        <v>87.125</v>
      </c>
      <c r="AG1465" s="11">
        <v>86.423000000000002</v>
      </c>
      <c r="AH1465" s="11">
        <v>85.652000000000001</v>
      </c>
      <c r="AI1465" s="11">
        <v>84.998999999999995</v>
      </c>
      <c r="AJ1465" s="11">
        <v>84.34</v>
      </c>
      <c r="AK1465" s="11">
        <v>83.790999999999997</v>
      </c>
      <c r="AL1465" s="11"/>
    </row>
    <row r="1466" spans="1:38" x14ac:dyDescent="0.3">
      <c r="A1466" s="9">
        <f>DATE(2022, 8, 31)</f>
        <v>44804</v>
      </c>
      <c r="B1466" s="10">
        <v>96.49</v>
      </c>
      <c r="C1466" s="10">
        <v>95.64</v>
      </c>
      <c r="D1466" s="10">
        <v>94.21</v>
      </c>
      <c r="E1466" s="10">
        <v>92.93</v>
      </c>
      <c r="F1466" s="10">
        <v>91.74</v>
      </c>
      <c r="G1466" s="10">
        <v>90.76</v>
      </c>
      <c r="H1466" s="10">
        <v>89.93</v>
      </c>
      <c r="I1466" s="10">
        <v>89.19</v>
      </c>
      <c r="J1466" s="10">
        <v>88.49</v>
      </c>
      <c r="K1466" s="10">
        <v>87.88</v>
      </c>
      <c r="L1466" s="10">
        <v>87.25</v>
      </c>
      <c r="M1466" s="10">
        <v>86.65</v>
      </c>
      <c r="N1466" s="10">
        <v>89.55</v>
      </c>
      <c r="O1466" s="10">
        <v>89.03</v>
      </c>
      <c r="P1466" s="10">
        <v>88.31</v>
      </c>
      <c r="Q1466" s="10">
        <v>87.52</v>
      </c>
      <c r="R1466" s="10">
        <v>86.67</v>
      </c>
      <c r="S1466" s="10">
        <v>85.84</v>
      </c>
      <c r="T1466" s="10">
        <v>85.03</v>
      </c>
      <c r="U1466" s="10">
        <v>84.26</v>
      </c>
      <c r="V1466" s="10">
        <v>83.54</v>
      </c>
      <c r="W1466" s="10">
        <v>82.83</v>
      </c>
      <c r="X1466" s="10">
        <v>82.14</v>
      </c>
      <c r="Y1466" s="10">
        <v>81.47</v>
      </c>
      <c r="Z1466" s="11">
        <v>96.600999999999999</v>
      </c>
      <c r="AA1466" s="11">
        <v>95.025000000000006</v>
      </c>
      <c r="AB1466" s="11">
        <v>91.619</v>
      </c>
      <c r="AC1466" s="11">
        <v>89.256</v>
      </c>
      <c r="AD1466" s="11">
        <v>87.587000000000003</v>
      </c>
      <c r="AE1466" s="11">
        <v>86.47</v>
      </c>
      <c r="AF1466" s="11">
        <v>85.703000000000003</v>
      </c>
      <c r="AG1466" s="11">
        <v>85.07</v>
      </c>
      <c r="AH1466" s="11">
        <v>84.438000000000002</v>
      </c>
      <c r="AI1466" s="11">
        <v>83.923000000000002</v>
      </c>
      <c r="AJ1466" s="11">
        <v>83.433000000000007</v>
      </c>
      <c r="AK1466" s="11">
        <v>82.951999999999998</v>
      </c>
      <c r="AL1466" s="11"/>
    </row>
    <row r="1467" spans="1:38" x14ac:dyDescent="0.3">
      <c r="A1467" s="9">
        <f>DATE(2022, 9, 1)</f>
        <v>44805</v>
      </c>
      <c r="B1467" s="10">
        <v>92.36</v>
      </c>
      <c r="C1467" s="10">
        <v>91.32</v>
      </c>
      <c r="D1467" s="10">
        <v>90.3</v>
      </c>
      <c r="E1467" s="10">
        <v>89.28</v>
      </c>
      <c r="F1467" s="10">
        <v>88.35</v>
      </c>
      <c r="G1467" s="10">
        <v>87.54</v>
      </c>
      <c r="H1467" s="10">
        <v>86.82</v>
      </c>
      <c r="I1467" s="10">
        <v>86.12</v>
      </c>
      <c r="J1467" s="10">
        <v>85.51</v>
      </c>
      <c r="K1467" s="10">
        <v>84.9</v>
      </c>
      <c r="L1467" s="10">
        <v>84.31</v>
      </c>
      <c r="M1467" s="10">
        <v>83.75</v>
      </c>
      <c r="N1467" s="10">
        <v>86.61</v>
      </c>
      <c r="O1467" s="10">
        <v>86.22</v>
      </c>
      <c r="P1467" s="10">
        <v>85.66</v>
      </c>
      <c r="Q1467" s="10">
        <v>84.99</v>
      </c>
      <c r="R1467" s="10">
        <v>84.24</v>
      </c>
      <c r="S1467" s="10">
        <v>83.47</v>
      </c>
      <c r="T1467" s="10">
        <v>82.72</v>
      </c>
      <c r="U1467" s="10">
        <v>82</v>
      </c>
      <c r="V1467" s="10">
        <v>81.3</v>
      </c>
      <c r="W1467" s="10">
        <v>80.62</v>
      </c>
      <c r="X1467" s="10">
        <v>79.959999999999994</v>
      </c>
      <c r="Y1467" s="10">
        <v>79.349999999999994</v>
      </c>
      <c r="Z1467" s="11">
        <v>96.600999999999999</v>
      </c>
      <c r="AA1467" s="11">
        <v>92.176000000000002</v>
      </c>
      <c r="AB1467" s="11">
        <v>88.840999999999994</v>
      </c>
      <c r="AC1467" s="11">
        <v>86.843999999999994</v>
      </c>
      <c r="AD1467" s="11">
        <v>85.391000000000005</v>
      </c>
      <c r="AE1467" s="11">
        <v>84.290999999999997</v>
      </c>
      <c r="AF1467" s="11">
        <v>83.543999999999997</v>
      </c>
      <c r="AG1467" s="11">
        <v>82.93</v>
      </c>
      <c r="AH1467" s="11">
        <v>82.328000000000003</v>
      </c>
      <c r="AI1467" s="11">
        <v>81.772999999999996</v>
      </c>
      <c r="AJ1467" s="11">
        <v>81.253</v>
      </c>
      <c r="AK1467" s="11">
        <v>80.832999999999998</v>
      </c>
      <c r="AL1467" s="11"/>
    </row>
    <row r="1468" spans="1:38" x14ac:dyDescent="0.3">
      <c r="A1468" s="9">
        <f>DATE(2022, 9, 2)</f>
        <v>44806</v>
      </c>
      <c r="B1468" s="10">
        <v>93.02</v>
      </c>
      <c r="C1468" s="10">
        <v>91.81</v>
      </c>
      <c r="D1468" s="10">
        <v>90.66</v>
      </c>
      <c r="E1468" s="10">
        <v>89.52</v>
      </c>
      <c r="F1468" s="10">
        <v>88.52</v>
      </c>
      <c r="G1468" s="10">
        <v>87.68</v>
      </c>
      <c r="H1468" s="10">
        <v>86.94</v>
      </c>
      <c r="I1468" s="10">
        <v>86.24</v>
      </c>
      <c r="J1468" s="10">
        <v>85.63</v>
      </c>
      <c r="K1468" s="10">
        <v>85.02</v>
      </c>
      <c r="L1468" s="10">
        <v>84.4</v>
      </c>
      <c r="M1468" s="10">
        <v>83.81</v>
      </c>
      <c r="N1468" s="10">
        <v>86.87</v>
      </c>
      <c r="O1468" s="10">
        <v>86.48</v>
      </c>
      <c r="P1468" s="10">
        <v>85.9</v>
      </c>
      <c r="Q1468" s="10">
        <v>85.19</v>
      </c>
      <c r="R1468" s="10">
        <v>84.41</v>
      </c>
      <c r="S1468" s="10">
        <v>83.63</v>
      </c>
      <c r="T1468" s="10">
        <v>82.88</v>
      </c>
      <c r="U1468" s="10">
        <v>82.16</v>
      </c>
      <c r="V1468" s="10">
        <v>81.459999999999994</v>
      </c>
      <c r="W1468" s="10">
        <v>80.760000000000005</v>
      </c>
      <c r="X1468" s="10">
        <v>80.08</v>
      </c>
      <c r="Y1468" s="10">
        <v>79.430000000000007</v>
      </c>
      <c r="Z1468" s="11">
        <v>93.027000000000001</v>
      </c>
      <c r="AA1468" s="11">
        <v>89.594999999999999</v>
      </c>
      <c r="AB1468" s="11">
        <v>87.444000000000003</v>
      </c>
      <c r="AC1468" s="11">
        <v>85.825000000000003</v>
      </c>
      <c r="AD1468" s="11">
        <v>84.62</v>
      </c>
      <c r="AE1468" s="11">
        <v>83.813000000000002</v>
      </c>
      <c r="AF1468" s="11">
        <v>83.05</v>
      </c>
      <c r="AG1468" s="11">
        <v>82.477999999999994</v>
      </c>
      <c r="AH1468" s="11">
        <v>81.903000000000006</v>
      </c>
      <c r="AI1468" s="11">
        <v>81.421999999999997</v>
      </c>
      <c r="AJ1468" s="11">
        <v>80.921999999999997</v>
      </c>
      <c r="AK1468" s="11">
        <v>80.406999999999996</v>
      </c>
      <c r="AL1468" s="11"/>
    </row>
    <row r="1469" spans="1:38" x14ac:dyDescent="0.3">
      <c r="A1469" s="9">
        <f>DATE(2022, 9, 5)</f>
        <v>44809</v>
      </c>
      <c r="B1469" s="10">
        <v>95.74</v>
      </c>
      <c r="C1469" s="10">
        <v>94.4</v>
      </c>
      <c r="D1469" s="10">
        <v>93.07</v>
      </c>
      <c r="E1469" s="10">
        <v>91.77</v>
      </c>
      <c r="F1469" s="10">
        <v>90.61</v>
      </c>
      <c r="G1469" s="10">
        <v>89.61</v>
      </c>
      <c r="H1469" s="10">
        <v>88.72</v>
      </c>
      <c r="I1469" s="10">
        <v>87.88</v>
      </c>
      <c r="J1469" s="10">
        <v>87.15</v>
      </c>
      <c r="K1469" s="10">
        <v>86.4</v>
      </c>
      <c r="L1469" s="10">
        <v>85.67</v>
      </c>
      <c r="M1469" s="10">
        <v>84.96</v>
      </c>
      <c r="N1469" s="10">
        <v>86.87</v>
      </c>
      <c r="O1469" s="10">
        <v>86.48</v>
      </c>
      <c r="P1469" s="10">
        <v>85.9</v>
      </c>
      <c r="Q1469" s="10">
        <v>85.19</v>
      </c>
      <c r="R1469" s="10">
        <v>84.41</v>
      </c>
      <c r="S1469" s="10">
        <v>83.63</v>
      </c>
      <c r="T1469" s="10">
        <v>82.88</v>
      </c>
      <c r="U1469" s="10">
        <v>82.16</v>
      </c>
      <c r="V1469" s="10">
        <v>81.459999999999994</v>
      </c>
      <c r="W1469" s="10">
        <v>80.760000000000005</v>
      </c>
      <c r="X1469" s="10">
        <v>80.08</v>
      </c>
      <c r="Y1469" s="10">
        <v>79.430000000000007</v>
      </c>
      <c r="Z1469" s="11">
        <v>95.281999999999996</v>
      </c>
      <c r="AA1469" s="11">
        <v>92.326999999999998</v>
      </c>
      <c r="AB1469" s="11">
        <v>89.930999999999997</v>
      </c>
      <c r="AC1469" s="11">
        <v>88.058999999999997</v>
      </c>
      <c r="AD1469" s="11">
        <v>86.701999999999998</v>
      </c>
      <c r="AE1469" s="11">
        <v>85.736000000000004</v>
      </c>
      <c r="AF1469" s="11">
        <v>84.903000000000006</v>
      </c>
      <c r="AG1469" s="11">
        <v>84.152000000000001</v>
      </c>
      <c r="AH1469" s="11">
        <v>83.497</v>
      </c>
      <c r="AI1469" s="11">
        <v>82.867000000000004</v>
      </c>
      <c r="AJ1469" s="11">
        <v>82.225999999999999</v>
      </c>
      <c r="AK1469" s="11">
        <v>81.602000000000004</v>
      </c>
      <c r="AL1469" s="11"/>
    </row>
    <row r="1470" spans="1:38" x14ac:dyDescent="0.3">
      <c r="A1470" s="9">
        <f>DATE(2022, 9, 6)</f>
        <v>44810</v>
      </c>
      <c r="B1470" s="10">
        <v>92.83</v>
      </c>
      <c r="C1470" s="10">
        <v>91.97</v>
      </c>
      <c r="D1470" s="10">
        <v>90.92</v>
      </c>
      <c r="E1470" s="10">
        <v>89.84</v>
      </c>
      <c r="F1470" s="10">
        <v>88.85</v>
      </c>
      <c r="G1470" s="10">
        <v>87.99</v>
      </c>
      <c r="H1470" s="10">
        <v>87.23</v>
      </c>
      <c r="I1470" s="10">
        <v>86.53</v>
      </c>
      <c r="J1470" s="10">
        <v>85.92</v>
      </c>
      <c r="K1470" s="10">
        <v>85.27</v>
      </c>
      <c r="L1470" s="10">
        <v>84.65</v>
      </c>
      <c r="M1470" s="10">
        <v>84.03</v>
      </c>
      <c r="N1470" s="10">
        <v>86.88</v>
      </c>
      <c r="O1470" s="10">
        <v>86.51</v>
      </c>
      <c r="P1470" s="10">
        <v>86.03</v>
      </c>
      <c r="Q1470" s="10">
        <v>85.43</v>
      </c>
      <c r="R1470" s="10">
        <v>84.74</v>
      </c>
      <c r="S1470" s="10">
        <v>84</v>
      </c>
      <c r="T1470" s="10">
        <v>83.28</v>
      </c>
      <c r="U1470" s="10">
        <v>82.57</v>
      </c>
      <c r="V1470" s="10">
        <v>81.86</v>
      </c>
      <c r="W1470" s="10">
        <v>81.17</v>
      </c>
      <c r="X1470" s="10">
        <v>80.48</v>
      </c>
      <c r="Y1470" s="10">
        <v>79.819999999999993</v>
      </c>
      <c r="Z1470" s="11">
        <v>93.387</v>
      </c>
      <c r="AA1470" s="11">
        <v>89.92</v>
      </c>
      <c r="AB1470" s="11">
        <v>87.840999999999994</v>
      </c>
      <c r="AC1470" s="11">
        <v>86.256</v>
      </c>
      <c r="AD1470" s="11">
        <v>85.019000000000005</v>
      </c>
      <c r="AE1470" s="11">
        <v>84.191999999999993</v>
      </c>
      <c r="AF1470" s="11">
        <v>83.49</v>
      </c>
      <c r="AG1470" s="11">
        <v>82.847999999999999</v>
      </c>
      <c r="AH1470" s="11">
        <v>82.361999999999995</v>
      </c>
      <c r="AI1470" s="11">
        <v>81.792000000000002</v>
      </c>
      <c r="AJ1470" s="11">
        <v>81.25</v>
      </c>
      <c r="AK1470" s="11">
        <v>80.706000000000003</v>
      </c>
      <c r="AL1470" s="11"/>
    </row>
    <row r="1471" spans="1:38" x14ac:dyDescent="0.3">
      <c r="A1471" s="9">
        <f>DATE(2022, 9, 7)</f>
        <v>44811</v>
      </c>
      <c r="B1471" s="10">
        <v>88</v>
      </c>
      <c r="C1471" s="10">
        <v>87.21</v>
      </c>
      <c r="D1471" s="10">
        <v>86.31</v>
      </c>
      <c r="E1471" s="10">
        <v>85.43</v>
      </c>
      <c r="F1471" s="10">
        <v>84.6</v>
      </c>
      <c r="G1471" s="10">
        <v>83.84</v>
      </c>
      <c r="H1471" s="10">
        <v>83.15</v>
      </c>
      <c r="I1471" s="10">
        <v>82.51</v>
      </c>
      <c r="J1471" s="10">
        <v>81.97</v>
      </c>
      <c r="K1471" s="10">
        <v>81.41</v>
      </c>
      <c r="L1471" s="10">
        <v>80.87</v>
      </c>
      <c r="M1471" s="10">
        <v>80.37</v>
      </c>
      <c r="N1471" s="10">
        <v>81.94</v>
      </c>
      <c r="O1471" s="10">
        <v>81.63</v>
      </c>
      <c r="P1471" s="10">
        <v>81.25</v>
      </c>
      <c r="Q1471" s="10">
        <v>80.75</v>
      </c>
      <c r="R1471" s="10">
        <v>80.2</v>
      </c>
      <c r="S1471" s="10">
        <v>79.62</v>
      </c>
      <c r="T1471" s="10">
        <v>79.03</v>
      </c>
      <c r="U1471" s="10">
        <v>78.44</v>
      </c>
      <c r="V1471" s="10">
        <v>77.849999999999994</v>
      </c>
      <c r="W1471" s="10">
        <v>77.260000000000005</v>
      </c>
      <c r="X1471" s="10">
        <v>76.66</v>
      </c>
      <c r="Y1471" s="10">
        <v>76.099999999999994</v>
      </c>
      <c r="Z1471" s="11">
        <v>89.512</v>
      </c>
      <c r="AA1471" s="11">
        <v>85.156999999999996</v>
      </c>
      <c r="AB1471" s="11">
        <v>83.23</v>
      </c>
      <c r="AC1471" s="11">
        <v>81.840999999999994</v>
      </c>
      <c r="AD1471" s="11">
        <v>80.763999999999996</v>
      </c>
      <c r="AE1471" s="11">
        <v>80.055999999999997</v>
      </c>
      <c r="AF1471" s="11">
        <v>79.421999999999997</v>
      </c>
      <c r="AG1471" s="11">
        <v>78.882000000000005</v>
      </c>
      <c r="AH1471" s="11">
        <v>78.376000000000005</v>
      </c>
      <c r="AI1471" s="11">
        <v>77.924999999999997</v>
      </c>
      <c r="AJ1471" s="11">
        <v>77.525999999999996</v>
      </c>
      <c r="AK1471" s="11">
        <v>77.12</v>
      </c>
      <c r="AL1471" s="11"/>
    </row>
    <row r="1472" spans="1:38" x14ac:dyDescent="0.3">
      <c r="A1472" s="9">
        <f>DATE(2022, 9, 8)</f>
        <v>44812</v>
      </c>
      <c r="B1472" s="10">
        <v>89.15</v>
      </c>
      <c r="C1472" s="10">
        <v>88.25</v>
      </c>
      <c r="D1472" s="10">
        <v>87.22</v>
      </c>
      <c r="E1472" s="10">
        <v>86.24</v>
      </c>
      <c r="F1472" s="10">
        <v>85.32</v>
      </c>
      <c r="G1472" s="10">
        <v>84.5</v>
      </c>
      <c r="H1472" s="10">
        <v>83.78</v>
      </c>
      <c r="I1472" s="10">
        <v>83.1</v>
      </c>
      <c r="J1472" s="10">
        <v>82.53</v>
      </c>
      <c r="K1472" s="10">
        <v>81.95</v>
      </c>
      <c r="L1472" s="10">
        <v>81.38</v>
      </c>
      <c r="M1472" s="10">
        <v>80.849999999999994</v>
      </c>
      <c r="N1472" s="10">
        <v>83.54</v>
      </c>
      <c r="O1472" s="10">
        <v>83.07</v>
      </c>
      <c r="P1472" s="10">
        <v>82.46</v>
      </c>
      <c r="Q1472" s="10">
        <v>81.8</v>
      </c>
      <c r="R1472" s="10">
        <v>81.14</v>
      </c>
      <c r="S1472" s="10">
        <v>80.459999999999994</v>
      </c>
      <c r="T1472" s="10">
        <v>79.8</v>
      </c>
      <c r="U1472" s="10">
        <v>79.17</v>
      </c>
      <c r="V1472" s="10">
        <v>78.52</v>
      </c>
      <c r="W1472" s="10">
        <v>77.89</v>
      </c>
      <c r="X1472" s="10">
        <v>77.25</v>
      </c>
      <c r="Y1472" s="10">
        <v>76.650000000000006</v>
      </c>
      <c r="Z1472" s="11">
        <v>90.192999999999998</v>
      </c>
      <c r="AA1472" s="11">
        <v>86.1</v>
      </c>
      <c r="AB1472" s="11">
        <v>83.944999999999993</v>
      </c>
      <c r="AC1472" s="11">
        <v>82.402000000000001</v>
      </c>
      <c r="AD1472" s="11">
        <v>81.320999999999998</v>
      </c>
      <c r="AE1472" s="11">
        <v>80.554000000000002</v>
      </c>
      <c r="AF1472" s="11">
        <v>79.88</v>
      </c>
      <c r="AG1472" s="11">
        <v>79.28</v>
      </c>
      <c r="AH1472" s="11">
        <v>78.775000000000006</v>
      </c>
      <c r="AI1472" s="11">
        <v>78.323999999999998</v>
      </c>
      <c r="AJ1472" s="11">
        <v>77.885000000000005</v>
      </c>
      <c r="AK1472" s="11">
        <v>77.438999999999993</v>
      </c>
      <c r="AL1472" s="11"/>
    </row>
    <row r="1473" spans="1:38" x14ac:dyDescent="0.3">
      <c r="A1473" s="9">
        <f>DATE(2022, 9, 9)</f>
        <v>44813</v>
      </c>
      <c r="B1473" s="10">
        <v>92.84</v>
      </c>
      <c r="C1473" s="10">
        <v>91.71</v>
      </c>
      <c r="D1473" s="10">
        <v>90.42</v>
      </c>
      <c r="E1473" s="10">
        <v>89.33</v>
      </c>
      <c r="F1473" s="10">
        <v>88.36</v>
      </c>
      <c r="G1473" s="10">
        <v>87.48</v>
      </c>
      <c r="H1473" s="10">
        <v>86.7</v>
      </c>
      <c r="I1473" s="10">
        <v>85.98</v>
      </c>
      <c r="J1473" s="10">
        <v>85.37</v>
      </c>
      <c r="K1473" s="10">
        <v>84.75</v>
      </c>
      <c r="L1473" s="10">
        <v>84.14</v>
      </c>
      <c r="M1473" s="10">
        <v>83.58</v>
      </c>
      <c r="N1473" s="10">
        <v>86.79</v>
      </c>
      <c r="O1473" s="10">
        <v>86.36</v>
      </c>
      <c r="P1473" s="10">
        <v>85.75</v>
      </c>
      <c r="Q1473" s="10">
        <v>85.05</v>
      </c>
      <c r="R1473" s="10">
        <v>84.33</v>
      </c>
      <c r="S1473" s="10">
        <v>83.6</v>
      </c>
      <c r="T1473" s="10">
        <v>82.89</v>
      </c>
      <c r="U1473" s="10">
        <v>82.21</v>
      </c>
      <c r="V1473" s="10">
        <v>81.52</v>
      </c>
      <c r="W1473" s="10">
        <v>80.849999999999994</v>
      </c>
      <c r="X1473" s="10">
        <v>80.180000000000007</v>
      </c>
      <c r="Y1473" s="10">
        <v>79.55</v>
      </c>
      <c r="Z1473" s="11">
        <v>92.736000000000004</v>
      </c>
      <c r="AA1473" s="11">
        <v>89.688999999999993</v>
      </c>
      <c r="AB1473" s="11">
        <v>87.14</v>
      </c>
      <c r="AC1473" s="11">
        <v>85.418000000000006</v>
      </c>
      <c r="AD1473" s="11">
        <v>84.278000000000006</v>
      </c>
      <c r="AE1473" s="11">
        <v>83.450999999999993</v>
      </c>
      <c r="AF1473" s="11">
        <v>82.718999999999994</v>
      </c>
      <c r="AG1473" s="11">
        <v>82.108000000000004</v>
      </c>
      <c r="AH1473" s="11">
        <v>81.503</v>
      </c>
      <c r="AI1473" s="11">
        <v>80.981999999999999</v>
      </c>
      <c r="AJ1473" s="11">
        <v>80.513000000000005</v>
      </c>
      <c r="AK1473" s="11">
        <v>80.057000000000002</v>
      </c>
      <c r="AL1473" s="11"/>
    </row>
    <row r="1474" spans="1:38" x14ac:dyDescent="0.3">
      <c r="A1474" s="9">
        <f>DATE(2022, 9, 12)</f>
        <v>44816</v>
      </c>
      <c r="B1474" s="10">
        <v>94</v>
      </c>
      <c r="C1474" s="10">
        <v>92.93</v>
      </c>
      <c r="D1474" s="10">
        <v>91.68</v>
      </c>
      <c r="E1474" s="10">
        <v>90.61</v>
      </c>
      <c r="F1474" s="10">
        <v>89.65</v>
      </c>
      <c r="G1474" s="10">
        <v>88.76</v>
      </c>
      <c r="H1474" s="10">
        <v>87.96</v>
      </c>
      <c r="I1474" s="10">
        <v>87.21</v>
      </c>
      <c r="J1474" s="10">
        <v>86.58</v>
      </c>
      <c r="K1474" s="10">
        <v>85.93</v>
      </c>
      <c r="L1474" s="10">
        <v>85.3</v>
      </c>
      <c r="M1474" s="10">
        <v>84.72</v>
      </c>
      <c r="N1474" s="10">
        <v>87.78</v>
      </c>
      <c r="O1474" s="10">
        <v>87.41</v>
      </c>
      <c r="P1474" s="10">
        <v>86.86</v>
      </c>
      <c r="Q1474" s="10">
        <v>86.21</v>
      </c>
      <c r="R1474" s="10">
        <v>85.51</v>
      </c>
      <c r="S1474" s="10">
        <v>84.81</v>
      </c>
      <c r="T1474" s="10">
        <v>84.12</v>
      </c>
      <c r="U1474" s="10">
        <v>83.43</v>
      </c>
      <c r="V1474" s="10">
        <v>82.74</v>
      </c>
      <c r="W1474" s="10">
        <v>82.05</v>
      </c>
      <c r="X1474" s="10">
        <v>81.37</v>
      </c>
      <c r="Y1474" s="10">
        <v>80.73</v>
      </c>
      <c r="Z1474" s="11">
        <v>93.307000000000002</v>
      </c>
      <c r="AA1474" s="11">
        <v>90.8</v>
      </c>
      <c r="AB1474" s="11">
        <v>88.331000000000003</v>
      </c>
      <c r="AC1474" s="11">
        <v>86.629000000000005</v>
      </c>
      <c r="AD1474" s="11">
        <v>85.488</v>
      </c>
      <c r="AE1474" s="11">
        <v>84.63</v>
      </c>
      <c r="AF1474" s="11">
        <v>83.887</v>
      </c>
      <c r="AG1474" s="11">
        <v>83.206999999999994</v>
      </c>
      <c r="AH1474" s="11">
        <v>82.641999999999996</v>
      </c>
      <c r="AI1474" s="11">
        <v>82.120999999999995</v>
      </c>
      <c r="AJ1474" s="11">
        <v>81.632000000000005</v>
      </c>
      <c r="AK1474" s="11">
        <v>81.128</v>
      </c>
      <c r="AL1474" s="11"/>
    </row>
    <row r="1475" spans="1:38" x14ac:dyDescent="0.3">
      <c r="A1475" s="9">
        <f>DATE(2022, 9, 13)</f>
        <v>44817</v>
      </c>
      <c r="B1475" s="10">
        <v>93.17</v>
      </c>
      <c r="C1475" s="10">
        <v>92.22</v>
      </c>
      <c r="D1475" s="10">
        <v>90.88</v>
      </c>
      <c r="E1475" s="10">
        <v>89.71</v>
      </c>
      <c r="F1475" s="10">
        <v>88.71</v>
      </c>
      <c r="G1475" s="10">
        <v>87.82</v>
      </c>
      <c r="H1475" s="10">
        <v>87.05</v>
      </c>
      <c r="I1475" s="10">
        <v>86.35</v>
      </c>
      <c r="J1475" s="10">
        <v>85.77</v>
      </c>
      <c r="K1475" s="10">
        <v>85.17</v>
      </c>
      <c r="L1475" s="10">
        <v>84.59</v>
      </c>
      <c r="M1475" s="10">
        <v>84.06</v>
      </c>
      <c r="N1475" s="10">
        <v>87.31</v>
      </c>
      <c r="O1475" s="10">
        <v>86.89</v>
      </c>
      <c r="P1475" s="10">
        <v>86.25</v>
      </c>
      <c r="Q1475" s="10">
        <v>85.5</v>
      </c>
      <c r="R1475" s="10">
        <v>84.75</v>
      </c>
      <c r="S1475" s="10">
        <v>84.03</v>
      </c>
      <c r="T1475" s="10">
        <v>83.35</v>
      </c>
      <c r="U1475" s="10">
        <v>82.69</v>
      </c>
      <c r="V1475" s="10">
        <v>82.03</v>
      </c>
      <c r="W1475" s="10">
        <v>81.38</v>
      </c>
      <c r="X1475" s="10">
        <v>80.73</v>
      </c>
      <c r="Y1475" s="10">
        <v>80.13</v>
      </c>
      <c r="Z1475" s="11">
        <v>92.721999999999994</v>
      </c>
      <c r="AA1475" s="11">
        <v>89.555999999999997</v>
      </c>
      <c r="AB1475" s="11">
        <v>86.977000000000004</v>
      </c>
      <c r="AC1475" s="11">
        <v>85.295000000000002</v>
      </c>
      <c r="AD1475" s="11">
        <v>84.236999999999995</v>
      </c>
      <c r="AE1475" s="11">
        <v>83.391999999999996</v>
      </c>
      <c r="AF1475" s="11">
        <v>82.73</v>
      </c>
      <c r="AG1475" s="11">
        <v>82.049000000000007</v>
      </c>
      <c r="AH1475" s="11">
        <v>81.524000000000001</v>
      </c>
      <c r="AI1475" s="11">
        <v>81.084000000000003</v>
      </c>
      <c r="AJ1475" s="11">
        <v>80.555000000000007</v>
      </c>
      <c r="AK1475" s="11">
        <v>80.13</v>
      </c>
      <c r="AL1475" s="11"/>
    </row>
    <row r="1476" spans="1:38" x14ac:dyDescent="0.3">
      <c r="A1476" s="9">
        <f>DATE(2022, 9, 14)</f>
        <v>44818</v>
      </c>
      <c r="B1476" s="10">
        <v>94.1</v>
      </c>
      <c r="C1476" s="10">
        <v>93.12</v>
      </c>
      <c r="D1476" s="10">
        <v>91.69</v>
      </c>
      <c r="E1476" s="10">
        <v>90.4</v>
      </c>
      <c r="F1476" s="10">
        <v>89.29</v>
      </c>
      <c r="G1476" s="10">
        <v>88.33</v>
      </c>
      <c r="H1476" s="10">
        <v>87.53</v>
      </c>
      <c r="I1476" s="10">
        <v>86.81</v>
      </c>
      <c r="J1476" s="10">
        <v>86.22</v>
      </c>
      <c r="K1476" s="10">
        <v>85.62</v>
      </c>
      <c r="L1476" s="10">
        <v>85.02</v>
      </c>
      <c r="M1476" s="10">
        <v>84.47</v>
      </c>
      <c r="N1476" s="10">
        <v>88.48</v>
      </c>
      <c r="O1476" s="10">
        <v>88.05</v>
      </c>
      <c r="P1476" s="10">
        <v>87.36</v>
      </c>
      <c r="Q1476" s="10">
        <v>86.5</v>
      </c>
      <c r="R1476" s="10">
        <v>85.61</v>
      </c>
      <c r="S1476" s="10">
        <v>84.73</v>
      </c>
      <c r="T1476" s="10">
        <v>83.91</v>
      </c>
      <c r="U1476" s="10">
        <v>83.15</v>
      </c>
      <c r="V1476" s="10">
        <v>82.41</v>
      </c>
      <c r="W1476" s="10">
        <v>81.7</v>
      </c>
      <c r="X1476" s="10">
        <v>81.010000000000005</v>
      </c>
      <c r="Y1476" s="10">
        <v>80.37</v>
      </c>
      <c r="Z1476" s="11">
        <v>93.488</v>
      </c>
      <c r="AA1476" s="11">
        <v>91.046999999999997</v>
      </c>
      <c r="AB1476" s="11">
        <v>88.245999999999995</v>
      </c>
      <c r="AC1476" s="11">
        <v>86.244</v>
      </c>
      <c r="AD1476" s="11">
        <v>84.953999999999994</v>
      </c>
      <c r="AE1476" s="11">
        <v>84.04</v>
      </c>
      <c r="AF1476" s="11">
        <v>83.369</v>
      </c>
      <c r="AG1476" s="11">
        <v>82.808999999999997</v>
      </c>
      <c r="AH1476" s="11">
        <v>82.323999999999998</v>
      </c>
      <c r="AI1476" s="11">
        <v>81.873000000000005</v>
      </c>
      <c r="AJ1476" s="11">
        <v>81.403999999999996</v>
      </c>
      <c r="AK1476" s="11">
        <v>80.938999999999993</v>
      </c>
      <c r="AL1476" s="11"/>
    </row>
    <row r="1477" spans="1:38" x14ac:dyDescent="0.3">
      <c r="A1477" s="9">
        <f>DATE(2022, 9, 15)</f>
        <v>44819</v>
      </c>
      <c r="B1477" s="10">
        <v>90.84</v>
      </c>
      <c r="C1477" s="10">
        <v>89.61</v>
      </c>
      <c r="D1477" s="10">
        <v>88.12</v>
      </c>
      <c r="E1477" s="10">
        <v>86.79</v>
      </c>
      <c r="F1477" s="10">
        <v>85.66</v>
      </c>
      <c r="G1477" s="10">
        <v>84.7</v>
      </c>
      <c r="H1477" s="10">
        <v>83.92</v>
      </c>
      <c r="I1477" s="10">
        <v>83.27</v>
      </c>
      <c r="J1477" s="10">
        <v>82.75</v>
      </c>
      <c r="K1477" s="10">
        <v>82.23</v>
      </c>
      <c r="L1477" s="10">
        <v>81.709999999999994</v>
      </c>
      <c r="M1477" s="10">
        <v>81.23</v>
      </c>
      <c r="N1477" s="10">
        <v>85.1</v>
      </c>
      <c r="O1477" s="10">
        <v>84.65</v>
      </c>
      <c r="P1477" s="10">
        <v>83.9</v>
      </c>
      <c r="Q1477" s="10">
        <v>82.96</v>
      </c>
      <c r="R1477" s="10">
        <v>82.02</v>
      </c>
      <c r="S1477" s="10">
        <v>81.13</v>
      </c>
      <c r="T1477" s="10">
        <v>80.319999999999993</v>
      </c>
      <c r="U1477" s="10">
        <v>79.58</v>
      </c>
      <c r="V1477" s="10">
        <v>78.89</v>
      </c>
      <c r="W1477" s="10">
        <v>78.239999999999995</v>
      </c>
      <c r="X1477" s="10">
        <v>77.62</v>
      </c>
      <c r="Y1477" s="10">
        <v>77.05</v>
      </c>
      <c r="Z1477" s="11">
        <v>91.944000000000003</v>
      </c>
      <c r="AA1477" s="11">
        <v>88.088999999999999</v>
      </c>
      <c r="AB1477" s="11">
        <v>85.03</v>
      </c>
      <c r="AC1477" s="11">
        <v>82.882000000000005</v>
      </c>
      <c r="AD1477" s="11">
        <v>81.494</v>
      </c>
      <c r="AE1477" s="11">
        <v>80.581000000000003</v>
      </c>
      <c r="AF1477" s="11">
        <v>79.861999999999995</v>
      </c>
      <c r="AG1477" s="11">
        <v>79.263000000000005</v>
      </c>
      <c r="AH1477" s="11">
        <v>78.777000000000001</v>
      </c>
      <c r="AI1477" s="11">
        <v>78.355999999999995</v>
      </c>
      <c r="AJ1477" s="11">
        <v>77.936999999999998</v>
      </c>
      <c r="AK1477" s="11">
        <v>77.531999999999996</v>
      </c>
      <c r="AL1477" s="11"/>
    </row>
    <row r="1478" spans="1:38" x14ac:dyDescent="0.3">
      <c r="A1478" s="9">
        <f>DATE(2022, 9, 16)</f>
        <v>44820</v>
      </c>
      <c r="B1478" s="10">
        <v>91.35</v>
      </c>
      <c r="C1478" s="10">
        <v>90.05</v>
      </c>
      <c r="D1478" s="10">
        <v>88.51</v>
      </c>
      <c r="E1478" s="10">
        <v>87.13</v>
      </c>
      <c r="F1478" s="10">
        <v>85.95</v>
      </c>
      <c r="G1478" s="10">
        <v>84.92</v>
      </c>
      <c r="H1478" s="10">
        <v>84.08</v>
      </c>
      <c r="I1478" s="10">
        <v>83.37</v>
      </c>
      <c r="J1478" s="10">
        <v>82.81</v>
      </c>
      <c r="K1478" s="10">
        <v>82.27</v>
      </c>
      <c r="L1478" s="10">
        <v>81.73</v>
      </c>
      <c r="M1478" s="10">
        <v>81.239999999999995</v>
      </c>
      <c r="N1478" s="10">
        <v>85.11</v>
      </c>
      <c r="O1478" s="10">
        <v>84.76</v>
      </c>
      <c r="P1478" s="10">
        <v>84.07</v>
      </c>
      <c r="Q1478" s="10">
        <v>83.16</v>
      </c>
      <c r="R1478" s="10">
        <v>82.2</v>
      </c>
      <c r="S1478" s="10">
        <v>81.27</v>
      </c>
      <c r="T1478" s="10">
        <v>80.39</v>
      </c>
      <c r="U1478" s="10">
        <v>79.58</v>
      </c>
      <c r="V1478" s="10">
        <v>78.84</v>
      </c>
      <c r="W1478" s="10">
        <v>78.14</v>
      </c>
      <c r="X1478" s="10">
        <v>77.5</v>
      </c>
      <c r="Y1478" s="10">
        <v>76.89</v>
      </c>
      <c r="Z1478" s="11">
        <v>92.338999999999999</v>
      </c>
      <c r="AA1478" s="11">
        <v>88.846999999999994</v>
      </c>
      <c r="AB1478" s="11">
        <v>85.617000000000004</v>
      </c>
      <c r="AC1478" s="11">
        <v>83.366</v>
      </c>
      <c r="AD1478" s="11">
        <v>81.840999999999994</v>
      </c>
      <c r="AE1478" s="11">
        <v>80.828000000000003</v>
      </c>
      <c r="AF1478" s="11">
        <v>80.028999999999996</v>
      </c>
      <c r="AG1478" s="11">
        <v>79.391000000000005</v>
      </c>
      <c r="AH1478" s="11">
        <v>78.897000000000006</v>
      </c>
      <c r="AI1478" s="11">
        <v>78.474999999999994</v>
      </c>
      <c r="AJ1478" s="11">
        <v>78.037000000000006</v>
      </c>
      <c r="AK1478" s="11">
        <v>77.641999999999996</v>
      </c>
      <c r="AL1478" s="11"/>
    </row>
    <row r="1479" spans="1:38" x14ac:dyDescent="0.3">
      <c r="A1479" s="9">
        <f>DATE(2022, 9, 19)</f>
        <v>44823</v>
      </c>
      <c r="B1479" s="10">
        <v>92</v>
      </c>
      <c r="C1479" s="10">
        <v>90.66</v>
      </c>
      <c r="D1479" s="10">
        <v>89.09</v>
      </c>
      <c r="E1479" s="10">
        <v>87.66</v>
      </c>
      <c r="F1479" s="10">
        <v>86.45</v>
      </c>
      <c r="G1479" s="10">
        <v>85.41</v>
      </c>
      <c r="H1479" s="10">
        <v>84.56</v>
      </c>
      <c r="I1479" s="10">
        <v>83.84</v>
      </c>
      <c r="J1479" s="10">
        <v>83.25</v>
      </c>
      <c r="K1479" s="10">
        <v>82.67</v>
      </c>
      <c r="L1479" s="10">
        <v>82.1</v>
      </c>
      <c r="M1479" s="10">
        <v>81.59</v>
      </c>
      <c r="N1479" s="10">
        <v>85.73</v>
      </c>
      <c r="O1479" s="10">
        <v>85.36</v>
      </c>
      <c r="P1479" s="10">
        <v>84.61</v>
      </c>
      <c r="Q1479" s="10">
        <v>83.68</v>
      </c>
      <c r="R1479" s="10">
        <v>82.69</v>
      </c>
      <c r="S1479" s="10">
        <v>81.709999999999994</v>
      </c>
      <c r="T1479" s="10">
        <v>80.81</v>
      </c>
      <c r="U1479" s="10">
        <v>79.98</v>
      </c>
      <c r="V1479" s="10">
        <v>79.22</v>
      </c>
      <c r="W1479" s="10">
        <v>78.5</v>
      </c>
      <c r="X1479" s="10">
        <v>77.83</v>
      </c>
      <c r="Y1479" s="10">
        <v>77.2</v>
      </c>
      <c r="Z1479" s="11">
        <v>92.507999999999996</v>
      </c>
      <c r="AA1479" s="11">
        <v>89.415000000000006</v>
      </c>
      <c r="AB1479" s="11">
        <v>86.165000000000006</v>
      </c>
      <c r="AC1479" s="11">
        <v>83.926000000000002</v>
      </c>
      <c r="AD1479" s="11">
        <v>82.4</v>
      </c>
      <c r="AE1479" s="11">
        <v>81.347999999999999</v>
      </c>
      <c r="AF1479" s="11">
        <v>80.558999999999997</v>
      </c>
      <c r="AG1479" s="11">
        <v>79.858999999999995</v>
      </c>
      <c r="AH1479" s="11">
        <v>79.334999999999994</v>
      </c>
      <c r="AI1479" s="11">
        <v>78.873999999999995</v>
      </c>
      <c r="AJ1479" s="11">
        <v>78.406000000000006</v>
      </c>
      <c r="AK1479" s="11">
        <v>77.989999999999995</v>
      </c>
      <c r="AL1479" s="11"/>
    </row>
    <row r="1480" spans="1:38" x14ac:dyDescent="0.3">
      <c r="A1480" s="9">
        <f>DATE(2022, 9, 20)</f>
        <v>44824</v>
      </c>
      <c r="B1480" s="10">
        <v>90.62</v>
      </c>
      <c r="C1480" s="10">
        <v>89.4</v>
      </c>
      <c r="D1480" s="10">
        <v>87.85</v>
      </c>
      <c r="E1480" s="10">
        <v>86.42</v>
      </c>
      <c r="F1480" s="10">
        <v>85.18</v>
      </c>
      <c r="G1480" s="10">
        <v>84.14</v>
      </c>
      <c r="H1480" s="10">
        <v>83.29</v>
      </c>
      <c r="I1480" s="10">
        <v>82.55</v>
      </c>
      <c r="J1480" s="10">
        <v>81.95</v>
      </c>
      <c r="K1480" s="10">
        <v>81.349999999999994</v>
      </c>
      <c r="L1480" s="10">
        <v>80.77</v>
      </c>
      <c r="M1480" s="10">
        <v>80.22</v>
      </c>
      <c r="N1480" s="10">
        <v>84.45</v>
      </c>
      <c r="O1480" s="10">
        <v>83.94</v>
      </c>
      <c r="P1480" s="10">
        <v>83.28</v>
      </c>
      <c r="Q1480" s="10">
        <v>82.37</v>
      </c>
      <c r="R1480" s="10">
        <v>81.37</v>
      </c>
      <c r="S1480" s="10">
        <v>80.39</v>
      </c>
      <c r="T1480" s="10">
        <v>79.48</v>
      </c>
      <c r="U1480" s="10">
        <v>78.66</v>
      </c>
      <c r="V1480" s="10">
        <v>77.89</v>
      </c>
      <c r="W1480" s="10">
        <v>77.17</v>
      </c>
      <c r="X1480" s="10">
        <v>76.489999999999995</v>
      </c>
      <c r="Y1480" s="10">
        <v>75.86</v>
      </c>
      <c r="Z1480" s="11">
        <v>92.067999999999998</v>
      </c>
      <c r="AA1480" s="11">
        <v>88.176000000000002</v>
      </c>
      <c r="AB1480" s="11">
        <v>84.965000000000003</v>
      </c>
      <c r="AC1480" s="11">
        <v>82.665999999999997</v>
      </c>
      <c r="AD1480" s="11">
        <v>81.069999999999993</v>
      </c>
      <c r="AE1480" s="11">
        <v>80.018000000000001</v>
      </c>
      <c r="AF1480" s="11">
        <v>79.227999999999994</v>
      </c>
      <c r="AG1480" s="11">
        <v>78.548000000000002</v>
      </c>
      <c r="AH1480" s="11">
        <v>78.013999999999996</v>
      </c>
      <c r="AI1480" s="11">
        <v>77.524000000000001</v>
      </c>
      <c r="AJ1480" s="11">
        <v>77.043999999999997</v>
      </c>
      <c r="AK1480" s="11">
        <v>76.58</v>
      </c>
      <c r="AL1480" s="11"/>
    </row>
    <row r="1481" spans="1:38" x14ac:dyDescent="0.3">
      <c r="A1481" s="9">
        <f>DATE(2022, 9, 21)</f>
        <v>44825</v>
      </c>
      <c r="B1481" s="10">
        <v>89.83</v>
      </c>
      <c r="C1481" s="10">
        <v>88.8</v>
      </c>
      <c r="D1481" s="10">
        <v>87.31</v>
      </c>
      <c r="E1481" s="10">
        <v>85.9</v>
      </c>
      <c r="F1481" s="10">
        <v>84.67</v>
      </c>
      <c r="G1481" s="10">
        <v>83.63</v>
      </c>
      <c r="H1481" s="10">
        <v>82.78</v>
      </c>
      <c r="I1481" s="10">
        <v>82.04</v>
      </c>
      <c r="J1481" s="10">
        <v>81.44</v>
      </c>
      <c r="K1481" s="10">
        <v>80.83</v>
      </c>
      <c r="L1481" s="10">
        <v>80.23</v>
      </c>
      <c r="M1481" s="10">
        <v>79.680000000000007</v>
      </c>
      <c r="N1481" s="10">
        <v>82.94</v>
      </c>
      <c r="O1481" s="10">
        <v>82.43</v>
      </c>
      <c r="P1481" s="10">
        <v>81.62</v>
      </c>
      <c r="Q1481" s="10">
        <v>80.680000000000007</v>
      </c>
      <c r="R1481" s="10">
        <v>79.739999999999995</v>
      </c>
      <c r="S1481" s="10">
        <v>78.849999999999994</v>
      </c>
      <c r="T1481" s="10">
        <v>78.03</v>
      </c>
      <c r="U1481" s="10">
        <v>77.260000000000005</v>
      </c>
      <c r="V1481" s="10">
        <v>76.540000000000006</v>
      </c>
      <c r="W1481" s="10">
        <v>75.849999999999994</v>
      </c>
      <c r="X1481" s="10">
        <v>75.2</v>
      </c>
      <c r="Y1481" s="10">
        <v>74.61</v>
      </c>
      <c r="Z1481" s="11">
        <v>91.936000000000007</v>
      </c>
      <c r="AA1481" s="11">
        <v>87.528999999999996</v>
      </c>
      <c r="AB1481" s="11">
        <v>84.445999999999998</v>
      </c>
      <c r="AC1481" s="11">
        <v>82.153000000000006</v>
      </c>
      <c r="AD1481" s="11">
        <v>80.58</v>
      </c>
      <c r="AE1481" s="11">
        <v>79.498000000000005</v>
      </c>
      <c r="AF1481" s="11">
        <v>78.697999999999993</v>
      </c>
      <c r="AG1481" s="11">
        <v>78.007999999999996</v>
      </c>
      <c r="AH1481" s="11">
        <v>77.472999999999999</v>
      </c>
      <c r="AI1481" s="11">
        <v>76.953000000000003</v>
      </c>
      <c r="AJ1481" s="11">
        <v>76.466999999999999</v>
      </c>
      <c r="AK1481" s="11">
        <v>75.992000000000004</v>
      </c>
      <c r="AL1481" s="11"/>
    </row>
    <row r="1482" spans="1:38" x14ac:dyDescent="0.3">
      <c r="A1482" s="9">
        <f>DATE(2022, 9, 22)</f>
        <v>44826</v>
      </c>
      <c r="B1482" s="10">
        <v>90.46</v>
      </c>
      <c r="C1482" s="10">
        <v>89.53</v>
      </c>
      <c r="D1482" s="10">
        <v>88.1</v>
      </c>
      <c r="E1482" s="10">
        <v>86.73</v>
      </c>
      <c r="F1482" s="10">
        <v>85.52</v>
      </c>
      <c r="G1482" s="10">
        <v>84.48</v>
      </c>
      <c r="H1482" s="10">
        <v>83.61</v>
      </c>
      <c r="I1482" s="10">
        <v>82.84</v>
      </c>
      <c r="J1482" s="10">
        <v>82.22</v>
      </c>
      <c r="K1482" s="10">
        <v>81.59</v>
      </c>
      <c r="L1482" s="10">
        <v>80.98</v>
      </c>
      <c r="M1482" s="10">
        <v>80.400000000000006</v>
      </c>
      <c r="N1482" s="10">
        <v>83.49</v>
      </c>
      <c r="O1482" s="10">
        <v>83.03</v>
      </c>
      <c r="P1482" s="10">
        <v>82.27</v>
      </c>
      <c r="Q1482" s="10">
        <v>81.33</v>
      </c>
      <c r="R1482" s="10">
        <v>80.39</v>
      </c>
      <c r="S1482" s="10">
        <v>79.510000000000005</v>
      </c>
      <c r="T1482" s="10">
        <v>78.7</v>
      </c>
      <c r="U1482" s="10">
        <v>77.94</v>
      </c>
      <c r="V1482" s="10">
        <v>77.209999999999994</v>
      </c>
      <c r="W1482" s="10">
        <v>76.52</v>
      </c>
      <c r="X1482" s="10">
        <v>75.86</v>
      </c>
      <c r="Y1482" s="10">
        <v>75.239999999999995</v>
      </c>
      <c r="Z1482" s="11">
        <v>92.126999999999995</v>
      </c>
      <c r="AA1482" s="11">
        <v>88.652000000000001</v>
      </c>
      <c r="AB1482" s="11">
        <v>85.727999999999994</v>
      </c>
      <c r="AC1482" s="11">
        <v>83.405000000000001</v>
      </c>
      <c r="AD1482" s="11">
        <v>81.790000000000006</v>
      </c>
      <c r="AE1482" s="11">
        <v>80.677000000000007</v>
      </c>
      <c r="AF1482" s="11">
        <v>79.807000000000002</v>
      </c>
      <c r="AG1482" s="11">
        <v>79.037000000000006</v>
      </c>
      <c r="AH1482" s="11">
        <v>78.492999999999995</v>
      </c>
      <c r="AI1482" s="11">
        <v>77.941999999999993</v>
      </c>
      <c r="AJ1482" s="11">
        <v>77.402000000000001</v>
      </c>
      <c r="AK1482" s="11">
        <v>76.858000000000004</v>
      </c>
      <c r="AL1482" s="11"/>
    </row>
    <row r="1483" spans="1:38" x14ac:dyDescent="0.3">
      <c r="A1483" s="9">
        <f>DATE(2022, 9, 23)</f>
        <v>44827</v>
      </c>
      <c r="B1483" s="10">
        <v>86.15</v>
      </c>
      <c r="C1483" s="10">
        <v>85.03</v>
      </c>
      <c r="D1483" s="10">
        <v>83.61</v>
      </c>
      <c r="E1483" s="10">
        <v>82.36</v>
      </c>
      <c r="F1483" s="10">
        <v>81.28</v>
      </c>
      <c r="G1483" s="10">
        <v>80.37</v>
      </c>
      <c r="H1483" s="10">
        <v>79.59</v>
      </c>
      <c r="I1483" s="10">
        <v>78.930000000000007</v>
      </c>
      <c r="J1483" s="10">
        <v>78.400000000000006</v>
      </c>
      <c r="K1483" s="10">
        <v>77.87</v>
      </c>
      <c r="L1483" s="10">
        <v>77.349999999999994</v>
      </c>
      <c r="M1483" s="10">
        <v>76.87</v>
      </c>
      <c r="N1483" s="10">
        <v>78.739999999999995</v>
      </c>
      <c r="O1483" s="10">
        <v>78.25</v>
      </c>
      <c r="P1483" s="10">
        <v>77.53</v>
      </c>
      <c r="Q1483" s="10">
        <v>76.73</v>
      </c>
      <c r="R1483" s="10">
        <v>75.95</v>
      </c>
      <c r="S1483" s="10">
        <v>75.22</v>
      </c>
      <c r="T1483" s="10">
        <v>74.540000000000006</v>
      </c>
      <c r="U1483" s="10">
        <v>73.88</v>
      </c>
      <c r="V1483" s="10">
        <v>73.27</v>
      </c>
      <c r="W1483" s="10">
        <v>72.7</v>
      </c>
      <c r="X1483" s="10">
        <v>72.16</v>
      </c>
      <c r="Y1483" s="10">
        <v>71.66</v>
      </c>
      <c r="Z1483" s="11">
        <v>91.045000000000002</v>
      </c>
      <c r="AA1483" s="11">
        <v>84.331999999999994</v>
      </c>
      <c r="AB1483" s="11">
        <v>81.513000000000005</v>
      </c>
      <c r="AC1483" s="11">
        <v>79.387</v>
      </c>
      <c r="AD1483" s="11">
        <v>77.947000000000003</v>
      </c>
      <c r="AE1483" s="11">
        <v>76.950999999999993</v>
      </c>
      <c r="AF1483" s="11">
        <v>76.180999999999997</v>
      </c>
      <c r="AG1483" s="11">
        <v>75.542000000000002</v>
      </c>
      <c r="AH1483" s="11">
        <v>75.046999999999997</v>
      </c>
      <c r="AI1483" s="11">
        <v>74.536000000000001</v>
      </c>
      <c r="AJ1483" s="11">
        <v>74.126999999999995</v>
      </c>
      <c r="AK1483" s="11">
        <v>73.691999999999993</v>
      </c>
      <c r="AL1483" s="11"/>
    </row>
    <row r="1484" spans="1:38" x14ac:dyDescent="0.3">
      <c r="A1484" s="9">
        <f>DATE(2022, 9, 26)</f>
        <v>44830</v>
      </c>
      <c r="B1484" s="10">
        <v>84.06</v>
      </c>
      <c r="C1484" s="10">
        <v>82.86</v>
      </c>
      <c r="D1484" s="10">
        <v>81.34</v>
      </c>
      <c r="E1484" s="10">
        <v>80.08</v>
      </c>
      <c r="F1484" s="10">
        <v>79.06</v>
      </c>
      <c r="G1484" s="10">
        <v>78.2</v>
      </c>
      <c r="H1484" s="10">
        <v>77.47</v>
      </c>
      <c r="I1484" s="10">
        <v>76.84</v>
      </c>
      <c r="J1484" s="10">
        <v>76.349999999999994</v>
      </c>
      <c r="K1484" s="10">
        <v>75.87</v>
      </c>
      <c r="L1484" s="10">
        <v>75.400000000000006</v>
      </c>
      <c r="M1484" s="10">
        <v>74.98</v>
      </c>
      <c r="N1484" s="10">
        <v>76.709999999999994</v>
      </c>
      <c r="O1484" s="10">
        <v>76.180000000000007</v>
      </c>
      <c r="P1484" s="10">
        <v>75.45</v>
      </c>
      <c r="Q1484" s="10">
        <v>74.61</v>
      </c>
      <c r="R1484" s="10">
        <v>73.81</v>
      </c>
      <c r="S1484" s="10">
        <v>73.09</v>
      </c>
      <c r="T1484" s="10">
        <v>72.42</v>
      </c>
      <c r="U1484" s="10">
        <v>71.790000000000006</v>
      </c>
      <c r="V1484" s="10">
        <v>71.209999999999994</v>
      </c>
      <c r="W1484" s="10">
        <v>70.680000000000007</v>
      </c>
      <c r="X1484" s="10">
        <v>70.19</v>
      </c>
      <c r="Y1484" s="10">
        <v>69.739999999999995</v>
      </c>
      <c r="Z1484" s="11">
        <v>90.516999999999996</v>
      </c>
      <c r="AA1484" s="11">
        <v>81.888000000000005</v>
      </c>
      <c r="AB1484" s="11">
        <v>79.253</v>
      </c>
      <c r="AC1484" s="11">
        <v>77.173000000000002</v>
      </c>
      <c r="AD1484" s="11">
        <v>75.959000000000003</v>
      </c>
      <c r="AE1484" s="11">
        <v>74.974000000000004</v>
      </c>
      <c r="AF1484" s="11">
        <v>74.212999999999994</v>
      </c>
      <c r="AG1484" s="11">
        <v>73.563999999999993</v>
      </c>
      <c r="AH1484" s="11">
        <v>73.078999999999994</v>
      </c>
      <c r="AI1484" s="11">
        <v>72.629000000000005</v>
      </c>
      <c r="AJ1484" s="11">
        <v>72.19</v>
      </c>
      <c r="AK1484" s="11">
        <v>71.805000000000007</v>
      </c>
      <c r="AL1484" s="11"/>
    </row>
    <row r="1485" spans="1:38" x14ac:dyDescent="0.3">
      <c r="A1485" s="9">
        <f>DATE(2022, 9, 27)</f>
        <v>44831</v>
      </c>
      <c r="B1485" s="10">
        <v>86.27</v>
      </c>
      <c r="C1485" s="10">
        <v>84.87</v>
      </c>
      <c r="D1485" s="10">
        <v>83.11</v>
      </c>
      <c r="E1485" s="10">
        <v>81.64</v>
      </c>
      <c r="F1485" s="10">
        <v>80.459999999999994</v>
      </c>
      <c r="G1485" s="10">
        <v>79.459999999999994</v>
      </c>
      <c r="H1485" s="10">
        <v>78.63</v>
      </c>
      <c r="I1485" s="10">
        <v>77.91</v>
      </c>
      <c r="J1485" s="10">
        <v>77.349999999999994</v>
      </c>
      <c r="K1485" s="10">
        <v>76.81</v>
      </c>
      <c r="L1485" s="10">
        <v>76.28</v>
      </c>
      <c r="M1485" s="10">
        <v>75.83</v>
      </c>
      <c r="N1485" s="10">
        <v>78.5</v>
      </c>
      <c r="O1485" s="10">
        <v>77.81</v>
      </c>
      <c r="P1485" s="10">
        <v>76.930000000000007</v>
      </c>
      <c r="Q1485" s="10">
        <v>75.98</v>
      </c>
      <c r="R1485" s="10">
        <v>75.08</v>
      </c>
      <c r="S1485" s="10">
        <v>74.23</v>
      </c>
      <c r="T1485" s="10">
        <v>73.44</v>
      </c>
      <c r="U1485" s="10">
        <v>72.69</v>
      </c>
      <c r="V1485" s="10">
        <v>72.03</v>
      </c>
      <c r="W1485" s="10">
        <v>71.459999999999994</v>
      </c>
      <c r="X1485" s="10">
        <v>70.94</v>
      </c>
      <c r="Y1485" s="10">
        <v>70.47</v>
      </c>
      <c r="Z1485" s="11">
        <v>90.757000000000005</v>
      </c>
      <c r="AA1485" s="11">
        <v>83.656000000000006</v>
      </c>
      <c r="AB1485" s="11">
        <v>80.783000000000001</v>
      </c>
      <c r="AC1485" s="11">
        <v>78.617999999999995</v>
      </c>
      <c r="AD1485" s="11">
        <v>77.191999999999993</v>
      </c>
      <c r="AE1485" s="11">
        <v>76.134</v>
      </c>
      <c r="AF1485" s="11">
        <v>75.319000000000003</v>
      </c>
      <c r="AG1485" s="11">
        <v>74.600999999999999</v>
      </c>
      <c r="AH1485" s="11">
        <v>74.057000000000002</v>
      </c>
      <c r="AI1485" s="11">
        <v>73.585999999999999</v>
      </c>
      <c r="AJ1485" s="11">
        <v>73.138999999999996</v>
      </c>
      <c r="AK1485" s="11">
        <v>72.722999999999999</v>
      </c>
      <c r="AL1485" s="11"/>
    </row>
    <row r="1486" spans="1:38" x14ac:dyDescent="0.3">
      <c r="A1486" s="9">
        <f>DATE(2022, 9, 28)</f>
        <v>44832</v>
      </c>
      <c r="B1486" s="10">
        <v>89.32</v>
      </c>
      <c r="C1486" s="10">
        <v>88.05</v>
      </c>
      <c r="D1486" s="10">
        <v>86.28</v>
      </c>
      <c r="E1486" s="10">
        <v>84.69</v>
      </c>
      <c r="F1486" s="10">
        <v>83.37</v>
      </c>
      <c r="G1486" s="10">
        <v>82.23</v>
      </c>
      <c r="H1486" s="10">
        <v>81.28</v>
      </c>
      <c r="I1486" s="10">
        <v>80.48</v>
      </c>
      <c r="J1486" s="10">
        <v>79.849999999999994</v>
      </c>
      <c r="K1486" s="10">
        <v>79.25</v>
      </c>
      <c r="L1486" s="10">
        <v>78.67</v>
      </c>
      <c r="M1486" s="10">
        <v>78.17</v>
      </c>
      <c r="N1486" s="10">
        <v>82.15</v>
      </c>
      <c r="O1486" s="10">
        <v>81.239999999999995</v>
      </c>
      <c r="P1486" s="10">
        <v>80.2</v>
      </c>
      <c r="Q1486" s="10">
        <v>79.09</v>
      </c>
      <c r="R1486" s="10">
        <v>78.02</v>
      </c>
      <c r="S1486" s="10">
        <v>77.05</v>
      </c>
      <c r="T1486" s="10">
        <v>76.180000000000007</v>
      </c>
      <c r="U1486" s="10">
        <v>75.38</v>
      </c>
      <c r="V1486" s="10">
        <v>74.66</v>
      </c>
      <c r="W1486" s="10">
        <v>74.02</v>
      </c>
      <c r="X1486" s="10">
        <v>73.430000000000007</v>
      </c>
      <c r="Y1486" s="10">
        <v>72.900000000000006</v>
      </c>
      <c r="Z1486" s="11">
        <v>90.991</v>
      </c>
      <c r="AA1486" s="11">
        <v>86.926000000000002</v>
      </c>
      <c r="AB1486" s="11">
        <v>83.938000000000002</v>
      </c>
      <c r="AC1486" s="11">
        <v>81.634</v>
      </c>
      <c r="AD1486" s="11">
        <v>80.117000000000004</v>
      </c>
      <c r="AE1486" s="11">
        <v>78.972999999999999</v>
      </c>
      <c r="AF1486" s="11">
        <v>78.015000000000001</v>
      </c>
      <c r="AG1486" s="11">
        <v>77.197000000000003</v>
      </c>
      <c r="AH1486" s="11">
        <v>76.593999999999994</v>
      </c>
      <c r="AI1486" s="11">
        <v>76.043999999999997</v>
      </c>
      <c r="AJ1486" s="11">
        <v>75.495999999999995</v>
      </c>
      <c r="AK1486" s="11">
        <v>75.042000000000002</v>
      </c>
      <c r="AL1486" s="11"/>
    </row>
    <row r="1487" spans="1:38" x14ac:dyDescent="0.3">
      <c r="A1487" s="9">
        <f>DATE(2022, 9, 29)</f>
        <v>44833</v>
      </c>
      <c r="B1487" s="10">
        <v>88.49</v>
      </c>
      <c r="C1487" s="10">
        <v>87.18</v>
      </c>
      <c r="D1487" s="10">
        <v>85.48</v>
      </c>
      <c r="E1487" s="10">
        <v>83.91</v>
      </c>
      <c r="F1487" s="10">
        <v>82.6</v>
      </c>
      <c r="G1487" s="10">
        <v>81.47</v>
      </c>
      <c r="H1487" s="10">
        <v>80.510000000000005</v>
      </c>
      <c r="I1487" s="10">
        <v>79.680000000000007</v>
      </c>
      <c r="J1487" s="10">
        <v>79.03</v>
      </c>
      <c r="K1487" s="10">
        <v>78.41</v>
      </c>
      <c r="L1487" s="10">
        <v>77.8</v>
      </c>
      <c r="M1487" s="10">
        <v>77.27</v>
      </c>
      <c r="N1487" s="10">
        <v>81.23</v>
      </c>
      <c r="O1487" s="10">
        <v>80.42</v>
      </c>
      <c r="P1487" s="10">
        <v>79.42</v>
      </c>
      <c r="Q1487" s="10">
        <v>78.3</v>
      </c>
      <c r="R1487" s="10">
        <v>77.209999999999994</v>
      </c>
      <c r="S1487" s="10">
        <v>76.22</v>
      </c>
      <c r="T1487" s="10">
        <v>75.34</v>
      </c>
      <c r="U1487" s="10">
        <v>74.53</v>
      </c>
      <c r="V1487" s="10">
        <v>73.790000000000006</v>
      </c>
      <c r="W1487" s="10">
        <v>73.12</v>
      </c>
      <c r="X1487" s="10">
        <v>72.53</v>
      </c>
      <c r="Y1487" s="10">
        <v>71.989999999999995</v>
      </c>
      <c r="Z1487" s="11">
        <v>90.864999999999995</v>
      </c>
      <c r="AA1487" s="11">
        <v>86.129000000000005</v>
      </c>
      <c r="AB1487" s="11">
        <v>83.388999999999996</v>
      </c>
      <c r="AC1487" s="11">
        <v>81.045000000000002</v>
      </c>
      <c r="AD1487" s="11">
        <v>79.465999999999994</v>
      </c>
      <c r="AE1487" s="11">
        <v>78.331999999999994</v>
      </c>
      <c r="AF1487" s="11">
        <v>77.384</v>
      </c>
      <c r="AG1487" s="11">
        <v>76.575999999999993</v>
      </c>
      <c r="AH1487" s="11">
        <v>75.962999999999994</v>
      </c>
      <c r="AI1487" s="11">
        <v>75.372</v>
      </c>
      <c r="AJ1487" s="11">
        <v>74.825000000000003</v>
      </c>
      <c r="AK1487" s="11">
        <v>74.36</v>
      </c>
      <c r="AL1487" s="11"/>
    </row>
    <row r="1488" spans="1:38" x14ac:dyDescent="0.3">
      <c r="A1488" s="9">
        <f>DATE(2022, 9, 30)</f>
        <v>44834</v>
      </c>
      <c r="B1488" s="10">
        <v>87.96</v>
      </c>
      <c r="C1488" s="10">
        <v>85.14</v>
      </c>
      <c r="D1488" s="10">
        <v>83.52</v>
      </c>
      <c r="E1488" s="10">
        <v>81.99</v>
      </c>
      <c r="F1488" s="10">
        <v>80.709999999999994</v>
      </c>
      <c r="G1488" s="10">
        <v>79.63</v>
      </c>
      <c r="H1488" s="10">
        <v>78.73</v>
      </c>
      <c r="I1488" s="10">
        <v>77.959999999999994</v>
      </c>
      <c r="J1488" s="10">
        <v>77.349999999999994</v>
      </c>
      <c r="K1488" s="10">
        <v>76.760000000000005</v>
      </c>
      <c r="L1488" s="10">
        <v>76.180000000000007</v>
      </c>
      <c r="M1488" s="10">
        <v>75.67</v>
      </c>
      <c r="N1488" s="10">
        <v>79.489999999999995</v>
      </c>
      <c r="O1488" s="10">
        <v>78.72</v>
      </c>
      <c r="P1488" s="10">
        <v>77.75</v>
      </c>
      <c r="Q1488" s="10">
        <v>76.63</v>
      </c>
      <c r="R1488" s="10">
        <v>75.569999999999993</v>
      </c>
      <c r="S1488" s="10">
        <v>74.61</v>
      </c>
      <c r="T1488" s="10">
        <v>73.77</v>
      </c>
      <c r="U1488" s="10">
        <v>73</v>
      </c>
      <c r="V1488" s="10">
        <v>72.3</v>
      </c>
      <c r="W1488" s="10">
        <v>71.66</v>
      </c>
      <c r="X1488" s="10">
        <v>71.08</v>
      </c>
      <c r="Y1488" s="10">
        <v>70.569999999999993</v>
      </c>
      <c r="Z1488" s="11">
        <v>90.911000000000001</v>
      </c>
      <c r="AA1488" s="11">
        <v>84.143000000000001</v>
      </c>
      <c r="AB1488" s="11">
        <v>81.525000000000006</v>
      </c>
      <c r="AC1488" s="11">
        <v>79.072999999999993</v>
      </c>
      <c r="AD1488" s="11">
        <v>77.418999999999997</v>
      </c>
      <c r="AE1488" s="11">
        <v>76.254999999999995</v>
      </c>
      <c r="AF1488" s="11">
        <v>75.346999999999994</v>
      </c>
      <c r="AG1488" s="11">
        <v>74.707999999999998</v>
      </c>
      <c r="AH1488" s="11">
        <v>74.123999999999995</v>
      </c>
      <c r="AI1488" s="11">
        <v>73.554000000000002</v>
      </c>
      <c r="AJ1488" s="11">
        <v>73.046000000000006</v>
      </c>
      <c r="AK1488" s="11">
        <v>72.600999999999999</v>
      </c>
      <c r="AL1488" s="11"/>
    </row>
    <row r="1489" spans="1:38" x14ac:dyDescent="0.3">
      <c r="A1489" s="9">
        <f>DATE(2022, 10, 3)</f>
        <v>44837</v>
      </c>
      <c r="B1489" s="10">
        <v>88.86</v>
      </c>
      <c r="C1489" s="10">
        <v>86.94</v>
      </c>
      <c r="D1489" s="10">
        <v>85.22</v>
      </c>
      <c r="E1489" s="10">
        <v>83.8</v>
      </c>
      <c r="F1489" s="10">
        <v>82.58</v>
      </c>
      <c r="G1489" s="10">
        <v>81.56</v>
      </c>
      <c r="H1489" s="10">
        <v>80.7</v>
      </c>
      <c r="I1489" s="10">
        <v>80.010000000000005</v>
      </c>
      <c r="J1489" s="10">
        <v>79.349999999999994</v>
      </c>
      <c r="K1489" s="10">
        <v>78.72</v>
      </c>
      <c r="L1489" s="10">
        <v>78.150000000000006</v>
      </c>
      <c r="M1489" s="10">
        <v>77.66</v>
      </c>
      <c r="N1489" s="10">
        <v>83.63</v>
      </c>
      <c r="O1489" s="10">
        <v>82.7</v>
      </c>
      <c r="P1489" s="10">
        <v>81.38</v>
      </c>
      <c r="Q1489" s="10">
        <v>79.959999999999994</v>
      </c>
      <c r="R1489" s="10">
        <v>78.66</v>
      </c>
      <c r="S1489" s="10">
        <v>77.52</v>
      </c>
      <c r="T1489" s="10">
        <v>76.53</v>
      </c>
      <c r="U1489" s="10">
        <v>75.67</v>
      </c>
      <c r="V1489" s="10">
        <v>74.89</v>
      </c>
      <c r="W1489" s="10">
        <v>74.19</v>
      </c>
      <c r="X1489" s="10">
        <v>73.540000000000006</v>
      </c>
      <c r="Y1489" s="10">
        <v>72.98</v>
      </c>
      <c r="Z1489" s="11">
        <v>90.911000000000001</v>
      </c>
      <c r="AA1489" s="11">
        <v>88.061999999999998</v>
      </c>
      <c r="AB1489" s="11">
        <v>85.201999999999998</v>
      </c>
      <c r="AC1489" s="11">
        <v>82.564999999999998</v>
      </c>
      <c r="AD1489" s="11">
        <v>80.682000000000002</v>
      </c>
      <c r="AE1489" s="11">
        <v>79.259</v>
      </c>
      <c r="AF1489" s="11">
        <v>78.173000000000002</v>
      </c>
      <c r="AG1489" s="11">
        <v>77.313999999999993</v>
      </c>
      <c r="AH1489" s="11">
        <v>76.680999999999997</v>
      </c>
      <c r="AI1489" s="11">
        <v>76.081000000000003</v>
      </c>
      <c r="AJ1489" s="11">
        <v>75.503</v>
      </c>
      <c r="AK1489" s="11">
        <v>74.948999999999998</v>
      </c>
      <c r="AL1489" s="11"/>
    </row>
    <row r="1490" spans="1:38" x14ac:dyDescent="0.3">
      <c r="A1490" s="9">
        <f>DATE(2022, 10, 4)</f>
        <v>44838</v>
      </c>
      <c r="B1490" s="10">
        <v>91.8</v>
      </c>
      <c r="C1490" s="10">
        <v>89.82</v>
      </c>
      <c r="D1490" s="10">
        <v>87.99</v>
      </c>
      <c r="E1490" s="10">
        <v>86.51</v>
      </c>
      <c r="F1490" s="10">
        <v>85.25</v>
      </c>
      <c r="G1490" s="10">
        <v>84.19</v>
      </c>
      <c r="H1490" s="10">
        <v>83.29</v>
      </c>
      <c r="I1490" s="10">
        <v>82.54</v>
      </c>
      <c r="J1490" s="10">
        <v>81.819999999999993</v>
      </c>
      <c r="K1490" s="10">
        <v>81.150000000000006</v>
      </c>
      <c r="L1490" s="10">
        <v>80.540000000000006</v>
      </c>
      <c r="M1490" s="10">
        <v>80.02</v>
      </c>
      <c r="N1490" s="10">
        <v>86.52</v>
      </c>
      <c r="O1490" s="10">
        <v>85.5</v>
      </c>
      <c r="P1490" s="10">
        <v>84.17</v>
      </c>
      <c r="Q1490" s="10">
        <v>82.71</v>
      </c>
      <c r="R1490" s="10">
        <v>81.37</v>
      </c>
      <c r="S1490" s="10">
        <v>80.180000000000007</v>
      </c>
      <c r="T1490" s="10">
        <v>79.13</v>
      </c>
      <c r="U1490" s="10">
        <v>78.209999999999994</v>
      </c>
      <c r="V1490" s="10">
        <v>77.37</v>
      </c>
      <c r="W1490" s="10">
        <v>76.62</v>
      </c>
      <c r="X1490" s="10">
        <v>75.930000000000007</v>
      </c>
      <c r="Y1490" s="10">
        <v>75.319999999999993</v>
      </c>
      <c r="Z1490" s="11">
        <v>90.894000000000005</v>
      </c>
      <c r="AA1490" s="11">
        <v>88.257000000000005</v>
      </c>
      <c r="AB1490" s="11">
        <v>85.519000000000005</v>
      </c>
      <c r="AC1490" s="11">
        <v>83.48</v>
      </c>
      <c r="AD1490" s="11">
        <v>81.917000000000002</v>
      </c>
      <c r="AE1490" s="11">
        <v>80.751000000000005</v>
      </c>
      <c r="AF1490" s="11">
        <v>79.811000000000007</v>
      </c>
      <c r="AG1490" s="11">
        <v>79.099000000000004</v>
      </c>
      <c r="AH1490" s="11">
        <v>78.459999999999994</v>
      </c>
      <c r="AI1490" s="11">
        <v>77.971000000000004</v>
      </c>
      <c r="AJ1490" s="11">
        <v>77.376999999999995</v>
      </c>
      <c r="AK1490" s="11">
        <v>76.864999999999995</v>
      </c>
      <c r="AL1490" s="11"/>
    </row>
    <row r="1491" spans="1:38" x14ac:dyDescent="0.3">
      <c r="A1491" s="9">
        <f>DATE(2022, 10, 5)</f>
        <v>44839</v>
      </c>
      <c r="B1491" s="10">
        <v>93.37</v>
      </c>
      <c r="C1491" s="10">
        <v>91.61</v>
      </c>
      <c r="D1491" s="10">
        <v>89.86</v>
      </c>
      <c r="E1491" s="10">
        <v>88.44</v>
      </c>
      <c r="F1491" s="10">
        <v>87.2</v>
      </c>
      <c r="G1491" s="10">
        <v>86.15</v>
      </c>
      <c r="H1491" s="10">
        <v>85.24</v>
      </c>
      <c r="I1491" s="10">
        <v>84.47</v>
      </c>
      <c r="J1491" s="10">
        <v>83.73</v>
      </c>
      <c r="K1491" s="10">
        <v>83.05</v>
      </c>
      <c r="L1491" s="10">
        <v>82.42</v>
      </c>
      <c r="M1491" s="10">
        <v>81.88</v>
      </c>
      <c r="N1491" s="10">
        <v>87.76</v>
      </c>
      <c r="O1491" s="10">
        <v>86.84</v>
      </c>
      <c r="P1491" s="10">
        <v>85.7</v>
      </c>
      <c r="Q1491" s="10">
        <v>84.42</v>
      </c>
      <c r="R1491" s="10">
        <v>83.19</v>
      </c>
      <c r="S1491" s="10">
        <v>82.04</v>
      </c>
      <c r="T1491" s="10">
        <v>81.02</v>
      </c>
      <c r="U1491" s="10">
        <v>80.099999999999994</v>
      </c>
      <c r="V1491" s="10">
        <v>79.260000000000005</v>
      </c>
      <c r="W1491" s="10">
        <v>78.5</v>
      </c>
      <c r="X1491" s="10">
        <v>77.8</v>
      </c>
      <c r="Y1491" s="10">
        <v>77.17</v>
      </c>
      <c r="Z1491" s="11">
        <v>92.335999999999999</v>
      </c>
      <c r="AA1491" s="11">
        <v>90.052000000000007</v>
      </c>
      <c r="AB1491" s="11">
        <v>87.275000000000006</v>
      </c>
      <c r="AC1491" s="11">
        <v>85.241</v>
      </c>
      <c r="AD1491" s="11">
        <v>83.688000000000002</v>
      </c>
      <c r="AE1491" s="11">
        <v>82.53</v>
      </c>
      <c r="AF1491" s="11">
        <v>81.638999999999996</v>
      </c>
      <c r="AG1491" s="11">
        <v>80.998000000000005</v>
      </c>
      <c r="AH1491" s="11">
        <v>80.349000000000004</v>
      </c>
      <c r="AI1491" s="11">
        <v>79.739999999999995</v>
      </c>
      <c r="AJ1491" s="11">
        <v>79.147000000000006</v>
      </c>
      <c r="AK1491" s="11">
        <v>78.623999999999995</v>
      </c>
      <c r="AL1491" s="11"/>
    </row>
    <row r="1492" spans="1:38" x14ac:dyDescent="0.3">
      <c r="A1492" s="9">
        <f>DATE(2022, 10, 6)</f>
        <v>44840</v>
      </c>
      <c r="B1492" s="10">
        <v>94.42</v>
      </c>
      <c r="C1492" s="10">
        <v>92.67</v>
      </c>
      <c r="D1492" s="10">
        <v>90.95</v>
      </c>
      <c r="E1492" s="10">
        <v>89.54</v>
      </c>
      <c r="F1492" s="10">
        <v>88.3</v>
      </c>
      <c r="G1492" s="10">
        <v>87.27</v>
      </c>
      <c r="H1492" s="10">
        <v>86.36</v>
      </c>
      <c r="I1492" s="10">
        <v>85.58</v>
      </c>
      <c r="J1492" s="10">
        <v>84.83</v>
      </c>
      <c r="K1492" s="10">
        <v>84.14</v>
      </c>
      <c r="L1492" s="10">
        <v>83.49</v>
      </c>
      <c r="M1492" s="10">
        <v>82.93</v>
      </c>
      <c r="N1492" s="10">
        <v>88.45</v>
      </c>
      <c r="O1492" s="10">
        <v>87.59</v>
      </c>
      <c r="P1492" s="10">
        <v>86.51</v>
      </c>
      <c r="Q1492" s="10">
        <v>85.3</v>
      </c>
      <c r="R1492" s="10">
        <v>84.15</v>
      </c>
      <c r="S1492" s="10">
        <v>83.08</v>
      </c>
      <c r="T1492" s="10">
        <v>82.1</v>
      </c>
      <c r="U1492" s="10">
        <v>81.2</v>
      </c>
      <c r="V1492" s="10">
        <v>80.37</v>
      </c>
      <c r="W1492" s="10">
        <v>79.61</v>
      </c>
      <c r="X1492" s="10">
        <v>78.91</v>
      </c>
      <c r="Y1492" s="10">
        <v>78.260000000000005</v>
      </c>
      <c r="Z1492" s="11">
        <v>93.188000000000002</v>
      </c>
      <c r="AA1492" s="11">
        <v>91.141000000000005</v>
      </c>
      <c r="AB1492" s="11">
        <v>88.396000000000001</v>
      </c>
      <c r="AC1492" s="11">
        <v>86.381</v>
      </c>
      <c r="AD1492" s="11">
        <v>84.819000000000003</v>
      </c>
      <c r="AE1492" s="11">
        <v>83.67</v>
      </c>
      <c r="AF1492" s="11">
        <v>82.739000000000004</v>
      </c>
      <c r="AG1492" s="11">
        <v>81.997</v>
      </c>
      <c r="AH1492" s="11">
        <v>81.319000000000003</v>
      </c>
      <c r="AI1492" s="11">
        <v>80.659000000000006</v>
      </c>
      <c r="AJ1492" s="11">
        <v>80.025999999999996</v>
      </c>
      <c r="AK1492" s="11">
        <v>79.483000000000004</v>
      </c>
      <c r="AL1492" s="11"/>
    </row>
    <row r="1493" spans="1:38" x14ac:dyDescent="0.3">
      <c r="A1493" s="9">
        <f>DATE(2022, 10, 7)</f>
        <v>44841</v>
      </c>
      <c r="B1493" s="10">
        <v>97.92</v>
      </c>
      <c r="C1493" s="10">
        <v>95.89</v>
      </c>
      <c r="D1493" s="10">
        <v>93.92</v>
      </c>
      <c r="E1493" s="10">
        <v>92.3</v>
      </c>
      <c r="F1493" s="10">
        <v>90.93</v>
      </c>
      <c r="G1493" s="10">
        <v>89.8</v>
      </c>
      <c r="H1493" s="10">
        <v>88.79</v>
      </c>
      <c r="I1493" s="10">
        <v>87.93</v>
      </c>
      <c r="J1493" s="10">
        <v>87.1</v>
      </c>
      <c r="K1493" s="10">
        <v>86.35</v>
      </c>
      <c r="L1493" s="10">
        <v>85.64</v>
      </c>
      <c r="M1493" s="10">
        <v>85.01</v>
      </c>
      <c r="N1493" s="10">
        <v>92.64</v>
      </c>
      <c r="O1493" s="10">
        <v>91.35</v>
      </c>
      <c r="P1493" s="10">
        <v>89.85</v>
      </c>
      <c r="Q1493" s="10">
        <v>88.3</v>
      </c>
      <c r="R1493" s="10">
        <v>86.85</v>
      </c>
      <c r="S1493" s="10">
        <v>85.58</v>
      </c>
      <c r="T1493" s="10">
        <v>84.48</v>
      </c>
      <c r="U1493" s="10">
        <v>83.49</v>
      </c>
      <c r="V1493" s="10">
        <v>82.57</v>
      </c>
      <c r="W1493" s="10">
        <v>81.73</v>
      </c>
      <c r="X1493" s="10">
        <v>80.95</v>
      </c>
      <c r="Y1493" s="10">
        <v>80.239999999999995</v>
      </c>
      <c r="Z1493" s="11">
        <v>95.753</v>
      </c>
      <c r="AA1493" s="11">
        <v>94.43</v>
      </c>
      <c r="AB1493" s="11">
        <v>91.486000000000004</v>
      </c>
      <c r="AC1493" s="11">
        <v>89.344999999999999</v>
      </c>
      <c r="AD1493" s="11">
        <v>87.674000000000007</v>
      </c>
      <c r="AE1493" s="11">
        <v>86.436000000000007</v>
      </c>
      <c r="AF1493" s="11">
        <v>85.375</v>
      </c>
      <c r="AG1493" s="11">
        <v>84.513999999999996</v>
      </c>
      <c r="AH1493" s="11">
        <v>83.725999999999999</v>
      </c>
      <c r="AI1493" s="11">
        <v>83.006</v>
      </c>
      <c r="AJ1493" s="11">
        <v>82.313000000000002</v>
      </c>
      <c r="AK1493" s="11">
        <v>81.66</v>
      </c>
      <c r="AL1493" s="11"/>
    </row>
    <row r="1494" spans="1:38" x14ac:dyDescent="0.3">
      <c r="A1494" s="9">
        <f>DATE(2022, 10, 10)</f>
        <v>44844</v>
      </c>
      <c r="B1494" s="10">
        <v>96.19</v>
      </c>
      <c r="C1494" s="10">
        <v>94.36</v>
      </c>
      <c r="D1494" s="10">
        <v>92.49</v>
      </c>
      <c r="E1494" s="10">
        <v>90.91</v>
      </c>
      <c r="F1494" s="10">
        <v>89.57</v>
      </c>
      <c r="G1494" s="10">
        <v>88.48</v>
      </c>
      <c r="H1494" s="10">
        <v>87.49</v>
      </c>
      <c r="I1494" s="10">
        <v>86.65</v>
      </c>
      <c r="J1494" s="10">
        <v>85.85</v>
      </c>
      <c r="K1494" s="10">
        <v>85.12</v>
      </c>
      <c r="L1494" s="10">
        <v>84.43</v>
      </c>
      <c r="M1494" s="10">
        <v>83.83</v>
      </c>
      <c r="N1494" s="10">
        <v>91.13</v>
      </c>
      <c r="O1494" s="10">
        <v>89.84</v>
      </c>
      <c r="P1494" s="10">
        <v>88.4</v>
      </c>
      <c r="Q1494" s="10">
        <v>86.88</v>
      </c>
      <c r="R1494" s="10">
        <v>85.43</v>
      </c>
      <c r="S1494" s="10">
        <v>84.16</v>
      </c>
      <c r="T1494" s="10">
        <v>83.07</v>
      </c>
      <c r="U1494" s="10">
        <v>82.11</v>
      </c>
      <c r="V1494" s="10">
        <v>81.23</v>
      </c>
      <c r="W1494" s="10">
        <v>80.430000000000007</v>
      </c>
      <c r="X1494" s="10">
        <v>79.69</v>
      </c>
      <c r="Y1494" s="10">
        <v>79.03</v>
      </c>
      <c r="Z1494" s="11">
        <v>94.367999999999995</v>
      </c>
      <c r="AA1494" s="11">
        <v>92.704999999999998</v>
      </c>
      <c r="AB1494" s="11">
        <v>89.93</v>
      </c>
      <c r="AC1494" s="11">
        <v>87.906000000000006</v>
      </c>
      <c r="AD1494" s="11">
        <v>86.316000000000003</v>
      </c>
      <c r="AE1494" s="11">
        <v>85.126999999999995</v>
      </c>
      <c r="AF1494" s="11">
        <v>84.085999999999999</v>
      </c>
      <c r="AG1494" s="11">
        <v>83.245000000000005</v>
      </c>
      <c r="AH1494" s="11">
        <v>82.436999999999998</v>
      </c>
      <c r="AI1494" s="11">
        <v>81.706999999999994</v>
      </c>
      <c r="AJ1494" s="11">
        <v>81.063999999999993</v>
      </c>
      <c r="AK1494" s="11">
        <v>80.462000000000003</v>
      </c>
      <c r="AL1494" s="11"/>
    </row>
    <row r="1495" spans="1:38" x14ac:dyDescent="0.3">
      <c r="A1495" s="9">
        <f>DATE(2022, 10, 11)</f>
        <v>44845</v>
      </c>
      <c r="B1495" s="10">
        <v>94.29</v>
      </c>
      <c r="C1495" s="10">
        <v>92.49</v>
      </c>
      <c r="D1495" s="10">
        <v>90.7</v>
      </c>
      <c r="E1495" s="10">
        <v>89.13</v>
      </c>
      <c r="F1495" s="10">
        <v>87.77</v>
      </c>
      <c r="G1495" s="10">
        <v>86.65</v>
      </c>
      <c r="H1495" s="10">
        <v>85.62</v>
      </c>
      <c r="I1495" s="10">
        <v>84.76</v>
      </c>
      <c r="J1495" s="10">
        <v>83.97</v>
      </c>
      <c r="K1495" s="10">
        <v>83.27</v>
      </c>
      <c r="L1495" s="10">
        <v>82.62</v>
      </c>
      <c r="M1495" s="10">
        <v>82.06</v>
      </c>
      <c r="N1495" s="10">
        <v>89.35</v>
      </c>
      <c r="O1495" s="10">
        <v>87.97</v>
      </c>
      <c r="P1495" s="10">
        <v>86.56</v>
      </c>
      <c r="Q1495" s="10">
        <v>85.1</v>
      </c>
      <c r="R1495" s="10">
        <v>83.68</v>
      </c>
      <c r="S1495" s="10">
        <v>82.39</v>
      </c>
      <c r="T1495" s="10">
        <v>81.28</v>
      </c>
      <c r="U1495" s="10">
        <v>80.290000000000006</v>
      </c>
      <c r="V1495" s="10">
        <v>79.400000000000006</v>
      </c>
      <c r="W1495" s="10">
        <v>78.61</v>
      </c>
      <c r="X1495" s="10">
        <v>77.900000000000006</v>
      </c>
      <c r="Y1495" s="10">
        <v>77.25</v>
      </c>
      <c r="Z1495" s="11">
        <v>92.897000000000006</v>
      </c>
      <c r="AA1495" s="11">
        <v>90.718999999999994</v>
      </c>
      <c r="AB1495" s="11">
        <v>87.99</v>
      </c>
      <c r="AC1495" s="11">
        <v>86.015000000000001</v>
      </c>
      <c r="AD1495" s="11">
        <v>84.463999999999999</v>
      </c>
      <c r="AE1495" s="11">
        <v>83.265000000000001</v>
      </c>
      <c r="AF1495" s="11">
        <v>82.185000000000002</v>
      </c>
      <c r="AG1495" s="11">
        <v>81.325999999999993</v>
      </c>
      <c r="AH1495" s="11">
        <v>80.558000000000007</v>
      </c>
      <c r="AI1495" s="11">
        <v>79.888999999999996</v>
      </c>
      <c r="AJ1495" s="11">
        <v>79.256</v>
      </c>
      <c r="AK1495" s="11">
        <v>78.703999999999994</v>
      </c>
      <c r="AL1495" s="11"/>
    </row>
    <row r="1496" spans="1:38" x14ac:dyDescent="0.3">
      <c r="A1496" s="9">
        <f>DATE(2022, 10, 12)</f>
        <v>44846</v>
      </c>
      <c r="B1496" s="10">
        <v>92.45</v>
      </c>
      <c r="C1496" s="10">
        <v>90.82</v>
      </c>
      <c r="D1496" s="10">
        <v>89.16</v>
      </c>
      <c r="E1496" s="10">
        <v>87.67</v>
      </c>
      <c r="F1496" s="10">
        <v>86.36</v>
      </c>
      <c r="G1496" s="10">
        <v>85.25</v>
      </c>
      <c r="H1496" s="10">
        <v>84.22</v>
      </c>
      <c r="I1496" s="10">
        <v>83.37</v>
      </c>
      <c r="J1496" s="10">
        <v>82.59</v>
      </c>
      <c r="K1496" s="10">
        <v>81.92</v>
      </c>
      <c r="L1496" s="10">
        <v>81.290000000000006</v>
      </c>
      <c r="M1496" s="10">
        <v>80.75</v>
      </c>
      <c r="N1496" s="10">
        <v>87.27</v>
      </c>
      <c r="O1496" s="10">
        <v>86.06</v>
      </c>
      <c r="P1496" s="10">
        <v>84.74</v>
      </c>
      <c r="Q1496" s="10">
        <v>83.35</v>
      </c>
      <c r="R1496" s="10">
        <v>82.04</v>
      </c>
      <c r="S1496" s="10">
        <v>80.849999999999994</v>
      </c>
      <c r="T1496" s="10">
        <v>79.819999999999993</v>
      </c>
      <c r="U1496" s="10">
        <v>78.900000000000006</v>
      </c>
      <c r="V1496" s="10">
        <v>78.069999999999993</v>
      </c>
      <c r="W1496" s="10">
        <v>77.31</v>
      </c>
      <c r="X1496" s="10">
        <v>76.63</v>
      </c>
      <c r="Y1496" s="10">
        <v>75.989999999999995</v>
      </c>
      <c r="Z1496" s="11">
        <v>91.192999999999998</v>
      </c>
      <c r="AA1496" s="11">
        <v>88.504999999999995</v>
      </c>
      <c r="AB1496" s="11">
        <v>86.037999999999997</v>
      </c>
      <c r="AC1496" s="11">
        <v>84.207999999999998</v>
      </c>
      <c r="AD1496" s="11">
        <v>82.775000000000006</v>
      </c>
      <c r="AE1496" s="11">
        <v>81.655000000000001</v>
      </c>
      <c r="AF1496" s="11">
        <v>80.655000000000001</v>
      </c>
      <c r="AG1496" s="11">
        <v>79.816000000000003</v>
      </c>
      <c r="AH1496" s="11">
        <v>79.05</v>
      </c>
      <c r="AI1496" s="11">
        <v>78.39</v>
      </c>
      <c r="AJ1496" s="11">
        <v>77.787000000000006</v>
      </c>
      <c r="AK1496" s="11">
        <v>77.265000000000001</v>
      </c>
      <c r="AL1496" s="11"/>
    </row>
    <row r="1497" spans="1:38" x14ac:dyDescent="0.3">
      <c r="A1497" s="9">
        <f>DATE(2022, 10, 13)</f>
        <v>44847</v>
      </c>
      <c r="B1497" s="10">
        <v>94.57</v>
      </c>
      <c r="C1497" s="10">
        <v>92.92</v>
      </c>
      <c r="D1497" s="10">
        <v>91.21</v>
      </c>
      <c r="E1497" s="10">
        <v>89.68</v>
      </c>
      <c r="F1497" s="10">
        <v>88.31</v>
      </c>
      <c r="G1497" s="10">
        <v>87.14</v>
      </c>
      <c r="H1497" s="10">
        <v>86.07</v>
      </c>
      <c r="I1497" s="10">
        <v>85.17</v>
      </c>
      <c r="J1497" s="10">
        <v>84.35</v>
      </c>
      <c r="K1497" s="10">
        <v>83.64</v>
      </c>
      <c r="L1497" s="10">
        <v>82.97</v>
      </c>
      <c r="M1497" s="10">
        <v>82.39</v>
      </c>
      <c r="N1497" s="10">
        <v>89.11</v>
      </c>
      <c r="O1497" s="10">
        <v>87.95</v>
      </c>
      <c r="P1497" s="10">
        <v>86.65</v>
      </c>
      <c r="Q1497" s="10">
        <v>85.25</v>
      </c>
      <c r="R1497" s="10">
        <v>83.9</v>
      </c>
      <c r="S1497" s="10">
        <v>82.66</v>
      </c>
      <c r="T1497" s="10">
        <v>81.59</v>
      </c>
      <c r="U1497" s="10">
        <v>80.63</v>
      </c>
      <c r="V1497" s="10">
        <v>79.760000000000005</v>
      </c>
      <c r="W1497" s="10">
        <v>78.95</v>
      </c>
      <c r="X1497" s="10">
        <v>78.2</v>
      </c>
      <c r="Y1497" s="10">
        <v>77.510000000000005</v>
      </c>
      <c r="Z1497" s="11">
        <v>92.355999999999995</v>
      </c>
      <c r="AA1497" s="11">
        <v>90.552000000000007</v>
      </c>
      <c r="AB1497" s="11">
        <v>87.994</v>
      </c>
      <c r="AC1497" s="11">
        <v>86.114999999999995</v>
      </c>
      <c r="AD1497" s="11">
        <v>84.622</v>
      </c>
      <c r="AE1497" s="11">
        <v>83.442999999999998</v>
      </c>
      <c r="AF1497" s="11">
        <v>82.393000000000001</v>
      </c>
      <c r="AG1497" s="11">
        <v>81.614000000000004</v>
      </c>
      <c r="AH1497" s="11">
        <v>80.808000000000007</v>
      </c>
      <c r="AI1497" s="11">
        <v>80.108000000000004</v>
      </c>
      <c r="AJ1497" s="11">
        <v>79.465000000000003</v>
      </c>
      <c r="AK1497" s="11">
        <v>78.903000000000006</v>
      </c>
      <c r="AL1497" s="11"/>
    </row>
    <row r="1498" spans="1:38" x14ac:dyDescent="0.3">
      <c r="A1498" s="9">
        <f>DATE(2022, 10, 14)</f>
        <v>44848</v>
      </c>
      <c r="B1498" s="10">
        <v>91.63</v>
      </c>
      <c r="C1498" s="10">
        <v>90.15</v>
      </c>
      <c r="D1498" s="10">
        <v>88.51</v>
      </c>
      <c r="E1498" s="10">
        <v>87.07</v>
      </c>
      <c r="F1498" s="10">
        <v>85.8</v>
      </c>
      <c r="G1498" s="10">
        <v>84.73</v>
      </c>
      <c r="H1498" s="10">
        <v>83.74</v>
      </c>
      <c r="I1498" s="10">
        <v>82.91</v>
      </c>
      <c r="J1498" s="10">
        <v>82.14</v>
      </c>
      <c r="K1498" s="10">
        <v>81.48</v>
      </c>
      <c r="L1498" s="10">
        <v>80.86</v>
      </c>
      <c r="M1498" s="10">
        <v>80.33</v>
      </c>
      <c r="N1498" s="10">
        <v>85.61</v>
      </c>
      <c r="O1498" s="10">
        <v>84.65</v>
      </c>
      <c r="P1498" s="10">
        <v>83.55</v>
      </c>
      <c r="Q1498" s="10">
        <v>82.29</v>
      </c>
      <c r="R1498" s="10">
        <v>81.08</v>
      </c>
      <c r="S1498" s="10">
        <v>79.98</v>
      </c>
      <c r="T1498" s="10">
        <v>79.03</v>
      </c>
      <c r="U1498" s="10">
        <v>78.19</v>
      </c>
      <c r="V1498" s="10">
        <v>77.41</v>
      </c>
      <c r="W1498" s="10">
        <v>76.69</v>
      </c>
      <c r="X1498" s="10">
        <v>76.02</v>
      </c>
      <c r="Y1498" s="10">
        <v>75.41</v>
      </c>
      <c r="Z1498" s="11">
        <v>90.875</v>
      </c>
      <c r="AA1498" s="11">
        <v>87.424999999999997</v>
      </c>
      <c r="AB1498" s="11">
        <v>84.923000000000002</v>
      </c>
      <c r="AC1498" s="11">
        <v>83.15</v>
      </c>
      <c r="AD1498" s="11">
        <v>81.816999999999993</v>
      </c>
      <c r="AE1498" s="11">
        <v>80.796999999999997</v>
      </c>
      <c r="AF1498" s="11">
        <v>79.835999999999999</v>
      </c>
      <c r="AG1498" s="11">
        <v>79.037000000000006</v>
      </c>
      <c r="AH1498" s="11">
        <v>78.28</v>
      </c>
      <c r="AI1498" s="11">
        <v>77.650000000000006</v>
      </c>
      <c r="AJ1498" s="11">
        <v>77.076999999999998</v>
      </c>
      <c r="AK1498" s="11">
        <v>76.584999999999994</v>
      </c>
      <c r="AL1498" s="11"/>
    </row>
    <row r="1499" spans="1:38" x14ac:dyDescent="0.3">
      <c r="A1499" s="9">
        <f>DATE(2022, 10, 17)</f>
        <v>44851</v>
      </c>
      <c r="B1499" s="10">
        <v>91.62</v>
      </c>
      <c r="C1499" s="10">
        <v>90.18</v>
      </c>
      <c r="D1499" s="10">
        <v>88.58</v>
      </c>
      <c r="E1499" s="10">
        <v>87.19</v>
      </c>
      <c r="F1499" s="10">
        <v>85.97</v>
      </c>
      <c r="G1499" s="10">
        <v>84.95</v>
      </c>
      <c r="H1499" s="10">
        <v>84.01</v>
      </c>
      <c r="I1499" s="10">
        <v>83.24</v>
      </c>
      <c r="J1499" s="10">
        <v>82.52</v>
      </c>
      <c r="K1499" s="10">
        <v>81.87</v>
      </c>
      <c r="L1499" s="10">
        <v>81.27</v>
      </c>
      <c r="M1499" s="10">
        <v>80.75</v>
      </c>
      <c r="N1499" s="10">
        <v>85.46</v>
      </c>
      <c r="O1499" s="10">
        <v>84.53</v>
      </c>
      <c r="P1499" s="10">
        <v>83.51</v>
      </c>
      <c r="Q1499" s="10">
        <v>82.31</v>
      </c>
      <c r="R1499" s="10">
        <v>81.14</v>
      </c>
      <c r="S1499" s="10">
        <v>80.069999999999993</v>
      </c>
      <c r="T1499" s="10">
        <v>79.16</v>
      </c>
      <c r="U1499" s="10">
        <v>78.349999999999994</v>
      </c>
      <c r="V1499" s="10">
        <v>77.59</v>
      </c>
      <c r="W1499" s="10">
        <v>76.900000000000006</v>
      </c>
      <c r="X1499" s="10">
        <v>76.25</v>
      </c>
      <c r="Y1499" s="10">
        <v>75.650000000000006</v>
      </c>
      <c r="Z1499" s="11">
        <v>90.563000000000002</v>
      </c>
      <c r="AA1499" s="11">
        <v>86.716999999999999</v>
      </c>
      <c r="AB1499" s="11">
        <v>84.507999999999996</v>
      </c>
      <c r="AC1499" s="11">
        <v>82.852000000000004</v>
      </c>
      <c r="AD1499" s="11">
        <v>81.629000000000005</v>
      </c>
      <c r="AE1499" s="11">
        <v>80.638999999999996</v>
      </c>
      <c r="AF1499" s="11">
        <v>79.778999999999996</v>
      </c>
      <c r="AG1499" s="11">
        <v>78.968999999999994</v>
      </c>
      <c r="AH1499" s="11">
        <v>78.28</v>
      </c>
      <c r="AI1499" s="11">
        <v>77.661000000000001</v>
      </c>
      <c r="AJ1499" s="11">
        <v>77.137</v>
      </c>
      <c r="AK1499" s="11">
        <v>76.637</v>
      </c>
      <c r="AL1499" s="11"/>
    </row>
    <row r="1500" spans="1:38" x14ac:dyDescent="0.3">
      <c r="A1500" s="9">
        <f>DATE(2022, 10, 18)</f>
        <v>44852</v>
      </c>
      <c r="B1500" s="10">
        <v>90.03</v>
      </c>
      <c r="C1500" s="10">
        <v>88.6</v>
      </c>
      <c r="D1500" s="10">
        <v>87.13</v>
      </c>
      <c r="E1500" s="10">
        <v>85.85</v>
      </c>
      <c r="F1500" s="10">
        <v>84.78</v>
      </c>
      <c r="G1500" s="10">
        <v>83.91</v>
      </c>
      <c r="H1500" s="10">
        <v>83.11</v>
      </c>
      <c r="I1500" s="10">
        <v>82.47</v>
      </c>
      <c r="J1500" s="10">
        <v>81.88</v>
      </c>
      <c r="K1500" s="10">
        <v>81.319999999999993</v>
      </c>
      <c r="L1500" s="10">
        <v>80.81</v>
      </c>
      <c r="M1500" s="10">
        <v>80.38</v>
      </c>
      <c r="N1500" s="10">
        <v>82.82</v>
      </c>
      <c r="O1500" s="10">
        <v>82.07</v>
      </c>
      <c r="P1500" s="10">
        <v>81.290000000000006</v>
      </c>
      <c r="Q1500" s="10">
        <v>80.36</v>
      </c>
      <c r="R1500" s="10">
        <v>79.44</v>
      </c>
      <c r="S1500" s="10">
        <v>78.599999999999994</v>
      </c>
      <c r="T1500" s="10">
        <v>77.88</v>
      </c>
      <c r="U1500" s="10">
        <v>77.260000000000005</v>
      </c>
      <c r="V1500" s="10">
        <v>76.67</v>
      </c>
      <c r="W1500" s="10">
        <v>76.12</v>
      </c>
      <c r="X1500" s="10">
        <v>75.62</v>
      </c>
      <c r="Y1500" s="10">
        <v>75.14</v>
      </c>
      <c r="Z1500" s="11">
        <v>89.813000000000002</v>
      </c>
      <c r="AA1500" s="11">
        <v>85.003</v>
      </c>
      <c r="AB1500" s="11">
        <v>82.938000000000002</v>
      </c>
      <c r="AC1500" s="11">
        <v>81.409000000000006</v>
      </c>
      <c r="AD1500" s="11">
        <v>80.307000000000002</v>
      </c>
      <c r="AE1500" s="11">
        <v>79.444999999999993</v>
      </c>
      <c r="AF1500" s="11">
        <v>78.745999999999995</v>
      </c>
      <c r="AG1500" s="11">
        <v>78.144000000000005</v>
      </c>
      <c r="AH1500" s="11">
        <v>77.605000000000004</v>
      </c>
      <c r="AI1500" s="11">
        <v>77.075999999999993</v>
      </c>
      <c r="AJ1500" s="11">
        <v>76.671000000000006</v>
      </c>
      <c r="AK1500" s="11">
        <v>76.260000000000005</v>
      </c>
      <c r="AL1500" s="11"/>
    </row>
    <row r="1501" spans="1:38" x14ac:dyDescent="0.3">
      <c r="A1501" s="9">
        <f>DATE(2022, 10, 19)</f>
        <v>44853</v>
      </c>
      <c r="B1501" s="10">
        <v>92.41</v>
      </c>
      <c r="C1501" s="10">
        <v>90.56</v>
      </c>
      <c r="D1501" s="10">
        <v>88.85</v>
      </c>
      <c r="E1501" s="10">
        <v>87.42</v>
      </c>
      <c r="F1501" s="10">
        <v>86.22</v>
      </c>
      <c r="G1501" s="10">
        <v>85.24</v>
      </c>
      <c r="H1501" s="10">
        <v>84.37</v>
      </c>
      <c r="I1501" s="10">
        <v>83.67</v>
      </c>
      <c r="J1501" s="10">
        <v>83.02</v>
      </c>
      <c r="K1501" s="10">
        <v>82.42</v>
      </c>
      <c r="L1501" s="10">
        <v>81.86</v>
      </c>
      <c r="M1501" s="10">
        <v>81.400000000000006</v>
      </c>
      <c r="N1501" s="10">
        <v>85.55</v>
      </c>
      <c r="O1501" s="10">
        <v>84.52</v>
      </c>
      <c r="P1501" s="10">
        <v>83.42</v>
      </c>
      <c r="Q1501" s="10">
        <v>82.25</v>
      </c>
      <c r="R1501" s="10">
        <v>81.17</v>
      </c>
      <c r="S1501" s="10">
        <v>80.2</v>
      </c>
      <c r="T1501" s="10">
        <v>79.36</v>
      </c>
      <c r="U1501" s="10">
        <v>78.63</v>
      </c>
      <c r="V1501" s="10">
        <v>77.97</v>
      </c>
      <c r="W1501" s="10">
        <v>77.37</v>
      </c>
      <c r="X1501" s="10">
        <v>76.83</v>
      </c>
      <c r="Y1501" s="10">
        <v>76.33</v>
      </c>
      <c r="Z1501" s="11">
        <v>90.138000000000005</v>
      </c>
      <c r="AA1501" s="11">
        <v>86.841999999999999</v>
      </c>
      <c r="AB1501" s="11">
        <v>84.614000000000004</v>
      </c>
      <c r="AC1501" s="11">
        <v>82.843000000000004</v>
      </c>
      <c r="AD1501" s="11">
        <v>81.570999999999998</v>
      </c>
      <c r="AE1501" s="11">
        <v>80.591999999999999</v>
      </c>
      <c r="AF1501" s="11">
        <v>79.783000000000001</v>
      </c>
      <c r="AG1501" s="11">
        <v>79.162000000000006</v>
      </c>
      <c r="AH1501" s="11">
        <v>78.593000000000004</v>
      </c>
      <c r="AI1501" s="11">
        <v>78.033000000000001</v>
      </c>
      <c r="AJ1501" s="11">
        <v>77.5</v>
      </c>
      <c r="AK1501" s="11">
        <v>77.058999999999997</v>
      </c>
      <c r="AL1501" s="11"/>
    </row>
    <row r="1502" spans="1:38" x14ac:dyDescent="0.3">
      <c r="A1502" s="9">
        <f>DATE(2022, 10, 20)</f>
        <v>44854</v>
      </c>
      <c r="B1502" s="10">
        <v>92.38</v>
      </c>
      <c r="C1502" s="10">
        <v>90.45</v>
      </c>
      <c r="D1502" s="10">
        <v>88.61</v>
      </c>
      <c r="E1502" s="10">
        <v>87.07</v>
      </c>
      <c r="F1502" s="10">
        <v>85.79</v>
      </c>
      <c r="G1502" s="10">
        <v>84.75</v>
      </c>
      <c r="H1502" s="10">
        <v>83.85</v>
      </c>
      <c r="I1502" s="10">
        <v>83.13</v>
      </c>
      <c r="J1502" s="10">
        <v>82.47</v>
      </c>
      <c r="K1502" s="10">
        <v>81.84</v>
      </c>
      <c r="L1502" s="10">
        <v>81.28</v>
      </c>
      <c r="M1502" s="10">
        <v>80.81</v>
      </c>
      <c r="N1502" s="10">
        <v>85.98</v>
      </c>
      <c r="O1502" s="10">
        <v>84.51</v>
      </c>
      <c r="P1502" s="10">
        <v>83.3</v>
      </c>
      <c r="Q1502" s="10">
        <v>81.99</v>
      </c>
      <c r="R1502" s="10">
        <v>80.78</v>
      </c>
      <c r="S1502" s="10">
        <v>79.709999999999994</v>
      </c>
      <c r="T1502" s="10">
        <v>78.8</v>
      </c>
      <c r="U1502" s="10">
        <v>78.010000000000005</v>
      </c>
      <c r="V1502" s="10">
        <v>77.319999999999993</v>
      </c>
      <c r="W1502" s="10">
        <v>76.72</v>
      </c>
      <c r="X1502" s="10">
        <v>76.17</v>
      </c>
      <c r="Y1502" s="10">
        <v>75.69</v>
      </c>
      <c r="Z1502" s="11">
        <v>90.614000000000004</v>
      </c>
      <c r="AA1502" s="11">
        <v>87.715999999999994</v>
      </c>
      <c r="AB1502" s="11">
        <v>85.212999999999994</v>
      </c>
      <c r="AC1502" s="11">
        <v>83.198999999999998</v>
      </c>
      <c r="AD1502" s="11">
        <v>81.677999999999997</v>
      </c>
      <c r="AE1502" s="11">
        <v>80.561000000000007</v>
      </c>
      <c r="AF1502" s="11">
        <v>79.622</v>
      </c>
      <c r="AG1502" s="11">
        <v>78.991</v>
      </c>
      <c r="AH1502" s="11">
        <v>78.370999999999995</v>
      </c>
      <c r="AI1502" s="11">
        <v>77.692999999999998</v>
      </c>
      <c r="AJ1502" s="11">
        <v>77.150000000000006</v>
      </c>
      <c r="AK1502" s="11">
        <v>76.688999999999993</v>
      </c>
      <c r="AL1502" s="11"/>
    </row>
    <row r="1503" spans="1:38" x14ac:dyDescent="0.3">
      <c r="A1503" s="9">
        <f>DATE(2022, 10, 21)</f>
        <v>44855</v>
      </c>
      <c r="B1503" s="10">
        <v>93.5</v>
      </c>
      <c r="C1503" s="10">
        <v>91.34</v>
      </c>
      <c r="D1503" s="10">
        <v>89.45</v>
      </c>
      <c r="E1503" s="10">
        <v>87.86</v>
      </c>
      <c r="F1503" s="10">
        <v>86.52</v>
      </c>
      <c r="G1503" s="10">
        <v>85.43</v>
      </c>
      <c r="H1503" s="10">
        <v>84.49</v>
      </c>
      <c r="I1503" s="10">
        <v>83.71</v>
      </c>
      <c r="J1503" s="10">
        <v>83</v>
      </c>
      <c r="K1503" s="10">
        <v>82.33</v>
      </c>
      <c r="L1503" s="10">
        <v>81.73</v>
      </c>
      <c r="M1503" s="10">
        <v>81.209999999999994</v>
      </c>
      <c r="N1503" s="10">
        <v>85.05</v>
      </c>
      <c r="O1503" s="10">
        <v>83.95</v>
      </c>
      <c r="P1503" s="10">
        <v>82.65</v>
      </c>
      <c r="Q1503" s="10">
        <v>81.430000000000007</v>
      </c>
      <c r="R1503" s="10">
        <v>80.319999999999993</v>
      </c>
      <c r="S1503" s="10">
        <v>79.36</v>
      </c>
      <c r="T1503" s="10">
        <v>78.53</v>
      </c>
      <c r="U1503" s="10">
        <v>77.8</v>
      </c>
      <c r="V1503" s="10">
        <v>77.14</v>
      </c>
      <c r="W1503" s="10">
        <v>76.55</v>
      </c>
      <c r="X1503" s="10">
        <v>76.010000000000005</v>
      </c>
      <c r="Y1503" s="10">
        <v>75.510000000000005</v>
      </c>
      <c r="Z1503" s="11">
        <v>90.965999999999994</v>
      </c>
      <c r="AA1503" s="11">
        <v>88.744</v>
      </c>
      <c r="AB1503" s="11">
        <v>86.138999999999996</v>
      </c>
      <c r="AC1503" s="11">
        <v>84.036000000000001</v>
      </c>
      <c r="AD1503" s="11">
        <v>82.406000000000006</v>
      </c>
      <c r="AE1503" s="11">
        <v>81.278999999999996</v>
      </c>
      <c r="AF1503" s="11">
        <v>80.269000000000005</v>
      </c>
      <c r="AG1503" s="11">
        <v>79.498999999999995</v>
      </c>
      <c r="AH1503" s="11">
        <v>78.8</v>
      </c>
      <c r="AI1503" s="11">
        <v>78.150999999999996</v>
      </c>
      <c r="AJ1503" s="11">
        <v>77.546999999999997</v>
      </c>
      <c r="AK1503" s="11">
        <v>76.975999999999999</v>
      </c>
      <c r="AL1503" s="11"/>
    </row>
    <row r="1504" spans="1:38" x14ac:dyDescent="0.3">
      <c r="A1504" s="9">
        <f>DATE(2022, 10, 24)</f>
        <v>44858</v>
      </c>
      <c r="B1504" s="10">
        <v>93.26</v>
      </c>
      <c r="C1504" s="10">
        <v>91.21</v>
      </c>
      <c r="D1504" s="10">
        <v>89.43</v>
      </c>
      <c r="E1504" s="10">
        <v>87.93</v>
      </c>
      <c r="F1504" s="10">
        <v>86.65</v>
      </c>
      <c r="G1504" s="10">
        <v>85.6</v>
      </c>
      <c r="H1504" s="10">
        <v>84.67</v>
      </c>
      <c r="I1504" s="10">
        <v>83.9</v>
      </c>
      <c r="J1504" s="10">
        <v>83.19</v>
      </c>
      <c r="K1504" s="10">
        <v>82.51</v>
      </c>
      <c r="L1504" s="10">
        <v>81.89</v>
      </c>
      <c r="M1504" s="10">
        <v>81.349999999999994</v>
      </c>
      <c r="N1504" s="10">
        <v>84.58</v>
      </c>
      <c r="O1504" s="10">
        <v>83.59</v>
      </c>
      <c r="P1504" s="10">
        <v>82.39</v>
      </c>
      <c r="Q1504" s="10">
        <v>81.25</v>
      </c>
      <c r="R1504" s="10">
        <v>80.209999999999994</v>
      </c>
      <c r="S1504" s="10">
        <v>79.31</v>
      </c>
      <c r="T1504" s="10">
        <v>78.53</v>
      </c>
      <c r="U1504" s="10">
        <v>77.83</v>
      </c>
      <c r="V1504" s="10">
        <v>77.180000000000007</v>
      </c>
      <c r="W1504" s="10">
        <v>76.61</v>
      </c>
      <c r="X1504" s="10">
        <v>76.09</v>
      </c>
      <c r="Y1504" s="10">
        <v>75.599999999999994</v>
      </c>
      <c r="Z1504" s="11">
        <v>90.846999999999994</v>
      </c>
      <c r="AA1504" s="11">
        <v>88.269000000000005</v>
      </c>
      <c r="AB1504" s="11">
        <v>85.677000000000007</v>
      </c>
      <c r="AC1504" s="11">
        <v>83.599000000000004</v>
      </c>
      <c r="AD1504" s="11">
        <v>82.138000000000005</v>
      </c>
      <c r="AE1504" s="11">
        <v>81.069999999999993</v>
      </c>
      <c r="AF1504" s="11">
        <v>80.159000000000006</v>
      </c>
      <c r="AG1504" s="11">
        <v>79.409000000000006</v>
      </c>
      <c r="AH1504" s="11">
        <v>78.728999999999999</v>
      </c>
      <c r="AI1504" s="11">
        <v>78.069999999999993</v>
      </c>
      <c r="AJ1504" s="11">
        <v>77.466999999999999</v>
      </c>
      <c r="AK1504" s="11">
        <v>76.915999999999997</v>
      </c>
      <c r="AL1504" s="11"/>
    </row>
    <row r="1505" spans="1:38" x14ac:dyDescent="0.3">
      <c r="A1505" s="9">
        <f>DATE(2022, 10, 25)</f>
        <v>44859</v>
      </c>
      <c r="B1505" s="10">
        <v>93.52</v>
      </c>
      <c r="C1505" s="10">
        <v>91.74</v>
      </c>
      <c r="D1505" s="10">
        <v>90.1</v>
      </c>
      <c r="E1505" s="10">
        <v>88.68</v>
      </c>
      <c r="F1505" s="10">
        <v>87.45</v>
      </c>
      <c r="G1505" s="10">
        <v>86.44</v>
      </c>
      <c r="H1505" s="10">
        <v>85.53</v>
      </c>
      <c r="I1505" s="10">
        <v>84.78</v>
      </c>
      <c r="J1505" s="10">
        <v>84.08</v>
      </c>
      <c r="K1505" s="10">
        <v>83.4</v>
      </c>
      <c r="L1505" s="10">
        <v>82.78</v>
      </c>
      <c r="M1505" s="10">
        <v>82.25</v>
      </c>
      <c r="N1505" s="10">
        <v>85.32</v>
      </c>
      <c r="O1505" s="10">
        <v>84.31</v>
      </c>
      <c r="P1505" s="10">
        <v>83.15</v>
      </c>
      <c r="Q1505" s="10">
        <v>82.05</v>
      </c>
      <c r="R1505" s="10">
        <v>81.06</v>
      </c>
      <c r="S1505" s="10">
        <v>80.2</v>
      </c>
      <c r="T1505" s="10">
        <v>79.430000000000007</v>
      </c>
      <c r="U1505" s="10">
        <v>78.739999999999995</v>
      </c>
      <c r="V1505" s="10">
        <v>78.12</v>
      </c>
      <c r="W1505" s="10">
        <v>77.540000000000006</v>
      </c>
      <c r="X1505" s="10">
        <v>77.010000000000005</v>
      </c>
      <c r="Y1505" s="10">
        <v>76.510000000000005</v>
      </c>
      <c r="Z1505" s="11">
        <v>90.721999999999994</v>
      </c>
      <c r="AA1505" s="11">
        <v>88.905000000000001</v>
      </c>
      <c r="AB1505" s="11">
        <v>86.435000000000002</v>
      </c>
      <c r="AC1505" s="11">
        <v>84.48</v>
      </c>
      <c r="AD1505" s="11">
        <v>83.046000000000006</v>
      </c>
      <c r="AE1505" s="11">
        <v>81.995999999999995</v>
      </c>
      <c r="AF1505" s="11">
        <v>81.031000000000006</v>
      </c>
      <c r="AG1505" s="11">
        <v>80.319999999999993</v>
      </c>
      <c r="AH1505" s="11">
        <v>79.659000000000006</v>
      </c>
      <c r="AI1505" s="11">
        <v>79</v>
      </c>
      <c r="AJ1505" s="11">
        <v>78.376999999999995</v>
      </c>
      <c r="AK1505" s="11">
        <v>77.775999999999996</v>
      </c>
      <c r="AL1505" s="11"/>
    </row>
    <row r="1506" spans="1:38" x14ac:dyDescent="0.3">
      <c r="A1506" s="9">
        <f>DATE(2022, 10, 26)</f>
        <v>44860</v>
      </c>
      <c r="B1506" s="10">
        <v>95.69</v>
      </c>
      <c r="C1506" s="10">
        <v>93.79</v>
      </c>
      <c r="D1506" s="10">
        <v>92.09</v>
      </c>
      <c r="E1506" s="10">
        <v>90.61</v>
      </c>
      <c r="F1506" s="10">
        <v>89.29</v>
      </c>
      <c r="G1506" s="10">
        <v>88.19</v>
      </c>
      <c r="H1506" s="10">
        <v>87.21</v>
      </c>
      <c r="I1506" s="10">
        <v>86.4</v>
      </c>
      <c r="J1506" s="10">
        <v>85.65</v>
      </c>
      <c r="K1506" s="10">
        <v>84.93</v>
      </c>
      <c r="L1506" s="10">
        <v>84.27</v>
      </c>
      <c r="M1506" s="10">
        <v>83.7</v>
      </c>
      <c r="N1506" s="10">
        <v>87.91</v>
      </c>
      <c r="O1506" s="10">
        <v>86.68</v>
      </c>
      <c r="P1506" s="10">
        <v>85.34</v>
      </c>
      <c r="Q1506" s="10">
        <v>84.05</v>
      </c>
      <c r="R1506" s="10">
        <v>82.91</v>
      </c>
      <c r="S1506" s="10">
        <v>81.91</v>
      </c>
      <c r="T1506" s="10">
        <v>81.040000000000006</v>
      </c>
      <c r="U1506" s="10">
        <v>80.25</v>
      </c>
      <c r="V1506" s="10">
        <v>79.55</v>
      </c>
      <c r="W1506" s="10">
        <v>78.92</v>
      </c>
      <c r="X1506" s="10">
        <v>78.349999999999994</v>
      </c>
      <c r="Y1506" s="10">
        <v>77.819999999999993</v>
      </c>
      <c r="Z1506" s="11">
        <v>91.287000000000006</v>
      </c>
      <c r="AA1506" s="11">
        <v>90.992999999999995</v>
      </c>
      <c r="AB1506" s="11">
        <v>88.438999999999993</v>
      </c>
      <c r="AC1506" s="11">
        <v>86.408000000000001</v>
      </c>
      <c r="AD1506" s="11">
        <v>84.97</v>
      </c>
      <c r="AE1506" s="11">
        <v>83.841999999999999</v>
      </c>
      <c r="AF1506" s="11">
        <v>82.826999999999998</v>
      </c>
      <c r="AG1506" s="11">
        <v>82.027000000000001</v>
      </c>
      <c r="AH1506" s="11">
        <v>81.307000000000002</v>
      </c>
      <c r="AI1506" s="11">
        <v>80.629000000000005</v>
      </c>
      <c r="AJ1506" s="11">
        <v>79.984999999999999</v>
      </c>
      <c r="AK1506" s="11">
        <v>79.405000000000001</v>
      </c>
      <c r="AL1506" s="11"/>
    </row>
    <row r="1507" spans="1:38" x14ac:dyDescent="0.3">
      <c r="A1507" s="9">
        <f>DATE(2022, 10, 27)</f>
        <v>44861</v>
      </c>
      <c r="B1507" s="10">
        <v>96.96</v>
      </c>
      <c r="C1507" s="10">
        <v>95.04</v>
      </c>
      <c r="D1507" s="10">
        <v>93.25</v>
      </c>
      <c r="E1507" s="10">
        <v>91.67</v>
      </c>
      <c r="F1507" s="10">
        <v>90.29</v>
      </c>
      <c r="G1507" s="10">
        <v>89.14</v>
      </c>
      <c r="H1507" s="10">
        <v>88.12</v>
      </c>
      <c r="I1507" s="10">
        <v>87.27</v>
      </c>
      <c r="J1507" s="10">
        <v>86.49</v>
      </c>
      <c r="K1507" s="10">
        <v>85.76</v>
      </c>
      <c r="L1507" s="10">
        <v>85.08</v>
      </c>
      <c r="M1507" s="10">
        <v>84.5</v>
      </c>
      <c r="N1507" s="10">
        <v>89.08</v>
      </c>
      <c r="O1507" s="10">
        <v>87.83</v>
      </c>
      <c r="P1507" s="10">
        <v>86.43</v>
      </c>
      <c r="Q1507" s="10">
        <v>85.06</v>
      </c>
      <c r="R1507" s="10">
        <v>83.84</v>
      </c>
      <c r="S1507" s="10">
        <v>82.77</v>
      </c>
      <c r="T1507" s="10">
        <v>81.84</v>
      </c>
      <c r="U1507" s="10">
        <v>81</v>
      </c>
      <c r="V1507" s="10">
        <v>80.27</v>
      </c>
      <c r="W1507" s="10">
        <v>79.61</v>
      </c>
      <c r="X1507" s="10">
        <v>79.02</v>
      </c>
      <c r="Y1507" s="10">
        <v>78.47</v>
      </c>
      <c r="Z1507" s="11">
        <v>91.289000000000001</v>
      </c>
      <c r="AA1507" s="11">
        <v>91.778999999999996</v>
      </c>
      <c r="AB1507" s="11">
        <v>89.29</v>
      </c>
      <c r="AC1507" s="11">
        <v>87.233999999999995</v>
      </c>
      <c r="AD1507" s="11">
        <v>85.763000000000005</v>
      </c>
      <c r="AE1507" s="11">
        <v>84.596000000000004</v>
      </c>
      <c r="AF1507" s="11">
        <v>83.614999999999995</v>
      </c>
      <c r="AG1507" s="11">
        <v>82.816000000000003</v>
      </c>
      <c r="AH1507" s="11">
        <v>82.076999999999998</v>
      </c>
      <c r="AI1507" s="11">
        <v>81.378</v>
      </c>
      <c r="AJ1507" s="11">
        <v>80.724999999999994</v>
      </c>
      <c r="AK1507" s="11">
        <v>80.144999999999996</v>
      </c>
      <c r="AL1507" s="11"/>
    </row>
    <row r="1508" spans="1:38" x14ac:dyDescent="0.3">
      <c r="A1508" s="9">
        <f>DATE(2022, 10, 28)</f>
        <v>44862</v>
      </c>
      <c r="B1508" s="10">
        <v>95.77</v>
      </c>
      <c r="C1508" s="10">
        <v>93.77</v>
      </c>
      <c r="D1508" s="10">
        <v>91.86</v>
      </c>
      <c r="E1508" s="10">
        <v>90.24</v>
      </c>
      <c r="F1508" s="10">
        <v>88.85</v>
      </c>
      <c r="G1508" s="10">
        <v>87.71</v>
      </c>
      <c r="H1508" s="10">
        <v>86.7</v>
      </c>
      <c r="I1508" s="10">
        <v>85.88</v>
      </c>
      <c r="J1508" s="10">
        <v>85.14</v>
      </c>
      <c r="K1508" s="10">
        <v>84.43</v>
      </c>
      <c r="L1508" s="10">
        <v>83.81</v>
      </c>
      <c r="M1508" s="10">
        <v>83.27</v>
      </c>
      <c r="N1508" s="10">
        <v>87.9</v>
      </c>
      <c r="O1508" s="10">
        <v>86.61</v>
      </c>
      <c r="P1508" s="10">
        <v>85.17</v>
      </c>
      <c r="Q1508" s="10">
        <v>83.83</v>
      </c>
      <c r="R1508" s="10">
        <v>82.62</v>
      </c>
      <c r="S1508" s="10">
        <v>81.569999999999993</v>
      </c>
      <c r="T1508" s="10">
        <v>80.66</v>
      </c>
      <c r="U1508" s="10">
        <v>79.849999999999994</v>
      </c>
      <c r="V1508" s="10">
        <v>79.14</v>
      </c>
      <c r="W1508" s="10">
        <v>78.489999999999995</v>
      </c>
      <c r="X1508" s="10">
        <v>77.900000000000006</v>
      </c>
      <c r="Y1508" s="10">
        <v>77.37</v>
      </c>
      <c r="Z1508" s="11">
        <v>91.203999999999994</v>
      </c>
      <c r="AA1508" s="11">
        <v>90.373000000000005</v>
      </c>
      <c r="AB1508" s="11">
        <v>87.796000000000006</v>
      </c>
      <c r="AC1508" s="11">
        <v>85.763999999999996</v>
      </c>
      <c r="AD1508" s="11">
        <v>84.302999999999997</v>
      </c>
      <c r="AE1508" s="11">
        <v>83.135999999999996</v>
      </c>
      <c r="AF1508" s="11">
        <v>82.126999999999995</v>
      </c>
      <c r="AG1508" s="11">
        <v>81.317999999999998</v>
      </c>
      <c r="AH1508" s="11">
        <v>80.608000000000004</v>
      </c>
      <c r="AI1508" s="11">
        <v>80</v>
      </c>
      <c r="AJ1508" s="11">
        <v>79.356999999999999</v>
      </c>
      <c r="AK1508" s="11">
        <v>78.807000000000002</v>
      </c>
      <c r="AL1508" s="11"/>
    </row>
    <row r="1509" spans="1:38" x14ac:dyDescent="0.3">
      <c r="A1509" s="9">
        <f>DATE(2022, 10, 31)</f>
        <v>44865</v>
      </c>
      <c r="B1509" s="10">
        <v>94.83</v>
      </c>
      <c r="C1509" s="10">
        <v>92.81</v>
      </c>
      <c r="D1509" s="10">
        <v>91.02</v>
      </c>
      <c r="E1509" s="10">
        <v>89.47</v>
      </c>
      <c r="F1509" s="10">
        <v>88.13</v>
      </c>
      <c r="G1509" s="10">
        <v>87.03</v>
      </c>
      <c r="H1509" s="10">
        <v>86.05</v>
      </c>
      <c r="I1509" s="10">
        <v>85.25</v>
      </c>
      <c r="J1509" s="10">
        <v>84.52</v>
      </c>
      <c r="K1509" s="10">
        <v>83.85</v>
      </c>
      <c r="L1509" s="10">
        <v>83.26</v>
      </c>
      <c r="M1509" s="10">
        <v>82.76</v>
      </c>
      <c r="N1509" s="10">
        <v>86.53</v>
      </c>
      <c r="O1509" s="10">
        <v>85.4</v>
      </c>
      <c r="P1509" s="10">
        <v>84.1</v>
      </c>
      <c r="Q1509" s="10">
        <v>82.88</v>
      </c>
      <c r="R1509" s="10">
        <v>81.78</v>
      </c>
      <c r="S1509" s="10">
        <v>80.83</v>
      </c>
      <c r="T1509" s="10">
        <v>80</v>
      </c>
      <c r="U1509" s="10">
        <v>79.25</v>
      </c>
      <c r="V1509" s="10">
        <v>78.569999999999993</v>
      </c>
      <c r="W1509" s="10">
        <v>77.95</v>
      </c>
      <c r="X1509" s="10">
        <v>77.400000000000006</v>
      </c>
      <c r="Y1509" s="10">
        <v>76.900000000000006</v>
      </c>
      <c r="Z1509" s="11">
        <v>91.13</v>
      </c>
      <c r="AA1509" s="11">
        <v>89.739000000000004</v>
      </c>
      <c r="AB1509" s="11">
        <v>87.122</v>
      </c>
      <c r="AC1509" s="11">
        <v>85.063999999999993</v>
      </c>
      <c r="AD1509" s="11">
        <v>83.605000000000004</v>
      </c>
      <c r="AE1509" s="11">
        <v>82.466999999999999</v>
      </c>
      <c r="AF1509" s="11">
        <v>81.518000000000001</v>
      </c>
      <c r="AG1509" s="11">
        <v>80.817999999999998</v>
      </c>
      <c r="AH1509" s="11">
        <v>80.099999999999994</v>
      </c>
      <c r="AI1509" s="11">
        <v>79.462000000000003</v>
      </c>
      <c r="AJ1509" s="11">
        <v>78.878</v>
      </c>
      <c r="AK1509" s="11">
        <v>78.367999999999995</v>
      </c>
      <c r="AL1509" s="11"/>
    </row>
    <row r="1510" spans="1:38" x14ac:dyDescent="0.3">
      <c r="A1510" s="9">
        <f>DATE(2022, 11, 1)</f>
        <v>44866</v>
      </c>
      <c r="B1510" s="10">
        <v>94.65</v>
      </c>
      <c r="C1510" s="10">
        <v>92.79</v>
      </c>
      <c r="D1510" s="10">
        <v>91.17</v>
      </c>
      <c r="E1510" s="10">
        <v>89.77</v>
      </c>
      <c r="F1510" s="10">
        <v>88.57</v>
      </c>
      <c r="G1510" s="10">
        <v>87.51</v>
      </c>
      <c r="H1510" s="10">
        <v>86.63</v>
      </c>
      <c r="I1510" s="10">
        <v>85.84</v>
      </c>
      <c r="J1510" s="10">
        <v>85.11</v>
      </c>
      <c r="K1510" s="10">
        <v>84.45</v>
      </c>
      <c r="L1510" s="10">
        <v>83.88</v>
      </c>
      <c r="M1510" s="10">
        <v>83.35</v>
      </c>
      <c r="N1510" s="10">
        <v>88.37</v>
      </c>
      <c r="O1510" s="10">
        <v>87.19</v>
      </c>
      <c r="P1510" s="10">
        <v>85.82</v>
      </c>
      <c r="Q1510" s="10">
        <v>84.53</v>
      </c>
      <c r="R1510" s="10">
        <v>83.37</v>
      </c>
      <c r="S1510" s="10">
        <v>82.34</v>
      </c>
      <c r="T1510" s="10">
        <v>81.430000000000007</v>
      </c>
      <c r="U1510" s="10">
        <v>80.599999999999994</v>
      </c>
      <c r="V1510" s="10">
        <v>79.86</v>
      </c>
      <c r="W1510" s="10">
        <v>79.17</v>
      </c>
      <c r="X1510" s="10">
        <v>78.56</v>
      </c>
      <c r="Y1510" s="10">
        <v>78.010000000000005</v>
      </c>
      <c r="Z1510" s="11">
        <v>91.13</v>
      </c>
      <c r="AA1510" s="11">
        <v>91.204999999999998</v>
      </c>
      <c r="AB1510" s="11">
        <v>88.736000000000004</v>
      </c>
      <c r="AC1510" s="11">
        <v>86.712999999999994</v>
      </c>
      <c r="AD1510" s="11">
        <v>85.2</v>
      </c>
      <c r="AE1510" s="11">
        <v>84.009</v>
      </c>
      <c r="AF1510" s="11">
        <v>82.933999999999997</v>
      </c>
      <c r="AG1510" s="11">
        <v>82.085999999999999</v>
      </c>
      <c r="AH1510" s="11">
        <v>81.326999999999998</v>
      </c>
      <c r="AI1510" s="11">
        <v>80.649000000000001</v>
      </c>
      <c r="AJ1510" s="11">
        <v>80.004999999999995</v>
      </c>
      <c r="AK1510" s="11">
        <v>79.415000000000006</v>
      </c>
      <c r="AL1510" s="11"/>
    </row>
    <row r="1511" spans="1:38" x14ac:dyDescent="0.3">
      <c r="A1511" s="9">
        <f>DATE(2022, 11, 2)</f>
        <v>44867</v>
      </c>
      <c r="B1511" s="10">
        <v>96.16</v>
      </c>
      <c r="C1511" s="10">
        <v>94.42</v>
      </c>
      <c r="D1511" s="10">
        <v>92.85</v>
      </c>
      <c r="E1511" s="10">
        <v>91.48</v>
      </c>
      <c r="F1511" s="10">
        <v>90.3</v>
      </c>
      <c r="G1511" s="10">
        <v>89.24</v>
      </c>
      <c r="H1511" s="10">
        <v>88.36</v>
      </c>
      <c r="I1511" s="10">
        <v>87.56</v>
      </c>
      <c r="J1511" s="10">
        <v>86.82</v>
      </c>
      <c r="K1511" s="10">
        <v>86.15</v>
      </c>
      <c r="L1511" s="10">
        <v>85.56</v>
      </c>
      <c r="M1511" s="10">
        <v>85.03</v>
      </c>
      <c r="N1511" s="10">
        <v>90</v>
      </c>
      <c r="O1511" s="10">
        <v>88.86</v>
      </c>
      <c r="P1511" s="10">
        <v>87.53</v>
      </c>
      <c r="Q1511" s="10">
        <v>86.27</v>
      </c>
      <c r="R1511" s="10">
        <v>85.13</v>
      </c>
      <c r="S1511" s="10">
        <v>84.11</v>
      </c>
      <c r="T1511" s="10">
        <v>83.19</v>
      </c>
      <c r="U1511" s="10">
        <v>82.36</v>
      </c>
      <c r="V1511" s="10">
        <v>81.61</v>
      </c>
      <c r="W1511" s="10">
        <v>80.94</v>
      </c>
      <c r="X1511" s="10">
        <v>80.319999999999993</v>
      </c>
      <c r="Y1511" s="10">
        <v>79.760000000000005</v>
      </c>
      <c r="Z1511" s="11">
        <v>91.552000000000007</v>
      </c>
      <c r="AA1511" s="11">
        <v>89.34</v>
      </c>
      <c r="AB1511" s="11">
        <v>87.584999999999994</v>
      </c>
      <c r="AC1511" s="11">
        <v>86.301000000000002</v>
      </c>
      <c r="AD1511" s="11">
        <v>85.254000000000005</v>
      </c>
      <c r="AE1511" s="11">
        <v>84.304000000000002</v>
      </c>
      <c r="AF1511" s="11">
        <v>83.465000000000003</v>
      </c>
      <c r="AG1511" s="11">
        <v>82.656000000000006</v>
      </c>
      <c r="AH1511" s="11">
        <v>82.028000000000006</v>
      </c>
      <c r="AI1511" s="11">
        <v>81.394000000000005</v>
      </c>
      <c r="AJ1511" s="11">
        <v>80.855000000000004</v>
      </c>
      <c r="AK1511" s="11">
        <v>80.355000000000004</v>
      </c>
      <c r="AL1511" s="11"/>
    </row>
    <row r="1512" spans="1:38" x14ac:dyDescent="0.3">
      <c r="A1512" s="9">
        <f>DATE(2022, 11, 3)</f>
        <v>44868</v>
      </c>
      <c r="B1512" s="10">
        <v>94.67</v>
      </c>
      <c r="C1512" s="10">
        <v>93.07</v>
      </c>
      <c r="D1512" s="10">
        <v>91.56</v>
      </c>
      <c r="E1512" s="10">
        <v>90.24</v>
      </c>
      <c r="F1512" s="10">
        <v>89.1</v>
      </c>
      <c r="G1512" s="10">
        <v>88.07</v>
      </c>
      <c r="H1512" s="10">
        <v>87.2</v>
      </c>
      <c r="I1512" s="10">
        <v>86.41</v>
      </c>
      <c r="J1512" s="10">
        <v>85.68</v>
      </c>
      <c r="K1512" s="10">
        <v>85.01</v>
      </c>
      <c r="L1512" s="10">
        <v>84.44</v>
      </c>
      <c r="M1512" s="10">
        <v>83.91</v>
      </c>
      <c r="N1512" s="10">
        <v>88.17</v>
      </c>
      <c r="O1512" s="10">
        <v>87.18</v>
      </c>
      <c r="P1512" s="10">
        <v>86.02</v>
      </c>
      <c r="Q1512" s="10">
        <v>84.87</v>
      </c>
      <c r="R1512" s="10">
        <v>83.84</v>
      </c>
      <c r="S1512" s="10">
        <v>82.91</v>
      </c>
      <c r="T1512" s="10">
        <v>82.05</v>
      </c>
      <c r="U1512" s="10">
        <v>81.25</v>
      </c>
      <c r="V1512" s="10">
        <v>80.52</v>
      </c>
      <c r="W1512" s="10">
        <v>79.84</v>
      </c>
      <c r="X1512" s="10">
        <v>79.25</v>
      </c>
      <c r="Y1512" s="10">
        <v>78.7</v>
      </c>
      <c r="Z1512" s="11">
        <v>90.655000000000001</v>
      </c>
      <c r="AA1512" s="11">
        <v>88.445999999999998</v>
      </c>
      <c r="AB1512" s="11">
        <v>86.634</v>
      </c>
      <c r="AC1512" s="11">
        <v>85.387</v>
      </c>
      <c r="AD1512" s="11">
        <v>84.344999999999999</v>
      </c>
      <c r="AE1512" s="11">
        <v>83.353999999999999</v>
      </c>
      <c r="AF1512" s="11">
        <v>82.596000000000004</v>
      </c>
      <c r="AG1512" s="11">
        <v>81.837000000000003</v>
      </c>
      <c r="AH1512" s="11">
        <v>81.117999999999995</v>
      </c>
      <c r="AI1512" s="11">
        <v>80.504999999999995</v>
      </c>
      <c r="AJ1512" s="11">
        <v>80.015000000000001</v>
      </c>
      <c r="AK1512" s="11">
        <v>79.515000000000001</v>
      </c>
      <c r="AL1512" s="11"/>
    </row>
    <row r="1513" spans="1:38" x14ac:dyDescent="0.3">
      <c r="A1513" s="9">
        <f>DATE(2022, 11, 4)</f>
        <v>44869</v>
      </c>
      <c r="B1513" s="10">
        <v>98.57</v>
      </c>
      <c r="C1513" s="10">
        <v>96.9</v>
      </c>
      <c r="D1513" s="10">
        <v>95.33</v>
      </c>
      <c r="E1513" s="10">
        <v>93.9</v>
      </c>
      <c r="F1513" s="10">
        <v>92.65</v>
      </c>
      <c r="G1513" s="10">
        <v>91.53</v>
      </c>
      <c r="H1513" s="10">
        <v>90.55</v>
      </c>
      <c r="I1513" s="10">
        <v>89.65</v>
      </c>
      <c r="J1513" s="10">
        <v>88.8</v>
      </c>
      <c r="K1513" s="10">
        <v>88.03</v>
      </c>
      <c r="L1513" s="10">
        <v>87.35</v>
      </c>
      <c r="M1513" s="10">
        <v>86.73</v>
      </c>
      <c r="N1513" s="10">
        <v>92.61</v>
      </c>
      <c r="O1513" s="10">
        <v>91.45</v>
      </c>
      <c r="P1513" s="10">
        <v>90.12</v>
      </c>
      <c r="Q1513" s="10">
        <v>88.83</v>
      </c>
      <c r="R1513" s="10">
        <v>87.65</v>
      </c>
      <c r="S1513" s="10">
        <v>86.54</v>
      </c>
      <c r="T1513" s="10">
        <v>85.5</v>
      </c>
      <c r="U1513" s="10">
        <v>84.55</v>
      </c>
      <c r="V1513" s="10">
        <v>83.65</v>
      </c>
      <c r="W1513" s="10">
        <v>82.85</v>
      </c>
      <c r="X1513" s="10">
        <v>82.1</v>
      </c>
      <c r="Y1513" s="10">
        <v>81.430000000000007</v>
      </c>
      <c r="Z1513" s="11">
        <v>93.587999999999994</v>
      </c>
      <c r="AA1513" s="11">
        <v>92.04</v>
      </c>
      <c r="AB1513" s="11">
        <v>90.200999999999993</v>
      </c>
      <c r="AC1513" s="11">
        <v>88.817999999999998</v>
      </c>
      <c r="AD1513" s="11">
        <v>87.691000000000003</v>
      </c>
      <c r="AE1513" s="11">
        <v>86.668000000000006</v>
      </c>
      <c r="AF1513" s="11">
        <v>85.771000000000001</v>
      </c>
      <c r="AG1513" s="11">
        <v>84.950999999999993</v>
      </c>
      <c r="AH1513" s="11">
        <v>84.143000000000001</v>
      </c>
      <c r="AI1513" s="11">
        <v>83.4</v>
      </c>
      <c r="AJ1513" s="11">
        <v>82.73</v>
      </c>
      <c r="AK1513" s="11">
        <v>82.150999999999996</v>
      </c>
      <c r="AL1513" s="11"/>
    </row>
    <row r="1514" spans="1:38" x14ac:dyDescent="0.3">
      <c r="A1514" s="9">
        <f>DATE(2022, 11, 7)</f>
        <v>44872</v>
      </c>
      <c r="B1514" s="10">
        <v>97.92</v>
      </c>
      <c r="C1514" s="10">
        <v>96.36</v>
      </c>
      <c r="D1514" s="10">
        <v>94.88</v>
      </c>
      <c r="E1514" s="10">
        <v>93.53</v>
      </c>
      <c r="F1514" s="10">
        <v>92.33</v>
      </c>
      <c r="G1514" s="10">
        <v>91.22</v>
      </c>
      <c r="H1514" s="10">
        <v>90.25</v>
      </c>
      <c r="I1514" s="10">
        <v>89.36</v>
      </c>
      <c r="J1514" s="10">
        <v>88.53</v>
      </c>
      <c r="K1514" s="10">
        <v>87.76</v>
      </c>
      <c r="L1514" s="10">
        <v>87.08</v>
      </c>
      <c r="M1514" s="10">
        <v>86.46</v>
      </c>
      <c r="N1514" s="10">
        <v>91.79</v>
      </c>
      <c r="O1514" s="10">
        <v>90.73</v>
      </c>
      <c r="P1514" s="10">
        <v>89.54</v>
      </c>
      <c r="Q1514" s="10">
        <v>88.38</v>
      </c>
      <c r="R1514" s="10">
        <v>87.29</v>
      </c>
      <c r="S1514" s="10">
        <v>86.26</v>
      </c>
      <c r="T1514" s="10">
        <v>85.28</v>
      </c>
      <c r="U1514" s="10">
        <v>84.35</v>
      </c>
      <c r="V1514" s="10">
        <v>83.48</v>
      </c>
      <c r="W1514" s="10">
        <v>82.66</v>
      </c>
      <c r="X1514" s="10">
        <v>81.92</v>
      </c>
      <c r="Y1514" s="10">
        <v>81.260000000000005</v>
      </c>
      <c r="Z1514" s="11">
        <v>92.349000000000004</v>
      </c>
      <c r="AA1514" s="11">
        <v>90.459000000000003</v>
      </c>
      <c r="AB1514" s="11">
        <v>88.825999999999993</v>
      </c>
      <c r="AC1514" s="11">
        <v>87.67</v>
      </c>
      <c r="AD1514" s="11">
        <v>86.712000000000003</v>
      </c>
      <c r="AE1514" s="11">
        <v>85.789000000000001</v>
      </c>
      <c r="AF1514" s="11">
        <v>84.971000000000004</v>
      </c>
      <c r="AG1514" s="11">
        <v>84.221999999999994</v>
      </c>
      <c r="AH1514" s="11">
        <v>83.522999999999996</v>
      </c>
      <c r="AI1514" s="11">
        <v>82.85</v>
      </c>
      <c r="AJ1514" s="11">
        <v>82.22</v>
      </c>
      <c r="AK1514" s="11">
        <v>81.650999999999996</v>
      </c>
      <c r="AL1514" s="11"/>
    </row>
    <row r="1515" spans="1:38" x14ac:dyDescent="0.3">
      <c r="A1515" s="9">
        <f>DATE(2022, 11, 8)</f>
        <v>44873</v>
      </c>
      <c r="B1515" s="10">
        <v>95.36</v>
      </c>
      <c r="C1515" s="10">
        <v>93.98</v>
      </c>
      <c r="D1515" s="10">
        <v>92.64</v>
      </c>
      <c r="E1515" s="10">
        <v>91.41</v>
      </c>
      <c r="F1515" s="10">
        <v>90.3</v>
      </c>
      <c r="G1515" s="10">
        <v>89.28</v>
      </c>
      <c r="H1515" s="10">
        <v>88.39</v>
      </c>
      <c r="I1515" s="10">
        <v>87.57</v>
      </c>
      <c r="J1515" s="10">
        <v>86.79</v>
      </c>
      <c r="K1515" s="10">
        <v>86.06</v>
      </c>
      <c r="L1515" s="10">
        <v>85.43</v>
      </c>
      <c r="M1515" s="10">
        <v>84.84</v>
      </c>
      <c r="N1515" s="10">
        <v>88.91</v>
      </c>
      <c r="O1515" s="10">
        <v>88</v>
      </c>
      <c r="P1515" s="10">
        <v>86.95</v>
      </c>
      <c r="Q1515" s="10">
        <v>85.91</v>
      </c>
      <c r="R1515" s="10">
        <v>84.93</v>
      </c>
      <c r="S1515" s="10">
        <v>84.01</v>
      </c>
      <c r="T1515" s="10">
        <v>83.13</v>
      </c>
      <c r="U1515" s="10">
        <v>82.31</v>
      </c>
      <c r="V1515" s="10">
        <v>81.52</v>
      </c>
      <c r="W1515" s="10">
        <v>80.790000000000006</v>
      </c>
      <c r="X1515" s="10">
        <v>80.12</v>
      </c>
      <c r="Y1515" s="10">
        <v>79.510000000000005</v>
      </c>
      <c r="Z1515" s="11">
        <v>90.677999999999997</v>
      </c>
      <c r="AA1515" s="11">
        <v>88.182000000000002</v>
      </c>
      <c r="AB1515" s="11">
        <v>86.611000000000004</v>
      </c>
      <c r="AC1515" s="11">
        <v>85.54</v>
      </c>
      <c r="AD1515" s="11">
        <v>84.665999999999997</v>
      </c>
      <c r="AE1515" s="11">
        <v>83.903000000000006</v>
      </c>
      <c r="AF1515" s="11">
        <v>83.134</v>
      </c>
      <c r="AG1515" s="11">
        <v>82.415000000000006</v>
      </c>
      <c r="AH1515" s="11">
        <v>81.754999999999995</v>
      </c>
      <c r="AI1515" s="11">
        <v>81.063000000000002</v>
      </c>
      <c r="AJ1515" s="11">
        <v>80.481999999999999</v>
      </c>
      <c r="AK1515" s="11">
        <v>79.962999999999994</v>
      </c>
      <c r="AL1515" s="11"/>
    </row>
    <row r="1516" spans="1:38" x14ac:dyDescent="0.3">
      <c r="A1516" s="9">
        <f>DATE(2022, 11, 9)</f>
        <v>44874</v>
      </c>
      <c r="B1516" s="10">
        <v>92.65</v>
      </c>
      <c r="C1516" s="10">
        <v>91.21</v>
      </c>
      <c r="D1516" s="10">
        <v>89.91</v>
      </c>
      <c r="E1516" s="10">
        <v>88.74</v>
      </c>
      <c r="F1516" s="10">
        <v>87.69</v>
      </c>
      <c r="G1516" s="10">
        <v>86.72</v>
      </c>
      <c r="H1516" s="10">
        <v>85.89</v>
      </c>
      <c r="I1516" s="10">
        <v>85.12</v>
      </c>
      <c r="J1516" s="10">
        <v>84.38</v>
      </c>
      <c r="K1516" s="10">
        <v>83.7</v>
      </c>
      <c r="L1516" s="10">
        <v>83.11</v>
      </c>
      <c r="M1516" s="10">
        <v>82.57</v>
      </c>
      <c r="N1516" s="10">
        <v>85.83</v>
      </c>
      <c r="O1516" s="10">
        <v>85</v>
      </c>
      <c r="P1516" s="10">
        <v>84</v>
      </c>
      <c r="Q1516" s="10">
        <v>83.02</v>
      </c>
      <c r="R1516" s="10">
        <v>82.1</v>
      </c>
      <c r="S1516" s="10">
        <v>81.239999999999995</v>
      </c>
      <c r="T1516" s="10">
        <v>80.44</v>
      </c>
      <c r="U1516" s="10">
        <v>79.7</v>
      </c>
      <c r="V1516" s="10">
        <v>78.989999999999995</v>
      </c>
      <c r="W1516" s="10">
        <v>78.34</v>
      </c>
      <c r="X1516" s="10">
        <v>77.75</v>
      </c>
      <c r="Y1516" s="10">
        <v>77.2</v>
      </c>
      <c r="Z1516" s="11">
        <v>88.793999999999997</v>
      </c>
      <c r="AA1516" s="11">
        <v>85.456000000000003</v>
      </c>
      <c r="AB1516" s="11">
        <v>83.963999999999999</v>
      </c>
      <c r="AC1516" s="11">
        <v>82.888000000000005</v>
      </c>
      <c r="AD1516" s="11">
        <v>82.018000000000001</v>
      </c>
      <c r="AE1516" s="11">
        <v>81.286000000000001</v>
      </c>
      <c r="AF1516" s="11">
        <v>80.656999999999996</v>
      </c>
      <c r="AG1516" s="11">
        <v>80.016000000000005</v>
      </c>
      <c r="AH1516" s="11">
        <v>79.367999999999995</v>
      </c>
      <c r="AI1516" s="11">
        <v>78.754000000000005</v>
      </c>
      <c r="AJ1516" s="11">
        <v>78.183999999999997</v>
      </c>
      <c r="AK1516" s="11">
        <v>77.685000000000002</v>
      </c>
      <c r="AL1516" s="11"/>
    </row>
    <row r="1517" spans="1:38" x14ac:dyDescent="0.3">
      <c r="A1517" s="9">
        <f>DATE(2022, 11, 10)</f>
        <v>44875</v>
      </c>
      <c r="B1517" s="10">
        <v>93.67</v>
      </c>
      <c r="C1517" s="10">
        <v>92.09</v>
      </c>
      <c r="D1517" s="10">
        <v>90.71</v>
      </c>
      <c r="E1517" s="10">
        <v>89.46</v>
      </c>
      <c r="F1517" s="10">
        <v>88.34</v>
      </c>
      <c r="G1517" s="10">
        <v>87.31</v>
      </c>
      <c r="H1517" s="10">
        <v>86.41</v>
      </c>
      <c r="I1517" s="10">
        <v>85.59</v>
      </c>
      <c r="J1517" s="10">
        <v>84.81</v>
      </c>
      <c r="K1517" s="10">
        <v>84.08</v>
      </c>
      <c r="L1517" s="10">
        <v>83.43</v>
      </c>
      <c r="M1517" s="10">
        <v>82.83</v>
      </c>
      <c r="N1517" s="10">
        <v>86.47</v>
      </c>
      <c r="O1517" s="10">
        <v>85.66</v>
      </c>
      <c r="P1517" s="10">
        <v>84.69</v>
      </c>
      <c r="Q1517" s="10">
        <v>83.7</v>
      </c>
      <c r="R1517" s="10">
        <v>82.75</v>
      </c>
      <c r="S1517" s="10">
        <v>81.86</v>
      </c>
      <c r="T1517" s="10">
        <v>81.02</v>
      </c>
      <c r="U1517" s="10">
        <v>80.23</v>
      </c>
      <c r="V1517" s="10">
        <v>79.48</v>
      </c>
      <c r="W1517" s="10">
        <v>78.78</v>
      </c>
      <c r="X1517" s="10">
        <v>78.150000000000006</v>
      </c>
      <c r="Y1517" s="10">
        <v>77.56</v>
      </c>
      <c r="Z1517" s="11">
        <v>89.480999999999995</v>
      </c>
      <c r="AA1517" s="11">
        <v>86.619</v>
      </c>
      <c r="AB1517" s="11">
        <v>85.04</v>
      </c>
      <c r="AC1517" s="11">
        <v>83.843999999999994</v>
      </c>
      <c r="AD1517" s="11">
        <v>82.844999999999999</v>
      </c>
      <c r="AE1517" s="11">
        <v>82.022999999999996</v>
      </c>
      <c r="AF1517" s="11">
        <v>81.343999999999994</v>
      </c>
      <c r="AG1517" s="11">
        <v>80.575000000000003</v>
      </c>
      <c r="AH1517" s="11">
        <v>79.984999999999999</v>
      </c>
      <c r="AI1517" s="11">
        <v>79.331999999999994</v>
      </c>
      <c r="AJ1517" s="11">
        <v>78.700999999999993</v>
      </c>
      <c r="AK1517" s="11">
        <v>78.102000000000004</v>
      </c>
      <c r="AL1517" s="11"/>
    </row>
    <row r="1518" spans="1:38" x14ac:dyDescent="0.3">
      <c r="A1518" s="9">
        <f>DATE(2022, 11, 11)</f>
        <v>44876</v>
      </c>
      <c r="B1518" s="10">
        <v>95.99</v>
      </c>
      <c r="C1518" s="10">
        <v>94.41</v>
      </c>
      <c r="D1518" s="10">
        <v>92.98</v>
      </c>
      <c r="E1518" s="10">
        <v>91.68</v>
      </c>
      <c r="F1518" s="10">
        <v>90.52</v>
      </c>
      <c r="G1518" s="10">
        <v>89.45</v>
      </c>
      <c r="H1518" s="10">
        <v>88.5</v>
      </c>
      <c r="I1518" s="10">
        <v>87.62</v>
      </c>
      <c r="J1518" s="10">
        <v>86.78</v>
      </c>
      <c r="K1518" s="10">
        <v>86</v>
      </c>
      <c r="L1518" s="10">
        <v>85.3</v>
      </c>
      <c r="M1518" s="10">
        <v>84.66</v>
      </c>
      <c r="N1518" s="10">
        <v>88.96</v>
      </c>
      <c r="O1518" s="10">
        <v>88.16</v>
      </c>
      <c r="P1518" s="10">
        <v>87.17</v>
      </c>
      <c r="Q1518" s="10">
        <v>86.14</v>
      </c>
      <c r="R1518" s="10">
        <v>85.14</v>
      </c>
      <c r="S1518" s="10">
        <v>84.18</v>
      </c>
      <c r="T1518" s="10">
        <v>83.25</v>
      </c>
      <c r="U1518" s="10">
        <v>82.37</v>
      </c>
      <c r="V1518" s="10">
        <v>81.540000000000006</v>
      </c>
      <c r="W1518" s="10">
        <v>80.77</v>
      </c>
      <c r="X1518" s="10">
        <v>80.06</v>
      </c>
      <c r="Y1518" s="10">
        <v>79.42</v>
      </c>
      <c r="Z1518" s="11">
        <v>91.244</v>
      </c>
      <c r="AA1518" s="11">
        <v>89.573999999999998</v>
      </c>
      <c r="AB1518" s="11">
        <v>87.918000000000006</v>
      </c>
      <c r="AC1518" s="11">
        <v>86.641999999999996</v>
      </c>
      <c r="AD1518" s="11">
        <v>85.552999999999997</v>
      </c>
      <c r="AE1518" s="11">
        <v>84.63</v>
      </c>
      <c r="AF1518" s="11">
        <v>83.822000000000003</v>
      </c>
      <c r="AG1518" s="11">
        <v>83.022000000000006</v>
      </c>
      <c r="AH1518" s="11">
        <v>82.272999999999996</v>
      </c>
      <c r="AI1518" s="11">
        <v>81.56</v>
      </c>
      <c r="AJ1518" s="11">
        <v>80.87</v>
      </c>
      <c r="AK1518" s="11">
        <v>80.27</v>
      </c>
      <c r="AL1518" s="11"/>
    </row>
    <row r="1519" spans="1:38" x14ac:dyDescent="0.3">
      <c r="A1519" s="9">
        <f>DATE(2022, 11, 14)</f>
        <v>44879</v>
      </c>
      <c r="B1519" s="10">
        <v>93.14</v>
      </c>
      <c r="C1519" s="10">
        <v>91.82</v>
      </c>
      <c r="D1519" s="10">
        <v>90.6</v>
      </c>
      <c r="E1519" s="10">
        <v>89.47</v>
      </c>
      <c r="F1519" s="10">
        <v>88.47</v>
      </c>
      <c r="G1519" s="10">
        <v>87.53</v>
      </c>
      <c r="H1519" s="10">
        <v>86.72</v>
      </c>
      <c r="I1519" s="10">
        <v>85.95</v>
      </c>
      <c r="J1519" s="10">
        <v>85.2</v>
      </c>
      <c r="K1519" s="10">
        <v>84.51</v>
      </c>
      <c r="L1519" s="10">
        <v>83.9</v>
      </c>
      <c r="M1519" s="10">
        <v>83.34</v>
      </c>
      <c r="N1519" s="10">
        <v>85.87</v>
      </c>
      <c r="O1519" s="10">
        <v>85.16</v>
      </c>
      <c r="P1519" s="10">
        <v>84.36</v>
      </c>
      <c r="Q1519" s="10">
        <v>83.52</v>
      </c>
      <c r="R1519" s="10">
        <v>82.68</v>
      </c>
      <c r="S1519" s="10">
        <v>81.87</v>
      </c>
      <c r="T1519" s="10">
        <v>81.11</v>
      </c>
      <c r="U1519" s="10">
        <v>80.39</v>
      </c>
      <c r="V1519" s="10">
        <v>79.709999999999994</v>
      </c>
      <c r="W1519" s="10">
        <v>79.069999999999993</v>
      </c>
      <c r="X1519" s="10">
        <v>78.47</v>
      </c>
      <c r="Y1519" s="10">
        <v>77.92</v>
      </c>
      <c r="Z1519" s="11">
        <v>89.284000000000006</v>
      </c>
      <c r="AA1519" s="11">
        <v>86.203999999999994</v>
      </c>
      <c r="AB1519" s="11">
        <v>84.840999999999994</v>
      </c>
      <c r="AC1519" s="11">
        <v>83.915000000000006</v>
      </c>
      <c r="AD1519" s="11">
        <v>83.103999999999999</v>
      </c>
      <c r="AE1519" s="11">
        <v>82.337000000000003</v>
      </c>
      <c r="AF1519" s="11">
        <v>81.733999999999995</v>
      </c>
      <c r="AG1519" s="11">
        <v>81.102999999999994</v>
      </c>
      <c r="AH1519" s="11">
        <v>80.516999999999996</v>
      </c>
      <c r="AI1519" s="11">
        <v>79.972999999999999</v>
      </c>
      <c r="AJ1519" s="11">
        <v>79.403000000000006</v>
      </c>
      <c r="AK1519" s="11">
        <v>78.873999999999995</v>
      </c>
      <c r="AL1519" s="11"/>
    </row>
    <row r="1520" spans="1:38" x14ac:dyDescent="0.3">
      <c r="A1520" s="9">
        <f>DATE(2022, 11, 15)</f>
        <v>44880</v>
      </c>
      <c r="B1520" s="10">
        <v>93.86</v>
      </c>
      <c r="C1520" s="10">
        <v>92.75</v>
      </c>
      <c r="D1520" s="10">
        <v>91.73</v>
      </c>
      <c r="E1520" s="10">
        <v>90.73</v>
      </c>
      <c r="F1520" s="10">
        <v>89.79</v>
      </c>
      <c r="G1520" s="10">
        <v>88.9</v>
      </c>
      <c r="H1520" s="10">
        <v>88.11</v>
      </c>
      <c r="I1520" s="10">
        <v>87.36</v>
      </c>
      <c r="J1520" s="10">
        <v>86.62</v>
      </c>
      <c r="K1520" s="10">
        <v>85.92</v>
      </c>
      <c r="L1520" s="10">
        <v>85.3</v>
      </c>
      <c r="M1520" s="10">
        <v>84.74</v>
      </c>
      <c r="N1520" s="10">
        <v>86.92</v>
      </c>
      <c r="O1520" s="10">
        <v>86.25</v>
      </c>
      <c r="P1520" s="10">
        <v>85.52</v>
      </c>
      <c r="Q1520" s="10">
        <v>84.77</v>
      </c>
      <c r="R1520" s="10">
        <v>84.02</v>
      </c>
      <c r="S1520" s="10">
        <v>83.3</v>
      </c>
      <c r="T1520" s="10">
        <v>82.57</v>
      </c>
      <c r="U1520" s="10">
        <v>81.87</v>
      </c>
      <c r="V1520" s="10">
        <v>81.180000000000007</v>
      </c>
      <c r="W1520" s="10">
        <v>80.53</v>
      </c>
      <c r="X1520" s="10">
        <v>79.930000000000007</v>
      </c>
      <c r="Y1520" s="10">
        <v>79.37</v>
      </c>
      <c r="Z1520" s="11">
        <v>89.379000000000005</v>
      </c>
      <c r="AA1520" s="11">
        <v>86.472999999999999</v>
      </c>
      <c r="AB1520" s="11">
        <v>85.451999999999998</v>
      </c>
      <c r="AC1520" s="11">
        <v>84.742999999999995</v>
      </c>
      <c r="AD1520" s="11">
        <v>84.100999999999999</v>
      </c>
      <c r="AE1520" s="11">
        <v>83.558000000000007</v>
      </c>
      <c r="AF1520" s="11">
        <v>83.057000000000002</v>
      </c>
      <c r="AG1520" s="11">
        <v>82.536000000000001</v>
      </c>
      <c r="AH1520" s="11">
        <v>81.986999999999995</v>
      </c>
      <c r="AI1520" s="11">
        <v>81.483000000000004</v>
      </c>
      <c r="AJ1520" s="11">
        <v>80.962999999999994</v>
      </c>
      <c r="AK1520" s="11">
        <v>80.423000000000002</v>
      </c>
      <c r="AL1520" s="11"/>
    </row>
    <row r="1521" spans="1:38" x14ac:dyDescent="0.3">
      <c r="A1521" s="9">
        <f>DATE(2022, 11, 16)</f>
        <v>44881</v>
      </c>
      <c r="B1521" s="10">
        <v>92.86</v>
      </c>
      <c r="C1521" s="10">
        <v>91.65</v>
      </c>
      <c r="D1521" s="10">
        <v>90.57</v>
      </c>
      <c r="E1521" s="10">
        <v>89.53</v>
      </c>
      <c r="F1521" s="10">
        <v>88.56</v>
      </c>
      <c r="G1521" s="10">
        <v>87.64</v>
      </c>
      <c r="H1521" s="10">
        <v>86.83</v>
      </c>
      <c r="I1521" s="10">
        <v>86.05</v>
      </c>
      <c r="J1521" s="10">
        <v>85.29</v>
      </c>
      <c r="K1521" s="10">
        <v>84.58</v>
      </c>
      <c r="L1521" s="10">
        <v>83.95</v>
      </c>
      <c r="M1521" s="10">
        <v>83.38</v>
      </c>
      <c r="N1521" s="10">
        <v>85.59</v>
      </c>
      <c r="O1521" s="10">
        <v>85</v>
      </c>
      <c r="P1521" s="10">
        <v>84.26</v>
      </c>
      <c r="Q1521" s="10">
        <v>83.52</v>
      </c>
      <c r="R1521" s="10">
        <v>82.77</v>
      </c>
      <c r="S1521" s="10">
        <v>82.04</v>
      </c>
      <c r="T1521" s="10">
        <v>81.31</v>
      </c>
      <c r="U1521" s="10">
        <v>80.599999999999994</v>
      </c>
      <c r="V1521" s="10">
        <v>79.89</v>
      </c>
      <c r="W1521" s="10">
        <v>79.22</v>
      </c>
      <c r="X1521" s="10">
        <v>78.59</v>
      </c>
      <c r="Y1521" s="10">
        <v>78</v>
      </c>
      <c r="Z1521" s="11">
        <v>88.861999999999995</v>
      </c>
      <c r="AA1521" s="11">
        <v>85.757000000000005</v>
      </c>
      <c r="AB1521" s="11">
        <v>84.62</v>
      </c>
      <c r="AC1521" s="11">
        <v>83.772000000000006</v>
      </c>
      <c r="AD1521" s="11">
        <v>83.11</v>
      </c>
      <c r="AE1521" s="11">
        <v>82.516999999999996</v>
      </c>
      <c r="AF1521" s="11">
        <v>81.965999999999994</v>
      </c>
      <c r="AG1521" s="11">
        <v>81.344999999999999</v>
      </c>
      <c r="AH1521" s="11">
        <v>80.745999999999995</v>
      </c>
      <c r="AI1521" s="11">
        <v>80.192999999999998</v>
      </c>
      <c r="AJ1521" s="11">
        <v>79.673000000000002</v>
      </c>
      <c r="AK1521" s="11">
        <v>79.173000000000002</v>
      </c>
      <c r="AL1521" s="11"/>
    </row>
    <row r="1522" spans="1:38" x14ac:dyDescent="0.3">
      <c r="A1522" s="9">
        <f>DATE(2022, 11, 17)</f>
        <v>44882</v>
      </c>
      <c r="B1522" s="10">
        <v>89.78</v>
      </c>
      <c r="C1522" s="10">
        <v>88.82</v>
      </c>
      <c r="D1522" s="10">
        <v>87.99</v>
      </c>
      <c r="E1522" s="10">
        <v>87.17</v>
      </c>
      <c r="F1522" s="10">
        <v>86.35</v>
      </c>
      <c r="G1522" s="10">
        <v>85.55</v>
      </c>
      <c r="H1522" s="10">
        <v>84.85</v>
      </c>
      <c r="I1522" s="10">
        <v>84.17</v>
      </c>
      <c r="J1522" s="10">
        <v>83.51</v>
      </c>
      <c r="K1522" s="10">
        <v>82.88</v>
      </c>
      <c r="L1522" s="10">
        <v>82.32</v>
      </c>
      <c r="M1522" s="10">
        <v>81.790000000000006</v>
      </c>
      <c r="N1522" s="10">
        <v>81.64</v>
      </c>
      <c r="O1522" s="10">
        <v>81.400000000000006</v>
      </c>
      <c r="P1522" s="10">
        <v>81.09</v>
      </c>
      <c r="Q1522" s="10">
        <v>80.67</v>
      </c>
      <c r="R1522" s="10">
        <v>80.150000000000006</v>
      </c>
      <c r="S1522" s="10">
        <v>79.58</v>
      </c>
      <c r="T1522" s="10">
        <v>78.98</v>
      </c>
      <c r="U1522" s="10">
        <v>78.39</v>
      </c>
      <c r="V1522" s="10">
        <v>77.8</v>
      </c>
      <c r="W1522" s="10">
        <v>77.22</v>
      </c>
      <c r="X1522" s="10">
        <v>76.66</v>
      </c>
      <c r="Y1522" s="10">
        <v>76.14</v>
      </c>
      <c r="Z1522" s="11">
        <v>87.509</v>
      </c>
      <c r="AA1522" s="11">
        <v>82.771000000000001</v>
      </c>
      <c r="AB1522" s="11">
        <v>81.790999999999997</v>
      </c>
      <c r="AC1522" s="11">
        <v>81.149000000000001</v>
      </c>
      <c r="AD1522" s="11">
        <v>80.694999999999993</v>
      </c>
      <c r="AE1522" s="11">
        <v>80.254000000000005</v>
      </c>
      <c r="AF1522" s="11">
        <v>79.852999999999994</v>
      </c>
      <c r="AG1522" s="11">
        <v>79.325999999999993</v>
      </c>
      <c r="AH1522" s="11">
        <v>78.819999999999993</v>
      </c>
      <c r="AI1522" s="11">
        <v>78.346000000000004</v>
      </c>
      <c r="AJ1522" s="11">
        <v>77.894999999999996</v>
      </c>
      <c r="AK1522" s="11">
        <v>77.47</v>
      </c>
      <c r="AL1522" s="11"/>
    </row>
    <row r="1523" spans="1:38" x14ac:dyDescent="0.3">
      <c r="A1523" s="9">
        <f>DATE(2022, 11, 18)</f>
        <v>44883</v>
      </c>
      <c r="B1523" s="10">
        <v>87.62</v>
      </c>
      <c r="C1523" s="10">
        <v>87.15</v>
      </c>
      <c r="D1523" s="10">
        <v>86.56</v>
      </c>
      <c r="E1523" s="10">
        <v>85.93</v>
      </c>
      <c r="F1523" s="10">
        <v>85.27</v>
      </c>
      <c r="G1523" s="10">
        <v>84.57</v>
      </c>
      <c r="H1523" s="10">
        <v>83.96</v>
      </c>
      <c r="I1523" s="10">
        <v>83.36</v>
      </c>
      <c r="J1523" s="10">
        <v>82.76</v>
      </c>
      <c r="K1523" s="10">
        <v>82.18</v>
      </c>
      <c r="L1523" s="10">
        <v>81.64</v>
      </c>
      <c r="M1523" s="10">
        <v>81.14</v>
      </c>
      <c r="N1523" s="10">
        <v>80.08</v>
      </c>
      <c r="O1523" s="10">
        <v>80.11</v>
      </c>
      <c r="P1523" s="10">
        <v>79.83</v>
      </c>
      <c r="Q1523" s="10">
        <v>79.489999999999995</v>
      </c>
      <c r="R1523" s="10">
        <v>79.069999999999993</v>
      </c>
      <c r="S1523" s="10">
        <v>78.62</v>
      </c>
      <c r="T1523" s="10">
        <v>78.14</v>
      </c>
      <c r="U1523" s="10">
        <v>77.64</v>
      </c>
      <c r="V1523" s="10">
        <v>77.12</v>
      </c>
      <c r="W1523" s="10">
        <v>76.569999999999993</v>
      </c>
      <c r="X1523" s="10">
        <v>76.040000000000006</v>
      </c>
      <c r="Y1523" s="10">
        <v>75.540000000000006</v>
      </c>
      <c r="Z1523" s="11">
        <v>86.844999999999999</v>
      </c>
      <c r="AA1523" s="11">
        <v>81.364000000000004</v>
      </c>
      <c r="AB1523" s="11">
        <v>80.8</v>
      </c>
      <c r="AC1523" s="11">
        <v>80.387</v>
      </c>
      <c r="AD1523" s="11">
        <v>80.010000000000005</v>
      </c>
      <c r="AE1523" s="11">
        <v>79.617999999999995</v>
      </c>
      <c r="AF1523" s="11">
        <v>79.213999999999999</v>
      </c>
      <c r="AG1523" s="11">
        <v>78.772999999999996</v>
      </c>
      <c r="AH1523" s="11">
        <v>78.341999999999999</v>
      </c>
      <c r="AI1523" s="11">
        <v>77.876999999999995</v>
      </c>
      <c r="AJ1523" s="11">
        <v>77.436000000000007</v>
      </c>
      <c r="AK1523" s="11">
        <v>77.057000000000002</v>
      </c>
      <c r="AL1523" s="11"/>
    </row>
    <row r="1524" spans="1:38" x14ac:dyDescent="0.3">
      <c r="A1524" s="9">
        <f>DATE(2022, 11, 21)</f>
        <v>44886</v>
      </c>
      <c r="B1524" s="10">
        <v>87.45</v>
      </c>
      <c r="C1524" s="10">
        <v>87.09</v>
      </c>
      <c r="D1524" s="10">
        <v>86.67</v>
      </c>
      <c r="E1524" s="10">
        <v>86.16</v>
      </c>
      <c r="F1524" s="10">
        <v>85.6</v>
      </c>
      <c r="G1524" s="10">
        <v>84.98</v>
      </c>
      <c r="H1524" s="10">
        <v>84.42</v>
      </c>
      <c r="I1524" s="10">
        <v>83.87</v>
      </c>
      <c r="J1524" s="10">
        <v>83.33</v>
      </c>
      <c r="K1524" s="10">
        <v>82.77</v>
      </c>
      <c r="L1524" s="10">
        <v>82.24</v>
      </c>
      <c r="M1524" s="10">
        <v>81.760000000000005</v>
      </c>
      <c r="N1524" s="10">
        <v>79.73</v>
      </c>
      <c r="O1524" s="10">
        <v>80.040000000000006</v>
      </c>
      <c r="P1524" s="10">
        <v>79.91</v>
      </c>
      <c r="Q1524" s="10">
        <v>79.72</v>
      </c>
      <c r="R1524" s="10">
        <v>79.459999999999994</v>
      </c>
      <c r="S1524" s="10">
        <v>79.13</v>
      </c>
      <c r="T1524" s="10">
        <v>78.739999999999995</v>
      </c>
      <c r="U1524" s="10">
        <v>78.3</v>
      </c>
      <c r="V1524" s="10">
        <v>77.83</v>
      </c>
      <c r="W1524" s="10">
        <v>77.34</v>
      </c>
      <c r="X1524" s="10">
        <v>76.86</v>
      </c>
      <c r="Y1524" s="10">
        <v>76.38</v>
      </c>
      <c r="Z1524" s="11">
        <v>86.47</v>
      </c>
      <c r="AA1524" s="11">
        <v>80.39</v>
      </c>
      <c r="AB1524" s="11">
        <v>80.215999999999994</v>
      </c>
      <c r="AC1524" s="11">
        <v>80.072000000000003</v>
      </c>
      <c r="AD1524" s="11">
        <v>79.912999999999997</v>
      </c>
      <c r="AE1524" s="11">
        <v>79.691000000000003</v>
      </c>
      <c r="AF1524" s="11">
        <v>79.316000000000003</v>
      </c>
      <c r="AG1524" s="11">
        <v>78.954999999999998</v>
      </c>
      <c r="AH1524" s="11">
        <v>78.783000000000001</v>
      </c>
      <c r="AI1524" s="11">
        <v>78.376999999999995</v>
      </c>
      <c r="AJ1524" s="11">
        <v>77.927000000000007</v>
      </c>
      <c r="AK1524" s="11">
        <v>77.457999999999998</v>
      </c>
      <c r="AL1524" s="11"/>
    </row>
    <row r="1525" spans="1:38" x14ac:dyDescent="0.3">
      <c r="A1525" s="9">
        <f>DATE(2022, 11, 22)</f>
        <v>44887</v>
      </c>
      <c r="B1525" s="10">
        <v>88.36</v>
      </c>
      <c r="C1525" s="10">
        <v>87.7</v>
      </c>
      <c r="D1525" s="10">
        <v>87.21</v>
      </c>
      <c r="E1525" s="10">
        <v>86.66</v>
      </c>
      <c r="F1525" s="10">
        <v>86.06</v>
      </c>
      <c r="G1525" s="10">
        <v>85.39</v>
      </c>
      <c r="H1525" s="10">
        <v>84.79</v>
      </c>
      <c r="I1525" s="10">
        <v>84.21</v>
      </c>
      <c r="J1525" s="10">
        <v>83.65</v>
      </c>
      <c r="K1525" s="10">
        <v>83.09</v>
      </c>
      <c r="L1525" s="10">
        <v>82.56</v>
      </c>
      <c r="M1525" s="10">
        <v>82.06</v>
      </c>
      <c r="N1525" s="10">
        <v>80.95</v>
      </c>
      <c r="O1525" s="10">
        <v>80.73</v>
      </c>
      <c r="P1525" s="10">
        <v>80.48</v>
      </c>
      <c r="Q1525" s="10">
        <v>80.14</v>
      </c>
      <c r="R1525" s="10">
        <v>79.73</v>
      </c>
      <c r="S1525" s="10">
        <v>79.28</v>
      </c>
      <c r="T1525" s="10">
        <v>78.790000000000006</v>
      </c>
      <c r="U1525" s="10">
        <v>78.27</v>
      </c>
      <c r="V1525" s="10">
        <v>77.75</v>
      </c>
      <c r="W1525" s="10">
        <v>77.23</v>
      </c>
      <c r="X1525" s="10">
        <v>76.73</v>
      </c>
      <c r="Y1525" s="10">
        <v>76.23</v>
      </c>
      <c r="Z1525" s="11">
        <v>86.611999999999995</v>
      </c>
      <c r="AA1525" s="11">
        <v>80.373000000000005</v>
      </c>
      <c r="AB1525" s="11">
        <v>80.233999999999995</v>
      </c>
      <c r="AC1525" s="11">
        <v>80.11</v>
      </c>
      <c r="AD1525" s="11">
        <v>79.941000000000003</v>
      </c>
      <c r="AE1525" s="11">
        <v>79.748000000000005</v>
      </c>
      <c r="AF1525" s="11">
        <v>79.545000000000002</v>
      </c>
      <c r="AG1525" s="11">
        <v>79.194999999999993</v>
      </c>
      <c r="AH1525" s="11">
        <v>78.893000000000001</v>
      </c>
      <c r="AI1525" s="11">
        <v>78.537000000000006</v>
      </c>
      <c r="AJ1525" s="11">
        <v>78.176000000000002</v>
      </c>
      <c r="AK1525" s="11">
        <v>77.777000000000001</v>
      </c>
      <c r="AL1525" s="11"/>
    </row>
    <row r="1526" spans="1:38" x14ac:dyDescent="0.3">
      <c r="A1526" s="9">
        <f>DATE(2022, 11, 23)</f>
        <v>44888</v>
      </c>
      <c r="B1526" s="10">
        <v>85.41</v>
      </c>
      <c r="C1526" s="10">
        <v>85.14</v>
      </c>
      <c r="D1526" s="10">
        <v>84.93</v>
      </c>
      <c r="E1526" s="10">
        <v>84.62</v>
      </c>
      <c r="F1526" s="10">
        <v>84.24</v>
      </c>
      <c r="G1526" s="10">
        <v>83.77</v>
      </c>
      <c r="H1526" s="10">
        <v>83.32</v>
      </c>
      <c r="I1526" s="10">
        <v>82.85</v>
      </c>
      <c r="J1526" s="10">
        <v>82.36</v>
      </c>
      <c r="K1526" s="10">
        <v>81.87</v>
      </c>
      <c r="L1526" s="10">
        <v>81.41</v>
      </c>
      <c r="M1526" s="10">
        <v>80.97</v>
      </c>
      <c r="N1526" s="10">
        <v>77.94</v>
      </c>
      <c r="O1526" s="10">
        <v>78.069999999999993</v>
      </c>
      <c r="P1526" s="10">
        <v>78.12</v>
      </c>
      <c r="Q1526" s="10">
        <v>78.05</v>
      </c>
      <c r="R1526" s="10">
        <v>77.88</v>
      </c>
      <c r="S1526" s="10">
        <v>77.62</v>
      </c>
      <c r="T1526" s="10">
        <v>77.290000000000006</v>
      </c>
      <c r="U1526" s="10">
        <v>76.91</v>
      </c>
      <c r="V1526" s="10">
        <v>76.489999999999995</v>
      </c>
      <c r="W1526" s="10">
        <v>76.06</v>
      </c>
      <c r="X1526" s="10">
        <v>75.63</v>
      </c>
      <c r="Y1526" s="10">
        <v>75.209999999999994</v>
      </c>
      <c r="Z1526" s="11">
        <v>85.846000000000004</v>
      </c>
      <c r="AA1526" s="11">
        <v>76.98</v>
      </c>
      <c r="AB1526" s="11">
        <v>77.144999999999996</v>
      </c>
      <c r="AC1526" s="11">
        <v>77.34</v>
      </c>
      <c r="AD1526" s="11">
        <v>77.52</v>
      </c>
      <c r="AE1526" s="11">
        <v>77.695999999999998</v>
      </c>
      <c r="AF1526" s="11">
        <v>77.72</v>
      </c>
      <c r="AG1526" s="11">
        <v>77.647999999999996</v>
      </c>
      <c r="AH1526" s="11">
        <v>77.436999999999998</v>
      </c>
      <c r="AI1526" s="11">
        <v>77.09</v>
      </c>
      <c r="AJ1526" s="11">
        <v>76.789000000000001</v>
      </c>
      <c r="AK1526" s="11">
        <v>76.509</v>
      </c>
      <c r="AL1526" s="11"/>
    </row>
    <row r="1527" spans="1:38" x14ac:dyDescent="0.3">
      <c r="A1527" s="9">
        <f>DATE(2022, 11, 24)</f>
        <v>44889</v>
      </c>
      <c r="B1527" s="10">
        <v>85.34</v>
      </c>
      <c r="C1527" s="10">
        <v>85.24</v>
      </c>
      <c r="D1527" s="10">
        <v>85.1</v>
      </c>
      <c r="E1527" s="10">
        <v>84.86</v>
      </c>
      <c r="F1527" s="10">
        <v>84.53</v>
      </c>
      <c r="G1527" s="10">
        <v>84.1</v>
      </c>
      <c r="H1527" s="10">
        <v>83.67</v>
      </c>
      <c r="I1527" s="10">
        <v>83.21</v>
      </c>
      <c r="J1527" s="10">
        <v>82.71</v>
      </c>
      <c r="K1527" s="10">
        <v>82.21</v>
      </c>
      <c r="L1527" s="10">
        <v>81.739999999999995</v>
      </c>
      <c r="M1527" s="10">
        <v>81.3</v>
      </c>
      <c r="N1527" s="10">
        <v>77.94</v>
      </c>
      <c r="O1527" s="10">
        <v>78.069999999999993</v>
      </c>
      <c r="P1527" s="10">
        <v>78.12</v>
      </c>
      <c r="Q1527" s="10">
        <v>78.05</v>
      </c>
      <c r="R1527" s="10">
        <v>77.88</v>
      </c>
      <c r="S1527" s="10">
        <v>77.62</v>
      </c>
      <c r="T1527" s="10">
        <v>77.290000000000006</v>
      </c>
      <c r="U1527" s="10">
        <v>76.91</v>
      </c>
      <c r="V1527" s="10">
        <v>76.489999999999995</v>
      </c>
      <c r="W1527" s="10">
        <v>76.06</v>
      </c>
      <c r="X1527" s="10">
        <v>75.63</v>
      </c>
      <c r="Y1527" s="10">
        <v>75.209999999999994</v>
      </c>
      <c r="Z1527" s="11">
        <v>86.016999999999996</v>
      </c>
      <c r="AA1527" s="11">
        <v>77.629000000000005</v>
      </c>
      <c r="AB1527" s="11">
        <v>77.659000000000006</v>
      </c>
      <c r="AC1527" s="11">
        <v>77.744</v>
      </c>
      <c r="AD1527" s="11">
        <v>77.831000000000003</v>
      </c>
      <c r="AE1527" s="11">
        <v>77.917000000000002</v>
      </c>
      <c r="AF1527" s="11">
        <v>77.88</v>
      </c>
      <c r="AG1527" s="11">
        <v>77.716999999999999</v>
      </c>
      <c r="AH1527" s="11">
        <v>77.445999999999998</v>
      </c>
      <c r="AI1527" s="11">
        <v>77.099999999999994</v>
      </c>
      <c r="AJ1527" s="11">
        <v>76.748999999999995</v>
      </c>
      <c r="AK1527" s="11">
        <v>76.418999999999997</v>
      </c>
      <c r="AL1527" s="11"/>
    </row>
    <row r="1528" spans="1:38" x14ac:dyDescent="0.3">
      <c r="A1528" s="9">
        <f>DATE(2022, 11, 25)</f>
        <v>44890</v>
      </c>
      <c r="B1528" s="10">
        <v>83.63</v>
      </c>
      <c r="C1528" s="10">
        <v>83.71</v>
      </c>
      <c r="D1528" s="10">
        <v>83.54</v>
      </c>
      <c r="E1528" s="10">
        <v>83.27</v>
      </c>
      <c r="F1528" s="10">
        <v>82.95</v>
      </c>
      <c r="G1528" s="10">
        <v>82.54</v>
      </c>
      <c r="H1528" s="10">
        <v>82.13</v>
      </c>
      <c r="I1528" s="10">
        <v>81.709999999999994</v>
      </c>
      <c r="J1528" s="10">
        <v>81.27</v>
      </c>
      <c r="K1528" s="10">
        <v>80.84</v>
      </c>
      <c r="L1528" s="10">
        <v>80.41</v>
      </c>
      <c r="M1528" s="10">
        <v>80</v>
      </c>
      <c r="N1528" s="10">
        <v>76.28</v>
      </c>
      <c r="O1528" s="10">
        <v>76.430000000000007</v>
      </c>
      <c r="P1528" s="10">
        <v>76.540000000000006</v>
      </c>
      <c r="Q1528" s="10">
        <v>76.540000000000006</v>
      </c>
      <c r="R1528" s="10">
        <v>76.459999999999994</v>
      </c>
      <c r="S1528" s="10">
        <v>76.27</v>
      </c>
      <c r="T1528" s="10">
        <v>76</v>
      </c>
      <c r="U1528" s="10">
        <v>75.680000000000007</v>
      </c>
      <c r="V1528" s="10">
        <v>75.31</v>
      </c>
      <c r="W1528" s="10">
        <v>74.930000000000007</v>
      </c>
      <c r="X1528" s="10">
        <v>74.56</v>
      </c>
      <c r="Y1528" s="10">
        <v>74.19</v>
      </c>
      <c r="Z1528" s="11">
        <v>85.918999999999997</v>
      </c>
      <c r="AA1528" s="11">
        <v>76.894000000000005</v>
      </c>
      <c r="AB1528" s="11">
        <v>76.835999999999999</v>
      </c>
      <c r="AC1528" s="11">
        <v>76.744</v>
      </c>
      <c r="AD1528" s="11">
        <v>76.792000000000002</v>
      </c>
      <c r="AE1528" s="11">
        <v>76.837999999999994</v>
      </c>
      <c r="AF1528" s="11">
        <v>76.781999999999996</v>
      </c>
      <c r="AG1528" s="11">
        <v>76.63</v>
      </c>
      <c r="AH1528" s="11">
        <v>76.37</v>
      </c>
      <c r="AI1528" s="11">
        <v>76.061000000000007</v>
      </c>
      <c r="AJ1528" s="11">
        <v>75.760000000000005</v>
      </c>
      <c r="AK1528" s="11">
        <v>75.430000000000007</v>
      </c>
      <c r="AL1528" s="11"/>
    </row>
    <row r="1529" spans="1:38" x14ac:dyDescent="0.3">
      <c r="A1529" s="9">
        <f>DATE(2022, 11, 28)</f>
        <v>44893</v>
      </c>
      <c r="B1529" s="10">
        <v>83.19</v>
      </c>
      <c r="C1529" s="10">
        <v>83.89</v>
      </c>
      <c r="D1529" s="10">
        <v>83.79</v>
      </c>
      <c r="E1529" s="10">
        <v>83.56</v>
      </c>
      <c r="F1529" s="10">
        <v>83.26</v>
      </c>
      <c r="G1529" s="10">
        <v>82.88</v>
      </c>
      <c r="H1529" s="10">
        <v>82.5</v>
      </c>
      <c r="I1529" s="10">
        <v>82.11</v>
      </c>
      <c r="J1529" s="10">
        <v>81.69</v>
      </c>
      <c r="K1529" s="10">
        <v>81.28</v>
      </c>
      <c r="L1529" s="10">
        <v>80.87</v>
      </c>
      <c r="M1529" s="10">
        <v>80.489999999999995</v>
      </c>
      <c r="N1529" s="10">
        <v>77.239999999999995</v>
      </c>
      <c r="O1529" s="10">
        <v>77.33</v>
      </c>
      <c r="P1529" s="10">
        <v>77.36</v>
      </c>
      <c r="Q1529" s="10">
        <v>77.239999999999995</v>
      </c>
      <c r="R1529" s="10">
        <v>77.09</v>
      </c>
      <c r="S1529" s="10">
        <v>76.88</v>
      </c>
      <c r="T1529" s="10">
        <v>76.59</v>
      </c>
      <c r="U1529" s="10">
        <v>76.25</v>
      </c>
      <c r="V1529" s="10">
        <v>75.89</v>
      </c>
      <c r="W1529" s="10">
        <v>75.510000000000005</v>
      </c>
      <c r="X1529" s="10">
        <v>75.14</v>
      </c>
      <c r="Y1529" s="10">
        <v>74.77</v>
      </c>
      <c r="Z1529" s="11">
        <v>86.013000000000005</v>
      </c>
      <c r="AA1529" s="11">
        <v>76.569999999999993</v>
      </c>
      <c r="AB1529" s="11">
        <v>76.688999999999993</v>
      </c>
      <c r="AC1529" s="11">
        <v>76.765000000000001</v>
      </c>
      <c r="AD1529" s="11">
        <v>76.983000000000004</v>
      </c>
      <c r="AE1529" s="11">
        <v>77.11</v>
      </c>
      <c r="AF1529" s="11">
        <v>77.162999999999997</v>
      </c>
      <c r="AG1529" s="11">
        <v>77.040999999999997</v>
      </c>
      <c r="AH1529" s="11">
        <v>76.88</v>
      </c>
      <c r="AI1529" s="11">
        <v>76.632000000000005</v>
      </c>
      <c r="AJ1529" s="11">
        <v>76.341999999999999</v>
      </c>
      <c r="AK1529" s="11">
        <v>76.040999999999997</v>
      </c>
      <c r="AL1529" s="11"/>
    </row>
    <row r="1530" spans="1:38" x14ac:dyDescent="0.3">
      <c r="A1530" s="9">
        <f>DATE(2022, 11, 29)</f>
        <v>44894</v>
      </c>
      <c r="B1530" s="10">
        <v>83.03</v>
      </c>
      <c r="C1530" s="10">
        <v>84.25</v>
      </c>
      <c r="D1530" s="10">
        <v>84.24</v>
      </c>
      <c r="E1530" s="10">
        <v>84.09</v>
      </c>
      <c r="F1530" s="10">
        <v>83.85</v>
      </c>
      <c r="G1530" s="10">
        <v>83.48</v>
      </c>
      <c r="H1530" s="10">
        <v>83.1</v>
      </c>
      <c r="I1530" s="10">
        <v>82.71</v>
      </c>
      <c r="J1530" s="10">
        <v>82.3</v>
      </c>
      <c r="K1530" s="10">
        <v>81.900000000000006</v>
      </c>
      <c r="L1530" s="10">
        <v>81.489999999999995</v>
      </c>
      <c r="M1530" s="10">
        <v>81.11</v>
      </c>
      <c r="N1530" s="10">
        <v>78.2</v>
      </c>
      <c r="O1530" s="10">
        <v>78.28</v>
      </c>
      <c r="P1530" s="10">
        <v>78.319999999999993</v>
      </c>
      <c r="Q1530" s="10">
        <v>78.239999999999995</v>
      </c>
      <c r="R1530" s="10">
        <v>78.099999999999994</v>
      </c>
      <c r="S1530" s="10">
        <v>77.87</v>
      </c>
      <c r="T1530" s="10">
        <v>77.56</v>
      </c>
      <c r="U1530" s="10">
        <v>77.2</v>
      </c>
      <c r="V1530" s="10">
        <v>76.81</v>
      </c>
      <c r="W1530" s="10">
        <v>76.41</v>
      </c>
      <c r="X1530" s="10">
        <v>76.02</v>
      </c>
      <c r="Y1530" s="10">
        <v>75.62</v>
      </c>
      <c r="Z1530" s="11">
        <v>86.174999999999997</v>
      </c>
      <c r="AA1530" s="11">
        <v>77.549000000000007</v>
      </c>
      <c r="AB1530" s="11">
        <v>77.533000000000001</v>
      </c>
      <c r="AC1530" s="11">
        <v>77.613</v>
      </c>
      <c r="AD1530" s="11">
        <v>77.793999999999997</v>
      </c>
      <c r="AE1530" s="11">
        <v>77.87</v>
      </c>
      <c r="AF1530" s="11">
        <v>77.867999999999995</v>
      </c>
      <c r="AG1530" s="11">
        <v>77.811000000000007</v>
      </c>
      <c r="AH1530" s="11">
        <v>77.581000000000003</v>
      </c>
      <c r="AI1530" s="11">
        <v>77.352000000000004</v>
      </c>
      <c r="AJ1530" s="11">
        <v>77.081999999999994</v>
      </c>
      <c r="AK1530" s="11">
        <v>76.820999999999998</v>
      </c>
      <c r="AL1530" s="11"/>
    </row>
    <row r="1531" spans="1:38" x14ac:dyDescent="0.3">
      <c r="A1531" s="9">
        <f>DATE(2022, 11, 30)</f>
        <v>44895</v>
      </c>
      <c r="B1531" s="10">
        <v>85.43</v>
      </c>
      <c r="C1531" s="10">
        <v>86.97</v>
      </c>
      <c r="D1531" s="10">
        <v>86.99</v>
      </c>
      <c r="E1531" s="10">
        <v>86.83</v>
      </c>
      <c r="F1531" s="10">
        <v>86.58</v>
      </c>
      <c r="G1531" s="10">
        <v>86.16</v>
      </c>
      <c r="H1531" s="10">
        <v>85.75</v>
      </c>
      <c r="I1531" s="10">
        <v>85.31</v>
      </c>
      <c r="J1531" s="10">
        <v>84.86</v>
      </c>
      <c r="K1531" s="10">
        <v>84.42</v>
      </c>
      <c r="L1531" s="10">
        <v>83.97</v>
      </c>
      <c r="M1531" s="10">
        <v>83.52</v>
      </c>
      <c r="N1531" s="10">
        <v>80.55</v>
      </c>
      <c r="O1531" s="10">
        <v>80.66</v>
      </c>
      <c r="P1531" s="10">
        <v>80.75</v>
      </c>
      <c r="Q1531" s="10">
        <v>80.709999999999994</v>
      </c>
      <c r="R1531" s="10">
        <v>80.59</v>
      </c>
      <c r="S1531" s="10">
        <v>80.37</v>
      </c>
      <c r="T1531" s="10">
        <v>80.05</v>
      </c>
      <c r="U1531" s="10">
        <v>79.66</v>
      </c>
      <c r="V1531" s="10">
        <v>79.239999999999995</v>
      </c>
      <c r="W1531" s="10">
        <v>78.8</v>
      </c>
      <c r="X1531" s="10">
        <v>78.36</v>
      </c>
      <c r="Y1531" s="10">
        <v>77.92</v>
      </c>
      <c r="Z1531" s="11">
        <v>86.222999999999999</v>
      </c>
      <c r="AA1531" s="11">
        <v>80.36</v>
      </c>
      <c r="AB1531" s="11">
        <v>80.19</v>
      </c>
      <c r="AC1531" s="11">
        <v>80.17</v>
      </c>
      <c r="AD1531" s="11">
        <v>80.290000000000006</v>
      </c>
      <c r="AE1531" s="11">
        <v>80.34</v>
      </c>
      <c r="AF1531" s="11">
        <v>80.290000000000006</v>
      </c>
      <c r="AG1531" s="11">
        <v>80.22</v>
      </c>
      <c r="AH1531" s="11">
        <v>79.959999999999994</v>
      </c>
      <c r="AI1531" s="11">
        <v>79.66</v>
      </c>
      <c r="AJ1531" s="11">
        <v>79.349999999999994</v>
      </c>
      <c r="AK1531" s="11">
        <v>78.97</v>
      </c>
      <c r="AL1531" s="11"/>
    </row>
    <row r="1532" spans="1:38" x14ac:dyDescent="0.3">
      <c r="A1532" s="9">
        <f>DATE(2022, 12, 1)</f>
        <v>44896</v>
      </c>
      <c r="B1532" s="10">
        <v>86.88</v>
      </c>
      <c r="C1532" s="10">
        <v>86.81</v>
      </c>
      <c r="D1532" s="10">
        <v>86.58</v>
      </c>
      <c r="E1532" s="10">
        <v>86.3</v>
      </c>
      <c r="F1532" s="10">
        <v>85.88</v>
      </c>
      <c r="G1532" s="10">
        <v>85.46</v>
      </c>
      <c r="H1532" s="10">
        <v>85.04</v>
      </c>
      <c r="I1532" s="10">
        <v>84.62</v>
      </c>
      <c r="J1532" s="10">
        <v>84.18</v>
      </c>
      <c r="K1532" s="10">
        <v>83.74</v>
      </c>
      <c r="L1532" s="10">
        <v>83.3</v>
      </c>
      <c r="M1532" s="10">
        <v>82.83</v>
      </c>
      <c r="N1532" s="10">
        <v>81.22</v>
      </c>
      <c r="O1532" s="10">
        <v>81.14</v>
      </c>
      <c r="P1532" s="10">
        <v>81.03</v>
      </c>
      <c r="Q1532" s="10">
        <v>80.849999999999994</v>
      </c>
      <c r="R1532" s="10">
        <v>80.650000000000006</v>
      </c>
      <c r="S1532" s="10">
        <v>80.37</v>
      </c>
      <c r="T1532" s="10">
        <v>80.02</v>
      </c>
      <c r="U1532" s="10">
        <v>79.63</v>
      </c>
      <c r="V1532" s="10">
        <v>79.2</v>
      </c>
      <c r="W1532" s="10">
        <v>78.760000000000005</v>
      </c>
      <c r="X1532" s="10">
        <v>78.31</v>
      </c>
      <c r="Y1532" s="10">
        <v>77.88</v>
      </c>
      <c r="Z1532" s="11">
        <v>86.222999999999999</v>
      </c>
      <c r="AA1532" s="11">
        <v>81.159000000000006</v>
      </c>
      <c r="AB1532" s="11">
        <v>80.498999999999995</v>
      </c>
      <c r="AC1532" s="11">
        <v>80.186000000000007</v>
      </c>
      <c r="AD1532" s="11">
        <v>80.171999999999997</v>
      </c>
      <c r="AE1532" s="11">
        <v>80.078000000000003</v>
      </c>
      <c r="AF1532" s="11">
        <v>79.981999999999999</v>
      </c>
      <c r="AG1532" s="11">
        <v>79.820999999999998</v>
      </c>
      <c r="AH1532" s="11">
        <v>79.578999999999994</v>
      </c>
      <c r="AI1532" s="11">
        <v>79.230999999999995</v>
      </c>
      <c r="AJ1532" s="11">
        <v>78.869</v>
      </c>
      <c r="AK1532" s="11">
        <v>78.599000000000004</v>
      </c>
      <c r="AL1532" s="11"/>
    </row>
    <row r="1533" spans="1:38" x14ac:dyDescent="0.3">
      <c r="A1533" s="9">
        <f>DATE(2022, 12, 2)</f>
        <v>44897</v>
      </c>
      <c r="B1533" s="10">
        <v>85.57</v>
      </c>
      <c r="C1533" s="10">
        <v>85.55</v>
      </c>
      <c r="D1533" s="10">
        <v>85.43</v>
      </c>
      <c r="E1533" s="10">
        <v>85.27</v>
      </c>
      <c r="F1533" s="10">
        <v>84.98</v>
      </c>
      <c r="G1533" s="10">
        <v>84.66</v>
      </c>
      <c r="H1533" s="10">
        <v>84.3</v>
      </c>
      <c r="I1533" s="10">
        <v>83.94</v>
      </c>
      <c r="J1533" s="10">
        <v>83.57</v>
      </c>
      <c r="K1533" s="10">
        <v>83.22</v>
      </c>
      <c r="L1533" s="10">
        <v>82.87</v>
      </c>
      <c r="M1533" s="10">
        <v>82.51</v>
      </c>
      <c r="N1533" s="10">
        <v>79.98</v>
      </c>
      <c r="O1533" s="10">
        <v>80.05</v>
      </c>
      <c r="P1533" s="10">
        <v>80.08</v>
      </c>
      <c r="Q1533" s="10">
        <v>80.02</v>
      </c>
      <c r="R1533" s="10">
        <v>79.930000000000007</v>
      </c>
      <c r="S1533" s="10">
        <v>79.78</v>
      </c>
      <c r="T1533" s="10">
        <v>79.55</v>
      </c>
      <c r="U1533" s="10">
        <v>79.260000000000005</v>
      </c>
      <c r="V1533" s="10">
        <v>78.930000000000007</v>
      </c>
      <c r="W1533" s="10">
        <v>78.58</v>
      </c>
      <c r="X1533" s="10">
        <v>78.22</v>
      </c>
      <c r="Y1533" s="10">
        <v>77.84</v>
      </c>
      <c r="Z1533" s="11">
        <v>79.960999999999999</v>
      </c>
      <c r="AA1533" s="11">
        <v>79.272999999999996</v>
      </c>
      <c r="AB1533" s="11">
        <v>79.061999999999998</v>
      </c>
      <c r="AC1533" s="11">
        <v>79.161000000000001</v>
      </c>
      <c r="AD1533" s="11">
        <v>79.22</v>
      </c>
      <c r="AE1533" s="11">
        <v>79.198999999999998</v>
      </c>
      <c r="AF1533" s="11">
        <v>79.019000000000005</v>
      </c>
      <c r="AG1533" s="11">
        <v>78.867999999999995</v>
      </c>
      <c r="AH1533" s="11">
        <v>78.594999999999999</v>
      </c>
      <c r="AI1533" s="11">
        <v>78.293000000000006</v>
      </c>
      <c r="AJ1533" s="11">
        <v>77.983999999999995</v>
      </c>
      <c r="AK1533" s="11">
        <v>77.643000000000001</v>
      </c>
      <c r="AL1533" s="11"/>
    </row>
    <row r="1534" spans="1:38" x14ac:dyDescent="0.3">
      <c r="A1534" s="9">
        <f>DATE(2022, 12, 5)</f>
        <v>44900</v>
      </c>
      <c r="B1534" s="10">
        <v>82.68</v>
      </c>
      <c r="C1534" s="10">
        <v>82.66</v>
      </c>
      <c r="D1534" s="10">
        <v>82.63</v>
      </c>
      <c r="E1534" s="10">
        <v>82.59</v>
      </c>
      <c r="F1534" s="10">
        <v>82.44</v>
      </c>
      <c r="G1534" s="10">
        <v>82.26</v>
      </c>
      <c r="H1534" s="10">
        <v>82.01</v>
      </c>
      <c r="I1534" s="10">
        <v>81.73</v>
      </c>
      <c r="J1534" s="10">
        <v>81.430000000000007</v>
      </c>
      <c r="K1534" s="10">
        <v>81.13</v>
      </c>
      <c r="L1534" s="10">
        <v>80.819999999999993</v>
      </c>
      <c r="M1534" s="10">
        <v>80.510000000000005</v>
      </c>
      <c r="N1534" s="10">
        <v>76.930000000000007</v>
      </c>
      <c r="O1534" s="10">
        <v>77.08</v>
      </c>
      <c r="P1534" s="10">
        <v>77.2</v>
      </c>
      <c r="Q1534" s="10">
        <v>77.31</v>
      </c>
      <c r="R1534" s="10">
        <v>77.400000000000006</v>
      </c>
      <c r="S1534" s="10">
        <v>77.39</v>
      </c>
      <c r="T1534" s="10">
        <v>77.28</v>
      </c>
      <c r="U1534" s="10">
        <v>77.09</v>
      </c>
      <c r="V1534" s="10">
        <v>76.83</v>
      </c>
      <c r="W1534" s="10">
        <v>76.540000000000006</v>
      </c>
      <c r="X1534" s="10">
        <v>76.25</v>
      </c>
      <c r="Y1534" s="10">
        <v>75.959999999999994</v>
      </c>
      <c r="Z1534" s="11">
        <v>77.813000000000002</v>
      </c>
      <c r="AA1534" s="11">
        <v>76.724000000000004</v>
      </c>
      <c r="AB1534" s="11">
        <v>76.558000000000007</v>
      </c>
      <c r="AC1534" s="11">
        <v>76.647999999999996</v>
      </c>
      <c r="AD1534" s="11">
        <v>76.811000000000007</v>
      </c>
      <c r="AE1534" s="11">
        <v>76.759</v>
      </c>
      <c r="AF1534" s="11">
        <v>76.606999999999999</v>
      </c>
      <c r="AG1534" s="11">
        <v>76.516000000000005</v>
      </c>
      <c r="AH1534" s="11">
        <v>76.316999999999993</v>
      </c>
      <c r="AI1534" s="11">
        <v>76.135000000000005</v>
      </c>
      <c r="AJ1534" s="11">
        <v>75.876000000000005</v>
      </c>
      <c r="AK1534" s="11">
        <v>75.614999999999995</v>
      </c>
      <c r="AL1534" s="11"/>
    </row>
    <row r="1535" spans="1:38" x14ac:dyDescent="0.3">
      <c r="A1535" s="9">
        <f>DATE(2022, 12, 6)</f>
        <v>44901</v>
      </c>
      <c r="B1535" s="10">
        <v>79.349999999999994</v>
      </c>
      <c r="C1535" s="10">
        <v>79.67</v>
      </c>
      <c r="D1535" s="10">
        <v>79.84</v>
      </c>
      <c r="E1535" s="10">
        <v>79.91</v>
      </c>
      <c r="F1535" s="10">
        <v>79.83</v>
      </c>
      <c r="G1535" s="10">
        <v>79.680000000000007</v>
      </c>
      <c r="H1535" s="10">
        <v>79.45</v>
      </c>
      <c r="I1535" s="10">
        <v>79.19</v>
      </c>
      <c r="J1535" s="10">
        <v>78.92</v>
      </c>
      <c r="K1535" s="10">
        <v>78.63</v>
      </c>
      <c r="L1535" s="10">
        <v>78.36</v>
      </c>
      <c r="M1535" s="10">
        <v>78.09</v>
      </c>
      <c r="N1535" s="10">
        <v>74.25</v>
      </c>
      <c r="O1535" s="10">
        <v>74.459999999999994</v>
      </c>
      <c r="P1535" s="10">
        <v>74.63</v>
      </c>
      <c r="Q1535" s="10">
        <v>74.75</v>
      </c>
      <c r="R1535" s="10">
        <v>74.86</v>
      </c>
      <c r="S1535" s="10">
        <v>74.91</v>
      </c>
      <c r="T1535" s="10">
        <v>74.849999999999994</v>
      </c>
      <c r="U1535" s="10">
        <v>74.7</v>
      </c>
      <c r="V1535" s="10">
        <v>74.47</v>
      </c>
      <c r="W1535" s="10">
        <v>74.209999999999994</v>
      </c>
      <c r="X1535" s="10">
        <v>73.94</v>
      </c>
      <c r="Y1535" s="10">
        <v>73.66</v>
      </c>
      <c r="Z1535" s="11">
        <v>75.638999999999996</v>
      </c>
      <c r="AA1535" s="11">
        <v>73.798000000000002</v>
      </c>
      <c r="AB1535" s="11">
        <v>73.823999999999998</v>
      </c>
      <c r="AC1535" s="11">
        <v>74.012</v>
      </c>
      <c r="AD1535" s="11">
        <v>74.191999999999993</v>
      </c>
      <c r="AE1535" s="11">
        <v>74.239999999999995</v>
      </c>
      <c r="AF1535" s="11">
        <v>74.158000000000001</v>
      </c>
      <c r="AG1535" s="11">
        <v>74.057000000000002</v>
      </c>
      <c r="AH1535" s="11">
        <v>73.906999999999996</v>
      </c>
      <c r="AI1535" s="11">
        <v>73.716999999999999</v>
      </c>
      <c r="AJ1535" s="11">
        <v>73.488</v>
      </c>
      <c r="AK1535" s="11">
        <v>73.257999999999996</v>
      </c>
      <c r="AL1535" s="11"/>
    </row>
    <row r="1536" spans="1:38" x14ac:dyDescent="0.3">
      <c r="A1536" s="9">
        <f>DATE(2022, 12, 7)</f>
        <v>44902</v>
      </c>
      <c r="B1536" s="10">
        <v>77.17</v>
      </c>
      <c r="C1536" s="10">
        <v>77.59</v>
      </c>
      <c r="D1536" s="10">
        <v>77.83</v>
      </c>
      <c r="E1536" s="10">
        <v>77.97</v>
      </c>
      <c r="F1536" s="10">
        <v>77.92</v>
      </c>
      <c r="G1536" s="10">
        <v>77.819999999999993</v>
      </c>
      <c r="H1536" s="10">
        <v>77.64</v>
      </c>
      <c r="I1536" s="10">
        <v>77.42</v>
      </c>
      <c r="J1536" s="10">
        <v>77.17</v>
      </c>
      <c r="K1536" s="10">
        <v>76.91</v>
      </c>
      <c r="L1536" s="10">
        <v>76.64</v>
      </c>
      <c r="M1536" s="10">
        <v>76.39</v>
      </c>
      <c r="N1536" s="10">
        <v>72.010000000000005</v>
      </c>
      <c r="O1536" s="10">
        <v>72.28</v>
      </c>
      <c r="P1536" s="10">
        <v>72.52</v>
      </c>
      <c r="Q1536" s="10">
        <v>72.72</v>
      </c>
      <c r="R1536" s="10">
        <v>72.900000000000006</v>
      </c>
      <c r="S1536" s="10">
        <v>73</v>
      </c>
      <c r="T1536" s="10">
        <v>72.98</v>
      </c>
      <c r="U1536" s="10">
        <v>72.87</v>
      </c>
      <c r="V1536" s="10">
        <v>72.69</v>
      </c>
      <c r="W1536" s="10">
        <v>72.47</v>
      </c>
      <c r="X1536" s="10">
        <v>72.23</v>
      </c>
      <c r="Y1536" s="10">
        <v>71.97</v>
      </c>
      <c r="Z1536" s="11">
        <v>73.852000000000004</v>
      </c>
      <c r="AA1536" s="11">
        <v>71.641000000000005</v>
      </c>
      <c r="AB1536" s="11">
        <v>71.617000000000004</v>
      </c>
      <c r="AC1536" s="11">
        <v>71.808000000000007</v>
      </c>
      <c r="AD1536" s="11">
        <v>71.924999999999997</v>
      </c>
      <c r="AE1536" s="11">
        <v>71.962000000000003</v>
      </c>
      <c r="AF1536" s="11">
        <v>71.900000000000006</v>
      </c>
      <c r="AG1536" s="11">
        <v>71.757999999999996</v>
      </c>
      <c r="AH1536" s="11">
        <v>71.599000000000004</v>
      </c>
      <c r="AI1536" s="11">
        <v>71.417000000000002</v>
      </c>
      <c r="AJ1536" s="11">
        <v>71.218999999999994</v>
      </c>
      <c r="AK1536" s="11">
        <v>71.028000000000006</v>
      </c>
      <c r="AL1536" s="11"/>
    </row>
    <row r="1537" spans="1:38" x14ac:dyDescent="0.3">
      <c r="A1537" s="9">
        <f>DATE(2022, 12, 8)</f>
        <v>44903</v>
      </c>
      <c r="B1537" s="10">
        <v>76.150000000000006</v>
      </c>
      <c r="C1537" s="10">
        <v>76.59</v>
      </c>
      <c r="D1537" s="10">
        <v>76.83</v>
      </c>
      <c r="E1537" s="10">
        <v>77</v>
      </c>
      <c r="F1537" s="10">
        <v>76.98</v>
      </c>
      <c r="G1537" s="10">
        <v>76.91</v>
      </c>
      <c r="H1537" s="10">
        <v>76.760000000000005</v>
      </c>
      <c r="I1537" s="10">
        <v>76.569999999999993</v>
      </c>
      <c r="J1537" s="10">
        <v>76.349999999999994</v>
      </c>
      <c r="K1537" s="10">
        <v>76.11</v>
      </c>
      <c r="L1537" s="10">
        <v>75.88</v>
      </c>
      <c r="M1537" s="10">
        <v>75.64</v>
      </c>
      <c r="N1537" s="10">
        <v>71.459999999999994</v>
      </c>
      <c r="O1537" s="10">
        <v>71.58</v>
      </c>
      <c r="P1537" s="10">
        <v>71.72</v>
      </c>
      <c r="Q1537" s="10">
        <v>71.900000000000006</v>
      </c>
      <c r="R1537" s="10">
        <v>72.099999999999994</v>
      </c>
      <c r="S1537" s="10">
        <v>72.209999999999994</v>
      </c>
      <c r="T1537" s="10">
        <v>72.209999999999994</v>
      </c>
      <c r="U1537" s="10">
        <v>72.13</v>
      </c>
      <c r="V1537" s="10">
        <v>71.98</v>
      </c>
      <c r="W1537" s="10">
        <v>71.78</v>
      </c>
      <c r="X1537" s="10">
        <v>71.569999999999993</v>
      </c>
      <c r="Y1537" s="10">
        <v>71.34</v>
      </c>
      <c r="Z1537" s="11">
        <v>73.632000000000005</v>
      </c>
      <c r="AA1537" s="11">
        <v>71.081000000000003</v>
      </c>
      <c r="AB1537" s="11">
        <v>70.927000000000007</v>
      </c>
      <c r="AC1537" s="11">
        <v>71.057000000000002</v>
      </c>
      <c r="AD1537" s="11">
        <v>71.135999999999996</v>
      </c>
      <c r="AE1537" s="11">
        <v>71.153000000000006</v>
      </c>
      <c r="AF1537" s="11">
        <v>71.100999999999999</v>
      </c>
      <c r="AG1537" s="11">
        <v>71.03</v>
      </c>
      <c r="AH1537" s="11">
        <v>70.849999999999994</v>
      </c>
      <c r="AI1537" s="11">
        <v>70.659000000000006</v>
      </c>
      <c r="AJ1537" s="11">
        <v>70.468999999999994</v>
      </c>
      <c r="AK1537" s="11">
        <v>70.28</v>
      </c>
      <c r="AL1537" s="11"/>
    </row>
    <row r="1538" spans="1:38" x14ac:dyDescent="0.3">
      <c r="A1538" s="9">
        <f>DATE(2022, 12, 9)</f>
        <v>44904</v>
      </c>
      <c r="B1538" s="10">
        <v>76.099999999999994</v>
      </c>
      <c r="C1538" s="10">
        <v>76.599999999999994</v>
      </c>
      <c r="D1538" s="10">
        <v>76.84</v>
      </c>
      <c r="E1538" s="10">
        <v>77</v>
      </c>
      <c r="F1538" s="10">
        <v>76.97</v>
      </c>
      <c r="G1538" s="10">
        <v>76.89</v>
      </c>
      <c r="H1538" s="10">
        <v>76.75</v>
      </c>
      <c r="I1538" s="10">
        <v>76.569999999999993</v>
      </c>
      <c r="J1538" s="10">
        <v>76.349999999999994</v>
      </c>
      <c r="K1538" s="10">
        <v>76.12</v>
      </c>
      <c r="L1538" s="10">
        <v>75.89</v>
      </c>
      <c r="M1538" s="10">
        <v>75.67</v>
      </c>
      <c r="N1538" s="10">
        <v>71.02</v>
      </c>
      <c r="O1538" s="10">
        <v>71.209999999999994</v>
      </c>
      <c r="P1538" s="10">
        <v>71.430000000000007</v>
      </c>
      <c r="Q1538" s="10">
        <v>71.67</v>
      </c>
      <c r="R1538" s="10">
        <v>71.89</v>
      </c>
      <c r="S1538" s="10">
        <v>72.02</v>
      </c>
      <c r="T1538" s="10">
        <v>72.05</v>
      </c>
      <c r="U1538" s="10">
        <v>71.989999999999995</v>
      </c>
      <c r="V1538" s="10">
        <v>71.86</v>
      </c>
      <c r="W1538" s="10">
        <v>71.680000000000007</v>
      </c>
      <c r="X1538" s="10">
        <v>71.510000000000005</v>
      </c>
      <c r="Y1538" s="10">
        <v>71.31</v>
      </c>
      <c r="Z1538" s="11">
        <v>74.102999999999994</v>
      </c>
      <c r="AA1538" s="11">
        <v>71.760999999999996</v>
      </c>
      <c r="AB1538" s="11">
        <v>71.453000000000003</v>
      </c>
      <c r="AC1538" s="11">
        <v>71.539000000000001</v>
      </c>
      <c r="AD1538" s="11">
        <v>71.585999999999999</v>
      </c>
      <c r="AE1538" s="11">
        <v>71.584000000000003</v>
      </c>
      <c r="AF1538" s="11">
        <v>71.542000000000002</v>
      </c>
      <c r="AG1538" s="11">
        <v>71.41</v>
      </c>
      <c r="AH1538" s="11">
        <v>71.27</v>
      </c>
      <c r="AI1538" s="11">
        <v>71.078999999999994</v>
      </c>
      <c r="AJ1538" s="11">
        <v>70.91</v>
      </c>
      <c r="AK1538" s="11">
        <v>70.731999999999999</v>
      </c>
      <c r="AL1538" s="11"/>
    </row>
    <row r="1539" spans="1:38" x14ac:dyDescent="0.3">
      <c r="A1539" s="9">
        <f>DATE(2022, 12, 12)</f>
        <v>44907</v>
      </c>
      <c r="B1539" s="10">
        <v>77.989999999999995</v>
      </c>
      <c r="C1539" s="10">
        <v>78.34</v>
      </c>
      <c r="D1539" s="10">
        <v>78.47</v>
      </c>
      <c r="E1539" s="10">
        <v>78.55</v>
      </c>
      <c r="F1539" s="10">
        <v>78.48</v>
      </c>
      <c r="G1539" s="10">
        <v>78.38</v>
      </c>
      <c r="H1539" s="10">
        <v>78.209999999999994</v>
      </c>
      <c r="I1539" s="10">
        <v>77.989999999999995</v>
      </c>
      <c r="J1539" s="10">
        <v>77.73</v>
      </c>
      <c r="K1539" s="10">
        <v>77.48</v>
      </c>
      <c r="L1539" s="10">
        <v>77.23</v>
      </c>
      <c r="M1539" s="10">
        <v>76.98</v>
      </c>
      <c r="N1539" s="10">
        <v>73.17</v>
      </c>
      <c r="O1539" s="10">
        <v>73.28</v>
      </c>
      <c r="P1539" s="10">
        <v>73.459999999999994</v>
      </c>
      <c r="Q1539" s="10">
        <v>73.63</v>
      </c>
      <c r="R1539" s="10">
        <v>73.77</v>
      </c>
      <c r="S1539" s="10">
        <v>73.84</v>
      </c>
      <c r="T1539" s="10">
        <v>73.790000000000006</v>
      </c>
      <c r="U1539" s="10">
        <v>73.66</v>
      </c>
      <c r="V1539" s="10">
        <v>73.47</v>
      </c>
      <c r="W1539" s="10">
        <v>73.25</v>
      </c>
      <c r="X1539" s="10">
        <v>73.02</v>
      </c>
      <c r="Y1539" s="10">
        <v>72.78</v>
      </c>
      <c r="Z1539" s="11">
        <v>75.087999999999994</v>
      </c>
      <c r="AA1539" s="11">
        <v>73.456000000000003</v>
      </c>
      <c r="AB1539" s="11">
        <v>73.054000000000002</v>
      </c>
      <c r="AC1539" s="11">
        <v>73.066999999999993</v>
      </c>
      <c r="AD1539" s="11">
        <v>73.075000000000003</v>
      </c>
      <c r="AE1539" s="11">
        <v>73.052999999999997</v>
      </c>
      <c r="AF1539" s="11">
        <v>73.05</v>
      </c>
      <c r="AG1539" s="11">
        <v>72.888000000000005</v>
      </c>
      <c r="AH1539" s="11">
        <v>72.668999999999997</v>
      </c>
      <c r="AI1539" s="11">
        <v>72.447999999999993</v>
      </c>
      <c r="AJ1539" s="11">
        <v>72.218999999999994</v>
      </c>
      <c r="AK1539" s="11">
        <v>72.05</v>
      </c>
      <c r="AL1539" s="11"/>
    </row>
    <row r="1540" spans="1:38" x14ac:dyDescent="0.3">
      <c r="A1540" s="9">
        <f>DATE(2022, 12, 13)</f>
        <v>44908</v>
      </c>
      <c r="B1540" s="10">
        <v>80.680000000000007</v>
      </c>
      <c r="C1540" s="10">
        <v>80.86</v>
      </c>
      <c r="D1540" s="10">
        <v>80.790000000000006</v>
      </c>
      <c r="E1540" s="10">
        <v>80.680000000000007</v>
      </c>
      <c r="F1540" s="10">
        <v>80.47</v>
      </c>
      <c r="G1540" s="10">
        <v>80.260000000000005</v>
      </c>
      <c r="H1540" s="10">
        <v>79.98</v>
      </c>
      <c r="I1540" s="10">
        <v>79.650000000000006</v>
      </c>
      <c r="J1540" s="10">
        <v>79.290000000000006</v>
      </c>
      <c r="K1540" s="10">
        <v>78.930000000000007</v>
      </c>
      <c r="L1540" s="10">
        <v>78.58</v>
      </c>
      <c r="M1540" s="10">
        <v>78.25</v>
      </c>
      <c r="N1540" s="10">
        <v>75.39</v>
      </c>
      <c r="O1540" s="10">
        <v>75.44</v>
      </c>
      <c r="P1540" s="10">
        <v>75.58</v>
      </c>
      <c r="Q1540" s="10">
        <v>75.67</v>
      </c>
      <c r="R1540" s="10">
        <v>75.709999999999994</v>
      </c>
      <c r="S1540" s="10">
        <v>75.67</v>
      </c>
      <c r="T1540" s="10">
        <v>75.52</v>
      </c>
      <c r="U1540" s="10">
        <v>75.290000000000006</v>
      </c>
      <c r="V1540" s="10">
        <v>75</v>
      </c>
      <c r="W1540" s="10">
        <v>74.67</v>
      </c>
      <c r="X1540" s="10">
        <v>74.34</v>
      </c>
      <c r="Y1540" s="10">
        <v>74.02</v>
      </c>
      <c r="Z1540" s="11">
        <v>76.673000000000002</v>
      </c>
      <c r="AA1540" s="11">
        <v>76.016999999999996</v>
      </c>
      <c r="AB1540" s="11">
        <v>75.465000000000003</v>
      </c>
      <c r="AC1540" s="11">
        <v>75.281000000000006</v>
      </c>
      <c r="AD1540" s="11">
        <v>75.069000000000003</v>
      </c>
      <c r="AE1540" s="11">
        <v>74.908000000000001</v>
      </c>
      <c r="AF1540" s="11">
        <v>74.715000000000003</v>
      </c>
      <c r="AG1540" s="11">
        <v>74.442999999999998</v>
      </c>
      <c r="AH1540" s="11">
        <v>74.164000000000001</v>
      </c>
      <c r="AI1540" s="11">
        <v>73.822999999999993</v>
      </c>
      <c r="AJ1540" s="11">
        <v>73.515000000000001</v>
      </c>
      <c r="AK1540" s="11">
        <v>73.234999999999999</v>
      </c>
      <c r="AL1540" s="11"/>
    </row>
    <row r="1541" spans="1:38" x14ac:dyDescent="0.3">
      <c r="A1541" s="9">
        <f>DATE(2022, 12, 14)</f>
        <v>44909</v>
      </c>
      <c r="B1541" s="10">
        <v>82.7</v>
      </c>
      <c r="C1541" s="10">
        <v>82.75</v>
      </c>
      <c r="D1541" s="10">
        <v>82.49</v>
      </c>
      <c r="E1541" s="10">
        <v>82.27</v>
      </c>
      <c r="F1541" s="10">
        <v>81.99</v>
      </c>
      <c r="G1541" s="10">
        <v>81.72</v>
      </c>
      <c r="H1541" s="10">
        <v>81.39</v>
      </c>
      <c r="I1541" s="10">
        <v>81.03</v>
      </c>
      <c r="J1541" s="10">
        <v>80.62</v>
      </c>
      <c r="K1541" s="10">
        <v>80.22</v>
      </c>
      <c r="L1541" s="10">
        <v>79.83</v>
      </c>
      <c r="M1541" s="10">
        <v>79.459999999999994</v>
      </c>
      <c r="N1541" s="10">
        <v>77.28</v>
      </c>
      <c r="O1541" s="10">
        <v>77.31</v>
      </c>
      <c r="P1541" s="10">
        <v>77.33</v>
      </c>
      <c r="Q1541" s="10">
        <v>77.28</v>
      </c>
      <c r="R1541" s="10">
        <v>77.2</v>
      </c>
      <c r="S1541" s="10">
        <v>77.040000000000006</v>
      </c>
      <c r="T1541" s="10">
        <v>76.81</v>
      </c>
      <c r="U1541" s="10">
        <v>76.510000000000005</v>
      </c>
      <c r="V1541" s="10">
        <v>76.180000000000007</v>
      </c>
      <c r="W1541" s="10">
        <v>75.81</v>
      </c>
      <c r="X1541" s="10">
        <v>75.44</v>
      </c>
      <c r="Y1541" s="10">
        <v>75.06</v>
      </c>
      <c r="Z1541" s="11">
        <v>77.56</v>
      </c>
      <c r="AA1541" s="11">
        <v>77.778000000000006</v>
      </c>
      <c r="AB1541" s="11">
        <v>77.049000000000007</v>
      </c>
      <c r="AC1541" s="11">
        <v>76.778000000000006</v>
      </c>
      <c r="AD1541" s="11">
        <v>76.506</v>
      </c>
      <c r="AE1541" s="11">
        <v>76.266000000000005</v>
      </c>
      <c r="AF1541" s="11">
        <v>76.013999999999996</v>
      </c>
      <c r="AG1541" s="11">
        <v>75.72</v>
      </c>
      <c r="AH1541" s="11">
        <v>75.412999999999997</v>
      </c>
      <c r="AI1541" s="11">
        <v>75.070999999999998</v>
      </c>
      <c r="AJ1541" s="11">
        <v>74.703000000000003</v>
      </c>
      <c r="AK1541" s="11">
        <v>74.343000000000004</v>
      </c>
      <c r="AL1541" s="11"/>
    </row>
    <row r="1542" spans="1:38" x14ac:dyDescent="0.3">
      <c r="A1542" s="9">
        <f>DATE(2022, 12, 15)</f>
        <v>44910</v>
      </c>
      <c r="B1542" s="10">
        <v>81.209999999999994</v>
      </c>
      <c r="C1542" s="10">
        <v>81.319999999999993</v>
      </c>
      <c r="D1542" s="10">
        <v>80.989999999999995</v>
      </c>
      <c r="E1542" s="10">
        <v>80.7</v>
      </c>
      <c r="F1542" s="10">
        <v>80.38</v>
      </c>
      <c r="G1542" s="10">
        <v>80.08</v>
      </c>
      <c r="H1542" s="10">
        <v>79.73</v>
      </c>
      <c r="I1542" s="10">
        <v>79.349999999999994</v>
      </c>
      <c r="J1542" s="10">
        <v>78.97</v>
      </c>
      <c r="K1542" s="10">
        <v>78.59</v>
      </c>
      <c r="L1542" s="10">
        <v>78.209999999999994</v>
      </c>
      <c r="M1542" s="10">
        <v>77.83</v>
      </c>
      <c r="N1542" s="10">
        <v>76.11</v>
      </c>
      <c r="O1542" s="10">
        <v>76.150000000000006</v>
      </c>
      <c r="P1542" s="10">
        <v>76.12</v>
      </c>
      <c r="Q1542" s="10">
        <v>75.989999999999995</v>
      </c>
      <c r="R1542" s="10">
        <v>75.819999999999993</v>
      </c>
      <c r="S1542" s="10">
        <v>75.61</v>
      </c>
      <c r="T1542" s="10">
        <v>75.34</v>
      </c>
      <c r="U1542" s="10">
        <v>75.02</v>
      </c>
      <c r="V1542" s="10">
        <v>74.67</v>
      </c>
      <c r="W1542" s="10">
        <v>74.31</v>
      </c>
      <c r="X1542" s="10">
        <v>73.94</v>
      </c>
      <c r="Y1542" s="10">
        <v>73.540000000000006</v>
      </c>
      <c r="Z1542" s="11">
        <v>76.817999999999998</v>
      </c>
      <c r="AA1542" s="11">
        <v>76.453999999999994</v>
      </c>
      <c r="AB1542" s="11">
        <v>75.585999999999999</v>
      </c>
      <c r="AC1542" s="11">
        <v>75.221000000000004</v>
      </c>
      <c r="AD1542" s="11">
        <v>74.903999999999996</v>
      </c>
      <c r="AE1542" s="11">
        <v>74.625</v>
      </c>
      <c r="AF1542" s="11">
        <v>74.322999999999993</v>
      </c>
      <c r="AG1542" s="11">
        <v>74.001999999999995</v>
      </c>
      <c r="AH1542" s="11">
        <v>73.712999999999994</v>
      </c>
      <c r="AI1542" s="11">
        <v>73.421999999999997</v>
      </c>
      <c r="AJ1542" s="11">
        <v>73.063000000000002</v>
      </c>
      <c r="AK1542" s="11">
        <v>72.664000000000001</v>
      </c>
      <c r="AL1542" s="11"/>
    </row>
    <row r="1543" spans="1:38" x14ac:dyDescent="0.3">
      <c r="A1543" s="9">
        <f>DATE(2022, 12, 16)</f>
        <v>44911</v>
      </c>
      <c r="B1543" s="10">
        <v>79.040000000000006</v>
      </c>
      <c r="C1543" s="10">
        <v>79.489999999999995</v>
      </c>
      <c r="D1543" s="10">
        <v>79.36</v>
      </c>
      <c r="E1543" s="10">
        <v>79.16</v>
      </c>
      <c r="F1543" s="10">
        <v>78.92</v>
      </c>
      <c r="G1543" s="10">
        <v>78.67</v>
      </c>
      <c r="H1543" s="10">
        <v>78.38</v>
      </c>
      <c r="I1543" s="10">
        <v>78.06</v>
      </c>
      <c r="J1543" s="10">
        <v>77.72</v>
      </c>
      <c r="K1543" s="10">
        <v>77.39</v>
      </c>
      <c r="L1543" s="10">
        <v>77.06</v>
      </c>
      <c r="M1543" s="10">
        <v>76.709999999999994</v>
      </c>
      <c r="N1543" s="10">
        <v>74.290000000000006</v>
      </c>
      <c r="O1543" s="10">
        <v>74.459999999999994</v>
      </c>
      <c r="P1543" s="10">
        <v>74.540000000000006</v>
      </c>
      <c r="Q1543" s="10">
        <v>74.52</v>
      </c>
      <c r="R1543" s="10">
        <v>74.44</v>
      </c>
      <c r="S1543" s="10">
        <v>74.27</v>
      </c>
      <c r="T1543" s="10">
        <v>74.040000000000006</v>
      </c>
      <c r="U1543" s="10">
        <v>73.760000000000005</v>
      </c>
      <c r="V1543" s="10">
        <v>73.44</v>
      </c>
      <c r="W1543" s="10">
        <v>73.12</v>
      </c>
      <c r="X1543" s="10">
        <v>72.790000000000006</v>
      </c>
      <c r="Y1543" s="10">
        <v>72.459999999999994</v>
      </c>
      <c r="Z1543" s="11">
        <v>75.983000000000004</v>
      </c>
      <c r="AA1543" s="11">
        <v>74.634</v>
      </c>
      <c r="AB1543" s="11">
        <v>74.05</v>
      </c>
      <c r="AC1543" s="11">
        <v>73.73</v>
      </c>
      <c r="AD1543" s="11">
        <v>73.477000000000004</v>
      </c>
      <c r="AE1543" s="11">
        <v>73.227000000000004</v>
      </c>
      <c r="AF1543" s="11">
        <v>72.954999999999998</v>
      </c>
      <c r="AG1543" s="11">
        <v>72.703999999999994</v>
      </c>
      <c r="AH1543" s="11">
        <v>72.426000000000002</v>
      </c>
      <c r="AI1543" s="11">
        <v>72.153999999999996</v>
      </c>
      <c r="AJ1543" s="11">
        <v>71.774000000000001</v>
      </c>
      <c r="AK1543" s="11">
        <v>71.424999999999997</v>
      </c>
      <c r="AL1543" s="11"/>
    </row>
    <row r="1544" spans="1:38" x14ac:dyDescent="0.3">
      <c r="A1544" s="9">
        <f>DATE(2022, 12, 19)</f>
        <v>44914</v>
      </c>
      <c r="B1544" s="10">
        <v>79.8</v>
      </c>
      <c r="C1544" s="10">
        <v>80.14</v>
      </c>
      <c r="D1544" s="10">
        <v>79.87</v>
      </c>
      <c r="E1544" s="10">
        <v>79.599999999999994</v>
      </c>
      <c r="F1544" s="10">
        <v>79.290000000000006</v>
      </c>
      <c r="G1544" s="10">
        <v>78.98</v>
      </c>
      <c r="H1544" s="10">
        <v>78.650000000000006</v>
      </c>
      <c r="I1544" s="10">
        <v>78.31</v>
      </c>
      <c r="J1544" s="10">
        <v>77.95</v>
      </c>
      <c r="K1544" s="10">
        <v>77.599999999999994</v>
      </c>
      <c r="L1544" s="10">
        <v>77.290000000000006</v>
      </c>
      <c r="M1544" s="10">
        <v>76.95</v>
      </c>
      <c r="N1544" s="10">
        <v>75.19</v>
      </c>
      <c r="O1544" s="10">
        <v>75.38</v>
      </c>
      <c r="P1544" s="10">
        <v>75.44</v>
      </c>
      <c r="Q1544" s="10">
        <v>75.38</v>
      </c>
      <c r="R1544" s="10">
        <v>75.239999999999995</v>
      </c>
      <c r="S1544" s="10">
        <v>75.02</v>
      </c>
      <c r="T1544" s="10">
        <v>74.73</v>
      </c>
      <c r="U1544" s="10">
        <v>74.400000000000006</v>
      </c>
      <c r="V1544" s="10">
        <v>74.05</v>
      </c>
      <c r="W1544" s="10">
        <v>73.7</v>
      </c>
      <c r="X1544" s="10">
        <v>73.36</v>
      </c>
      <c r="Y1544" s="10">
        <v>73</v>
      </c>
      <c r="Z1544" s="11">
        <v>76.277000000000001</v>
      </c>
      <c r="AA1544" s="11">
        <v>75.387</v>
      </c>
      <c r="AB1544" s="11">
        <v>74.587000000000003</v>
      </c>
      <c r="AC1544" s="11">
        <v>74.227000000000004</v>
      </c>
      <c r="AD1544" s="11">
        <v>73.914000000000001</v>
      </c>
      <c r="AE1544" s="11">
        <v>73.575999999999993</v>
      </c>
      <c r="AF1544" s="11">
        <v>73.245000000000005</v>
      </c>
      <c r="AG1544" s="11">
        <v>72.962999999999994</v>
      </c>
      <c r="AH1544" s="11">
        <v>72.655000000000001</v>
      </c>
      <c r="AI1544" s="11">
        <v>72.334999999999994</v>
      </c>
      <c r="AJ1544" s="11">
        <v>72.025000000000006</v>
      </c>
      <c r="AK1544" s="11">
        <v>71.674999999999997</v>
      </c>
      <c r="AL1544" s="11"/>
    </row>
    <row r="1545" spans="1:38" x14ac:dyDescent="0.3">
      <c r="A1545" s="9">
        <f>DATE(2022, 12, 20)</f>
        <v>44915</v>
      </c>
      <c r="B1545" s="10">
        <v>79.989999999999995</v>
      </c>
      <c r="C1545" s="10">
        <v>80.53</v>
      </c>
      <c r="D1545" s="10">
        <v>80.44</v>
      </c>
      <c r="E1545" s="10">
        <v>80.25</v>
      </c>
      <c r="F1545" s="10">
        <v>79.97</v>
      </c>
      <c r="G1545" s="10">
        <v>79.680000000000007</v>
      </c>
      <c r="H1545" s="10">
        <v>79.34</v>
      </c>
      <c r="I1545" s="10">
        <v>78.97</v>
      </c>
      <c r="J1545" s="10">
        <v>78.59</v>
      </c>
      <c r="K1545" s="10">
        <v>78.23</v>
      </c>
      <c r="L1545" s="10">
        <v>77.91</v>
      </c>
      <c r="M1545" s="10">
        <v>77.55</v>
      </c>
      <c r="N1545" s="10">
        <v>76.09</v>
      </c>
      <c r="O1545" s="10">
        <v>76.23</v>
      </c>
      <c r="P1545" s="10">
        <v>76.23</v>
      </c>
      <c r="Q1545" s="10">
        <v>76.16</v>
      </c>
      <c r="R1545" s="10">
        <v>76</v>
      </c>
      <c r="S1545" s="10">
        <v>75.739999999999995</v>
      </c>
      <c r="T1545" s="10">
        <v>75.42</v>
      </c>
      <c r="U1545" s="10">
        <v>75.06</v>
      </c>
      <c r="V1545" s="10">
        <v>74.709999999999994</v>
      </c>
      <c r="W1545" s="10">
        <v>74.36</v>
      </c>
      <c r="X1545" s="10">
        <v>74.02</v>
      </c>
      <c r="Y1545" s="10">
        <v>73.680000000000007</v>
      </c>
      <c r="Z1545" s="11">
        <v>76.438000000000002</v>
      </c>
      <c r="AA1545" s="11">
        <v>75.896000000000001</v>
      </c>
      <c r="AB1545" s="11">
        <v>75.271000000000001</v>
      </c>
      <c r="AC1545" s="11">
        <v>74.908000000000001</v>
      </c>
      <c r="AD1545" s="11">
        <v>74.575000000000003</v>
      </c>
      <c r="AE1545" s="11">
        <v>74.245000000000005</v>
      </c>
      <c r="AF1545" s="11">
        <v>73.882999999999996</v>
      </c>
      <c r="AG1545" s="11">
        <v>73.552000000000007</v>
      </c>
      <c r="AH1545" s="11">
        <v>73.213999999999999</v>
      </c>
      <c r="AI1545" s="11">
        <v>72.885000000000005</v>
      </c>
      <c r="AJ1545" s="11">
        <v>72.554000000000002</v>
      </c>
      <c r="AK1545" s="11">
        <v>72.194000000000003</v>
      </c>
      <c r="AL1545" s="11"/>
    </row>
    <row r="1546" spans="1:38" x14ac:dyDescent="0.3">
      <c r="A1546" s="9">
        <f>DATE(2022, 12, 21)</f>
        <v>44916</v>
      </c>
      <c r="B1546" s="10">
        <v>82.2</v>
      </c>
      <c r="C1546" s="10">
        <v>82.58</v>
      </c>
      <c r="D1546" s="10">
        <v>82.39</v>
      </c>
      <c r="E1546" s="10">
        <v>82.14</v>
      </c>
      <c r="F1546" s="10">
        <v>81.78</v>
      </c>
      <c r="G1546" s="10">
        <v>81.400000000000006</v>
      </c>
      <c r="H1546" s="10">
        <v>80.95</v>
      </c>
      <c r="I1546" s="10">
        <v>80.489999999999995</v>
      </c>
      <c r="J1546" s="10">
        <v>80.03</v>
      </c>
      <c r="K1546" s="10">
        <v>79.599999999999994</v>
      </c>
      <c r="L1546" s="10">
        <v>79.22</v>
      </c>
      <c r="M1546" s="10">
        <v>78.8</v>
      </c>
      <c r="N1546" s="10">
        <v>78.290000000000006</v>
      </c>
      <c r="O1546" s="10">
        <v>78.239999999999995</v>
      </c>
      <c r="P1546" s="10">
        <v>78.09</v>
      </c>
      <c r="Q1546" s="10">
        <v>77.819999999999993</v>
      </c>
      <c r="R1546" s="10">
        <v>77.459999999999994</v>
      </c>
      <c r="S1546" s="10">
        <v>77.05</v>
      </c>
      <c r="T1546" s="10">
        <v>76.61</v>
      </c>
      <c r="U1546" s="10">
        <v>76.16</v>
      </c>
      <c r="V1546" s="10">
        <v>75.709999999999994</v>
      </c>
      <c r="W1546" s="10">
        <v>75.290000000000006</v>
      </c>
      <c r="X1546" s="10">
        <v>74.86</v>
      </c>
      <c r="Y1546" s="10">
        <v>74.400000000000006</v>
      </c>
      <c r="Z1546" s="11">
        <v>77.090999999999994</v>
      </c>
      <c r="AA1546" s="11">
        <v>78.141000000000005</v>
      </c>
      <c r="AB1546" s="11">
        <v>77.393000000000001</v>
      </c>
      <c r="AC1546" s="11">
        <v>77.034000000000006</v>
      </c>
      <c r="AD1546" s="11">
        <v>76.67</v>
      </c>
      <c r="AE1546" s="11">
        <v>76.260000000000005</v>
      </c>
      <c r="AF1546" s="11">
        <v>75.808999999999997</v>
      </c>
      <c r="AG1546" s="11">
        <v>75.378</v>
      </c>
      <c r="AH1546" s="11">
        <v>74.960999999999999</v>
      </c>
      <c r="AI1546" s="11">
        <v>74.542000000000002</v>
      </c>
      <c r="AJ1546" s="11">
        <v>74.131</v>
      </c>
      <c r="AK1546" s="11">
        <v>73.700999999999993</v>
      </c>
      <c r="AL1546" s="11"/>
    </row>
    <row r="1547" spans="1:38" x14ac:dyDescent="0.3">
      <c r="A1547" s="9">
        <f>DATE(2022, 12, 22)</f>
        <v>44917</v>
      </c>
      <c r="B1547" s="10">
        <v>80.98</v>
      </c>
      <c r="C1547" s="10">
        <v>81.67</v>
      </c>
      <c r="D1547" s="10">
        <v>81.459999999999994</v>
      </c>
      <c r="E1547" s="10">
        <v>81.19</v>
      </c>
      <c r="F1547" s="10">
        <v>80.84</v>
      </c>
      <c r="G1547" s="10">
        <v>80.44</v>
      </c>
      <c r="H1547" s="10">
        <v>79.989999999999995</v>
      </c>
      <c r="I1547" s="10">
        <v>79.55</v>
      </c>
      <c r="J1547" s="10">
        <v>79.11</v>
      </c>
      <c r="K1547" s="10">
        <v>78.69</v>
      </c>
      <c r="L1547" s="10">
        <v>78.319999999999993</v>
      </c>
      <c r="M1547" s="10">
        <v>77.91</v>
      </c>
      <c r="N1547" s="10">
        <v>77.489999999999995</v>
      </c>
      <c r="O1547" s="10">
        <v>77.42</v>
      </c>
      <c r="P1547" s="10">
        <v>77.260000000000005</v>
      </c>
      <c r="Q1547" s="10">
        <v>76.989999999999995</v>
      </c>
      <c r="R1547" s="10">
        <v>76.64</v>
      </c>
      <c r="S1547" s="10">
        <v>76.23</v>
      </c>
      <c r="T1547" s="10">
        <v>75.790000000000006</v>
      </c>
      <c r="U1547" s="10">
        <v>75.34</v>
      </c>
      <c r="V1547" s="10">
        <v>74.900000000000006</v>
      </c>
      <c r="W1547" s="10">
        <v>74.489999999999995</v>
      </c>
      <c r="X1547" s="10">
        <v>74.069999999999993</v>
      </c>
      <c r="Y1547" s="10">
        <v>73.62</v>
      </c>
      <c r="Z1547" s="11">
        <v>76.912999999999997</v>
      </c>
      <c r="AA1547" s="11">
        <v>77.36</v>
      </c>
      <c r="AB1547" s="11">
        <v>76.647000000000006</v>
      </c>
      <c r="AC1547" s="11">
        <v>76.284999999999997</v>
      </c>
      <c r="AD1547" s="11">
        <v>75.978999999999999</v>
      </c>
      <c r="AE1547" s="11">
        <v>75.569999999999993</v>
      </c>
      <c r="AF1547" s="11">
        <v>75.11</v>
      </c>
      <c r="AG1547" s="11">
        <v>74.698999999999998</v>
      </c>
      <c r="AH1547" s="11">
        <v>74.292000000000002</v>
      </c>
      <c r="AI1547" s="11">
        <v>73.872</v>
      </c>
      <c r="AJ1547" s="11">
        <v>73.460999999999999</v>
      </c>
      <c r="AK1547" s="11">
        <v>73.040999999999997</v>
      </c>
      <c r="AL1547" s="11"/>
    </row>
    <row r="1548" spans="1:38" x14ac:dyDescent="0.3">
      <c r="A1548" s="9">
        <f>DATE(2022, 12, 23)</f>
        <v>44918</v>
      </c>
      <c r="B1548" s="10">
        <v>83.92</v>
      </c>
      <c r="C1548" s="10">
        <v>84.5</v>
      </c>
      <c r="D1548" s="10">
        <v>84.34</v>
      </c>
      <c r="E1548" s="10">
        <v>84.06</v>
      </c>
      <c r="F1548" s="10">
        <v>83.65</v>
      </c>
      <c r="G1548" s="10">
        <v>83.21</v>
      </c>
      <c r="H1548" s="10">
        <v>82.74</v>
      </c>
      <c r="I1548" s="10">
        <v>82.28</v>
      </c>
      <c r="J1548" s="10">
        <v>81.81</v>
      </c>
      <c r="K1548" s="10">
        <v>81.37</v>
      </c>
      <c r="L1548" s="10">
        <v>80.959999999999994</v>
      </c>
      <c r="M1548" s="10">
        <v>80.53</v>
      </c>
      <c r="N1548" s="10">
        <v>79.56</v>
      </c>
      <c r="O1548" s="10">
        <v>79.64</v>
      </c>
      <c r="P1548" s="10">
        <v>79.62</v>
      </c>
      <c r="Q1548" s="10">
        <v>79.42</v>
      </c>
      <c r="R1548" s="10">
        <v>79.099999999999994</v>
      </c>
      <c r="S1548" s="10">
        <v>78.69</v>
      </c>
      <c r="T1548" s="10">
        <v>78.22</v>
      </c>
      <c r="U1548" s="10">
        <v>77.73</v>
      </c>
      <c r="V1548" s="10">
        <v>77.27</v>
      </c>
      <c r="W1548" s="10">
        <v>76.84</v>
      </c>
      <c r="X1548" s="10">
        <v>76.400000000000006</v>
      </c>
      <c r="Y1548" s="10">
        <v>75.930000000000007</v>
      </c>
      <c r="Z1548" s="11">
        <v>77.429000000000002</v>
      </c>
      <c r="AA1548" s="11">
        <v>80.022000000000006</v>
      </c>
      <c r="AB1548" s="11">
        <v>79.355999999999995</v>
      </c>
      <c r="AC1548" s="11">
        <v>79.042000000000002</v>
      </c>
      <c r="AD1548" s="11">
        <v>78.677000000000007</v>
      </c>
      <c r="AE1548" s="11">
        <v>78.239999999999995</v>
      </c>
      <c r="AF1548" s="11">
        <v>77.769000000000005</v>
      </c>
      <c r="AG1548" s="11">
        <v>77.328000000000003</v>
      </c>
      <c r="AH1548" s="11">
        <v>76.891000000000005</v>
      </c>
      <c r="AI1548" s="11">
        <v>76.45</v>
      </c>
      <c r="AJ1548" s="11">
        <v>75.989999999999995</v>
      </c>
      <c r="AK1548" s="11">
        <v>75.531000000000006</v>
      </c>
      <c r="AL1548" s="11"/>
    </row>
    <row r="1549" spans="1:38" x14ac:dyDescent="0.3">
      <c r="A1549" s="9">
        <f>DATE(2022, 12, 27)</f>
        <v>44922</v>
      </c>
      <c r="B1549" s="10">
        <v>84.33</v>
      </c>
      <c r="C1549" s="10">
        <v>84.68</v>
      </c>
      <c r="D1549" s="10">
        <v>84.58</v>
      </c>
      <c r="E1549" s="10">
        <v>84.33</v>
      </c>
      <c r="F1549" s="10">
        <v>83.92</v>
      </c>
      <c r="G1549" s="10">
        <v>83.47</v>
      </c>
      <c r="H1549" s="10">
        <v>83</v>
      </c>
      <c r="I1549" s="10">
        <v>82.54</v>
      </c>
      <c r="J1549" s="10">
        <v>82.08</v>
      </c>
      <c r="K1549" s="10">
        <v>81.64</v>
      </c>
      <c r="L1549" s="10">
        <v>81.23</v>
      </c>
      <c r="M1549" s="10">
        <v>80.8</v>
      </c>
      <c r="N1549" s="10">
        <v>79.53</v>
      </c>
      <c r="O1549" s="10">
        <v>79.64</v>
      </c>
      <c r="P1549" s="10">
        <v>79.680000000000007</v>
      </c>
      <c r="Q1549" s="10">
        <v>79.569999999999993</v>
      </c>
      <c r="R1549" s="10">
        <v>79.31</v>
      </c>
      <c r="S1549" s="10">
        <v>78.94</v>
      </c>
      <c r="T1549" s="10">
        <v>78.489999999999995</v>
      </c>
      <c r="U1549" s="10">
        <v>78.010000000000005</v>
      </c>
      <c r="V1549" s="10">
        <v>77.52</v>
      </c>
      <c r="W1549" s="10">
        <v>77.069999999999993</v>
      </c>
      <c r="X1549" s="10">
        <v>76.63</v>
      </c>
      <c r="Y1549" s="10">
        <v>76.16</v>
      </c>
      <c r="Z1549" s="11">
        <v>77.456000000000003</v>
      </c>
      <c r="AA1549" s="11">
        <v>80.204999999999998</v>
      </c>
      <c r="AB1549" s="11">
        <v>79.528000000000006</v>
      </c>
      <c r="AC1549" s="11">
        <v>79.191999999999993</v>
      </c>
      <c r="AD1549" s="11">
        <v>78.825999999999993</v>
      </c>
      <c r="AE1549" s="11">
        <v>78.37</v>
      </c>
      <c r="AF1549" s="11">
        <v>77.899000000000001</v>
      </c>
      <c r="AG1549" s="11">
        <v>77.447999999999993</v>
      </c>
      <c r="AH1549" s="11">
        <v>77.010999999999996</v>
      </c>
      <c r="AI1549" s="11">
        <v>76.59</v>
      </c>
      <c r="AJ1549" s="11">
        <v>76.180000000000007</v>
      </c>
      <c r="AK1549" s="11">
        <v>75.75</v>
      </c>
      <c r="AL1549" s="11"/>
    </row>
    <row r="1550" spans="1:38" x14ac:dyDescent="0.3">
      <c r="A1550" s="9">
        <f>DATE(2022, 12, 28)</f>
        <v>44923</v>
      </c>
      <c r="B1550" s="10">
        <v>83.26</v>
      </c>
      <c r="C1550" s="10">
        <v>83.99</v>
      </c>
      <c r="D1550" s="10">
        <v>83.93</v>
      </c>
      <c r="E1550" s="10">
        <v>83.68</v>
      </c>
      <c r="F1550" s="10">
        <v>83.3</v>
      </c>
      <c r="G1550" s="10">
        <v>82.86</v>
      </c>
      <c r="H1550" s="10">
        <v>82.39</v>
      </c>
      <c r="I1550" s="10">
        <v>81.92</v>
      </c>
      <c r="J1550" s="10">
        <v>81.47</v>
      </c>
      <c r="K1550" s="10">
        <v>81.06</v>
      </c>
      <c r="L1550" s="10">
        <v>80.680000000000007</v>
      </c>
      <c r="M1550" s="10">
        <v>80.28</v>
      </c>
      <c r="N1550" s="10">
        <v>78.959999999999994</v>
      </c>
      <c r="O1550" s="10">
        <v>79.08</v>
      </c>
      <c r="P1550" s="10">
        <v>79.13</v>
      </c>
      <c r="Q1550" s="10">
        <v>79.05</v>
      </c>
      <c r="R1550" s="10">
        <v>78.83</v>
      </c>
      <c r="S1550" s="10">
        <v>78.489999999999995</v>
      </c>
      <c r="T1550" s="10">
        <v>78.09</v>
      </c>
      <c r="U1550" s="10">
        <v>77.64</v>
      </c>
      <c r="V1550" s="10">
        <v>77.180000000000007</v>
      </c>
      <c r="W1550" s="10">
        <v>76.760000000000005</v>
      </c>
      <c r="X1550" s="10">
        <v>76.349999999999994</v>
      </c>
      <c r="Y1550" s="10">
        <v>75.91</v>
      </c>
      <c r="Z1550" s="11">
        <v>77.311999999999998</v>
      </c>
      <c r="AA1550" s="11">
        <v>79.197000000000003</v>
      </c>
      <c r="AB1550" s="11">
        <v>78.617999999999995</v>
      </c>
      <c r="AC1550" s="11">
        <v>78.302999999999997</v>
      </c>
      <c r="AD1550" s="11">
        <v>77.956999999999994</v>
      </c>
      <c r="AE1550" s="11">
        <v>77.540000000000006</v>
      </c>
      <c r="AF1550" s="11">
        <v>77.070999999999998</v>
      </c>
      <c r="AG1550" s="11">
        <v>76.668999999999997</v>
      </c>
      <c r="AH1550" s="11">
        <v>76.221999999999994</v>
      </c>
      <c r="AI1550" s="11">
        <v>75.811999999999998</v>
      </c>
      <c r="AJ1550" s="11">
        <v>75.432000000000002</v>
      </c>
      <c r="AK1550" s="11">
        <v>75.061999999999998</v>
      </c>
      <c r="AL1550" s="11"/>
    </row>
    <row r="1551" spans="1:38" x14ac:dyDescent="0.3">
      <c r="A1551" s="9">
        <f>DATE(2022, 12, 29)</f>
        <v>44924</v>
      </c>
      <c r="B1551" s="10">
        <v>82.26</v>
      </c>
      <c r="C1551" s="10">
        <v>83.46</v>
      </c>
      <c r="D1551" s="10">
        <v>83.31</v>
      </c>
      <c r="E1551" s="10">
        <v>83.01</v>
      </c>
      <c r="F1551" s="10">
        <v>82.58</v>
      </c>
      <c r="G1551" s="10">
        <v>82.09</v>
      </c>
      <c r="H1551" s="10">
        <v>81.59</v>
      </c>
      <c r="I1551" s="10">
        <v>81.099999999999994</v>
      </c>
      <c r="J1551" s="10">
        <v>80.62</v>
      </c>
      <c r="K1551" s="10">
        <v>80.2</v>
      </c>
      <c r="L1551" s="10">
        <v>79.81</v>
      </c>
      <c r="M1551" s="10">
        <v>79.400000000000006</v>
      </c>
      <c r="N1551" s="10">
        <v>78.400000000000006</v>
      </c>
      <c r="O1551" s="10">
        <v>78.5</v>
      </c>
      <c r="P1551" s="10">
        <v>78.540000000000006</v>
      </c>
      <c r="Q1551" s="10">
        <v>78.459999999999994</v>
      </c>
      <c r="R1551" s="10">
        <v>78.239999999999995</v>
      </c>
      <c r="S1551" s="10">
        <v>77.89</v>
      </c>
      <c r="T1551" s="10">
        <v>77.45</v>
      </c>
      <c r="U1551" s="10">
        <v>76.98</v>
      </c>
      <c r="V1551" s="10">
        <v>76.5</v>
      </c>
      <c r="W1551" s="10">
        <v>76.05</v>
      </c>
      <c r="X1551" s="10">
        <v>75.599999999999994</v>
      </c>
      <c r="Y1551" s="10">
        <v>75.13</v>
      </c>
      <c r="Z1551" s="11">
        <v>77.206999999999994</v>
      </c>
      <c r="AA1551" s="11">
        <v>78.522999999999996</v>
      </c>
      <c r="AB1551" s="11">
        <v>77.872</v>
      </c>
      <c r="AC1551" s="11">
        <v>77.491</v>
      </c>
      <c r="AD1551" s="11">
        <v>77.164000000000001</v>
      </c>
      <c r="AE1551" s="11">
        <v>76.697999999999993</v>
      </c>
      <c r="AF1551" s="11">
        <v>76.218000000000004</v>
      </c>
      <c r="AG1551" s="11">
        <v>75.766999999999996</v>
      </c>
      <c r="AH1551" s="11">
        <v>75.302000000000007</v>
      </c>
      <c r="AI1551" s="11">
        <v>74.941000000000003</v>
      </c>
      <c r="AJ1551" s="11">
        <v>74.600999999999999</v>
      </c>
      <c r="AK1551" s="11">
        <v>74.200999999999993</v>
      </c>
      <c r="AL1551" s="11"/>
    </row>
    <row r="1552" spans="1:38" x14ac:dyDescent="0.3">
      <c r="A1552" s="9">
        <f>DATE(2022, 12, 30)</f>
        <v>44925</v>
      </c>
      <c r="B1552" s="10">
        <v>85.91</v>
      </c>
      <c r="C1552" s="10">
        <v>85.65</v>
      </c>
      <c r="D1552" s="10">
        <v>85.27</v>
      </c>
      <c r="E1552" s="10">
        <v>84.76</v>
      </c>
      <c r="F1552" s="10">
        <v>84.2</v>
      </c>
      <c r="G1552" s="10">
        <v>83.63</v>
      </c>
      <c r="H1552" s="10">
        <v>83.1</v>
      </c>
      <c r="I1552" s="10">
        <v>82.57</v>
      </c>
      <c r="J1552" s="10">
        <v>82.09</v>
      </c>
      <c r="K1552" s="10">
        <v>81.650000000000006</v>
      </c>
      <c r="L1552" s="10">
        <v>81.19</v>
      </c>
      <c r="M1552" s="10">
        <v>80.72</v>
      </c>
      <c r="N1552" s="10">
        <v>80.260000000000005</v>
      </c>
      <c r="O1552" s="10">
        <v>80.45</v>
      </c>
      <c r="P1552" s="10">
        <v>80.53</v>
      </c>
      <c r="Q1552" s="10">
        <v>80.45</v>
      </c>
      <c r="R1552" s="10">
        <v>80.2</v>
      </c>
      <c r="S1552" s="10">
        <v>79.83</v>
      </c>
      <c r="T1552" s="10">
        <v>79.36</v>
      </c>
      <c r="U1552" s="10">
        <v>78.849999999999994</v>
      </c>
      <c r="V1552" s="10">
        <v>78.319999999999993</v>
      </c>
      <c r="W1552" s="10">
        <v>77.81</v>
      </c>
      <c r="X1552" s="10">
        <v>77.31</v>
      </c>
      <c r="Y1552" s="10">
        <v>76.790000000000006</v>
      </c>
      <c r="Z1552" s="11">
        <v>77.195999999999998</v>
      </c>
      <c r="AA1552" s="11">
        <v>80.94</v>
      </c>
      <c r="AB1552" s="11">
        <v>80.230999999999995</v>
      </c>
      <c r="AC1552" s="11">
        <v>79.817999999999998</v>
      </c>
      <c r="AD1552" s="11">
        <v>79.430999999999997</v>
      </c>
      <c r="AE1552" s="11">
        <v>78.924999999999997</v>
      </c>
      <c r="AF1552" s="11">
        <v>78.396000000000001</v>
      </c>
      <c r="AG1552" s="11">
        <v>77.905000000000001</v>
      </c>
      <c r="AH1552" s="11">
        <v>77.399000000000001</v>
      </c>
      <c r="AI1552" s="11">
        <v>76.929000000000002</v>
      </c>
      <c r="AJ1552" s="11">
        <v>76.539000000000001</v>
      </c>
      <c r="AK1552" s="11">
        <v>76.099000000000004</v>
      </c>
      <c r="AL1552" s="11"/>
    </row>
    <row r="1553" spans="1:38" x14ac:dyDescent="0.3">
      <c r="A1553" s="9">
        <f>DATE(2023, 1, 3)</f>
        <v>44929</v>
      </c>
      <c r="B1553" s="10">
        <v>82.1</v>
      </c>
      <c r="C1553" s="10">
        <v>82.12</v>
      </c>
      <c r="D1553" s="10">
        <v>81.95</v>
      </c>
      <c r="E1553" s="10">
        <v>81.63</v>
      </c>
      <c r="F1553" s="10">
        <v>81.23</v>
      </c>
      <c r="G1553" s="10">
        <v>80.78</v>
      </c>
      <c r="H1553" s="10">
        <v>80.34</v>
      </c>
      <c r="I1553" s="10">
        <v>79.88</v>
      </c>
      <c r="J1553" s="10">
        <v>79.45</v>
      </c>
      <c r="K1553" s="10">
        <v>79.05</v>
      </c>
      <c r="L1553" s="10">
        <v>78.62</v>
      </c>
      <c r="M1553" s="10">
        <v>78.2</v>
      </c>
      <c r="N1553" s="10">
        <v>76.930000000000007</v>
      </c>
      <c r="O1553" s="10">
        <v>77.12</v>
      </c>
      <c r="P1553" s="10">
        <v>77.27</v>
      </c>
      <c r="Q1553" s="10">
        <v>77.33</v>
      </c>
      <c r="R1553" s="10">
        <v>77.23</v>
      </c>
      <c r="S1553" s="10">
        <v>76.989999999999995</v>
      </c>
      <c r="T1553" s="10">
        <v>76.64</v>
      </c>
      <c r="U1553" s="10">
        <v>76.239999999999995</v>
      </c>
      <c r="V1553" s="10">
        <v>75.81</v>
      </c>
      <c r="W1553" s="10">
        <v>75.39</v>
      </c>
      <c r="X1553" s="10">
        <v>74.97</v>
      </c>
      <c r="Y1553" s="10">
        <v>74.53</v>
      </c>
      <c r="Z1553" s="11">
        <v>77.195999999999998</v>
      </c>
      <c r="AA1553" s="11">
        <v>78.3</v>
      </c>
      <c r="AB1553" s="11">
        <v>77.412000000000006</v>
      </c>
      <c r="AC1553" s="11">
        <v>76.956000000000003</v>
      </c>
      <c r="AD1553" s="11">
        <v>76.611000000000004</v>
      </c>
      <c r="AE1553" s="11">
        <v>76.161000000000001</v>
      </c>
      <c r="AF1553" s="11">
        <v>75.7</v>
      </c>
      <c r="AG1553" s="11">
        <v>75.278000000000006</v>
      </c>
      <c r="AH1553" s="11">
        <v>74.850999999999999</v>
      </c>
      <c r="AI1553" s="11">
        <v>74.441000000000003</v>
      </c>
      <c r="AJ1553" s="11">
        <v>74.02</v>
      </c>
      <c r="AK1553" s="11">
        <v>73.581000000000003</v>
      </c>
      <c r="AL1553" s="11"/>
    </row>
    <row r="1554" spans="1:38" x14ac:dyDescent="0.3">
      <c r="A1554" s="9">
        <f>DATE(2023, 1, 4)</f>
        <v>44930</v>
      </c>
      <c r="B1554" s="10">
        <v>77.84</v>
      </c>
      <c r="C1554" s="10">
        <v>78.010000000000005</v>
      </c>
      <c r="D1554" s="10">
        <v>78.010000000000005</v>
      </c>
      <c r="E1554" s="10">
        <v>77.88</v>
      </c>
      <c r="F1554" s="10">
        <v>77.67</v>
      </c>
      <c r="G1554" s="10">
        <v>77.39</v>
      </c>
      <c r="H1554" s="10">
        <v>77.099999999999994</v>
      </c>
      <c r="I1554" s="10">
        <v>76.8</v>
      </c>
      <c r="J1554" s="10">
        <v>76.52</v>
      </c>
      <c r="K1554" s="10">
        <v>76.25</v>
      </c>
      <c r="L1554" s="10">
        <v>75.95</v>
      </c>
      <c r="M1554" s="10">
        <v>75.650000000000006</v>
      </c>
      <c r="N1554" s="10">
        <v>72.84</v>
      </c>
      <c r="O1554" s="10">
        <v>73.099999999999994</v>
      </c>
      <c r="P1554" s="10">
        <v>73.33</v>
      </c>
      <c r="Q1554" s="10">
        <v>73.510000000000005</v>
      </c>
      <c r="R1554" s="10">
        <v>73.56</v>
      </c>
      <c r="S1554" s="10">
        <v>73.48</v>
      </c>
      <c r="T1554" s="10">
        <v>73.31</v>
      </c>
      <c r="U1554" s="10">
        <v>73.09</v>
      </c>
      <c r="V1554" s="10">
        <v>72.83</v>
      </c>
      <c r="W1554" s="10">
        <v>72.56</v>
      </c>
      <c r="X1554" s="10">
        <v>72.28</v>
      </c>
      <c r="Y1554" s="10">
        <v>71.97</v>
      </c>
      <c r="Z1554" s="11">
        <v>74.638000000000005</v>
      </c>
      <c r="AA1554" s="11">
        <v>73.599999999999994</v>
      </c>
      <c r="AB1554" s="11">
        <v>73.244</v>
      </c>
      <c r="AC1554" s="11">
        <v>73.028999999999996</v>
      </c>
      <c r="AD1554" s="11">
        <v>72.757999999999996</v>
      </c>
      <c r="AE1554" s="11">
        <v>72.447000000000003</v>
      </c>
      <c r="AF1554" s="11">
        <v>72.146000000000001</v>
      </c>
      <c r="AG1554" s="11">
        <v>71.888000000000005</v>
      </c>
      <c r="AH1554" s="11">
        <v>71.656000000000006</v>
      </c>
      <c r="AI1554" s="11">
        <v>71.376000000000005</v>
      </c>
      <c r="AJ1554" s="11">
        <v>71.096000000000004</v>
      </c>
      <c r="AK1554" s="11">
        <v>70.783000000000001</v>
      </c>
      <c r="AL1554" s="11"/>
    </row>
    <row r="1555" spans="1:38" x14ac:dyDescent="0.3">
      <c r="A1555" s="9">
        <f>DATE(2023, 1, 5)</f>
        <v>44931</v>
      </c>
      <c r="B1555" s="10">
        <v>78.69</v>
      </c>
      <c r="C1555" s="10">
        <v>78.819999999999993</v>
      </c>
      <c r="D1555" s="10">
        <v>78.8</v>
      </c>
      <c r="E1555" s="10">
        <v>78.66</v>
      </c>
      <c r="F1555" s="10">
        <v>78.430000000000007</v>
      </c>
      <c r="G1555" s="10">
        <v>78.150000000000006</v>
      </c>
      <c r="H1555" s="10">
        <v>77.849999999999994</v>
      </c>
      <c r="I1555" s="10">
        <v>77.53</v>
      </c>
      <c r="J1555" s="10">
        <v>77.22</v>
      </c>
      <c r="K1555" s="10">
        <v>76.91</v>
      </c>
      <c r="L1555" s="10">
        <v>76.58</v>
      </c>
      <c r="M1555" s="10">
        <v>76.25</v>
      </c>
      <c r="N1555" s="10">
        <v>73.67</v>
      </c>
      <c r="O1555" s="10">
        <v>73.92</v>
      </c>
      <c r="P1555" s="10">
        <v>74.14</v>
      </c>
      <c r="Q1555" s="10">
        <v>74.3</v>
      </c>
      <c r="R1555" s="10">
        <v>74.34</v>
      </c>
      <c r="S1555" s="10">
        <v>74.25</v>
      </c>
      <c r="T1555" s="10">
        <v>74.069999999999993</v>
      </c>
      <c r="U1555" s="10">
        <v>73.83</v>
      </c>
      <c r="V1555" s="10">
        <v>73.56</v>
      </c>
      <c r="W1555" s="10">
        <v>73.27</v>
      </c>
      <c r="X1555" s="10">
        <v>72.95</v>
      </c>
      <c r="Y1555" s="10">
        <v>72.61</v>
      </c>
      <c r="Z1555" s="11">
        <v>75.569999999999993</v>
      </c>
      <c r="AA1555" s="11">
        <v>74.399000000000001</v>
      </c>
      <c r="AB1555" s="11">
        <v>73.983999999999995</v>
      </c>
      <c r="AC1555" s="11">
        <v>73.748000000000005</v>
      </c>
      <c r="AD1555" s="11">
        <v>73.447999999999993</v>
      </c>
      <c r="AE1555" s="11">
        <v>73.135999999999996</v>
      </c>
      <c r="AF1555" s="11">
        <v>72.834999999999994</v>
      </c>
      <c r="AG1555" s="11">
        <v>72.527000000000001</v>
      </c>
      <c r="AH1555" s="11">
        <v>72.245000000000005</v>
      </c>
      <c r="AI1555" s="11">
        <v>71.984999999999999</v>
      </c>
      <c r="AJ1555" s="11">
        <v>71.644999999999996</v>
      </c>
      <c r="AK1555" s="11">
        <v>71.290000000000006</v>
      </c>
      <c r="AL1555" s="11"/>
    </row>
    <row r="1556" spans="1:38" x14ac:dyDescent="0.3">
      <c r="A1556" s="9">
        <f>DATE(2023, 1, 6)</f>
        <v>44932</v>
      </c>
      <c r="B1556" s="10">
        <v>78.569999999999993</v>
      </c>
      <c r="C1556" s="10">
        <v>78.75</v>
      </c>
      <c r="D1556" s="10">
        <v>78.739999999999995</v>
      </c>
      <c r="E1556" s="10">
        <v>78.62</v>
      </c>
      <c r="F1556" s="10">
        <v>78.42</v>
      </c>
      <c r="G1556" s="10">
        <v>78.17</v>
      </c>
      <c r="H1556" s="10">
        <v>77.87</v>
      </c>
      <c r="I1556" s="10">
        <v>77.58</v>
      </c>
      <c r="J1556" s="10">
        <v>77.3</v>
      </c>
      <c r="K1556" s="10">
        <v>77.02</v>
      </c>
      <c r="L1556" s="10">
        <v>76.739999999999995</v>
      </c>
      <c r="M1556" s="10">
        <v>76.44</v>
      </c>
      <c r="N1556" s="10">
        <v>73.77</v>
      </c>
      <c r="O1556" s="10">
        <v>74.040000000000006</v>
      </c>
      <c r="P1556" s="10">
        <v>74.260000000000005</v>
      </c>
      <c r="Q1556" s="10">
        <v>74.44</v>
      </c>
      <c r="R1556" s="10">
        <v>74.5</v>
      </c>
      <c r="S1556" s="10">
        <v>74.430000000000007</v>
      </c>
      <c r="T1556" s="10">
        <v>74.260000000000005</v>
      </c>
      <c r="U1556" s="10">
        <v>74.02</v>
      </c>
      <c r="V1556" s="10">
        <v>73.75</v>
      </c>
      <c r="W1556" s="10">
        <v>73.459999999999994</v>
      </c>
      <c r="X1556" s="10">
        <v>73.14</v>
      </c>
      <c r="Y1556" s="10">
        <v>72.8</v>
      </c>
      <c r="Z1556" s="11">
        <v>75.447000000000003</v>
      </c>
      <c r="AA1556" s="11">
        <v>74.36</v>
      </c>
      <c r="AB1556" s="11">
        <v>73.98</v>
      </c>
      <c r="AC1556" s="11">
        <v>73.789000000000001</v>
      </c>
      <c r="AD1556" s="11">
        <v>73.528999999999996</v>
      </c>
      <c r="AE1556" s="11">
        <v>73.266000000000005</v>
      </c>
      <c r="AF1556" s="11">
        <v>72.986000000000004</v>
      </c>
      <c r="AG1556" s="11">
        <v>72.718000000000004</v>
      </c>
      <c r="AH1556" s="11">
        <v>72.466999999999999</v>
      </c>
      <c r="AI1556" s="11">
        <v>72.186999999999998</v>
      </c>
      <c r="AJ1556" s="11">
        <v>71.896000000000001</v>
      </c>
      <c r="AK1556" s="11">
        <v>71.570999999999998</v>
      </c>
      <c r="AL1556" s="11"/>
    </row>
    <row r="1557" spans="1:38" x14ac:dyDescent="0.3">
      <c r="A1557" s="9">
        <f>DATE(2023, 1, 9)</f>
        <v>44935</v>
      </c>
      <c r="B1557" s="10">
        <v>79.650000000000006</v>
      </c>
      <c r="C1557" s="10">
        <v>79.89</v>
      </c>
      <c r="D1557" s="10">
        <v>79.89</v>
      </c>
      <c r="E1557" s="10">
        <v>79.78</v>
      </c>
      <c r="F1557" s="10">
        <v>79.59</v>
      </c>
      <c r="G1557" s="10">
        <v>79.34</v>
      </c>
      <c r="H1557" s="10">
        <v>79.05</v>
      </c>
      <c r="I1557" s="10">
        <v>78.760000000000005</v>
      </c>
      <c r="J1557" s="10">
        <v>78.48</v>
      </c>
      <c r="K1557" s="10">
        <v>78.2</v>
      </c>
      <c r="L1557" s="10">
        <v>77.91</v>
      </c>
      <c r="M1557" s="10">
        <v>77.62</v>
      </c>
      <c r="N1557" s="10">
        <v>74.63</v>
      </c>
      <c r="O1557" s="10">
        <v>74.92</v>
      </c>
      <c r="P1557" s="10">
        <v>75.17</v>
      </c>
      <c r="Q1557" s="10">
        <v>75.39</v>
      </c>
      <c r="R1557" s="10">
        <v>75.489999999999995</v>
      </c>
      <c r="S1557" s="10">
        <v>75.45</v>
      </c>
      <c r="T1557" s="10">
        <v>75.3</v>
      </c>
      <c r="U1557" s="10">
        <v>75.06</v>
      </c>
      <c r="V1557" s="10">
        <v>74.790000000000006</v>
      </c>
      <c r="W1557" s="10">
        <v>74.489999999999995</v>
      </c>
      <c r="X1557" s="10">
        <v>74.16</v>
      </c>
      <c r="Y1557" s="10">
        <v>73.819999999999993</v>
      </c>
      <c r="Z1557" s="11">
        <v>76.706999999999994</v>
      </c>
      <c r="AA1557" s="11">
        <v>75.8</v>
      </c>
      <c r="AB1557" s="11">
        <v>75.385000000000005</v>
      </c>
      <c r="AC1557" s="11">
        <v>75.16</v>
      </c>
      <c r="AD1557" s="11">
        <v>74.888999999999996</v>
      </c>
      <c r="AE1557" s="11">
        <v>74.596999999999994</v>
      </c>
      <c r="AF1557" s="11">
        <v>74.296000000000006</v>
      </c>
      <c r="AG1557" s="11">
        <v>74.007999999999996</v>
      </c>
      <c r="AH1557" s="11">
        <v>73.727000000000004</v>
      </c>
      <c r="AI1557" s="11">
        <v>73.486999999999995</v>
      </c>
      <c r="AJ1557" s="11">
        <v>73.197000000000003</v>
      </c>
      <c r="AK1557" s="11">
        <v>72.88</v>
      </c>
      <c r="AL1557" s="11"/>
    </row>
    <row r="1558" spans="1:38" x14ac:dyDescent="0.3">
      <c r="A1558" s="9">
        <f>DATE(2023, 1, 10)</f>
        <v>44936</v>
      </c>
      <c r="B1558" s="10">
        <v>80.099999999999994</v>
      </c>
      <c r="C1558" s="10">
        <v>80.28</v>
      </c>
      <c r="D1558" s="10">
        <v>80.25</v>
      </c>
      <c r="E1558" s="10">
        <v>80.08</v>
      </c>
      <c r="F1558" s="10">
        <v>79.83</v>
      </c>
      <c r="G1558" s="10">
        <v>79.540000000000006</v>
      </c>
      <c r="H1558" s="10">
        <v>79.209999999999994</v>
      </c>
      <c r="I1558" s="10">
        <v>78.88</v>
      </c>
      <c r="J1558" s="10">
        <v>78.569999999999993</v>
      </c>
      <c r="K1558" s="10">
        <v>78.25</v>
      </c>
      <c r="L1558" s="10">
        <v>77.92</v>
      </c>
      <c r="M1558" s="10">
        <v>77.59</v>
      </c>
      <c r="N1558" s="10">
        <v>75.12</v>
      </c>
      <c r="O1558" s="10">
        <v>75.37</v>
      </c>
      <c r="P1558" s="10">
        <v>75.599999999999994</v>
      </c>
      <c r="Q1558" s="10">
        <v>75.77</v>
      </c>
      <c r="R1558" s="10">
        <v>75.83</v>
      </c>
      <c r="S1558" s="10">
        <v>75.75</v>
      </c>
      <c r="T1558" s="10">
        <v>75.56</v>
      </c>
      <c r="U1558" s="10">
        <v>75.290000000000006</v>
      </c>
      <c r="V1558" s="10">
        <v>74.98</v>
      </c>
      <c r="W1558" s="10">
        <v>74.64</v>
      </c>
      <c r="X1558" s="10">
        <v>74.28</v>
      </c>
      <c r="Y1558" s="10">
        <v>73.91</v>
      </c>
      <c r="Z1558" s="11">
        <v>76.986999999999995</v>
      </c>
      <c r="AA1558" s="11">
        <v>76.379000000000005</v>
      </c>
      <c r="AB1558" s="11">
        <v>75.953000000000003</v>
      </c>
      <c r="AC1558" s="11">
        <v>75.667000000000002</v>
      </c>
      <c r="AD1558" s="11">
        <v>75.307000000000002</v>
      </c>
      <c r="AE1558" s="11">
        <v>74.944999999999993</v>
      </c>
      <c r="AF1558" s="11">
        <v>74.593999999999994</v>
      </c>
      <c r="AG1558" s="11">
        <v>74.266999999999996</v>
      </c>
      <c r="AH1558" s="11">
        <v>73.954999999999998</v>
      </c>
      <c r="AI1558" s="11">
        <v>73.635000000000005</v>
      </c>
      <c r="AJ1558" s="11">
        <v>73.305000000000007</v>
      </c>
      <c r="AK1558" s="11">
        <v>72.957999999999998</v>
      </c>
      <c r="AL1558" s="11"/>
    </row>
    <row r="1559" spans="1:38" x14ac:dyDescent="0.3">
      <c r="A1559" s="9">
        <f>DATE(2023, 1, 11)</f>
        <v>44937</v>
      </c>
      <c r="B1559" s="10">
        <v>82.67</v>
      </c>
      <c r="C1559" s="10">
        <v>82.86</v>
      </c>
      <c r="D1559" s="10">
        <v>82.71</v>
      </c>
      <c r="E1559" s="10">
        <v>82.43</v>
      </c>
      <c r="F1559" s="10">
        <v>82.08</v>
      </c>
      <c r="G1559" s="10">
        <v>81.7</v>
      </c>
      <c r="H1559" s="10">
        <v>81.3</v>
      </c>
      <c r="I1559" s="10">
        <v>80.900000000000006</v>
      </c>
      <c r="J1559" s="10">
        <v>80.540000000000006</v>
      </c>
      <c r="K1559" s="10">
        <v>80.16</v>
      </c>
      <c r="L1559" s="10">
        <v>79.77</v>
      </c>
      <c r="M1559" s="10">
        <v>79.400000000000006</v>
      </c>
      <c r="N1559" s="10">
        <v>77.41</v>
      </c>
      <c r="O1559" s="10">
        <v>77.680000000000007</v>
      </c>
      <c r="P1559" s="10">
        <v>77.900000000000006</v>
      </c>
      <c r="Q1559" s="10">
        <v>78.040000000000006</v>
      </c>
      <c r="R1559" s="10">
        <v>78.03</v>
      </c>
      <c r="S1559" s="10">
        <v>77.87</v>
      </c>
      <c r="T1559" s="10">
        <v>77.599999999999994</v>
      </c>
      <c r="U1559" s="10">
        <v>77.260000000000005</v>
      </c>
      <c r="V1559" s="10">
        <v>76.89</v>
      </c>
      <c r="W1559" s="10">
        <v>76.5</v>
      </c>
      <c r="X1559" s="10">
        <v>76.099999999999994</v>
      </c>
      <c r="Y1559" s="10">
        <v>75.69</v>
      </c>
      <c r="Z1559" s="11">
        <v>78.668999999999997</v>
      </c>
      <c r="AA1559" s="11">
        <v>79.132999999999996</v>
      </c>
      <c r="AB1559" s="11">
        <v>78.587999999999994</v>
      </c>
      <c r="AC1559" s="11">
        <v>78.182000000000002</v>
      </c>
      <c r="AD1559" s="11">
        <v>77.703000000000003</v>
      </c>
      <c r="AE1559" s="11">
        <v>77.262</v>
      </c>
      <c r="AF1559" s="11">
        <v>76.861000000000004</v>
      </c>
      <c r="AG1559" s="11">
        <v>76.463999999999999</v>
      </c>
      <c r="AH1559" s="11">
        <v>76.102000000000004</v>
      </c>
      <c r="AI1559" s="11">
        <v>75.712000000000003</v>
      </c>
      <c r="AJ1559" s="11">
        <v>75.313000000000002</v>
      </c>
      <c r="AK1559" s="11">
        <v>74.923000000000002</v>
      </c>
      <c r="AL1559" s="11"/>
    </row>
    <row r="1560" spans="1:38" x14ac:dyDescent="0.3">
      <c r="A1560" s="9">
        <f>DATE(2023, 1, 12)</f>
        <v>44938</v>
      </c>
      <c r="B1560" s="10">
        <v>84.03</v>
      </c>
      <c r="C1560" s="10">
        <v>84.19</v>
      </c>
      <c r="D1560" s="10">
        <v>83.97</v>
      </c>
      <c r="E1560" s="10">
        <v>83.62</v>
      </c>
      <c r="F1560" s="10">
        <v>83.24</v>
      </c>
      <c r="G1560" s="10">
        <v>82.83</v>
      </c>
      <c r="H1560" s="10">
        <v>82.4</v>
      </c>
      <c r="I1560" s="10">
        <v>81.99</v>
      </c>
      <c r="J1560" s="10">
        <v>81.59</v>
      </c>
      <c r="K1560" s="10">
        <v>81.17</v>
      </c>
      <c r="L1560" s="10">
        <v>80.75</v>
      </c>
      <c r="M1560" s="10">
        <v>80.33</v>
      </c>
      <c r="N1560" s="10">
        <v>78.39</v>
      </c>
      <c r="O1560" s="10">
        <v>78.650000000000006</v>
      </c>
      <c r="P1560" s="10">
        <v>78.88</v>
      </c>
      <c r="Q1560" s="10">
        <v>79</v>
      </c>
      <c r="R1560" s="10">
        <v>78.95</v>
      </c>
      <c r="S1560" s="10">
        <v>78.75</v>
      </c>
      <c r="T1560" s="10">
        <v>78.44</v>
      </c>
      <c r="U1560" s="10">
        <v>78.05</v>
      </c>
      <c r="V1560" s="10">
        <v>77.64</v>
      </c>
      <c r="W1560" s="10">
        <v>77.22</v>
      </c>
      <c r="X1560" s="10">
        <v>76.77</v>
      </c>
      <c r="Y1560" s="10">
        <v>76.31</v>
      </c>
      <c r="Z1560" s="11">
        <v>79.314999999999998</v>
      </c>
      <c r="AA1560" s="11">
        <v>80.349000000000004</v>
      </c>
      <c r="AB1560" s="11">
        <v>79.745000000000005</v>
      </c>
      <c r="AC1560" s="11">
        <v>79.31</v>
      </c>
      <c r="AD1560" s="11">
        <v>78.852000000000004</v>
      </c>
      <c r="AE1560" s="11">
        <v>78.400000000000006</v>
      </c>
      <c r="AF1560" s="11">
        <v>77.965000000000003</v>
      </c>
      <c r="AG1560" s="11">
        <v>77.558000000000007</v>
      </c>
      <c r="AH1560" s="11">
        <v>77.155000000000001</v>
      </c>
      <c r="AI1560" s="11">
        <v>76.741</v>
      </c>
      <c r="AJ1560" s="11">
        <v>76.311000000000007</v>
      </c>
      <c r="AK1560" s="11">
        <v>75.86</v>
      </c>
      <c r="AL1560" s="11"/>
    </row>
    <row r="1561" spans="1:38" x14ac:dyDescent="0.3">
      <c r="A1561" s="9">
        <f>DATE(2023, 1, 13)</f>
        <v>44939</v>
      </c>
      <c r="B1561" s="10">
        <v>85.28</v>
      </c>
      <c r="C1561" s="10">
        <v>85.55</v>
      </c>
      <c r="D1561" s="10">
        <v>85.34</v>
      </c>
      <c r="E1561" s="10">
        <v>84.98</v>
      </c>
      <c r="F1561" s="10">
        <v>84.57</v>
      </c>
      <c r="G1561" s="10">
        <v>84.11</v>
      </c>
      <c r="H1561" s="10">
        <v>83.64</v>
      </c>
      <c r="I1561" s="10">
        <v>83.17</v>
      </c>
      <c r="J1561" s="10">
        <v>82.72</v>
      </c>
      <c r="K1561" s="10">
        <v>82.25</v>
      </c>
      <c r="L1561" s="10">
        <v>81.77</v>
      </c>
      <c r="M1561" s="10">
        <v>81.319999999999993</v>
      </c>
      <c r="N1561" s="10">
        <v>79.86</v>
      </c>
      <c r="O1561" s="10">
        <v>80.11</v>
      </c>
      <c r="P1561" s="10">
        <v>80.3</v>
      </c>
      <c r="Q1561" s="10">
        <v>80.38</v>
      </c>
      <c r="R1561" s="10">
        <v>80.290000000000006</v>
      </c>
      <c r="S1561" s="10">
        <v>80.040000000000006</v>
      </c>
      <c r="T1561" s="10">
        <v>79.680000000000007</v>
      </c>
      <c r="U1561" s="10">
        <v>79.239999999999995</v>
      </c>
      <c r="V1561" s="10">
        <v>78.77</v>
      </c>
      <c r="W1561" s="10">
        <v>78.290000000000006</v>
      </c>
      <c r="X1561" s="10">
        <v>77.81</v>
      </c>
      <c r="Y1561" s="10">
        <v>77.31</v>
      </c>
      <c r="Z1561" s="11">
        <v>80.135999999999996</v>
      </c>
      <c r="AA1561" s="11">
        <v>81.88</v>
      </c>
      <c r="AB1561" s="11">
        <v>81.183999999999997</v>
      </c>
      <c r="AC1561" s="11">
        <v>80.673000000000002</v>
      </c>
      <c r="AD1561" s="11">
        <v>80.16</v>
      </c>
      <c r="AE1561" s="11">
        <v>79.638999999999996</v>
      </c>
      <c r="AF1561" s="11">
        <v>79.168000000000006</v>
      </c>
      <c r="AG1561" s="11">
        <v>78.7</v>
      </c>
      <c r="AH1561" s="11">
        <v>78.257999999999996</v>
      </c>
      <c r="AI1561" s="11">
        <v>77.787999999999997</v>
      </c>
      <c r="AJ1561" s="11">
        <v>77.3</v>
      </c>
      <c r="AK1561" s="11">
        <v>76.795000000000002</v>
      </c>
      <c r="AL1561" s="11"/>
    </row>
    <row r="1562" spans="1:38" x14ac:dyDescent="0.3">
      <c r="A1562" s="9">
        <f>DATE(2023, 1, 16)</f>
        <v>44942</v>
      </c>
      <c r="B1562" s="10">
        <v>84.46</v>
      </c>
      <c r="C1562" s="10">
        <v>84.66</v>
      </c>
      <c r="D1562" s="10">
        <v>84.45</v>
      </c>
      <c r="E1562" s="10">
        <v>84.08</v>
      </c>
      <c r="F1562" s="10">
        <v>83.67</v>
      </c>
      <c r="G1562" s="10">
        <v>83.21</v>
      </c>
      <c r="H1562" s="10">
        <v>82.77</v>
      </c>
      <c r="I1562" s="10">
        <v>82.34</v>
      </c>
      <c r="J1562" s="10">
        <v>81.92</v>
      </c>
      <c r="K1562" s="10">
        <v>81.489999999999995</v>
      </c>
      <c r="L1562" s="10">
        <v>81.06</v>
      </c>
      <c r="M1562" s="10">
        <v>80.63</v>
      </c>
      <c r="N1562" s="10">
        <v>79.86</v>
      </c>
      <c r="O1562" s="10">
        <v>80.11</v>
      </c>
      <c r="P1562" s="10">
        <v>80.3</v>
      </c>
      <c r="Q1562" s="10">
        <v>80.38</v>
      </c>
      <c r="R1562" s="10">
        <v>80.290000000000006</v>
      </c>
      <c r="S1562" s="10">
        <v>80.040000000000006</v>
      </c>
      <c r="T1562" s="10">
        <v>79.680000000000007</v>
      </c>
      <c r="U1562" s="10">
        <v>79.239999999999995</v>
      </c>
      <c r="V1562" s="10">
        <v>78.77</v>
      </c>
      <c r="W1562" s="10">
        <v>78.290000000000006</v>
      </c>
      <c r="X1562" s="10">
        <v>77.81</v>
      </c>
      <c r="Y1562" s="10">
        <v>77.31</v>
      </c>
      <c r="Z1562" s="11">
        <v>79.942999999999998</v>
      </c>
      <c r="AA1562" s="11">
        <v>81.430000000000007</v>
      </c>
      <c r="AB1562" s="11">
        <v>80.644000000000005</v>
      </c>
      <c r="AC1562" s="11">
        <v>80.078000000000003</v>
      </c>
      <c r="AD1562" s="11">
        <v>79.52</v>
      </c>
      <c r="AE1562" s="11">
        <v>78.965000000000003</v>
      </c>
      <c r="AF1562" s="11">
        <v>78.430000000000007</v>
      </c>
      <c r="AG1562" s="11">
        <v>77.981999999999999</v>
      </c>
      <c r="AH1562" s="11">
        <v>77.569999999999993</v>
      </c>
      <c r="AI1562" s="11">
        <v>77.14</v>
      </c>
      <c r="AJ1562" s="11">
        <v>76.680000000000007</v>
      </c>
      <c r="AK1562" s="11">
        <v>76.197000000000003</v>
      </c>
      <c r="AL1562" s="11"/>
    </row>
    <row r="1563" spans="1:38" x14ac:dyDescent="0.3">
      <c r="A1563" s="9">
        <f>DATE(2023, 1, 17)</f>
        <v>44943</v>
      </c>
      <c r="B1563" s="10">
        <v>85.92</v>
      </c>
      <c r="C1563" s="10">
        <v>86.09</v>
      </c>
      <c r="D1563" s="10">
        <v>85.88</v>
      </c>
      <c r="E1563" s="10">
        <v>85.49</v>
      </c>
      <c r="F1563" s="10">
        <v>85.04</v>
      </c>
      <c r="G1563" s="10">
        <v>84.53</v>
      </c>
      <c r="H1563" s="10">
        <v>84.01</v>
      </c>
      <c r="I1563" s="10">
        <v>83.49</v>
      </c>
      <c r="J1563" s="10">
        <v>82.97</v>
      </c>
      <c r="K1563" s="10">
        <v>82.48</v>
      </c>
      <c r="L1563" s="10">
        <v>81.97</v>
      </c>
      <c r="M1563" s="10">
        <v>81.459999999999994</v>
      </c>
      <c r="N1563" s="10">
        <v>80.180000000000007</v>
      </c>
      <c r="O1563" s="10">
        <v>80.45</v>
      </c>
      <c r="P1563" s="10">
        <v>80.650000000000006</v>
      </c>
      <c r="Q1563" s="10">
        <v>80.709999999999994</v>
      </c>
      <c r="R1563" s="10">
        <v>80.569999999999993</v>
      </c>
      <c r="S1563" s="10">
        <v>80.260000000000005</v>
      </c>
      <c r="T1563" s="10">
        <v>79.819999999999993</v>
      </c>
      <c r="U1563" s="10">
        <v>79.290000000000006</v>
      </c>
      <c r="V1563" s="10">
        <v>78.72</v>
      </c>
      <c r="W1563" s="10">
        <v>78.150000000000006</v>
      </c>
      <c r="X1563" s="10">
        <v>77.599999999999994</v>
      </c>
      <c r="Y1563" s="10">
        <v>77.02</v>
      </c>
      <c r="Z1563" s="11">
        <v>80.599000000000004</v>
      </c>
      <c r="AA1563" s="11">
        <v>82.97</v>
      </c>
      <c r="AB1563" s="11">
        <v>82.233000000000004</v>
      </c>
      <c r="AC1563" s="11">
        <v>81.626000000000005</v>
      </c>
      <c r="AD1563" s="11">
        <v>80.988</v>
      </c>
      <c r="AE1563" s="11">
        <v>80.385999999999996</v>
      </c>
      <c r="AF1563" s="11">
        <v>79.814999999999998</v>
      </c>
      <c r="AG1563" s="11">
        <v>79.296999999999997</v>
      </c>
      <c r="AH1563" s="11">
        <v>78.757000000000005</v>
      </c>
      <c r="AI1563" s="11">
        <v>78.277000000000001</v>
      </c>
      <c r="AJ1563" s="11">
        <v>77.727000000000004</v>
      </c>
      <c r="AK1563" s="11">
        <v>77.19</v>
      </c>
      <c r="AL1563" s="11"/>
    </row>
    <row r="1564" spans="1:38" x14ac:dyDescent="0.3">
      <c r="A1564" s="9">
        <f>DATE(2023, 1, 18)</f>
        <v>44944</v>
      </c>
      <c r="B1564" s="10">
        <v>84.98</v>
      </c>
      <c r="C1564" s="10">
        <v>85.25</v>
      </c>
      <c r="D1564" s="10">
        <v>85.19</v>
      </c>
      <c r="E1564" s="10">
        <v>84.89</v>
      </c>
      <c r="F1564" s="10">
        <v>84.5</v>
      </c>
      <c r="G1564" s="10">
        <v>84.03</v>
      </c>
      <c r="H1564" s="10">
        <v>83.54</v>
      </c>
      <c r="I1564" s="10">
        <v>83.03</v>
      </c>
      <c r="J1564" s="10">
        <v>82.54</v>
      </c>
      <c r="K1564" s="10">
        <v>82.06</v>
      </c>
      <c r="L1564" s="10">
        <v>81.58</v>
      </c>
      <c r="M1564" s="10">
        <v>81.11</v>
      </c>
      <c r="N1564" s="10">
        <v>79.48</v>
      </c>
      <c r="O1564" s="10">
        <v>79.8</v>
      </c>
      <c r="P1564" s="10">
        <v>80.03</v>
      </c>
      <c r="Q1564" s="10">
        <v>80.16</v>
      </c>
      <c r="R1564" s="10">
        <v>80.11</v>
      </c>
      <c r="S1564" s="10">
        <v>79.86</v>
      </c>
      <c r="T1564" s="10">
        <v>79.45</v>
      </c>
      <c r="U1564" s="10">
        <v>78.94</v>
      </c>
      <c r="V1564" s="10">
        <v>78.400000000000006</v>
      </c>
      <c r="W1564" s="10">
        <v>77.86</v>
      </c>
      <c r="X1564" s="10">
        <v>77.33</v>
      </c>
      <c r="Y1564" s="10">
        <v>76.78</v>
      </c>
      <c r="Z1564" s="11">
        <v>80.179000000000002</v>
      </c>
      <c r="AA1564" s="11">
        <v>81.747</v>
      </c>
      <c r="AB1564" s="11">
        <v>81.167000000000002</v>
      </c>
      <c r="AC1564" s="11">
        <v>80.718999999999994</v>
      </c>
      <c r="AD1564" s="11">
        <v>80.25</v>
      </c>
      <c r="AE1564" s="11">
        <v>79.727999999999994</v>
      </c>
      <c r="AF1564" s="11">
        <v>79.245999999999995</v>
      </c>
      <c r="AG1564" s="11">
        <v>78.728999999999999</v>
      </c>
      <c r="AH1564" s="11">
        <v>78.216999999999999</v>
      </c>
      <c r="AI1564" s="11">
        <v>77.738</v>
      </c>
      <c r="AJ1564" s="11">
        <v>77.248999999999995</v>
      </c>
      <c r="AK1564" s="11">
        <v>76.662000000000006</v>
      </c>
      <c r="AL1564" s="11"/>
    </row>
    <row r="1565" spans="1:38" x14ac:dyDescent="0.3">
      <c r="A1565" s="9">
        <f>DATE(2023, 1, 19)</f>
        <v>44945</v>
      </c>
      <c r="B1565" s="10">
        <v>86.16</v>
      </c>
      <c r="C1565" s="10">
        <v>86.31</v>
      </c>
      <c r="D1565" s="10">
        <v>86.18</v>
      </c>
      <c r="E1565" s="10">
        <v>85.85</v>
      </c>
      <c r="F1565" s="10">
        <v>85.42</v>
      </c>
      <c r="G1565" s="10">
        <v>84.94</v>
      </c>
      <c r="H1565" s="10">
        <v>84.44</v>
      </c>
      <c r="I1565" s="10">
        <v>83.92</v>
      </c>
      <c r="J1565" s="10">
        <v>83.43</v>
      </c>
      <c r="K1565" s="10">
        <v>82.93</v>
      </c>
      <c r="L1565" s="10">
        <v>82.42</v>
      </c>
      <c r="M1565" s="10">
        <v>81.92</v>
      </c>
      <c r="N1565" s="10">
        <v>80.33</v>
      </c>
      <c r="O1565" s="10">
        <v>80.61</v>
      </c>
      <c r="P1565" s="10">
        <v>80.849999999999994</v>
      </c>
      <c r="Q1565" s="10">
        <v>80.989999999999995</v>
      </c>
      <c r="R1565" s="10">
        <v>80.94</v>
      </c>
      <c r="S1565" s="10">
        <v>80.7</v>
      </c>
      <c r="T1565" s="10">
        <v>80.3</v>
      </c>
      <c r="U1565" s="10">
        <v>79.81</v>
      </c>
      <c r="V1565" s="10">
        <v>79.28</v>
      </c>
      <c r="W1565" s="10">
        <v>78.739999999999995</v>
      </c>
      <c r="X1565" s="10">
        <v>78.2</v>
      </c>
      <c r="Y1565" s="10">
        <v>77.63</v>
      </c>
      <c r="Z1565" s="11">
        <v>80.575000000000003</v>
      </c>
      <c r="AA1565" s="11">
        <v>83.144000000000005</v>
      </c>
      <c r="AB1565" s="11">
        <v>82.456000000000003</v>
      </c>
      <c r="AC1565" s="11">
        <v>81.947000000000003</v>
      </c>
      <c r="AD1565" s="11">
        <v>81.409000000000006</v>
      </c>
      <c r="AE1565" s="11">
        <v>80.897000000000006</v>
      </c>
      <c r="AF1565" s="11">
        <v>80.364999999999995</v>
      </c>
      <c r="AG1565" s="11">
        <v>79.858999999999995</v>
      </c>
      <c r="AH1565" s="11">
        <v>79.376000000000005</v>
      </c>
      <c r="AI1565" s="11">
        <v>78.876999999999995</v>
      </c>
      <c r="AJ1565" s="11">
        <v>78.346999999999994</v>
      </c>
      <c r="AK1565" s="11">
        <v>77.801000000000002</v>
      </c>
      <c r="AL1565" s="11"/>
    </row>
    <row r="1566" spans="1:38" x14ac:dyDescent="0.3">
      <c r="A1566" s="9">
        <f>DATE(2023, 1, 20)</f>
        <v>44946</v>
      </c>
      <c r="B1566" s="10">
        <v>87.63</v>
      </c>
      <c r="C1566" s="10">
        <v>87.68</v>
      </c>
      <c r="D1566" s="10">
        <v>87.51</v>
      </c>
      <c r="E1566" s="10">
        <v>87.12</v>
      </c>
      <c r="F1566" s="10">
        <v>86.65</v>
      </c>
      <c r="G1566" s="10">
        <v>86.13</v>
      </c>
      <c r="H1566" s="10">
        <v>85.59</v>
      </c>
      <c r="I1566" s="10">
        <v>85.05</v>
      </c>
      <c r="J1566" s="10">
        <v>84.53</v>
      </c>
      <c r="K1566" s="10">
        <v>84.01</v>
      </c>
      <c r="L1566" s="10">
        <v>83.48</v>
      </c>
      <c r="M1566" s="10">
        <v>82.96</v>
      </c>
      <c r="N1566" s="10">
        <v>81.31</v>
      </c>
      <c r="O1566" s="10">
        <v>81.64</v>
      </c>
      <c r="P1566" s="10">
        <v>81.89</v>
      </c>
      <c r="Q1566" s="10">
        <v>82</v>
      </c>
      <c r="R1566" s="10">
        <v>81.92</v>
      </c>
      <c r="S1566" s="10">
        <v>81.64</v>
      </c>
      <c r="T1566" s="10">
        <v>81.209999999999994</v>
      </c>
      <c r="U1566" s="10">
        <v>80.69</v>
      </c>
      <c r="V1566" s="10">
        <v>80.12</v>
      </c>
      <c r="W1566" s="10">
        <v>79.56</v>
      </c>
      <c r="X1566" s="10">
        <v>79</v>
      </c>
      <c r="Y1566" s="10">
        <v>78.41</v>
      </c>
      <c r="Z1566" s="11">
        <v>80.956000000000003</v>
      </c>
      <c r="AA1566" s="11">
        <v>84.451999999999998</v>
      </c>
      <c r="AB1566" s="11">
        <v>83.753</v>
      </c>
      <c r="AC1566" s="11">
        <v>83.265000000000001</v>
      </c>
      <c r="AD1566" s="11">
        <v>82.677000000000007</v>
      </c>
      <c r="AE1566" s="11">
        <v>82.094999999999999</v>
      </c>
      <c r="AF1566" s="11">
        <v>81.554000000000002</v>
      </c>
      <c r="AG1566" s="11">
        <v>80.997</v>
      </c>
      <c r="AH1566" s="11">
        <v>80.474999999999994</v>
      </c>
      <c r="AI1566" s="11">
        <v>79.936000000000007</v>
      </c>
      <c r="AJ1566" s="11">
        <v>79.385999999999996</v>
      </c>
      <c r="AK1566" s="11">
        <v>78.807000000000002</v>
      </c>
      <c r="AL1566" s="11"/>
    </row>
    <row r="1567" spans="1:38" x14ac:dyDescent="0.3">
      <c r="A1567" s="9">
        <f>DATE(2023, 1, 23)</f>
        <v>44949</v>
      </c>
      <c r="B1567" s="10">
        <v>88.19</v>
      </c>
      <c r="C1567" s="10">
        <v>88.16</v>
      </c>
      <c r="D1567" s="10">
        <v>87.97</v>
      </c>
      <c r="E1567" s="10">
        <v>87.59</v>
      </c>
      <c r="F1567" s="10">
        <v>87.14</v>
      </c>
      <c r="G1567" s="10">
        <v>86.64</v>
      </c>
      <c r="H1567" s="10">
        <v>86.13</v>
      </c>
      <c r="I1567" s="10">
        <v>85.6</v>
      </c>
      <c r="J1567" s="10">
        <v>85.08</v>
      </c>
      <c r="K1567" s="10">
        <v>84.55</v>
      </c>
      <c r="L1567" s="10">
        <v>84.03</v>
      </c>
      <c r="M1567" s="10">
        <v>83.52</v>
      </c>
      <c r="N1567" s="10">
        <v>81.62</v>
      </c>
      <c r="O1567" s="10">
        <v>81.93</v>
      </c>
      <c r="P1567" s="10">
        <v>82.13</v>
      </c>
      <c r="Q1567" s="10">
        <v>82.14</v>
      </c>
      <c r="R1567" s="10">
        <v>81.94</v>
      </c>
      <c r="S1567" s="10">
        <v>81.58</v>
      </c>
      <c r="T1567" s="10">
        <v>81.11</v>
      </c>
      <c r="U1567" s="10">
        <v>80.58</v>
      </c>
      <c r="V1567" s="10">
        <v>80.05</v>
      </c>
      <c r="W1567" s="10">
        <v>79.510000000000005</v>
      </c>
      <c r="X1567" s="10">
        <v>78.959999999999994</v>
      </c>
      <c r="Y1567" s="10">
        <v>78.42</v>
      </c>
      <c r="Z1567" s="11">
        <v>81.081999999999994</v>
      </c>
      <c r="AA1567" s="11">
        <v>84.930999999999997</v>
      </c>
      <c r="AB1567" s="11">
        <v>84.206000000000003</v>
      </c>
      <c r="AC1567" s="11">
        <v>83.695999999999998</v>
      </c>
      <c r="AD1567" s="11">
        <v>83.146000000000001</v>
      </c>
      <c r="AE1567" s="11">
        <v>82.572999999999993</v>
      </c>
      <c r="AF1567" s="11">
        <v>82.072999999999993</v>
      </c>
      <c r="AG1567" s="11">
        <v>81.546999999999997</v>
      </c>
      <c r="AH1567" s="11">
        <v>81.055000000000007</v>
      </c>
      <c r="AI1567" s="11">
        <v>80.525999999999996</v>
      </c>
      <c r="AJ1567" s="11">
        <v>80.007000000000005</v>
      </c>
      <c r="AK1567" s="11">
        <v>79.438000000000002</v>
      </c>
      <c r="AL1567" s="11"/>
    </row>
    <row r="1568" spans="1:38" x14ac:dyDescent="0.3">
      <c r="A1568" s="9">
        <f>DATE(2023, 1, 24)</f>
        <v>44950</v>
      </c>
      <c r="B1568" s="10">
        <v>86.13</v>
      </c>
      <c r="C1568" s="10">
        <v>86.25</v>
      </c>
      <c r="D1568" s="10">
        <v>86.14</v>
      </c>
      <c r="E1568" s="10">
        <v>85.83</v>
      </c>
      <c r="F1568" s="10">
        <v>85.45</v>
      </c>
      <c r="G1568" s="10">
        <v>85.01</v>
      </c>
      <c r="H1568" s="10">
        <v>84.54</v>
      </c>
      <c r="I1568" s="10">
        <v>84.05</v>
      </c>
      <c r="J1568" s="10">
        <v>83.55</v>
      </c>
      <c r="K1568" s="10">
        <v>83.04</v>
      </c>
      <c r="L1568" s="10">
        <v>82.53</v>
      </c>
      <c r="M1568" s="10">
        <v>82.02</v>
      </c>
      <c r="N1568" s="10">
        <v>80.13</v>
      </c>
      <c r="O1568" s="10">
        <v>80.44</v>
      </c>
      <c r="P1568" s="10">
        <v>80.650000000000006</v>
      </c>
      <c r="Q1568" s="10">
        <v>80.650000000000006</v>
      </c>
      <c r="R1568" s="10">
        <v>80.47</v>
      </c>
      <c r="S1568" s="10">
        <v>80.13</v>
      </c>
      <c r="T1568" s="10">
        <v>79.69</v>
      </c>
      <c r="U1568" s="10">
        <v>79.180000000000007</v>
      </c>
      <c r="V1568" s="10">
        <v>78.66</v>
      </c>
      <c r="W1568" s="10">
        <v>78.13</v>
      </c>
      <c r="X1568" s="10">
        <v>77.59</v>
      </c>
      <c r="Y1568" s="10">
        <v>77.06</v>
      </c>
      <c r="Z1568" s="11">
        <v>81.081999999999994</v>
      </c>
      <c r="AA1568" s="11">
        <v>83.204999999999998</v>
      </c>
      <c r="AB1568" s="11">
        <v>82.527000000000001</v>
      </c>
      <c r="AC1568" s="11">
        <v>82.04</v>
      </c>
      <c r="AD1568" s="11">
        <v>81.531000000000006</v>
      </c>
      <c r="AE1568" s="11">
        <v>80.978999999999999</v>
      </c>
      <c r="AF1568" s="11">
        <v>80.507000000000005</v>
      </c>
      <c r="AG1568" s="11">
        <v>80.018000000000001</v>
      </c>
      <c r="AH1568" s="11">
        <v>79.516000000000005</v>
      </c>
      <c r="AI1568" s="11">
        <v>79.007000000000005</v>
      </c>
      <c r="AJ1568" s="11">
        <v>78.497</v>
      </c>
      <c r="AK1568" s="11">
        <v>77.932000000000002</v>
      </c>
      <c r="AL1568" s="11"/>
    </row>
    <row r="1569" spans="1:38" x14ac:dyDescent="0.3">
      <c r="A1569" s="9">
        <f>DATE(2023, 1, 25)</f>
        <v>44951</v>
      </c>
      <c r="B1569" s="10">
        <v>86.12</v>
      </c>
      <c r="C1569" s="10">
        <v>86.19</v>
      </c>
      <c r="D1569" s="10">
        <v>86.04</v>
      </c>
      <c r="E1569" s="10">
        <v>85.7</v>
      </c>
      <c r="F1569" s="10">
        <v>85.3</v>
      </c>
      <c r="G1569" s="10">
        <v>84.84</v>
      </c>
      <c r="H1569" s="10">
        <v>84.35</v>
      </c>
      <c r="I1569" s="10">
        <v>83.83</v>
      </c>
      <c r="J1569" s="10">
        <v>83.32</v>
      </c>
      <c r="K1569" s="10">
        <v>82.79</v>
      </c>
      <c r="L1569" s="10">
        <v>82.27</v>
      </c>
      <c r="M1569" s="10">
        <v>81.760000000000005</v>
      </c>
      <c r="N1569" s="10">
        <v>80.150000000000006</v>
      </c>
      <c r="O1569" s="10">
        <v>80.44</v>
      </c>
      <c r="P1569" s="10">
        <v>80.63</v>
      </c>
      <c r="Q1569" s="10">
        <v>80.61</v>
      </c>
      <c r="R1569" s="10">
        <v>80.400000000000006</v>
      </c>
      <c r="S1569" s="10">
        <v>80.03</v>
      </c>
      <c r="T1569" s="10">
        <v>79.55</v>
      </c>
      <c r="U1569" s="10">
        <v>79</v>
      </c>
      <c r="V1569" s="10">
        <v>78.459999999999994</v>
      </c>
      <c r="W1569" s="10">
        <v>77.91</v>
      </c>
      <c r="X1569" s="10">
        <v>77.349999999999994</v>
      </c>
      <c r="Y1569" s="10">
        <v>76.8</v>
      </c>
      <c r="Z1569" s="11">
        <v>80.585999999999999</v>
      </c>
      <c r="AA1569" s="11">
        <v>83.082999999999998</v>
      </c>
      <c r="AB1569" s="11">
        <v>82.444999999999993</v>
      </c>
      <c r="AC1569" s="11">
        <v>81.968999999999994</v>
      </c>
      <c r="AD1569" s="11">
        <v>81.459999999999994</v>
      </c>
      <c r="AE1569" s="11">
        <v>80.95</v>
      </c>
      <c r="AF1569" s="11">
        <v>80.45</v>
      </c>
      <c r="AG1569" s="11">
        <v>79.938000000000002</v>
      </c>
      <c r="AH1569" s="11">
        <v>79.444999999999993</v>
      </c>
      <c r="AI1569" s="11">
        <v>78.936000000000007</v>
      </c>
      <c r="AJ1569" s="11">
        <v>78.406999999999996</v>
      </c>
      <c r="AK1569" s="11">
        <v>77.820999999999998</v>
      </c>
      <c r="AL1569" s="11"/>
    </row>
    <row r="1570" spans="1:38" x14ac:dyDescent="0.3">
      <c r="A1570" s="9">
        <f>DATE(2023, 1, 26)</f>
        <v>44952</v>
      </c>
      <c r="B1570" s="10">
        <v>87.47</v>
      </c>
      <c r="C1570" s="10">
        <v>87.28</v>
      </c>
      <c r="D1570" s="10">
        <v>87.06</v>
      </c>
      <c r="E1570" s="10">
        <v>86.65</v>
      </c>
      <c r="F1570" s="10">
        <v>86.17</v>
      </c>
      <c r="G1570" s="10">
        <v>85.64</v>
      </c>
      <c r="H1570" s="10">
        <v>85.1</v>
      </c>
      <c r="I1570" s="10">
        <v>84.54</v>
      </c>
      <c r="J1570" s="10">
        <v>83.98</v>
      </c>
      <c r="K1570" s="10">
        <v>83.42</v>
      </c>
      <c r="L1570" s="10">
        <v>82.86</v>
      </c>
      <c r="M1570" s="10">
        <v>82.31</v>
      </c>
      <c r="N1570" s="10">
        <v>81.010000000000005</v>
      </c>
      <c r="O1570" s="10">
        <v>81.28</v>
      </c>
      <c r="P1570" s="10">
        <v>81.44</v>
      </c>
      <c r="Q1570" s="10">
        <v>81.38</v>
      </c>
      <c r="R1570" s="10">
        <v>81.099999999999994</v>
      </c>
      <c r="S1570" s="10">
        <v>80.67</v>
      </c>
      <c r="T1570" s="10">
        <v>80.12</v>
      </c>
      <c r="U1570" s="10">
        <v>79.52</v>
      </c>
      <c r="V1570" s="10">
        <v>78.95</v>
      </c>
      <c r="W1570" s="10">
        <v>78.38</v>
      </c>
      <c r="X1570" s="10">
        <v>77.78</v>
      </c>
      <c r="Y1570" s="10">
        <v>77.2</v>
      </c>
      <c r="Z1570" s="11">
        <v>80.709999999999994</v>
      </c>
      <c r="AA1570" s="11">
        <v>84.028999999999996</v>
      </c>
      <c r="AB1570" s="11">
        <v>83.361999999999995</v>
      </c>
      <c r="AC1570" s="11">
        <v>82.825000000000003</v>
      </c>
      <c r="AD1570" s="11">
        <v>82.266999999999996</v>
      </c>
      <c r="AE1570" s="11">
        <v>81.715000000000003</v>
      </c>
      <c r="AF1570" s="11">
        <v>81.173000000000002</v>
      </c>
      <c r="AG1570" s="11">
        <v>80.626000000000005</v>
      </c>
      <c r="AH1570" s="11">
        <v>80.082999999999998</v>
      </c>
      <c r="AI1570" s="11">
        <v>79.515000000000001</v>
      </c>
      <c r="AJ1570" s="11">
        <v>78.944999999999993</v>
      </c>
      <c r="AK1570" s="11">
        <v>78.328000000000003</v>
      </c>
      <c r="AL1570" s="11"/>
    </row>
    <row r="1571" spans="1:38" x14ac:dyDescent="0.3">
      <c r="A1571" s="9">
        <f>DATE(2023, 1, 27)</f>
        <v>44953</v>
      </c>
      <c r="B1571" s="10">
        <v>86.66</v>
      </c>
      <c r="C1571" s="10">
        <v>86.4</v>
      </c>
      <c r="D1571" s="10">
        <v>86.04</v>
      </c>
      <c r="E1571" s="10">
        <v>85.56</v>
      </c>
      <c r="F1571" s="10">
        <v>85.04</v>
      </c>
      <c r="G1571" s="10">
        <v>84.47</v>
      </c>
      <c r="H1571" s="10">
        <v>83.9</v>
      </c>
      <c r="I1571" s="10">
        <v>83.31</v>
      </c>
      <c r="J1571" s="10">
        <v>82.74</v>
      </c>
      <c r="K1571" s="10">
        <v>82.16</v>
      </c>
      <c r="L1571" s="10">
        <v>81.58</v>
      </c>
      <c r="M1571" s="10">
        <v>81.02</v>
      </c>
      <c r="N1571" s="10">
        <v>79.680000000000007</v>
      </c>
      <c r="O1571" s="10">
        <v>79.959999999999994</v>
      </c>
      <c r="P1571" s="10">
        <v>80.14</v>
      </c>
      <c r="Q1571" s="10">
        <v>80.08</v>
      </c>
      <c r="R1571" s="10">
        <v>79.8</v>
      </c>
      <c r="S1571" s="10">
        <v>79.349999999999994</v>
      </c>
      <c r="T1571" s="10">
        <v>78.790000000000006</v>
      </c>
      <c r="U1571" s="10">
        <v>78.2</v>
      </c>
      <c r="V1571" s="10">
        <v>77.63</v>
      </c>
      <c r="W1571" s="10">
        <v>77.069999999999993</v>
      </c>
      <c r="X1571" s="10">
        <v>76.489999999999995</v>
      </c>
      <c r="Y1571" s="10">
        <v>75.930000000000007</v>
      </c>
      <c r="Z1571" s="11">
        <v>80.576999999999998</v>
      </c>
      <c r="AA1571" s="11">
        <v>83.001999999999995</v>
      </c>
      <c r="AB1571" s="11">
        <v>82.222999999999999</v>
      </c>
      <c r="AC1571" s="11">
        <v>81.623000000000005</v>
      </c>
      <c r="AD1571" s="11">
        <v>81.045000000000002</v>
      </c>
      <c r="AE1571" s="11">
        <v>80.444000000000003</v>
      </c>
      <c r="AF1571" s="11">
        <v>79.888000000000005</v>
      </c>
      <c r="AG1571" s="11">
        <v>79.350999999999999</v>
      </c>
      <c r="AH1571" s="11">
        <v>78.798000000000002</v>
      </c>
      <c r="AI1571" s="11">
        <v>78.254000000000005</v>
      </c>
      <c r="AJ1571" s="11">
        <v>77.665000000000006</v>
      </c>
      <c r="AK1571" s="11">
        <v>77.049000000000007</v>
      </c>
      <c r="AL1571" s="11"/>
    </row>
    <row r="1572" spans="1:38" x14ac:dyDescent="0.3">
      <c r="A1572" s="9">
        <f>DATE(2023, 1, 30)</f>
        <v>44956</v>
      </c>
      <c r="B1572" s="10">
        <v>84.9</v>
      </c>
      <c r="C1572" s="10">
        <v>84.5</v>
      </c>
      <c r="D1572" s="10">
        <v>84.14</v>
      </c>
      <c r="E1572" s="10">
        <v>83.68</v>
      </c>
      <c r="F1572" s="10">
        <v>83.2</v>
      </c>
      <c r="G1572" s="10">
        <v>82.7</v>
      </c>
      <c r="H1572" s="10">
        <v>82.18</v>
      </c>
      <c r="I1572" s="10">
        <v>81.650000000000006</v>
      </c>
      <c r="J1572" s="10">
        <v>81.12</v>
      </c>
      <c r="K1572" s="10">
        <v>80.599999999999994</v>
      </c>
      <c r="L1572" s="10">
        <v>80.069999999999993</v>
      </c>
      <c r="M1572" s="10">
        <v>79.58</v>
      </c>
      <c r="N1572" s="10">
        <v>77.900000000000006</v>
      </c>
      <c r="O1572" s="10">
        <v>78.180000000000007</v>
      </c>
      <c r="P1572" s="10">
        <v>78.37</v>
      </c>
      <c r="Q1572" s="10">
        <v>78.34</v>
      </c>
      <c r="R1572" s="10">
        <v>78.09</v>
      </c>
      <c r="S1572" s="10">
        <v>77.680000000000007</v>
      </c>
      <c r="T1572" s="10">
        <v>77.17</v>
      </c>
      <c r="U1572" s="10">
        <v>76.62</v>
      </c>
      <c r="V1572" s="10">
        <v>76.09</v>
      </c>
      <c r="W1572" s="10">
        <v>75.569999999999993</v>
      </c>
      <c r="X1572" s="10">
        <v>75.05</v>
      </c>
      <c r="Y1572" s="10">
        <v>74.55</v>
      </c>
      <c r="Z1572" s="11">
        <v>80.427999999999997</v>
      </c>
      <c r="AA1572" s="11">
        <v>81.182000000000002</v>
      </c>
      <c r="AB1572" s="11">
        <v>80.430000000000007</v>
      </c>
      <c r="AC1572" s="11">
        <v>79.849000000000004</v>
      </c>
      <c r="AD1572" s="11">
        <v>79.298000000000002</v>
      </c>
      <c r="AE1572" s="11">
        <v>78.766000000000005</v>
      </c>
      <c r="AF1572" s="11">
        <v>78.254999999999995</v>
      </c>
      <c r="AG1572" s="11">
        <v>77.796999999999997</v>
      </c>
      <c r="AH1572" s="11">
        <v>77.295000000000002</v>
      </c>
      <c r="AI1572" s="11">
        <v>76.805999999999997</v>
      </c>
      <c r="AJ1572" s="11">
        <v>76.227999999999994</v>
      </c>
      <c r="AK1572" s="11">
        <v>75.516000000000005</v>
      </c>
      <c r="AL1572" s="11"/>
    </row>
    <row r="1573" spans="1:38" x14ac:dyDescent="0.3">
      <c r="A1573" s="9">
        <f>DATE(2023, 1, 31)</f>
        <v>44957</v>
      </c>
      <c r="B1573" s="10">
        <v>84.49</v>
      </c>
      <c r="C1573" s="10">
        <v>85.46</v>
      </c>
      <c r="D1573" s="10">
        <v>85.17</v>
      </c>
      <c r="E1573" s="10">
        <v>84.75</v>
      </c>
      <c r="F1573" s="10">
        <v>84.31</v>
      </c>
      <c r="G1573" s="10">
        <v>83.83</v>
      </c>
      <c r="H1573" s="10">
        <v>83.33</v>
      </c>
      <c r="I1573" s="10">
        <v>82.81</v>
      </c>
      <c r="J1573" s="10">
        <v>82.3</v>
      </c>
      <c r="K1573" s="10">
        <v>81.790000000000006</v>
      </c>
      <c r="L1573" s="10">
        <v>81.27</v>
      </c>
      <c r="M1573" s="10">
        <v>80.77</v>
      </c>
      <c r="N1573" s="10">
        <v>78.87</v>
      </c>
      <c r="O1573" s="10">
        <v>79.17</v>
      </c>
      <c r="P1573" s="10">
        <v>79.38</v>
      </c>
      <c r="Q1573" s="10">
        <v>79.36</v>
      </c>
      <c r="R1573" s="10">
        <v>79.13</v>
      </c>
      <c r="S1573" s="10">
        <v>78.75</v>
      </c>
      <c r="T1573" s="10">
        <v>78.260000000000005</v>
      </c>
      <c r="U1573" s="10">
        <v>77.73</v>
      </c>
      <c r="V1573" s="10">
        <v>77.2</v>
      </c>
      <c r="W1573" s="10">
        <v>76.69</v>
      </c>
      <c r="X1573" s="10">
        <v>76.16</v>
      </c>
      <c r="Y1573" s="10">
        <v>75.66</v>
      </c>
      <c r="Z1573" s="11">
        <v>80.381</v>
      </c>
      <c r="AA1573" s="11">
        <v>82.486000000000004</v>
      </c>
      <c r="AB1573" s="11">
        <v>81.712000000000003</v>
      </c>
      <c r="AC1573" s="11">
        <v>81.126999999999995</v>
      </c>
      <c r="AD1573" s="11">
        <v>80.539000000000001</v>
      </c>
      <c r="AE1573" s="11">
        <v>80.016999999999996</v>
      </c>
      <c r="AF1573" s="11">
        <v>79.515000000000001</v>
      </c>
      <c r="AG1573" s="11">
        <v>79.037999999999997</v>
      </c>
      <c r="AH1573" s="11">
        <v>78.536000000000001</v>
      </c>
      <c r="AI1573" s="11">
        <v>78.036000000000001</v>
      </c>
      <c r="AJ1573" s="11">
        <v>77.507000000000005</v>
      </c>
      <c r="AK1573" s="11">
        <v>76.965999999999994</v>
      </c>
      <c r="AL1573" s="11"/>
    </row>
    <row r="1574" spans="1:38" x14ac:dyDescent="0.3">
      <c r="A1574" s="9">
        <f>DATE(2023, 2, 1)</f>
        <v>44958</v>
      </c>
      <c r="B1574" s="10">
        <v>82.84</v>
      </c>
      <c r="C1574" s="10">
        <v>82.58</v>
      </c>
      <c r="D1574" s="10">
        <v>82.16</v>
      </c>
      <c r="E1574" s="10">
        <v>81.75</v>
      </c>
      <c r="F1574" s="10">
        <v>81.319999999999993</v>
      </c>
      <c r="G1574" s="10">
        <v>80.89</v>
      </c>
      <c r="H1574" s="10">
        <v>80.45</v>
      </c>
      <c r="I1574" s="10">
        <v>80.010000000000005</v>
      </c>
      <c r="J1574" s="10">
        <v>79.56</v>
      </c>
      <c r="K1574" s="10">
        <v>79.09</v>
      </c>
      <c r="L1574" s="10">
        <v>78.650000000000006</v>
      </c>
      <c r="M1574" s="10">
        <v>78.27</v>
      </c>
      <c r="N1574" s="10">
        <v>76.41</v>
      </c>
      <c r="O1574" s="10">
        <v>76.73</v>
      </c>
      <c r="P1574" s="10">
        <v>76.94</v>
      </c>
      <c r="Q1574" s="10">
        <v>76.92</v>
      </c>
      <c r="R1574" s="10">
        <v>76.72</v>
      </c>
      <c r="S1574" s="10">
        <v>76.37</v>
      </c>
      <c r="T1574" s="10">
        <v>75.930000000000007</v>
      </c>
      <c r="U1574" s="10">
        <v>75.47</v>
      </c>
      <c r="V1574" s="10">
        <v>75</v>
      </c>
      <c r="W1574" s="10">
        <v>74.55</v>
      </c>
      <c r="X1574" s="10">
        <v>74.09</v>
      </c>
      <c r="Y1574" s="10">
        <v>73.650000000000006</v>
      </c>
      <c r="Z1574" s="11">
        <v>80.381</v>
      </c>
      <c r="AA1574" s="11">
        <v>80.417000000000002</v>
      </c>
      <c r="AB1574" s="11">
        <v>79.451999999999998</v>
      </c>
      <c r="AC1574" s="11">
        <v>78.772000000000006</v>
      </c>
      <c r="AD1574" s="11">
        <v>78.144999999999996</v>
      </c>
      <c r="AE1574" s="11">
        <v>77.63</v>
      </c>
      <c r="AF1574" s="11">
        <v>77.159000000000006</v>
      </c>
      <c r="AG1574" s="11">
        <v>76.760999999999996</v>
      </c>
      <c r="AH1574" s="11">
        <v>76.319000000000003</v>
      </c>
      <c r="AI1574" s="11">
        <v>75.899000000000001</v>
      </c>
      <c r="AJ1574" s="11">
        <v>75.400000000000006</v>
      </c>
      <c r="AK1574" s="11">
        <v>74.831999999999994</v>
      </c>
      <c r="AL1574" s="11"/>
    </row>
    <row r="1575" spans="1:38" x14ac:dyDescent="0.3">
      <c r="A1575" s="9">
        <f>DATE(2023, 2, 2)</f>
        <v>44959</v>
      </c>
      <c r="B1575" s="10">
        <v>82.17</v>
      </c>
      <c r="C1575" s="10">
        <v>82.03</v>
      </c>
      <c r="D1575" s="10">
        <v>81.7</v>
      </c>
      <c r="E1575" s="10">
        <v>81.36</v>
      </c>
      <c r="F1575" s="10">
        <v>80.959999999999994</v>
      </c>
      <c r="G1575" s="10">
        <v>80.56</v>
      </c>
      <c r="H1575" s="10">
        <v>80.150000000000006</v>
      </c>
      <c r="I1575" s="10">
        <v>79.75</v>
      </c>
      <c r="J1575" s="10">
        <v>79.33</v>
      </c>
      <c r="K1575" s="10">
        <v>78.900000000000006</v>
      </c>
      <c r="L1575" s="10">
        <v>78.48</v>
      </c>
      <c r="M1575" s="10">
        <v>78.11</v>
      </c>
      <c r="N1575" s="10">
        <v>75.88</v>
      </c>
      <c r="O1575" s="10">
        <v>76.2</v>
      </c>
      <c r="P1575" s="10">
        <v>76.44</v>
      </c>
      <c r="Q1575" s="10">
        <v>76.45</v>
      </c>
      <c r="R1575" s="10">
        <v>76.290000000000006</v>
      </c>
      <c r="S1575" s="10">
        <v>75.98</v>
      </c>
      <c r="T1575" s="10">
        <v>75.569999999999993</v>
      </c>
      <c r="U1575" s="10">
        <v>75.150000000000006</v>
      </c>
      <c r="V1575" s="10">
        <v>74.73</v>
      </c>
      <c r="W1575" s="10">
        <v>74.31</v>
      </c>
      <c r="X1575" s="10">
        <v>73.89</v>
      </c>
      <c r="Y1575" s="10">
        <v>73.48</v>
      </c>
      <c r="Z1575" s="11">
        <v>80.025000000000006</v>
      </c>
      <c r="AA1575" s="11">
        <v>78.932000000000002</v>
      </c>
      <c r="AB1575" s="11">
        <v>78.301000000000002</v>
      </c>
      <c r="AC1575" s="11">
        <v>77.72</v>
      </c>
      <c r="AD1575" s="11">
        <v>77.248000000000005</v>
      </c>
      <c r="AE1575" s="11">
        <v>76.796000000000006</v>
      </c>
      <c r="AF1575" s="11">
        <v>76.394999999999996</v>
      </c>
      <c r="AG1575" s="11">
        <v>75.991</v>
      </c>
      <c r="AH1575" s="11">
        <v>75.55</v>
      </c>
      <c r="AI1575" s="11">
        <v>75.150999999999996</v>
      </c>
      <c r="AJ1575" s="11">
        <v>74.613</v>
      </c>
      <c r="AK1575" s="11">
        <v>74.305000000000007</v>
      </c>
      <c r="AL1575" s="11"/>
    </row>
    <row r="1576" spans="1:38" x14ac:dyDescent="0.3">
      <c r="A1576" s="9">
        <f>DATE(2023, 2, 3)</f>
        <v>44960</v>
      </c>
      <c r="B1576" s="10">
        <v>79.94</v>
      </c>
      <c r="C1576" s="10">
        <v>79.709999999999994</v>
      </c>
      <c r="D1576" s="10">
        <v>79.33</v>
      </c>
      <c r="E1576" s="10">
        <v>78.97</v>
      </c>
      <c r="F1576" s="10">
        <v>78.58</v>
      </c>
      <c r="G1576" s="10">
        <v>78.19</v>
      </c>
      <c r="H1576" s="10">
        <v>77.8</v>
      </c>
      <c r="I1576" s="10">
        <v>77.41</v>
      </c>
      <c r="J1576" s="10">
        <v>77.03</v>
      </c>
      <c r="K1576" s="10">
        <v>76.63</v>
      </c>
      <c r="L1576" s="10">
        <v>76.239999999999995</v>
      </c>
      <c r="M1576" s="10">
        <v>75.900000000000006</v>
      </c>
      <c r="N1576" s="10">
        <v>73.39</v>
      </c>
      <c r="O1576" s="10">
        <v>73.739999999999995</v>
      </c>
      <c r="P1576" s="10">
        <v>74</v>
      </c>
      <c r="Q1576" s="10">
        <v>74.05</v>
      </c>
      <c r="R1576" s="10">
        <v>73.900000000000006</v>
      </c>
      <c r="S1576" s="10">
        <v>73.62</v>
      </c>
      <c r="T1576" s="10">
        <v>73.260000000000005</v>
      </c>
      <c r="U1576" s="10">
        <v>72.87</v>
      </c>
      <c r="V1576" s="10">
        <v>72.48</v>
      </c>
      <c r="W1576" s="10">
        <v>72.09</v>
      </c>
      <c r="X1576" s="10">
        <v>71.7</v>
      </c>
      <c r="Y1576" s="10">
        <v>71.31</v>
      </c>
      <c r="Z1576" s="11">
        <v>78.052000000000007</v>
      </c>
      <c r="AA1576" s="11">
        <v>76.462999999999994</v>
      </c>
      <c r="AB1576" s="11">
        <v>75.819999999999993</v>
      </c>
      <c r="AC1576" s="11">
        <v>75.212999999999994</v>
      </c>
      <c r="AD1576" s="11">
        <v>74.731999999999999</v>
      </c>
      <c r="AE1576" s="11">
        <v>74.281000000000006</v>
      </c>
      <c r="AF1576" s="11">
        <v>73.893000000000001</v>
      </c>
      <c r="AG1576" s="11">
        <v>73.512</v>
      </c>
      <c r="AH1576" s="11">
        <v>73.141999999999996</v>
      </c>
      <c r="AI1576" s="11">
        <v>72.691999999999993</v>
      </c>
      <c r="AJ1576" s="11">
        <v>72.206000000000003</v>
      </c>
      <c r="AK1576" s="11">
        <v>71.956000000000003</v>
      </c>
      <c r="AL1576" s="11"/>
    </row>
    <row r="1577" spans="1:38" x14ac:dyDescent="0.3">
      <c r="A1577" s="9">
        <f>DATE(2023, 2, 6)</f>
        <v>44963</v>
      </c>
      <c r="B1577" s="10">
        <v>80.989999999999995</v>
      </c>
      <c r="C1577" s="10">
        <v>80.709999999999994</v>
      </c>
      <c r="D1577" s="10">
        <v>80.290000000000006</v>
      </c>
      <c r="E1577" s="10">
        <v>79.91</v>
      </c>
      <c r="F1577" s="10">
        <v>79.53</v>
      </c>
      <c r="G1577" s="10">
        <v>79.14</v>
      </c>
      <c r="H1577" s="10">
        <v>78.75</v>
      </c>
      <c r="I1577" s="10">
        <v>78.36</v>
      </c>
      <c r="J1577" s="10">
        <v>77.97</v>
      </c>
      <c r="K1577" s="10">
        <v>77.56</v>
      </c>
      <c r="L1577" s="10">
        <v>77.17</v>
      </c>
      <c r="M1577" s="10">
        <v>76.819999999999993</v>
      </c>
      <c r="N1577" s="10">
        <v>74.11</v>
      </c>
      <c r="O1577" s="10">
        <v>74.47</v>
      </c>
      <c r="P1577" s="10">
        <v>74.739999999999995</v>
      </c>
      <c r="Q1577" s="10">
        <v>74.83</v>
      </c>
      <c r="R1577" s="10">
        <v>74.72</v>
      </c>
      <c r="S1577" s="10">
        <v>74.459999999999994</v>
      </c>
      <c r="T1577" s="10">
        <v>74.11</v>
      </c>
      <c r="U1577" s="10">
        <v>73.72</v>
      </c>
      <c r="V1577" s="10">
        <v>73.33</v>
      </c>
      <c r="W1577" s="10">
        <v>72.94</v>
      </c>
      <c r="X1577" s="10">
        <v>72.55</v>
      </c>
      <c r="Y1577" s="10">
        <v>72.19</v>
      </c>
      <c r="Z1577" s="11">
        <v>79.052999999999997</v>
      </c>
      <c r="AA1577" s="11">
        <v>77.662000000000006</v>
      </c>
      <c r="AB1577" s="11">
        <v>76.89</v>
      </c>
      <c r="AC1577" s="11">
        <v>76.263000000000005</v>
      </c>
      <c r="AD1577" s="11">
        <v>75.762</v>
      </c>
      <c r="AE1577" s="11">
        <v>75.301000000000002</v>
      </c>
      <c r="AF1577" s="11">
        <v>74.903000000000006</v>
      </c>
      <c r="AG1577" s="11">
        <v>74.501000000000005</v>
      </c>
      <c r="AH1577" s="11">
        <v>74.111000000000004</v>
      </c>
      <c r="AI1577" s="11">
        <v>73.652000000000001</v>
      </c>
      <c r="AJ1577" s="11">
        <v>73.174999999999997</v>
      </c>
      <c r="AK1577" s="11">
        <v>72.844999999999999</v>
      </c>
      <c r="AL1577" s="11"/>
    </row>
    <row r="1578" spans="1:38" x14ac:dyDescent="0.3">
      <c r="A1578" s="9">
        <f>DATE(2023, 2, 7)</f>
        <v>44964</v>
      </c>
      <c r="B1578" s="10">
        <v>83.69</v>
      </c>
      <c r="C1578" s="10">
        <v>83.37</v>
      </c>
      <c r="D1578" s="10">
        <v>82.89</v>
      </c>
      <c r="E1578" s="10">
        <v>82.44</v>
      </c>
      <c r="F1578" s="10">
        <v>81.97</v>
      </c>
      <c r="G1578" s="10">
        <v>81.52</v>
      </c>
      <c r="H1578" s="10">
        <v>81.06</v>
      </c>
      <c r="I1578" s="10">
        <v>80.599999999999994</v>
      </c>
      <c r="J1578" s="10">
        <v>80.13</v>
      </c>
      <c r="K1578" s="10">
        <v>79.650000000000006</v>
      </c>
      <c r="L1578" s="10">
        <v>79.19</v>
      </c>
      <c r="M1578" s="10">
        <v>78.77</v>
      </c>
      <c r="N1578" s="10">
        <v>77.14</v>
      </c>
      <c r="O1578" s="10">
        <v>77.39</v>
      </c>
      <c r="P1578" s="10">
        <v>77.56</v>
      </c>
      <c r="Q1578" s="10">
        <v>77.56</v>
      </c>
      <c r="R1578" s="10">
        <v>77.34</v>
      </c>
      <c r="S1578" s="10">
        <v>76.98</v>
      </c>
      <c r="T1578" s="10">
        <v>76.540000000000006</v>
      </c>
      <c r="U1578" s="10">
        <v>76.069999999999993</v>
      </c>
      <c r="V1578" s="10">
        <v>75.59</v>
      </c>
      <c r="W1578" s="10">
        <v>75.12</v>
      </c>
      <c r="X1578" s="10">
        <v>74.650000000000006</v>
      </c>
      <c r="Y1578" s="10">
        <v>74.2</v>
      </c>
      <c r="Z1578" s="11">
        <v>81.269000000000005</v>
      </c>
      <c r="AA1578" s="11">
        <v>80.448999999999998</v>
      </c>
      <c r="AB1578" s="11">
        <v>79.605999999999995</v>
      </c>
      <c r="AC1578" s="11">
        <v>78.88</v>
      </c>
      <c r="AD1578" s="11">
        <v>78.286000000000001</v>
      </c>
      <c r="AE1578" s="11">
        <v>77.738</v>
      </c>
      <c r="AF1578" s="11">
        <v>77.239999999999995</v>
      </c>
      <c r="AG1578" s="11">
        <v>76.763000000000005</v>
      </c>
      <c r="AH1578" s="11">
        <v>76.268000000000001</v>
      </c>
      <c r="AI1578" s="11">
        <v>75.688999999999993</v>
      </c>
      <c r="AJ1578" s="11">
        <v>75.147999999999996</v>
      </c>
      <c r="AK1578" s="11">
        <v>74.751999999999995</v>
      </c>
      <c r="AL1578" s="11"/>
    </row>
    <row r="1579" spans="1:38" x14ac:dyDescent="0.3">
      <c r="A1579" s="9">
        <f>DATE(2023, 2, 8)</f>
        <v>44965</v>
      </c>
      <c r="B1579" s="10">
        <v>85.09</v>
      </c>
      <c r="C1579" s="10">
        <v>84.7</v>
      </c>
      <c r="D1579" s="10">
        <v>84.16</v>
      </c>
      <c r="E1579" s="10">
        <v>83.67</v>
      </c>
      <c r="F1579" s="10">
        <v>83.17</v>
      </c>
      <c r="G1579" s="10">
        <v>82.68</v>
      </c>
      <c r="H1579" s="10">
        <v>82.19</v>
      </c>
      <c r="I1579" s="10">
        <v>81.7</v>
      </c>
      <c r="J1579" s="10">
        <v>81.2</v>
      </c>
      <c r="K1579" s="10">
        <v>80.7</v>
      </c>
      <c r="L1579" s="10">
        <v>80.209999999999994</v>
      </c>
      <c r="M1579" s="10">
        <v>79.760000000000005</v>
      </c>
      <c r="N1579" s="10">
        <v>78.47</v>
      </c>
      <c r="O1579" s="10">
        <v>78.69</v>
      </c>
      <c r="P1579" s="10">
        <v>78.84</v>
      </c>
      <c r="Q1579" s="10">
        <v>78.81</v>
      </c>
      <c r="R1579" s="10">
        <v>78.56</v>
      </c>
      <c r="S1579" s="10">
        <v>78.180000000000007</v>
      </c>
      <c r="T1579" s="10">
        <v>77.709999999999994</v>
      </c>
      <c r="U1579" s="10">
        <v>77.209999999999994</v>
      </c>
      <c r="V1579" s="10">
        <v>76.7</v>
      </c>
      <c r="W1579" s="10">
        <v>76.209999999999994</v>
      </c>
      <c r="X1579" s="10">
        <v>75.709999999999994</v>
      </c>
      <c r="Y1579" s="10">
        <v>75.22</v>
      </c>
      <c r="Z1579" s="11">
        <v>82.168999999999997</v>
      </c>
      <c r="AA1579" s="11">
        <v>81.837000000000003</v>
      </c>
      <c r="AB1579" s="11">
        <v>80.963999999999999</v>
      </c>
      <c r="AC1579" s="11">
        <v>80.207999999999998</v>
      </c>
      <c r="AD1579" s="11">
        <v>79.567999999999998</v>
      </c>
      <c r="AE1579" s="11">
        <v>78.998999999999995</v>
      </c>
      <c r="AF1579" s="11">
        <v>78.468999999999994</v>
      </c>
      <c r="AG1579" s="11">
        <v>77.936000000000007</v>
      </c>
      <c r="AH1579" s="11">
        <v>77.406999999999996</v>
      </c>
      <c r="AI1579" s="11">
        <v>76.858000000000004</v>
      </c>
      <c r="AJ1579" s="11">
        <v>76.265000000000001</v>
      </c>
      <c r="AK1579" s="11">
        <v>75.840999999999994</v>
      </c>
      <c r="AL1579" s="11"/>
    </row>
    <row r="1580" spans="1:38" x14ac:dyDescent="0.3">
      <c r="A1580" s="9">
        <f>DATE(2023, 2, 9)</f>
        <v>44966</v>
      </c>
      <c r="B1580" s="10">
        <v>84.5</v>
      </c>
      <c r="C1580" s="10">
        <v>84.06</v>
      </c>
      <c r="D1580" s="10">
        <v>83.52</v>
      </c>
      <c r="E1580" s="10">
        <v>83.03</v>
      </c>
      <c r="F1580" s="10">
        <v>82.53</v>
      </c>
      <c r="G1580" s="10">
        <v>82.03</v>
      </c>
      <c r="H1580" s="10">
        <v>81.540000000000006</v>
      </c>
      <c r="I1580" s="10">
        <v>81.06</v>
      </c>
      <c r="J1580" s="10">
        <v>80.569999999999993</v>
      </c>
      <c r="K1580" s="10">
        <v>80.09</v>
      </c>
      <c r="L1580" s="10">
        <v>79.61</v>
      </c>
      <c r="M1580" s="10">
        <v>79.180000000000007</v>
      </c>
      <c r="N1580" s="10">
        <v>78.06</v>
      </c>
      <c r="O1580" s="10">
        <v>78.27</v>
      </c>
      <c r="P1580" s="10">
        <v>78.39</v>
      </c>
      <c r="Q1580" s="10">
        <v>78.349999999999994</v>
      </c>
      <c r="R1580" s="10">
        <v>78.09</v>
      </c>
      <c r="S1580" s="10">
        <v>77.69</v>
      </c>
      <c r="T1580" s="10">
        <v>77.2</v>
      </c>
      <c r="U1580" s="10">
        <v>76.69</v>
      </c>
      <c r="V1580" s="10">
        <v>76.180000000000007</v>
      </c>
      <c r="W1580" s="10">
        <v>75.7</v>
      </c>
      <c r="X1580" s="10">
        <v>75.22</v>
      </c>
      <c r="Y1580" s="10">
        <v>74.739999999999995</v>
      </c>
      <c r="Z1580" s="11">
        <v>81.930999999999997</v>
      </c>
      <c r="AA1580" s="11">
        <v>81.397000000000006</v>
      </c>
      <c r="AB1580" s="11">
        <v>80.474000000000004</v>
      </c>
      <c r="AC1580" s="11">
        <v>79.707999999999998</v>
      </c>
      <c r="AD1580" s="11">
        <v>79.058999999999997</v>
      </c>
      <c r="AE1580" s="11">
        <v>78.436999999999998</v>
      </c>
      <c r="AF1580" s="11">
        <v>77.909000000000006</v>
      </c>
      <c r="AG1580" s="11">
        <v>77.406999999999996</v>
      </c>
      <c r="AH1580" s="11">
        <v>76.878</v>
      </c>
      <c r="AI1580" s="11">
        <v>76.367999999999995</v>
      </c>
      <c r="AJ1580" s="11">
        <v>75.826999999999998</v>
      </c>
      <c r="AK1580" s="11">
        <v>75.402000000000001</v>
      </c>
      <c r="AL1580" s="11"/>
    </row>
    <row r="1581" spans="1:38" x14ac:dyDescent="0.3">
      <c r="A1581" s="9">
        <f>DATE(2023, 2, 10)</f>
        <v>44967</v>
      </c>
      <c r="B1581" s="10">
        <v>86.39</v>
      </c>
      <c r="C1581" s="10">
        <v>85.99</v>
      </c>
      <c r="D1581" s="10">
        <v>85.35</v>
      </c>
      <c r="E1581" s="10">
        <v>84.82</v>
      </c>
      <c r="F1581" s="10">
        <v>84.28</v>
      </c>
      <c r="G1581" s="10">
        <v>83.74</v>
      </c>
      <c r="H1581" s="10">
        <v>83.2</v>
      </c>
      <c r="I1581" s="10">
        <v>82.68</v>
      </c>
      <c r="J1581" s="10">
        <v>82.17</v>
      </c>
      <c r="K1581" s="10">
        <v>81.650000000000006</v>
      </c>
      <c r="L1581" s="10">
        <v>81.12</v>
      </c>
      <c r="M1581" s="10">
        <v>80.64</v>
      </c>
      <c r="N1581" s="10">
        <v>79.72</v>
      </c>
      <c r="O1581" s="10">
        <v>79.92</v>
      </c>
      <c r="P1581" s="10">
        <v>80.040000000000006</v>
      </c>
      <c r="Q1581" s="10">
        <v>79.95</v>
      </c>
      <c r="R1581" s="10">
        <v>79.66</v>
      </c>
      <c r="S1581" s="10">
        <v>79.22</v>
      </c>
      <c r="T1581" s="10">
        <v>78.69</v>
      </c>
      <c r="U1581" s="10">
        <v>78.150000000000006</v>
      </c>
      <c r="V1581" s="10">
        <v>77.61</v>
      </c>
      <c r="W1581" s="10">
        <v>77.08</v>
      </c>
      <c r="X1581" s="10">
        <v>76.540000000000006</v>
      </c>
      <c r="Y1581" s="10">
        <v>76.010000000000005</v>
      </c>
      <c r="Z1581" s="11">
        <v>83.308000000000007</v>
      </c>
      <c r="AA1581" s="11">
        <v>83.591999999999999</v>
      </c>
      <c r="AB1581" s="11">
        <v>82.581999999999994</v>
      </c>
      <c r="AC1581" s="11">
        <v>81.706999999999994</v>
      </c>
      <c r="AD1581" s="11">
        <v>80.935000000000002</v>
      </c>
      <c r="AE1581" s="11">
        <v>80.274000000000001</v>
      </c>
      <c r="AF1581" s="11">
        <v>79.686999999999998</v>
      </c>
      <c r="AG1581" s="11">
        <v>79.146000000000001</v>
      </c>
      <c r="AH1581" s="11">
        <v>78.596000000000004</v>
      </c>
      <c r="AI1581" s="11">
        <v>78.025999999999996</v>
      </c>
      <c r="AJ1581" s="11">
        <v>77.421999999999997</v>
      </c>
      <c r="AK1581" s="11">
        <v>76.97</v>
      </c>
      <c r="AL1581" s="11"/>
    </row>
    <row r="1582" spans="1:38" x14ac:dyDescent="0.3">
      <c r="A1582" s="9">
        <f>DATE(2023, 2, 13)</f>
        <v>44970</v>
      </c>
      <c r="B1582" s="10">
        <v>86.61</v>
      </c>
      <c r="C1582" s="10">
        <v>86.23</v>
      </c>
      <c r="D1582" s="10">
        <v>85.63</v>
      </c>
      <c r="E1582" s="10">
        <v>85.13</v>
      </c>
      <c r="F1582" s="10">
        <v>84.61</v>
      </c>
      <c r="G1582" s="10">
        <v>84.08</v>
      </c>
      <c r="H1582" s="10">
        <v>83.54</v>
      </c>
      <c r="I1582" s="10">
        <v>83.03</v>
      </c>
      <c r="J1582" s="10">
        <v>82.53</v>
      </c>
      <c r="K1582" s="10">
        <v>82.02</v>
      </c>
      <c r="L1582" s="10">
        <v>81.5</v>
      </c>
      <c r="M1582" s="10">
        <v>81.040000000000006</v>
      </c>
      <c r="N1582" s="10">
        <v>80.14</v>
      </c>
      <c r="O1582" s="10">
        <v>80.33</v>
      </c>
      <c r="P1582" s="10">
        <v>80.45</v>
      </c>
      <c r="Q1582" s="10">
        <v>80.36</v>
      </c>
      <c r="R1582" s="10">
        <v>80.069999999999993</v>
      </c>
      <c r="S1582" s="10">
        <v>79.63</v>
      </c>
      <c r="T1582" s="10">
        <v>79.12</v>
      </c>
      <c r="U1582" s="10">
        <v>78.59</v>
      </c>
      <c r="V1582" s="10">
        <v>78.06</v>
      </c>
      <c r="W1582" s="10">
        <v>77.55</v>
      </c>
      <c r="X1582" s="10">
        <v>77.040000000000006</v>
      </c>
      <c r="Y1582" s="10">
        <v>76.540000000000006</v>
      </c>
      <c r="Z1582" s="11">
        <v>83.561999999999998</v>
      </c>
      <c r="AA1582" s="11">
        <v>83.974000000000004</v>
      </c>
      <c r="AB1582" s="11">
        <v>82.924000000000007</v>
      </c>
      <c r="AC1582" s="11">
        <v>82.057000000000002</v>
      </c>
      <c r="AD1582" s="11">
        <v>81.296000000000006</v>
      </c>
      <c r="AE1582" s="11">
        <v>80.623999999999995</v>
      </c>
      <c r="AF1582" s="11">
        <v>80.037999999999997</v>
      </c>
      <c r="AG1582" s="11">
        <v>79.516000000000005</v>
      </c>
      <c r="AH1582" s="11">
        <v>78.977000000000004</v>
      </c>
      <c r="AI1582" s="11">
        <v>78.426000000000002</v>
      </c>
      <c r="AJ1582" s="11">
        <v>77.834000000000003</v>
      </c>
      <c r="AK1582" s="11">
        <v>77.39</v>
      </c>
      <c r="AL1582" s="11"/>
    </row>
    <row r="1583" spans="1:38" x14ac:dyDescent="0.3">
      <c r="A1583" s="9">
        <f>DATE(2023, 2, 14)</f>
        <v>44971</v>
      </c>
      <c r="B1583" s="10">
        <v>85.58</v>
      </c>
      <c r="C1583" s="10">
        <v>85.3</v>
      </c>
      <c r="D1583" s="10">
        <v>84.77</v>
      </c>
      <c r="E1583" s="10">
        <v>84.33</v>
      </c>
      <c r="F1583" s="10">
        <v>83.85</v>
      </c>
      <c r="G1583" s="10">
        <v>83.36</v>
      </c>
      <c r="H1583" s="10">
        <v>82.87</v>
      </c>
      <c r="I1583" s="10">
        <v>82.4</v>
      </c>
      <c r="J1583" s="10">
        <v>81.94</v>
      </c>
      <c r="K1583" s="10">
        <v>81.47</v>
      </c>
      <c r="L1583" s="10">
        <v>80.989999999999995</v>
      </c>
      <c r="M1583" s="10">
        <v>80.55</v>
      </c>
      <c r="N1583" s="10">
        <v>79.06</v>
      </c>
      <c r="O1583" s="10">
        <v>79.239999999999995</v>
      </c>
      <c r="P1583" s="10">
        <v>79.400000000000006</v>
      </c>
      <c r="Q1583" s="10">
        <v>79.37</v>
      </c>
      <c r="R1583" s="10">
        <v>79.150000000000006</v>
      </c>
      <c r="S1583" s="10">
        <v>78.77</v>
      </c>
      <c r="T1583" s="10">
        <v>78.319999999999993</v>
      </c>
      <c r="U1583" s="10">
        <v>77.849999999999994</v>
      </c>
      <c r="V1583" s="10">
        <v>77.38</v>
      </c>
      <c r="W1583" s="10">
        <v>76.92</v>
      </c>
      <c r="X1583" s="10">
        <v>76.459999999999994</v>
      </c>
      <c r="Y1583" s="10">
        <v>76</v>
      </c>
      <c r="Z1583" s="11">
        <v>83.185000000000002</v>
      </c>
      <c r="AA1583" s="11">
        <v>83.039000000000001</v>
      </c>
      <c r="AB1583" s="11">
        <v>82.028999999999996</v>
      </c>
      <c r="AC1583" s="11">
        <v>81.209000000000003</v>
      </c>
      <c r="AD1583" s="11">
        <v>80.507999999999996</v>
      </c>
      <c r="AE1583" s="11">
        <v>79.887</v>
      </c>
      <c r="AF1583" s="11">
        <v>79.37</v>
      </c>
      <c r="AG1583" s="11">
        <v>78.878</v>
      </c>
      <c r="AH1583" s="11">
        <v>78.388999999999996</v>
      </c>
      <c r="AI1583" s="11">
        <v>77.878</v>
      </c>
      <c r="AJ1583" s="11">
        <v>77.335999999999999</v>
      </c>
      <c r="AK1583" s="11">
        <v>76.921000000000006</v>
      </c>
      <c r="AL1583" s="11"/>
    </row>
    <row r="1584" spans="1:38" x14ac:dyDescent="0.3">
      <c r="A1584" s="9">
        <f>DATE(2023, 2, 15)</f>
        <v>44972</v>
      </c>
      <c r="B1584" s="10">
        <v>85.38</v>
      </c>
      <c r="C1584" s="10">
        <v>85.05</v>
      </c>
      <c r="D1584" s="10">
        <v>84.5</v>
      </c>
      <c r="E1584" s="10">
        <v>84.04</v>
      </c>
      <c r="F1584" s="10">
        <v>83.57</v>
      </c>
      <c r="G1584" s="10">
        <v>83.09</v>
      </c>
      <c r="H1584" s="10">
        <v>82.6</v>
      </c>
      <c r="I1584" s="10">
        <v>82.15</v>
      </c>
      <c r="J1584" s="10">
        <v>81.7</v>
      </c>
      <c r="K1584" s="10">
        <v>81.23</v>
      </c>
      <c r="L1584" s="10">
        <v>80.77</v>
      </c>
      <c r="M1584" s="10">
        <v>80.349999999999994</v>
      </c>
      <c r="N1584" s="10">
        <v>78.59</v>
      </c>
      <c r="O1584" s="10">
        <v>78.83</v>
      </c>
      <c r="P1584" s="10">
        <v>79.02</v>
      </c>
      <c r="Q1584" s="10">
        <v>79.010000000000005</v>
      </c>
      <c r="R1584" s="10">
        <v>78.8</v>
      </c>
      <c r="S1584" s="10">
        <v>78.44</v>
      </c>
      <c r="T1584" s="10">
        <v>78</v>
      </c>
      <c r="U1584" s="10">
        <v>77.52</v>
      </c>
      <c r="V1584" s="10">
        <v>77.06</v>
      </c>
      <c r="W1584" s="10">
        <v>76.61</v>
      </c>
      <c r="X1584" s="10">
        <v>76.150000000000006</v>
      </c>
      <c r="Y1584" s="10">
        <v>75.709999999999994</v>
      </c>
      <c r="Z1584" s="11">
        <v>82.947000000000003</v>
      </c>
      <c r="AA1584" s="11">
        <v>82.616</v>
      </c>
      <c r="AB1584" s="11">
        <v>81.635999999999996</v>
      </c>
      <c r="AC1584" s="11">
        <v>80.86</v>
      </c>
      <c r="AD1584" s="11">
        <v>80.168000000000006</v>
      </c>
      <c r="AE1584" s="11">
        <v>79.546999999999997</v>
      </c>
      <c r="AF1584" s="11">
        <v>79.040000000000006</v>
      </c>
      <c r="AG1584" s="11">
        <v>78.569000000000003</v>
      </c>
      <c r="AH1584" s="11">
        <v>78.108999999999995</v>
      </c>
      <c r="AI1584" s="11">
        <v>77.608999999999995</v>
      </c>
      <c r="AJ1584" s="11">
        <v>77.067999999999998</v>
      </c>
      <c r="AK1584" s="11">
        <v>76.683000000000007</v>
      </c>
      <c r="AL1584" s="11"/>
    </row>
    <row r="1585" spans="1:38" x14ac:dyDescent="0.3">
      <c r="A1585" s="9">
        <f>DATE(2023, 2, 16)</f>
        <v>44973</v>
      </c>
      <c r="B1585" s="10">
        <v>85.14</v>
      </c>
      <c r="C1585" s="10">
        <v>84.8</v>
      </c>
      <c r="D1585" s="10">
        <v>84.25</v>
      </c>
      <c r="E1585" s="10">
        <v>83.81</v>
      </c>
      <c r="F1585" s="10">
        <v>83.35</v>
      </c>
      <c r="G1585" s="10">
        <v>82.89</v>
      </c>
      <c r="H1585" s="10">
        <v>82.43</v>
      </c>
      <c r="I1585" s="10">
        <v>81.98</v>
      </c>
      <c r="J1585" s="10">
        <v>81.55</v>
      </c>
      <c r="K1585" s="10">
        <v>81.09</v>
      </c>
      <c r="L1585" s="10">
        <v>80.64</v>
      </c>
      <c r="M1585" s="10">
        <v>80.23</v>
      </c>
      <c r="N1585" s="10">
        <v>78.489999999999995</v>
      </c>
      <c r="O1585" s="10">
        <v>78.739999999999995</v>
      </c>
      <c r="P1585" s="10">
        <v>78.900000000000006</v>
      </c>
      <c r="Q1585" s="10">
        <v>78.87</v>
      </c>
      <c r="R1585" s="10">
        <v>78.64</v>
      </c>
      <c r="S1585" s="10">
        <v>78.27</v>
      </c>
      <c r="T1585" s="10">
        <v>77.84</v>
      </c>
      <c r="U1585" s="10">
        <v>77.37</v>
      </c>
      <c r="V1585" s="10">
        <v>76.91</v>
      </c>
      <c r="W1585" s="10">
        <v>76.459999999999994</v>
      </c>
      <c r="X1585" s="10">
        <v>76</v>
      </c>
      <c r="Y1585" s="10">
        <v>75.56</v>
      </c>
      <c r="Z1585" s="11">
        <v>82.837999999999994</v>
      </c>
      <c r="AA1585" s="11">
        <v>82.325000000000003</v>
      </c>
      <c r="AB1585" s="11">
        <v>81.355999999999995</v>
      </c>
      <c r="AC1585" s="11">
        <v>80.613</v>
      </c>
      <c r="AD1585" s="11">
        <v>79.951999999999998</v>
      </c>
      <c r="AE1585" s="11">
        <v>79.340999999999994</v>
      </c>
      <c r="AF1585" s="11">
        <v>78.819999999999993</v>
      </c>
      <c r="AG1585" s="11">
        <v>78.366</v>
      </c>
      <c r="AH1585" s="11">
        <v>77.935000000000002</v>
      </c>
      <c r="AI1585" s="11">
        <v>77.399000000000001</v>
      </c>
      <c r="AJ1585" s="11">
        <v>76.849000000000004</v>
      </c>
      <c r="AK1585" s="11">
        <v>76.453000000000003</v>
      </c>
      <c r="AL1585" s="11"/>
    </row>
    <row r="1586" spans="1:38" x14ac:dyDescent="0.3">
      <c r="A1586" s="9">
        <f>DATE(2023, 2, 17)</f>
        <v>44974</v>
      </c>
      <c r="B1586" s="10">
        <v>83</v>
      </c>
      <c r="C1586" s="10">
        <v>82.67</v>
      </c>
      <c r="D1586" s="10">
        <v>82.17</v>
      </c>
      <c r="E1586" s="10">
        <v>81.77</v>
      </c>
      <c r="F1586" s="10">
        <v>81.36</v>
      </c>
      <c r="G1586" s="10">
        <v>80.95</v>
      </c>
      <c r="H1586" s="10">
        <v>80.53</v>
      </c>
      <c r="I1586" s="10">
        <v>80.13</v>
      </c>
      <c r="J1586" s="10">
        <v>79.739999999999995</v>
      </c>
      <c r="K1586" s="10">
        <v>79.34</v>
      </c>
      <c r="L1586" s="10">
        <v>78.92</v>
      </c>
      <c r="M1586" s="10">
        <v>78.55</v>
      </c>
      <c r="N1586" s="10">
        <v>76.34</v>
      </c>
      <c r="O1586" s="10">
        <v>76.55</v>
      </c>
      <c r="P1586" s="10">
        <v>76.7</v>
      </c>
      <c r="Q1586" s="10">
        <v>76.709999999999994</v>
      </c>
      <c r="R1586" s="10">
        <v>76.53</v>
      </c>
      <c r="S1586" s="10">
        <v>76.22</v>
      </c>
      <c r="T1586" s="10">
        <v>75.819999999999993</v>
      </c>
      <c r="U1586" s="10">
        <v>75.38</v>
      </c>
      <c r="V1586" s="10">
        <v>74.98</v>
      </c>
      <c r="W1586" s="10">
        <v>74.56</v>
      </c>
      <c r="X1586" s="10">
        <v>74.14</v>
      </c>
      <c r="Y1586" s="10">
        <v>73.75</v>
      </c>
      <c r="Z1586" s="11">
        <v>82.08</v>
      </c>
      <c r="AA1586" s="11">
        <v>80.358000000000004</v>
      </c>
      <c r="AB1586" s="11">
        <v>79.429000000000002</v>
      </c>
      <c r="AC1586" s="11">
        <v>78.662000000000006</v>
      </c>
      <c r="AD1586" s="11">
        <v>78.010999999999996</v>
      </c>
      <c r="AE1586" s="11">
        <v>77.45</v>
      </c>
      <c r="AF1586" s="11">
        <v>76.962999999999994</v>
      </c>
      <c r="AG1586" s="11">
        <v>76.521000000000001</v>
      </c>
      <c r="AH1586" s="11">
        <v>76.081999999999994</v>
      </c>
      <c r="AI1586" s="11">
        <v>75.59</v>
      </c>
      <c r="AJ1586" s="11">
        <v>75.082999999999998</v>
      </c>
      <c r="AK1586" s="11">
        <v>74.744</v>
      </c>
      <c r="AL1586" s="11"/>
    </row>
    <row r="1587" spans="1:38" x14ac:dyDescent="0.3">
      <c r="A1587" s="9">
        <f>DATE(2023, 2, 20)</f>
        <v>44977</v>
      </c>
      <c r="B1587" s="10">
        <v>84.07</v>
      </c>
      <c r="C1587" s="10">
        <v>83.78</v>
      </c>
      <c r="D1587" s="10">
        <v>83.28</v>
      </c>
      <c r="E1587" s="10">
        <v>82.88</v>
      </c>
      <c r="F1587" s="10">
        <v>82.46</v>
      </c>
      <c r="G1587" s="10">
        <v>82.04</v>
      </c>
      <c r="H1587" s="10">
        <v>81.61</v>
      </c>
      <c r="I1587" s="10">
        <v>81.2</v>
      </c>
      <c r="J1587" s="10">
        <v>80.8</v>
      </c>
      <c r="K1587" s="10">
        <v>80.37</v>
      </c>
      <c r="L1587" s="10">
        <v>79.94</v>
      </c>
      <c r="M1587" s="10">
        <v>79.569999999999993</v>
      </c>
      <c r="N1587" s="10">
        <v>76.34</v>
      </c>
      <c r="O1587" s="10">
        <v>76.55</v>
      </c>
      <c r="P1587" s="10">
        <v>76.7</v>
      </c>
      <c r="Q1587" s="10">
        <v>76.709999999999994</v>
      </c>
      <c r="R1587" s="10">
        <v>76.53</v>
      </c>
      <c r="S1587" s="10">
        <v>76.22</v>
      </c>
      <c r="T1587" s="10">
        <v>75.819999999999993</v>
      </c>
      <c r="U1587" s="10">
        <v>75.38</v>
      </c>
      <c r="V1587" s="10">
        <v>74.98</v>
      </c>
      <c r="W1587" s="10">
        <v>74.56</v>
      </c>
      <c r="X1587" s="10">
        <v>74.14</v>
      </c>
      <c r="Y1587" s="10">
        <v>73.75</v>
      </c>
      <c r="Z1587" s="11">
        <v>82.525999999999996</v>
      </c>
      <c r="AA1587" s="11">
        <v>81.653000000000006</v>
      </c>
      <c r="AB1587" s="11">
        <v>80.694000000000003</v>
      </c>
      <c r="AC1587" s="11">
        <v>79.930000000000007</v>
      </c>
      <c r="AD1587" s="11">
        <v>79.241</v>
      </c>
      <c r="AE1587" s="11">
        <v>78.64</v>
      </c>
      <c r="AF1587" s="11">
        <v>78.137</v>
      </c>
      <c r="AG1587" s="11">
        <v>77.671000000000006</v>
      </c>
      <c r="AH1587" s="11">
        <v>77.25</v>
      </c>
      <c r="AI1587" s="11">
        <v>76.75</v>
      </c>
      <c r="AJ1587" s="11">
        <v>76.233000000000004</v>
      </c>
      <c r="AK1587" s="11">
        <v>75.903999999999996</v>
      </c>
      <c r="AL1587" s="11"/>
    </row>
    <row r="1588" spans="1:38" x14ac:dyDescent="0.3">
      <c r="A1588" s="9">
        <f>DATE(2023, 2, 21)</f>
        <v>44978</v>
      </c>
      <c r="B1588" s="10">
        <v>83.05</v>
      </c>
      <c r="C1588" s="10">
        <v>82.77</v>
      </c>
      <c r="D1588" s="10">
        <v>82.29</v>
      </c>
      <c r="E1588" s="10">
        <v>81.900000000000006</v>
      </c>
      <c r="F1588" s="10">
        <v>81.5</v>
      </c>
      <c r="G1588" s="10">
        <v>81.09</v>
      </c>
      <c r="H1588" s="10">
        <v>80.67</v>
      </c>
      <c r="I1588" s="10">
        <v>80.27</v>
      </c>
      <c r="J1588" s="10">
        <v>79.87</v>
      </c>
      <c r="K1588" s="10">
        <v>79.459999999999994</v>
      </c>
      <c r="L1588" s="10">
        <v>79.05</v>
      </c>
      <c r="M1588" s="10">
        <v>78.69</v>
      </c>
      <c r="N1588" s="10">
        <v>76.16</v>
      </c>
      <c r="O1588" s="10">
        <v>76.36</v>
      </c>
      <c r="P1588" s="10">
        <v>76.53</v>
      </c>
      <c r="Q1588" s="10">
        <v>76.56</v>
      </c>
      <c r="R1588" s="10">
        <v>76.400000000000006</v>
      </c>
      <c r="S1588" s="10">
        <v>76.099999999999994</v>
      </c>
      <c r="T1588" s="10">
        <v>75.73</v>
      </c>
      <c r="U1588" s="10">
        <v>75.319999999999993</v>
      </c>
      <c r="V1588" s="10">
        <v>74.92</v>
      </c>
      <c r="W1588" s="10">
        <v>74.52</v>
      </c>
      <c r="X1588" s="10">
        <v>74.099999999999994</v>
      </c>
      <c r="Y1588" s="10">
        <v>73.709999999999994</v>
      </c>
      <c r="Z1588" s="11">
        <v>82.209000000000003</v>
      </c>
      <c r="AA1588" s="11">
        <v>80.588999999999999</v>
      </c>
      <c r="AB1588" s="11">
        <v>79.688999999999993</v>
      </c>
      <c r="AC1588" s="11">
        <v>78.983000000000004</v>
      </c>
      <c r="AD1588" s="11">
        <v>78.331000000000003</v>
      </c>
      <c r="AE1588" s="11">
        <v>77.72</v>
      </c>
      <c r="AF1588" s="11">
        <v>77.212999999999994</v>
      </c>
      <c r="AG1588" s="11">
        <v>76.760999999999996</v>
      </c>
      <c r="AH1588" s="11">
        <v>76.350999999999999</v>
      </c>
      <c r="AI1588" s="11">
        <v>75.911000000000001</v>
      </c>
      <c r="AJ1588" s="11">
        <v>75.424000000000007</v>
      </c>
      <c r="AK1588" s="11">
        <v>75.075000000000003</v>
      </c>
      <c r="AL1588" s="11"/>
    </row>
    <row r="1589" spans="1:38" x14ac:dyDescent="0.3">
      <c r="A1589" s="9">
        <f>DATE(2023, 2, 22)</f>
        <v>44979</v>
      </c>
      <c r="B1589" s="10">
        <v>80.599999999999994</v>
      </c>
      <c r="C1589" s="10">
        <v>80.45</v>
      </c>
      <c r="D1589" s="10">
        <v>80.08</v>
      </c>
      <c r="E1589" s="10">
        <v>79.78</v>
      </c>
      <c r="F1589" s="10">
        <v>79.44</v>
      </c>
      <c r="G1589" s="10">
        <v>79.11</v>
      </c>
      <c r="H1589" s="10">
        <v>78.77</v>
      </c>
      <c r="I1589" s="10">
        <v>78.430000000000007</v>
      </c>
      <c r="J1589" s="10">
        <v>78.099999999999994</v>
      </c>
      <c r="K1589" s="10">
        <v>77.75</v>
      </c>
      <c r="L1589" s="10">
        <v>77.41</v>
      </c>
      <c r="M1589" s="10">
        <v>77.12</v>
      </c>
      <c r="N1589" s="10">
        <v>73.95</v>
      </c>
      <c r="O1589" s="10">
        <v>74.19</v>
      </c>
      <c r="P1589" s="10">
        <v>74.31</v>
      </c>
      <c r="Q1589" s="10">
        <v>74.239999999999995</v>
      </c>
      <c r="R1589" s="10">
        <v>74.02</v>
      </c>
      <c r="S1589" s="10">
        <v>73.72</v>
      </c>
      <c r="T1589" s="10">
        <v>73.38</v>
      </c>
      <c r="U1589" s="10">
        <v>73.05</v>
      </c>
      <c r="V1589" s="10">
        <v>72.739999999999995</v>
      </c>
      <c r="W1589" s="10">
        <v>72.400000000000006</v>
      </c>
      <c r="X1589" s="10">
        <v>72.08</v>
      </c>
      <c r="Y1589" s="10">
        <v>71.78</v>
      </c>
      <c r="Z1589" s="11">
        <v>81.722999999999999</v>
      </c>
      <c r="AA1589" s="11">
        <v>78.429000000000002</v>
      </c>
      <c r="AB1589" s="11">
        <v>77.625</v>
      </c>
      <c r="AC1589" s="11">
        <v>76.944999999999993</v>
      </c>
      <c r="AD1589" s="11">
        <v>76.325000000000003</v>
      </c>
      <c r="AE1589" s="11">
        <v>75.784000000000006</v>
      </c>
      <c r="AF1589" s="11">
        <v>75.334000000000003</v>
      </c>
      <c r="AG1589" s="11">
        <v>74.924000000000007</v>
      </c>
      <c r="AH1589" s="11">
        <v>74.554000000000002</v>
      </c>
      <c r="AI1589" s="11">
        <v>74.144999999999996</v>
      </c>
      <c r="AJ1589" s="11">
        <v>73.721000000000004</v>
      </c>
      <c r="AK1589" s="11">
        <v>73.457999999999998</v>
      </c>
      <c r="AL1589" s="11"/>
    </row>
    <row r="1590" spans="1:38" x14ac:dyDescent="0.3">
      <c r="A1590" s="9">
        <f>DATE(2023, 2, 23)</f>
        <v>44980</v>
      </c>
      <c r="B1590" s="10">
        <v>82.21</v>
      </c>
      <c r="C1590" s="10">
        <v>81.95</v>
      </c>
      <c r="D1590" s="10">
        <v>81.48</v>
      </c>
      <c r="E1590" s="10">
        <v>81.11</v>
      </c>
      <c r="F1590" s="10">
        <v>80.72</v>
      </c>
      <c r="G1590" s="10">
        <v>80.33</v>
      </c>
      <c r="H1590" s="10">
        <v>79.95</v>
      </c>
      <c r="I1590" s="10">
        <v>79.569999999999993</v>
      </c>
      <c r="J1590" s="10">
        <v>79.2</v>
      </c>
      <c r="K1590" s="10">
        <v>78.83</v>
      </c>
      <c r="L1590" s="10">
        <v>78.45</v>
      </c>
      <c r="M1590" s="10">
        <v>78.13</v>
      </c>
      <c r="N1590" s="10">
        <v>75.39</v>
      </c>
      <c r="O1590" s="10">
        <v>75.599999999999994</v>
      </c>
      <c r="P1590" s="10">
        <v>75.680000000000007</v>
      </c>
      <c r="Q1590" s="10">
        <v>75.569999999999993</v>
      </c>
      <c r="R1590" s="10">
        <v>75.33</v>
      </c>
      <c r="S1590" s="10">
        <v>75.02</v>
      </c>
      <c r="T1590" s="10">
        <v>74.66</v>
      </c>
      <c r="U1590" s="10">
        <v>74.28</v>
      </c>
      <c r="V1590" s="10">
        <v>73.92</v>
      </c>
      <c r="W1590" s="10">
        <v>73.55</v>
      </c>
      <c r="X1590" s="10">
        <v>73.19</v>
      </c>
      <c r="Y1590" s="10">
        <v>72.86</v>
      </c>
      <c r="Z1590" s="11">
        <v>81.988</v>
      </c>
      <c r="AA1590" s="11">
        <v>80.09</v>
      </c>
      <c r="AB1590" s="11">
        <v>79.194000000000003</v>
      </c>
      <c r="AC1590" s="11">
        <v>78.393000000000001</v>
      </c>
      <c r="AD1590" s="11">
        <v>77.671999999999997</v>
      </c>
      <c r="AE1590" s="11">
        <v>77.061000000000007</v>
      </c>
      <c r="AF1590" s="11">
        <v>76.56</v>
      </c>
      <c r="AG1590" s="11">
        <v>76.096999999999994</v>
      </c>
      <c r="AH1590" s="11">
        <v>75.692999999999998</v>
      </c>
      <c r="AI1590" s="11">
        <v>75.253</v>
      </c>
      <c r="AJ1590" s="11">
        <v>74.757999999999996</v>
      </c>
      <c r="AK1590" s="11">
        <v>74.465999999999994</v>
      </c>
      <c r="AL1590" s="11"/>
    </row>
    <row r="1591" spans="1:38" x14ac:dyDescent="0.3">
      <c r="A1591" s="9">
        <f>DATE(2023, 2, 24)</f>
        <v>44981</v>
      </c>
      <c r="B1591" s="10">
        <v>83.16</v>
      </c>
      <c r="C1591" s="10">
        <v>82.82</v>
      </c>
      <c r="D1591" s="10">
        <v>82.29</v>
      </c>
      <c r="E1591" s="10">
        <v>81.87</v>
      </c>
      <c r="F1591" s="10">
        <v>81.44</v>
      </c>
      <c r="G1591" s="10">
        <v>81.03</v>
      </c>
      <c r="H1591" s="10">
        <v>80.62</v>
      </c>
      <c r="I1591" s="10">
        <v>80.209999999999994</v>
      </c>
      <c r="J1591" s="10">
        <v>79.819999999999993</v>
      </c>
      <c r="K1591" s="10">
        <v>79.41</v>
      </c>
      <c r="L1591" s="10">
        <v>78.989999999999995</v>
      </c>
      <c r="M1591" s="10">
        <v>78.63</v>
      </c>
      <c r="N1591" s="10">
        <v>76.319999999999993</v>
      </c>
      <c r="O1591" s="10">
        <v>76.47</v>
      </c>
      <c r="P1591" s="10">
        <v>76.48</v>
      </c>
      <c r="Q1591" s="10">
        <v>76.33</v>
      </c>
      <c r="R1591" s="10">
        <v>76.05</v>
      </c>
      <c r="S1591" s="10">
        <v>75.680000000000007</v>
      </c>
      <c r="T1591" s="10">
        <v>75.27</v>
      </c>
      <c r="U1591" s="10">
        <v>74.87</v>
      </c>
      <c r="V1591" s="10">
        <v>74.47</v>
      </c>
      <c r="W1591" s="10">
        <v>74.069999999999993</v>
      </c>
      <c r="X1591" s="10">
        <v>73.680000000000007</v>
      </c>
      <c r="Y1591" s="10">
        <v>73.3</v>
      </c>
      <c r="Z1591" s="11">
        <v>82.126999999999995</v>
      </c>
      <c r="AA1591" s="11">
        <v>81.147000000000006</v>
      </c>
      <c r="AB1591" s="11">
        <v>80.207999999999998</v>
      </c>
      <c r="AC1591" s="11">
        <v>79.391000000000005</v>
      </c>
      <c r="AD1591" s="11">
        <v>78.613</v>
      </c>
      <c r="AE1591" s="11">
        <v>77.97</v>
      </c>
      <c r="AF1591" s="11">
        <v>77.451999999999998</v>
      </c>
      <c r="AG1591" s="11">
        <v>76.960999999999999</v>
      </c>
      <c r="AH1591" s="11">
        <v>76.501000000000005</v>
      </c>
      <c r="AI1591" s="11">
        <v>76.031000000000006</v>
      </c>
      <c r="AJ1591" s="11">
        <v>75.504000000000005</v>
      </c>
      <c r="AK1591" s="11">
        <v>75.135000000000005</v>
      </c>
      <c r="AL1591" s="11"/>
    </row>
    <row r="1592" spans="1:38" x14ac:dyDescent="0.3">
      <c r="A1592" s="9">
        <f>DATE(2023, 2, 27)</f>
        <v>44984</v>
      </c>
      <c r="B1592" s="10">
        <v>82.45</v>
      </c>
      <c r="C1592" s="10">
        <v>82.04</v>
      </c>
      <c r="D1592" s="10">
        <v>81.510000000000005</v>
      </c>
      <c r="E1592" s="10">
        <v>81.08</v>
      </c>
      <c r="F1592" s="10">
        <v>80.650000000000006</v>
      </c>
      <c r="G1592" s="10">
        <v>80.23</v>
      </c>
      <c r="H1592" s="10">
        <v>79.81</v>
      </c>
      <c r="I1592" s="10">
        <v>79.39</v>
      </c>
      <c r="J1592" s="10">
        <v>78.98</v>
      </c>
      <c r="K1592" s="10">
        <v>78.569999999999993</v>
      </c>
      <c r="L1592" s="10">
        <v>78.150000000000006</v>
      </c>
      <c r="M1592" s="10">
        <v>77.790000000000006</v>
      </c>
      <c r="N1592" s="10">
        <v>75.680000000000007</v>
      </c>
      <c r="O1592" s="10">
        <v>75.81</v>
      </c>
      <c r="P1592" s="10">
        <v>75.790000000000006</v>
      </c>
      <c r="Q1592" s="10">
        <v>75.61</v>
      </c>
      <c r="R1592" s="10">
        <v>75.31</v>
      </c>
      <c r="S1592" s="10">
        <v>74.92</v>
      </c>
      <c r="T1592" s="10">
        <v>74.5</v>
      </c>
      <c r="U1592" s="10">
        <v>74.06</v>
      </c>
      <c r="V1592" s="10">
        <v>73.64</v>
      </c>
      <c r="W1592" s="10">
        <v>73.22</v>
      </c>
      <c r="X1592" s="10">
        <v>72.819999999999993</v>
      </c>
      <c r="Y1592" s="10">
        <v>72.45</v>
      </c>
      <c r="Z1592" s="11">
        <v>82.063000000000002</v>
      </c>
      <c r="AA1592" s="11">
        <v>80.156999999999996</v>
      </c>
      <c r="AB1592" s="11">
        <v>79.247</v>
      </c>
      <c r="AC1592" s="11">
        <v>78.516999999999996</v>
      </c>
      <c r="AD1592" s="11">
        <v>77.760999999999996</v>
      </c>
      <c r="AE1592" s="11">
        <v>77.12</v>
      </c>
      <c r="AF1592" s="11">
        <v>76.591999999999999</v>
      </c>
      <c r="AG1592" s="11">
        <v>76.08</v>
      </c>
      <c r="AH1592" s="11">
        <v>75.590999999999994</v>
      </c>
      <c r="AI1592" s="11">
        <v>75.102000000000004</v>
      </c>
      <c r="AJ1592" s="11">
        <v>74.584000000000003</v>
      </c>
      <c r="AK1592" s="11">
        <v>74.265000000000001</v>
      </c>
      <c r="AL1592" s="11"/>
    </row>
    <row r="1593" spans="1:38" x14ac:dyDescent="0.3">
      <c r="A1593" s="9">
        <f>DATE(2023, 2, 28)</f>
        <v>44985</v>
      </c>
      <c r="B1593" s="10">
        <v>83.89</v>
      </c>
      <c r="C1593" s="10">
        <v>83.45</v>
      </c>
      <c r="D1593" s="10">
        <v>82.83</v>
      </c>
      <c r="E1593" s="10">
        <v>82.33</v>
      </c>
      <c r="F1593" s="10">
        <v>81.84</v>
      </c>
      <c r="G1593" s="10">
        <v>81.37</v>
      </c>
      <c r="H1593" s="10">
        <v>80.89</v>
      </c>
      <c r="I1593" s="10">
        <v>80.41</v>
      </c>
      <c r="J1593" s="10">
        <v>79.95</v>
      </c>
      <c r="K1593" s="10">
        <v>79.489999999999995</v>
      </c>
      <c r="L1593" s="10">
        <v>79.02</v>
      </c>
      <c r="M1593" s="10">
        <v>78.59</v>
      </c>
      <c r="N1593" s="10">
        <v>77.05</v>
      </c>
      <c r="O1593" s="10">
        <v>77.19</v>
      </c>
      <c r="P1593" s="10">
        <v>77.14</v>
      </c>
      <c r="Q1593" s="10">
        <v>76.900000000000006</v>
      </c>
      <c r="R1593" s="10">
        <v>76.52</v>
      </c>
      <c r="S1593" s="10">
        <v>76.05</v>
      </c>
      <c r="T1593" s="10">
        <v>75.56</v>
      </c>
      <c r="U1593" s="10">
        <v>75.069999999999993</v>
      </c>
      <c r="V1593" s="10">
        <v>74.59</v>
      </c>
      <c r="W1593" s="10">
        <v>74.11</v>
      </c>
      <c r="X1593" s="10">
        <v>73.650000000000006</v>
      </c>
      <c r="Y1593" s="10">
        <v>73.22</v>
      </c>
      <c r="Z1593" s="11">
        <v>82.084999999999994</v>
      </c>
      <c r="AA1593" s="11">
        <v>81.363</v>
      </c>
      <c r="AB1593" s="11">
        <v>80.334000000000003</v>
      </c>
      <c r="AC1593" s="11">
        <v>79.569000000000003</v>
      </c>
      <c r="AD1593" s="11">
        <v>78.778999999999996</v>
      </c>
      <c r="AE1593" s="11">
        <v>78.066999999999993</v>
      </c>
      <c r="AF1593" s="11">
        <v>77.448999999999998</v>
      </c>
      <c r="AG1593" s="11">
        <v>76.888000000000005</v>
      </c>
      <c r="AH1593" s="11">
        <v>76.358999999999995</v>
      </c>
      <c r="AI1593" s="11">
        <v>75.808999999999997</v>
      </c>
      <c r="AJ1593" s="11">
        <v>75.206999999999994</v>
      </c>
      <c r="AK1593" s="11">
        <v>74.751999999999995</v>
      </c>
      <c r="AL1593" s="11"/>
    </row>
    <row r="1594" spans="1:38" x14ac:dyDescent="0.3">
      <c r="A1594" s="9">
        <f>DATE(2023, 3, 1)</f>
        <v>44986</v>
      </c>
      <c r="B1594" s="10">
        <v>84.31</v>
      </c>
      <c r="C1594" s="10">
        <v>83.69</v>
      </c>
      <c r="D1594" s="10">
        <v>83.17</v>
      </c>
      <c r="E1594" s="10">
        <v>82.67</v>
      </c>
      <c r="F1594" s="10">
        <v>82.18</v>
      </c>
      <c r="G1594" s="10">
        <v>81.69</v>
      </c>
      <c r="H1594" s="10">
        <v>81.22</v>
      </c>
      <c r="I1594" s="10">
        <v>80.75</v>
      </c>
      <c r="J1594" s="10">
        <v>80.27</v>
      </c>
      <c r="K1594" s="10">
        <v>79.790000000000006</v>
      </c>
      <c r="L1594" s="10">
        <v>79.34</v>
      </c>
      <c r="M1594" s="10">
        <v>78.930000000000007</v>
      </c>
      <c r="N1594" s="10">
        <v>77.69</v>
      </c>
      <c r="O1594" s="10">
        <v>77.83</v>
      </c>
      <c r="P1594" s="10">
        <v>77.8</v>
      </c>
      <c r="Q1594" s="10">
        <v>77.569999999999993</v>
      </c>
      <c r="R1594" s="10">
        <v>77.2</v>
      </c>
      <c r="S1594" s="10">
        <v>76.739999999999995</v>
      </c>
      <c r="T1594" s="10">
        <v>76.239999999999995</v>
      </c>
      <c r="U1594" s="10">
        <v>75.75</v>
      </c>
      <c r="V1594" s="10">
        <v>75.27</v>
      </c>
      <c r="W1594" s="10">
        <v>74.77</v>
      </c>
      <c r="X1594" s="10">
        <v>74.290000000000006</v>
      </c>
      <c r="Y1594" s="10">
        <v>73.849999999999994</v>
      </c>
      <c r="Z1594" s="11">
        <v>82.084999999999994</v>
      </c>
      <c r="AA1594" s="11">
        <v>82.52</v>
      </c>
      <c r="AB1594" s="11">
        <v>81.412999999999997</v>
      </c>
      <c r="AC1594" s="11">
        <v>80.537999999999997</v>
      </c>
      <c r="AD1594" s="11">
        <v>79.688000000000002</v>
      </c>
      <c r="AE1594" s="11">
        <v>78.94</v>
      </c>
      <c r="AF1594" s="11">
        <v>78.319999999999993</v>
      </c>
      <c r="AG1594" s="11">
        <v>77.748000000000005</v>
      </c>
      <c r="AH1594" s="11">
        <v>77.188000000000002</v>
      </c>
      <c r="AI1594" s="11">
        <v>76.587999999999994</v>
      </c>
      <c r="AJ1594" s="11">
        <v>75.954999999999998</v>
      </c>
      <c r="AK1594" s="11">
        <v>75.480999999999995</v>
      </c>
      <c r="AL1594" s="11"/>
    </row>
    <row r="1595" spans="1:38" x14ac:dyDescent="0.3">
      <c r="A1595" s="9">
        <f>DATE(2023, 3, 2)</f>
        <v>44987</v>
      </c>
      <c r="B1595" s="10">
        <v>84.75</v>
      </c>
      <c r="C1595" s="10">
        <v>84.09</v>
      </c>
      <c r="D1595" s="10">
        <v>83.57</v>
      </c>
      <c r="E1595" s="10">
        <v>83.07</v>
      </c>
      <c r="F1595" s="10">
        <v>82.59</v>
      </c>
      <c r="G1595" s="10">
        <v>82.1</v>
      </c>
      <c r="H1595" s="10">
        <v>81.64</v>
      </c>
      <c r="I1595" s="10">
        <v>81.19</v>
      </c>
      <c r="J1595" s="10">
        <v>80.73</v>
      </c>
      <c r="K1595" s="10">
        <v>80.239999999999995</v>
      </c>
      <c r="L1595" s="10">
        <v>79.790000000000006</v>
      </c>
      <c r="M1595" s="10">
        <v>79.37</v>
      </c>
      <c r="N1595" s="10">
        <v>78.16</v>
      </c>
      <c r="O1595" s="10">
        <v>78.31</v>
      </c>
      <c r="P1595" s="10">
        <v>78.290000000000006</v>
      </c>
      <c r="Q1595" s="10">
        <v>78.08</v>
      </c>
      <c r="R1595" s="10">
        <v>77.739999999999995</v>
      </c>
      <c r="S1595" s="10">
        <v>77.31</v>
      </c>
      <c r="T1595" s="10">
        <v>76.849999999999994</v>
      </c>
      <c r="U1595" s="10">
        <v>76.38</v>
      </c>
      <c r="V1595" s="10">
        <v>75.900000000000006</v>
      </c>
      <c r="W1595" s="10">
        <v>75.42</v>
      </c>
      <c r="X1595" s="10">
        <v>74.95</v>
      </c>
      <c r="Y1595" s="10">
        <v>74.510000000000005</v>
      </c>
      <c r="Z1595" s="11">
        <v>83.373999999999995</v>
      </c>
      <c r="AA1595" s="11">
        <v>82.093000000000004</v>
      </c>
      <c r="AB1595" s="11">
        <v>81.188000000000002</v>
      </c>
      <c r="AC1595" s="11">
        <v>80.298000000000002</v>
      </c>
      <c r="AD1595" s="11">
        <v>79.507000000000005</v>
      </c>
      <c r="AE1595" s="11">
        <v>78.84</v>
      </c>
      <c r="AF1595" s="11">
        <v>78.248999999999995</v>
      </c>
      <c r="AG1595" s="11">
        <v>77.688999999999993</v>
      </c>
      <c r="AH1595" s="11">
        <v>77.128</v>
      </c>
      <c r="AI1595" s="11">
        <v>76.515000000000001</v>
      </c>
      <c r="AJ1595" s="11">
        <v>76.031000000000006</v>
      </c>
      <c r="AK1595" s="11">
        <v>75.631</v>
      </c>
      <c r="AL1595" s="11"/>
    </row>
    <row r="1596" spans="1:38" x14ac:dyDescent="0.3">
      <c r="A1596" s="9">
        <f>DATE(2023, 3, 3)</f>
        <v>44988</v>
      </c>
      <c r="B1596" s="10">
        <v>85.83</v>
      </c>
      <c r="C1596" s="10">
        <v>85.26</v>
      </c>
      <c r="D1596" s="10">
        <v>84.78</v>
      </c>
      <c r="E1596" s="10">
        <v>84.29</v>
      </c>
      <c r="F1596" s="10">
        <v>83.81</v>
      </c>
      <c r="G1596" s="10">
        <v>83.31</v>
      </c>
      <c r="H1596" s="10">
        <v>82.83</v>
      </c>
      <c r="I1596" s="10">
        <v>82.36</v>
      </c>
      <c r="J1596" s="10">
        <v>81.89</v>
      </c>
      <c r="K1596" s="10">
        <v>81.39</v>
      </c>
      <c r="L1596" s="10">
        <v>80.92</v>
      </c>
      <c r="M1596" s="10">
        <v>80.489999999999995</v>
      </c>
      <c r="N1596" s="10">
        <v>79.680000000000007</v>
      </c>
      <c r="O1596" s="10">
        <v>79.790000000000006</v>
      </c>
      <c r="P1596" s="10">
        <v>79.77</v>
      </c>
      <c r="Q1596" s="10">
        <v>79.56</v>
      </c>
      <c r="R1596" s="10">
        <v>79.22</v>
      </c>
      <c r="S1596" s="10">
        <v>78.78</v>
      </c>
      <c r="T1596" s="10">
        <v>78.3</v>
      </c>
      <c r="U1596" s="10">
        <v>77.8</v>
      </c>
      <c r="V1596" s="10">
        <v>77.31</v>
      </c>
      <c r="W1596" s="10">
        <v>76.8</v>
      </c>
      <c r="X1596" s="10">
        <v>76.319999999999993</v>
      </c>
      <c r="Y1596" s="10">
        <v>75.849999999999994</v>
      </c>
      <c r="Z1596" s="11">
        <v>84.201999999999998</v>
      </c>
      <c r="AA1596" s="11">
        <v>83.185000000000002</v>
      </c>
      <c r="AB1596" s="11">
        <v>82.319000000000003</v>
      </c>
      <c r="AC1596" s="11">
        <v>81.447999999999993</v>
      </c>
      <c r="AD1596" s="11">
        <v>80.656000000000006</v>
      </c>
      <c r="AE1596" s="11">
        <v>79.994</v>
      </c>
      <c r="AF1596" s="11">
        <v>79.403000000000006</v>
      </c>
      <c r="AG1596" s="11">
        <v>78.849000000000004</v>
      </c>
      <c r="AH1596" s="11">
        <v>78.266999999999996</v>
      </c>
      <c r="AI1596" s="11">
        <v>77.632999999999996</v>
      </c>
      <c r="AJ1596" s="11">
        <v>77.180000000000007</v>
      </c>
      <c r="AK1596" s="11">
        <v>76.739999999999995</v>
      </c>
      <c r="AL1596" s="11"/>
    </row>
    <row r="1597" spans="1:38" x14ac:dyDescent="0.3">
      <c r="A1597" s="9">
        <f>DATE(2023, 3, 6)</f>
        <v>44991</v>
      </c>
      <c r="B1597" s="10">
        <v>86.18</v>
      </c>
      <c r="C1597" s="10">
        <v>85.62</v>
      </c>
      <c r="D1597" s="10">
        <v>85.16</v>
      </c>
      <c r="E1597" s="10">
        <v>84.69</v>
      </c>
      <c r="F1597" s="10">
        <v>84.23</v>
      </c>
      <c r="G1597" s="10">
        <v>83.73</v>
      </c>
      <c r="H1597" s="10">
        <v>83.25</v>
      </c>
      <c r="I1597" s="10">
        <v>82.79</v>
      </c>
      <c r="J1597" s="10">
        <v>82.3</v>
      </c>
      <c r="K1597" s="10">
        <v>81.81</v>
      </c>
      <c r="L1597" s="10">
        <v>81.33</v>
      </c>
      <c r="M1597" s="10">
        <v>80.89</v>
      </c>
      <c r="N1597" s="10">
        <v>80.459999999999994</v>
      </c>
      <c r="O1597" s="10">
        <v>80.56</v>
      </c>
      <c r="P1597" s="10">
        <v>80.510000000000005</v>
      </c>
      <c r="Q1597" s="10">
        <v>80.28</v>
      </c>
      <c r="R1597" s="10">
        <v>79.92</v>
      </c>
      <c r="S1597" s="10">
        <v>79.459999999999994</v>
      </c>
      <c r="T1597" s="10">
        <v>78.959999999999994</v>
      </c>
      <c r="U1597" s="10">
        <v>78.45</v>
      </c>
      <c r="V1597" s="10">
        <v>77.92</v>
      </c>
      <c r="W1597" s="10">
        <v>77.39</v>
      </c>
      <c r="X1597" s="10">
        <v>76.87</v>
      </c>
      <c r="Y1597" s="10">
        <v>76.38</v>
      </c>
      <c r="Z1597" s="11">
        <v>84.263999999999996</v>
      </c>
      <c r="AA1597" s="11">
        <v>83.465999999999994</v>
      </c>
      <c r="AB1597" s="11">
        <v>82.65</v>
      </c>
      <c r="AC1597" s="11">
        <v>81.828999999999994</v>
      </c>
      <c r="AD1597" s="11">
        <v>81.090999999999994</v>
      </c>
      <c r="AE1597" s="11">
        <v>80.433999999999997</v>
      </c>
      <c r="AF1597" s="11">
        <v>79.837999999999994</v>
      </c>
      <c r="AG1597" s="11">
        <v>79.298000000000002</v>
      </c>
      <c r="AH1597" s="11">
        <v>78.727999999999994</v>
      </c>
      <c r="AI1597" s="11">
        <v>78.132000000000005</v>
      </c>
      <c r="AJ1597" s="11">
        <v>77.650000000000006</v>
      </c>
      <c r="AK1597" s="11">
        <v>77.17</v>
      </c>
      <c r="AL1597" s="11"/>
    </row>
    <row r="1598" spans="1:38" x14ac:dyDescent="0.3">
      <c r="A1598" s="9">
        <f>DATE(2023, 3, 7)</f>
        <v>44992</v>
      </c>
      <c r="B1598" s="10">
        <v>83.29</v>
      </c>
      <c r="C1598" s="10">
        <v>82.8</v>
      </c>
      <c r="D1598" s="10">
        <v>82.43</v>
      </c>
      <c r="E1598" s="10">
        <v>82.03</v>
      </c>
      <c r="F1598" s="10">
        <v>81.63</v>
      </c>
      <c r="G1598" s="10">
        <v>81.19</v>
      </c>
      <c r="H1598" s="10">
        <v>80.760000000000005</v>
      </c>
      <c r="I1598" s="10">
        <v>80.34</v>
      </c>
      <c r="J1598" s="10">
        <v>79.89</v>
      </c>
      <c r="K1598" s="10">
        <v>79.430000000000007</v>
      </c>
      <c r="L1598" s="10">
        <v>79</v>
      </c>
      <c r="M1598" s="10">
        <v>78.61</v>
      </c>
      <c r="N1598" s="10">
        <v>77.58</v>
      </c>
      <c r="O1598" s="10">
        <v>77.72</v>
      </c>
      <c r="P1598" s="10">
        <v>77.709999999999994</v>
      </c>
      <c r="Q1598" s="10">
        <v>77.53</v>
      </c>
      <c r="R1598" s="10">
        <v>77.22</v>
      </c>
      <c r="S1598" s="10">
        <v>76.83</v>
      </c>
      <c r="T1598" s="10">
        <v>76.39</v>
      </c>
      <c r="U1598" s="10">
        <v>75.94</v>
      </c>
      <c r="V1598" s="10">
        <v>75.47</v>
      </c>
      <c r="W1598" s="10">
        <v>74.98</v>
      </c>
      <c r="X1598" s="10">
        <v>74.5</v>
      </c>
      <c r="Y1598" s="10">
        <v>74.069999999999993</v>
      </c>
      <c r="Z1598" s="11">
        <v>82.22</v>
      </c>
      <c r="AA1598" s="11">
        <v>80.781000000000006</v>
      </c>
      <c r="AB1598" s="11">
        <v>79.992999999999995</v>
      </c>
      <c r="AC1598" s="11">
        <v>79.191999999999993</v>
      </c>
      <c r="AD1598" s="11">
        <v>78.468999999999994</v>
      </c>
      <c r="AE1598" s="11">
        <v>77.867999999999995</v>
      </c>
      <c r="AF1598" s="11">
        <v>77.296999999999997</v>
      </c>
      <c r="AG1598" s="11">
        <v>76.819999999999993</v>
      </c>
      <c r="AH1598" s="11">
        <v>76.269000000000005</v>
      </c>
      <c r="AI1598" s="11">
        <v>75.626999999999995</v>
      </c>
      <c r="AJ1598" s="11">
        <v>75.281999999999996</v>
      </c>
      <c r="AK1598" s="11">
        <v>74.861999999999995</v>
      </c>
      <c r="AL1598" s="11"/>
    </row>
    <row r="1599" spans="1:38" x14ac:dyDescent="0.3">
      <c r="A1599" s="9">
        <f>DATE(2023, 3, 8)</f>
        <v>44993</v>
      </c>
      <c r="B1599" s="10">
        <v>82.66</v>
      </c>
      <c r="C1599" s="10">
        <v>82.19</v>
      </c>
      <c r="D1599" s="10">
        <v>81.819999999999993</v>
      </c>
      <c r="E1599" s="10">
        <v>81.42</v>
      </c>
      <c r="F1599" s="10">
        <v>81.010000000000005</v>
      </c>
      <c r="G1599" s="10">
        <v>80.58</v>
      </c>
      <c r="H1599" s="10">
        <v>80.16</v>
      </c>
      <c r="I1599" s="10">
        <v>79.73</v>
      </c>
      <c r="J1599" s="10">
        <v>79.290000000000006</v>
      </c>
      <c r="K1599" s="10">
        <v>78.849999999999994</v>
      </c>
      <c r="L1599" s="10">
        <v>78.45</v>
      </c>
      <c r="M1599" s="10">
        <v>78.06</v>
      </c>
      <c r="N1599" s="10">
        <v>76.66</v>
      </c>
      <c r="O1599" s="10">
        <v>76.81</v>
      </c>
      <c r="P1599" s="10">
        <v>76.849999999999994</v>
      </c>
      <c r="Q1599" s="10">
        <v>76.7</v>
      </c>
      <c r="R1599" s="10">
        <v>76.39</v>
      </c>
      <c r="S1599" s="10">
        <v>75.989999999999995</v>
      </c>
      <c r="T1599" s="10">
        <v>75.540000000000006</v>
      </c>
      <c r="U1599" s="10">
        <v>75.09</v>
      </c>
      <c r="V1599" s="10">
        <v>74.63</v>
      </c>
      <c r="W1599" s="10">
        <v>74.180000000000007</v>
      </c>
      <c r="X1599" s="10">
        <v>73.72</v>
      </c>
      <c r="Y1599" s="10">
        <v>73.290000000000006</v>
      </c>
      <c r="Z1599" s="11">
        <v>81.941999999999993</v>
      </c>
      <c r="AA1599" s="11">
        <v>80.55</v>
      </c>
      <c r="AB1599" s="11">
        <v>79.727000000000004</v>
      </c>
      <c r="AC1599" s="11">
        <v>78.911000000000001</v>
      </c>
      <c r="AD1599" s="11">
        <v>78.17</v>
      </c>
      <c r="AE1599" s="11">
        <v>77.569000000000003</v>
      </c>
      <c r="AF1599" s="11">
        <v>77.007999999999996</v>
      </c>
      <c r="AG1599" s="11">
        <v>76.459999999999994</v>
      </c>
      <c r="AH1599" s="11">
        <v>75.88</v>
      </c>
      <c r="AI1599" s="11">
        <v>75.28</v>
      </c>
      <c r="AJ1599" s="11">
        <v>74.822000000000003</v>
      </c>
      <c r="AK1599" s="11">
        <v>74.373000000000005</v>
      </c>
      <c r="AL1599" s="11"/>
    </row>
    <row r="1600" spans="1:38" x14ac:dyDescent="0.3">
      <c r="A1600" s="9">
        <f>DATE(2023, 3, 9)</f>
        <v>44994</v>
      </c>
      <c r="B1600" s="10">
        <v>81.59</v>
      </c>
      <c r="C1600" s="10">
        <v>81.09</v>
      </c>
      <c r="D1600" s="10">
        <v>80.709999999999994</v>
      </c>
      <c r="E1600" s="10">
        <v>80.31</v>
      </c>
      <c r="F1600" s="10">
        <v>79.91</v>
      </c>
      <c r="G1600" s="10">
        <v>79.489999999999995</v>
      </c>
      <c r="H1600" s="10">
        <v>79.08</v>
      </c>
      <c r="I1600" s="10">
        <v>78.67</v>
      </c>
      <c r="J1600" s="10">
        <v>78.25</v>
      </c>
      <c r="K1600" s="10">
        <v>77.83</v>
      </c>
      <c r="L1600" s="10">
        <v>77.45</v>
      </c>
      <c r="M1600" s="10">
        <v>77.099999999999994</v>
      </c>
      <c r="N1600" s="10">
        <v>75.72</v>
      </c>
      <c r="O1600" s="10">
        <v>75.84</v>
      </c>
      <c r="P1600" s="10">
        <v>75.88</v>
      </c>
      <c r="Q1600" s="10">
        <v>75.739999999999995</v>
      </c>
      <c r="R1600" s="10">
        <v>75.44</v>
      </c>
      <c r="S1600" s="10">
        <v>75.040000000000006</v>
      </c>
      <c r="T1600" s="10">
        <v>74.61</v>
      </c>
      <c r="U1600" s="10">
        <v>74.17</v>
      </c>
      <c r="V1600" s="10">
        <v>73.709999999999994</v>
      </c>
      <c r="W1600" s="10">
        <v>73.27</v>
      </c>
      <c r="X1600" s="10">
        <v>72.83</v>
      </c>
      <c r="Y1600" s="10">
        <v>72.430000000000007</v>
      </c>
      <c r="Z1600" s="11">
        <v>81.301000000000002</v>
      </c>
      <c r="AA1600" s="11">
        <v>79.56</v>
      </c>
      <c r="AB1600" s="11">
        <v>78.718999999999994</v>
      </c>
      <c r="AC1600" s="11">
        <v>77.879000000000005</v>
      </c>
      <c r="AD1600" s="11">
        <v>77.138999999999996</v>
      </c>
      <c r="AE1600" s="11">
        <v>76.542000000000002</v>
      </c>
      <c r="AF1600" s="11">
        <v>75.97</v>
      </c>
      <c r="AG1600" s="11">
        <v>75.450999999999993</v>
      </c>
      <c r="AH1600" s="11">
        <v>74.900999999999996</v>
      </c>
      <c r="AI1600" s="11">
        <v>74.352000000000004</v>
      </c>
      <c r="AJ1600" s="11">
        <v>73.933999999999997</v>
      </c>
      <c r="AK1600" s="11">
        <v>73.513999999999996</v>
      </c>
      <c r="AL1600" s="11"/>
    </row>
    <row r="1601" spans="1:38" x14ac:dyDescent="0.3">
      <c r="A1601" s="9">
        <f>DATE(2023, 3, 10)</f>
        <v>44995</v>
      </c>
      <c r="B1601" s="10">
        <v>82.78</v>
      </c>
      <c r="C1601" s="10">
        <v>82.16</v>
      </c>
      <c r="D1601" s="10">
        <v>81.760000000000005</v>
      </c>
      <c r="E1601" s="10">
        <v>81.34</v>
      </c>
      <c r="F1601" s="10">
        <v>80.92</v>
      </c>
      <c r="G1601" s="10">
        <v>80.47</v>
      </c>
      <c r="H1601" s="10">
        <v>80.040000000000006</v>
      </c>
      <c r="I1601" s="10">
        <v>79.61</v>
      </c>
      <c r="J1601" s="10">
        <v>79.17</v>
      </c>
      <c r="K1601" s="10">
        <v>78.709999999999994</v>
      </c>
      <c r="L1601" s="10">
        <v>78.28</v>
      </c>
      <c r="M1601" s="10">
        <v>77.88</v>
      </c>
      <c r="N1601" s="10">
        <v>76.680000000000007</v>
      </c>
      <c r="O1601" s="10">
        <v>76.78</v>
      </c>
      <c r="P1601" s="10">
        <v>76.8</v>
      </c>
      <c r="Q1601" s="10">
        <v>76.650000000000006</v>
      </c>
      <c r="R1601" s="10">
        <v>76.34</v>
      </c>
      <c r="S1601" s="10">
        <v>75.92</v>
      </c>
      <c r="T1601" s="10">
        <v>75.47</v>
      </c>
      <c r="U1601" s="10">
        <v>75.010000000000005</v>
      </c>
      <c r="V1601" s="10">
        <v>74.55</v>
      </c>
      <c r="W1601" s="10">
        <v>74.09</v>
      </c>
      <c r="X1601" s="10">
        <v>73.63</v>
      </c>
      <c r="Y1601" s="10">
        <v>73.2</v>
      </c>
      <c r="Z1601" s="11">
        <v>82.126000000000005</v>
      </c>
      <c r="AA1601" s="11">
        <v>80.849000000000004</v>
      </c>
      <c r="AB1601" s="11">
        <v>79.962000000000003</v>
      </c>
      <c r="AC1601" s="11">
        <v>79.111000000000004</v>
      </c>
      <c r="AD1601" s="11">
        <v>78.358999999999995</v>
      </c>
      <c r="AE1601" s="11">
        <v>77.730999999999995</v>
      </c>
      <c r="AF1601" s="11">
        <v>77.180000000000007</v>
      </c>
      <c r="AG1601" s="11">
        <v>76.63</v>
      </c>
      <c r="AH1601" s="11">
        <v>76.039000000000001</v>
      </c>
      <c r="AI1601" s="11">
        <v>75.406999999999996</v>
      </c>
      <c r="AJ1601" s="11">
        <v>74.951999999999998</v>
      </c>
      <c r="AK1601" s="11">
        <v>74.533000000000001</v>
      </c>
      <c r="AL1601" s="11"/>
    </row>
    <row r="1602" spans="1:38" x14ac:dyDescent="0.3">
      <c r="A1602" s="9">
        <f>DATE(2023, 3, 13)</f>
        <v>44998</v>
      </c>
      <c r="B1602" s="10">
        <v>80.77</v>
      </c>
      <c r="C1602" s="10">
        <v>80.23</v>
      </c>
      <c r="D1602" s="10">
        <v>79.87</v>
      </c>
      <c r="E1602" s="10">
        <v>79.5</v>
      </c>
      <c r="F1602" s="10">
        <v>79.13</v>
      </c>
      <c r="G1602" s="10">
        <v>78.739999999999995</v>
      </c>
      <c r="H1602" s="10">
        <v>78.36</v>
      </c>
      <c r="I1602" s="10">
        <v>77.98</v>
      </c>
      <c r="J1602" s="10">
        <v>77.59</v>
      </c>
      <c r="K1602" s="10">
        <v>77.19</v>
      </c>
      <c r="L1602" s="10">
        <v>76.81</v>
      </c>
      <c r="M1602" s="10">
        <v>76.459999999999994</v>
      </c>
      <c r="N1602" s="10">
        <v>74.8</v>
      </c>
      <c r="O1602" s="10">
        <v>74.91</v>
      </c>
      <c r="P1602" s="10">
        <v>74.95</v>
      </c>
      <c r="Q1602" s="10">
        <v>74.819999999999993</v>
      </c>
      <c r="R1602" s="10">
        <v>74.540000000000006</v>
      </c>
      <c r="S1602" s="10">
        <v>74.16</v>
      </c>
      <c r="T1602" s="10">
        <v>73.75</v>
      </c>
      <c r="U1602" s="10">
        <v>73.34</v>
      </c>
      <c r="V1602" s="10">
        <v>72.92</v>
      </c>
      <c r="W1602" s="10">
        <v>72.5</v>
      </c>
      <c r="X1602" s="10">
        <v>72.09</v>
      </c>
      <c r="Y1602" s="10">
        <v>71.709999999999994</v>
      </c>
      <c r="Z1602" s="11">
        <v>81.100999999999999</v>
      </c>
      <c r="AA1602" s="11">
        <v>79.132000000000005</v>
      </c>
      <c r="AB1602" s="11">
        <v>78.244</v>
      </c>
      <c r="AC1602" s="11">
        <v>77.403000000000006</v>
      </c>
      <c r="AD1602" s="11">
        <v>76.661000000000001</v>
      </c>
      <c r="AE1602" s="11">
        <v>76.067999999999998</v>
      </c>
      <c r="AF1602" s="11">
        <v>75.566999999999993</v>
      </c>
      <c r="AG1602" s="11">
        <v>75.061999999999998</v>
      </c>
      <c r="AH1602" s="11">
        <v>74.552000000000007</v>
      </c>
      <c r="AI1602" s="11">
        <v>73.962000000000003</v>
      </c>
      <c r="AJ1602" s="11">
        <v>73.548000000000002</v>
      </c>
      <c r="AK1602" s="11">
        <v>73.185000000000002</v>
      </c>
      <c r="AL1602" s="11"/>
    </row>
    <row r="1603" spans="1:38" x14ac:dyDescent="0.3">
      <c r="A1603" s="9">
        <f>DATE(2023, 3, 14)</f>
        <v>44999</v>
      </c>
      <c r="B1603" s="10">
        <v>77.45</v>
      </c>
      <c r="C1603" s="10">
        <v>77</v>
      </c>
      <c r="D1603" s="10">
        <v>76.72</v>
      </c>
      <c r="E1603" s="10">
        <v>76.400000000000006</v>
      </c>
      <c r="F1603" s="10">
        <v>76.09</v>
      </c>
      <c r="G1603" s="10">
        <v>75.75</v>
      </c>
      <c r="H1603" s="10">
        <v>75.430000000000007</v>
      </c>
      <c r="I1603" s="10">
        <v>75.12</v>
      </c>
      <c r="J1603" s="10">
        <v>74.790000000000006</v>
      </c>
      <c r="K1603" s="10">
        <v>74.44</v>
      </c>
      <c r="L1603" s="10">
        <v>74.13</v>
      </c>
      <c r="M1603" s="10">
        <v>73.84</v>
      </c>
      <c r="N1603" s="10">
        <v>71.33</v>
      </c>
      <c r="O1603" s="10">
        <v>71.489999999999995</v>
      </c>
      <c r="P1603" s="10">
        <v>71.569999999999993</v>
      </c>
      <c r="Q1603" s="10">
        <v>71.489999999999995</v>
      </c>
      <c r="R1603" s="10">
        <v>71.290000000000006</v>
      </c>
      <c r="S1603" s="10">
        <v>71</v>
      </c>
      <c r="T1603" s="10">
        <v>70.67</v>
      </c>
      <c r="U1603" s="10">
        <v>70.34</v>
      </c>
      <c r="V1603" s="10">
        <v>70</v>
      </c>
      <c r="W1603" s="10">
        <v>69.66</v>
      </c>
      <c r="X1603" s="10">
        <v>69.349999999999994</v>
      </c>
      <c r="Y1603" s="10">
        <v>69.069999999999993</v>
      </c>
      <c r="Z1603" s="11">
        <v>79.113</v>
      </c>
      <c r="AA1603" s="11">
        <v>75.745000000000005</v>
      </c>
      <c r="AB1603" s="11">
        <v>74.879000000000005</v>
      </c>
      <c r="AC1603" s="11">
        <v>74.081000000000003</v>
      </c>
      <c r="AD1603" s="11">
        <v>73.388999999999996</v>
      </c>
      <c r="AE1603" s="11">
        <v>72.866</v>
      </c>
      <c r="AF1603" s="11">
        <v>72.385000000000005</v>
      </c>
      <c r="AG1603" s="11">
        <v>71.954999999999998</v>
      </c>
      <c r="AH1603" s="11">
        <v>71.494</v>
      </c>
      <c r="AI1603" s="11">
        <v>70.989000000000004</v>
      </c>
      <c r="AJ1603" s="11">
        <v>70.626999999999995</v>
      </c>
      <c r="AK1603" s="11">
        <v>70.308999999999997</v>
      </c>
      <c r="AL1603" s="11"/>
    </row>
    <row r="1604" spans="1:38" x14ac:dyDescent="0.3">
      <c r="A1604" s="9">
        <f>DATE(2023, 3, 15)</f>
        <v>45000</v>
      </c>
      <c r="B1604" s="10">
        <v>73.69</v>
      </c>
      <c r="C1604" s="10">
        <v>73.28</v>
      </c>
      <c r="D1604" s="10">
        <v>73.05</v>
      </c>
      <c r="E1604" s="10">
        <v>72.81</v>
      </c>
      <c r="F1604" s="10">
        <v>72.569999999999993</v>
      </c>
      <c r="G1604" s="10">
        <v>72.31</v>
      </c>
      <c r="H1604" s="10">
        <v>72.06</v>
      </c>
      <c r="I1604" s="10">
        <v>71.81</v>
      </c>
      <c r="J1604" s="10">
        <v>71.569999999999993</v>
      </c>
      <c r="K1604" s="10">
        <v>71.319999999999993</v>
      </c>
      <c r="L1604" s="10">
        <v>71.11</v>
      </c>
      <c r="M1604" s="10">
        <v>70.91</v>
      </c>
      <c r="N1604" s="10">
        <v>67.61</v>
      </c>
      <c r="O1604" s="10">
        <v>67.739999999999995</v>
      </c>
      <c r="P1604" s="10">
        <v>67.819999999999993</v>
      </c>
      <c r="Q1604" s="10">
        <v>67.760000000000005</v>
      </c>
      <c r="R1604" s="10">
        <v>67.599999999999994</v>
      </c>
      <c r="S1604" s="10">
        <v>67.37</v>
      </c>
      <c r="T1604" s="10">
        <v>67.12</v>
      </c>
      <c r="U1604" s="10">
        <v>66.87</v>
      </c>
      <c r="V1604" s="10">
        <v>66.62</v>
      </c>
      <c r="W1604" s="10">
        <v>66.37</v>
      </c>
      <c r="X1604" s="10">
        <v>66.14</v>
      </c>
      <c r="Y1604" s="10">
        <v>65.94</v>
      </c>
      <c r="Z1604" s="11">
        <v>77.378</v>
      </c>
      <c r="AA1604" s="11">
        <v>72.323999999999998</v>
      </c>
      <c r="AB1604" s="11">
        <v>71.472999999999999</v>
      </c>
      <c r="AC1604" s="11">
        <v>70.701999999999998</v>
      </c>
      <c r="AD1604" s="11">
        <v>70.061000000000007</v>
      </c>
      <c r="AE1604" s="11">
        <v>69.602000000000004</v>
      </c>
      <c r="AF1604" s="11">
        <v>69.227999999999994</v>
      </c>
      <c r="AG1604" s="11">
        <v>68.899000000000001</v>
      </c>
      <c r="AH1604" s="11">
        <v>68.509</v>
      </c>
      <c r="AI1604" s="11">
        <v>68.088999999999999</v>
      </c>
      <c r="AJ1604" s="11">
        <v>67.760999999999996</v>
      </c>
      <c r="AK1604" s="11">
        <v>67.462000000000003</v>
      </c>
      <c r="AL1604" s="11"/>
    </row>
    <row r="1605" spans="1:38" x14ac:dyDescent="0.3">
      <c r="A1605" s="9">
        <f>DATE(2023, 3, 16)</f>
        <v>45001</v>
      </c>
      <c r="B1605" s="10">
        <v>74.7</v>
      </c>
      <c r="C1605" s="10">
        <v>74.290000000000006</v>
      </c>
      <c r="D1605" s="10">
        <v>74.069999999999993</v>
      </c>
      <c r="E1605" s="10">
        <v>73.819999999999993</v>
      </c>
      <c r="F1605" s="10">
        <v>73.56</v>
      </c>
      <c r="G1605" s="10">
        <v>73.290000000000006</v>
      </c>
      <c r="H1605" s="10">
        <v>73.03</v>
      </c>
      <c r="I1605" s="10">
        <v>72.77</v>
      </c>
      <c r="J1605" s="10">
        <v>72.5</v>
      </c>
      <c r="K1605" s="10">
        <v>72.23</v>
      </c>
      <c r="L1605" s="10">
        <v>72.010000000000005</v>
      </c>
      <c r="M1605" s="10">
        <v>71.8</v>
      </c>
      <c r="N1605" s="10">
        <v>68.349999999999994</v>
      </c>
      <c r="O1605" s="10">
        <v>68.52</v>
      </c>
      <c r="P1605" s="10">
        <v>68.63</v>
      </c>
      <c r="Q1605" s="10">
        <v>68.59</v>
      </c>
      <c r="R1605" s="10">
        <v>68.430000000000007</v>
      </c>
      <c r="S1605" s="10">
        <v>68.209999999999994</v>
      </c>
      <c r="T1605" s="10">
        <v>67.959999999999994</v>
      </c>
      <c r="U1605" s="10">
        <v>67.709999999999994</v>
      </c>
      <c r="V1605" s="10">
        <v>67.47</v>
      </c>
      <c r="W1605" s="10">
        <v>67.209999999999994</v>
      </c>
      <c r="X1605" s="10">
        <v>66.98</v>
      </c>
      <c r="Y1605" s="10">
        <v>66.760000000000005</v>
      </c>
      <c r="Z1605" s="11">
        <v>77.816999999999993</v>
      </c>
      <c r="AA1605" s="11">
        <v>73.278999999999996</v>
      </c>
      <c r="AB1605" s="11">
        <v>72.447999999999993</v>
      </c>
      <c r="AC1605" s="11">
        <v>71.706999999999994</v>
      </c>
      <c r="AD1605" s="11">
        <v>71.057000000000002</v>
      </c>
      <c r="AE1605" s="11">
        <v>70.605999999999995</v>
      </c>
      <c r="AF1605" s="11">
        <v>70.185000000000002</v>
      </c>
      <c r="AG1605" s="11">
        <v>69.802999999999997</v>
      </c>
      <c r="AH1605" s="11">
        <v>69.397999999999996</v>
      </c>
      <c r="AI1605" s="11">
        <v>68.968000000000004</v>
      </c>
      <c r="AJ1605" s="11">
        <v>68.656999999999996</v>
      </c>
      <c r="AK1605" s="11">
        <v>68.400999999999996</v>
      </c>
      <c r="AL1605" s="11"/>
    </row>
    <row r="1606" spans="1:38" x14ac:dyDescent="0.3">
      <c r="A1606" s="9">
        <f>DATE(2023, 3, 17)</f>
        <v>45002</v>
      </c>
      <c r="B1606" s="10">
        <v>72.97</v>
      </c>
      <c r="C1606" s="10">
        <v>72.77</v>
      </c>
      <c r="D1606" s="10">
        <v>72.680000000000007</v>
      </c>
      <c r="E1606" s="10">
        <v>72.5</v>
      </c>
      <c r="F1606" s="10">
        <v>72.27</v>
      </c>
      <c r="G1606" s="10">
        <v>72.03</v>
      </c>
      <c r="H1606" s="10">
        <v>71.81</v>
      </c>
      <c r="I1606" s="10">
        <v>71.599999999999994</v>
      </c>
      <c r="J1606" s="10">
        <v>71.37</v>
      </c>
      <c r="K1606" s="10">
        <v>71.14</v>
      </c>
      <c r="L1606" s="10">
        <v>70.97</v>
      </c>
      <c r="M1606" s="10">
        <v>70.8</v>
      </c>
      <c r="N1606" s="10">
        <v>66.739999999999995</v>
      </c>
      <c r="O1606" s="10">
        <v>66.930000000000007</v>
      </c>
      <c r="P1606" s="10">
        <v>67.12</v>
      </c>
      <c r="Q1606" s="10">
        <v>67.16</v>
      </c>
      <c r="R1606" s="10">
        <v>67.08</v>
      </c>
      <c r="S1606" s="10">
        <v>66.92</v>
      </c>
      <c r="T1606" s="10">
        <v>66.72</v>
      </c>
      <c r="U1606" s="10">
        <v>66.510000000000005</v>
      </c>
      <c r="V1606" s="10">
        <v>66.3</v>
      </c>
      <c r="W1606" s="10">
        <v>66.09</v>
      </c>
      <c r="X1606" s="10">
        <v>65.89</v>
      </c>
      <c r="Y1606" s="10">
        <v>65.709999999999994</v>
      </c>
      <c r="Z1606" s="11">
        <v>77.238</v>
      </c>
      <c r="AA1606" s="11">
        <v>71.974999999999994</v>
      </c>
      <c r="AB1606" s="11">
        <v>71.225999999999999</v>
      </c>
      <c r="AC1606" s="11">
        <v>70.58</v>
      </c>
      <c r="AD1606" s="11">
        <v>69.965999999999994</v>
      </c>
      <c r="AE1606" s="11">
        <v>69.510000000000005</v>
      </c>
      <c r="AF1606" s="11">
        <v>69.099999999999994</v>
      </c>
      <c r="AG1606" s="11">
        <v>68.75</v>
      </c>
      <c r="AH1606" s="11">
        <v>68.37</v>
      </c>
      <c r="AI1606" s="11">
        <v>67.962999999999994</v>
      </c>
      <c r="AJ1606" s="11">
        <v>67.641999999999996</v>
      </c>
      <c r="AK1606" s="11">
        <v>67.394000000000005</v>
      </c>
      <c r="AL1606" s="11"/>
    </row>
    <row r="1607" spans="1:38" x14ac:dyDescent="0.3">
      <c r="A1607" s="9">
        <f>DATE(2023, 3, 20)</f>
        <v>45005</v>
      </c>
      <c r="B1607" s="10">
        <v>73.790000000000006</v>
      </c>
      <c r="C1607" s="10">
        <v>73.540000000000006</v>
      </c>
      <c r="D1607" s="10">
        <v>73.48</v>
      </c>
      <c r="E1607" s="10">
        <v>73.33</v>
      </c>
      <c r="F1607" s="10">
        <v>73.11</v>
      </c>
      <c r="G1607" s="10">
        <v>72.88</v>
      </c>
      <c r="H1607" s="10">
        <v>72.66</v>
      </c>
      <c r="I1607" s="10">
        <v>72.430000000000007</v>
      </c>
      <c r="J1607" s="10">
        <v>72.19</v>
      </c>
      <c r="K1607" s="10">
        <v>71.959999999999994</v>
      </c>
      <c r="L1607" s="10">
        <v>71.77</v>
      </c>
      <c r="M1607" s="10">
        <v>71.58</v>
      </c>
      <c r="N1607" s="10">
        <v>67.64</v>
      </c>
      <c r="O1607" s="10">
        <v>67.819999999999993</v>
      </c>
      <c r="P1607" s="10">
        <v>67.989999999999995</v>
      </c>
      <c r="Q1607" s="10">
        <v>68.010000000000005</v>
      </c>
      <c r="R1607" s="10">
        <v>67.900000000000006</v>
      </c>
      <c r="S1607" s="10">
        <v>67.709999999999994</v>
      </c>
      <c r="T1607" s="10">
        <v>67.489999999999995</v>
      </c>
      <c r="U1607" s="10">
        <v>67.260000000000005</v>
      </c>
      <c r="V1607" s="10">
        <v>67.040000000000006</v>
      </c>
      <c r="W1607" s="10">
        <v>66.81</v>
      </c>
      <c r="X1607" s="10">
        <v>66.59</v>
      </c>
      <c r="Y1607" s="10">
        <v>66.400000000000006</v>
      </c>
      <c r="Z1607" s="11">
        <v>77.347999999999999</v>
      </c>
      <c r="AA1607" s="11">
        <v>72.777000000000001</v>
      </c>
      <c r="AB1607" s="11">
        <v>72.143000000000001</v>
      </c>
      <c r="AC1607" s="11">
        <v>71.555000000000007</v>
      </c>
      <c r="AD1607" s="11">
        <v>70.986000000000004</v>
      </c>
      <c r="AE1607" s="11">
        <v>70.540000000000006</v>
      </c>
      <c r="AF1607" s="11">
        <v>70.108999999999995</v>
      </c>
      <c r="AG1607" s="11">
        <v>69.748999999999995</v>
      </c>
      <c r="AH1607" s="11">
        <v>69.34</v>
      </c>
      <c r="AI1607" s="11">
        <v>68.911000000000001</v>
      </c>
      <c r="AJ1607" s="11">
        <v>68.570999999999998</v>
      </c>
      <c r="AK1607" s="11">
        <v>68.283000000000001</v>
      </c>
      <c r="AL1607" s="11"/>
    </row>
    <row r="1608" spans="1:38" x14ac:dyDescent="0.3">
      <c r="A1608" s="9">
        <f>DATE(2023, 3, 21)</f>
        <v>45006</v>
      </c>
      <c r="B1608" s="10">
        <v>75.319999999999993</v>
      </c>
      <c r="C1608" s="10">
        <v>75.03</v>
      </c>
      <c r="D1608" s="10">
        <v>74.91</v>
      </c>
      <c r="E1608" s="10">
        <v>74.709999999999994</v>
      </c>
      <c r="F1608" s="10">
        <v>74.430000000000007</v>
      </c>
      <c r="G1608" s="10">
        <v>74.11</v>
      </c>
      <c r="H1608" s="10">
        <v>73.81</v>
      </c>
      <c r="I1608" s="10">
        <v>73.510000000000005</v>
      </c>
      <c r="J1608" s="10">
        <v>73.2</v>
      </c>
      <c r="K1608" s="10">
        <v>72.92</v>
      </c>
      <c r="L1608" s="10">
        <v>72.69</v>
      </c>
      <c r="M1608" s="10">
        <v>72.459999999999994</v>
      </c>
      <c r="N1608" s="10">
        <v>69.33</v>
      </c>
      <c r="O1608" s="10">
        <v>69.67</v>
      </c>
      <c r="P1608" s="10">
        <v>69.77</v>
      </c>
      <c r="Q1608" s="10">
        <v>69.72</v>
      </c>
      <c r="R1608" s="10">
        <v>69.53</v>
      </c>
      <c r="S1608" s="10">
        <v>69.260000000000005</v>
      </c>
      <c r="T1608" s="10">
        <v>68.959999999999994</v>
      </c>
      <c r="U1608" s="10">
        <v>68.66</v>
      </c>
      <c r="V1608" s="10">
        <v>68.34</v>
      </c>
      <c r="W1608" s="10">
        <v>68.040000000000006</v>
      </c>
      <c r="X1608" s="10">
        <v>67.75</v>
      </c>
      <c r="Y1608" s="10">
        <v>67.5</v>
      </c>
      <c r="Z1608" s="11">
        <v>77.933999999999997</v>
      </c>
      <c r="AA1608" s="11">
        <v>74.409000000000006</v>
      </c>
      <c r="AB1608" s="11">
        <v>73.665999999999997</v>
      </c>
      <c r="AC1608" s="11">
        <v>73.016999999999996</v>
      </c>
      <c r="AD1608" s="11">
        <v>72.405000000000001</v>
      </c>
      <c r="AE1608" s="11">
        <v>71.876999999999995</v>
      </c>
      <c r="AF1608" s="11">
        <v>71.388000000000005</v>
      </c>
      <c r="AG1608" s="11">
        <v>70.897999999999996</v>
      </c>
      <c r="AH1608" s="11">
        <v>70.417000000000002</v>
      </c>
      <c r="AI1608" s="11">
        <v>69.956999999999994</v>
      </c>
      <c r="AJ1608" s="11">
        <v>69.58</v>
      </c>
      <c r="AK1608" s="11">
        <v>69.271000000000001</v>
      </c>
      <c r="AL1608" s="11"/>
    </row>
    <row r="1609" spans="1:38" x14ac:dyDescent="0.3">
      <c r="A1609" s="9">
        <f>DATE(2023, 3, 22)</f>
        <v>45007</v>
      </c>
      <c r="B1609" s="10">
        <v>76.69</v>
      </c>
      <c r="C1609" s="10">
        <v>76.38</v>
      </c>
      <c r="D1609" s="10">
        <v>76.25</v>
      </c>
      <c r="E1609" s="10">
        <v>76.02</v>
      </c>
      <c r="F1609" s="10">
        <v>75.709999999999994</v>
      </c>
      <c r="G1609" s="10">
        <v>75.36</v>
      </c>
      <c r="H1609" s="10">
        <v>75.03</v>
      </c>
      <c r="I1609" s="10">
        <v>74.69</v>
      </c>
      <c r="J1609" s="10">
        <v>74.349999999999994</v>
      </c>
      <c r="K1609" s="10">
        <v>74.03</v>
      </c>
      <c r="L1609" s="10">
        <v>73.75</v>
      </c>
      <c r="M1609" s="10">
        <v>73.48</v>
      </c>
      <c r="N1609" s="10">
        <v>70.900000000000006</v>
      </c>
      <c r="O1609" s="10">
        <v>71.02</v>
      </c>
      <c r="P1609" s="10">
        <v>70.97</v>
      </c>
      <c r="Q1609" s="10">
        <v>70.739999999999995</v>
      </c>
      <c r="R1609" s="10">
        <v>70.42</v>
      </c>
      <c r="S1609" s="10">
        <v>70.069999999999993</v>
      </c>
      <c r="T1609" s="10">
        <v>69.709999999999994</v>
      </c>
      <c r="U1609" s="10">
        <v>69.36</v>
      </c>
      <c r="V1609" s="10">
        <v>69.010000000000005</v>
      </c>
      <c r="W1609" s="10">
        <v>68.67</v>
      </c>
      <c r="X1609" s="10">
        <v>68.37</v>
      </c>
      <c r="Y1609" s="10">
        <v>68.099999999999994</v>
      </c>
      <c r="Z1609" s="11">
        <v>78.325000000000003</v>
      </c>
      <c r="AA1609" s="11">
        <v>75.893000000000001</v>
      </c>
      <c r="AB1609" s="11">
        <v>75.13</v>
      </c>
      <c r="AC1609" s="11">
        <v>74.421000000000006</v>
      </c>
      <c r="AD1609" s="11">
        <v>73.742999999999995</v>
      </c>
      <c r="AE1609" s="11">
        <v>73.194000000000003</v>
      </c>
      <c r="AF1609" s="11">
        <v>72.664000000000001</v>
      </c>
      <c r="AG1609" s="11">
        <v>72.194999999999993</v>
      </c>
      <c r="AH1609" s="11">
        <v>71.724999999999994</v>
      </c>
      <c r="AI1609" s="11">
        <v>71.221999999999994</v>
      </c>
      <c r="AJ1609" s="11">
        <v>70.787999999999997</v>
      </c>
      <c r="AK1609" s="11">
        <v>70.409000000000006</v>
      </c>
      <c r="AL1609" s="11"/>
    </row>
    <row r="1610" spans="1:38" x14ac:dyDescent="0.3">
      <c r="A1610" s="9">
        <f>DATE(2023, 3, 23)</f>
        <v>45008</v>
      </c>
      <c r="B1610" s="10">
        <v>75.91</v>
      </c>
      <c r="C1610" s="10">
        <v>75.5</v>
      </c>
      <c r="D1610" s="10">
        <v>75.400000000000006</v>
      </c>
      <c r="E1610" s="10">
        <v>75.2</v>
      </c>
      <c r="F1610" s="10">
        <v>74.92</v>
      </c>
      <c r="G1610" s="10">
        <v>74.61</v>
      </c>
      <c r="H1610" s="10">
        <v>74.319999999999993</v>
      </c>
      <c r="I1610" s="10">
        <v>74.02</v>
      </c>
      <c r="J1610" s="10">
        <v>73.72</v>
      </c>
      <c r="K1610" s="10">
        <v>73.430000000000007</v>
      </c>
      <c r="L1610" s="10">
        <v>73.19</v>
      </c>
      <c r="M1610" s="10">
        <v>72.95</v>
      </c>
      <c r="N1610" s="10">
        <v>69.959999999999994</v>
      </c>
      <c r="O1610" s="10">
        <v>70.12</v>
      </c>
      <c r="P1610" s="10">
        <v>70.11</v>
      </c>
      <c r="Q1610" s="10">
        <v>69.930000000000007</v>
      </c>
      <c r="R1610" s="10">
        <v>69.650000000000006</v>
      </c>
      <c r="S1610" s="10">
        <v>69.34</v>
      </c>
      <c r="T1610" s="10">
        <v>69.03</v>
      </c>
      <c r="U1610" s="10">
        <v>68.72</v>
      </c>
      <c r="V1610" s="10">
        <v>68.42</v>
      </c>
      <c r="W1610" s="10">
        <v>68.12</v>
      </c>
      <c r="X1610" s="10">
        <v>67.86</v>
      </c>
      <c r="Y1610" s="10">
        <v>67.63</v>
      </c>
      <c r="Z1610" s="11">
        <v>78.066000000000003</v>
      </c>
      <c r="AA1610" s="11">
        <v>74.926000000000002</v>
      </c>
      <c r="AB1610" s="11">
        <v>74.215000000000003</v>
      </c>
      <c r="AC1610" s="11">
        <v>73.522000000000006</v>
      </c>
      <c r="AD1610" s="11">
        <v>72.911000000000001</v>
      </c>
      <c r="AE1610" s="11">
        <v>72.387</v>
      </c>
      <c r="AF1610" s="11">
        <v>71.881</v>
      </c>
      <c r="AG1610" s="11">
        <v>71.406000000000006</v>
      </c>
      <c r="AH1610" s="11">
        <v>70.966999999999999</v>
      </c>
      <c r="AI1610" s="11">
        <v>70.506</v>
      </c>
      <c r="AJ1610" s="11">
        <v>70.119</v>
      </c>
      <c r="AK1610" s="11">
        <v>69.77</v>
      </c>
      <c r="AL1610" s="11"/>
    </row>
    <row r="1611" spans="1:38" x14ac:dyDescent="0.3">
      <c r="A1611" s="9">
        <f>DATE(2023, 3, 24)</f>
        <v>45009</v>
      </c>
      <c r="B1611" s="10">
        <v>74.989999999999995</v>
      </c>
      <c r="C1611" s="10">
        <v>74.59</v>
      </c>
      <c r="D1611" s="10">
        <v>74.52</v>
      </c>
      <c r="E1611" s="10">
        <v>74.349999999999994</v>
      </c>
      <c r="F1611" s="10">
        <v>74.099999999999994</v>
      </c>
      <c r="G1611" s="10">
        <v>73.81</v>
      </c>
      <c r="H1611" s="10">
        <v>73.540000000000006</v>
      </c>
      <c r="I1611" s="10">
        <v>73.260000000000005</v>
      </c>
      <c r="J1611" s="10">
        <v>72.98</v>
      </c>
      <c r="K1611" s="10">
        <v>72.72</v>
      </c>
      <c r="L1611" s="10">
        <v>72.5</v>
      </c>
      <c r="M1611" s="10">
        <v>72.3</v>
      </c>
      <c r="N1611" s="10">
        <v>69.260000000000005</v>
      </c>
      <c r="O1611" s="10">
        <v>69.41</v>
      </c>
      <c r="P1611" s="10">
        <v>69.400000000000006</v>
      </c>
      <c r="Q1611" s="10">
        <v>69.239999999999995</v>
      </c>
      <c r="R1611" s="10">
        <v>68.98</v>
      </c>
      <c r="S1611" s="10">
        <v>68.680000000000007</v>
      </c>
      <c r="T1611" s="10">
        <v>68.39</v>
      </c>
      <c r="U1611" s="10">
        <v>68.12</v>
      </c>
      <c r="V1611" s="10">
        <v>67.84</v>
      </c>
      <c r="W1611" s="10">
        <v>67.58</v>
      </c>
      <c r="X1611" s="10">
        <v>67.349999999999994</v>
      </c>
      <c r="Y1611" s="10">
        <v>67.14</v>
      </c>
      <c r="Z1611" s="11">
        <v>77.844999999999999</v>
      </c>
      <c r="AA1611" s="11">
        <v>73.945999999999998</v>
      </c>
      <c r="AB1611" s="11">
        <v>73.242999999999995</v>
      </c>
      <c r="AC1611" s="11">
        <v>72.569000000000003</v>
      </c>
      <c r="AD1611" s="11">
        <v>71.986000000000004</v>
      </c>
      <c r="AE1611" s="11">
        <v>71.468000000000004</v>
      </c>
      <c r="AF1611" s="11">
        <v>70.989000000000004</v>
      </c>
      <c r="AG1611" s="11">
        <v>70.537000000000006</v>
      </c>
      <c r="AH1611" s="11">
        <v>70.097999999999999</v>
      </c>
      <c r="AI1611" s="11">
        <v>69.647999999999996</v>
      </c>
      <c r="AJ1611" s="11">
        <v>69.301000000000002</v>
      </c>
      <c r="AK1611" s="11">
        <v>69.001000000000005</v>
      </c>
      <c r="AL1611" s="11"/>
    </row>
    <row r="1612" spans="1:38" x14ac:dyDescent="0.3">
      <c r="A1612" s="9">
        <f>DATE(2023, 3, 27)</f>
        <v>45012</v>
      </c>
      <c r="B1612" s="10">
        <v>78.12</v>
      </c>
      <c r="C1612" s="10">
        <v>77.760000000000005</v>
      </c>
      <c r="D1612" s="10">
        <v>77.680000000000007</v>
      </c>
      <c r="E1612" s="10">
        <v>77.489999999999995</v>
      </c>
      <c r="F1612" s="10">
        <v>77.2</v>
      </c>
      <c r="G1612" s="10">
        <v>76.87</v>
      </c>
      <c r="H1612" s="10">
        <v>76.540000000000006</v>
      </c>
      <c r="I1612" s="10">
        <v>76.209999999999994</v>
      </c>
      <c r="J1612" s="10">
        <v>75.89</v>
      </c>
      <c r="K1612" s="10">
        <v>75.58</v>
      </c>
      <c r="L1612" s="10">
        <v>75.3</v>
      </c>
      <c r="M1612" s="10">
        <v>75.040000000000006</v>
      </c>
      <c r="N1612" s="10">
        <v>72.81</v>
      </c>
      <c r="O1612" s="10">
        <v>72.930000000000007</v>
      </c>
      <c r="P1612" s="10">
        <v>72.88</v>
      </c>
      <c r="Q1612" s="10">
        <v>72.67</v>
      </c>
      <c r="R1612" s="10">
        <v>72.349999999999994</v>
      </c>
      <c r="S1612" s="10">
        <v>71.98</v>
      </c>
      <c r="T1612" s="10">
        <v>71.63</v>
      </c>
      <c r="U1612" s="10">
        <v>71.3</v>
      </c>
      <c r="V1612" s="10">
        <v>70.959999999999994</v>
      </c>
      <c r="W1612" s="10">
        <v>70.63</v>
      </c>
      <c r="X1612" s="10">
        <v>70.33</v>
      </c>
      <c r="Y1612" s="10">
        <v>70.05</v>
      </c>
      <c r="Z1612" s="11">
        <v>78.411000000000001</v>
      </c>
      <c r="AA1612" s="11">
        <v>77.085999999999999</v>
      </c>
      <c r="AB1612" s="11">
        <v>76.391999999999996</v>
      </c>
      <c r="AC1612" s="11">
        <v>75.697000000000003</v>
      </c>
      <c r="AD1612" s="11">
        <v>75.063999999999993</v>
      </c>
      <c r="AE1612" s="11">
        <v>74.516000000000005</v>
      </c>
      <c r="AF1612" s="11">
        <v>73.994</v>
      </c>
      <c r="AG1612" s="11">
        <v>73.534999999999997</v>
      </c>
      <c r="AH1612" s="11">
        <v>73.096000000000004</v>
      </c>
      <c r="AI1612" s="11">
        <v>72.606999999999999</v>
      </c>
      <c r="AJ1612" s="11">
        <v>72.265000000000001</v>
      </c>
      <c r="AK1612" s="11">
        <v>72.028999999999996</v>
      </c>
      <c r="AL1612" s="11"/>
    </row>
    <row r="1613" spans="1:38" x14ac:dyDescent="0.3">
      <c r="A1613" s="9">
        <f>DATE(2023, 3, 28)</f>
        <v>45013</v>
      </c>
      <c r="B1613" s="10">
        <v>78.650000000000006</v>
      </c>
      <c r="C1613" s="10">
        <v>78.14</v>
      </c>
      <c r="D1613" s="10">
        <v>77.98</v>
      </c>
      <c r="E1613" s="10">
        <v>77.739999999999995</v>
      </c>
      <c r="F1613" s="10">
        <v>77.42</v>
      </c>
      <c r="G1613" s="10">
        <v>77.069999999999993</v>
      </c>
      <c r="H1613" s="10">
        <v>76.739999999999995</v>
      </c>
      <c r="I1613" s="10">
        <v>76.41</v>
      </c>
      <c r="J1613" s="10">
        <v>76.08</v>
      </c>
      <c r="K1613" s="10">
        <v>75.760000000000005</v>
      </c>
      <c r="L1613" s="10">
        <v>75.48</v>
      </c>
      <c r="M1613" s="10">
        <v>75.209999999999994</v>
      </c>
      <c r="N1613" s="10">
        <v>73.2</v>
      </c>
      <c r="O1613" s="10">
        <v>73.34</v>
      </c>
      <c r="P1613" s="10">
        <v>73.290000000000006</v>
      </c>
      <c r="Q1613" s="10">
        <v>73.06</v>
      </c>
      <c r="R1613" s="10">
        <v>72.72</v>
      </c>
      <c r="S1613" s="10">
        <v>72.34</v>
      </c>
      <c r="T1613" s="10">
        <v>71.98</v>
      </c>
      <c r="U1613" s="10">
        <v>71.64</v>
      </c>
      <c r="V1613" s="10">
        <v>71.290000000000006</v>
      </c>
      <c r="W1613" s="10">
        <v>70.95</v>
      </c>
      <c r="X1613" s="10">
        <v>70.64</v>
      </c>
      <c r="Y1613" s="10">
        <v>70.34</v>
      </c>
      <c r="Z1613" s="11">
        <v>78.394999999999996</v>
      </c>
      <c r="AA1613" s="11">
        <v>77.177000000000007</v>
      </c>
      <c r="AB1613" s="11">
        <v>76.45</v>
      </c>
      <c r="AC1613" s="11">
        <v>75.734999999999999</v>
      </c>
      <c r="AD1613" s="11">
        <v>75.128</v>
      </c>
      <c r="AE1613" s="11">
        <v>74.600999999999999</v>
      </c>
      <c r="AF1613" s="11">
        <v>74.159000000000006</v>
      </c>
      <c r="AG1613" s="11">
        <v>73.715000000000003</v>
      </c>
      <c r="AH1613" s="11">
        <v>73.275000000000006</v>
      </c>
      <c r="AI1613" s="11">
        <v>72.802000000000007</v>
      </c>
      <c r="AJ1613" s="11">
        <v>72.462999999999994</v>
      </c>
      <c r="AK1613" s="11">
        <v>72.158000000000001</v>
      </c>
      <c r="AL1613" s="11"/>
    </row>
    <row r="1614" spans="1:38" x14ac:dyDescent="0.3">
      <c r="A1614" s="9">
        <f>DATE(2023, 3, 29)</f>
        <v>45014</v>
      </c>
      <c r="B1614" s="10">
        <v>78.28</v>
      </c>
      <c r="C1614" s="10">
        <v>77.59</v>
      </c>
      <c r="D1614" s="10">
        <v>77.44</v>
      </c>
      <c r="E1614" s="10">
        <v>77.209999999999994</v>
      </c>
      <c r="F1614" s="10">
        <v>76.91</v>
      </c>
      <c r="G1614" s="10">
        <v>76.569999999999993</v>
      </c>
      <c r="H1614" s="10">
        <v>76.239999999999995</v>
      </c>
      <c r="I1614" s="10">
        <v>75.900000000000006</v>
      </c>
      <c r="J1614" s="10">
        <v>75.58</v>
      </c>
      <c r="K1614" s="10">
        <v>75.27</v>
      </c>
      <c r="L1614" s="10">
        <v>75</v>
      </c>
      <c r="M1614" s="10">
        <v>74.73</v>
      </c>
      <c r="N1614" s="10">
        <v>72.97</v>
      </c>
      <c r="O1614" s="10">
        <v>73.12</v>
      </c>
      <c r="P1614" s="10">
        <v>73.06</v>
      </c>
      <c r="Q1614" s="10">
        <v>72.81</v>
      </c>
      <c r="R1614" s="10">
        <v>72.45</v>
      </c>
      <c r="S1614" s="10">
        <v>72.05</v>
      </c>
      <c r="T1614" s="10">
        <v>71.66</v>
      </c>
      <c r="U1614" s="10">
        <v>71.290000000000006</v>
      </c>
      <c r="V1614" s="10">
        <v>70.930000000000007</v>
      </c>
      <c r="W1614" s="10">
        <v>70.59</v>
      </c>
      <c r="X1614" s="10">
        <v>70.28</v>
      </c>
      <c r="Y1614" s="10">
        <v>69.989999999999995</v>
      </c>
      <c r="Z1614" s="11">
        <v>78.393000000000001</v>
      </c>
      <c r="AA1614" s="11">
        <v>76.751999999999995</v>
      </c>
      <c r="AB1614" s="11">
        <v>75.95</v>
      </c>
      <c r="AC1614" s="11">
        <v>75.195999999999998</v>
      </c>
      <c r="AD1614" s="11">
        <v>74.563999999999993</v>
      </c>
      <c r="AE1614" s="11">
        <v>74.013000000000005</v>
      </c>
      <c r="AF1614" s="11">
        <v>73.561000000000007</v>
      </c>
      <c r="AG1614" s="11">
        <v>73.12</v>
      </c>
      <c r="AH1614" s="11">
        <v>72.695999999999998</v>
      </c>
      <c r="AI1614" s="11">
        <v>72.242999999999995</v>
      </c>
      <c r="AJ1614" s="11">
        <v>71.917000000000002</v>
      </c>
      <c r="AK1614" s="11">
        <v>71.647999999999996</v>
      </c>
      <c r="AL1614" s="11"/>
    </row>
    <row r="1615" spans="1:38" x14ac:dyDescent="0.3">
      <c r="A1615" s="9">
        <f>DATE(2023, 3, 30)</f>
        <v>45015</v>
      </c>
      <c r="B1615" s="10">
        <v>79.27</v>
      </c>
      <c r="C1615" s="10">
        <v>78.599999999999994</v>
      </c>
      <c r="D1615" s="10">
        <v>78.459999999999994</v>
      </c>
      <c r="E1615" s="10">
        <v>78.209999999999994</v>
      </c>
      <c r="F1615" s="10">
        <v>77.89</v>
      </c>
      <c r="G1615" s="10">
        <v>77.510000000000005</v>
      </c>
      <c r="H1615" s="10">
        <v>77.150000000000006</v>
      </c>
      <c r="I1615" s="10">
        <v>76.790000000000006</v>
      </c>
      <c r="J1615" s="10">
        <v>76.430000000000007</v>
      </c>
      <c r="K1615" s="10">
        <v>76.09</v>
      </c>
      <c r="L1615" s="10">
        <v>75.790000000000006</v>
      </c>
      <c r="M1615" s="10">
        <v>75.489999999999995</v>
      </c>
      <c r="N1615" s="10">
        <v>74.37</v>
      </c>
      <c r="O1615" s="10">
        <v>74.489999999999995</v>
      </c>
      <c r="P1615" s="10">
        <v>74.41</v>
      </c>
      <c r="Q1615" s="10">
        <v>74.13</v>
      </c>
      <c r="R1615" s="10">
        <v>73.73</v>
      </c>
      <c r="S1615" s="10">
        <v>73.27</v>
      </c>
      <c r="T1615" s="10">
        <v>72.83</v>
      </c>
      <c r="U1615" s="10">
        <v>72.41</v>
      </c>
      <c r="V1615" s="10">
        <v>72</v>
      </c>
      <c r="W1615" s="10">
        <v>71.61</v>
      </c>
      <c r="X1615" s="10">
        <v>71.25</v>
      </c>
      <c r="Y1615" s="10">
        <v>70.92</v>
      </c>
      <c r="Z1615" s="11">
        <v>78.503</v>
      </c>
      <c r="AA1615" s="11">
        <v>77.933000000000007</v>
      </c>
      <c r="AB1615" s="11">
        <v>77.108999999999995</v>
      </c>
      <c r="AC1615" s="11">
        <v>76.265000000000001</v>
      </c>
      <c r="AD1615" s="11">
        <v>75.602000000000004</v>
      </c>
      <c r="AE1615" s="11">
        <v>75.034000000000006</v>
      </c>
      <c r="AF1615" s="11">
        <v>74.522999999999996</v>
      </c>
      <c r="AG1615" s="11">
        <v>74.024000000000001</v>
      </c>
      <c r="AH1615" s="11">
        <v>73.564999999999998</v>
      </c>
      <c r="AI1615" s="11">
        <v>73.11</v>
      </c>
      <c r="AJ1615" s="11">
        <v>72.775999999999996</v>
      </c>
      <c r="AK1615" s="11">
        <v>72.466999999999999</v>
      </c>
      <c r="AL1615" s="11"/>
    </row>
    <row r="1616" spans="1:38" x14ac:dyDescent="0.3">
      <c r="A1616" s="9">
        <f>DATE(2023, 3, 31)</f>
        <v>45016</v>
      </c>
      <c r="B1616" s="10">
        <v>79.77</v>
      </c>
      <c r="C1616" s="10">
        <v>79.89</v>
      </c>
      <c r="D1616" s="10">
        <v>79.73</v>
      </c>
      <c r="E1616" s="10">
        <v>79.45</v>
      </c>
      <c r="F1616" s="10">
        <v>79.11</v>
      </c>
      <c r="G1616" s="10">
        <v>78.709999999999994</v>
      </c>
      <c r="H1616" s="10">
        <v>78.31</v>
      </c>
      <c r="I1616" s="10">
        <v>77.91</v>
      </c>
      <c r="J1616" s="10">
        <v>77.53</v>
      </c>
      <c r="K1616" s="10">
        <v>77.150000000000006</v>
      </c>
      <c r="L1616" s="10">
        <v>76.81</v>
      </c>
      <c r="M1616" s="10">
        <v>76.48</v>
      </c>
      <c r="N1616" s="10">
        <v>75.67</v>
      </c>
      <c r="O1616" s="10">
        <v>75.8</v>
      </c>
      <c r="P1616" s="10">
        <v>75.73</v>
      </c>
      <c r="Q1616" s="10">
        <v>75.44</v>
      </c>
      <c r="R1616" s="10">
        <v>75</v>
      </c>
      <c r="S1616" s="10">
        <v>74.510000000000005</v>
      </c>
      <c r="T1616" s="10">
        <v>74.02</v>
      </c>
      <c r="U1616" s="10">
        <v>73.55</v>
      </c>
      <c r="V1616" s="10">
        <v>73.099999999999994</v>
      </c>
      <c r="W1616" s="10">
        <v>72.66</v>
      </c>
      <c r="X1616" s="10">
        <v>72.260000000000005</v>
      </c>
      <c r="Y1616" s="10">
        <v>71.89</v>
      </c>
      <c r="Z1616" s="11">
        <v>78.492999999999995</v>
      </c>
      <c r="AA1616" s="11">
        <v>79.480999999999995</v>
      </c>
      <c r="AB1616" s="11">
        <v>78.658000000000001</v>
      </c>
      <c r="AC1616" s="11">
        <v>77.784999999999997</v>
      </c>
      <c r="AD1616" s="11">
        <v>77.081000000000003</v>
      </c>
      <c r="AE1616" s="11">
        <v>76.472999999999999</v>
      </c>
      <c r="AF1616" s="11">
        <v>75.941000000000003</v>
      </c>
      <c r="AG1616" s="11">
        <v>75.412999999999997</v>
      </c>
      <c r="AH1616" s="11">
        <v>74.903000000000006</v>
      </c>
      <c r="AI1616" s="11">
        <v>74.376000000000005</v>
      </c>
      <c r="AJ1616" s="11">
        <v>74.015000000000001</v>
      </c>
      <c r="AK1616" s="11">
        <v>73.665000000000006</v>
      </c>
      <c r="AL1616" s="11"/>
    </row>
    <row r="1617" spans="1:38" x14ac:dyDescent="0.3">
      <c r="A1617" s="9">
        <f>DATE(2023, 4, 3)</f>
        <v>45019</v>
      </c>
      <c r="B1617" s="10">
        <v>84.93</v>
      </c>
      <c r="C1617" s="10">
        <v>84.55</v>
      </c>
      <c r="D1617" s="10">
        <v>83.97</v>
      </c>
      <c r="E1617" s="10">
        <v>83.34</v>
      </c>
      <c r="F1617" s="10">
        <v>82.69</v>
      </c>
      <c r="G1617" s="10">
        <v>82.08</v>
      </c>
      <c r="H1617" s="10">
        <v>81.5</v>
      </c>
      <c r="I1617" s="10">
        <v>80.930000000000007</v>
      </c>
      <c r="J1617" s="10">
        <v>80.38</v>
      </c>
      <c r="K1617" s="10">
        <v>79.88</v>
      </c>
      <c r="L1617" s="10">
        <v>79.39</v>
      </c>
      <c r="M1617" s="10">
        <v>78.92</v>
      </c>
      <c r="N1617" s="10">
        <v>80.42</v>
      </c>
      <c r="O1617" s="10">
        <v>80.44</v>
      </c>
      <c r="P1617" s="10">
        <v>80.16</v>
      </c>
      <c r="Q1617" s="10">
        <v>79.64</v>
      </c>
      <c r="R1617" s="10">
        <v>78.98</v>
      </c>
      <c r="S1617" s="10">
        <v>78.27</v>
      </c>
      <c r="T1617" s="10">
        <v>77.569999999999993</v>
      </c>
      <c r="U1617" s="10">
        <v>76.91</v>
      </c>
      <c r="V1617" s="10">
        <v>76.27</v>
      </c>
      <c r="W1617" s="10">
        <v>75.66</v>
      </c>
      <c r="X1617" s="10">
        <v>75.099999999999994</v>
      </c>
      <c r="Y1617" s="10">
        <v>74.59</v>
      </c>
      <c r="Z1617" s="11">
        <v>78.492999999999995</v>
      </c>
      <c r="AA1617" s="11">
        <v>84.537999999999997</v>
      </c>
      <c r="AB1617" s="11">
        <v>83.734999999999999</v>
      </c>
      <c r="AC1617" s="11">
        <v>82.691000000000003</v>
      </c>
      <c r="AD1617" s="11">
        <v>81.698999999999998</v>
      </c>
      <c r="AE1617" s="11">
        <v>80.817999999999998</v>
      </c>
      <c r="AF1617" s="11">
        <v>80.039000000000001</v>
      </c>
      <c r="AG1617" s="11">
        <v>79.293999999999997</v>
      </c>
      <c r="AH1617" s="11">
        <v>78.594999999999999</v>
      </c>
      <c r="AI1617" s="11">
        <v>77.91</v>
      </c>
      <c r="AJ1617" s="11">
        <v>77.358000000000004</v>
      </c>
      <c r="AK1617" s="11">
        <v>76.817999999999998</v>
      </c>
      <c r="AL1617" s="11"/>
    </row>
    <row r="1618" spans="1:38" x14ac:dyDescent="0.3">
      <c r="A1618" s="9">
        <f>DATE(2023, 4, 4)</f>
        <v>45020</v>
      </c>
      <c r="B1618" s="10">
        <v>84.94</v>
      </c>
      <c r="C1618" s="10">
        <v>84.55</v>
      </c>
      <c r="D1618" s="10">
        <v>83.97</v>
      </c>
      <c r="E1618" s="10">
        <v>83.34</v>
      </c>
      <c r="F1618" s="10">
        <v>82.69</v>
      </c>
      <c r="G1618" s="10">
        <v>82.07</v>
      </c>
      <c r="H1618" s="10">
        <v>81.47</v>
      </c>
      <c r="I1618" s="10">
        <v>80.88</v>
      </c>
      <c r="J1618" s="10">
        <v>80.319999999999993</v>
      </c>
      <c r="K1618" s="10">
        <v>79.8</v>
      </c>
      <c r="L1618" s="10">
        <v>79.3</v>
      </c>
      <c r="M1618" s="10">
        <v>78.83</v>
      </c>
      <c r="N1618" s="10">
        <v>80.709999999999994</v>
      </c>
      <c r="O1618" s="10">
        <v>80.72</v>
      </c>
      <c r="P1618" s="10">
        <v>80.430000000000007</v>
      </c>
      <c r="Q1618" s="10">
        <v>79.89</v>
      </c>
      <c r="R1618" s="10">
        <v>79.209999999999994</v>
      </c>
      <c r="S1618" s="10">
        <v>78.47</v>
      </c>
      <c r="T1618" s="10">
        <v>77.739999999999995</v>
      </c>
      <c r="U1618" s="10">
        <v>77.040000000000006</v>
      </c>
      <c r="V1618" s="10">
        <v>76.38</v>
      </c>
      <c r="W1618" s="10">
        <v>75.739999999999995</v>
      </c>
      <c r="X1618" s="10">
        <v>75.180000000000007</v>
      </c>
      <c r="Y1618" s="10">
        <v>74.64</v>
      </c>
      <c r="Z1618" s="11">
        <v>84.465000000000003</v>
      </c>
      <c r="AA1618" s="11">
        <v>83.674999999999997</v>
      </c>
      <c r="AB1618" s="11">
        <v>82.620999999999995</v>
      </c>
      <c r="AC1618" s="11">
        <v>81.688999999999993</v>
      </c>
      <c r="AD1618" s="11">
        <v>80.802999999999997</v>
      </c>
      <c r="AE1618" s="11">
        <v>80.021000000000001</v>
      </c>
      <c r="AF1618" s="11">
        <v>79.283000000000001</v>
      </c>
      <c r="AG1618" s="11">
        <v>78.575000000000003</v>
      </c>
      <c r="AH1618" s="11">
        <v>77.817999999999998</v>
      </c>
      <c r="AI1618" s="11">
        <v>77.236999999999995</v>
      </c>
      <c r="AJ1618" s="11">
        <v>76.748000000000005</v>
      </c>
      <c r="AK1618" s="11">
        <v>76.216999999999999</v>
      </c>
      <c r="AL1618" s="11"/>
    </row>
    <row r="1619" spans="1:38" x14ac:dyDescent="0.3">
      <c r="A1619" s="9">
        <f>DATE(2023, 4, 5)</f>
        <v>45021</v>
      </c>
      <c r="B1619" s="10">
        <v>84.99</v>
      </c>
      <c r="C1619" s="10">
        <v>84.62</v>
      </c>
      <c r="D1619" s="10">
        <v>84.04</v>
      </c>
      <c r="E1619" s="10">
        <v>83.42</v>
      </c>
      <c r="F1619" s="10">
        <v>82.77</v>
      </c>
      <c r="G1619" s="10">
        <v>82.15</v>
      </c>
      <c r="H1619" s="10">
        <v>81.55</v>
      </c>
      <c r="I1619" s="10">
        <v>80.97</v>
      </c>
      <c r="J1619" s="10">
        <v>80.41</v>
      </c>
      <c r="K1619" s="10">
        <v>79.89</v>
      </c>
      <c r="L1619" s="10">
        <v>79.39</v>
      </c>
      <c r="M1619" s="10">
        <v>78.91</v>
      </c>
      <c r="N1619" s="10">
        <v>80.61</v>
      </c>
      <c r="O1619" s="10">
        <v>80.63</v>
      </c>
      <c r="P1619" s="10">
        <v>80.36</v>
      </c>
      <c r="Q1619" s="10">
        <v>79.819999999999993</v>
      </c>
      <c r="R1619" s="10">
        <v>79.14</v>
      </c>
      <c r="S1619" s="10">
        <v>78.41</v>
      </c>
      <c r="T1619" s="10">
        <v>77.69</v>
      </c>
      <c r="U1619" s="10">
        <v>77.010000000000005</v>
      </c>
      <c r="V1619" s="10">
        <v>76.349999999999994</v>
      </c>
      <c r="W1619" s="10">
        <v>75.739999999999995</v>
      </c>
      <c r="X1619" s="10">
        <v>75.150000000000006</v>
      </c>
      <c r="Y1619" s="10">
        <v>74.61</v>
      </c>
      <c r="Z1619" s="11">
        <v>84.844999999999999</v>
      </c>
      <c r="AA1619" s="11">
        <v>83.995000000000005</v>
      </c>
      <c r="AB1619" s="11">
        <v>82.902000000000001</v>
      </c>
      <c r="AC1619" s="11">
        <v>81.938999999999993</v>
      </c>
      <c r="AD1619" s="11">
        <v>81.043000000000006</v>
      </c>
      <c r="AE1619" s="11">
        <v>80.236000000000004</v>
      </c>
      <c r="AF1619" s="11">
        <v>79.463999999999999</v>
      </c>
      <c r="AG1619" s="11">
        <v>78.734999999999999</v>
      </c>
      <c r="AH1619" s="11">
        <v>78.028000000000006</v>
      </c>
      <c r="AI1619" s="11">
        <v>77.447000000000003</v>
      </c>
      <c r="AJ1619" s="11">
        <v>76.897000000000006</v>
      </c>
      <c r="AK1619" s="11">
        <v>76.388000000000005</v>
      </c>
      <c r="AL1619" s="11"/>
    </row>
    <row r="1620" spans="1:38" x14ac:dyDescent="0.3">
      <c r="A1620" s="9">
        <f>DATE(2023, 4, 6)</f>
        <v>45022</v>
      </c>
      <c r="B1620" s="10">
        <v>85.12</v>
      </c>
      <c r="C1620" s="10">
        <v>84.67</v>
      </c>
      <c r="D1620" s="10">
        <v>84.04</v>
      </c>
      <c r="E1620" s="10">
        <v>83.39</v>
      </c>
      <c r="F1620" s="10">
        <v>82.73</v>
      </c>
      <c r="G1620" s="10">
        <v>82.1</v>
      </c>
      <c r="H1620" s="10">
        <v>81.48</v>
      </c>
      <c r="I1620" s="10">
        <v>80.88</v>
      </c>
      <c r="J1620" s="10">
        <v>80.31</v>
      </c>
      <c r="K1620" s="10">
        <v>79.78</v>
      </c>
      <c r="L1620" s="10">
        <v>79.27</v>
      </c>
      <c r="M1620" s="10">
        <v>78.78</v>
      </c>
      <c r="N1620" s="10">
        <v>80.7</v>
      </c>
      <c r="O1620" s="10">
        <v>80.680000000000007</v>
      </c>
      <c r="P1620" s="10">
        <v>80.349999999999994</v>
      </c>
      <c r="Q1620" s="10">
        <v>79.760000000000005</v>
      </c>
      <c r="R1620" s="10">
        <v>79.05</v>
      </c>
      <c r="S1620" s="10">
        <v>78.31</v>
      </c>
      <c r="T1620" s="10">
        <v>77.58</v>
      </c>
      <c r="U1620" s="10">
        <v>76.900000000000006</v>
      </c>
      <c r="V1620" s="10">
        <v>76.209999999999994</v>
      </c>
      <c r="W1620" s="10">
        <v>75.58</v>
      </c>
      <c r="X1620" s="10">
        <v>74.989999999999995</v>
      </c>
      <c r="Y1620" s="10">
        <v>74.44</v>
      </c>
      <c r="Z1620" s="11">
        <v>84.894999999999996</v>
      </c>
      <c r="AA1620" s="11">
        <v>84.162999999999997</v>
      </c>
      <c r="AB1620" s="11">
        <v>83.043000000000006</v>
      </c>
      <c r="AC1620" s="11">
        <v>82.049000000000007</v>
      </c>
      <c r="AD1620" s="11">
        <v>81.132999999999996</v>
      </c>
      <c r="AE1620" s="11">
        <v>80.295000000000002</v>
      </c>
      <c r="AF1620" s="11">
        <v>79.483000000000004</v>
      </c>
      <c r="AG1620" s="11">
        <v>78.77</v>
      </c>
      <c r="AH1620" s="11">
        <v>78.093000000000004</v>
      </c>
      <c r="AI1620" s="11">
        <v>77.397000000000006</v>
      </c>
      <c r="AJ1620" s="11">
        <v>76.876999999999995</v>
      </c>
      <c r="AK1620" s="11">
        <v>76.367999999999995</v>
      </c>
      <c r="AL1620" s="11"/>
    </row>
    <row r="1621" spans="1:38" x14ac:dyDescent="0.3">
      <c r="A1621" s="9">
        <f>DATE(2023, 4, 10)</f>
        <v>45026</v>
      </c>
      <c r="B1621" s="10">
        <v>84.18</v>
      </c>
      <c r="C1621" s="10">
        <v>83.79</v>
      </c>
      <c r="D1621" s="10">
        <v>83.21</v>
      </c>
      <c r="E1621" s="10">
        <v>82.61</v>
      </c>
      <c r="F1621" s="10">
        <v>82</v>
      </c>
      <c r="G1621" s="10">
        <v>81.400000000000006</v>
      </c>
      <c r="H1621" s="10">
        <v>80.81</v>
      </c>
      <c r="I1621" s="10">
        <v>80.23</v>
      </c>
      <c r="J1621" s="10">
        <v>79.67</v>
      </c>
      <c r="K1621" s="10">
        <v>79.17</v>
      </c>
      <c r="L1621" s="10">
        <v>78.67</v>
      </c>
      <c r="M1621" s="10">
        <v>78.209999999999994</v>
      </c>
      <c r="N1621" s="10">
        <v>79.739999999999995</v>
      </c>
      <c r="O1621" s="10">
        <v>79.77</v>
      </c>
      <c r="P1621" s="10">
        <v>79.459999999999994</v>
      </c>
      <c r="Q1621" s="10">
        <v>78.92</v>
      </c>
      <c r="R1621" s="10">
        <v>78.27</v>
      </c>
      <c r="S1621" s="10">
        <v>77.59</v>
      </c>
      <c r="T1621" s="10">
        <v>76.91</v>
      </c>
      <c r="U1621" s="10">
        <v>76.27</v>
      </c>
      <c r="V1621" s="10">
        <v>75.64</v>
      </c>
      <c r="W1621" s="10">
        <v>75.040000000000006</v>
      </c>
      <c r="X1621" s="10">
        <v>74.48</v>
      </c>
      <c r="Y1621" s="10">
        <v>73.959999999999994</v>
      </c>
      <c r="Z1621" s="11">
        <v>84.168999999999997</v>
      </c>
      <c r="AA1621" s="11">
        <v>83.194999999999993</v>
      </c>
      <c r="AB1621" s="11">
        <v>82.113</v>
      </c>
      <c r="AC1621" s="11">
        <v>81.195999999999998</v>
      </c>
      <c r="AD1621" s="11">
        <v>80.325000000000003</v>
      </c>
      <c r="AE1621" s="11">
        <v>79.561999999999998</v>
      </c>
      <c r="AF1621" s="11">
        <v>78.813999999999993</v>
      </c>
      <c r="AG1621" s="11">
        <v>78.084999999999994</v>
      </c>
      <c r="AH1621" s="11">
        <v>77.41</v>
      </c>
      <c r="AI1621" s="11">
        <v>76.787000000000006</v>
      </c>
      <c r="AJ1621" s="11">
        <v>76.278000000000006</v>
      </c>
      <c r="AK1621" s="11">
        <v>75.799000000000007</v>
      </c>
      <c r="AL1621" s="11"/>
    </row>
    <row r="1622" spans="1:38" x14ac:dyDescent="0.3">
      <c r="A1622" s="9">
        <f>DATE(2023, 4, 11)</f>
        <v>45027</v>
      </c>
      <c r="B1622" s="10">
        <v>85.61</v>
      </c>
      <c r="C1622" s="10">
        <v>85.17</v>
      </c>
      <c r="D1622" s="10">
        <v>84.54</v>
      </c>
      <c r="E1622" s="10">
        <v>83.91</v>
      </c>
      <c r="F1622" s="10">
        <v>83.27</v>
      </c>
      <c r="G1622" s="10">
        <v>82.64</v>
      </c>
      <c r="H1622" s="10">
        <v>82.02</v>
      </c>
      <c r="I1622" s="10">
        <v>81.41</v>
      </c>
      <c r="J1622" s="10">
        <v>80.83</v>
      </c>
      <c r="K1622" s="10">
        <v>80.3</v>
      </c>
      <c r="L1622" s="10">
        <v>79.78</v>
      </c>
      <c r="M1622" s="10">
        <v>79.290000000000006</v>
      </c>
      <c r="N1622" s="10">
        <v>81.53</v>
      </c>
      <c r="O1622" s="10">
        <v>81.489999999999995</v>
      </c>
      <c r="P1622" s="10">
        <v>81.14</v>
      </c>
      <c r="Q1622" s="10">
        <v>80.569999999999993</v>
      </c>
      <c r="R1622" s="10">
        <v>79.88</v>
      </c>
      <c r="S1622" s="10">
        <v>79.150000000000006</v>
      </c>
      <c r="T1622" s="10">
        <v>78.430000000000007</v>
      </c>
      <c r="U1622" s="10">
        <v>77.73</v>
      </c>
      <c r="V1622" s="10">
        <v>77.05</v>
      </c>
      <c r="W1622" s="10">
        <v>76.41</v>
      </c>
      <c r="X1622" s="10">
        <v>75.819999999999993</v>
      </c>
      <c r="Y1622" s="10">
        <v>75.260000000000005</v>
      </c>
      <c r="Z1622" s="11">
        <v>85.173000000000002</v>
      </c>
      <c r="AA1622" s="11">
        <v>84.703000000000003</v>
      </c>
      <c r="AB1622" s="11">
        <v>83.551000000000002</v>
      </c>
      <c r="AC1622" s="11">
        <v>82.57</v>
      </c>
      <c r="AD1622" s="11">
        <v>81.688000000000002</v>
      </c>
      <c r="AE1622" s="11">
        <v>80.909000000000006</v>
      </c>
      <c r="AF1622" s="11">
        <v>80.152000000000001</v>
      </c>
      <c r="AG1622" s="11">
        <v>79.375</v>
      </c>
      <c r="AH1622" s="11">
        <v>78.647000000000006</v>
      </c>
      <c r="AI1622" s="11">
        <v>78.055999999999997</v>
      </c>
      <c r="AJ1622" s="11">
        <v>77.497</v>
      </c>
      <c r="AK1622" s="11">
        <v>76.977999999999994</v>
      </c>
      <c r="AL1622" s="11"/>
    </row>
    <row r="1623" spans="1:38" x14ac:dyDescent="0.3">
      <c r="A1623" s="9">
        <f>DATE(2023, 4, 12)</f>
        <v>45028</v>
      </c>
      <c r="B1623" s="10">
        <v>87.33</v>
      </c>
      <c r="C1623" s="10">
        <v>86.75</v>
      </c>
      <c r="D1623" s="10">
        <v>86.04</v>
      </c>
      <c r="E1623" s="10">
        <v>85.34</v>
      </c>
      <c r="F1623" s="10">
        <v>84.65</v>
      </c>
      <c r="G1623" s="10">
        <v>83.99</v>
      </c>
      <c r="H1623" s="10">
        <v>83.34</v>
      </c>
      <c r="I1623" s="10">
        <v>82.72</v>
      </c>
      <c r="J1623" s="10">
        <v>82.13</v>
      </c>
      <c r="K1623" s="10">
        <v>81.58</v>
      </c>
      <c r="L1623" s="10">
        <v>81.040000000000006</v>
      </c>
      <c r="M1623" s="10">
        <v>80.540000000000006</v>
      </c>
      <c r="N1623" s="10">
        <v>83.26</v>
      </c>
      <c r="O1623" s="10">
        <v>83.09</v>
      </c>
      <c r="P1623" s="10">
        <v>82.65</v>
      </c>
      <c r="Q1623" s="10">
        <v>81.98</v>
      </c>
      <c r="R1623" s="10">
        <v>81.209999999999994</v>
      </c>
      <c r="S1623" s="10">
        <v>80.41</v>
      </c>
      <c r="T1623" s="10">
        <v>79.650000000000006</v>
      </c>
      <c r="U1623" s="10">
        <v>78.95</v>
      </c>
      <c r="V1623" s="10">
        <v>78.260000000000005</v>
      </c>
      <c r="W1623" s="10">
        <v>77.62</v>
      </c>
      <c r="X1623" s="10">
        <v>77.02</v>
      </c>
      <c r="Y1623" s="10">
        <v>76.47</v>
      </c>
      <c r="Z1623" s="11">
        <v>86.224999999999994</v>
      </c>
      <c r="AA1623" s="11">
        <v>86.358999999999995</v>
      </c>
      <c r="AB1623" s="11">
        <v>85.135999999999996</v>
      </c>
      <c r="AC1623" s="11">
        <v>84.087000000000003</v>
      </c>
      <c r="AD1623" s="11">
        <v>83.161000000000001</v>
      </c>
      <c r="AE1623" s="11">
        <v>82.353999999999999</v>
      </c>
      <c r="AF1623" s="11">
        <v>81.537000000000006</v>
      </c>
      <c r="AG1623" s="11">
        <v>80.783000000000001</v>
      </c>
      <c r="AH1623" s="11">
        <v>80.052000000000007</v>
      </c>
      <c r="AI1623" s="11">
        <v>79.415000000000006</v>
      </c>
      <c r="AJ1623" s="11">
        <v>78.855999999999995</v>
      </c>
      <c r="AK1623" s="11">
        <v>78.346999999999994</v>
      </c>
      <c r="AL1623" s="11"/>
    </row>
    <row r="1624" spans="1:38" x14ac:dyDescent="0.3">
      <c r="A1624" s="9">
        <f>DATE(2023, 4, 13)</f>
        <v>45029</v>
      </c>
      <c r="B1624" s="10">
        <v>86.09</v>
      </c>
      <c r="C1624" s="10">
        <v>85.68</v>
      </c>
      <c r="D1624" s="10">
        <v>85.09</v>
      </c>
      <c r="E1624" s="10">
        <v>84.47</v>
      </c>
      <c r="F1624" s="10">
        <v>83.84</v>
      </c>
      <c r="G1624" s="10">
        <v>83.22</v>
      </c>
      <c r="H1624" s="10">
        <v>82.62</v>
      </c>
      <c r="I1624" s="10">
        <v>82.05</v>
      </c>
      <c r="J1624" s="10">
        <v>81.489999999999995</v>
      </c>
      <c r="K1624" s="10">
        <v>80.989999999999995</v>
      </c>
      <c r="L1624" s="10">
        <v>80.489999999999995</v>
      </c>
      <c r="M1624" s="10">
        <v>80.040000000000006</v>
      </c>
      <c r="N1624" s="10">
        <v>82.16</v>
      </c>
      <c r="O1624" s="10">
        <v>82.04</v>
      </c>
      <c r="P1624" s="10">
        <v>81.680000000000007</v>
      </c>
      <c r="Q1624" s="10">
        <v>81.099999999999994</v>
      </c>
      <c r="R1624" s="10">
        <v>80.400000000000006</v>
      </c>
      <c r="S1624" s="10">
        <v>79.67</v>
      </c>
      <c r="T1624" s="10">
        <v>78.959999999999994</v>
      </c>
      <c r="U1624" s="10">
        <v>78.31</v>
      </c>
      <c r="V1624" s="10">
        <v>77.680000000000007</v>
      </c>
      <c r="W1624" s="10">
        <v>77.09</v>
      </c>
      <c r="X1624" s="10">
        <v>76.52</v>
      </c>
      <c r="Y1624" s="10">
        <v>76.010000000000005</v>
      </c>
      <c r="Z1624" s="11">
        <v>85.608999999999995</v>
      </c>
      <c r="AA1624" s="11">
        <v>85.275000000000006</v>
      </c>
      <c r="AB1624" s="11">
        <v>84.153000000000006</v>
      </c>
      <c r="AC1624" s="11">
        <v>83.174999999999997</v>
      </c>
      <c r="AD1624" s="11">
        <v>82.302999999999997</v>
      </c>
      <c r="AE1624" s="11">
        <v>81.522999999999996</v>
      </c>
      <c r="AF1624" s="11">
        <v>80.816999999999993</v>
      </c>
      <c r="AG1624" s="11">
        <v>80.117000000000004</v>
      </c>
      <c r="AH1624" s="11">
        <v>79.403000000000006</v>
      </c>
      <c r="AI1624" s="11">
        <v>78.876999999999995</v>
      </c>
      <c r="AJ1624" s="11">
        <v>78.349000000000004</v>
      </c>
      <c r="AK1624" s="11">
        <v>77.858000000000004</v>
      </c>
      <c r="AL1624" s="11"/>
    </row>
    <row r="1625" spans="1:38" x14ac:dyDescent="0.3">
      <c r="A1625" s="9">
        <f>DATE(2023, 4, 14)</f>
        <v>45030</v>
      </c>
      <c r="B1625" s="10">
        <v>86.31</v>
      </c>
      <c r="C1625" s="10">
        <v>85.87</v>
      </c>
      <c r="D1625" s="10">
        <v>85.28</v>
      </c>
      <c r="E1625" s="10">
        <v>84.68</v>
      </c>
      <c r="F1625" s="10">
        <v>84.06</v>
      </c>
      <c r="G1625" s="10">
        <v>83.46</v>
      </c>
      <c r="H1625" s="10">
        <v>82.86</v>
      </c>
      <c r="I1625" s="10">
        <v>82.29</v>
      </c>
      <c r="J1625" s="10">
        <v>81.73</v>
      </c>
      <c r="K1625" s="10">
        <v>81.23</v>
      </c>
      <c r="L1625" s="10">
        <v>80.73</v>
      </c>
      <c r="M1625" s="10">
        <v>80.27</v>
      </c>
      <c r="N1625" s="10">
        <v>82.52</v>
      </c>
      <c r="O1625" s="10">
        <v>82.43</v>
      </c>
      <c r="P1625" s="10">
        <v>82.06</v>
      </c>
      <c r="Q1625" s="10">
        <v>81.47</v>
      </c>
      <c r="R1625" s="10">
        <v>80.77</v>
      </c>
      <c r="S1625" s="10">
        <v>80.040000000000006</v>
      </c>
      <c r="T1625" s="10">
        <v>79.33</v>
      </c>
      <c r="U1625" s="10">
        <v>78.66</v>
      </c>
      <c r="V1625" s="10">
        <v>78.010000000000005</v>
      </c>
      <c r="W1625" s="10">
        <v>77.400000000000006</v>
      </c>
      <c r="X1625" s="10">
        <v>76.849999999999994</v>
      </c>
      <c r="Y1625" s="10">
        <v>76.319999999999993</v>
      </c>
      <c r="Z1625" s="11">
        <v>85.69</v>
      </c>
      <c r="AA1625" s="11">
        <v>85.424000000000007</v>
      </c>
      <c r="AB1625" s="11">
        <v>84.277000000000001</v>
      </c>
      <c r="AC1625" s="11">
        <v>83.343000000000004</v>
      </c>
      <c r="AD1625" s="11">
        <v>82.471999999999994</v>
      </c>
      <c r="AE1625" s="11">
        <v>81.730999999999995</v>
      </c>
      <c r="AF1625" s="11">
        <v>81.003</v>
      </c>
      <c r="AG1625" s="11">
        <v>80.314999999999998</v>
      </c>
      <c r="AH1625" s="11">
        <v>79.58</v>
      </c>
      <c r="AI1625" s="11">
        <v>79.007000000000005</v>
      </c>
      <c r="AJ1625" s="11">
        <v>78.498000000000005</v>
      </c>
      <c r="AK1625" s="11">
        <v>78.028000000000006</v>
      </c>
      <c r="AL1625" s="11"/>
    </row>
    <row r="1626" spans="1:38" x14ac:dyDescent="0.3">
      <c r="A1626" s="9">
        <f>DATE(2023, 4, 17)</f>
        <v>45033</v>
      </c>
      <c r="B1626" s="10">
        <v>84.76</v>
      </c>
      <c r="C1626" s="10">
        <v>84.45</v>
      </c>
      <c r="D1626" s="10">
        <v>83.93</v>
      </c>
      <c r="E1626" s="10">
        <v>83.39</v>
      </c>
      <c r="F1626" s="10">
        <v>82.82</v>
      </c>
      <c r="G1626" s="10">
        <v>82.27</v>
      </c>
      <c r="H1626" s="10">
        <v>81.72</v>
      </c>
      <c r="I1626" s="10">
        <v>81.19</v>
      </c>
      <c r="J1626" s="10">
        <v>80.680000000000007</v>
      </c>
      <c r="K1626" s="10">
        <v>80.209999999999994</v>
      </c>
      <c r="L1626" s="10">
        <v>79.760000000000005</v>
      </c>
      <c r="M1626" s="10">
        <v>79.319999999999993</v>
      </c>
      <c r="N1626" s="10">
        <v>80.83</v>
      </c>
      <c r="O1626" s="10">
        <v>80.83</v>
      </c>
      <c r="P1626" s="10">
        <v>80.56</v>
      </c>
      <c r="Q1626" s="10">
        <v>80.05</v>
      </c>
      <c r="R1626" s="10">
        <v>79.41</v>
      </c>
      <c r="S1626" s="10">
        <v>78.739999999999995</v>
      </c>
      <c r="T1626" s="10">
        <v>78.09</v>
      </c>
      <c r="U1626" s="10">
        <v>77.489999999999995</v>
      </c>
      <c r="V1626" s="10">
        <v>76.91</v>
      </c>
      <c r="W1626" s="10">
        <v>76.349999999999994</v>
      </c>
      <c r="X1626" s="10">
        <v>75.819999999999993</v>
      </c>
      <c r="Y1626" s="10">
        <v>75.33</v>
      </c>
      <c r="Z1626" s="11">
        <v>85.034999999999997</v>
      </c>
      <c r="AA1626" s="11">
        <v>84.027000000000001</v>
      </c>
      <c r="AB1626" s="11">
        <v>82.915000000000006</v>
      </c>
      <c r="AC1626" s="11">
        <v>82.003</v>
      </c>
      <c r="AD1626" s="11">
        <v>81.195999999999998</v>
      </c>
      <c r="AE1626" s="11">
        <v>80.491</v>
      </c>
      <c r="AF1626" s="11">
        <v>79.816000000000003</v>
      </c>
      <c r="AG1626" s="11">
        <v>79.155000000000001</v>
      </c>
      <c r="AH1626" s="11">
        <v>78.472999999999999</v>
      </c>
      <c r="AI1626" s="11">
        <v>77.98</v>
      </c>
      <c r="AJ1626" s="11">
        <v>77.498999999999995</v>
      </c>
      <c r="AK1626" s="11">
        <v>77.03</v>
      </c>
      <c r="AL1626" s="11"/>
    </row>
    <row r="1627" spans="1:38" x14ac:dyDescent="0.3">
      <c r="A1627" s="9">
        <f>DATE(2023, 4, 18)</f>
        <v>45034</v>
      </c>
      <c r="B1627" s="10">
        <v>84.77</v>
      </c>
      <c r="C1627" s="10">
        <v>84.45</v>
      </c>
      <c r="D1627" s="10">
        <v>83.96</v>
      </c>
      <c r="E1627" s="10">
        <v>83.43</v>
      </c>
      <c r="F1627" s="10">
        <v>82.87</v>
      </c>
      <c r="G1627" s="10">
        <v>82.33</v>
      </c>
      <c r="H1627" s="10">
        <v>81.790000000000006</v>
      </c>
      <c r="I1627" s="10">
        <v>81.28</v>
      </c>
      <c r="J1627" s="10">
        <v>80.790000000000006</v>
      </c>
      <c r="K1627" s="10">
        <v>80.34</v>
      </c>
      <c r="L1627" s="10">
        <v>79.91</v>
      </c>
      <c r="M1627" s="10">
        <v>79.48</v>
      </c>
      <c r="N1627" s="10">
        <v>80.86</v>
      </c>
      <c r="O1627" s="10">
        <v>80.900000000000006</v>
      </c>
      <c r="P1627" s="10">
        <v>80.61</v>
      </c>
      <c r="Q1627" s="10">
        <v>80.09</v>
      </c>
      <c r="R1627" s="10">
        <v>79.45</v>
      </c>
      <c r="S1627" s="10">
        <v>78.790000000000006</v>
      </c>
      <c r="T1627" s="10">
        <v>78.150000000000006</v>
      </c>
      <c r="U1627" s="10">
        <v>77.56</v>
      </c>
      <c r="V1627" s="10">
        <v>77</v>
      </c>
      <c r="W1627" s="10">
        <v>76.47</v>
      </c>
      <c r="X1627" s="10">
        <v>75.959999999999994</v>
      </c>
      <c r="Y1627" s="10">
        <v>75.489999999999995</v>
      </c>
      <c r="Z1627" s="11">
        <v>84.995000000000005</v>
      </c>
      <c r="AA1627" s="11">
        <v>83.948999999999998</v>
      </c>
      <c r="AB1627" s="11">
        <v>82.911000000000001</v>
      </c>
      <c r="AC1627" s="11">
        <v>82.063000000000002</v>
      </c>
      <c r="AD1627" s="11">
        <v>81.316999999999993</v>
      </c>
      <c r="AE1627" s="11">
        <v>80.638999999999996</v>
      </c>
      <c r="AF1627" s="11">
        <v>79.972999999999999</v>
      </c>
      <c r="AG1627" s="11">
        <v>79.334999999999994</v>
      </c>
      <c r="AH1627" s="11">
        <v>78.709000000000003</v>
      </c>
      <c r="AI1627" s="11">
        <v>78.19</v>
      </c>
      <c r="AJ1627" s="11">
        <v>77.7</v>
      </c>
      <c r="AK1627" s="11">
        <v>77.22</v>
      </c>
      <c r="AL1627" s="11"/>
    </row>
    <row r="1628" spans="1:38" x14ac:dyDescent="0.3">
      <c r="A1628" s="9">
        <f>DATE(2023, 4, 19)</f>
        <v>45035</v>
      </c>
      <c r="B1628" s="10">
        <v>83.12</v>
      </c>
      <c r="C1628" s="10">
        <v>82.79</v>
      </c>
      <c r="D1628" s="10">
        <v>82.35</v>
      </c>
      <c r="E1628" s="10">
        <v>81.87</v>
      </c>
      <c r="F1628" s="10">
        <v>81.34</v>
      </c>
      <c r="G1628" s="10">
        <v>80.819999999999993</v>
      </c>
      <c r="H1628" s="10">
        <v>80.31</v>
      </c>
      <c r="I1628" s="10">
        <v>79.819999999999993</v>
      </c>
      <c r="J1628" s="10">
        <v>79.36</v>
      </c>
      <c r="K1628" s="10">
        <v>78.959999999999994</v>
      </c>
      <c r="L1628" s="10">
        <v>78.55</v>
      </c>
      <c r="M1628" s="10">
        <v>78.17</v>
      </c>
      <c r="N1628" s="10">
        <v>79.16</v>
      </c>
      <c r="O1628" s="10">
        <v>79.239999999999995</v>
      </c>
      <c r="P1628" s="10">
        <v>78.959999999999994</v>
      </c>
      <c r="Q1628" s="10">
        <v>78.45</v>
      </c>
      <c r="R1628" s="10">
        <v>77.83</v>
      </c>
      <c r="S1628" s="10">
        <v>77.19</v>
      </c>
      <c r="T1628" s="10">
        <v>76.58</v>
      </c>
      <c r="U1628" s="10">
        <v>76.02</v>
      </c>
      <c r="V1628" s="10">
        <v>75.489999999999995</v>
      </c>
      <c r="W1628" s="10">
        <v>74.98</v>
      </c>
      <c r="X1628" s="10">
        <v>74.52</v>
      </c>
      <c r="Y1628" s="10">
        <v>74.08</v>
      </c>
      <c r="Z1628" s="11">
        <v>84.314999999999998</v>
      </c>
      <c r="AA1628" s="11">
        <v>82.271000000000001</v>
      </c>
      <c r="AB1628" s="11">
        <v>81.293000000000006</v>
      </c>
      <c r="AC1628" s="11">
        <v>80.483999999999995</v>
      </c>
      <c r="AD1628" s="11">
        <v>79.757000000000005</v>
      </c>
      <c r="AE1628" s="11">
        <v>79.116</v>
      </c>
      <c r="AF1628" s="11">
        <v>78.498999999999995</v>
      </c>
      <c r="AG1628" s="11">
        <v>77.909000000000006</v>
      </c>
      <c r="AH1628" s="11">
        <v>77.319999999999993</v>
      </c>
      <c r="AI1628" s="11">
        <v>76.850999999999999</v>
      </c>
      <c r="AJ1628" s="11">
        <v>76.421999999999997</v>
      </c>
      <c r="AK1628" s="11">
        <v>75.992000000000004</v>
      </c>
      <c r="AL1628" s="11"/>
    </row>
    <row r="1629" spans="1:38" x14ac:dyDescent="0.3">
      <c r="A1629" s="9">
        <f>DATE(2023, 4, 20)</f>
        <v>45036</v>
      </c>
      <c r="B1629" s="10">
        <v>81.099999999999994</v>
      </c>
      <c r="C1629" s="10">
        <v>80.81</v>
      </c>
      <c r="D1629" s="10">
        <v>80.400000000000006</v>
      </c>
      <c r="E1629" s="10">
        <v>79.959999999999994</v>
      </c>
      <c r="F1629" s="10">
        <v>79.459999999999994</v>
      </c>
      <c r="G1629" s="10">
        <v>78.989999999999995</v>
      </c>
      <c r="H1629" s="10">
        <v>78.52</v>
      </c>
      <c r="I1629" s="10">
        <v>78.08</v>
      </c>
      <c r="J1629" s="10">
        <v>77.66</v>
      </c>
      <c r="K1629" s="10">
        <v>77.31</v>
      </c>
      <c r="L1629" s="10">
        <v>76.95</v>
      </c>
      <c r="M1629" s="10">
        <v>76.61</v>
      </c>
      <c r="N1629" s="10">
        <v>77.290000000000006</v>
      </c>
      <c r="O1629" s="10">
        <v>77.37</v>
      </c>
      <c r="P1629" s="10">
        <v>77.11</v>
      </c>
      <c r="Q1629" s="10">
        <v>76.64</v>
      </c>
      <c r="R1629" s="10">
        <v>76.06</v>
      </c>
      <c r="S1629" s="10">
        <v>75.459999999999994</v>
      </c>
      <c r="T1629" s="10">
        <v>74.900000000000006</v>
      </c>
      <c r="U1629" s="10">
        <v>74.38</v>
      </c>
      <c r="V1629" s="10">
        <v>73.88</v>
      </c>
      <c r="W1629" s="10">
        <v>73.430000000000007</v>
      </c>
      <c r="X1629" s="10">
        <v>73.010000000000005</v>
      </c>
      <c r="Y1629" s="10">
        <v>72.599999999999994</v>
      </c>
      <c r="Z1629" s="11">
        <v>83.51</v>
      </c>
      <c r="AA1629" s="11">
        <v>79.971999999999994</v>
      </c>
      <c r="AB1629" s="11">
        <v>79.05</v>
      </c>
      <c r="AC1629" s="11">
        <v>78.325999999999993</v>
      </c>
      <c r="AD1629" s="11">
        <v>77.67</v>
      </c>
      <c r="AE1629" s="11">
        <v>77.067999999999998</v>
      </c>
      <c r="AF1629" s="11">
        <v>76.5</v>
      </c>
      <c r="AG1629" s="11">
        <v>75.960999999999999</v>
      </c>
      <c r="AH1629" s="11">
        <v>75.415000000000006</v>
      </c>
      <c r="AI1629" s="11">
        <v>75.004000000000005</v>
      </c>
      <c r="AJ1629" s="11">
        <v>74.623999999999995</v>
      </c>
      <c r="AK1629" s="11">
        <v>74.284000000000006</v>
      </c>
      <c r="AL1629" s="11"/>
    </row>
    <row r="1630" spans="1:38" x14ac:dyDescent="0.3">
      <c r="A1630" s="9">
        <f>DATE(2023, 4, 21)</f>
        <v>45037</v>
      </c>
      <c r="B1630" s="10">
        <v>81.66</v>
      </c>
      <c r="C1630" s="10">
        <v>81.459999999999994</v>
      </c>
      <c r="D1630" s="10">
        <v>81.099999999999994</v>
      </c>
      <c r="E1630" s="10">
        <v>80.7</v>
      </c>
      <c r="F1630" s="10">
        <v>80.239999999999995</v>
      </c>
      <c r="G1630" s="10">
        <v>79.790000000000006</v>
      </c>
      <c r="H1630" s="10">
        <v>79.34</v>
      </c>
      <c r="I1630" s="10">
        <v>78.91</v>
      </c>
      <c r="J1630" s="10">
        <v>78.510000000000005</v>
      </c>
      <c r="K1630" s="10">
        <v>78.17</v>
      </c>
      <c r="L1630" s="10">
        <v>77.83</v>
      </c>
      <c r="M1630" s="10">
        <v>77.510000000000005</v>
      </c>
      <c r="N1630" s="10">
        <v>77.87</v>
      </c>
      <c r="O1630" s="10">
        <v>77.709999999999994</v>
      </c>
      <c r="P1630" s="10">
        <v>77.319999999999993</v>
      </c>
      <c r="Q1630" s="10">
        <v>76.8</v>
      </c>
      <c r="R1630" s="10">
        <v>76.239999999999995</v>
      </c>
      <c r="S1630" s="10">
        <v>75.709999999999994</v>
      </c>
      <c r="T1630" s="10">
        <v>75.22</v>
      </c>
      <c r="U1630" s="10">
        <v>74.75</v>
      </c>
      <c r="V1630" s="10">
        <v>74.31</v>
      </c>
      <c r="W1630" s="10">
        <v>73.900000000000006</v>
      </c>
      <c r="X1630" s="10">
        <v>73.52</v>
      </c>
      <c r="Y1630" s="10">
        <v>73.180000000000007</v>
      </c>
      <c r="Z1630" s="11">
        <v>83.728999999999999</v>
      </c>
      <c r="AA1630" s="11">
        <v>80.793999999999997</v>
      </c>
      <c r="AB1630" s="11">
        <v>79.902000000000001</v>
      </c>
      <c r="AC1630" s="11">
        <v>79.156000000000006</v>
      </c>
      <c r="AD1630" s="11">
        <v>78.504999999999995</v>
      </c>
      <c r="AE1630" s="11">
        <v>77.902000000000001</v>
      </c>
      <c r="AF1630" s="11">
        <v>77.331000000000003</v>
      </c>
      <c r="AG1630" s="11">
        <v>76.790000000000006</v>
      </c>
      <c r="AH1630" s="11">
        <v>76.251000000000005</v>
      </c>
      <c r="AI1630" s="11">
        <v>75.894999999999996</v>
      </c>
      <c r="AJ1630" s="11">
        <v>75.525000000000006</v>
      </c>
      <c r="AK1630" s="11">
        <v>75.183999999999997</v>
      </c>
      <c r="AL1630" s="11"/>
    </row>
    <row r="1631" spans="1:38" x14ac:dyDescent="0.3">
      <c r="A1631" s="9">
        <f>DATE(2023, 4, 24)</f>
        <v>45040</v>
      </c>
      <c r="B1631" s="10">
        <v>82.73</v>
      </c>
      <c r="C1631" s="10">
        <v>82.54</v>
      </c>
      <c r="D1631" s="10">
        <v>82.17</v>
      </c>
      <c r="E1631" s="10">
        <v>81.760000000000005</v>
      </c>
      <c r="F1631" s="10">
        <v>81.28</v>
      </c>
      <c r="G1631" s="10">
        <v>80.819999999999993</v>
      </c>
      <c r="H1631" s="10">
        <v>80.36</v>
      </c>
      <c r="I1631" s="10">
        <v>79.92</v>
      </c>
      <c r="J1631" s="10">
        <v>79.5</v>
      </c>
      <c r="K1631" s="10">
        <v>79.13</v>
      </c>
      <c r="L1631" s="10">
        <v>78.77</v>
      </c>
      <c r="M1631" s="10">
        <v>78.430000000000007</v>
      </c>
      <c r="N1631" s="10">
        <v>78.760000000000005</v>
      </c>
      <c r="O1631" s="10">
        <v>78.599999999999994</v>
      </c>
      <c r="P1631" s="10">
        <v>78.23</v>
      </c>
      <c r="Q1631" s="10">
        <v>77.72</v>
      </c>
      <c r="R1631" s="10">
        <v>77.180000000000007</v>
      </c>
      <c r="S1631" s="10">
        <v>76.64</v>
      </c>
      <c r="T1631" s="10">
        <v>76.150000000000006</v>
      </c>
      <c r="U1631" s="10">
        <v>75.66</v>
      </c>
      <c r="V1631" s="10">
        <v>75.209999999999994</v>
      </c>
      <c r="W1631" s="10">
        <v>74.78</v>
      </c>
      <c r="X1631" s="10">
        <v>74.38</v>
      </c>
      <c r="Y1631" s="10">
        <v>74</v>
      </c>
      <c r="Z1631" s="11">
        <v>83.903000000000006</v>
      </c>
      <c r="AA1631" s="11">
        <v>81.78</v>
      </c>
      <c r="AB1631" s="11">
        <v>80.950999999999993</v>
      </c>
      <c r="AC1631" s="11">
        <v>80.236999999999995</v>
      </c>
      <c r="AD1631" s="11">
        <v>79.596000000000004</v>
      </c>
      <c r="AE1631" s="11">
        <v>78.954999999999998</v>
      </c>
      <c r="AF1631" s="11">
        <v>78.376999999999995</v>
      </c>
      <c r="AG1631" s="11">
        <v>77.828000000000003</v>
      </c>
      <c r="AH1631" s="11">
        <v>77.278999999999996</v>
      </c>
      <c r="AI1631" s="11">
        <v>76.884</v>
      </c>
      <c r="AJ1631" s="11">
        <v>76.513999999999996</v>
      </c>
      <c r="AK1631" s="11">
        <v>76.174000000000007</v>
      </c>
      <c r="AL1631" s="11"/>
    </row>
    <row r="1632" spans="1:38" x14ac:dyDescent="0.3">
      <c r="A1632" s="9">
        <f>DATE(2023, 4, 25)</f>
        <v>45041</v>
      </c>
      <c r="B1632" s="10">
        <v>80.77</v>
      </c>
      <c r="C1632" s="10">
        <v>80.599999999999994</v>
      </c>
      <c r="D1632" s="10">
        <v>80.23</v>
      </c>
      <c r="E1632" s="10">
        <v>79.81</v>
      </c>
      <c r="F1632" s="10">
        <v>79.319999999999993</v>
      </c>
      <c r="G1632" s="10">
        <v>78.849999999999994</v>
      </c>
      <c r="H1632" s="10">
        <v>78.38</v>
      </c>
      <c r="I1632" s="10">
        <v>77.94</v>
      </c>
      <c r="J1632" s="10">
        <v>77.53</v>
      </c>
      <c r="K1632" s="10">
        <v>77.17</v>
      </c>
      <c r="L1632" s="10">
        <v>76.83</v>
      </c>
      <c r="M1632" s="10">
        <v>76.510000000000005</v>
      </c>
      <c r="N1632" s="10">
        <v>77.069999999999993</v>
      </c>
      <c r="O1632" s="10">
        <v>76.87</v>
      </c>
      <c r="P1632" s="10">
        <v>76.459999999999994</v>
      </c>
      <c r="Q1632" s="10">
        <v>75.92</v>
      </c>
      <c r="R1632" s="10">
        <v>75.33</v>
      </c>
      <c r="S1632" s="10">
        <v>74.760000000000005</v>
      </c>
      <c r="T1632" s="10">
        <v>74.23</v>
      </c>
      <c r="U1632" s="10">
        <v>73.73</v>
      </c>
      <c r="V1632" s="10">
        <v>73.27</v>
      </c>
      <c r="W1632" s="10">
        <v>72.849999999999994</v>
      </c>
      <c r="X1632" s="10">
        <v>72.45</v>
      </c>
      <c r="Y1632" s="10">
        <v>72.09</v>
      </c>
      <c r="Z1632" s="11">
        <v>83.564999999999998</v>
      </c>
      <c r="AA1632" s="11">
        <v>79.754000000000005</v>
      </c>
      <c r="AB1632" s="11">
        <v>78.933999999999997</v>
      </c>
      <c r="AC1632" s="11">
        <v>78.231999999999999</v>
      </c>
      <c r="AD1632" s="11">
        <v>77.58</v>
      </c>
      <c r="AE1632" s="11">
        <v>76.968000000000004</v>
      </c>
      <c r="AF1632" s="11">
        <v>76.42</v>
      </c>
      <c r="AG1632" s="11">
        <v>75.870999999999995</v>
      </c>
      <c r="AH1632" s="11">
        <v>75.353999999999999</v>
      </c>
      <c r="AI1632" s="11">
        <v>74.974999999999994</v>
      </c>
      <c r="AJ1632" s="11">
        <v>74.635000000000005</v>
      </c>
      <c r="AK1632" s="11">
        <v>74.325999999999993</v>
      </c>
      <c r="AL1632" s="11"/>
    </row>
    <row r="1633" spans="1:38" x14ac:dyDescent="0.3">
      <c r="A1633" s="9">
        <f>DATE(2023, 4, 26)</f>
        <v>45042</v>
      </c>
      <c r="B1633" s="10">
        <v>77.69</v>
      </c>
      <c r="C1633" s="10">
        <v>77.72</v>
      </c>
      <c r="D1633" s="10">
        <v>77.489999999999995</v>
      </c>
      <c r="E1633" s="10">
        <v>77.180000000000007</v>
      </c>
      <c r="F1633" s="10">
        <v>76.790000000000006</v>
      </c>
      <c r="G1633" s="10">
        <v>76.42</v>
      </c>
      <c r="H1633" s="10">
        <v>76.03</v>
      </c>
      <c r="I1633" s="10">
        <v>75.67</v>
      </c>
      <c r="J1633" s="10">
        <v>75.349999999999994</v>
      </c>
      <c r="K1633" s="10">
        <v>75.08</v>
      </c>
      <c r="L1633" s="10">
        <v>74.81</v>
      </c>
      <c r="M1633" s="10">
        <v>74.569999999999993</v>
      </c>
      <c r="N1633" s="10">
        <v>74.3</v>
      </c>
      <c r="O1633" s="10">
        <v>74.19</v>
      </c>
      <c r="P1633" s="10">
        <v>73.87</v>
      </c>
      <c r="Q1633" s="10">
        <v>73.42</v>
      </c>
      <c r="R1633" s="10">
        <v>72.92</v>
      </c>
      <c r="S1633" s="10">
        <v>72.459999999999994</v>
      </c>
      <c r="T1633" s="10">
        <v>72.040000000000006</v>
      </c>
      <c r="U1633" s="10">
        <v>71.62</v>
      </c>
      <c r="V1633" s="10">
        <v>71.25</v>
      </c>
      <c r="W1633" s="10">
        <v>70.900000000000006</v>
      </c>
      <c r="X1633" s="10">
        <v>70.58</v>
      </c>
      <c r="Y1633" s="10">
        <v>70.3</v>
      </c>
      <c r="Z1633" s="11">
        <v>83.251000000000005</v>
      </c>
      <c r="AA1633" s="11">
        <v>76.796000000000006</v>
      </c>
      <c r="AB1633" s="11">
        <v>76.105999999999995</v>
      </c>
      <c r="AC1633" s="11">
        <v>75.495999999999995</v>
      </c>
      <c r="AD1633" s="11">
        <v>74.933999999999997</v>
      </c>
      <c r="AE1633" s="11">
        <v>74.412999999999997</v>
      </c>
      <c r="AF1633" s="11">
        <v>73.965999999999994</v>
      </c>
      <c r="AG1633" s="11">
        <v>73.555000000000007</v>
      </c>
      <c r="AH1633" s="11">
        <v>73.143000000000001</v>
      </c>
      <c r="AI1633" s="11">
        <v>72.888000000000005</v>
      </c>
      <c r="AJ1633" s="11">
        <v>72.629000000000005</v>
      </c>
      <c r="AK1633" s="11">
        <v>72.358999999999995</v>
      </c>
      <c r="AL1633" s="11"/>
    </row>
    <row r="1634" spans="1:38" x14ac:dyDescent="0.3">
      <c r="A1634" s="9">
        <f>DATE(2023, 4, 27)</f>
        <v>45043</v>
      </c>
      <c r="B1634" s="10">
        <v>78.37</v>
      </c>
      <c r="C1634" s="10">
        <v>78.22</v>
      </c>
      <c r="D1634" s="10">
        <v>77.89</v>
      </c>
      <c r="E1634" s="10">
        <v>77.5</v>
      </c>
      <c r="F1634" s="10">
        <v>77.06</v>
      </c>
      <c r="G1634" s="10">
        <v>76.64</v>
      </c>
      <c r="H1634" s="10">
        <v>76.22</v>
      </c>
      <c r="I1634" s="10">
        <v>75.83</v>
      </c>
      <c r="J1634" s="10">
        <v>75.48</v>
      </c>
      <c r="K1634" s="10">
        <v>75.17</v>
      </c>
      <c r="L1634" s="10">
        <v>74.88</v>
      </c>
      <c r="M1634" s="10">
        <v>74.61</v>
      </c>
      <c r="N1634" s="10">
        <v>74.760000000000005</v>
      </c>
      <c r="O1634" s="10">
        <v>74.58</v>
      </c>
      <c r="P1634" s="10">
        <v>74.23</v>
      </c>
      <c r="Q1634" s="10">
        <v>73.75</v>
      </c>
      <c r="R1634" s="10">
        <v>73.23</v>
      </c>
      <c r="S1634" s="10">
        <v>72.73</v>
      </c>
      <c r="T1634" s="10">
        <v>72.27</v>
      </c>
      <c r="U1634" s="10">
        <v>71.83</v>
      </c>
      <c r="V1634" s="10">
        <v>71.430000000000007</v>
      </c>
      <c r="W1634" s="10">
        <v>71.06</v>
      </c>
      <c r="X1634" s="10">
        <v>70.709999999999994</v>
      </c>
      <c r="Y1634" s="10">
        <v>70.42</v>
      </c>
      <c r="Z1634" s="11">
        <v>83.334000000000003</v>
      </c>
      <c r="AA1634" s="11">
        <v>77.756</v>
      </c>
      <c r="AB1634" s="11">
        <v>76.941999999999993</v>
      </c>
      <c r="AC1634" s="11">
        <v>76.203999999999994</v>
      </c>
      <c r="AD1634" s="11">
        <v>75.486999999999995</v>
      </c>
      <c r="AE1634" s="11">
        <v>74.885000000000005</v>
      </c>
      <c r="AF1634" s="11">
        <v>74.356999999999999</v>
      </c>
      <c r="AG1634" s="11">
        <v>73.899000000000001</v>
      </c>
      <c r="AH1634" s="11">
        <v>73.424000000000007</v>
      </c>
      <c r="AI1634" s="11">
        <v>73.076999999999998</v>
      </c>
      <c r="AJ1634" s="11">
        <v>72.757000000000005</v>
      </c>
      <c r="AK1634" s="11">
        <v>72.466999999999999</v>
      </c>
      <c r="AL1634" s="11"/>
    </row>
    <row r="1635" spans="1:38" x14ac:dyDescent="0.3">
      <c r="A1635" s="9">
        <f>DATE(2023, 4, 28)</f>
        <v>45044</v>
      </c>
      <c r="B1635" s="10">
        <v>79.540000000000006</v>
      </c>
      <c r="C1635" s="10">
        <v>80.33</v>
      </c>
      <c r="D1635" s="10">
        <v>79.92</v>
      </c>
      <c r="E1635" s="10">
        <v>79.459999999999994</v>
      </c>
      <c r="F1635" s="10">
        <v>78.98</v>
      </c>
      <c r="G1635" s="10">
        <v>78.53</v>
      </c>
      <c r="H1635" s="10">
        <v>78.08</v>
      </c>
      <c r="I1635" s="10">
        <v>77.66</v>
      </c>
      <c r="J1635" s="10">
        <v>77.28</v>
      </c>
      <c r="K1635" s="10">
        <v>76.95</v>
      </c>
      <c r="L1635" s="10">
        <v>76.63</v>
      </c>
      <c r="M1635" s="10">
        <v>76.33</v>
      </c>
      <c r="N1635" s="10">
        <v>76.78</v>
      </c>
      <c r="O1635" s="10">
        <v>76.61</v>
      </c>
      <c r="P1635" s="10">
        <v>76.239999999999995</v>
      </c>
      <c r="Q1635" s="10">
        <v>75.72</v>
      </c>
      <c r="R1635" s="10">
        <v>75.150000000000006</v>
      </c>
      <c r="S1635" s="10">
        <v>74.61</v>
      </c>
      <c r="T1635" s="10">
        <v>74.11</v>
      </c>
      <c r="U1635" s="10">
        <v>73.650000000000006</v>
      </c>
      <c r="V1635" s="10">
        <v>73.23</v>
      </c>
      <c r="W1635" s="10">
        <v>72.84</v>
      </c>
      <c r="X1635" s="10">
        <v>72.489999999999995</v>
      </c>
      <c r="Y1635" s="10">
        <v>72.150000000000006</v>
      </c>
      <c r="Z1635" s="11">
        <v>83.412000000000006</v>
      </c>
      <c r="AA1635" s="11">
        <v>80.001999999999995</v>
      </c>
      <c r="AB1635" s="11">
        <v>79.159000000000006</v>
      </c>
      <c r="AC1635" s="11">
        <v>78.33</v>
      </c>
      <c r="AD1635" s="11">
        <v>77.563999999999993</v>
      </c>
      <c r="AE1635" s="11">
        <v>76.903000000000006</v>
      </c>
      <c r="AF1635" s="11">
        <v>76.344999999999999</v>
      </c>
      <c r="AG1635" s="11">
        <v>75.843000000000004</v>
      </c>
      <c r="AH1635" s="11">
        <v>75.366</v>
      </c>
      <c r="AI1635" s="11">
        <v>75.004999999999995</v>
      </c>
      <c r="AJ1635" s="11">
        <v>74.656000000000006</v>
      </c>
      <c r="AK1635" s="11">
        <v>74.316000000000003</v>
      </c>
      <c r="AL1635" s="11"/>
    </row>
    <row r="1636" spans="1:38" x14ac:dyDescent="0.3">
      <c r="A1636" s="9">
        <f>DATE(2023, 5, 1)</f>
        <v>45047</v>
      </c>
      <c r="B1636" s="10">
        <v>79.31</v>
      </c>
      <c r="C1636" s="10">
        <v>78.94</v>
      </c>
      <c r="D1636" s="10">
        <v>78.489999999999995</v>
      </c>
      <c r="E1636" s="10">
        <v>78.010000000000005</v>
      </c>
      <c r="F1636" s="10">
        <v>77.55</v>
      </c>
      <c r="G1636" s="10">
        <v>77.09</v>
      </c>
      <c r="H1636" s="10">
        <v>76.67</v>
      </c>
      <c r="I1636" s="10">
        <v>76.3</v>
      </c>
      <c r="J1636" s="10">
        <v>75.97</v>
      </c>
      <c r="K1636" s="10">
        <v>75.66</v>
      </c>
      <c r="L1636" s="10">
        <v>75.36</v>
      </c>
      <c r="M1636" s="10">
        <v>75.08</v>
      </c>
      <c r="N1636" s="10">
        <v>75.66</v>
      </c>
      <c r="O1636" s="10">
        <v>75.510000000000005</v>
      </c>
      <c r="P1636" s="10">
        <v>75.150000000000006</v>
      </c>
      <c r="Q1636" s="10">
        <v>74.64</v>
      </c>
      <c r="R1636" s="10">
        <v>74.08</v>
      </c>
      <c r="S1636" s="10">
        <v>73.55</v>
      </c>
      <c r="T1636" s="10">
        <v>73.069999999999993</v>
      </c>
      <c r="U1636" s="10">
        <v>72.62</v>
      </c>
      <c r="V1636" s="10">
        <v>72.209999999999994</v>
      </c>
      <c r="W1636" s="10">
        <v>71.83</v>
      </c>
      <c r="X1636" s="10">
        <v>71.48</v>
      </c>
      <c r="Y1636" s="10">
        <v>71.16</v>
      </c>
      <c r="Z1636" s="11">
        <v>83.412000000000006</v>
      </c>
      <c r="AA1636" s="11">
        <v>78.965000000000003</v>
      </c>
      <c r="AB1636" s="11">
        <v>78.114999999999995</v>
      </c>
      <c r="AC1636" s="11">
        <v>77.295000000000002</v>
      </c>
      <c r="AD1636" s="11">
        <v>76.534999999999997</v>
      </c>
      <c r="AE1636" s="11">
        <v>75.893000000000001</v>
      </c>
      <c r="AF1636" s="11">
        <v>75.325999999999993</v>
      </c>
      <c r="AG1636" s="11">
        <v>74.846999999999994</v>
      </c>
      <c r="AH1636" s="11">
        <v>74.367000000000004</v>
      </c>
      <c r="AI1636" s="11">
        <v>73.986000000000004</v>
      </c>
      <c r="AJ1636" s="11">
        <v>73.635999999999996</v>
      </c>
      <c r="AK1636" s="11">
        <v>73.305999999999997</v>
      </c>
      <c r="AL1636" s="11"/>
    </row>
    <row r="1637" spans="1:38" x14ac:dyDescent="0.3">
      <c r="A1637" s="9">
        <f>DATE(2023, 5, 2)</f>
        <v>45048</v>
      </c>
      <c r="B1637" s="10">
        <v>75.319999999999993</v>
      </c>
      <c r="C1637" s="10">
        <v>75.040000000000006</v>
      </c>
      <c r="D1637" s="10">
        <v>74.680000000000007</v>
      </c>
      <c r="E1637" s="10">
        <v>74.290000000000006</v>
      </c>
      <c r="F1637" s="10">
        <v>73.930000000000007</v>
      </c>
      <c r="G1637" s="10">
        <v>73.58</v>
      </c>
      <c r="H1637" s="10">
        <v>73.27</v>
      </c>
      <c r="I1637" s="10">
        <v>72.989999999999995</v>
      </c>
      <c r="J1637" s="10">
        <v>72.75</v>
      </c>
      <c r="K1637" s="10">
        <v>72.52</v>
      </c>
      <c r="L1637" s="10">
        <v>72.31</v>
      </c>
      <c r="M1637" s="10">
        <v>72.12</v>
      </c>
      <c r="N1637" s="10">
        <v>71.66</v>
      </c>
      <c r="O1637" s="10">
        <v>71.55</v>
      </c>
      <c r="P1637" s="10">
        <v>71.27</v>
      </c>
      <c r="Q1637" s="10">
        <v>70.849999999999994</v>
      </c>
      <c r="R1637" s="10">
        <v>70.39</v>
      </c>
      <c r="S1637" s="10">
        <v>69.959999999999994</v>
      </c>
      <c r="T1637" s="10">
        <v>69.59</v>
      </c>
      <c r="U1637" s="10">
        <v>69.23</v>
      </c>
      <c r="V1637" s="10">
        <v>68.900000000000006</v>
      </c>
      <c r="W1637" s="10">
        <v>68.599999999999994</v>
      </c>
      <c r="X1637" s="10">
        <v>68.33</v>
      </c>
      <c r="Y1637" s="10">
        <v>68.09</v>
      </c>
      <c r="Z1637" s="11">
        <v>74.861999999999995</v>
      </c>
      <c r="AA1637" s="11">
        <v>74.093999999999994</v>
      </c>
      <c r="AB1637" s="11">
        <v>73.364000000000004</v>
      </c>
      <c r="AC1637" s="11">
        <v>72.727000000000004</v>
      </c>
      <c r="AD1637" s="11">
        <v>72.195999999999998</v>
      </c>
      <c r="AE1637" s="11">
        <v>71.741</v>
      </c>
      <c r="AF1637" s="11">
        <v>71.356999999999999</v>
      </c>
      <c r="AG1637" s="11">
        <v>70.975999999999999</v>
      </c>
      <c r="AH1637" s="11">
        <v>70.680000000000007</v>
      </c>
      <c r="AI1637" s="11">
        <v>70.42</v>
      </c>
      <c r="AJ1637" s="11">
        <v>70.171000000000006</v>
      </c>
      <c r="AK1637" s="11">
        <v>69.959999999999994</v>
      </c>
      <c r="AL1637" s="11"/>
    </row>
    <row r="1638" spans="1:38" x14ac:dyDescent="0.3">
      <c r="A1638" s="9">
        <f>DATE(2023, 5, 3)</f>
        <v>45049</v>
      </c>
      <c r="B1638" s="10">
        <v>72.33</v>
      </c>
      <c r="C1638" s="10">
        <v>72.180000000000007</v>
      </c>
      <c r="D1638" s="10">
        <v>71.930000000000007</v>
      </c>
      <c r="E1638" s="10">
        <v>71.650000000000006</v>
      </c>
      <c r="F1638" s="10">
        <v>71.400000000000006</v>
      </c>
      <c r="G1638" s="10">
        <v>71.150000000000006</v>
      </c>
      <c r="H1638" s="10">
        <v>70.92</v>
      </c>
      <c r="I1638" s="10">
        <v>70.7</v>
      </c>
      <c r="J1638" s="10">
        <v>70.52</v>
      </c>
      <c r="K1638" s="10">
        <v>70.33</v>
      </c>
      <c r="L1638" s="10">
        <v>70.16</v>
      </c>
      <c r="M1638" s="10">
        <v>70.02</v>
      </c>
      <c r="N1638" s="10">
        <v>68.599999999999994</v>
      </c>
      <c r="O1638" s="10">
        <v>68.55</v>
      </c>
      <c r="P1638" s="10">
        <v>68.37</v>
      </c>
      <c r="Q1638" s="10">
        <v>68.08</v>
      </c>
      <c r="R1638" s="10">
        <v>67.75</v>
      </c>
      <c r="S1638" s="10">
        <v>67.44</v>
      </c>
      <c r="T1638" s="10">
        <v>67.16</v>
      </c>
      <c r="U1638" s="10">
        <v>66.89</v>
      </c>
      <c r="V1638" s="10">
        <v>66.64</v>
      </c>
      <c r="W1638" s="10">
        <v>66.41</v>
      </c>
      <c r="X1638" s="10">
        <v>66.2</v>
      </c>
      <c r="Y1638" s="10">
        <v>66.010000000000005</v>
      </c>
      <c r="Z1638" s="11">
        <v>72.099000000000004</v>
      </c>
      <c r="AA1638" s="11">
        <v>71.108000000000004</v>
      </c>
      <c r="AB1638" s="11">
        <v>70.488</v>
      </c>
      <c r="AC1638" s="11">
        <v>70.001000000000005</v>
      </c>
      <c r="AD1638" s="11">
        <v>69.600999999999999</v>
      </c>
      <c r="AE1638" s="11">
        <v>69.253</v>
      </c>
      <c r="AF1638" s="11">
        <v>68.912999999999997</v>
      </c>
      <c r="AG1638" s="11">
        <v>68.594999999999999</v>
      </c>
      <c r="AH1638" s="11">
        <v>68.350999999999999</v>
      </c>
      <c r="AI1638" s="11">
        <v>68.141999999999996</v>
      </c>
      <c r="AJ1638" s="11">
        <v>67.953000000000003</v>
      </c>
      <c r="AK1638" s="11">
        <v>67.802000000000007</v>
      </c>
      <c r="AL1638" s="11"/>
    </row>
    <row r="1639" spans="1:38" x14ac:dyDescent="0.3">
      <c r="A1639" s="9">
        <f>DATE(2023, 5, 4)</f>
        <v>45050</v>
      </c>
      <c r="B1639" s="10">
        <v>72.5</v>
      </c>
      <c r="C1639" s="10">
        <v>72.319999999999993</v>
      </c>
      <c r="D1639" s="10">
        <v>72.03</v>
      </c>
      <c r="E1639" s="10">
        <v>71.709999999999994</v>
      </c>
      <c r="F1639" s="10">
        <v>71.41</v>
      </c>
      <c r="G1639" s="10">
        <v>71.12</v>
      </c>
      <c r="H1639" s="10">
        <v>70.84</v>
      </c>
      <c r="I1639" s="10">
        <v>70.569999999999993</v>
      </c>
      <c r="J1639" s="10">
        <v>70.34</v>
      </c>
      <c r="K1639" s="10">
        <v>70.12</v>
      </c>
      <c r="L1639" s="10">
        <v>69.92</v>
      </c>
      <c r="M1639" s="10">
        <v>69.75</v>
      </c>
      <c r="N1639" s="10">
        <v>68.56</v>
      </c>
      <c r="O1639" s="10">
        <v>68.510000000000005</v>
      </c>
      <c r="P1639" s="10">
        <v>68.319999999999993</v>
      </c>
      <c r="Q1639" s="10">
        <v>68</v>
      </c>
      <c r="R1639" s="10">
        <v>67.62</v>
      </c>
      <c r="S1639" s="10">
        <v>67.260000000000005</v>
      </c>
      <c r="T1639" s="10">
        <v>66.930000000000007</v>
      </c>
      <c r="U1639" s="10">
        <v>66.61</v>
      </c>
      <c r="V1639" s="10">
        <v>66.319999999999993</v>
      </c>
      <c r="W1639" s="10">
        <v>66.05</v>
      </c>
      <c r="X1639" s="10">
        <v>65.81</v>
      </c>
      <c r="Y1639" s="10">
        <v>65.599999999999994</v>
      </c>
      <c r="Z1639" s="11">
        <v>72.534999999999997</v>
      </c>
      <c r="AA1639" s="11">
        <v>71.486999999999995</v>
      </c>
      <c r="AB1639" s="11">
        <v>70.790000000000006</v>
      </c>
      <c r="AC1639" s="11">
        <v>70.221999999999994</v>
      </c>
      <c r="AD1639" s="11">
        <v>69.736000000000004</v>
      </c>
      <c r="AE1639" s="11">
        <v>69.326999999999998</v>
      </c>
      <c r="AF1639" s="11">
        <v>68.947000000000003</v>
      </c>
      <c r="AG1639" s="11">
        <v>68.537000000000006</v>
      </c>
      <c r="AH1639" s="11">
        <v>68.260000000000005</v>
      </c>
      <c r="AI1639" s="11">
        <v>67.98</v>
      </c>
      <c r="AJ1639" s="11">
        <v>67.751999999999995</v>
      </c>
      <c r="AK1639" s="11">
        <v>67.581000000000003</v>
      </c>
      <c r="AL1639" s="11"/>
    </row>
    <row r="1640" spans="1:38" x14ac:dyDescent="0.3">
      <c r="A1640" s="9">
        <f>DATE(2023, 5, 5)</f>
        <v>45051</v>
      </c>
      <c r="B1640" s="10">
        <v>75.3</v>
      </c>
      <c r="C1640" s="10">
        <v>75.09</v>
      </c>
      <c r="D1640" s="10">
        <v>74.760000000000005</v>
      </c>
      <c r="E1640" s="10">
        <v>74.38</v>
      </c>
      <c r="F1640" s="10">
        <v>74.040000000000006</v>
      </c>
      <c r="G1640" s="10">
        <v>73.69</v>
      </c>
      <c r="H1640" s="10">
        <v>73.349999999999994</v>
      </c>
      <c r="I1640" s="10">
        <v>73.03</v>
      </c>
      <c r="J1640" s="10">
        <v>72.75</v>
      </c>
      <c r="K1640" s="10">
        <v>72.48</v>
      </c>
      <c r="L1640" s="10">
        <v>72.23</v>
      </c>
      <c r="M1640" s="10">
        <v>72.010000000000005</v>
      </c>
      <c r="N1640" s="10">
        <v>71.34</v>
      </c>
      <c r="O1640" s="10">
        <v>71.27</v>
      </c>
      <c r="P1640" s="10">
        <v>71.03</v>
      </c>
      <c r="Q1640" s="10">
        <v>70.650000000000006</v>
      </c>
      <c r="R1640" s="10">
        <v>70.23</v>
      </c>
      <c r="S1640" s="10">
        <v>69.819999999999993</v>
      </c>
      <c r="T1640" s="10">
        <v>69.430000000000007</v>
      </c>
      <c r="U1640" s="10">
        <v>69.06</v>
      </c>
      <c r="V1640" s="10">
        <v>68.709999999999994</v>
      </c>
      <c r="W1640" s="10">
        <v>68.39</v>
      </c>
      <c r="X1640" s="10">
        <v>68.099999999999994</v>
      </c>
      <c r="Y1640" s="10">
        <v>67.84</v>
      </c>
      <c r="Z1640" s="11">
        <v>74.908000000000001</v>
      </c>
      <c r="AA1640" s="11">
        <v>74.174999999999997</v>
      </c>
      <c r="AB1640" s="11">
        <v>73.468000000000004</v>
      </c>
      <c r="AC1640" s="11">
        <v>72.870999999999995</v>
      </c>
      <c r="AD1640" s="11">
        <v>72.367999999999995</v>
      </c>
      <c r="AE1640" s="11">
        <v>71.885000000000005</v>
      </c>
      <c r="AF1640" s="11">
        <v>71.435000000000002</v>
      </c>
      <c r="AG1640" s="11">
        <v>71.012</v>
      </c>
      <c r="AH1640" s="11">
        <v>70.683000000000007</v>
      </c>
      <c r="AI1640" s="11">
        <v>70.378</v>
      </c>
      <c r="AJ1640" s="11">
        <v>70.119</v>
      </c>
      <c r="AK1640" s="11">
        <v>69.879000000000005</v>
      </c>
      <c r="AL1640" s="11"/>
    </row>
    <row r="1641" spans="1:38" x14ac:dyDescent="0.3">
      <c r="A1641" s="9">
        <f>DATE(2023, 5, 8)</f>
        <v>45054</v>
      </c>
      <c r="B1641" s="10">
        <v>77.010000000000005</v>
      </c>
      <c r="C1641" s="10">
        <v>76.81</v>
      </c>
      <c r="D1641" s="10">
        <v>76.47</v>
      </c>
      <c r="E1641" s="10">
        <v>76.08</v>
      </c>
      <c r="F1641" s="10">
        <v>75.72</v>
      </c>
      <c r="G1641" s="10">
        <v>75.36</v>
      </c>
      <c r="H1641" s="10">
        <v>75</v>
      </c>
      <c r="I1641" s="10">
        <v>74.66</v>
      </c>
      <c r="J1641" s="10">
        <v>74.37</v>
      </c>
      <c r="K1641" s="10">
        <v>74.069999999999993</v>
      </c>
      <c r="L1641" s="10">
        <v>73.790000000000006</v>
      </c>
      <c r="M1641" s="10">
        <v>73.55</v>
      </c>
      <c r="N1641" s="10">
        <v>73.16</v>
      </c>
      <c r="O1641" s="10">
        <v>73.069999999999993</v>
      </c>
      <c r="P1641" s="10">
        <v>72.81</v>
      </c>
      <c r="Q1641" s="10">
        <v>72.42</v>
      </c>
      <c r="R1641" s="10">
        <v>71.98</v>
      </c>
      <c r="S1641" s="10">
        <v>71.540000000000006</v>
      </c>
      <c r="T1641" s="10">
        <v>71.11</v>
      </c>
      <c r="U1641" s="10">
        <v>70.69</v>
      </c>
      <c r="V1641" s="10">
        <v>70.3</v>
      </c>
      <c r="W1641" s="10">
        <v>69.95</v>
      </c>
      <c r="X1641" s="10">
        <v>69.650000000000006</v>
      </c>
      <c r="Y1641" s="10">
        <v>69.37</v>
      </c>
      <c r="Z1641" s="11">
        <v>76.244</v>
      </c>
      <c r="AA1641" s="11">
        <v>75.834999999999994</v>
      </c>
      <c r="AB1641" s="11">
        <v>75.134</v>
      </c>
      <c r="AC1641" s="11">
        <v>74.516000000000005</v>
      </c>
      <c r="AD1641" s="11">
        <v>73.956000000000003</v>
      </c>
      <c r="AE1641" s="11">
        <v>73.456000000000003</v>
      </c>
      <c r="AF1641" s="11">
        <v>72.975999999999999</v>
      </c>
      <c r="AG1641" s="11">
        <v>72.536000000000001</v>
      </c>
      <c r="AH1641" s="11">
        <v>72.225999999999999</v>
      </c>
      <c r="AI1641" s="11">
        <v>71.906999999999996</v>
      </c>
      <c r="AJ1641" s="11">
        <v>71.617999999999995</v>
      </c>
      <c r="AK1641" s="11">
        <v>71.358000000000004</v>
      </c>
      <c r="AL1641" s="11"/>
    </row>
    <row r="1642" spans="1:38" x14ac:dyDescent="0.3">
      <c r="A1642" s="9">
        <f>DATE(2023, 5, 9)</f>
        <v>45055</v>
      </c>
      <c r="B1642" s="10">
        <v>77.44</v>
      </c>
      <c r="C1642" s="10">
        <v>77.27</v>
      </c>
      <c r="D1642" s="10">
        <v>76.959999999999994</v>
      </c>
      <c r="E1642" s="10">
        <v>76.59</v>
      </c>
      <c r="F1642" s="10">
        <v>76.23</v>
      </c>
      <c r="G1642" s="10">
        <v>75.88</v>
      </c>
      <c r="H1642" s="10">
        <v>75.53</v>
      </c>
      <c r="I1642" s="10">
        <v>75.2</v>
      </c>
      <c r="J1642" s="10">
        <v>74.91</v>
      </c>
      <c r="K1642" s="10">
        <v>74.62</v>
      </c>
      <c r="L1642" s="10">
        <v>74.349999999999994</v>
      </c>
      <c r="M1642" s="10">
        <v>74.12</v>
      </c>
      <c r="N1642" s="10">
        <v>73.709999999999994</v>
      </c>
      <c r="O1642" s="10">
        <v>73.62</v>
      </c>
      <c r="P1642" s="10">
        <v>73.39</v>
      </c>
      <c r="Q1642" s="10">
        <v>73.02</v>
      </c>
      <c r="R1642" s="10">
        <v>72.59</v>
      </c>
      <c r="S1642" s="10">
        <v>72.16</v>
      </c>
      <c r="T1642" s="10">
        <v>71.75</v>
      </c>
      <c r="U1642" s="10">
        <v>71.349999999999994</v>
      </c>
      <c r="V1642" s="10">
        <v>70.97</v>
      </c>
      <c r="W1642" s="10">
        <v>70.61</v>
      </c>
      <c r="X1642" s="10">
        <v>70.290000000000006</v>
      </c>
      <c r="Y1642" s="10">
        <v>70.010000000000005</v>
      </c>
      <c r="Z1642" s="11">
        <v>76.453000000000003</v>
      </c>
      <c r="AA1642" s="11">
        <v>76.274000000000001</v>
      </c>
      <c r="AB1642" s="11">
        <v>75.614000000000004</v>
      </c>
      <c r="AC1642" s="11">
        <v>75.046000000000006</v>
      </c>
      <c r="AD1642" s="11">
        <v>74.5</v>
      </c>
      <c r="AE1642" s="11">
        <v>74.004000000000005</v>
      </c>
      <c r="AF1642" s="11">
        <v>73.534999999999997</v>
      </c>
      <c r="AG1642" s="11">
        <v>73.094999999999999</v>
      </c>
      <c r="AH1642" s="11">
        <v>72.766999999999996</v>
      </c>
      <c r="AI1642" s="11">
        <v>72.427000000000007</v>
      </c>
      <c r="AJ1642" s="11">
        <v>72.138999999999996</v>
      </c>
      <c r="AK1642" s="11">
        <v>71.858000000000004</v>
      </c>
      <c r="AL1642" s="11"/>
    </row>
    <row r="1643" spans="1:38" x14ac:dyDescent="0.3">
      <c r="A1643" s="9">
        <f>DATE(2023, 5, 10)</f>
        <v>45056</v>
      </c>
      <c r="B1643" s="10">
        <v>76.41</v>
      </c>
      <c r="C1643" s="10">
        <v>76.27</v>
      </c>
      <c r="D1643" s="10">
        <v>75.989999999999995</v>
      </c>
      <c r="E1643" s="10">
        <v>75.650000000000006</v>
      </c>
      <c r="F1643" s="10">
        <v>75.33</v>
      </c>
      <c r="G1643" s="10">
        <v>75</v>
      </c>
      <c r="H1643" s="10">
        <v>74.69</v>
      </c>
      <c r="I1643" s="10">
        <v>74.39</v>
      </c>
      <c r="J1643" s="10">
        <v>74.13</v>
      </c>
      <c r="K1643" s="10">
        <v>73.87</v>
      </c>
      <c r="L1643" s="10">
        <v>73.63</v>
      </c>
      <c r="M1643" s="10">
        <v>73.42</v>
      </c>
      <c r="N1643" s="10">
        <v>72.56</v>
      </c>
      <c r="O1643" s="10">
        <v>72.52</v>
      </c>
      <c r="P1643" s="10">
        <v>72.349999999999994</v>
      </c>
      <c r="Q1643" s="10">
        <v>72.02</v>
      </c>
      <c r="R1643" s="10">
        <v>71.62</v>
      </c>
      <c r="S1643" s="10">
        <v>71.209999999999994</v>
      </c>
      <c r="T1643" s="10">
        <v>70.83</v>
      </c>
      <c r="U1643" s="10">
        <v>70.47</v>
      </c>
      <c r="V1643" s="10">
        <v>70.12</v>
      </c>
      <c r="W1643" s="10">
        <v>69.819999999999993</v>
      </c>
      <c r="X1643" s="10">
        <v>69.52</v>
      </c>
      <c r="Y1643" s="10">
        <v>69.27</v>
      </c>
      <c r="Z1643" s="11">
        <v>75.688999999999993</v>
      </c>
      <c r="AA1643" s="11">
        <v>75.236999999999995</v>
      </c>
      <c r="AB1643" s="11">
        <v>74.674000000000007</v>
      </c>
      <c r="AC1643" s="11">
        <v>74.146000000000001</v>
      </c>
      <c r="AD1643" s="11">
        <v>73.634</v>
      </c>
      <c r="AE1643" s="11">
        <v>73.162999999999997</v>
      </c>
      <c r="AF1643" s="11">
        <v>72.751000000000005</v>
      </c>
      <c r="AG1643" s="11">
        <v>72.349000000000004</v>
      </c>
      <c r="AH1643" s="11">
        <v>72.007999999999996</v>
      </c>
      <c r="AI1643" s="11">
        <v>71.728999999999999</v>
      </c>
      <c r="AJ1643" s="11">
        <v>71.47</v>
      </c>
      <c r="AK1643" s="11">
        <v>71.23</v>
      </c>
      <c r="AL1643" s="11"/>
    </row>
    <row r="1644" spans="1:38" x14ac:dyDescent="0.3">
      <c r="A1644" s="9">
        <f>DATE(2023, 5, 11)</f>
        <v>45057</v>
      </c>
      <c r="B1644" s="10">
        <v>74.98</v>
      </c>
      <c r="C1644" s="10">
        <v>74.760000000000005</v>
      </c>
      <c r="D1644" s="10">
        <v>74.44</v>
      </c>
      <c r="E1644" s="10">
        <v>74.08</v>
      </c>
      <c r="F1644" s="10">
        <v>73.75</v>
      </c>
      <c r="G1644" s="10">
        <v>73.41</v>
      </c>
      <c r="H1644" s="10">
        <v>73.099999999999994</v>
      </c>
      <c r="I1644" s="10">
        <v>72.819999999999993</v>
      </c>
      <c r="J1644" s="10">
        <v>72.58</v>
      </c>
      <c r="K1644" s="10">
        <v>72.34</v>
      </c>
      <c r="L1644" s="10">
        <v>72.12</v>
      </c>
      <c r="M1644" s="10">
        <v>71.94</v>
      </c>
      <c r="N1644" s="10">
        <v>70.87</v>
      </c>
      <c r="O1644" s="10">
        <v>70.88</v>
      </c>
      <c r="P1644" s="10">
        <v>70.709999999999994</v>
      </c>
      <c r="Q1644" s="10">
        <v>70.39</v>
      </c>
      <c r="R1644" s="10">
        <v>69.989999999999995</v>
      </c>
      <c r="S1644" s="10">
        <v>69.599999999999994</v>
      </c>
      <c r="T1644" s="10">
        <v>69.25</v>
      </c>
      <c r="U1644" s="10">
        <v>68.91</v>
      </c>
      <c r="V1644" s="10">
        <v>68.59</v>
      </c>
      <c r="W1644" s="10">
        <v>68.290000000000006</v>
      </c>
      <c r="X1644" s="10">
        <v>68.010000000000005</v>
      </c>
      <c r="Y1644" s="10">
        <v>67.77</v>
      </c>
      <c r="Z1644" s="11">
        <v>74.643000000000001</v>
      </c>
      <c r="AA1644" s="11">
        <v>73.674999999999997</v>
      </c>
      <c r="AB1644" s="11">
        <v>73.102999999999994</v>
      </c>
      <c r="AC1644" s="11">
        <v>72.566000000000003</v>
      </c>
      <c r="AD1644" s="11">
        <v>72.055000000000007</v>
      </c>
      <c r="AE1644" s="11">
        <v>71.587000000000003</v>
      </c>
      <c r="AF1644" s="11">
        <v>71.158000000000001</v>
      </c>
      <c r="AG1644" s="11">
        <v>70.775999999999996</v>
      </c>
      <c r="AH1644" s="11">
        <v>70.509</v>
      </c>
      <c r="AI1644" s="11">
        <v>70.239999999999995</v>
      </c>
      <c r="AJ1644" s="11">
        <v>70.010999999999996</v>
      </c>
      <c r="AK1644" s="11">
        <v>69.8</v>
      </c>
      <c r="AL1644" s="11"/>
    </row>
    <row r="1645" spans="1:38" x14ac:dyDescent="0.3">
      <c r="A1645" s="9">
        <f>DATE(2023, 5, 12)</f>
        <v>45058</v>
      </c>
      <c r="B1645" s="10">
        <v>74.17</v>
      </c>
      <c r="C1645" s="10">
        <v>73.900000000000006</v>
      </c>
      <c r="D1645" s="10">
        <v>73.55</v>
      </c>
      <c r="E1645" s="10">
        <v>73.180000000000007</v>
      </c>
      <c r="F1645" s="10">
        <v>72.849999999999994</v>
      </c>
      <c r="G1645" s="10">
        <v>72.510000000000005</v>
      </c>
      <c r="H1645" s="10">
        <v>72.209999999999994</v>
      </c>
      <c r="I1645" s="10">
        <v>71.930000000000007</v>
      </c>
      <c r="J1645" s="10">
        <v>71.7</v>
      </c>
      <c r="K1645" s="10">
        <v>71.48</v>
      </c>
      <c r="L1645" s="10">
        <v>71.28</v>
      </c>
      <c r="M1645" s="10">
        <v>71.11</v>
      </c>
      <c r="N1645" s="10">
        <v>70.040000000000006</v>
      </c>
      <c r="O1645" s="10">
        <v>70.02</v>
      </c>
      <c r="P1645" s="10">
        <v>69.83</v>
      </c>
      <c r="Q1645" s="10">
        <v>69.5</v>
      </c>
      <c r="R1645" s="10">
        <v>69.11</v>
      </c>
      <c r="S1645" s="10">
        <v>68.73</v>
      </c>
      <c r="T1645" s="10">
        <v>68.38</v>
      </c>
      <c r="U1645" s="10">
        <v>68.05</v>
      </c>
      <c r="V1645" s="10">
        <v>67.73</v>
      </c>
      <c r="W1645" s="10">
        <v>67.45</v>
      </c>
      <c r="X1645" s="10">
        <v>67.19</v>
      </c>
      <c r="Y1645" s="10">
        <v>66.959999999999994</v>
      </c>
      <c r="Z1645" s="11">
        <v>74</v>
      </c>
      <c r="AA1645" s="11">
        <v>72.694999999999993</v>
      </c>
      <c r="AB1645" s="11">
        <v>72.174999999999997</v>
      </c>
      <c r="AC1645" s="11">
        <v>71.653000000000006</v>
      </c>
      <c r="AD1645" s="11">
        <v>71.143000000000001</v>
      </c>
      <c r="AE1645" s="11">
        <v>70.692999999999998</v>
      </c>
      <c r="AF1645" s="11">
        <v>70.257999999999996</v>
      </c>
      <c r="AG1645" s="11">
        <v>69.867999999999995</v>
      </c>
      <c r="AH1645" s="11">
        <v>69.53</v>
      </c>
      <c r="AI1645" s="11">
        <v>69.3</v>
      </c>
      <c r="AJ1645" s="11">
        <v>69.081999999999994</v>
      </c>
      <c r="AK1645" s="11">
        <v>68.911000000000001</v>
      </c>
      <c r="AL1645" s="11"/>
    </row>
    <row r="1646" spans="1:38" x14ac:dyDescent="0.3">
      <c r="A1646" s="9">
        <f>DATE(2023, 5, 15)</f>
        <v>45061</v>
      </c>
      <c r="B1646" s="10">
        <v>75.23</v>
      </c>
      <c r="C1646" s="10">
        <v>75.02</v>
      </c>
      <c r="D1646" s="10">
        <v>74.69</v>
      </c>
      <c r="E1646" s="10">
        <v>74.319999999999993</v>
      </c>
      <c r="F1646" s="10">
        <v>73.98</v>
      </c>
      <c r="G1646" s="10">
        <v>73.64</v>
      </c>
      <c r="H1646" s="10">
        <v>73.319999999999993</v>
      </c>
      <c r="I1646" s="10">
        <v>73.03</v>
      </c>
      <c r="J1646" s="10">
        <v>72.78</v>
      </c>
      <c r="K1646" s="10">
        <v>72.53</v>
      </c>
      <c r="L1646" s="10">
        <v>72.319999999999993</v>
      </c>
      <c r="M1646" s="10">
        <v>72.14</v>
      </c>
      <c r="N1646" s="10">
        <v>71.11</v>
      </c>
      <c r="O1646" s="10">
        <v>71.09</v>
      </c>
      <c r="P1646" s="10">
        <v>70.91</v>
      </c>
      <c r="Q1646" s="10">
        <v>70.58</v>
      </c>
      <c r="R1646" s="10">
        <v>70.19</v>
      </c>
      <c r="S1646" s="10">
        <v>69.81</v>
      </c>
      <c r="T1646" s="10">
        <v>69.459999999999994</v>
      </c>
      <c r="U1646" s="10">
        <v>69.12</v>
      </c>
      <c r="V1646" s="10">
        <v>68.790000000000006</v>
      </c>
      <c r="W1646" s="10">
        <v>68.48</v>
      </c>
      <c r="X1646" s="10">
        <v>68.209999999999994</v>
      </c>
      <c r="Y1646" s="10">
        <v>67.959999999999994</v>
      </c>
      <c r="Z1646" s="11">
        <v>74.515000000000001</v>
      </c>
      <c r="AA1646" s="11">
        <v>73.634</v>
      </c>
      <c r="AB1646" s="11">
        <v>73.194000000000003</v>
      </c>
      <c r="AC1646" s="11">
        <v>72.716999999999999</v>
      </c>
      <c r="AD1646" s="11">
        <v>72.236000000000004</v>
      </c>
      <c r="AE1646" s="11">
        <v>71.775000000000006</v>
      </c>
      <c r="AF1646" s="11">
        <v>71.316999999999993</v>
      </c>
      <c r="AG1646" s="11">
        <v>70.885999999999996</v>
      </c>
      <c r="AH1646" s="11">
        <v>70.578999999999994</v>
      </c>
      <c r="AI1646" s="11">
        <v>70.319999999999993</v>
      </c>
      <c r="AJ1646" s="11">
        <v>70.131</v>
      </c>
      <c r="AK1646" s="11">
        <v>69.95</v>
      </c>
      <c r="AL1646" s="11"/>
    </row>
    <row r="1647" spans="1:38" x14ac:dyDescent="0.3">
      <c r="A1647" s="9">
        <f>DATE(2023, 5, 16)</f>
        <v>45062</v>
      </c>
      <c r="B1647" s="10">
        <v>74.91</v>
      </c>
      <c r="C1647" s="10">
        <v>74.72</v>
      </c>
      <c r="D1647" s="10">
        <v>74.400000000000006</v>
      </c>
      <c r="E1647" s="10">
        <v>74.03</v>
      </c>
      <c r="F1647" s="10">
        <v>73.69</v>
      </c>
      <c r="G1647" s="10">
        <v>73.349999999999994</v>
      </c>
      <c r="H1647" s="10">
        <v>73.03</v>
      </c>
      <c r="I1647" s="10">
        <v>72.739999999999995</v>
      </c>
      <c r="J1647" s="10">
        <v>72.510000000000005</v>
      </c>
      <c r="K1647" s="10">
        <v>72.27</v>
      </c>
      <c r="L1647" s="10">
        <v>72.06</v>
      </c>
      <c r="M1647" s="10">
        <v>71.89</v>
      </c>
      <c r="N1647" s="10">
        <v>70.86</v>
      </c>
      <c r="O1647" s="10">
        <v>70.84</v>
      </c>
      <c r="P1647" s="10">
        <v>70.66</v>
      </c>
      <c r="Q1647" s="10">
        <v>70.33</v>
      </c>
      <c r="R1647" s="10">
        <v>69.94</v>
      </c>
      <c r="S1647" s="10">
        <v>69.56</v>
      </c>
      <c r="T1647" s="10">
        <v>69.22</v>
      </c>
      <c r="U1647" s="10">
        <v>68.87</v>
      </c>
      <c r="V1647" s="10">
        <v>68.56</v>
      </c>
      <c r="W1647" s="10">
        <v>68.27</v>
      </c>
      <c r="X1647" s="10">
        <v>68</v>
      </c>
      <c r="Y1647" s="10">
        <v>67.760000000000005</v>
      </c>
      <c r="Z1647" s="11">
        <v>74.387</v>
      </c>
      <c r="AA1647" s="11">
        <v>73.394999999999996</v>
      </c>
      <c r="AB1647" s="11">
        <v>72.962999999999994</v>
      </c>
      <c r="AC1647" s="11">
        <v>72.462999999999994</v>
      </c>
      <c r="AD1647" s="11">
        <v>71.981999999999999</v>
      </c>
      <c r="AE1647" s="11">
        <v>71.510000000000005</v>
      </c>
      <c r="AF1647" s="11">
        <v>71.06</v>
      </c>
      <c r="AG1647" s="11">
        <v>70.64</v>
      </c>
      <c r="AH1647" s="11">
        <v>70.308999999999997</v>
      </c>
      <c r="AI1647" s="11">
        <v>70.02</v>
      </c>
      <c r="AJ1647" s="11">
        <v>69.781999999999996</v>
      </c>
      <c r="AK1647" s="11">
        <v>69.600999999999999</v>
      </c>
      <c r="AL1647" s="11"/>
    </row>
    <row r="1648" spans="1:38" x14ac:dyDescent="0.3">
      <c r="A1648" s="9">
        <f>DATE(2023, 5, 17)</f>
        <v>45063</v>
      </c>
      <c r="B1648" s="10">
        <v>76.959999999999994</v>
      </c>
      <c r="C1648" s="10">
        <v>76.81</v>
      </c>
      <c r="D1648" s="10">
        <v>76.510000000000005</v>
      </c>
      <c r="E1648" s="10">
        <v>76.150000000000006</v>
      </c>
      <c r="F1648" s="10">
        <v>75.81</v>
      </c>
      <c r="G1648" s="10">
        <v>75.459999999999994</v>
      </c>
      <c r="H1648" s="10">
        <v>75.11</v>
      </c>
      <c r="I1648" s="10">
        <v>74.8</v>
      </c>
      <c r="J1648" s="10">
        <v>74.53</v>
      </c>
      <c r="K1648" s="10">
        <v>74.260000000000005</v>
      </c>
      <c r="L1648" s="10">
        <v>74.02</v>
      </c>
      <c r="M1648" s="10">
        <v>73.819999999999993</v>
      </c>
      <c r="N1648" s="10">
        <v>72.83</v>
      </c>
      <c r="O1648" s="10">
        <v>72.89</v>
      </c>
      <c r="P1648" s="10">
        <v>72.77</v>
      </c>
      <c r="Q1648" s="10">
        <v>72.48</v>
      </c>
      <c r="R1648" s="10">
        <v>72.099999999999994</v>
      </c>
      <c r="S1648" s="10">
        <v>71.709999999999994</v>
      </c>
      <c r="T1648" s="10">
        <v>71.33</v>
      </c>
      <c r="U1648" s="10">
        <v>70.959999999999994</v>
      </c>
      <c r="V1648" s="10">
        <v>70.61</v>
      </c>
      <c r="W1648" s="10">
        <v>70.290000000000006</v>
      </c>
      <c r="X1648" s="10">
        <v>69.989999999999995</v>
      </c>
      <c r="Y1648" s="10">
        <v>69.72</v>
      </c>
      <c r="Z1648" s="11">
        <v>75.126000000000005</v>
      </c>
      <c r="AA1648" s="11">
        <v>75.093999999999994</v>
      </c>
      <c r="AB1648" s="11">
        <v>74.814999999999998</v>
      </c>
      <c r="AC1648" s="11">
        <v>74.447999999999993</v>
      </c>
      <c r="AD1648" s="11">
        <v>74.028000000000006</v>
      </c>
      <c r="AE1648" s="11">
        <v>73.578999999999994</v>
      </c>
      <c r="AF1648" s="11">
        <v>73.131</v>
      </c>
      <c r="AG1648" s="11">
        <v>72.707999999999998</v>
      </c>
      <c r="AH1648" s="11">
        <v>72.397999999999996</v>
      </c>
      <c r="AI1648" s="11">
        <v>72.099000000000004</v>
      </c>
      <c r="AJ1648" s="11">
        <v>71.84</v>
      </c>
      <c r="AK1648" s="11">
        <v>71.619</v>
      </c>
      <c r="AL1648" s="11"/>
    </row>
    <row r="1649" spans="1:38" x14ac:dyDescent="0.3">
      <c r="A1649" s="9">
        <f>DATE(2023, 5, 18)</f>
        <v>45064</v>
      </c>
      <c r="B1649" s="10">
        <v>75.86</v>
      </c>
      <c r="C1649" s="10">
        <v>75.8</v>
      </c>
      <c r="D1649" s="10">
        <v>75.58</v>
      </c>
      <c r="E1649" s="10">
        <v>75.28</v>
      </c>
      <c r="F1649" s="10">
        <v>74.97</v>
      </c>
      <c r="G1649" s="10">
        <v>74.66</v>
      </c>
      <c r="H1649" s="10">
        <v>74.349999999999994</v>
      </c>
      <c r="I1649" s="10">
        <v>74.06</v>
      </c>
      <c r="J1649" s="10">
        <v>73.819999999999993</v>
      </c>
      <c r="K1649" s="10">
        <v>73.569999999999993</v>
      </c>
      <c r="L1649" s="10">
        <v>73.36</v>
      </c>
      <c r="M1649" s="10">
        <v>73.180000000000007</v>
      </c>
      <c r="N1649" s="10">
        <v>71.86</v>
      </c>
      <c r="O1649" s="10">
        <v>71.94</v>
      </c>
      <c r="P1649" s="10">
        <v>71.86</v>
      </c>
      <c r="Q1649" s="10">
        <v>71.61</v>
      </c>
      <c r="R1649" s="10">
        <v>71.28</v>
      </c>
      <c r="S1649" s="10">
        <v>70.94</v>
      </c>
      <c r="T1649" s="10">
        <v>70.59</v>
      </c>
      <c r="U1649" s="10">
        <v>70.260000000000005</v>
      </c>
      <c r="V1649" s="10">
        <v>69.94</v>
      </c>
      <c r="W1649" s="10">
        <v>69.650000000000006</v>
      </c>
      <c r="X1649" s="10">
        <v>69.37</v>
      </c>
      <c r="Y1649" s="10">
        <v>69.12</v>
      </c>
      <c r="Z1649" s="11">
        <v>74.67</v>
      </c>
      <c r="AA1649" s="11">
        <v>74.16</v>
      </c>
      <c r="AB1649" s="11">
        <v>73.915999999999997</v>
      </c>
      <c r="AC1649" s="11">
        <v>73.581999999999994</v>
      </c>
      <c r="AD1649" s="11">
        <v>73.156000000000006</v>
      </c>
      <c r="AE1649" s="11">
        <v>72.72</v>
      </c>
      <c r="AF1649" s="11">
        <v>72.27</v>
      </c>
      <c r="AG1649" s="11">
        <v>71.878</v>
      </c>
      <c r="AH1649" s="11">
        <v>71.629000000000005</v>
      </c>
      <c r="AI1649" s="11">
        <v>71.349999999999994</v>
      </c>
      <c r="AJ1649" s="11">
        <v>71.131</v>
      </c>
      <c r="AK1649" s="11">
        <v>70.941000000000003</v>
      </c>
      <c r="AL1649" s="11"/>
    </row>
    <row r="1650" spans="1:38" x14ac:dyDescent="0.3">
      <c r="A1650" s="9">
        <f>DATE(2023, 5, 19)</f>
        <v>45065</v>
      </c>
      <c r="B1650" s="10">
        <v>75.58</v>
      </c>
      <c r="C1650" s="10">
        <v>75.47</v>
      </c>
      <c r="D1650" s="10">
        <v>75.19</v>
      </c>
      <c r="E1650" s="10">
        <v>74.849999999999994</v>
      </c>
      <c r="F1650" s="10">
        <v>74.510000000000005</v>
      </c>
      <c r="G1650" s="10">
        <v>74.17</v>
      </c>
      <c r="H1650" s="10">
        <v>73.83</v>
      </c>
      <c r="I1650" s="10">
        <v>73.510000000000005</v>
      </c>
      <c r="J1650" s="10">
        <v>73.239999999999995</v>
      </c>
      <c r="K1650" s="10">
        <v>72.97</v>
      </c>
      <c r="L1650" s="10">
        <v>72.73</v>
      </c>
      <c r="M1650" s="10">
        <v>72.510000000000005</v>
      </c>
      <c r="N1650" s="10">
        <v>71.55</v>
      </c>
      <c r="O1650" s="10">
        <v>71.69</v>
      </c>
      <c r="P1650" s="10">
        <v>71.59</v>
      </c>
      <c r="Q1650" s="10">
        <v>71.31</v>
      </c>
      <c r="R1650" s="10">
        <v>70.94</v>
      </c>
      <c r="S1650" s="10">
        <v>70.55</v>
      </c>
      <c r="T1650" s="10">
        <v>70.17</v>
      </c>
      <c r="U1650" s="10">
        <v>69.8</v>
      </c>
      <c r="V1650" s="10">
        <v>69.45</v>
      </c>
      <c r="W1650" s="10">
        <v>69.12</v>
      </c>
      <c r="X1650" s="10">
        <v>68.790000000000006</v>
      </c>
      <c r="Y1650" s="10">
        <v>68.5</v>
      </c>
      <c r="Z1650" s="11">
        <v>74.668000000000006</v>
      </c>
      <c r="AA1650" s="11">
        <v>74.091999999999999</v>
      </c>
      <c r="AB1650" s="11">
        <v>73.733999999999995</v>
      </c>
      <c r="AC1650" s="11">
        <v>73.323999999999998</v>
      </c>
      <c r="AD1650" s="11">
        <v>72.864000000000004</v>
      </c>
      <c r="AE1650" s="11">
        <v>72.403999999999996</v>
      </c>
      <c r="AF1650" s="11">
        <v>71.933999999999997</v>
      </c>
      <c r="AG1650" s="11">
        <v>71.488</v>
      </c>
      <c r="AH1650" s="11">
        <v>71.108000000000004</v>
      </c>
      <c r="AI1650" s="11">
        <v>70.819000000000003</v>
      </c>
      <c r="AJ1650" s="11">
        <v>70.569000000000003</v>
      </c>
      <c r="AK1650" s="11">
        <v>70.33</v>
      </c>
      <c r="AL1650" s="11"/>
    </row>
    <row r="1651" spans="1:38" x14ac:dyDescent="0.3">
      <c r="A1651" s="9">
        <f>DATE(2023, 5, 22)</f>
        <v>45068</v>
      </c>
      <c r="B1651" s="10">
        <v>75.989999999999995</v>
      </c>
      <c r="C1651" s="10">
        <v>75.87</v>
      </c>
      <c r="D1651" s="10">
        <v>75.569999999999993</v>
      </c>
      <c r="E1651" s="10">
        <v>75.2</v>
      </c>
      <c r="F1651" s="10">
        <v>74.84</v>
      </c>
      <c r="G1651" s="10">
        <v>74.47</v>
      </c>
      <c r="H1651" s="10">
        <v>74.11</v>
      </c>
      <c r="I1651" s="10">
        <v>73.78</v>
      </c>
      <c r="J1651" s="10">
        <v>73.5</v>
      </c>
      <c r="K1651" s="10">
        <v>73.209999999999994</v>
      </c>
      <c r="L1651" s="10">
        <v>72.95</v>
      </c>
      <c r="M1651" s="10">
        <v>72.73</v>
      </c>
      <c r="N1651" s="10">
        <v>71.989999999999995</v>
      </c>
      <c r="O1651" s="10">
        <v>72.05</v>
      </c>
      <c r="P1651" s="10">
        <v>71.97</v>
      </c>
      <c r="Q1651" s="10">
        <v>71.680000000000007</v>
      </c>
      <c r="R1651" s="10">
        <v>71.28</v>
      </c>
      <c r="S1651" s="10">
        <v>70.87</v>
      </c>
      <c r="T1651" s="10">
        <v>70.459999999999994</v>
      </c>
      <c r="U1651" s="10">
        <v>70.069999999999993</v>
      </c>
      <c r="V1651" s="10">
        <v>69.7</v>
      </c>
      <c r="W1651" s="10">
        <v>69.36</v>
      </c>
      <c r="X1651" s="10">
        <v>69.040000000000006</v>
      </c>
      <c r="Y1651" s="10">
        <v>68.75</v>
      </c>
      <c r="Z1651" s="11">
        <v>74.733000000000004</v>
      </c>
      <c r="AA1651" s="11">
        <v>74.275999999999996</v>
      </c>
      <c r="AB1651" s="11">
        <v>73.941999999999993</v>
      </c>
      <c r="AC1651" s="11">
        <v>73.543999999999997</v>
      </c>
      <c r="AD1651" s="11">
        <v>73.102000000000004</v>
      </c>
      <c r="AE1651" s="11">
        <v>72.643000000000001</v>
      </c>
      <c r="AF1651" s="11">
        <v>72.180000000000007</v>
      </c>
      <c r="AG1651" s="11">
        <v>71.742000000000004</v>
      </c>
      <c r="AH1651" s="11">
        <v>71.397000000000006</v>
      </c>
      <c r="AI1651" s="11">
        <v>71.067999999999998</v>
      </c>
      <c r="AJ1651" s="11">
        <v>70.778999999999996</v>
      </c>
      <c r="AK1651" s="11">
        <v>70.519000000000005</v>
      </c>
      <c r="AL1651" s="11"/>
    </row>
    <row r="1652" spans="1:38" x14ac:dyDescent="0.3">
      <c r="A1652" s="9">
        <f>DATE(2023, 5, 23)</f>
        <v>45069</v>
      </c>
      <c r="B1652" s="10">
        <v>76.84</v>
      </c>
      <c r="C1652" s="10">
        <v>76.739999999999995</v>
      </c>
      <c r="D1652" s="10">
        <v>76.459999999999994</v>
      </c>
      <c r="E1652" s="10">
        <v>76.08</v>
      </c>
      <c r="F1652" s="10">
        <v>75.7</v>
      </c>
      <c r="G1652" s="10">
        <v>75.33</v>
      </c>
      <c r="H1652" s="10">
        <v>74.959999999999994</v>
      </c>
      <c r="I1652" s="10">
        <v>74.62</v>
      </c>
      <c r="J1652" s="10">
        <v>74.33</v>
      </c>
      <c r="K1652" s="10">
        <v>74.03</v>
      </c>
      <c r="L1652" s="10">
        <v>73.760000000000005</v>
      </c>
      <c r="M1652" s="10">
        <v>73.53</v>
      </c>
      <c r="N1652" s="10">
        <v>72.91</v>
      </c>
      <c r="O1652" s="10">
        <v>72.849999999999994</v>
      </c>
      <c r="P1652" s="10">
        <v>72.58</v>
      </c>
      <c r="Q1652" s="10">
        <v>72.19</v>
      </c>
      <c r="R1652" s="10">
        <v>71.760000000000005</v>
      </c>
      <c r="S1652" s="10">
        <v>71.34</v>
      </c>
      <c r="T1652" s="10">
        <v>70.930000000000007</v>
      </c>
      <c r="U1652" s="10">
        <v>70.52</v>
      </c>
      <c r="V1652" s="10">
        <v>70.17</v>
      </c>
      <c r="W1652" s="10">
        <v>69.83</v>
      </c>
      <c r="X1652" s="10">
        <v>69.52</v>
      </c>
      <c r="Y1652" s="10">
        <v>69.25</v>
      </c>
      <c r="Z1652" s="11">
        <v>75.012</v>
      </c>
      <c r="AA1652" s="11">
        <v>75.158000000000001</v>
      </c>
      <c r="AB1652" s="11">
        <v>74.867999999999995</v>
      </c>
      <c r="AC1652" s="11">
        <v>74.447999999999993</v>
      </c>
      <c r="AD1652" s="11">
        <v>73.994</v>
      </c>
      <c r="AE1652" s="11">
        <v>73.524000000000001</v>
      </c>
      <c r="AF1652" s="11">
        <v>73.064999999999998</v>
      </c>
      <c r="AG1652" s="11">
        <v>72.620999999999995</v>
      </c>
      <c r="AH1652" s="11">
        <v>72.266000000000005</v>
      </c>
      <c r="AI1652" s="11">
        <v>71.917000000000002</v>
      </c>
      <c r="AJ1652" s="11">
        <v>71.629000000000005</v>
      </c>
      <c r="AK1652" s="11">
        <v>71.397999999999996</v>
      </c>
      <c r="AL1652" s="11"/>
    </row>
    <row r="1653" spans="1:38" x14ac:dyDescent="0.3">
      <c r="A1653" s="9">
        <f>DATE(2023, 5, 24)</f>
        <v>45070</v>
      </c>
      <c r="B1653" s="10">
        <v>78.36</v>
      </c>
      <c r="C1653" s="10">
        <v>78.23</v>
      </c>
      <c r="D1653" s="10">
        <v>77.930000000000007</v>
      </c>
      <c r="E1653" s="10">
        <v>77.52</v>
      </c>
      <c r="F1653" s="10">
        <v>77.12</v>
      </c>
      <c r="G1653" s="10">
        <v>76.73</v>
      </c>
      <c r="H1653" s="10">
        <v>76.34</v>
      </c>
      <c r="I1653" s="10">
        <v>75.97</v>
      </c>
      <c r="J1653" s="10">
        <v>75.650000000000006</v>
      </c>
      <c r="K1653" s="10">
        <v>75.33</v>
      </c>
      <c r="L1653" s="10">
        <v>75.040000000000006</v>
      </c>
      <c r="M1653" s="10">
        <v>74.78</v>
      </c>
      <c r="N1653" s="10">
        <v>74.34</v>
      </c>
      <c r="O1653" s="10">
        <v>74.290000000000006</v>
      </c>
      <c r="P1653" s="10">
        <v>74.010000000000005</v>
      </c>
      <c r="Q1653" s="10">
        <v>73.61</v>
      </c>
      <c r="R1653" s="10">
        <v>73.16</v>
      </c>
      <c r="S1653" s="10">
        <v>72.709999999999994</v>
      </c>
      <c r="T1653" s="10">
        <v>72.260000000000005</v>
      </c>
      <c r="U1653" s="10">
        <v>71.84</v>
      </c>
      <c r="V1653" s="10">
        <v>71.47</v>
      </c>
      <c r="W1653" s="10">
        <v>71.099999999999994</v>
      </c>
      <c r="X1653" s="10">
        <v>70.77</v>
      </c>
      <c r="Y1653" s="10">
        <v>70.47</v>
      </c>
      <c r="Z1653" s="11">
        <v>75.41</v>
      </c>
      <c r="AA1653" s="11">
        <v>76.721000000000004</v>
      </c>
      <c r="AB1653" s="11">
        <v>76.361000000000004</v>
      </c>
      <c r="AC1653" s="11">
        <v>75.941999999999993</v>
      </c>
      <c r="AD1653" s="11">
        <v>75.45</v>
      </c>
      <c r="AE1653" s="11">
        <v>74.959999999999994</v>
      </c>
      <c r="AF1653" s="11">
        <v>74.453000000000003</v>
      </c>
      <c r="AG1653" s="11">
        <v>73.947999999999993</v>
      </c>
      <c r="AH1653" s="11">
        <v>73.605000000000004</v>
      </c>
      <c r="AI1653" s="11">
        <v>73.266000000000005</v>
      </c>
      <c r="AJ1653" s="11">
        <v>72.956999999999994</v>
      </c>
      <c r="AK1653" s="11">
        <v>72.647000000000006</v>
      </c>
      <c r="AL1653" s="11"/>
    </row>
    <row r="1654" spans="1:38" x14ac:dyDescent="0.3">
      <c r="A1654" s="9">
        <f>DATE(2023, 5, 25)</f>
        <v>45071</v>
      </c>
      <c r="B1654" s="10">
        <v>76.260000000000005</v>
      </c>
      <c r="C1654" s="10">
        <v>76.180000000000007</v>
      </c>
      <c r="D1654" s="10">
        <v>75.91</v>
      </c>
      <c r="E1654" s="10">
        <v>75.510000000000005</v>
      </c>
      <c r="F1654" s="10">
        <v>75.13</v>
      </c>
      <c r="G1654" s="10">
        <v>74.739999999999995</v>
      </c>
      <c r="H1654" s="10">
        <v>74.36</v>
      </c>
      <c r="I1654" s="10">
        <v>74.02</v>
      </c>
      <c r="J1654" s="10">
        <v>73.72</v>
      </c>
      <c r="K1654" s="10">
        <v>73.42</v>
      </c>
      <c r="L1654" s="10">
        <v>73.150000000000006</v>
      </c>
      <c r="M1654" s="10">
        <v>72.91</v>
      </c>
      <c r="N1654" s="10">
        <v>71.83</v>
      </c>
      <c r="O1654" s="10">
        <v>71.930000000000007</v>
      </c>
      <c r="P1654" s="10">
        <v>71.75</v>
      </c>
      <c r="Q1654" s="10">
        <v>71.41</v>
      </c>
      <c r="R1654" s="10">
        <v>71.03</v>
      </c>
      <c r="S1654" s="10">
        <v>70.63</v>
      </c>
      <c r="T1654" s="10">
        <v>70.239999999999995</v>
      </c>
      <c r="U1654" s="10">
        <v>69.849999999999994</v>
      </c>
      <c r="V1654" s="10">
        <v>69.510000000000005</v>
      </c>
      <c r="W1654" s="10">
        <v>69.16</v>
      </c>
      <c r="X1654" s="10">
        <v>68.849999999999994</v>
      </c>
      <c r="Y1654" s="10">
        <v>68.58</v>
      </c>
      <c r="Z1654" s="11">
        <v>75.031999999999996</v>
      </c>
      <c r="AA1654" s="11">
        <v>74.673000000000002</v>
      </c>
      <c r="AB1654" s="11">
        <v>74.323999999999998</v>
      </c>
      <c r="AC1654" s="11">
        <v>73.884</v>
      </c>
      <c r="AD1654" s="11">
        <v>73.426000000000002</v>
      </c>
      <c r="AE1654" s="11">
        <v>72.947999999999993</v>
      </c>
      <c r="AF1654" s="11">
        <v>72.45</v>
      </c>
      <c r="AG1654" s="11">
        <v>71.984999999999999</v>
      </c>
      <c r="AH1654" s="11">
        <v>71.641000000000005</v>
      </c>
      <c r="AI1654" s="11">
        <v>71.356999999999999</v>
      </c>
      <c r="AJ1654" s="11">
        <v>71.078000000000003</v>
      </c>
      <c r="AK1654" s="11">
        <v>70.778000000000006</v>
      </c>
      <c r="AL1654" s="11"/>
    </row>
    <row r="1655" spans="1:38" x14ac:dyDescent="0.3">
      <c r="A1655" s="9">
        <f>DATE(2023, 5, 26)</f>
        <v>45072</v>
      </c>
      <c r="B1655" s="10">
        <v>76.95</v>
      </c>
      <c r="C1655" s="10">
        <v>76.98</v>
      </c>
      <c r="D1655" s="10">
        <v>76.760000000000005</v>
      </c>
      <c r="E1655" s="10">
        <v>76.39</v>
      </c>
      <c r="F1655" s="10">
        <v>76.02</v>
      </c>
      <c r="G1655" s="10">
        <v>75.64</v>
      </c>
      <c r="H1655" s="10">
        <v>75.27</v>
      </c>
      <c r="I1655" s="10">
        <v>74.92</v>
      </c>
      <c r="J1655" s="10">
        <v>74.62</v>
      </c>
      <c r="K1655" s="10">
        <v>74.319999999999993</v>
      </c>
      <c r="L1655" s="10">
        <v>74.040000000000006</v>
      </c>
      <c r="M1655" s="10">
        <v>73.8</v>
      </c>
      <c r="N1655" s="10">
        <v>72.67</v>
      </c>
      <c r="O1655" s="10">
        <v>72.760000000000005</v>
      </c>
      <c r="P1655" s="10">
        <v>72.569999999999993</v>
      </c>
      <c r="Q1655" s="10">
        <v>72.239999999999995</v>
      </c>
      <c r="R1655" s="10">
        <v>71.84</v>
      </c>
      <c r="S1655" s="10">
        <v>71.44</v>
      </c>
      <c r="T1655" s="10">
        <v>71.040000000000006</v>
      </c>
      <c r="U1655" s="10">
        <v>70.650000000000006</v>
      </c>
      <c r="V1655" s="10">
        <v>70.3</v>
      </c>
      <c r="W1655" s="10">
        <v>69.959999999999994</v>
      </c>
      <c r="X1655" s="10">
        <v>69.66</v>
      </c>
      <c r="Y1655" s="10">
        <v>69.36</v>
      </c>
      <c r="Z1655" s="11">
        <v>75.147999999999996</v>
      </c>
      <c r="AA1655" s="11">
        <v>75.5</v>
      </c>
      <c r="AB1655" s="11">
        <v>75.2</v>
      </c>
      <c r="AC1655" s="11">
        <v>74.754000000000005</v>
      </c>
      <c r="AD1655" s="11">
        <v>74.311999999999998</v>
      </c>
      <c r="AE1655" s="11">
        <v>73.843000000000004</v>
      </c>
      <c r="AF1655" s="11">
        <v>73.369</v>
      </c>
      <c r="AG1655" s="11">
        <v>72.915000000000006</v>
      </c>
      <c r="AH1655" s="11">
        <v>72.566000000000003</v>
      </c>
      <c r="AI1655" s="11">
        <v>72.236999999999995</v>
      </c>
      <c r="AJ1655" s="11">
        <v>71.938000000000002</v>
      </c>
      <c r="AK1655" s="11">
        <v>71.677999999999997</v>
      </c>
      <c r="AL1655" s="11"/>
    </row>
    <row r="1656" spans="1:38" x14ac:dyDescent="0.3">
      <c r="A1656" s="9">
        <f>DATE(2023, 5, 29)</f>
        <v>45075</v>
      </c>
      <c r="B1656" s="10">
        <v>77.069999999999993</v>
      </c>
      <c r="C1656" s="10">
        <v>77.099999999999994</v>
      </c>
      <c r="D1656" s="10">
        <v>76.88</v>
      </c>
      <c r="E1656" s="10">
        <v>76.5</v>
      </c>
      <c r="F1656" s="10">
        <v>76.14</v>
      </c>
      <c r="G1656" s="10">
        <v>75.78</v>
      </c>
      <c r="H1656" s="10">
        <v>75.430000000000007</v>
      </c>
      <c r="I1656" s="10">
        <v>75.099999999999994</v>
      </c>
      <c r="J1656" s="10">
        <v>74.81</v>
      </c>
      <c r="K1656" s="10">
        <v>74.52</v>
      </c>
      <c r="L1656" s="10">
        <v>74.260000000000005</v>
      </c>
      <c r="M1656" s="10">
        <v>74.03</v>
      </c>
      <c r="N1656" s="10">
        <v>72.67</v>
      </c>
      <c r="O1656" s="10">
        <v>72.760000000000005</v>
      </c>
      <c r="P1656" s="10">
        <v>72.569999999999993</v>
      </c>
      <c r="Q1656" s="10">
        <v>72.239999999999995</v>
      </c>
      <c r="R1656" s="10">
        <v>71.84</v>
      </c>
      <c r="S1656" s="10">
        <v>71.44</v>
      </c>
      <c r="T1656" s="10">
        <v>71.040000000000006</v>
      </c>
      <c r="U1656" s="10">
        <v>70.650000000000006</v>
      </c>
      <c r="V1656" s="10">
        <v>70.3</v>
      </c>
      <c r="W1656" s="10">
        <v>69.959999999999994</v>
      </c>
      <c r="X1656" s="10">
        <v>69.66</v>
      </c>
      <c r="Y1656" s="10">
        <v>69.36</v>
      </c>
      <c r="Z1656" s="11">
        <v>75.164000000000001</v>
      </c>
      <c r="AA1656" s="11">
        <v>75.599000000000004</v>
      </c>
      <c r="AB1656" s="11">
        <v>75.302000000000007</v>
      </c>
      <c r="AC1656" s="11">
        <v>74.899000000000001</v>
      </c>
      <c r="AD1656" s="11">
        <v>74.462999999999994</v>
      </c>
      <c r="AE1656" s="11">
        <v>74.004000000000005</v>
      </c>
      <c r="AF1656" s="11">
        <v>73.543000000000006</v>
      </c>
      <c r="AG1656" s="11">
        <v>73.078999999999994</v>
      </c>
      <c r="AH1656" s="11">
        <v>72.727000000000004</v>
      </c>
      <c r="AI1656" s="11">
        <v>72.438000000000002</v>
      </c>
      <c r="AJ1656" s="11">
        <v>72.159000000000006</v>
      </c>
      <c r="AK1656" s="11">
        <v>71.897999999999996</v>
      </c>
      <c r="AL1656" s="11"/>
    </row>
    <row r="1657" spans="1:38" x14ac:dyDescent="0.3">
      <c r="A1657" s="9">
        <f>DATE(2023, 5, 30)</f>
        <v>45076</v>
      </c>
      <c r="B1657" s="10">
        <v>73.540000000000006</v>
      </c>
      <c r="C1657" s="10">
        <v>73.709999999999994</v>
      </c>
      <c r="D1657" s="10">
        <v>73.540000000000006</v>
      </c>
      <c r="E1657" s="10">
        <v>73.23</v>
      </c>
      <c r="F1657" s="10">
        <v>72.930000000000007</v>
      </c>
      <c r="G1657" s="10">
        <v>72.64</v>
      </c>
      <c r="H1657" s="10">
        <v>72.34</v>
      </c>
      <c r="I1657" s="10">
        <v>72.05</v>
      </c>
      <c r="J1657" s="10">
        <v>71.8</v>
      </c>
      <c r="K1657" s="10">
        <v>71.56</v>
      </c>
      <c r="L1657" s="10">
        <v>71.34</v>
      </c>
      <c r="M1657" s="10">
        <v>71.16</v>
      </c>
      <c r="N1657" s="10">
        <v>69.459999999999994</v>
      </c>
      <c r="O1657" s="10">
        <v>69.599999999999994</v>
      </c>
      <c r="P1657" s="10">
        <v>69.48</v>
      </c>
      <c r="Q1657" s="10">
        <v>69.23</v>
      </c>
      <c r="R1657" s="10">
        <v>68.94</v>
      </c>
      <c r="S1657" s="10">
        <v>68.63</v>
      </c>
      <c r="T1657" s="10">
        <v>68.31</v>
      </c>
      <c r="U1657" s="10">
        <v>68</v>
      </c>
      <c r="V1657" s="10">
        <v>67.709999999999994</v>
      </c>
      <c r="W1657" s="10">
        <v>67.430000000000007</v>
      </c>
      <c r="X1657" s="10">
        <v>67.180000000000007</v>
      </c>
      <c r="Y1657" s="10">
        <v>66.94</v>
      </c>
      <c r="Z1657" s="11">
        <v>74.944000000000003</v>
      </c>
      <c r="AA1657" s="11">
        <v>72.066999999999993</v>
      </c>
      <c r="AB1657" s="11">
        <v>71.846999999999994</v>
      </c>
      <c r="AC1657" s="11">
        <v>71.527000000000001</v>
      </c>
      <c r="AD1657" s="11">
        <v>71.174999999999997</v>
      </c>
      <c r="AE1657" s="11">
        <v>70.805000000000007</v>
      </c>
      <c r="AF1657" s="11">
        <v>70.405000000000001</v>
      </c>
      <c r="AG1657" s="11">
        <v>70.004999999999995</v>
      </c>
      <c r="AH1657" s="11">
        <v>69.683999999999997</v>
      </c>
      <c r="AI1657" s="11">
        <v>69.45</v>
      </c>
      <c r="AJ1657" s="11">
        <v>69.230999999999995</v>
      </c>
      <c r="AK1657" s="11">
        <v>68.989999999999995</v>
      </c>
      <c r="AL1657" s="11"/>
    </row>
    <row r="1658" spans="1:38" x14ac:dyDescent="0.3">
      <c r="A1658" s="9">
        <f>DATE(2023, 5, 31)</f>
        <v>45077</v>
      </c>
      <c r="B1658" s="10">
        <v>72.66</v>
      </c>
      <c r="C1658" s="10">
        <v>72.599999999999994</v>
      </c>
      <c r="D1658" s="10">
        <v>72.489999999999995</v>
      </c>
      <c r="E1658" s="10">
        <v>72.2</v>
      </c>
      <c r="F1658" s="10">
        <v>71.92</v>
      </c>
      <c r="G1658" s="10">
        <v>71.63</v>
      </c>
      <c r="H1658" s="10">
        <v>71.349999999999994</v>
      </c>
      <c r="I1658" s="10">
        <v>71.069999999999993</v>
      </c>
      <c r="J1658" s="10">
        <v>70.819999999999993</v>
      </c>
      <c r="K1658" s="10">
        <v>70.58</v>
      </c>
      <c r="L1658" s="10">
        <v>70.37</v>
      </c>
      <c r="M1658" s="10">
        <v>70.2</v>
      </c>
      <c r="N1658" s="10">
        <v>68.09</v>
      </c>
      <c r="O1658" s="10">
        <v>68.239999999999995</v>
      </c>
      <c r="P1658" s="10">
        <v>68.14</v>
      </c>
      <c r="Q1658" s="10">
        <v>67.92</v>
      </c>
      <c r="R1658" s="10">
        <v>67.64</v>
      </c>
      <c r="S1658" s="10">
        <v>67.34</v>
      </c>
      <c r="T1658" s="10">
        <v>67.040000000000006</v>
      </c>
      <c r="U1658" s="10">
        <v>66.75</v>
      </c>
      <c r="V1658" s="10">
        <v>66.48</v>
      </c>
      <c r="W1658" s="10">
        <v>66.23</v>
      </c>
      <c r="X1658" s="10">
        <v>66</v>
      </c>
      <c r="Y1658" s="10">
        <v>65.760000000000005</v>
      </c>
      <c r="Z1658" s="11">
        <v>74.924999999999997</v>
      </c>
      <c r="AA1658" s="11">
        <v>70.984999999999999</v>
      </c>
      <c r="AB1658" s="11">
        <v>70.816000000000003</v>
      </c>
      <c r="AC1658" s="11">
        <v>70.513000000000005</v>
      </c>
      <c r="AD1658" s="11">
        <v>70.186000000000007</v>
      </c>
      <c r="AE1658" s="11">
        <v>69.846999999999994</v>
      </c>
      <c r="AF1658" s="11">
        <v>69.466999999999999</v>
      </c>
      <c r="AG1658" s="11">
        <v>69.08</v>
      </c>
      <c r="AH1658" s="11">
        <v>68.728999999999999</v>
      </c>
      <c r="AI1658" s="11">
        <v>68.45</v>
      </c>
      <c r="AJ1658" s="11">
        <v>68.221999999999994</v>
      </c>
      <c r="AK1658" s="11">
        <v>68.051000000000002</v>
      </c>
      <c r="AL1658" s="11"/>
    </row>
    <row r="1659" spans="1:38" x14ac:dyDescent="0.3">
      <c r="A1659" s="9">
        <f>DATE(2023, 6, 1)</f>
        <v>45078</v>
      </c>
      <c r="B1659" s="10">
        <v>74.28</v>
      </c>
      <c r="C1659" s="10">
        <v>74.209999999999994</v>
      </c>
      <c r="D1659" s="10">
        <v>73.92</v>
      </c>
      <c r="E1659" s="10">
        <v>73.61</v>
      </c>
      <c r="F1659" s="10">
        <v>73.3</v>
      </c>
      <c r="G1659" s="10">
        <v>72.98</v>
      </c>
      <c r="H1659" s="10">
        <v>72.680000000000007</v>
      </c>
      <c r="I1659" s="10">
        <v>72.41</v>
      </c>
      <c r="J1659" s="10">
        <v>72.150000000000006</v>
      </c>
      <c r="K1659" s="10">
        <v>71.91</v>
      </c>
      <c r="L1659" s="10">
        <v>71.709999999999994</v>
      </c>
      <c r="M1659" s="10">
        <v>71.48</v>
      </c>
      <c r="N1659" s="10">
        <v>70.099999999999994</v>
      </c>
      <c r="O1659" s="10">
        <v>70.2</v>
      </c>
      <c r="P1659" s="10">
        <v>70.03</v>
      </c>
      <c r="Q1659" s="10">
        <v>69.760000000000005</v>
      </c>
      <c r="R1659" s="10">
        <v>69.45</v>
      </c>
      <c r="S1659" s="10">
        <v>69.13</v>
      </c>
      <c r="T1659" s="10">
        <v>68.8</v>
      </c>
      <c r="U1659" s="10">
        <v>68.47</v>
      </c>
      <c r="V1659" s="10">
        <v>68.180000000000007</v>
      </c>
      <c r="W1659" s="10">
        <v>67.89</v>
      </c>
      <c r="X1659" s="10">
        <v>67.63</v>
      </c>
      <c r="Y1659" s="10">
        <v>67.38</v>
      </c>
      <c r="Z1659" s="11">
        <v>74.924999999999997</v>
      </c>
      <c r="AA1659" s="11">
        <v>72.734999999999999</v>
      </c>
      <c r="AB1659" s="11">
        <v>72.600999999999999</v>
      </c>
      <c r="AC1659" s="11">
        <v>72.281999999999996</v>
      </c>
      <c r="AD1659" s="11">
        <v>71.915000000000006</v>
      </c>
      <c r="AE1659" s="11">
        <v>71.564999999999998</v>
      </c>
      <c r="AF1659" s="11">
        <v>71.146000000000001</v>
      </c>
      <c r="AG1659" s="11">
        <v>70.733000000000004</v>
      </c>
      <c r="AH1659" s="11">
        <v>70.397999999999996</v>
      </c>
      <c r="AI1659" s="11">
        <v>70.099000000000004</v>
      </c>
      <c r="AJ1659" s="11">
        <v>69.83</v>
      </c>
      <c r="AK1659" s="11">
        <v>69.59</v>
      </c>
      <c r="AL1659" s="11"/>
    </row>
    <row r="1660" spans="1:38" x14ac:dyDescent="0.3">
      <c r="A1660" s="9">
        <f>DATE(2023, 6, 2)</f>
        <v>45079</v>
      </c>
      <c r="B1660" s="10">
        <v>76.13</v>
      </c>
      <c r="C1660" s="10">
        <v>75.97</v>
      </c>
      <c r="D1660" s="10">
        <v>75.63</v>
      </c>
      <c r="E1660" s="10">
        <v>75.290000000000006</v>
      </c>
      <c r="F1660" s="10">
        <v>74.95</v>
      </c>
      <c r="G1660" s="10">
        <v>74.61</v>
      </c>
      <c r="H1660" s="10">
        <v>74.28</v>
      </c>
      <c r="I1660" s="10">
        <v>73.97</v>
      </c>
      <c r="J1660" s="10">
        <v>73.67</v>
      </c>
      <c r="K1660" s="10">
        <v>73.39</v>
      </c>
      <c r="L1660" s="10">
        <v>73.150000000000006</v>
      </c>
      <c r="M1660" s="10">
        <v>72.89</v>
      </c>
      <c r="N1660" s="10">
        <v>71.739999999999995</v>
      </c>
      <c r="O1660" s="10">
        <v>71.84</v>
      </c>
      <c r="P1660" s="10">
        <v>71.64</v>
      </c>
      <c r="Q1660" s="10">
        <v>71.319999999999993</v>
      </c>
      <c r="R1660" s="10">
        <v>70.97</v>
      </c>
      <c r="S1660" s="10">
        <v>70.61</v>
      </c>
      <c r="T1660" s="10">
        <v>70.25</v>
      </c>
      <c r="U1660" s="10">
        <v>69.900000000000006</v>
      </c>
      <c r="V1660" s="10">
        <v>69.569999999999993</v>
      </c>
      <c r="W1660" s="10">
        <v>69.25</v>
      </c>
      <c r="X1660" s="10">
        <v>68.959999999999994</v>
      </c>
      <c r="Y1660" s="10">
        <v>68.680000000000007</v>
      </c>
      <c r="Z1660" s="11">
        <v>74.378</v>
      </c>
      <c r="AA1660" s="11">
        <v>74.33</v>
      </c>
      <c r="AB1660" s="11">
        <v>73.980999999999995</v>
      </c>
      <c r="AC1660" s="11">
        <v>73.584999999999994</v>
      </c>
      <c r="AD1660" s="11">
        <v>73.186000000000007</v>
      </c>
      <c r="AE1660" s="11">
        <v>72.745999999999995</v>
      </c>
      <c r="AF1660" s="11">
        <v>72.3</v>
      </c>
      <c r="AG1660" s="11">
        <v>71.936000000000007</v>
      </c>
      <c r="AH1660" s="11">
        <v>71.557000000000002</v>
      </c>
      <c r="AI1660" s="11">
        <v>71.218000000000004</v>
      </c>
      <c r="AJ1660" s="11">
        <v>70.977999999999994</v>
      </c>
      <c r="AK1660" s="11">
        <v>70.75</v>
      </c>
      <c r="AL1660" s="11"/>
    </row>
    <row r="1661" spans="1:38" x14ac:dyDescent="0.3">
      <c r="A1661" s="9">
        <f>DATE(2023, 6, 5)</f>
        <v>45082</v>
      </c>
      <c r="B1661" s="10">
        <v>76.709999999999994</v>
      </c>
      <c r="C1661" s="10">
        <v>76.47</v>
      </c>
      <c r="D1661" s="10">
        <v>76.069999999999993</v>
      </c>
      <c r="E1661" s="10">
        <v>75.67</v>
      </c>
      <c r="F1661" s="10">
        <v>75.260000000000005</v>
      </c>
      <c r="G1661" s="10">
        <v>74.87</v>
      </c>
      <c r="H1661" s="10">
        <v>74.510000000000005</v>
      </c>
      <c r="I1661" s="10">
        <v>74.17</v>
      </c>
      <c r="J1661" s="10">
        <v>73.84</v>
      </c>
      <c r="K1661" s="10">
        <v>73.53</v>
      </c>
      <c r="L1661" s="10">
        <v>73.25</v>
      </c>
      <c r="M1661" s="10">
        <v>72.959999999999994</v>
      </c>
      <c r="N1661" s="10">
        <v>72.150000000000006</v>
      </c>
      <c r="O1661" s="10">
        <v>72.260000000000005</v>
      </c>
      <c r="P1661" s="10">
        <v>72.03</v>
      </c>
      <c r="Q1661" s="10">
        <v>71.67</v>
      </c>
      <c r="R1661" s="10">
        <v>71.28</v>
      </c>
      <c r="S1661" s="10">
        <v>70.89</v>
      </c>
      <c r="T1661" s="10">
        <v>70.489999999999995</v>
      </c>
      <c r="U1661" s="10">
        <v>70.099999999999994</v>
      </c>
      <c r="V1661" s="10">
        <v>69.739999999999995</v>
      </c>
      <c r="W1661" s="10">
        <v>69.400000000000006</v>
      </c>
      <c r="X1661" s="10">
        <v>69.08</v>
      </c>
      <c r="Y1661" s="10">
        <v>68.78</v>
      </c>
      <c r="Z1661" s="11">
        <v>75.777000000000001</v>
      </c>
      <c r="AA1661" s="11">
        <v>75.418000000000006</v>
      </c>
      <c r="AB1661" s="11">
        <v>74.856999999999999</v>
      </c>
      <c r="AC1661" s="11">
        <v>74.305000000000007</v>
      </c>
      <c r="AD1661" s="11">
        <v>73.757000000000005</v>
      </c>
      <c r="AE1661" s="11">
        <v>73.198999999999998</v>
      </c>
      <c r="AF1661" s="11">
        <v>72.700999999999993</v>
      </c>
      <c r="AG1661" s="11">
        <v>72.3</v>
      </c>
      <c r="AH1661" s="11">
        <v>71.935000000000002</v>
      </c>
      <c r="AI1661" s="11">
        <v>71.575999999999993</v>
      </c>
      <c r="AJ1661" s="11">
        <v>71.266999999999996</v>
      </c>
      <c r="AK1661" s="11">
        <v>70.998000000000005</v>
      </c>
      <c r="AL1661" s="11"/>
    </row>
    <row r="1662" spans="1:38" x14ac:dyDescent="0.3">
      <c r="A1662" s="9">
        <f>DATE(2023, 6, 6)</f>
        <v>45083</v>
      </c>
      <c r="B1662" s="10">
        <v>76.290000000000006</v>
      </c>
      <c r="C1662" s="10">
        <v>76.09</v>
      </c>
      <c r="D1662" s="10">
        <v>75.709999999999994</v>
      </c>
      <c r="E1662" s="10">
        <v>75.290000000000006</v>
      </c>
      <c r="F1662" s="10">
        <v>74.87</v>
      </c>
      <c r="G1662" s="10">
        <v>74.47</v>
      </c>
      <c r="H1662" s="10">
        <v>74.099999999999994</v>
      </c>
      <c r="I1662" s="10">
        <v>73.77</v>
      </c>
      <c r="J1662" s="10">
        <v>73.45</v>
      </c>
      <c r="K1662" s="10">
        <v>73.150000000000006</v>
      </c>
      <c r="L1662" s="10">
        <v>72.88</v>
      </c>
      <c r="M1662" s="10">
        <v>72.599999999999994</v>
      </c>
      <c r="N1662" s="10">
        <v>71.739999999999995</v>
      </c>
      <c r="O1662" s="10">
        <v>71.849999999999994</v>
      </c>
      <c r="P1662" s="10">
        <v>71.63</v>
      </c>
      <c r="Q1662" s="10">
        <v>71.27</v>
      </c>
      <c r="R1662" s="10">
        <v>70.88</v>
      </c>
      <c r="S1662" s="10">
        <v>70.5</v>
      </c>
      <c r="T1662" s="10">
        <v>70.13</v>
      </c>
      <c r="U1662" s="10">
        <v>69.75</v>
      </c>
      <c r="V1662" s="10">
        <v>69.400000000000006</v>
      </c>
      <c r="W1662" s="10">
        <v>69.06</v>
      </c>
      <c r="X1662" s="10">
        <v>68.75</v>
      </c>
      <c r="Y1662" s="10">
        <v>68.44</v>
      </c>
      <c r="Z1662" s="11">
        <v>75.251000000000005</v>
      </c>
      <c r="AA1662" s="11">
        <v>75.096999999999994</v>
      </c>
      <c r="AB1662" s="11">
        <v>74.566999999999993</v>
      </c>
      <c r="AC1662" s="11">
        <v>73.989999999999995</v>
      </c>
      <c r="AD1662" s="11">
        <v>73.441999999999993</v>
      </c>
      <c r="AE1662" s="11">
        <v>72.897999999999996</v>
      </c>
      <c r="AF1662" s="11">
        <v>72.391999999999996</v>
      </c>
      <c r="AG1662" s="11">
        <v>71.995000000000005</v>
      </c>
      <c r="AH1662" s="11">
        <v>71.626000000000005</v>
      </c>
      <c r="AI1662" s="11">
        <v>71.296999999999997</v>
      </c>
      <c r="AJ1662" s="11">
        <v>71.007000000000005</v>
      </c>
      <c r="AK1662" s="11">
        <v>70.727999999999994</v>
      </c>
      <c r="AL1662" s="11"/>
    </row>
    <row r="1663" spans="1:38" x14ac:dyDescent="0.3">
      <c r="A1663" s="9">
        <f>DATE(2023, 6, 7)</f>
        <v>45084</v>
      </c>
      <c r="B1663" s="10">
        <v>76.95</v>
      </c>
      <c r="C1663" s="10">
        <v>76.84</v>
      </c>
      <c r="D1663" s="10">
        <v>76.489999999999995</v>
      </c>
      <c r="E1663" s="10">
        <v>76.09</v>
      </c>
      <c r="F1663" s="10">
        <v>75.67</v>
      </c>
      <c r="G1663" s="10">
        <v>75.260000000000005</v>
      </c>
      <c r="H1663" s="10">
        <v>74.89</v>
      </c>
      <c r="I1663" s="10">
        <v>74.55</v>
      </c>
      <c r="J1663" s="10">
        <v>74.22</v>
      </c>
      <c r="K1663" s="10">
        <v>73.900000000000006</v>
      </c>
      <c r="L1663" s="10">
        <v>73.599999999999994</v>
      </c>
      <c r="M1663" s="10">
        <v>73.3</v>
      </c>
      <c r="N1663" s="10">
        <v>72.53</v>
      </c>
      <c r="O1663" s="10">
        <v>72.64</v>
      </c>
      <c r="P1663" s="10">
        <v>72.44</v>
      </c>
      <c r="Q1663" s="10">
        <v>72.09</v>
      </c>
      <c r="R1663" s="10">
        <v>71.709999999999994</v>
      </c>
      <c r="S1663" s="10">
        <v>71.319999999999993</v>
      </c>
      <c r="T1663" s="10">
        <v>70.930000000000007</v>
      </c>
      <c r="U1663" s="10">
        <v>70.55</v>
      </c>
      <c r="V1663" s="10">
        <v>70.180000000000007</v>
      </c>
      <c r="W1663" s="10">
        <v>69.83</v>
      </c>
      <c r="X1663" s="10">
        <v>69.5</v>
      </c>
      <c r="Y1663" s="10">
        <v>69.180000000000007</v>
      </c>
      <c r="Z1663" s="11">
        <v>75.998999999999995</v>
      </c>
      <c r="AA1663" s="11">
        <v>76.018000000000001</v>
      </c>
      <c r="AB1663" s="11">
        <v>75.477999999999994</v>
      </c>
      <c r="AC1663" s="11">
        <v>74.905000000000001</v>
      </c>
      <c r="AD1663" s="11">
        <v>74.370999999999995</v>
      </c>
      <c r="AE1663" s="11">
        <v>73.832999999999998</v>
      </c>
      <c r="AF1663" s="11">
        <v>73.325999999999993</v>
      </c>
      <c r="AG1663" s="11">
        <v>72.915000000000006</v>
      </c>
      <c r="AH1663" s="11">
        <v>72.545000000000002</v>
      </c>
      <c r="AI1663" s="11">
        <v>72.194999999999993</v>
      </c>
      <c r="AJ1663" s="11">
        <v>71.866</v>
      </c>
      <c r="AK1663" s="11">
        <v>71.548000000000002</v>
      </c>
      <c r="AL1663" s="11"/>
    </row>
    <row r="1664" spans="1:38" x14ac:dyDescent="0.3">
      <c r="A1664" s="9">
        <f>DATE(2023, 6, 8)</f>
        <v>45085</v>
      </c>
      <c r="B1664" s="10">
        <v>75.959999999999994</v>
      </c>
      <c r="C1664" s="10">
        <v>75.84</v>
      </c>
      <c r="D1664" s="10">
        <v>75.5</v>
      </c>
      <c r="E1664" s="10">
        <v>75.12</v>
      </c>
      <c r="F1664" s="10">
        <v>74.709999999999994</v>
      </c>
      <c r="G1664" s="10">
        <v>74.319999999999993</v>
      </c>
      <c r="H1664" s="10">
        <v>73.95</v>
      </c>
      <c r="I1664" s="10">
        <v>73.61</v>
      </c>
      <c r="J1664" s="10">
        <v>73.290000000000006</v>
      </c>
      <c r="K1664" s="10">
        <v>72.98</v>
      </c>
      <c r="L1664" s="10">
        <v>72.7</v>
      </c>
      <c r="M1664" s="10">
        <v>72.41</v>
      </c>
      <c r="N1664" s="10">
        <v>71.290000000000006</v>
      </c>
      <c r="O1664" s="10">
        <v>71.44</v>
      </c>
      <c r="P1664" s="10">
        <v>71.31</v>
      </c>
      <c r="Q1664" s="10">
        <v>71</v>
      </c>
      <c r="R1664" s="10">
        <v>70.64</v>
      </c>
      <c r="S1664" s="10">
        <v>70.25</v>
      </c>
      <c r="T1664" s="10">
        <v>69.88</v>
      </c>
      <c r="U1664" s="10">
        <v>69.52</v>
      </c>
      <c r="V1664" s="10">
        <v>69.17</v>
      </c>
      <c r="W1664" s="10">
        <v>68.83</v>
      </c>
      <c r="X1664" s="10">
        <v>68.5</v>
      </c>
      <c r="Y1664" s="10">
        <v>68.180000000000007</v>
      </c>
      <c r="Z1664" s="11">
        <v>75.094999999999999</v>
      </c>
      <c r="AA1664" s="11">
        <v>74.909000000000006</v>
      </c>
      <c r="AB1664" s="11">
        <v>74.378</v>
      </c>
      <c r="AC1664" s="11">
        <v>73.867999999999995</v>
      </c>
      <c r="AD1664" s="11">
        <v>73.36</v>
      </c>
      <c r="AE1664" s="11">
        <v>72.88</v>
      </c>
      <c r="AF1664" s="11">
        <v>72.382999999999996</v>
      </c>
      <c r="AG1664" s="11">
        <v>71.954999999999998</v>
      </c>
      <c r="AH1664" s="11">
        <v>71.605000000000004</v>
      </c>
      <c r="AI1664" s="11">
        <v>71.266000000000005</v>
      </c>
      <c r="AJ1664" s="11">
        <v>70.947000000000003</v>
      </c>
      <c r="AK1664" s="11">
        <v>70.658000000000001</v>
      </c>
      <c r="AL1664" s="11"/>
    </row>
    <row r="1665" spans="1:38" x14ac:dyDescent="0.3">
      <c r="A1665" s="9">
        <f>DATE(2023, 6, 9)</f>
        <v>45086</v>
      </c>
      <c r="B1665" s="10">
        <v>74.790000000000006</v>
      </c>
      <c r="C1665" s="10">
        <v>74.739999999999995</v>
      </c>
      <c r="D1665" s="10">
        <v>74.489999999999995</v>
      </c>
      <c r="E1665" s="10">
        <v>74.2</v>
      </c>
      <c r="F1665" s="10">
        <v>73.87</v>
      </c>
      <c r="G1665" s="10">
        <v>73.540000000000006</v>
      </c>
      <c r="H1665" s="10">
        <v>73.209999999999994</v>
      </c>
      <c r="I1665" s="10">
        <v>72.900000000000006</v>
      </c>
      <c r="J1665" s="10">
        <v>72.61</v>
      </c>
      <c r="K1665" s="10">
        <v>72.33</v>
      </c>
      <c r="L1665" s="10">
        <v>72.069999999999993</v>
      </c>
      <c r="M1665" s="10">
        <v>71.81</v>
      </c>
      <c r="N1665" s="10">
        <v>70.17</v>
      </c>
      <c r="O1665" s="10">
        <v>70.33</v>
      </c>
      <c r="P1665" s="10">
        <v>70.27</v>
      </c>
      <c r="Q1665" s="10">
        <v>70.02</v>
      </c>
      <c r="R1665" s="10">
        <v>69.709999999999994</v>
      </c>
      <c r="S1665" s="10">
        <v>69.38</v>
      </c>
      <c r="T1665" s="10">
        <v>69.05</v>
      </c>
      <c r="U1665" s="10">
        <v>68.72</v>
      </c>
      <c r="V1665" s="10">
        <v>68.400000000000006</v>
      </c>
      <c r="W1665" s="10">
        <v>68.09</v>
      </c>
      <c r="X1665" s="10">
        <v>67.8</v>
      </c>
      <c r="Y1665" s="10">
        <v>67.510000000000005</v>
      </c>
      <c r="Z1665" s="11">
        <v>74.369</v>
      </c>
      <c r="AA1665" s="11">
        <v>73.873000000000005</v>
      </c>
      <c r="AB1665" s="11">
        <v>73.408000000000001</v>
      </c>
      <c r="AC1665" s="11">
        <v>72.975999999999999</v>
      </c>
      <c r="AD1665" s="11">
        <v>72.525999999999996</v>
      </c>
      <c r="AE1665" s="11">
        <v>72.096000000000004</v>
      </c>
      <c r="AF1665" s="11">
        <v>71.656000000000006</v>
      </c>
      <c r="AG1665" s="11">
        <v>71.257000000000005</v>
      </c>
      <c r="AH1665" s="11">
        <v>70.906999999999996</v>
      </c>
      <c r="AI1665" s="11">
        <v>70.596999999999994</v>
      </c>
      <c r="AJ1665" s="11">
        <v>70.317999999999998</v>
      </c>
      <c r="AK1665" s="11">
        <v>70.058999999999997</v>
      </c>
      <c r="AL1665" s="11"/>
    </row>
    <row r="1666" spans="1:38" x14ac:dyDescent="0.3">
      <c r="A1666" s="9">
        <f>DATE(2023, 6, 12)</f>
        <v>45089</v>
      </c>
      <c r="B1666" s="10">
        <v>71.84</v>
      </c>
      <c r="C1666" s="10">
        <v>71.819999999999993</v>
      </c>
      <c r="D1666" s="10">
        <v>71.63</v>
      </c>
      <c r="E1666" s="10">
        <v>71.41</v>
      </c>
      <c r="F1666" s="10">
        <v>71.17</v>
      </c>
      <c r="G1666" s="10">
        <v>70.92</v>
      </c>
      <c r="H1666" s="10">
        <v>70.67</v>
      </c>
      <c r="I1666" s="10">
        <v>70.42</v>
      </c>
      <c r="J1666" s="10">
        <v>70.180000000000007</v>
      </c>
      <c r="K1666" s="10">
        <v>69.959999999999994</v>
      </c>
      <c r="L1666" s="10">
        <v>69.760000000000005</v>
      </c>
      <c r="M1666" s="10">
        <v>69.55</v>
      </c>
      <c r="N1666" s="10">
        <v>67.12</v>
      </c>
      <c r="O1666" s="10">
        <v>67.290000000000006</v>
      </c>
      <c r="P1666" s="10">
        <v>67.3</v>
      </c>
      <c r="Q1666" s="10">
        <v>67.16</v>
      </c>
      <c r="R1666" s="10">
        <v>66.95</v>
      </c>
      <c r="S1666" s="10">
        <v>66.72</v>
      </c>
      <c r="T1666" s="10">
        <v>66.47</v>
      </c>
      <c r="U1666" s="10">
        <v>66.22</v>
      </c>
      <c r="V1666" s="10">
        <v>65.97</v>
      </c>
      <c r="W1666" s="10">
        <v>65.73</v>
      </c>
      <c r="X1666" s="10">
        <v>65.510000000000005</v>
      </c>
      <c r="Y1666" s="10">
        <v>65.290000000000006</v>
      </c>
      <c r="Z1666" s="11">
        <v>72.358000000000004</v>
      </c>
      <c r="AA1666" s="11">
        <v>71.006</v>
      </c>
      <c r="AB1666" s="11">
        <v>70.59</v>
      </c>
      <c r="AC1666" s="11">
        <v>70.204999999999998</v>
      </c>
      <c r="AD1666" s="11">
        <v>69.834000000000003</v>
      </c>
      <c r="AE1666" s="11">
        <v>69.463999999999999</v>
      </c>
      <c r="AF1666" s="11">
        <v>69.08</v>
      </c>
      <c r="AG1666" s="11">
        <v>68.748999999999995</v>
      </c>
      <c r="AH1666" s="11">
        <v>68.44</v>
      </c>
      <c r="AI1666" s="11">
        <v>68.2</v>
      </c>
      <c r="AJ1666" s="11">
        <v>67.97</v>
      </c>
      <c r="AK1666" s="11">
        <v>67.742000000000004</v>
      </c>
      <c r="AL1666" s="11"/>
    </row>
    <row r="1667" spans="1:38" x14ac:dyDescent="0.3">
      <c r="A1667" s="9">
        <f>DATE(2023, 6, 13)</f>
        <v>45090</v>
      </c>
      <c r="B1667" s="10">
        <v>74.290000000000006</v>
      </c>
      <c r="C1667" s="10">
        <v>74.209999999999994</v>
      </c>
      <c r="D1667" s="10">
        <v>74.010000000000005</v>
      </c>
      <c r="E1667" s="10">
        <v>73.77</v>
      </c>
      <c r="F1667" s="10">
        <v>73.5</v>
      </c>
      <c r="G1667" s="10">
        <v>73.209999999999994</v>
      </c>
      <c r="H1667" s="10">
        <v>72.930000000000007</v>
      </c>
      <c r="I1667" s="10">
        <v>72.650000000000006</v>
      </c>
      <c r="J1667" s="10">
        <v>72.38</v>
      </c>
      <c r="K1667" s="10">
        <v>72.13</v>
      </c>
      <c r="L1667" s="10">
        <v>71.900000000000006</v>
      </c>
      <c r="M1667" s="10">
        <v>71.66</v>
      </c>
      <c r="N1667" s="10">
        <v>69.42</v>
      </c>
      <c r="O1667" s="10">
        <v>69.58</v>
      </c>
      <c r="P1667" s="10">
        <v>69.59</v>
      </c>
      <c r="Q1667" s="10">
        <v>69.45</v>
      </c>
      <c r="R1667" s="10">
        <v>69.239999999999995</v>
      </c>
      <c r="S1667" s="10">
        <v>68.98</v>
      </c>
      <c r="T1667" s="10">
        <v>68.7</v>
      </c>
      <c r="U1667" s="10">
        <v>68.42</v>
      </c>
      <c r="V1667" s="10">
        <v>68.14</v>
      </c>
      <c r="W1667" s="10">
        <v>67.87</v>
      </c>
      <c r="X1667" s="10">
        <v>67.62</v>
      </c>
      <c r="Y1667" s="10">
        <v>67.37</v>
      </c>
      <c r="Z1667" s="11">
        <v>73.933000000000007</v>
      </c>
      <c r="AA1667" s="11">
        <v>73.478999999999999</v>
      </c>
      <c r="AB1667" s="11">
        <v>73.058999999999997</v>
      </c>
      <c r="AC1667" s="11">
        <v>72.658000000000001</v>
      </c>
      <c r="AD1667" s="11">
        <v>72.262</v>
      </c>
      <c r="AE1667" s="11">
        <v>71.852000000000004</v>
      </c>
      <c r="AF1667" s="11">
        <v>71.441999999999993</v>
      </c>
      <c r="AG1667" s="11">
        <v>71.087999999999994</v>
      </c>
      <c r="AH1667" s="11">
        <v>70.757999999999996</v>
      </c>
      <c r="AI1667" s="11">
        <v>70.448999999999998</v>
      </c>
      <c r="AJ1667" s="11">
        <v>70.168999999999997</v>
      </c>
      <c r="AK1667" s="11">
        <v>69.900999999999996</v>
      </c>
      <c r="AL1667" s="11"/>
    </row>
    <row r="1668" spans="1:38" x14ac:dyDescent="0.3">
      <c r="A1668" s="9">
        <f>DATE(2023, 6, 14)</f>
        <v>45091</v>
      </c>
      <c r="B1668" s="10">
        <v>73.2</v>
      </c>
      <c r="C1668" s="10">
        <v>73.17</v>
      </c>
      <c r="D1668" s="10">
        <v>72.959999999999994</v>
      </c>
      <c r="E1668" s="10">
        <v>72.72</v>
      </c>
      <c r="F1668" s="10">
        <v>72.459999999999994</v>
      </c>
      <c r="G1668" s="10">
        <v>72.19</v>
      </c>
      <c r="H1668" s="10">
        <v>71.92</v>
      </c>
      <c r="I1668" s="10">
        <v>71.650000000000006</v>
      </c>
      <c r="J1668" s="10">
        <v>71.39</v>
      </c>
      <c r="K1668" s="10">
        <v>71.150000000000006</v>
      </c>
      <c r="L1668" s="10">
        <v>70.930000000000007</v>
      </c>
      <c r="M1668" s="10">
        <v>70.709999999999994</v>
      </c>
      <c r="N1668" s="10">
        <v>68.27</v>
      </c>
      <c r="O1668" s="10">
        <v>68.459999999999994</v>
      </c>
      <c r="P1668" s="10">
        <v>68.489999999999995</v>
      </c>
      <c r="Q1668" s="10">
        <v>68.38</v>
      </c>
      <c r="R1668" s="10">
        <v>68.19</v>
      </c>
      <c r="S1668" s="10">
        <v>67.97</v>
      </c>
      <c r="T1668" s="10">
        <v>67.709999999999994</v>
      </c>
      <c r="U1668" s="10">
        <v>67.45</v>
      </c>
      <c r="V1668" s="10">
        <v>67.2</v>
      </c>
      <c r="W1668" s="10">
        <v>66.95</v>
      </c>
      <c r="X1668" s="10">
        <v>66.709999999999994</v>
      </c>
      <c r="Y1668" s="10">
        <v>66.48</v>
      </c>
      <c r="Z1668" s="11">
        <v>73.457999999999998</v>
      </c>
      <c r="AA1668" s="11">
        <v>72.59</v>
      </c>
      <c r="AB1668" s="11">
        <v>72.144999999999996</v>
      </c>
      <c r="AC1668" s="11">
        <v>71.722999999999999</v>
      </c>
      <c r="AD1668" s="11">
        <v>71.298000000000002</v>
      </c>
      <c r="AE1668" s="11">
        <v>70.888999999999996</v>
      </c>
      <c r="AF1668" s="11">
        <v>70.462999999999994</v>
      </c>
      <c r="AG1668" s="11">
        <v>70.087999999999994</v>
      </c>
      <c r="AH1668" s="11">
        <v>69.748999999999995</v>
      </c>
      <c r="AI1668" s="11">
        <v>69.478999999999999</v>
      </c>
      <c r="AJ1668" s="11">
        <v>69.260000000000005</v>
      </c>
      <c r="AK1668" s="11">
        <v>69.051000000000002</v>
      </c>
      <c r="AL1668" s="11"/>
    </row>
    <row r="1669" spans="1:38" x14ac:dyDescent="0.3">
      <c r="A1669" s="9">
        <f>DATE(2023, 6, 15)</f>
        <v>45092</v>
      </c>
      <c r="B1669" s="10">
        <v>75.67</v>
      </c>
      <c r="C1669" s="10">
        <v>75.66</v>
      </c>
      <c r="D1669" s="10">
        <v>75.459999999999994</v>
      </c>
      <c r="E1669" s="10">
        <v>75.19</v>
      </c>
      <c r="F1669" s="10">
        <v>74.91</v>
      </c>
      <c r="G1669" s="10">
        <v>74.61</v>
      </c>
      <c r="H1669" s="10">
        <v>74.31</v>
      </c>
      <c r="I1669" s="10">
        <v>74.010000000000005</v>
      </c>
      <c r="J1669" s="10">
        <v>73.72</v>
      </c>
      <c r="K1669" s="10">
        <v>73.45</v>
      </c>
      <c r="L1669" s="10">
        <v>73.2</v>
      </c>
      <c r="M1669" s="10">
        <v>72.95</v>
      </c>
      <c r="N1669" s="10">
        <v>70.62</v>
      </c>
      <c r="O1669" s="10">
        <v>70.81</v>
      </c>
      <c r="P1669" s="10">
        <v>70.849999999999994</v>
      </c>
      <c r="Q1669" s="10">
        <v>70.72</v>
      </c>
      <c r="R1669" s="10">
        <v>70.52</v>
      </c>
      <c r="S1669" s="10">
        <v>70.27</v>
      </c>
      <c r="T1669" s="10">
        <v>69.989999999999995</v>
      </c>
      <c r="U1669" s="10">
        <v>69.7</v>
      </c>
      <c r="V1669" s="10">
        <v>69.41</v>
      </c>
      <c r="W1669" s="10">
        <v>69.13</v>
      </c>
      <c r="X1669" s="10">
        <v>68.849999999999994</v>
      </c>
      <c r="Y1669" s="10">
        <v>68.58</v>
      </c>
      <c r="Z1669" s="11">
        <v>74.722999999999999</v>
      </c>
      <c r="AA1669" s="11">
        <v>75.040000000000006</v>
      </c>
      <c r="AB1669" s="11">
        <v>74.619</v>
      </c>
      <c r="AC1669" s="11">
        <v>74.182000000000002</v>
      </c>
      <c r="AD1669" s="11">
        <v>73.745999999999995</v>
      </c>
      <c r="AE1669" s="11">
        <v>73.311000000000007</v>
      </c>
      <c r="AF1669" s="11">
        <v>72.864999999999995</v>
      </c>
      <c r="AG1669" s="11">
        <v>72.466999999999999</v>
      </c>
      <c r="AH1669" s="11">
        <v>72.117000000000004</v>
      </c>
      <c r="AI1669" s="11">
        <v>71.787999999999997</v>
      </c>
      <c r="AJ1669" s="11">
        <v>71.509</v>
      </c>
      <c r="AK1669" s="11">
        <v>71.239999999999995</v>
      </c>
      <c r="AL1669" s="11"/>
    </row>
    <row r="1670" spans="1:38" x14ac:dyDescent="0.3">
      <c r="A1670" s="9">
        <f>DATE(2023, 6, 16)</f>
        <v>45093</v>
      </c>
      <c r="B1670" s="10">
        <v>76.61</v>
      </c>
      <c r="C1670" s="10">
        <v>76.58</v>
      </c>
      <c r="D1670" s="10">
        <v>76.36</v>
      </c>
      <c r="E1670" s="10">
        <v>76.08</v>
      </c>
      <c r="F1670" s="10">
        <v>75.78</v>
      </c>
      <c r="G1670" s="10">
        <v>75.47</v>
      </c>
      <c r="H1670" s="10">
        <v>75.17</v>
      </c>
      <c r="I1670" s="10">
        <v>74.87</v>
      </c>
      <c r="J1670" s="10">
        <v>74.569999999999993</v>
      </c>
      <c r="K1670" s="10">
        <v>74.290000000000006</v>
      </c>
      <c r="L1670" s="10">
        <v>74.03</v>
      </c>
      <c r="M1670" s="10">
        <v>73.77</v>
      </c>
      <c r="N1670" s="10">
        <v>71.78</v>
      </c>
      <c r="O1670" s="10">
        <v>71.930000000000007</v>
      </c>
      <c r="P1670" s="10">
        <v>71.92</v>
      </c>
      <c r="Q1670" s="10">
        <v>71.75</v>
      </c>
      <c r="R1670" s="10">
        <v>71.510000000000005</v>
      </c>
      <c r="S1670" s="10">
        <v>71.23</v>
      </c>
      <c r="T1670" s="10">
        <v>70.930000000000007</v>
      </c>
      <c r="U1670" s="10">
        <v>70.62</v>
      </c>
      <c r="V1670" s="10">
        <v>70.319999999999993</v>
      </c>
      <c r="W1670" s="10">
        <v>70.02</v>
      </c>
      <c r="X1670" s="10">
        <v>69.739999999999995</v>
      </c>
      <c r="Y1670" s="10">
        <v>69.459999999999994</v>
      </c>
      <c r="Z1670" s="11">
        <v>75.218999999999994</v>
      </c>
      <c r="AA1670" s="11">
        <v>76.076999999999998</v>
      </c>
      <c r="AB1670" s="11">
        <v>75.653999999999996</v>
      </c>
      <c r="AC1670" s="11">
        <v>75.195999999999998</v>
      </c>
      <c r="AD1670" s="11">
        <v>74.745999999999995</v>
      </c>
      <c r="AE1670" s="11">
        <v>74.305999999999997</v>
      </c>
      <c r="AF1670" s="11">
        <v>73.849999999999994</v>
      </c>
      <c r="AG1670" s="11">
        <v>73.456000000000003</v>
      </c>
      <c r="AH1670" s="11">
        <v>73.126999999999995</v>
      </c>
      <c r="AI1670" s="11">
        <v>72.766999999999996</v>
      </c>
      <c r="AJ1670" s="11">
        <v>72.438000000000002</v>
      </c>
      <c r="AK1670" s="11">
        <v>72.16</v>
      </c>
      <c r="AL1670" s="11"/>
    </row>
    <row r="1671" spans="1:38" x14ac:dyDescent="0.3">
      <c r="A1671" s="9">
        <f>DATE(2023, 6, 19)</f>
        <v>45096</v>
      </c>
      <c r="B1671" s="10">
        <v>76.09</v>
      </c>
      <c r="C1671" s="10">
        <v>76.06</v>
      </c>
      <c r="D1671" s="10">
        <v>75.819999999999993</v>
      </c>
      <c r="E1671" s="10">
        <v>75.52</v>
      </c>
      <c r="F1671" s="10">
        <v>75.2</v>
      </c>
      <c r="G1671" s="10">
        <v>74.89</v>
      </c>
      <c r="H1671" s="10">
        <v>74.58</v>
      </c>
      <c r="I1671" s="10">
        <v>74.28</v>
      </c>
      <c r="J1671" s="10">
        <v>73.989999999999995</v>
      </c>
      <c r="K1671" s="10">
        <v>73.709999999999994</v>
      </c>
      <c r="L1671" s="10">
        <v>73.45</v>
      </c>
      <c r="M1671" s="10">
        <v>73.2</v>
      </c>
      <c r="N1671" s="10">
        <v>71.78</v>
      </c>
      <c r="O1671" s="10">
        <v>71.930000000000007</v>
      </c>
      <c r="P1671" s="10">
        <v>71.92</v>
      </c>
      <c r="Q1671" s="10">
        <v>71.75</v>
      </c>
      <c r="R1671" s="10">
        <v>71.510000000000005</v>
      </c>
      <c r="S1671" s="10">
        <v>71.23</v>
      </c>
      <c r="T1671" s="10">
        <v>70.930000000000007</v>
      </c>
      <c r="U1671" s="10">
        <v>70.62</v>
      </c>
      <c r="V1671" s="10">
        <v>70.319999999999993</v>
      </c>
      <c r="W1671" s="10">
        <v>70.02</v>
      </c>
      <c r="X1671" s="10">
        <v>69.739999999999995</v>
      </c>
      <c r="Y1671" s="10">
        <v>69.459999999999994</v>
      </c>
      <c r="Z1671" s="11">
        <v>75.018000000000001</v>
      </c>
      <c r="AA1671" s="11">
        <v>75.588999999999999</v>
      </c>
      <c r="AB1671" s="11">
        <v>75.117000000000004</v>
      </c>
      <c r="AC1671" s="11">
        <v>74.644000000000005</v>
      </c>
      <c r="AD1671" s="11">
        <v>74.194000000000003</v>
      </c>
      <c r="AE1671" s="11">
        <v>73.744</v>
      </c>
      <c r="AF1671" s="11">
        <v>73.284000000000006</v>
      </c>
      <c r="AG1671" s="11">
        <v>72.887</v>
      </c>
      <c r="AH1671" s="11">
        <v>72.566999999999993</v>
      </c>
      <c r="AI1671" s="11">
        <v>72.236999999999995</v>
      </c>
      <c r="AJ1671" s="11">
        <v>71.968999999999994</v>
      </c>
      <c r="AK1671" s="11">
        <v>71.7</v>
      </c>
      <c r="AL1671" s="11"/>
    </row>
    <row r="1672" spans="1:38" x14ac:dyDescent="0.3">
      <c r="A1672" s="9">
        <f>DATE(2023, 6, 20)</f>
        <v>45097</v>
      </c>
      <c r="B1672" s="10">
        <v>75.900000000000006</v>
      </c>
      <c r="C1672" s="10">
        <v>75.89</v>
      </c>
      <c r="D1672" s="10">
        <v>75.63</v>
      </c>
      <c r="E1672" s="10">
        <v>75.319999999999993</v>
      </c>
      <c r="F1672" s="10">
        <v>74.989999999999995</v>
      </c>
      <c r="G1672" s="10">
        <v>74.67</v>
      </c>
      <c r="H1672" s="10">
        <v>74.36</v>
      </c>
      <c r="I1672" s="10">
        <v>74.06</v>
      </c>
      <c r="J1672" s="10">
        <v>73.78</v>
      </c>
      <c r="K1672" s="10">
        <v>73.53</v>
      </c>
      <c r="L1672" s="10">
        <v>73.290000000000006</v>
      </c>
      <c r="M1672" s="10">
        <v>73.05</v>
      </c>
      <c r="N1672" s="10">
        <v>70.5</v>
      </c>
      <c r="O1672" s="10">
        <v>71.19</v>
      </c>
      <c r="P1672" s="10">
        <v>71.180000000000007</v>
      </c>
      <c r="Q1672" s="10">
        <v>71</v>
      </c>
      <c r="R1672" s="10">
        <v>70.75</v>
      </c>
      <c r="S1672" s="10">
        <v>70.489999999999995</v>
      </c>
      <c r="T1672" s="10">
        <v>70.19</v>
      </c>
      <c r="U1672" s="10">
        <v>69.89</v>
      </c>
      <c r="V1672" s="10">
        <v>69.59</v>
      </c>
      <c r="W1672" s="10">
        <v>69.319999999999993</v>
      </c>
      <c r="X1672" s="10">
        <v>69.05</v>
      </c>
      <c r="Y1672" s="10">
        <v>68.78</v>
      </c>
      <c r="Z1672" s="11">
        <v>75.188000000000002</v>
      </c>
      <c r="AA1672" s="11">
        <v>75.486000000000004</v>
      </c>
      <c r="AB1672" s="11">
        <v>74.945999999999998</v>
      </c>
      <c r="AC1672" s="11">
        <v>74.442999999999998</v>
      </c>
      <c r="AD1672" s="11">
        <v>73.954999999999998</v>
      </c>
      <c r="AE1672" s="11">
        <v>73.475999999999999</v>
      </c>
      <c r="AF1672" s="11">
        <v>72.995000000000005</v>
      </c>
      <c r="AG1672" s="11">
        <v>72.611999999999995</v>
      </c>
      <c r="AH1672" s="11">
        <v>72.298000000000002</v>
      </c>
      <c r="AI1672" s="11">
        <v>71.988</v>
      </c>
      <c r="AJ1672" s="11">
        <v>71.728999999999999</v>
      </c>
      <c r="AK1672" s="11">
        <v>71.489999999999995</v>
      </c>
      <c r="AL1672" s="11"/>
    </row>
    <row r="1673" spans="1:38" x14ac:dyDescent="0.3">
      <c r="A1673" s="9">
        <f>DATE(2023, 6, 21)</f>
        <v>45098</v>
      </c>
      <c r="B1673" s="10">
        <v>77.12</v>
      </c>
      <c r="C1673" s="10">
        <v>77.14</v>
      </c>
      <c r="D1673" s="10">
        <v>76.89</v>
      </c>
      <c r="E1673" s="10">
        <v>76.569999999999993</v>
      </c>
      <c r="F1673" s="10">
        <v>76.23</v>
      </c>
      <c r="G1673" s="10">
        <v>75.900000000000006</v>
      </c>
      <c r="H1673" s="10">
        <v>75.569999999999993</v>
      </c>
      <c r="I1673" s="10">
        <v>75.25</v>
      </c>
      <c r="J1673" s="10">
        <v>74.95</v>
      </c>
      <c r="K1673" s="10">
        <v>74.67</v>
      </c>
      <c r="L1673" s="10">
        <v>74.42</v>
      </c>
      <c r="M1673" s="10">
        <v>74.16</v>
      </c>
      <c r="N1673" s="10">
        <v>72.53</v>
      </c>
      <c r="O1673" s="10">
        <v>72.52</v>
      </c>
      <c r="P1673" s="10">
        <v>72.34</v>
      </c>
      <c r="Q1673" s="10">
        <v>72.09</v>
      </c>
      <c r="R1673" s="10">
        <v>71.8</v>
      </c>
      <c r="S1673" s="10">
        <v>71.47</v>
      </c>
      <c r="T1673" s="10">
        <v>71.150000000000006</v>
      </c>
      <c r="U1673" s="10">
        <v>70.83</v>
      </c>
      <c r="V1673" s="10">
        <v>70.53</v>
      </c>
      <c r="W1673" s="10">
        <v>70.23</v>
      </c>
      <c r="X1673" s="10">
        <v>69.94</v>
      </c>
      <c r="Y1673" s="10">
        <v>69.64</v>
      </c>
      <c r="Z1673" s="11">
        <v>75.725999999999999</v>
      </c>
      <c r="AA1673" s="11">
        <v>76.793000000000006</v>
      </c>
      <c r="AB1673" s="11">
        <v>76.210999999999999</v>
      </c>
      <c r="AC1673" s="11">
        <v>75.679000000000002</v>
      </c>
      <c r="AD1673" s="11">
        <v>75.17</v>
      </c>
      <c r="AE1673" s="11">
        <v>74.67</v>
      </c>
      <c r="AF1673" s="11">
        <v>74.197999999999993</v>
      </c>
      <c r="AG1673" s="11">
        <v>73.805999999999997</v>
      </c>
      <c r="AH1673" s="11">
        <v>73.456999999999994</v>
      </c>
      <c r="AI1673" s="11">
        <v>73.138000000000005</v>
      </c>
      <c r="AJ1673" s="11">
        <v>72.858000000000004</v>
      </c>
      <c r="AK1673" s="11">
        <v>72.599000000000004</v>
      </c>
      <c r="AL1673" s="11"/>
    </row>
    <row r="1674" spans="1:38" x14ac:dyDescent="0.3">
      <c r="A1674" s="9">
        <f>DATE(2023, 6, 22)</f>
        <v>45099</v>
      </c>
      <c r="B1674" s="10">
        <v>74.14</v>
      </c>
      <c r="C1674" s="10">
        <v>74.349999999999994</v>
      </c>
      <c r="D1674" s="10">
        <v>74.239999999999995</v>
      </c>
      <c r="E1674" s="10">
        <v>74.040000000000006</v>
      </c>
      <c r="F1674" s="10">
        <v>73.790000000000006</v>
      </c>
      <c r="G1674" s="10">
        <v>73.53</v>
      </c>
      <c r="H1674" s="10">
        <v>73.25</v>
      </c>
      <c r="I1674" s="10">
        <v>72.989999999999995</v>
      </c>
      <c r="J1674" s="10">
        <v>72.73</v>
      </c>
      <c r="K1674" s="10">
        <v>72.489999999999995</v>
      </c>
      <c r="L1674" s="10">
        <v>72.28</v>
      </c>
      <c r="M1674" s="10">
        <v>72.069999999999993</v>
      </c>
      <c r="N1674" s="10">
        <v>69.510000000000005</v>
      </c>
      <c r="O1674" s="10">
        <v>69.63</v>
      </c>
      <c r="P1674" s="10">
        <v>69.59</v>
      </c>
      <c r="Q1674" s="10">
        <v>69.47</v>
      </c>
      <c r="R1674" s="10">
        <v>69.290000000000006</v>
      </c>
      <c r="S1674" s="10">
        <v>69.08</v>
      </c>
      <c r="T1674" s="10">
        <v>68.84</v>
      </c>
      <c r="U1674" s="10">
        <v>68.599999999999994</v>
      </c>
      <c r="V1674" s="10">
        <v>68.34</v>
      </c>
      <c r="W1674" s="10">
        <v>68.099999999999994</v>
      </c>
      <c r="X1674" s="10">
        <v>67.849999999999994</v>
      </c>
      <c r="Y1674" s="10">
        <v>67.58</v>
      </c>
      <c r="Z1674" s="11">
        <v>74.950999999999993</v>
      </c>
      <c r="AA1674" s="11">
        <v>73.951999999999998</v>
      </c>
      <c r="AB1674" s="11">
        <v>73.501999999999995</v>
      </c>
      <c r="AC1674" s="11">
        <v>73.081999999999994</v>
      </c>
      <c r="AD1674" s="11">
        <v>72.653000000000006</v>
      </c>
      <c r="AE1674" s="11">
        <v>72.242000000000004</v>
      </c>
      <c r="AF1674" s="11">
        <v>71.828999999999994</v>
      </c>
      <c r="AG1674" s="11">
        <v>71.477999999999994</v>
      </c>
      <c r="AH1674" s="11">
        <v>71.179000000000002</v>
      </c>
      <c r="AI1674" s="11">
        <v>70.92</v>
      </c>
      <c r="AJ1674" s="11">
        <v>70.67</v>
      </c>
      <c r="AK1674" s="11">
        <v>70.441000000000003</v>
      </c>
      <c r="AL1674" s="11"/>
    </row>
    <row r="1675" spans="1:38" x14ac:dyDescent="0.3">
      <c r="A1675" s="9">
        <f>DATE(2023, 6, 23)</f>
        <v>45100</v>
      </c>
      <c r="B1675" s="10">
        <v>73.849999999999994</v>
      </c>
      <c r="C1675" s="10">
        <v>74.010000000000005</v>
      </c>
      <c r="D1675" s="10">
        <v>73.94</v>
      </c>
      <c r="E1675" s="10">
        <v>73.78</v>
      </c>
      <c r="F1675" s="10">
        <v>73.56</v>
      </c>
      <c r="G1675" s="10">
        <v>73.319999999999993</v>
      </c>
      <c r="H1675" s="10">
        <v>73.05</v>
      </c>
      <c r="I1675" s="10">
        <v>72.790000000000006</v>
      </c>
      <c r="J1675" s="10">
        <v>72.53</v>
      </c>
      <c r="K1675" s="10">
        <v>72.3</v>
      </c>
      <c r="L1675" s="10">
        <v>72.069999999999993</v>
      </c>
      <c r="M1675" s="10">
        <v>71.849999999999994</v>
      </c>
      <c r="N1675" s="10">
        <v>69.16</v>
      </c>
      <c r="O1675" s="10">
        <v>69.319999999999993</v>
      </c>
      <c r="P1675" s="10">
        <v>69.319999999999993</v>
      </c>
      <c r="Q1675" s="10">
        <v>69.239999999999995</v>
      </c>
      <c r="R1675" s="10">
        <v>69.099999999999994</v>
      </c>
      <c r="S1675" s="10">
        <v>68.91</v>
      </c>
      <c r="T1675" s="10">
        <v>68.69</v>
      </c>
      <c r="U1675" s="10">
        <v>68.45</v>
      </c>
      <c r="V1675" s="10">
        <v>68.180000000000007</v>
      </c>
      <c r="W1675" s="10">
        <v>67.92</v>
      </c>
      <c r="X1675" s="10">
        <v>67.67</v>
      </c>
      <c r="Y1675" s="10">
        <v>67.400000000000006</v>
      </c>
      <c r="Z1675" s="11">
        <v>74.876999999999995</v>
      </c>
      <c r="AA1675" s="11">
        <v>73.766999999999996</v>
      </c>
      <c r="AB1675" s="11">
        <v>73.3</v>
      </c>
      <c r="AC1675" s="11">
        <v>72.88</v>
      </c>
      <c r="AD1675" s="11">
        <v>72.459999999999994</v>
      </c>
      <c r="AE1675" s="11">
        <v>72.058999999999997</v>
      </c>
      <c r="AF1675" s="11">
        <v>71.655000000000001</v>
      </c>
      <c r="AG1675" s="11">
        <v>71.298000000000002</v>
      </c>
      <c r="AH1675" s="11">
        <v>70.998999999999995</v>
      </c>
      <c r="AI1675" s="11">
        <v>70.759</v>
      </c>
      <c r="AJ1675" s="11">
        <v>70.489999999999995</v>
      </c>
      <c r="AK1675" s="11">
        <v>70.230999999999995</v>
      </c>
      <c r="AL1675" s="11"/>
    </row>
    <row r="1676" spans="1:38" x14ac:dyDescent="0.3">
      <c r="A1676" s="9">
        <f>DATE(2023, 6, 26)</f>
        <v>45103</v>
      </c>
      <c r="B1676" s="10">
        <v>74.180000000000007</v>
      </c>
      <c r="C1676" s="10">
        <v>74.349999999999994</v>
      </c>
      <c r="D1676" s="10">
        <v>74.290000000000006</v>
      </c>
      <c r="E1676" s="10">
        <v>74.13</v>
      </c>
      <c r="F1676" s="10">
        <v>73.91</v>
      </c>
      <c r="G1676" s="10">
        <v>73.67</v>
      </c>
      <c r="H1676" s="10">
        <v>73.42</v>
      </c>
      <c r="I1676" s="10">
        <v>73.16</v>
      </c>
      <c r="J1676" s="10">
        <v>72.91</v>
      </c>
      <c r="K1676" s="10">
        <v>72.67</v>
      </c>
      <c r="L1676" s="10">
        <v>72.45</v>
      </c>
      <c r="M1676" s="10">
        <v>72.22</v>
      </c>
      <c r="N1676" s="10">
        <v>69.37</v>
      </c>
      <c r="O1676" s="10">
        <v>69.540000000000006</v>
      </c>
      <c r="P1676" s="10">
        <v>69.55</v>
      </c>
      <c r="Q1676" s="10">
        <v>69.48</v>
      </c>
      <c r="R1676" s="10">
        <v>69.36</v>
      </c>
      <c r="S1676" s="10">
        <v>69.180000000000007</v>
      </c>
      <c r="T1676" s="10">
        <v>68.98</v>
      </c>
      <c r="U1676" s="10">
        <v>68.75</v>
      </c>
      <c r="V1676" s="10">
        <v>68.5</v>
      </c>
      <c r="W1676" s="10">
        <v>68.239999999999995</v>
      </c>
      <c r="X1676" s="10">
        <v>67.989999999999995</v>
      </c>
      <c r="Y1676" s="10">
        <v>67.72</v>
      </c>
      <c r="Z1676" s="11">
        <v>74.935000000000002</v>
      </c>
      <c r="AA1676" s="11">
        <v>74.201999999999998</v>
      </c>
      <c r="AB1676" s="11">
        <v>73.703000000000003</v>
      </c>
      <c r="AC1676" s="11">
        <v>73.302999999999997</v>
      </c>
      <c r="AD1676" s="11">
        <v>72.932000000000002</v>
      </c>
      <c r="AE1676" s="11">
        <v>72.542000000000002</v>
      </c>
      <c r="AF1676" s="11">
        <v>72.161000000000001</v>
      </c>
      <c r="AG1676" s="11">
        <v>71.81</v>
      </c>
      <c r="AH1676" s="11">
        <v>71.498999999999995</v>
      </c>
      <c r="AI1676" s="11">
        <v>71.209000000000003</v>
      </c>
      <c r="AJ1676" s="11">
        <v>70.94</v>
      </c>
      <c r="AK1676" s="11">
        <v>70.680999999999997</v>
      </c>
      <c r="AL1676" s="11"/>
    </row>
    <row r="1677" spans="1:38" x14ac:dyDescent="0.3">
      <c r="A1677" s="9">
        <f>DATE(2023, 6, 27)</f>
        <v>45104</v>
      </c>
      <c r="B1677" s="10">
        <v>72.260000000000005</v>
      </c>
      <c r="C1677" s="10">
        <v>72.510000000000005</v>
      </c>
      <c r="D1677" s="10">
        <v>72.61</v>
      </c>
      <c r="E1677" s="10">
        <v>72.569999999999993</v>
      </c>
      <c r="F1677" s="10">
        <v>72.47</v>
      </c>
      <c r="G1677" s="10">
        <v>72.33</v>
      </c>
      <c r="H1677" s="10">
        <v>72.180000000000007</v>
      </c>
      <c r="I1677" s="10">
        <v>72.03</v>
      </c>
      <c r="J1677" s="10">
        <v>71.86</v>
      </c>
      <c r="K1677" s="10">
        <v>71.7</v>
      </c>
      <c r="L1677" s="10">
        <v>71.55</v>
      </c>
      <c r="M1677" s="10">
        <v>71.38</v>
      </c>
      <c r="N1677" s="10">
        <v>67.7</v>
      </c>
      <c r="O1677" s="10">
        <v>67.900000000000006</v>
      </c>
      <c r="P1677" s="10">
        <v>67.989999999999995</v>
      </c>
      <c r="Q1677" s="10">
        <v>68.010000000000005</v>
      </c>
      <c r="R1677" s="10">
        <v>67.97</v>
      </c>
      <c r="S1677" s="10">
        <v>67.89</v>
      </c>
      <c r="T1677" s="10">
        <v>67.78</v>
      </c>
      <c r="U1677" s="10">
        <v>67.650000000000006</v>
      </c>
      <c r="V1677" s="10">
        <v>67.5</v>
      </c>
      <c r="W1677" s="10">
        <v>67.319999999999993</v>
      </c>
      <c r="X1677" s="10">
        <v>67.13</v>
      </c>
      <c r="Y1677" s="10">
        <v>66.92</v>
      </c>
      <c r="Z1677" s="11">
        <v>74.793999999999997</v>
      </c>
      <c r="AA1677" s="11">
        <v>72.59</v>
      </c>
      <c r="AB1677" s="11">
        <v>72.2</v>
      </c>
      <c r="AC1677" s="11">
        <v>71.894999999999996</v>
      </c>
      <c r="AD1677" s="11">
        <v>71.608000000000004</v>
      </c>
      <c r="AE1677" s="11">
        <v>71.326999999999998</v>
      </c>
      <c r="AF1677" s="11">
        <v>71.039000000000001</v>
      </c>
      <c r="AG1677" s="11">
        <v>70.805999999999997</v>
      </c>
      <c r="AH1677" s="11">
        <v>70.576999999999998</v>
      </c>
      <c r="AI1677" s="11">
        <v>70.423000000000002</v>
      </c>
      <c r="AJ1677" s="11">
        <v>70.242000000000004</v>
      </c>
      <c r="AK1677" s="11">
        <v>70.043000000000006</v>
      </c>
      <c r="AL1677" s="11"/>
    </row>
    <row r="1678" spans="1:38" x14ac:dyDescent="0.3">
      <c r="A1678" s="9">
        <f>DATE(2023, 6, 28)</f>
        <v>45105</v>
      </c>
      <c r="B1678" s="10">
        <v>74.03</v>
      </c>
      <c r="C1678" s="10">
        <v>74.239999999999995</v>
      </c>
      <c r="D1678" s="10">
        <v>74.3</v>
      </c>
      <c r="E1678" s="10">
        <v>74.239999999999995</v>
      </c>
      <c r="F1678" s="10">
        <v>74.11</v>
      </c>
      <c r="G1678" s="10">
        <v>73.930000000000007</v>
      </c>
      <c r="H1678" s="10">
        <v>73.75</v>
      </c>
      <c r="I1678" s="10">
        <v>73.55</v>
      </c>
      <c r="J1678" s="10">
        <v>73.349999999999994</v>
      </c>
      <c r="K1678" s="10">
        <v>73.14</v>
      </c>
      <c r="L1678" s="10">
        <v>72.930000000000007</v>
      </c>
      <c r="M1678" s="10">
        <v>72.73</v>
      </c>
      <c r="N1678" s="10">
        <v>69.56</v>
      </c>
      <c r="O1678" s="10">
        <v>69.73</v>
      </c>
      <c r="P1678" s="10">
        <v>69.77</v>
      </c>
      <c r="Q1678" s="10">
        <v>69.73</v>
      </c>
      <c r="R1678" s="10">
        <v>69.64</v>
      </c>
      <c r="S1678" s="10">
        <v>69.5</v>
      </c>
      <c r="T1678" s="10">
        <v>69.34</v>
      </c>
      <c r="U1678" s="10">
        <v>69.16</v>
      </c>
      <c r="V1678" s="10">
        <v>68.95</v>
      </c>
      <c r="W1678" s="10">
        <v>68.73</v>
      </c>
      <c r="X1678" s="10">
        <v>68.5</v>
      </c>
      <c r="Y1678" s="10">
        <v>68.23</v>
      </c>
      <c r="Z1678" s="11">
        <v>74.924000000000007</v>
      </c>
      <c r="AA1678" s="11">
        <v>74.396000000000001</v>
      </c>
      <c r="AB1678" s="11">
        <v>74</v>
      </c>
      <c r="AC1678" s="11">
        <v>73.668999999999997</v>
      </c>
      <c r="AD1678" s="11">
        <v>73.356999999999999</v>
      </c>
      <c r="AE1678" s="11">
        <v>73.042000000000002</v>
      </c>
      <c r="AF1678" s="11">
        <v>72.72</v>
      </c>
      <c r="AG1678" s="11">
        <v>72.421000000000006</v>
      </c>
      <c r="AH1678" s="11">
        <v>72.14</v>
      </c>
      <c r="AI1678" s="11">
        <v>71.87</v>
      </c>
      <c r="AJ1678" s="11">
        <v>71.631</v>
      </c>
      <c r="AK1678" s="11">
        <v>71.411000000000001</v>
      </c>
      <c r="AL1678" s="11"/>
    </row>
    <row r="1679" spans="1:38" x14ac:dyDescent="0.3">
      <c r="A1679" s="9">
        <f>DATE(2023, 6, 29)</f>
        <v>45106</v>
      </c>
      <c r="B1679" s="10">
        <v>74.34</v>
      </c>
      <c r="C1679" s="10">
        <v>74.510000000000005</v>
      </c>
      <c r="D1679" s="10">
        <v>74.48</v>
      </c>
      <c r="E1679" s="10">
        <v>74.36</v>
      </c>
      <c r="F1679" s="10">
        <v>74.2</v>
      </c>
      <c r="G1679" s="10">
        <v>74.010000000000005</v>
      </c>
      <c r="H1679" s="10">
        <v>73.8</v>
      </c>
      <c r="I1679" s="10">
        <v>73.59</v>
      </c>
      <c r="J1679" s="10">
        <v>73.38</v>
      </c>
      <c r="K1679" s="10">
        <v>73.17</v>
      </c>
      <c r="L1679" s="10">
        <v>72.959999999999994</v>
      </c>
      <c r="M1679" s="10">
        <v>72.739999999999995</v>
      </c>
      <c r="N1679" s="10">
        <v>69.86</v>
      </c>
      <c r="O1679" s="10">
        <v>70.02</v>
      </c>
      <c r="P1679" s="10">
        <v>70.040000000000006</v>
      </c>
      <c r="Q1679" s="10">
        <v>69.97</v>
      </c>
      <c r="R1679" s="10">
        <v>69.84</v>
      </c>
      <c r="S1679" s="10">
        <v>69.680000000000007</v>
      </c>
      <c r="T1679" s="10">
        <v>69.489999999999995</v>
      </c>
      <c r="U1679" s="10">
        <v>69.290000000000006</v>
      </c>
      <c r="V1679" s="10">
        <v>69.08</v>
      </c>
      <c r="W1679" s="10">
        <v>68.849999999999994</v>
      </c>
      <c r="X1679" s="10">
        <v>68.599999999999994</v>
      </c>
      <c r="Y1679" s="10">
        <v>68.319999999999993</v>
      </c>
      <c r="Z1679" s="11">
        <v>74.933000000000007</v>
      </c>
      <c r="AA1679" s="11">
        <v>74.590999999999994</v>
      </c>
      <c r="AB1679" s="11">
        <v>74.186999999999998</v>
      </c>
      <c r="AC1679" s="11">
        <v>73.783000000000001</v>
      </c>
      <c r="AD1679" s="11">
        <v>73.432000000000002</v>
      </c>
      <c r="AE1679" s="11">
        <v>73.090999999999994</v>
      </c>
      <c r="AF1679" s="11">
        <v>72.75</v>
      </c>
      <c r="AG1679" s="11">
        <v>72.444999999999993</v>
      </c>
      <c r="AH1679" s="11">
        <v>72.19</v>
      </c>
      <c r="AI1679" s="11">
        <v>71.94</v>
      </c>
      <c r="AJ1679" s="11">
        <v>71.709999999999994</v>
      </c>
      <c r="AK1679" s="11">
        <v>71.47</v>
      </c>
      <c r="AL1679" s="11"/>
    </row>
    <row r="1680" spans="1:38" x14ac:dyDescent="0.3">
      <c r="A1680" s="9">
        <f>DATE(2023, 6, 30)</f>
        <v>45107</v>
      </c>
      <c r="B1680" s="10">
        <v>74.900000000000006</v>
      </c>
      <c r="C1680" s="10">
        <v>75.41</v>
      </c>
      <c r="D1680" s="10">
        <v>75.3</v>
      </c>
      <c r="E1680" s="10">
        <v>75.12</v>
      </c>
      <c r="F1680" s="10">
        <v>74.91</v>
      </c>
      <c r="G1680" s="10">
        <v>74.66</v>
      </c>
      <c r="H1680" s="10">
        <v>74.42</v>
      </c>
      <c r="I1680" s="10">
        <v>74.180000000000007</v>
      </c>
      <c r="J1680" s="10">
        <v>73.959999999999994</v>
      </c>
      <c r="K1680" s="10">
        <v>73.73</v>
      </c>
      <c r="L1680" s="10">
        <v>73.510000000000005</v>
      </c>
      <c r="M1680" s="10">
        <v>73.290000000000006</v>
      </c>
      <c r="N1680" s="10">
        <v>70.64</v>
      </c>
      <c r="O1680" s="10">
        <v>70.78</v>
      </c>
      <c r="P1680" s="10">
        <v>70.72</v>
      </c>
      <c r="Q1680" s="10">
        <v>70.58</v>
      </c>
      <c r="R1680" s="10">
        <v>70.400000000000006</v>
      </c>
      <c r="S1680" s="10">
        <v>70.2</v>
      </c>
      <c r="T1680" s="10">
        <v>69.98</v>
      </c>
      <c r="U1680" s="10">
        <v>69.760000000000005</v>
      </c>
      <c r="V1680" s="10">
        <v>69.52</v>
      </c>
      <c r="W1680" s="10">
        <v>69.28</v>
      </c>
      <c r="X1680" s="10">
        <v>69.02</v>
      </c>
      <c r="Y1680" s="10">
        <v>68.73</v>
      </c>
      <c r="Z1680" s="11">
        <v>74.992000000000004</v>
      </c>
      <c r="AA1680" s="11">
        <v>75.555000000000007</v>
      </c>
      <c r="AB1680" s="11">
        <v>75.004000000000005</v>
      </c>
      <c r="AC1680" s="11">
        <v>74.47</v>
      </c>
      <c r="AD1680" s="11">
        <v>74.034000000000006</v>
      </c>
      <c r="AE1680" s="11">
        <v>73.623999999999995</v>
      </c>
      <c r="AF1680" s="11">
        <v>73.251000000000005</v>
      </c>
      <c r="AG1680" s="11">
        <v>72.905000000000001</v>
      </c>
      <c r="AH1680" s="11">
        <v>72.638999999999996</v>
      </c>
      <c r="AI1680" s="11">
        <v>72.379000000000005</v>
      </c>
      <c r="AJ1680" s="11">
        <v>72.14</v>
      </c>
      <c r="AK1680" s="11">
        <v>71.891000000000005</v>
      </c>
      <c r="AL1680" s="11"/>
    </row>
    <row r="1681" spans="1:38" x14ac:dyDescent="0.3">
      <c r="A1681" s="9">
        <f>DATE(2023, 7, 3)</f>
        <v>45110</v>
      </c>
      <c r="B1681" s="10">
        <v>74.650000000000006</v>
      </c>
      <c r="C1681" s="10">
        <v>74.47</v>
      </c>
      <c r="D1681" s="10">
        <v>74.209999999999994</v>
      </c>
      <c r="E1681" s="10">
        <v>73.94</v>
      </c>
      <c r="F1681" s="10">
        <v>73.650000000000006</v>
      </c>
      <c r="G1681" s="10">
        <v>73.37</v>
      </c>
      <c r="H1681" s="10">
        <v>73.12</v>
      </c>
      <c r="I1681" s="10">
        <v>72.89</v>
      </c>
      <c r="J1681" s="10">
        <v>72.66</v>
      </c>
      <c r="K1681" s="10">
        <v>72.44</v>
      </c>
      <c r="L1681" s="10">
        <v>72.209999999999994</v>
      </c>
      <c r="M1681" s="10">
        <v>71.989999999999995</v>
      </c>
      <c r="N1681" s="10">
        <v>69.790000000000006</v>
      </c>
      <c r="O1681" s="10">
        <v>69.91</v>
      </c>
      <c r="P1681" s="10">
        <v>69.8</v>
      </c>
      <c r="Q1681" s="10">
        <v>69.62</v>
      </c>
      <c r="R1681" s="10">
        <v>69.41</v>
      </c>
      <c r="S1681" s="10">
        <v>69.180000000000007</v>
      </c>
      <c r="T1681" s="10">
        <v>68.94</v>
      </c>
      <c r="U1681" s="10">
        <v>68.69</v>
      </c>
      <c r="V1681" s="10">
        <v>68.44</v>
      </c>
      <c r="W1681" s="10">
        <v>68.19</v>
      </c>
      <c r="X1681" s="10">
        <v>67.91</v>
      </c>
      <c r="Y1681" s="10">
        <v>67.62</v>
      </c>
      <c r="Z1681" s="11">
        <v>74.992000000000004</v>
      </c>
      <c r="AA1681" s="11">
        <v>74.701999999999998</v>
      </c>
      <c r="AB1681" s="11">
        <v>74.227000000000004</v>
      </c>
      <c r="AC1681" s="11">
        <v>73.658000000000001</v>
      </c>
      <c r="AD1681" s="11">
        <v>73.171999999999997</v>
      </c>
      <c r="AE1681" s="11">
        <v>72.718999999999994</v>
      </c>
      <c r="AF1681" s="11">
        <v>72.305000000000007</v>
      </c>
      <c r="AG1681" s="11">
        <v>71.95</v>
      </c>
      <c r="AH1681" s="11">
        <v>71.668999999999997</v>
      </c>
      <c r="AI1681" s="11">
        <v>71.388999999999996</v>
      </c>
      <c r="AJ1681" s="11">
        <v>71.13</v>
      </c>
      <c r="AK1681" s="11">
        <v>70.86</v>
      </c>
      <c r="AL1681" s="11"/>
    </row>
    <row r="1682" spans="1:38" x14ac:dyDescent="0.3">
      <c r="A1682" s="9">
        <f>DATE(2023, 7, 4)</f>
        <v>45111</v>
      </c>
      <c r="B1682" s="10">
        <v>76.25</v>
      </c>
      <c r="C1682" s="10">
        <v>76.05</v>
      </c>
      <c r="D1682" s="10">
        <v>75.77</v>
      </c>
      <c r="E1682" s="10">
        <v>75.48</v>
      </c>
      <c r="F1682" s="10">
        <v>75.17</v>
      </c>
      <c r="G1682" s="10">
        <v>74.88</v>
      </c>
      <c r="H1682" s="10">
        <v>74.61</v>
      </c>
      <c r="I1682" s="10">
        <v>74.36</v>
      </c>
      <c r="J1682" s="10">
        <v>74.13</v>
      </c>
      <c r="K1682" s="10">
        <v>73.900000000000006</v>
      </c>
      <c r="L1682" s="10">
        <v>73.66</v>
      </c>
      <c r="M1682" s="10">
        <v>73.430000000000007</v>
      </c>
      <c r="N1682" s="10">
        <v>69.790000000000006</v>
      </c>
      <c r="O1682" s="10">
        <v>69.91</v>
      </c>
      <c r="P1682" s="10">
        <v>69.8</v>
      </c>
      <c r="Q1682" s="10">
        <v>69.62</v>
      </c>
      <c r="R1682" s="10">
        <v>69.41</v>
      </c>
      <c r="S1682" s="10">
        <v>69.180000000000007</v>
      </c>
      <c r="T1682" s="10">
        <v>68.94</v>
      </c>
      <c r="U1682" s="10">
        <v>68.69</v>
      </c>
      <c r="V1682" s="10">
        <v>68.44</v>
      </c>
      <c r="W1682" s="10">
        <v>68.19</v>
      </c>
      <c r="X1682" s="10">
        <v>67.91</v>
      </c>
      <c r="Y1682" s="10">
        <v>67.62</v>
      </c>
      <c r="Z1682" s="11">
        <v>76.114000000000004</v>
      </c>
      <c r="AA1682" s="11">
        <v>75.760000000000005</v>
      </c>
      <c r="AB1682" s="11">
        <v>75.180999999999997</v>
      </c>
      <c r="AC1682" s="11">
        <v>74.706000000000003</v>
      </c>
      <c r="AD1682" s="11">
        <v>74.244</v>
      </c>
      <c r="AE1682" s="11">
        <v>73.813000000000002</v>
      </c>
      <c r="AF1682" s="11">
        <v>73.438999999999993</v>
      </c>
      <c r="AG1682" s="11">
        <v>73.138999999999996</v>
      </c>
      <c r="AH1682" s="11">
        <v>72.858999999999995</v>
      </c>
      <c r="AI1682" s="11">
        <v>72.588999999999999</v>
      </c>
      <c r="AJ1682" s="11">
        <v>72.31</v>
      </c>
      <c r="AK1682" s="11">
        <v>72.028999999999996</v>
      </c>
      <c r="AL1682" s="11"/>
    </row>
    <row r="1683" spans="1:38" x14ac:dyDescent="0.3">
      <c r="A1683" s="9">
        <f>DATE(2023, 7, 5)</f>
        <v>45112</v>
      </c>
      <c r="B1683" s="10">
        <v>76.650000000000006</v>
      </c>
      <c r="C1683" s="10">
        <v>76.41</v>
      </c>
      <c r="D1683" s="10">
        <v>76.09</v>
      </c>
      <c r="E1683" s="10">
        <v>75.78</v>
      </c>
      <c r="F1683" s="10">
        <v>75.459999999999994</v>
      </c>
      <c r="G1683" s="10">
        <v>75.16</v>
      </c>
      <c r="H1683" s="10">
        <v>74.88</v>
      </c>
      <c r="I1683" s="10">
        <v>74.63</v>
      </c>
      <c r="J1683" s="10">
        <v>74.39</v>
      </c>
      <c r="K1683" s="10">
        <v>74.150000000000006</v>
      </c>
      <c r="L1683" s="10">
        <v>73.91</v>
      </c>
      <c r="M1683" s="10">
        <v>73.680000000000007</v>
      </c>
      <c r="N1683" s="10">
        <v>71.790000000000006</v>
      </c>
      <c r="O1683" s="10">
        <v>71.88</v>
      </c>
      <c r="P1683" s="10">
        <v>71.72</v>
      </c>
      <c r="Q1683" s="10">
        <v>71.5</v>
      </c>
      <c r="R1683" s="10">
        <v>71.25</v>
      </c>
      <c r="S1683" s="10">
        <v>70.98</v>
      </c>
      <c r="T1683" s="10">
        <v>70.7</v>
      </c>
      <c r="U1683" s="10">
        <v>70.44</v>
      </c>
      <c r="V1683" s="10">
        <v>70.17</v>
      </c>
      <c r="W1683" s="10">
        <v>69.900000000000006</v>
      </c>
      <c r="X1683" s="10">
        <v>69.63</v>
      </c>
      <c r="Y1683" s="10">
        <v>69.33</v>
      </c>
      <c r="Z1683" s="11">
        <v>76.540000000000006</v>
      </c>
      <c r="AA1683" s="11">
        <v>76.301000000000002</v>
      </c>
      <c r="AB1683" s="11">
        <v>75.67</v>
      </c>
      <c r="AC1683" s="11">
        <v>75.14</v>
      </c>
      <c r="AD1683" s="11">
        <v>74.661000000000001</v>
      </c>
      <c r="AE1683" s="11">
        <v>74.201999999999998</v>
      </c>
      <c r="AF1683" s="11">
        <v>73.799000000000007</v>
      </c>
      <c r="AG1683" s="11">
        <v>73.498999999999995</v>
      </c>
      <c r="AH1683" s="11">
        <v>73.212999999999994</v>
      </c>
      <c r="AI1683" s="11">
        <v>72.918999999999997</v>
      </c>
      <c r="AJ1683" s="11">
        <v>72.650000000000006</v>
      </c>
      <c r="AK1683" s="11">
        <v>72.388000000000005</v>
      </c>
      <c r="AL1683" s="11"/>
    </row>
    <row r="1684" spans="1:38" x14ac:dyDescent="0.3">
      <c r="A1684" s="9">
        <f>DATE(2023, 7, 6)</f>
        <v>45113</v>
      </c>
      <c r="B1684" s="10">
        <v>76.52</v>
      </c>
      <c r="C1684" s="10">
        <v>76.22</v>
      </c>
      <c r="D1684" s="10">
        <v>75.84</v>
      </c>
      <c r="E1684" s="10">
        <v>75.47</v>
      </c>
      <c r="F1684" s="10">
        <v>75.11</v>
      </c>
      <c r="G1684" s="10">
        <v>74.760000000000005</v>
      </c>
      <c r="H1684" s="10">
        <v>74.459999999999994</v>
      </c>
      <c r="I1684" s="10">
        <v>74.19</v>
      </c>
      <c r="J1684" s="10">
        <v>73.930000000000007</v>
      </c>
      <c r="K1684" s="10">
        <v>73.69</v>
      </c>
      <c r="L1684" s="10">
        <v>73.44</v>
      </c>
      <c r="M1684" s="10">
        <v>73.2</v>
      </c>
      <c r="N1684" s="10">
        <v>71.8</v>
      </c>
      <c r="O1684" s="10">
        <v>71.790000000000006</v>
      </c>
      <c r="P1684" s="10">
        <v>71.56</v>
      </c>
      <c r="Q1684" s="10">
        <v>71.28</v>
      </c>
      <c r="R1684" s="10">
        <v>70.989999999999995</v>
      </c>
      <c r="S1684" s="10">
        <v>70.69</v>
      </c>
      <c r="T1684" s="10">
        <v>70.38</v>
      </c>
      <c r="U1684" s="10">
        <v>70.099999999999994</v>
      </c>
      <c r="V1684" s="10">
        <v>69.819999999999993</v>
      </c>
      <c r="W1684" s="10">
        <v>69.55</v>
      </c>
      <c r="X1684" s="10">
        <v>69.260000000000005</v>
      </c>
      <c r="Y1684" s="10">
        <v>68.959999999999994</v>
      </c>
      <c r="Z1684" s="11">
        <v>76.718000000000004</v>
      </c>
      <c r="AA1684" s="11">
        <v>76.427999999999997</v>
      </c>
      <c r="AB1684" s="11">
        <v>75.706999999999994</v>
      </c>
      <c r="AC1684" s="11">
        <v>75.078999999999994</v>
      </c>
      <c r="AD1684" s="11">
        <v>74.489000000000004</v>
      </c>
      <c r="AE1684" s="11">
        <v>73.94</v>
      </c>
      <c r="AF1684" s="11">
        <v>73.498000000000005</v>
      </c>
      <c r="AG1684" s="11">
        <v>73.147999999999996</v>
      </c>
      <c r="AH1684" s="11">
        <v>72.817999999999998</v>
      </c>
      <c r="AI1684" s="11">
        <v>72.539000000000001</v>
      </c>
      <c r="AJ1684" s="11">
        <v>72.260000000000005</v>
      </c>
      <c r="AK1684" s="11">
        <v>72.007999999999996</v>
      </c>
      <c r="AL1684" s="11"/>
    </row>
    <row r="1685" spans="1:38" x14ac:dyDescent="0.3">
      <c r="A1685" s="9">
        <f>DATE(2023, 7, 7)</f>
        <v>45114</v>
      </c>
      <c r="B1685" s="10">
        <v>78.47</v>
      </c>
      <c r="C1685" s="10">
        <v>78.08</v>
      </c>
      <c r="D1685" s="10">
        <v>77.62</v>
      </c>
      <c r="E1685" s="10">
        <v>77.17</v>
      </c>
      <c r="F1685" s="10">
        <v>76.73</v>
      </c>
      <c r="G1685" s="10">
        <v>76.319999999999993</v>
      </c>
      <c r="H1685" s="10">
        <v>75.959999999999994</v>
      </c>
      <c r="I1685" s="10">
        <v>75.64</v>
      </c>
      <c r="J1685" s="10">
        <v>75.34</v>
      </c>
      <c r="K1685" s="10">
        <v>75.05</v>
      </c>
      <c r="L1685" s="10">
        <v>74.760000000000005</v>
      </c>
      <c r="M1685" s="10">
        <v>74.47</v>
      </c>
      <c r="N1685" s="10">
        <v>73.86</v>
      </c>
      <c r="O1685" s="10">
        <v>73.77</v>
      </c>
      <c r="P1685" s="10">
        <v>73.44</v>
      </c>
      <c r="Q1685" s="10">
        <v>73.05</v>
      </c>
      <c r="R1685" s="10">
        <v>72.66</v>
      </c>
      <c r="S1685" s="10">
        <v>72.260000000000005</v>
      </c>
      <c r="T1685" s="10">
        <v>71.87</v>
      </c>
      <c r="U1685" s="10">
        <v>71.5</v>
      </c>
      <c r="V1685" s="10">
        <v>71.150000000000006</v>
      </c>
      <c r="W1685" s="10">
        <v>70.8</v>
      </c>
      <c r="X1685" s="10">
        <v>70.459999999999994</v>
      </c>
      <c r="Y1685" s="10">
        <v>70.099999999999994</v>
      </c>
      <c r="Z1685" s="11">
        <v>78.293000000000006</v>
      </c>
      <c r="AA1685" s="11">
        <v>78.248999999999995</v>
      </c>
      <c r="AB1685" s="11">
        <v>77.489999999999995</v>
      </c>
      <c r="AC1685" s="11">
        <v>76.819999999999993</v>
      </c>
      <c r="AD1685" s="11">
        <v>76.16</v>
      </c>
      <c r="AE1685" s="11">
        <v>75.566000000000003</v>
      </c>
      <c r="AF1685" s="11">
        <v>75.069999999999993</v>
      </c>
      <c r="AG1685" s="11">
        <v>74.661000000000001</v>
      </c>
      <c r="AH1685" s="11">
        <v>74.266000000000005</v>
      </c>
      <c r="AI1685" s="11">
        <v>73.947000000000003</v>
      </c>
      <c r="AJ1685" s="11">
        <v>73.626999999999995</v>
      </c>
      <c r="AK1685" s="11">
        <v>73.325999999999993</v>
      </c>
      <c r="AL1685" s="11"/>
    </row>
    <row r="1686" spans="1:38" x14ac:dyDescent="0.3">
      <c r="A1686" s="9">
        <f>DATE(2023, 7, 10)</f>
        <v>45117</v>
      </c>
      <c r="B1686" s="10">
        <v>77.69</v>
      </c>
      <c r="C1686" s="10">
        <v>77.400000000000006</v>
      </c>
      <c r="D1686" s="10">
        <v>77.010000000000005</v>
      </c>
      <c r="E1686" s="10">
        <v>76.61</v>
      </c>
      <c r="F1686" s="10">
        <v>76.22</v>
      </c>
      <c r="G1686" s="10">
        <v>75.86</v>
      </c>
      <c r="H1686" s="10">
        <v>75.540000000000006</v>
      </c>
      <c r="I1686" s="10">
        <v>75.260000000000005</v>
      </c>
      <c r="J1686" s="10">
        <v>75</v>
      </c>
      <c r="K1686" s="10">
        <v>74.75</v>
      </c>
      <c r="L1686" s="10">
        <v>74.5</v>
      </c>
      <c r="M1686" s="10">
        <v>74.239999999999995</v>
      </c>
      <c r="N1686" s="10">
        <v>72.989999999999995</v>
      </c>
      <c r="O1686" s="10">
        <v>72.95</v>
      </c>
      <c r="P1686" s="10">
        <v>72.7</v>
      </c>
      <c r="Q1686" s="10">
        <v>72.39</v>
      </c>
      <c r="R1686" s="10">
        <v>72.069999999999993</v>
      </c>
      <c r="S1686" s="10">
        <v>71.760000000000005</v>
      </c>
      <c r="T1686" s="10">
        <v>71.45</v>
      </c>
      <c r="U1686" s="10">
        <v>71.150000000000006</v>
      </c>
      <c r="V1686" s="10">
        <v>70.849999999999994</v>
      </c>
      <c r="W1686" s="10">
        <v>70.56</v>
      </c>
      <c r="X1686" s="10">
        <v>70.27</v>
      </c>
      <c r="Y1686" s="10">
        <v>69.95</v>
      </c>
      <c r="Z1686" s="11">
        <v>77.716999999999999</v>
      </c>
      <c r="AA1686" s="11">
        <v>77.488</v>
      </c>
      <c r="AB1686" s="11">
        <v>76.790999999999997</v>
      </c>
      <c r="AC1686" s="11">
        <v>76.201999999999998</v>
      </c>
      <c r="AD1686" s="11">
        <v>75.619</v>
      </c>
      <c r="AE1686" s="11">
        <v>75.067999999999998</v>
      </c>
      <c r="AF1686" s="11">
        <v>74.606999999999999</v>
      </c>
      <c r="AG1686" s="11">
        <v>74.253</v>
      </c>
      <c r="AH1686" s="11">
        <v>73.908000000000001</v>
      </c>
      <c r="AI1686" s="11">
        <v>73.629000000000005</v>
      </c>
      <c r="AJ1686" s="11">
        <v>73.338999999999999</v>
      </c>
      <c r="AK1686" s="11">
        <v>73.067999999999998</v>
      </c>
      <c r="AL1686" s="11"/>
    </row>
    <row r="1687" spans="1:38" x14ac:dyDescent="0.3">
      <c r="A1687" s="9">
        <f>DATE(2023, 7, 11)</f>
        <v>45118</v>
      </c>
      <c r="B1687" s="10">
        <v>79.400000000000006</v>
      </c>
      <c r="C1687" s="10">
        <v>79.069999999999993</v>
      </c>
      <c r="D1687" s="10">
        <v>78.650000000000006</v>
      </c>
      <c r="E1687" s="10">
        <v>78.23</v>
      </c>
      <c r="F1687" s="10">
        <v>77.819999999999993</v>
      </c>
      <c r="G1687" s="10">
        <v>77.42</v>
      </c>
      <c r="H1687" s="10">
        <v>77.06</v>
      </c>
      <c r="I1687" s="10">
        <v>76.739999999999995</v>
      </c>
      <c r="J1687" s="10">
        <v>76.430000000000007</v>
      </c>
      <c r="K1687" s="10">
        <v>76.13</v>
      </c>
      <c r="L1687" s="10">
        <v>75.84</v>
      </c>
      <c r="M1687" s="10">
        <v>75.56</v>
      </c>
      <c r="N1687" s="10">
        <v>74.83</v>
      </c>
      <c r="O1687" s="10">
        <v>74.709999999999994</v>
      </c>
      <c r="P1687" s="10">
        <v>74.44</v>
      </c>
      <c r="Q1687" s="10">
        <v>74.11</v>
      </c>
      <c r="R1687" s="10">
        <v>73.760000000000005</v>
      </c>
      <c r="S1687" s="10">
        <v>73.41</v>
      </c>
      <c r="T1687" s="10">
        <v>73.05</v>
      </c>
      <c r="U1687" s="10">
        <v>72.7</v>
      </c>
      <c r="V1687" s="10">
        <v>72.36</v>
      </c>
      <c r="W1687" s="10">
        <v>72.02</v>
      </c>
      <c r="X1687" s="10">
        <v>71.7</v>
      </c>
      <c r="Y1687" s="10">
        <v>71.34</v>
      </c>
      <c r="Z1687" s="11">
        <v>78.736999999999995</v>
      </c>
      <c r="AA1687" s="11">
        <v>79.073999999999998</v>
      </c>
      <c r="AB1687" s="11">
        <v>78.384</v>
      </c>
      <c r="AC1687" s="11">
        <v>77.775999999999996</v>
      </c>
      <c r="AD1687" s="11">
        <v>77.186999999999998</v>
      </c>
      <c r="AE1687" s="11">
        <v>76.608999999999995</v>
      </c>
      <c r="AF1687" s="11">
        <v>76.114999999999995</v>
      </c>
      <c r="AG1687" s="11">
        <v>75.724999999999994</v>
      </c>
      <c r="AH1687" s="11">
        <v>75.355000000000004</v>
      </c>
      <c r="AI1687" s="11">
        <v>75.027000000000001</v>
      </c>
      <c r="AJ1687" s="11">
        <v>74.688000000000002</v>
      </c>
      <c r="AK1687" s="11">
        <v>74.335999999999999</v>
      </c>
      <c r="AL1687" s="11"/>
    </row>
    <row r="1688" spans="1:38" x14ac:dyDescent="0.3">
      <c r="A1688" s="9">
        <f>DATE(2023, 7, 12)</f>
        <v>45119</v>
      </c>
      <c r="B1688" s="10">
        <v>80.11</v>
      </c>
      <c r="C1688" s="10">
        <v>79.790000000000006</v>
      </c>
      <c r="D1688" s="10">
        <v>79.39</v>
      </c>
      <c r="E1688" s="10">
        <v>78.98</v>
      </c>
      <c r="F1688" s="10">
        <v>78.569999999999993</v>
      </c>
      <c r="G1688" s="10">
        <v>78.16</v>
      </c>
      <c r="H1688" s="10">
        <v>77.78</v>
      </c>
      <c r="I1688" s="10">
        <v>77.44</v>
      </c>
      <c r="J1688" s="10">
        <v>77.12</v>
      </c>
      <c r="K1688" s="10">
        <v>76.8</v>
      </c>
      <c r="L1688" s="10">
        <v>76.48</v>
      </c>
      <c r="M1688" s="10">
        <v>76.17</v>
      </c>
      <c r="N1688" s="10">
        <v>75.75</v>
      </c>
      <c r="O1688" s="10">
        <v>75.540000000000006</v>
      </c>
      <c r="P1688" s="10">
        <v>75.25</v>
      </c>
      <c r="Q1688" s="10">
        <v>74.91</v>
      </c>
      <c r="R1688" s="10">
        <v>74.540000000000006</v>
      </c>
      <c r="S1688" s="10">
        <v>74.16</v>
      </c>
      <c r="T1688" s="10">
        <v>73.78</v>
      </c>
      <c r="U1688" s="10">
        <v>73.400000000000006</v>
      </c>
      <c r="V1688" s="10">
        <v>73.03</v>
      </c>
      <c r="W1688" s="10">
        <v>72.67</v>
      </c>
      <c r="X1688" s="10">
        <v>72.3</v>
      </c>
      <c r="Y1688" s="10">
        <v>71.92</v>
      </c>
      <c r="Z1688" s="11">
        <v>79.105000000000004</v>
      </c>
      <c r="AA1688" s="11">
        <v>79.58</v>
      </c>
      <c r="AB1688" s="11">
        <v>78.86</v>
      </c>
      <c r="AC1688" s="11">
        <v>78.245999999999995</v>
      </c>
      <c r="AD1688" s="11">
        <v>77.659000000000006</v>
      </c>
      <c r="AE1688" s="11">
        <v>77.096999999999994</v>
      </c>
      <c r="AF1688" s="11">
        <v>76.62</v>
      </c>
      <c r="AG1688" s="11">
        <v>76.23</v>
      </c>
      <c r="AH1688" s="11">
        <v>75.888999999999996</v>
      </c>
      <c r="AI1688" s="11">
        <v>75.525000000000006</v>
      </c>
      <c r="AJ1688" s="11">
        <v>75.167000000000002</v>
      </c>
      <c r="AK1688" s="11">
        <v>74.825000000000003</v>
      </c>
      <c r="AL1688" s="11"/>
    </row>
    <row r="1689" spans="1:38" x14ac:dyDescent="0.3">
      <c r="A1689" s="9">
        <f>DATE(2023, 7, 13)</f>
        <v>45120</v>
      </c>
      <c r="B1689" s="10">
        <v>81.36</v>
      </c>
      <c r="C1689" s="10">
        <v>80.989999999999995</v>
      </c>
      <c r="D1689" s="10">
        <v>80.55</v>
      </c>
      <c r="E1689" s="10">
        <v>80.099999999999994</v>
      </c>
      <c r="F1689" s="10">
        <v>79.650000000000006</v>
      </c>
      <c r="G1689" s="10">
        <v>79.209999999999994</v>
      </c>
      <c r="H1689" s="10">
        <v>78.790000000000006</v>
      </c>
      <c r="I1689" s="10">
        <v>78.42</v>
      </c>
      <c r="J1689" s="10">
        <v>78.069999999999993</v>
      </c>
      <c r="K1689" s="10">
        <v>77.72</v>
      </c>
      <c r="L1689" s="10">
        <v>77.39</v>
      </c>
      <c r="M1689" s="10">
        <v>77.06</v>
      </c>
      <c r="N1689" s="10">
        <v>76.89</v>
      </c>
      <c r="O1689" s="10">
        <v>76.760000000000005</v>
      </c>
      <c r="P1689" s="10">
        <v>76.47</v>
      </c>
      <c r="Q1689" s="10">
        <v>76.13</v>
      </c>
      <c r="R1689" s="10">
        <v>75.739999999999995</v>
      </c>
      <c r="S1689" s="10">
        <v>75.34</v>
      </c>
      <c r="T1689" s="10">
        <v>74.930000000000007</v>
      </c>
      <c r="U1689" s="10">
        <v>74.510000000000005</v>
      </c>
      <c r="V1689" s="10">
        <v>74.09</v>
      </c>
      <c r="W1689" s="10">
        <v>73.709999999999994</v>
      </c>
      <c r="X1689" s="10">
        <v>73.319999999999993</v>
      </c>
      <c r="Y1689" s="10">
        <v>72.92</v>
      </c>
      <c r="Z1689" s="11">
        <v>80.015000000000001</v>
      </c>
      <c r="AA1689" s="11">
        <v>80.932000000000002</v>
      </c>
      <c r="AB1689" s="11">
        <v>80.153000000000006</v>
      </c>
      <c r="AC1689" s="11">
        <v>79.483999999999995</v>
      </c>
      <c r="AD1689" s="11">
        <v>78.855999999999995</v>
      </c>
      <c r="AE1689" s="11">
        <v>78.254000000000005</v>
      </c>
      <c r="AF1689" s="11">
        <v>77.739999999999995</v>
      </c>
      <c r="AG1689" s="11">
        <v>77.293000000000006</v>
      </c>
      <c r="AH1689" s="11">
        <v>76.882999999999996</v>
      </c>
      <c r="AI1689" s="11">
        <v>76.444999999999993</v>
      </c>
      <c r="AJ1689" s="11">
        <v>76.085999999999999</v>
      </c>
      <c r="AK1689" s="11">
        <v>75.733999999999995</v>
      </c>
      <c r="AL1689" s="11"/>
    </row>
    <row r="1690" spans="1:38" x14ac:dyDescent="0.3">
      <c r="A1690" s="9">
        <f>DATE(2023, 7, 14)</f>
        <v>45121</v>
      </c>
      <c r="B1690" s="10">
        <v>79.87</v>
      </c>
      <c r="C1690" s="10">
        <v>79.599999999999994</v>
      </c>
      <c r="D1690" s="10">
        <v>79.209999999999994</v>
      </c>
      <c r="E1690" s="10">
        <v>78.81</v>
      </c>
      <c r="F1690" s="10">
        <v>78.400000000000006</v>
      </c>
      <c r="G1690" s="10">
        <v>78</v>
      </c>
      <c r="H1690" s="10">
        <v>77.61</v>
      </c>
      <c r="I1690" s="10">
        <v>77.25</v>
      </c>
      <c r="J1690" s="10">
        <v>76.92</v>
      </c>
      <c r="K1690" s="10">
        <v>76.599999999999994</v>
      </c>
      <c r="L1690" s="10">
        <v>76.28</v>
      </c>
      <c r="M1690" s="10">
        <v>75.97</v>
      </c>
      <c r="N1690" s="10">
        <v>75.42</v>
      </c>
      <c r="O1690" s="10">
        <v>75.319999999999993</v>
      </c>
      <c r="P1690" s="10">
        <v>75.05</v>
      </c>
      <c r="Q1690" s="10">
        <v>74.75</v>
      </c>
      <c r="R1690" s="10">
        <v>74.42</v>
      </c>
      <c r="S1690" s="10">
        <v>74.06</v>
      </c>
      <c r="T1690" s="10">
        <v>73.680000000000007</v>
      </c>
      <c r="U1690" s="10">
        <v>73.3</v>
      </c>
      <c r="V1690" s="10">
        <v>72.91</v>
      </c>
      <c r="W1690" s="10">
        <v>72.540000000000006</v>
      </c>
      <c r="X1690" s="10">
        <v>72.16</v>
      </c>
      <c r="Y1690" s="10">
        <v>71.77</v>
      </c>
      <c r="Z1690" s="11">
        <v>79.367999999999995</v>
      </c>
      <c r="AA1690" s="11">
        <v>79.671999999999997</v>
      </c>
      <c r="AB1690" s="11">
        <v>78.888000000000005</v>
      </c>
      <c r="AC1690" s="11">
        <v>78.210999999999999</v>
      </c>
      <c r="AD1690" s="11">
        <v>77.599999999999994</v>
      </c>
      <c r="AE1690" s="11">
        <v>77.028999999999996</v>
      </c>
      <c r="AF1690" s="11">
        <v>76.534000000000006</v>
      </c>
      <c r="AG1690" s="11">
        <v>76.114000000000004</v>
      </c>
      <c r="AH1690" s="11">
        <v>75.733999999999995</v>
      </c>
      <c r="AI1690" s="11">
        <v>75.375</v>
      </c>
      <c r="AJ1690" s="11">
        <v>75.007000000000005</v>
      </c>
      <c r="AK1690" s="11">
        <v>74.655000000000001</v>
      </c>
      <c r="AL1690" s="11"/>
    </row>
    <row r="1691" spans="1:38" x14ac:dyDescent="0.3">
      <c r="A1691" s="9">
        <f>DATE(2023, 7, 17)</f>
        <v>45124</v>
      </c>
      <c r="B1691" s="10">
        <v>78.5</v>
      </c>
      <c r="C1691" s="10">
        <v>78.38</v>
      </c>
      <c r="D1691" s="10">
        <v>78.099999999999994</v>
      </c>
      <c r="E1691" s="10">
        <v>77.790000000000006</v>
      </c>
      <c r="F1691" s="10">
        <v>77.44</v>
      </c>
      <c r="G1691" s="10">
        <v>77.09</v>
      </c>
      <c r="H1691" s="10">
        <v>76.760000000000005</v>
      </c>
      <c r="I1691" s="10">
        <v>76.45</v>
      </c>
      <c r="J1691" s="10">
        <v>76.16</v>
      </c>
      <c r="K1691" s="10">
        <v>75.88</v>
      </c>
      <c r="L1691" s="10">
        <v>75.599999999999994</v>
      </c>
      <c r="M1691" s="10">
        <v>75.319999999999993</v>
      </c>
      <c r="N1691" s="10">
        <v>74.150000000000006</v>
      </c>
      <c r="O1691" s="10">
        <v>74.08</v>
      </c>
      <c r="P1691" s="10">
        <v>73.89</v>
      </c>
      <c r="Q1691" s="10">
        <v>73.66</v>
      </c>
      <c r="R1691" s="10">
        <v>73.41</v>
      </c>
      <c r="S1691" s="10">
        <v>73.11</v>
      </c>
      <c r="T1691" s="10">
        <v>72.790000000000006</v>
      </c>
      <c r="U1691" s="10">
        <v>72.45</v>
      </c>
      <c r="V1691" s="10">
        <v>72.11</v>
      </c>
      <c r="W1691" s="10">
        <v>71.77</v>
      </c>
      <c r="X1691" s="10">
        <v>71.44</v>
      </c>
      <c r="Y1691" s="10">
        <v>71.09</v>
      </c>
      <c r="Z1691" s="11">
        <v>78.756</v>
      </c>
      <c r="AA1691" s="11">
        <v>78.563000000000002</v>
      </c>
      <c r="AB1691" s="11">
        <v>77.834000000000003</v>
      </c>
      <c r="AC1691" s="11">
        <v>77.222999999999999</v>
      </c>
      <c r="AD1691" s="11">
        <v>76.671999999999997</v>
      </c>
      <c r="AE1691" s="11">
        <v>76.150999999999996</v>
      </c>
      <c r="AF1691" s="11">
        <v>75.7</v>
      </c>
      <c r="AG1691" s="11">
        <v>75.338999999999999</v>
      </c>
      <c r="AH1691" s="11">
        <v>74.988</v>
      </c>
      <c r="AI1691" s="11">
        <v>74.656999999999996</v>
      </c>
      <c r="AJ1691" s="11">
        <v>74.337999999999994</v>
      </c>
      <c r="AK1691" s="11">
        <v>74.016999999999996</v>
      </c>
      <c r="AL1691" s="11"/>
    </row>
    <row r="1692" spans="1:38" x14ac:dyDescent="0.3">
      <c r="A1692" s="9">
        <f>DATE(2023, 7, 18)</f>
        <v>45125</v>
      </c>
      <c r="B1692" s="10">
        <v>79.63</v>
      </c>
      <c r="C1692" s="10">
        <v>79.5</v>
      </c>
      <c r="D1692" s="10">
        <v>79.23</v>
      </c>
      <c r="E1692" s="10">
        <v>78.92</v>
      </c>
      <c r="F1692" s="10">
        <v>78.569999999999993</v>
      </c>
      <c r="G1692" s="10">
        <v>78.209999999999994</v>
      </c>
      <c r="H1692" s="10">
        <v>77.849999999999994</v>
      </c>
      <c r="I1692" s="10">
        <v>77.52</v>
      </c>
      <c r="J1692" s="10">
        <v>77.209999999999994</v>
      </c>
      <c r="K1692" s="10">
        <v>76.91</v>
      </c>
      <c r="L1692" s="10">
        <v>76.61</v>
      </c>
      <c r="M1692" s="10">
        <v>76.31</v>
      </c>
      <c r="N1692" s="10">
        <v>75.75</v>
      </c>
      <c r="O1692" s="10">
        <v>75.66</v>
      </c>
      <c r="P1692" s="10">
        <v>75.42</v>
      </c>
      <c r="Q1692" s="10">
        <v>75.14</v>
      </c>
      <c r="R1692" s="10">
        <v>74.83</v>
      </c>
      <c r="S1692" s="10">
        <v>74.489999999999995</v>
      </c>
      <c r="T1692" s="10">
        <v>74.13</v>
      </c>
      <c r="U1692" s="10">
        <v>73.77</v>
      </c>
      <c r="V1692" s="10">
        <v>73.400000000000006</v>
      </c>
      <c r="W1692" s="10">
        <v>73.040000000000006</v>
      </c>
      <c r="X1692" s="10">
        <v>72.69</v>
      </c>
      <c r="Y1692" s="10">
        <v>72.319999999999993</v>
      </c>
      <c r="Z1692" s="11">
        <v>79.311999999999998</v>
      </c>
      <c r="AA1692" s="11">
        <v>79.863</v>
      </c>
      <c r="AB1692" s="11">
        <v>79.13</v>
      </c>
      <c r="AC1692" s="11">
        <v>78.513999999999996</v>
      </c>
      <c r="AD1692" s="11">
        <v>77.933999999999997</v>
      </c>
      <c r="AE1692" s="11">
        <v>77.364000000000004</v>
      </c>
      <c r="AF1692" s="11">
        <v>76.894999999999996</v>
      </c>
      <c r="AG1692" s="11">
        <v>76.484999999999999</v>
      </c>
      <c r="AH1692" s="11">
        <v>76.105000000000004</v>
      </c>
      <c r="AI1692" s="11">
        <v>75.745999999999995</v>
      </c>
      <c r="AJ1692" s="11">
        <v>75.417000000000002</v>
      </c>
      <c r="AK1692" s="11">
        <v>75.085999999999999</v>
      </c>
      <c r="AL1692" s="11"/>
    </row>
    <row r="1693" spans="1:38" x14ac:dyDescent="0.3">
      <c r="A1693" s="9">
        <f>DATE(2023, 7, 19)</f>
        <v>45126</v>
      </c>
      <c r="B1693" s="10">
        <v>79.459999999999994</v>
      </c>
      <c r="C1693" s="10">
        <v>79.349999999999994</v>
      </c>
      <c r="D1693" s="10">
        <v>79.11</v>
      </c>
      <c r="E1693" s="10">
        <v>78.83</v>
      </c>
      <c r="F1693" s="10">
        <v>78.52</v>
      </c>
      <c r="G1693" s="10">
        <v>78.19</v>
      </c>
      <c r="H1693" s="10">
        <v>77.87</v>
      </c>
      <c r="I1693" s="10">
        <v>77.569999999999993</v>
      </c>
      <c r="J1693" s="10">
        <v>77.3</v>
      </c>
      <c r="K1693" s="10">
        <v>77.03</v>
      </c>
      <c r="L1693" s="10">
        <v>76.75</v>
      </c>
      <c r="M1693" s="10">
        <v>76.47</v>
      </c>
      <c r="N1693" s="10">
        <v>75.349999999999994</v>
      </c>
      <c r="O1693" s="10">
        <v>75.290000000000006</v>
      </c>
      <c r="P1693" s="10">
        <v>75.11</v>
      </c>
      <c r="Q1693" s="10">
        <v>74.86</v>
      </c>
      <c r="R1693" s="10">
        <v>74.569999999999993</v>
      </c>
      <c r="S1693" s="10">
        <v>74.27</v>
      </c>
      <c r="T1693" s="10">
        <v>73.959999999999994</v>
      </c>
      <c r="U1693" s="10">
        <v>73.64</v>
      </c>
      <c r="V1693" s="10">
        <v>73.319999999999993</v>
      </c>
      <c r="W1693" s="10">
        <v>73</v>
      </c>
      <c r="X1693" s="10">
        <v>72.67</v>
      </c>
      <c r="Y1693" s="10">
        <v>72.319999999999993</v>
      </c>
      <c r="Z1693" s="11">
        <v>79.316000000000003</v>
      </c>
      <c r="AA1693" s="11">
        <v>79.795000000000002</v>
      </c>
      <c r="AB1693" s="11">
        <v>79.09</v>
      </c>
      <c r="AC1693" s="11">
        <v>78.489999999999995</v>
      </c>
      <c r="AD1693" s="11">
        <v>77.95</v>
      </c>
      <c r="AE1693" s="11">
        <v>77.429000000000002</v>
      </c>
      <c r="AF1693" s="11">
        <v>76.986000000000004</v>
      </c>
      <c r="AG1693" s="11">
        <v>76.617000000000004</v>
      </c>
      <c r="AH1693" s="11">
        <v>76.277000000000001</v>
      </c>
      <c r="AI1693" s="11">
        <v>75.977000000000004</v>
      </c>
      <c r="AJ1693" s="11">
        <v>75.677999999999997</v>
      </c>
      <c r="AK1693" s="11">
        <v>75.367000000000004</v>
      </c>
      <c r="AL1693" s="11"/>
    </row>
    <row r="1694" spans="1:38" x14ac:dyDescent="0.3">
      <c r="A1694" s="9">
        <f>DATE(2023, 7, 20)</f>
        <v>45127</v>
      </c>
      <c r="B1694" s="10">
        <v>79.64</v>
      </c>
      <c r="C1694" s="10">
        <v>79.52</v>
      </c>
      <c r="D1694" s="10">
        <v>79.27</v>
      </c>
      <c r="E1694" s="10">
        <v>78.989999999999995</v>
      </c>
      <c r="F1694" s="10">
        <v>78.680000000000007</v>
      </c>
      <c r="G1694" s="10">
        <v>78.349999999999994</v>
      </c>
      <c r="H1694" s="10">
        <v>78.03</v>
      </c>
      <c r="I1694" s="10">
        <v>77.739999999999995</v>
      </c>
      <c r="J1694" s="10">
        <v>77.459999999999994</v>
      </c>
      <c r="K1694" s="10">
        <v>77.19</v>
      </c>
      <c r="L1694" s="10">
        <v>76.900000000000006</v>
      </c>
      <c r="M1694" s="10">
        <v>76.62</v>
      </c>
      <c r="N1694" s="10">
        <v>75.63</v>
      </c>
      <c r="O1694" s="10">
        <v>75.650000000000006</v>
      </c>
      <c r="P1694" s="10">
        <v>75.430000000000007</v>
      </c>
      <c r="Q1694" s="10">
        <v>75.16</v>
      </c>
      <c r="R1694" s="10">
        <v>74.84</v>
      </c>
      <c r="S1694" s="10">
        <v>74.52</v>
      </c>
      <c r="T1694" s="10">
        <v>74.180000000000007</v>
      </c>
      <c r="U1694" s="10">
        <v>73.86</v>
      </c>
      <c r="V1694" s="10">
        <v>73.53</v>
      </c>
      <c r="W1694" s="10">
        <v>73.209999999999994</v>
      </c>
      <c r="X1694" s="10">
        <v>72.88</v>
      </c>
      <c r="Y1694" s="10">
        <v>72.52</v>
      </c>
      <c r="Z1694" s="11">
        <v>79.424999999999997</v>
      </c>
      <c r="AA1694" s="11">
        <v>80.054000000000002</v>
      </c>
      <c r="AB1694" s="11">
        <v>79.344999999999999</v>
      </c>
      <c r="AC1694" s="11">
        <v>78.772999999999996</v>
      </c>
      <c r="AD1694" s="11">
        <v>78.231999999999999</v>
      </c>
      <c r="AE1694" s="11">
        <v>77.715000000000003</v>
      </c>
      <c r="AF1694" s="11">
        <v>77.266999999999996</v>
      </c>
      <c r="AG1694" s="11">
        <v>76.897000000000006</v>
      </c>
      <c r="AH1694" s="11">
        <v>76.548000000000002</v>
      </c>
      <c r="AI1694" s="11">
        <v>76.197000000000003</v>
      </c>
      <c r="AJ1694" s="11">
        <v>75.847999999999999</v>
      </c>
      <c r="AK1694" s="11">
        <v>75.497</v>
      </c>
      <c r="AL1694" s="11"/>
    </row>
    <row r="1695" spans="1:38" x14ac:dyDescent="0.3">
      <c r="A1695" s="9">
        <f>DATE(2023, 7, 21)</f>
        <v>45128</v>
      </c>
      <c r="B1695" s="10">
        <v>81.069999999999993</v>
      </c>
      <c r="C1695" s="10">
        <v>80.88</v>
      </c>
      <c r="D1695" s="10">
        <v>80.540000000000006</v>
      </c>
      <c r="E1695" s="10">
        <v>80.17</v>
      </c>
      <c r="F1695" s="10">
        <v>79.790000000000006</v>
      </c>
      <c r="G1695" s="10">
        <v>79.42</v>
      </c>
      <c r="H1695" s="10">
        <v>79.05</v>
      </c>
      <c r="I1695" s="10">
        <v>78.709999999999994</v>
      </c>
      <c r="J1695" s="10">
        <v>78.39</v>
      </c>
      <c r="K1695" s="10">
        <v>78.09</v>
      </c>
      <c r="L1695" s="10">
        <v>77.78</v>
      </c>
      <c r="M1695" s="10">
        <v>77.459999999999994</v>
      </c>
      <c r="N1695" s="10">
        <v>77.069999999999993</v>
      </c>
      <c r="O1695" s="10">
        <v>76.78</v>
      </c>
      <c r="P1695" s="10">
        <v>76.45</v>
      </c>
      <c r="Q1695" s="10">
        <v>76.069999999999993</v>
      </c>
      <c r="R1695" s="10">
        <v>75.67</v>
      </c>
      <c r="S1695" s="10">
        <v>75.28</v>
      </c>
      <c r="T1695" s="10">
        <v>74.900000000000006</v>
      </c>
      <c r="U1695" s="10">
        <v>74.53</v>
      </c>
      <c r="V1695" s="10">
        <v>74.17</v>
      </c>
      <c r="W1695" s="10">
        <v>73.8</v>
      </c>
      <c r="X1695" s="10">
        <v>73.41</v>
      </c>
      <c r="Y1695" s="10">
        <v>73.040000000000006</v>
      </c>
      <c r="Z1695" s="11">
        <v>79.891999999999996</v>
      </c>
      <c r="AA1695" s="11">
        <v>81.534999999999997</v>
      </c>
      <c r="AB1695" s="11">
        <v>80.763999999999996</v>
      </c>
      <c r="AC1695" s="11">
        <v>80.094999999999999</v>
      </c>
      <c r="AD1695" s="11">
        <v>79.474999999999994</v>
      </c>
      <c r="AE1695" s="11">
        <v>78.888000000000005</v>
      </c>
      <c r="AF1695" s="11">
        <v>78.385000000000005</v>
      </c>
      <c r="AG1695" s="11">
        <v>77.965000000000003</v>
      </c>
      <c r="AH1695" s="11">
        <v>77.555000000000007</v>
      </c>
      <c r="AI1695" s="11">
        <v>77.195999999999998</v>
      </c>
      <c r="AJ1695" s="11">
        <v>76.866</v>
      </c>
      <c r="AK1695" s="11">
        <v>76.534999999999997</v>
      </c>
      <c r="AL1695" s="11"/>
    </row>
    <row r="1696" spans="1:38" x14ac:dyDescent="0.3">
      <c r="A1696" s="9">
        <f>DATE(2023, 7, 24)</f>
        <v>45131</v>
      </c>
      <c r="B1696" s="10">
        <v>82.74</v>
      </c>
      <c r="C1696" s="10">
        <v>82.48</v>
      </c>
      <c r="D1696" s="10">
        <v>82.07</v>
      </c>
      <c r="E1696" s="10">
        <v>81.64</v>
      </c>
      <c r="F1696" s="10">
        <v>81.209999999999994</v>
      </c>
      <c r="G1696" s="10">
        <v>80.78</v>
      </c>
      <c r="H1696" s="10">
        <v>80.38</v>
      </c>
      <c r="I1696" s="10">
        <v>80.010000000000005</v>
      </c>
      <c r="J1696" s="10">
        <v>79.66</v>
      </c>
      <c r="K1696" s="10">
        <v>79.319999999999993</v>
      </c>
      <c r="L1696" s="10">
        <v>78.98</v>
      </c>
      <c r="M1696" s="10">
        <v>78.64</v>
      </c>
      <c r="N1696" s="10">
        <v>78.739999999999995</v>
      </c>
      <c r="O1696" s="10">
        <v>78.400000000000006</v>
      </c>
      <c r="P1696" s="10">
        <v>78.02</v>
      </c>
      <c r="Q1696" s="10">
        <v>77.58</v>
      </c>
      <c r="R1696" s="10">
        <v>77.13</v>
      </c>
      <c r="S1696" s="10">
        <v>76.69</v>
      </c>
      <c r="T1696" s="10">
        <v>76.27</v>
      </c>
      <c r="U1696" s="10">
        <v>75.87</v>
      </c>
      <c r="V1696" s="10">
        <v>75.47</v>
      </c>
      <c r="W1696" s="10">
        <v>75.06</v>
      </c>
      <c r="X1696" s="10">
        <v>74.66</v>
      </c>
      <c r="Y1696" s="10">
        <v>74.260000000000005</v>
      </c>
      <c r="Z1696" s="11">
        <v>80.287999999999997</v>
      </c>
      <c r="AA1696" s="11">
        <v>83.161000000000001</v>
      </c>
      <c r="AB1696" s="11">
        <v>82.350999999999999</v>
      </c>
      <c r="AC1696" s="11">
        <v>81.631</v>
      </c>
      <c r="AD1696" s="11">
        <v>80.959999999999994</v>
      </c>
      <c r="AE1696" s="11">
        <v>80.33</v>
      </c>
      <c r="AF1696" s="11">
        <v>79.793000000000006</v>
      </c>
      <c r="AG1696" s="11">
        <v>79.332999999999998</v>
      </c>
      <c r="AH1696" s="11">
        <v>78.903000000000006</v>
      </c>
      <c r="AI1696" s="11">
        <v>78.495000000000005</v>
      </c>
      <c r="AJ1696" s="11">
        <v>78.114999999999995</v>
      </c>
      <c r="AK1696" s="11">
        <v>77.733999999999995</v>
      </c>
      <c r="AL1696" s="11"/>
    </row>
    <row r="1697" spans="1:38" x14ac:dyDescent="0.3">
      <c r="A1697" s="9">
        <f>DATE(2023, 7, 25)</f>
        <v>45132</v>
      </c>
      <c r="B1697" s="10">
        <v>83.64</v>
      </c>
      <c r="C1697" s="10">
        <v>83.25</v>
      </c>
      <c r="D1697" s="10">
        <v>82.77</v>
      </c>
      <c r="E1697" s="10">
        <v>82.3</v>
      </c>
      <c r="F1697" s="10">
        <v>81.83</v>
      </c>
      <c r="G1697" s="10">
        <v>81.36</v>
      </c>
      <c r="H1697" s="10">
        <v>80.92</v>
      </c>
      <c r="I1697" s="10">
        <v>80.53</v>
      </c>
      <c r="J1697" s="10">
        <v>80.16</v>
      </c>
      <c r="K1697" s="10">
        <v>79.8</v>
      </c>
      <c r="L1697" s="10">
        <v>79.44</v>
      </c>
      <c r="M1697" s="10">
        <v>79.09</v>
      </c>
      <c r="N1697" s="10">
        <v>79.63</v>
      </c>
      <c r="O1697" s="10">
        <v>79.2</v>
      </c>
      <c r="P1697" s="10">
        <v>78.75</v>
      </c>
      <c r="Q1697" s="10">
        <v>78.260000000000005</v>
      </c>
      <c r="R1697" s="10">
        <v>77.77</v>
      </c>
      <c r="S1697" s="10">
        <v>77.290000000000006</v>
      </c>
      <c r="T1697" s="10">
        <v>76.849999999999994</v>
      </c>
      <c r="U1697" s="10">
        <v>76.41</v>
      </c>
      <c r="V1697" s="10">
        <v>75.989999999999995</v>
      </c>
      <c r="W1697" s="10">
        <v>75.569999999999993</v>
      </c>
      <c r="X1697" s="10">
        <v>75.14</v>
      </c>
      <c r="Y1697" s="10">
        <v>74.72</v>
      </c>
      <c r="Z1697" s="11">
        <v>80.445999999999998</v>
      </c>
      <c r="AA1697" s="11">
        <v>83.91</v>
      </c>
      <c r="AB1697" s="11">
        <v>83.039000000000001</v>
      </c>
      <c r="AC1697" s="11">
        <v>82.25</v>
      </c>
      <c r="AD1697" s="11">
        <v>81.534000000000006</v>
      </c>
      <c r="AE1697" s="11">
        <v>80.861000000000004</v>
      </c>
      <c r="AF1697" s="11">
        <v>80.292000000000002</v>
      </c>
      <c r="AG1697" s="11">
        <v>79.816999999999993</v>
      </c>
      <c r="AH1697" s="11">
        <v>79.341999999999999</v>
      </c>
      <c r="AI1697" s="11">
        <v>78.924000000000007</v>
      </c>
      <c r="AJ1697" s="11">
        <v>78.504999999999995</v>
      </c>
      <c r="AK1697" s="11">
        <v>78.093000000000004</v>
      </c>
      <c r="AL1697" s="11"/>
    </row>
    <row r="1698" spans="1:38" x14ac:dyDescent="0.3">
      <c r="A1698" s="9">
        <f>DATE(2023, 7, 26)</f>
        <v>45133</v>
      </c>
      <c r="B1698" s="10">
        <v>82.92</v>
      </c>
      <c r="C1698" s="10">
        <v>82.56</v>
      </c>
      <c r="D1698" s="10">
        <v>82.14</v>
      </c>
      <c r="E1698" s="10">
        <v>81.72</v>
      </c>
      <c r="F1698" s="10">
        <v>81.290000000000006</v>
      </c>
      <c r="G1698" s="10">
        <v>80.86</v>
      </c>
      <c r="H1698" s="10">
        <v>80.459999999999994</v>
      </c>
      <c r="I1698" s="10">
        <v>80.09</v>
      </c>
      <c r="J1698" s="10">
        <v>79.739999999999995</v>
      </c>
      <c r="K1698" s="10">
        <v>79.400000000000006</v>
      </c>
      <c r="L1698" s="10">
        <v>79.06</v>
      </c>
      <c r="M1698" s="10">
        <v>78.73</v>
      </c>
      <c r="N1698" s="10">
        <v>78.78</v>
      </c>
      <c r="O1698" s="10">
        <v>78.400000000000006</v>
      </c>
      <c r="P1698" s="10">
        <v>78.010000000000005</v>
      </c>
      <c r="Q1698" s="10">
        <v>77.59</v>
      </c>
      <c r="R1698" s="10">
        <v>77.150000000000006</v>
      </c>
      <c r="S1698" s="10">
        <v>76.72</v>
      </c>
      <c r="T1698" s="10">
        <v>76.319999999999993</v>
      </c>
      <c r="U1698" s="10">
        <v>75.92</v>
      </c>
      <c r="V1698" s="10">
        <v>75.53</v>
      </c>
      <c r="W1698" s="10">
        <v>75.14</v>
      </c>
      <c r="X1698" s="10">
        <v>74.73</v>
      </c>
      <c r="Y1698" s="10">
        <v>74.33</v>
      </c>
      <c r="Z1698" s="11">
        <v>80.295000000000002</v>
      </c>
      <c r="AA1698" s="11">
        <v>82.988</v>
      </c>
      <c r="AB1698" s="11">
        <v>82.156999999999996</v>
      </c>
      <c r="AC1698" s="11">
        <v>81.456000000000003</v>
      </c>
      <c r="AD1698" s="11">
        <v>80.816000000000003</v>
      </c>
      <c r="AE1698" s="11">
        <v>80.210999999999999</v>
      </c>
      <c r="AF1698" s="11">
        <v>79.688999999999993</v>
      </c>
      <c r="AG1698" s="11">
        <v>79.233000000000004</v>
      </c>
      <c r="AH1698" s="11">
        <v>78.822999999999993</v>
      </c>
      <c r="AI1698" s="11">
        <v>78.444999999999993</v>
      </c>
      <c r="AJ1698" s="11">
        <v>78.036000000000001</v>
      </c>
      <c r="AK1698" s="11">
        <v>77.664000000000001</v>
      </c>
      <c r="AL1698" s="11"/>
    </row>
    <row r="1699" spans="1:38" x14ac:dyDescent="0.3">
      <c r="A1699" s="9">
        <f>DATE(2023, 7, 27)</f>
        <v>45134</v>
      </c>
      <c r="B1699" s="10">
        <v>84.24</v>
      </c>
      <c r="C1699" s="10">
        <v>83.79</v>
      </c>
      <c r="D1699" s="10">
        <v>83.31</v>
      </c>
      <c r="E1699" s="10">
        <v>82.84</v>
      </c>
      <c r="F1699" s="10">
        <v>82.37</v>
      </c>
      <c r="G1699" s="10">
        <v>81.91</v>
      </c>
      <c r="H1699" s="10">
        <v>81.47</v>
      </c>
      <c r="I1699" s="10">
        <v>81.069999999999993</v>
      </c>
      <c r="J1699" s="10">
        <v>80.7</v>
      </c>
      <c r="K1699" s="10">
        <v>80.33</v>
      </c>
      <c r="L1699" s="10">
        <v>79.97</v>
      </c>
      <c r="M1699" s="10">
        <v>79.599999999999994</v>
      </c>
      <c r="N1699" s="10">
        <v>80.09</v>
      </c>
      <c r="O1699" s="10">
        <v>79.63</v>
      </c>
      <c r="P1699" s="10">
        <v>79.180000000000007</v>
      </c>
      <c r="Q1699" s="10">
        <v>78.7</v>
      </c>
      <c r="R1699" s="10">
        <v>78.23</v>
      </c>
      <c r="S1699" s="10">
        <v>77.77</v>
      </c>
      <c r="T1699" s="10">
        <v>77.33</v>
      </c>
      <c r="U1699" s="10">
        <v>76.89</v>
      </c>
      <c r="V1699" s="10">
        <v>76.459999999999994</v>
      </c>
      <c r="W1699" s="10">
        <v>76.040000000000006</v>
      </c>
      <c r="X1699" s="10">
        <v>75.599999999999994</v>
      </c>
      <c r="Y1699" s="10">
        <v>75.17</v>
      </c>
      <c r="Z1699" s="11">
        <v>80.435000000000002</v>
      </c>
      <c r="AA1699" s="11">
        <v>84.29</v>
      </c>
      <c r="AB1699" s="11">
        <v>83.433000000000007</v>
      </c>
      <c r="AC1699" s="11">
        <v>82.67</v>
      </c>
      <c r="AD1699" s="11">
        <v>81.974000000000004</v>
      </c>
      <c r="AE1699" s="11">
        <v>81.346000000000004</v>
      </c>
      <c r="AF1699" s="11">
        <v>80.792000000000002</v>
      </c>
      <c r="AG1699" s="11">
        <v>80.322000000000003</v>
      </c>
      <c r="AH1699" s="11">
        <v>79.912000000000006</v>
      </c>
      <c r="AI1699" s="11">
        <v>79.504000000000005</v>
      </c>
      <c r="AJ1699" s="11">
        <v>79.093999999999994</v>
      </c>
      <c r="AK1699" s="11">
        <v>78.673000000000002</v>
      </c>
      <c r="AL1699" s="11"/>
    </row>
    <row r="1700" spans="1:38" x14ac:dyDescent="0.3">
      <c r="A1700" s="9">
        <f>DATE(2023, 7, 28)</f>
        <v>45135</v>
      </c>
      <c r="B1700" s="10">
        <v>84.99</v>
      </c>
      <c r="C1700" s="10">
        <v>84.41</v>
      </c>
      <c r="D1700" s="10">
        <v>83.92</v>
      </c>
      <c r="E1700" s="10">
        <v>83.44</v>
      </c>
      <c r="F1700" s="10">
        <v>82.96</v>
      </c>
      <c r="G1700" s="10">
        <v>82.49</v>
      </c>
      <c r="H1700" s="10">
        <v>82.06</v>
      </c>
      <c r="I1700" s="10">
        <v>81.650000000000006</v>
      </c>
      <c r="J1700" s="10">
        <v>81.27</v>
      </c>
      <c r="K1700" s="10">
        <v>80.900000000000006</v>
      </c>
      <c r="L1700" s="10">
        <v>80.53</v>
      </c>
      <c r="M1700" s="10">
        <v>80.16</v>
      </c>
      <c r="N1700" s="10">
        <v>80.58</v>
      </c>
      <c r="O1700" s="10">
        <v>80.180000000000007</v>
      </c>
      <c r="P1700" s="10">
        <v>79.760000000000005</v>
      </c>
      <c r="Q1700" s="10">
        <v>79.319999999999993</v>
      </c>
      <c r="R1700" s="10">
        <v>78.849999999999994</v>
      </c>
      <c r="S1700" s="10">
        <v>78.400000000000006</v>
      </c>
      <c r="T1700" s="10">
        <v>77.930000000000007</v>
      </c>
      <c r="U1700" s="10">
        <v>77.48</v>
      </c>
      <c r="V1700" s="10">
        <v>77.03</v>
      </c>
      <c r="W1700" s="10">
        <v>76.59</v>
      </c>
      <c r="X1700" s="10">
        <v>76.16</v>
      </c>
      <c r="Y1700" s="10">
        <v>75.72</v>
      </c>
      <c r="Z1700" s="11">
        <v>80.441000000000003</v>
      </c>
      <c r="AA1700" s="11">
        <v>84.786000000000001</v>
      </c>
      <c r="AB1700" s="11">
        <v>83.926000000000002</v>
      </c>
      <c r="AC1700" s="11">
        <v>83.146000000000001</v>
      </c>
      <c r="AD1700" s="11">
        <v>82.433999999999997</v>
      </c>
      <c r="AE1700" s="11">
        <v>81.8</v>
      </c>
      <c r="AF1700" s="11">
        <v>81.260000000000005</v>
      </c>
      <c r="AG1700" s="11">
        <v>80.781999999999996</v>
      </c>
      <c r="AH1700" s="11">
        <v>80.361999999999995</v>
      </c>
      <c r="AI1700" s="11">
        <v>79.933000000000007</v>
      </c>
      <c r="AJ1700" s="11">
        <v>79.524000000000001</v>
      </c>
      <c r="AK1700" s="11">
        <v>79.123000000000005</v>
      </c>
      <c r="AL1700" s="11"/>
    </row>
    <row r="1701" spans="1:38" x14ac:dyDescent="0.3">
      <c r="A1701" s="9">
        <f>DATE(2023, 7, 31)</f>
        <v>45138</v>
      </c>
      <c r="B1701" s="10">
        <v>85.56</v>
      </c>
      <c r="C1701" s="10">
        <v>85.43</v>
      </c>
      <c r="D1701" s="10">
        <v>84.95</v>
      </c>
      <c r="E1701" s="10">
        <v>84.46</v>
      </c>
      <c r="F1701" s="10">
        <v>83.97</v>
      </c>
      <c r="G1701" s="10">
        <v>83.48</v>
      </c>
      <c r="H1701" s="10">
        <v>83.02</v>
      </c>
      <c r="I1701" s="10">
        <v>82.59</v>
      </c>
      <c r="J1701" s="10">
        <v>82.18</v>
      </c>
      <c r="K1701" s="10">
        <v>81.760000000000005</v>
      </c>
      <c r="L1701" s="10">
        <v>81.36</v>
      </c>
      <c r="M1701" s="10">
        <v>80.97</v>
      </c>
      <c r="N1701" s="10">
        <v>81.8</v>
      </c>
      <c r="O1701" s="10">
        <v>81.319999999999993</v>
      </c>
      <c r="P1701" s="10">
        <v>80.84</v>
      </c>
      <c r="Q1701" s="10">
        <v>80.349999999999994</v>
      </c>
      <c r="R1701" s="10">
        <v>79.849999999999994</v>
      </c>
      <c r="S1701" s="10">
        <v>79.349999999999994</v>
      </c>
      <c r="T1701" s="10">
        <v>78.86</v>
      </c>
      <c r="U1701" s="10">
        <v>78.37</v>
      </c>
      <c r="V1701" s="10">
        <v>77.900000000000006</v>
      </c>
      <c r="W1701" s="10">
        <v>77.430000000000007</v>
      </c>
      <c r="X1701" s="10">
        <v>76.94</v>
      </c>
      <c r="Y1701" s="10">
        <v>76.48</v>
      </c>
      <c r="Z1701" s="11">
        <v>80.444999999999993</v>
      </c>
      <c r="AA1701" s="11">
        <v>85.71</v>
      </c>
      <c r="AB1701" s="11">
        <v>84.852000000000004</v>
      </c>
      <c r="AC1701" s="11">
        <v>84.072999999999993</v>
      </c>
      <c r="AD1701" s="11">
        <v>83.352999999999994</v>
      </c>
      <c r="AE1701" s="11">
        <v>82.694000000000003</v>
      </c>
      <c r="AF1701" s="11">
        <v>82.12</v>
      </c>
      <c r="AG1701" s="11">
        <v>81.64</v>
      </c>
      <c r="AH1701" s="11">
        <v>81.198999999999998</v>
      </c>
      <c r="AI1701" s="11">
        <v>80.742000000000004</v>
      </c>
      <c r="AJ1701" s="11">
        <v>80.313000000000002</v>
      </c>
      <c r="AK1701" s="11">
        <v>79.881</v>
      </c>
      <c r="AL1701" s="11"/>
    </row>
    <row r="1702" spans="1:38" x14ac:dyDescent="0.3">
      <c r="A1702" s="9">
        <f>DATE(2023, 8, 1)</f>
        <v>45139</v>
      </c>
      <c r="B1702" s="10">
        <v>84.91</v>
      </c>
      <c r="C1702" s="10">
        <v>84.47</v>
      </c>
      <c r="D1702" s="10">
        <v>84.02</v>
      </c>
      <c r="E1702" s="10">
        <v>83.56</v>
      </c>
      <c r="F1702" s="10">
        <v>83.09</v>
      </c>
      <c r="G1702" s="10">
        <v>82.65</v>
      </c>
      <c r="H1702" s="10">
        <v>82.23</v>
      </c>
      <c r="I1702" s="10">
        <v>81.83</v>
      </c>
      <c r="J1702" s="10">
        <v>81.42</v>
      </c>
      <c r="K1702" s="10">
        <v>81.02</v>
      </c>
      <c r="L1702" s="10">
        <v>80.63</v>
      </c>
      <c r="M1702" s="10">
        <v>80.25</v>
      </c>
      <c r="N1702" s="10">
        <v>81.37</v>
      </c>
      <c r="O1702" s="10">
        <v>80.92</v>
      </c>
      <c r="P1702" s="10">
        <v>80.459999999999994</v>
      </c>
      <c r="Q1702" s="10">
        <v>79.98</v>
      </c>
      <c r="R1702" s="10">
        <v>79.489999999999995</v>
      </c>
      <c r="S1702" s="10">
        <v>78.989999999999995</v>
      </c>
      <c r="T1702" s="10">
        <v>78.510000000000005</v>
      </c>
      <c r="U1702" s="10">
        <v>78.040000000000006</v>
      </c>
      <c r="V1702" s="10">
        <v>77.58</v>
      </c>
      <c r="W1702" s="10">
        <v>77.11</v>
      </c>
      <c r="X1702" s="10">
        <v>76.63</v>
      </c>
      <c r="Y1702" s="10">
        <v>76.17</v>
      </c>
      <c r="Z1702" s="11">
        <v>80.444999999999993</v>
      </c>
      <c r="AA1702" s="11">
        <v>85.614999999999995</v>
      </c>
      <c r="AB1702" s="11">
        <v>84.653999999999996</v>
      </c>
      <c r="AC1702" s="11">
        <v>83.834000000000003</v>
      </c>
      <c r="AD1702" s="11">
        <v>83.108999999999995</v>
      </c>
      <c r="AE1702" s="11">
        <v>82.445999999999998</v>
      </c>
      <c r="AF1702" s="11">
        <v>81.875</v>
      </c>
      <c r="AG1702" s="11">
        <v>81.361000000000004</v>
      </c>
      <c r="AH1702" s="11">
        <v>80.92</v>
      </c>
      <c r="AI1702" s="11">
        <v>80.492000000000004</v>
      </c>
      <c r="AJ1702" s="11">
        <v>80.052999999999997</v>
      </c>
      <c r="AK1702" s="11">
        <v>79.620999999999995</v>
      </c>
      <c r="AL1702" s="11"/>
    </row>
    <row r="1703" spans="1:38" x14ac:dyDescent="0.3">
      <c r="A1703" s="9">
        <f>DATE(2023, 8, 2)</f>
        <v>45140</v>
      </c>
      <c r="B1703" s="10">
        <v>83.2</v>
      </c>
      <c r="C1703" s="10">
        <v>82.81</v>
      </c>
      <c r="D1703" s="10">
        <v>82.41</v>
      </c>
      <c r="E1703" s="10">
        <v>81.99</v>
      </c>
      <c r="F1703" s="10">
        <v>81.569999999999993</v>
      </c>
      <c r="G1703" s="10">
        <v>81.16</v>
      </c>
      <c r="H1703" s="10">
        <v>80.77</v>
      </c>
      <c r="I1703" s="10">
        <v>80.39</v>
      </c>
      <c r="J1703" s="10">
        <v>80.010000000000005</v>
      </c>
      <c r="K1703" s="10">
        <v>79.64</v>
      </c>
      <c r="L1703" s="10">
        <v>79.260000000000005</v>
      </c>
      <c r="M1703" s="10">
        <v>78.89</v>
      </c>
      <c r="N1703" s="10">
        <v>79.489999999999995</v>
      </c>
      <c r="O1703" s="10">
        <v>79.13</v>
      </c>
      <c r="P1703" s="10">
        <v>78.73</v>
      </c>
      <c r="Q1703" s="10">
        <v>78.319999999999993</v>
      </c>
      <c r="R1703" s="10">
        <v>77.89</v>
      </c>
      <c r="S1703" s="10">
        <v>77.459999999999994</v>
      </c>
      <c r="T1703" s="10">
        <v>77.02</v>
      </c>
      <c r="U1703" s="10">
        <v>76.59</v>
      </c>
      <c r="V1703" s="10">
        <v>76.17</v>
      </c>
      <c r="W1703" s="10">
        <v>75.739999999999995</v>
      </c>
      <c r="X1703" s="10">
        <v>75.290000000000006</v>
      </c>
      <c r="Y1703" s="10">
        <v>74.849999999999994</v>
      </c>
      <c r="Z1703" s="11">
        <v>84.378</v>
      </c>
      <c r="AA1703" s="11">
        <v>83.218000000000004</v>
      </c>
      <c r="AB1703" s="11">
        <v>82.378</v>
      </c>
      <c r="AC1703" s="11">
        <v>81.661000000000001</v>
      </c>
      <c r="AD1703" s="11">
        <v>81.028999999999996</v>
      </c>
      <c r="AE1703" s="11">
        <v>80.486999999999995</v>
      </c>
      <c r="AF1703" s="11">
        <v>80.012</v>
      </c>
      <c r="AG1703" s="11">
        <v>79.570999999999998</v>
      </c>
      <c r="AH1703" s="11">
        <v>79.162999999999997</v>
      </c>
      <c r="AI1703" s="11">
        <v>78.712999999999994</v>
      </c>
      <c r="AJ1703" s="11">
        <v>78.281999999999996</v>
      </c>
      <c r="AK1703" s="11">
        <v>77.864999999999995</v>
      </c>
      <c r="AL1703" s="11"/>
    </row>
    <row r="1704" spans="1:38" x14ac:dyDescent="0.3">
      <c r="A1704" s="9">
        <f>DATE(2023, 8, 3)</f>
        <v>45141</v>
      </c>
      <c r="B1704" s="10">
        <v>85.14</v>
      </c>
      <c r="C1704" s="10">
        <v>84.69</v>
      </c>
      <c r="D1704" s="10">
        <v>84.25</v>
      </c>
      <c r="E1704" s="10">
        <v>83.8</v>
      </c>
      <c r="F1704" s="10">
        <v>83.36</v>
      </c>
      <c r="G1704" s="10">
        <v>82.91</v>
      </c>
      <c r="H1704" s="10">
        <v>82.49</v>
      </c>
      <c r="I1704" s="10">
        <v>82.09</v>
      </c>
      <c r="J1704" s="10">
        <v>81.680000000000007</v>
      </c>
      <c r="K1704" s="10">
        <v>81.28</v>
      </c>
      <c r="L1704" s="10">
        <v>80.87</v>
      </c>
      <c r="M1704" s="10">
        <v>80.48</v>
      </c>
      <c r="N1704" s="10">
        <v>81.55</v>
      </c>
      <c r="O1704" s="10">
        <v>81.08</v>
      </c>
      <c r="P1704" s="10">
        <v>80.61</v>
      </c>
      <c r="Q1704" s="10">
        <v>80.12</v>
      </c>
      <c r="R1704" s="10">
        <v>79.63</v>
      </c>
      <c r="S1704" s="10">
        <v>79.150000000000006</v>
      </c>
      <c r="T1704" s="10">
        <v>78.69</v>
      </c>
      <c r="U1704" s="10">
        <v>78.22</v>
      </c>
      <c r="V1704" s="10">
        <v>77.78</v>
      </c>
      <c r="W1704" s="10">
        <v>77.319999999999993</v>
      </c>
      <c r="X1704" s="10">
        <v>76.84</v>
      </c>
      <c r="Y1704" s="10">
        <v>76.38</v>
      </c>
      <c r="Z1704" s="11">
        <v>86.117999999999995</v>
      </c>
      <c r="AA1704" s="11">
        <v>85.185000000000002</v>
      </c>
      <c r="AB1704" s="11">
        <v>84.304000000000002</v>
      </c>
      <c r="AC1704" s="11">
        <v>83.555999999999997</v>
      </c>
      <c r="AD1704" s="11">
        <v>82.905000000000001</v>
      </c>
      <c r="AE1704" s="11">
        <v>82.331000000000003</v>
      </c>
      <c r="AF1704" s="11">
        <v>81.811000000000007</v>
      </c>
      <c r="AG1704" s="11">
        <v>81.33</v>
      </c>
      <c r="AH1704" s="11">
        <v>80.882000000000005</v>
      </c>
      <c r="AI1704" s="11">
        <v>80.441999999999993</v>
      </c>
      <c r="AJ1704" s="11">
        <v>79.980999999999995</v>
      </c>
      <c r="AK1704" s="11">
        <v>79.563000000000002</v>
      </c>
      <c r="AL1704" s="11"/>
    </row>
    <row r="1705" spans="1:38" x14ac:dyDescent="0.3">
      <c r="A1705" s="9">
        <f>DATE(2023, 8, 4)</f>
        <v>45142</v>
      </c>
      <c r="B1705" s="10">
        <v>86.24</v>
      </c>
      <c r="C1705" s="10">
        <v>85.78</v>
      </c>
      <c r="D1705" s="10">
        <v>85.32</v>
      </c>
      <c r="E1705" s="10">
        <v>84.85</v>
      </c>
      <c r="F1705" s="10">
        <v>84.39</v>
      </c>
      <c r="G1705" s="10">
        <v>83.93</v>
      </c>
      <c r="H1705" s="10">
        <v>83.49</v>
      </c>
      <c r="I1705" s="10">
        <v>83.07</v>
      </c>
      <c r="J1705" s="10">
        <v>82.64</v>
      </c>
      <c r="K1705" s="10">
        <v>82.22</v>
      </c>
      <c r="L1705" s="10">
        <v>81.8</v>
      </c>
      <c r="M1705" s="10">
        <v>81.39</v>
      </c>
      <c r="N1705" s="10">
        <v>82.82</v>
      </c>
      <c r="O1705" s="10">
        <v>82.27</v>
      </c>
      <c r="P1705" s="10">
        <v>81.75</v>
      </c>
      <c r="Q1705" s="10">
        <v>81.209999999999994</v>
      </c>
      <c r="R1705" s="10">
        <v>80.680000000000007</v>
      </c>
      <c r="S1705" s="10">
        <v>80.150000000000006</v>
      </c>
      <c r="T1705" s="10">
        <v>79.66</v>
      </c>
      <c r="U1705" s="10">
        <v>79.180000000000007</v>
      </c>
      <c r="V1705" s="10">
        <v>78.72</v>
      </c>
      <c r="W1705" s="10">
        <v>78.25</v>
      </c>
      <c r="X1705" s="10">
        <v>77.75</v>
      </c>
      <c r="Y1705" s="10">
        <v>77.27</v>
      </c>
      <c r="Z1705" s="11">
        <v>87.308999999999997</v>
      </c>
      <c r="AA1705" s="11">
        <v>86.563000000000002</v>
      </c>
      <c r="AB1705" s="11">
        <v>85.603999999999999</v>
      </c>
      <c r="AC1705" s="11">
        <v>84.793999999999997</v>
      </c>
      <c r="AD1705" s="11">
        <v>84.103999999999999</v>
      </c>
      <c r="AE1705" s="11">
        <v>83.515000000000001</v>
      </c>
      <c r="AF1705" s="11">
        <v>82.99</v>
      </c>
      <c r="AG1705" s="11">
        <v>82.489000000000004</v>
      </c>
      <c r="AH1705" s="11">
        <v>81.936000000000007</v>
      </c>
      <c r="AI1705" s="11">
        <v>81.481999999999999</v>
      </c>
      <c r="AJ1705" s="11">
        <v>81.064999999999998</v>
      </c>
      <c r="AK1705" s="11">
        <v>80.522999999999996</v>
      </c>
      <c r="AL1705" s="11"/>
    </row>
    <row r="1706" spans="1:38" x14ac:dyDescent="0.3">
      <c r="A1706" s="9">
        <f>DATE(2023, 8, 7)</f>
        <v>45145</v>
      </c>
      <c r="B1706" s="10">
        <v>85.34</v>
      </c>
      <c r="C1706" s="10">
        <v>84.94</v>
      </c>
      <c r="D1706" s="10">
        <v>84.54</v>
      </c>
      <c r="E1706" s="10">
        <v>84.14</v>
      </c>
      <c r="F1706" s="10">
        <v>83.74</v>
      </c>
      <c r="G1706" s="10">
        <v>83.33</v>
      </c>
      <c r="H1706" s="10">
        <v>82.93</v>
      </c>
      <c r="I1706" s="10">
        <v>82.54</v>
      </c>
      <c r="J1706" s="10">
        <v>82.14</v>
      </c>
      <c r="K1706" s="10">
        <v>81.75</v>
      </c>
      <c r="L1706" s="10">
        <v>81.36</v>
      </c>
      <c r="M1706" s="10">
        <v>80.98</v>
      </c>
      <c r="N1706" s="10">
        <v>81.94</v>
      </c>
      <c r="O1706" s="10">
        <v>81.489999999999995</v>
      </c>
      <c r="P1706" s="10">
        <v>81.02</v>
      </c>
      <c r="Q1706" s="10">
        <v>80.53</v>
      </c>
      <c r="R1706" s="10">
        <v>80.05</v>
      </c>
      <c r="S1706" s="10">
        <v>79.58</v>
      </c>
      <c r="T1706" s="10">
        <v>79.13</v>
      </c>
      <c r="U1706" s="10">
        <v>78.69</v>
      </c>
      <c r="V1706" s="10">
        <v>78.260000000000005</v>
      </c>
      <c r="W1706" s="10">
        <v>77.819999999999993</v>
      </c>
      <c r="X1706" s="10">
        <v>77.37</v>
      </c>
      <c r="Y1706" s="10">
        <v>76.92</v>
      </c>
      <c r="Z1706" s="11">
        <v>86.817999999999998</v>
      </c>
      <c r="AA1706" s="11">
        <v>85.801000000000002</v>
      </c>
      <c r="AB1706" s="11">
        <v>84.856999999999999</v>
      </c>
      <c r="AC1706" s="11">
        <v>84.09</v>
      </c>
      <c r="AD1706" s="11">
        <v>83.427999999999997</v>
      </c>
      <c r="AE1706" s="11">
        <v>82.88</v>
      </c>
      <c r="AF1706" s="11">
        <v>82.38</v>
      </c>
      <c r="AG1706" s="11">
        <v>81.921000000000006</v>
      </c>
      <c r="AH1706" s="11">
        <v>81.481999999999999</v>
      </c>
      <c r="AI1706" s="11">
        <v>81.063000000000002</v>
      </c>
      <c r="AJ1706" s="11">
        <v>80.631</v>
      </c>
      <c r="AK1706" s="11">
        <v>80.203999999999994</v>
      </c>
      <c r="AL1706" s="11"/>
    </row>
    <row r="1707" spans="1:38" x14ac:dyDescent="0.3">
      <c r="A1707" s="9">
        <f>DATE(2023, 8, 8)</f>
        <v>45146</v>
      </c>
      <c r="B1707" s="10">
        <v>86.17</v>
      </c>
      <c r="C1707" s="10">
        <v>85.67</v>
      </c>
      <c r="D1707" s="10">
        <v>85.24</v>
      </c>
      <c r="E1707" s="10">
        <v>84.81</v>
      </c>
      <c r="F1707" s="10">
        <v>84.4</v>
      </c>
      <c r="G1707" s="10">
        <v>83.98</v>
      </c>
      <c r="H1707" s="10">
        <v>83.57</v>
      </c>
      <c r="I1707" s="10">
        <v>83.18</v>
      </c>
      <c r="J1707" s="10">
        <v>82.77</v>
      </c>
      <c r="K1707" s="10">
        <v>82.37</v>
      </c>
      <c r="L1707" s="10">
        <v>81.97</v>
      </c>
      <c r="M1707" s="10">
        <v>81.58</v>
      </c>
      <c r="N1707" s="10">
        <v>82.92</v>
      </c>
      <c r="O1707" s="10">
        <v>82.36</v>
      </c>
      <c r="P1707" s="10">
        <v>81.849999999999994</v>
      </c>
      <c r="Q1707" s="10">
        <v>81.349999999999994</v>
      </c>
      <c r="R1707" s="10">
        <v>80.84</v>
      </c>
      <c r="S1707" s="10">
        <v>80.33</v>
      </c>
      <c r="T1707" s="10">
        <v>79.87</v>
      </c>
      <c r="U1707" s="10">
        <v>79.41</v>
      </c>
      <c r="V1707" s="10">
        <v>78.97</v>
      </c>
      <c r="W1707" s="10">
        <v>78.52</v>
      </c>
      <c r="X1707" s="10">
        <v>78.040000000000006</v>
      </c>
      <c r="Y1707" s="10">
        <v>77.58</v>
      </c>
      <c r="Z1707" s="11">
        <v>87.287000000000006</v>
      </c>
      <c r="AA1707" s="11">
        <v>86.54</v>
      </c>
      <c r="AB1707" s="11">
        <v>85.599000000000004</v>
      </c>
      <c r="AC1707" s="11">
        <v>84.825999999999993</v>
      </c>
      <c r="AD1707" s="11">
        <v>84.173000000000002</v>
      </c>
      <c r="AE1707" s="11">
        <v>83.626000000000005</v>
      </c>
      <c r="AF1707" s="11">
        <v>83.120999999999995</v>
      </c>
      <c r="AG1707" s="11">
        <v>82.66</v>
      </c>
      <c r="AH1707" s="11">
        <v>82.182000000000002</v>
      </c>
      <c r="AI1707" s="11">
        <v>81.722999999999999</v>
      </c>
      <c r="AJ1707" s="11">
        <v>81.290999999999997</v>
      </c>
      <c r="AK1707" s="11">
        <v>80.864000000000004</v>
      </c>
      <c r="AL1707" s="11"/>
    </row>
    <row r="1708" spans="1:38" x14ac:dyDescent="0.3">
      <c r="A1708" s="9">
        <f>DATE(2023, 8, 9)</f>
        <v>45147</v>
      </c>
      <c r="B1708" s="10">
        <v>87.55</v>
      </c>
      <c r="C1708" s="10">
        <v>86.92</v>
      </c>
      <c r="D1708" s="10">
        <v>86.41</v>
      </c>
      <c r="E1708" s="10">
        <v>85.92</v>
      </c>
      <c r="F1708" s="10">
        <v>85.45</v>
      </c>
      <c r="G1708" s="10">
        <v>84.97</v>
      </c>
      <c r="H1708" s="10">
        <v>84.51</v>
      </c>
      <c r="I1708" s="10">
        <v>84.07</v>
      </c>
      <c r="J1708" s="10">
        <v>83.62</v>
      </c>
      <c r="K1708" s="10">
        <v>83.19</v>
      </c>
      <c r="L1708" s="10">
        <v>82.75</v>
      </c>
      <c r="M1708" s="10">
        <v>82.33</v>
      </c>
      <c r="N1708" s="10">
        <v>84.4</v>
      </c>
      <c r="O1708" s="10">
        <v>83.69</v>
      </c>
      <c r="P1708" s="10">
        <v>83.07</v>
      </c>
      <c r="Q1708" s="10">
        <v>82.49</v>
      </c>
      <c r="R1708" s="10">
        <v>81.91</v>
      </c>
      <c r="S1708" s="10">
        <v>81.36</v>
      </c>
      <c r="T1708" s="10">
        <v>80.83</v>
      </c>
      <c r="U1708" s="10">
        <v>80.319999999999993</v>
      </c>
      <c r="V1708" s="10">
        <v>79.83</v>
      </c>
      <c r="W1708" s="10">
        <v>79.34</v>
      </c>
      <c r="X1708" s="10">
        <v>78.83</v>
      </c>
      <c r="Y1708" s="10">
        <v>78.34</v>
      </c>
      <c r="Z1708" s="11">
        <v>88.164000000000001</v>
      </c>
      <c r="AA1708" s="11">
        <v>87.695999999999998</v>
      </c>
      <c r="AB1708" s="11">
        <v>86.695999999999998</v>
      </c>
      <c r="AC1708" s="11">
        <v>85.876999999999995</v>
      </c>
      <c r="AD1708" s="11">
        <v>85.173000000000002</v>
      </c>
      <c r="AE1708" s="11">
        <v>84.578999999999994</v>
      </c>
      <c r="AF1708" s="11">
        <v>84.028999999999996</v>
      </c>
      <c r="AG1708" s="11">
        <v>83.518000000000001</v>
      </c>
      <c r="AH1708" s="11">
        <v>83</v>
      </c>
      <c r="AI1708" s="11">
        <v>82.521000000000001</v>
      </c>
      <c r="AJ1708" s="11">
        <v>82.028999999999996</v>
      </c>
      <c r="AK1708" s="11">
        <v>81.572999999999993</v>
      </c>
      <c r="AL1708" s="11"/>
    </row>
    <row r="1709" spans="1:38" x14ac:dyDescent="0.3">
      <c r="A1709" s="9">
        <f>DATE(2023, 8, 10)</f>
        <v>45148</v>
      </c>
      <c r="B1709" s="10">
        <v>86.4</v>
      </c>
      <c r="C1709" s="10">
        <v>85.84</v>
      </c>
      <c r="D1709" s="10">
        <v>85.38</v>
      </c>
      <c r="E1709" s="10">
        <v>84.94</v>
      </c>
      <c r="F1709" s="10">
        <v>84.51</v>
      </c>
      <c r="G1709" s="10">
        <v>84.06</v>
      </c>
      <c r="H1709" s="10">
        <v>83.62</v>
      </c>
      <c r="I1709" s="10">
        <v>83.21</v>
      </c>
      <c r="J1709" s="10">
        <v>82.79</v>
      </c>
      <c r="K1709" s="10">
        <v>82.38</v>
      </c>
      <c r="L1709" s="10">
        <v>81.96</v>
      </c>
      <c r="M1709" s="10">
        <v>81.56</v>
      </c>
      <c r="N1709" s="10">
        <v>82.82</v>
      </c>
      <c r="O1709" s="10">
        <v>82.29</v>
      </c>
      <c r="P1709" s="10">
        <v>81.8</v>
      </c>
      <c r="Q1709" s="10">
        <v>81.33</v>
      </c>
      <c r="R1709" s="10">
        <v>80.849999999999994</v>
      </c>
      <c r="S1709" s="10">
        <v>80.37</v>
      </c>
      <c r="T1709" s="10">
        <v>79.89</v>
      </c>
      <c r="U1709" s="10">
        <v>79.42</v>
      </c>
      <c r="V1709" s="10">
        <v>78.959999999999994</v>
      </c>
      <c r="W1709" s="10">
        <v>78.48</v>
      </c>
      <c r="X1709" s="10">
        <v>78</v>
      </c>
      <c r="Y1709" s="10">
        <v>77.52</v>
      </c>
      <c r="Z1709" s="11">
        <v>87.39</v>
      </c>
      <c r="AA1709" s="11">
        <v>86.548000000000002</v>
      </c>
      <c r="AB1709" s="11">
        <v>85.61</v>
      </c>
      <c r="AC1709" s="11">
        <v>84.85</v>
      </c>
      <c r="AD1709" s="11">
        <v>84.16</v>
      </c>
      <c r="AE1709" s="11">
        <v>83.59</v>
      </c>
      <c r="AF1709" s="11">
        <v>83.06</v>
      </c>
      <c r="AG1709" s="11">
        <v>82.578999999999994</v>
      </c>
      <c r="AH1709" s="11">
        <v>82.100999999999999</v>
      </c>
      <c r="AI1709" s="11">
        <v>81.652000000000001</v>
      </c>
      <c r="AJ1709" s="11">
        <v>81.19</v>
      </c>
      <c r="AK1709" s="11">
        <v>80.753</v>
      </c>
      <c r="AL1709" s="11"/>
    </row>
    <row r="1710" spans="1:38" x14ac:dyDescent="0.3">
      <c r="A1710" s="9">
        <f>DATE(2023, 8, 11)</f>
        <v>45149</v>
      </c>
      <c r="B1710" s="10">
        <v>86.81</v>
      </c>
      <c r="C1710" s="10">
        <v>86.14</v>
      </c>
      <c r="D1710" s="10">
        <v>85.59</v>
      </c>
      <c r="E1710" s="10">
        <v>85.1</v>
      </c>
      <c r="F1710" s="10">
        <v>84.63</v>
      </c>
      <c r="G1710" s="10">
        <v>84.16</v>
      </c>
      <c r="H1710" s="10">
        <v>83.71</v>
      </c>
      <c r="I1710" s="10">
        <v>83.29</v>
      </c>
      <c r="J1710" s="10">
        <v>82.86</v>
      </c>
      <c r="K1710" s="10">
        <v>82.43</v>
      </c>
      <c r="L1710" s="10">
        <v>82.02</v>
      </c>
      <c r="M1710" s="10">
        <v>81.61</v>
      </c>
      <c r="N1710" s="10">
        <v>83.19</v>
      </c>
      <c r="O1710" s="10">
        <v>82.57</v>
      </c>
      <c r="P1710" s="10">
        <v>82.02</v>
      </c>
      <c r="Q1710" s="10">
        <v>81.510000000000005</v>
      </c>
      <c r="R1710" s="10">
        <v>81</v>
      </c>
      <c r="S1710" s="10">
        <v>80.489999999999995</v>
      </c>
      <c r="T1710" s="10">
        <v>79.98</v>
      </c>
      <c r="U1710" s="10">
        <v>79.489999999999995</v>
      </c>
      <c r="V1710" s="10">
        <v>79.010000000000005</v>
      </c>
      <c r="W1710" s="10">
        <v>78.52</v>
      </c>
      <c r="X1710" s="10">
        <v>78.010000000000005</v>
      </c>
      <c r="Y1710" s="10">
        <v>77.53</v>
      </c>
      <c r="Z1710" s="11">
        <v>87.536000000000001</v>
      </c>
      <c r="AA1710" s="11">
        <v>86.763999999999996</v>
      </c>
      <c r="AB1710" s="11">
        <v>85.808000000000007</v>
      </c>
      <c r="AC1710" s="11">
        <v>85.013999999999996</v>
      </c>
      <c r="AD1710" s="11">
        <v>84.308000000000007</v>
      </c>
      <c r="AE1710" s="11">
        <v>83.72</v>
      </c>
      <c r="AF1710" s="11">
        <v>83.18</v>
      </c>
      <c r="AG1710" s="11">
        <v>82.688999999999993</v>
      </c>
      <c r="AH1710" s="11">
        <v>82.19</v>
      </c>
      <c r="AI1710" s="11">
        <v>81.721999999999994</v>
      </c>
      <c r="AJ1710" s="11">
        <v>81.27</v>
      </c>
      <c r="AK1710" s="11">
        <v>80.813000000000002</v>
      </c>
      <c r="AL1710" s="11"/>
    </row>
    <row r="1711" spans="1:38" x14ac:dyDescent="0.3">
      <c r="A1711" s="9">
        <f>DATE(2023, 8, 14)</f>
        <v>45152</v>
      </c>
      <c r="B1711" s="10">
        <v>86.21</v>
      </c>
      <c r="C1711" s="10">
        <v>85.51</v>
      </c>
      <c r="D1711" s="10">
        <v>84.94</v>
      </c>
      <c r="E1711" s="10">
        <v>84.45</v>
      </c>
      <c r="F1711" s="10">
        <v>83.99</v>
      </c>
      <c r="G1711" s="10">
        <v>83.54</v>
      </c>
      <c r="H1711" s="10">
        <v>83.12</v>
      </c>
      <c r="I1711" s="10">
        <v>82.72</v>
      </c>
      <c r="J1711" s="10">
        <v>82.32</v>
      </c>
      <c r="K1711" s="10">
        <v>81.92</v>
      </c>
      <c r="L1711" s="10">
        <v>81.52</v>
      </c>
      <c r="M1711" s="10">
        <v>81.13</v>
      </c>
      <c r="N1711" s="10">
        <v>82.51</v>
      </c>
      <c r="O1711" s="10">
        <v>81.92</v>
      </c>
      <c r="P1711" s="10">
        <v>81.37</v>
      </c>
      <c r="Q1711" s="10">
        <v>80.86</v>
      </c>
      <c r="R1711" s="10">
        <v>80.36</v>
      </c>
      <c r="S1711" s="10">
        <v>79.87</v>
      </c>
      <c r="T1711" s="10">
        <v>79.39</v>
      </c>
      <c r="U1711" s="10">
        <v>78.930000000000007</v>
      </c>
      <c r="V1711" s="10">
        <v>78.47</v>
      </c>
      <c r="W1711" s="10">
        <v>78.010000000000005</v>
      </c>
      <c r="X1711" s="10">
        <v>77.53</v>
      </c>
      <c r="Y1711" s="10">
        <v>77.069999999999993</v>
      </c>
      <c r="Z1711" s="11">
        <v>87.167000000000002</v>
      </c>
      <c r="AA1711" s="11">
        <v>86.173000000000002</v>
      </c>
      <c r="AB1711" s="11">
        <v>85.197999999999993</v>
      </c>
      <c r="AC1711" s="11">
        <v>84.399000000000001</v>
      </c>
      <c r="AD1711" s="11">
        <v>83.704999999999998</v>
      </c>
      <c r="AE1711" s="11">
        <v>83.131</v>
      </c>
      <c r="AF1711" s="11">
        <v>82.611000000000004</v>
      </c>
      <c r="AG1711" s="11">
        <v>82.14</v>
      </c>
      <c r="AH1711" s="11">
        <v>81.701999999999998</v>
      </c>
      <c r="AI1711" s="11">
        <v>81.272999999999996</v>
      </c>
      <c r="AJ1711" s="11">
        <v>80.831000000000003</v>
      </c>
      <c r="AK1711" s="11">
        <v>80.384</v>
      </c>
      <c r="AL1711" s="11"/>
    </row>
    <row r="1712" spans="1:38" x14ac:dyDescent="0.3">
      <c r="A1712" s="9">
        <f>DATE(2023, 8, 15)</f>
        <v>45153</v>
      </c>
      <c r="B1712" s="10">
        <v>84.89</v>
      </c>
      <c r="C1712" s="10">
        <v>84.28</v>
      </c>
      <c r="D1712" s="10">
        <v>83.77</v>
      </c>
      <c r="E1712" s="10">
        <v>83.33</v>
      </c>
      <c r="F1712" s="10">
        <v>82.92</v>
      </c>
      <c r="G1712" s="10">
        <v>82.51</v>
      </c>
      <c r="H1712" s="10">
        <v>82.11</v>
      </c>
      <c r="I1712" s="10">
        <v>81.73</v>
      </c>
      <c r="J1712" s="10">
        <v>81.349999999999994</v>
      </c>
      <c r="K1712" s="10">
        <v>80.97</v>
      </c>
      <c r="L1712" s="10">
        <v>80.599999999999994</v>
      </c>
      <c r="M1712" s="10">
        <v>80.23</v>
      </c>
      <c r="N1712" s="10">
        <v>80.989999999999995</v>
      </c>
      <c r="O1712" s="10">
        <v>80.5</v>
      </c>
      <c r="P1712" s="10">
        <v>80.05</v>
      </c>
      <c r="Q1712" s="10">
        <v>79.61</v>
      </c>
      <c r="R1712" s="10">
        <v>79.17</v>
      </c>
      <c r="S1712" s="10">
        <v>78.72</v>
      </c>
      <c r="T1712" s="10">
        <v>78.290000000000006</v>
      </c>
      <c r="U1712" s="10">
        <v>77.849999999999994</v>
      </c>
      <c r="V1712" s="10">
        <v>77.430000000000007</v>
      </c>
      <c r="W1712" s="10">
        <v>77.010000000000005</v>
      </c>
      <c r="X1712" s="10">
        <v>76.569999999999993</v>
      </c>
      <c r="Y1712" s="10">
        <v>76.13</v>
      </c>
      <c r="Z1712" s="11">
        <v>86.415999999999997</v>
      </c>
      <c r="AA1712" s="11">
        <v>84.850999999999999</v>
      </c>
      <c r="AB1712" s="11">
        <v>83.935000000000002</v>
      </c>
      <c r="AC1712" s="11">
        <v>83.195999999999998</v>
      </c>
      <c r="AD1712" s="11">
        <v>82.554000000000002</v>
      </c>
      <c r="AE1712" s="11">
        <v>82.024000000000001</v>
      </c>
      <c r="AF1712" s="11">
        <v>81.534000000000006</v>
      </c>
      <c r="AG1712" s="11">
        <v>81.090999999999994</v>
      </c>
      <c r="AH1712" s="11">
        <v>80.662999999999997</v>
      </c>
      <c r="AI1712" s="11">
        <v>80.244</v>
      </c>
      <c r="AJ1712" s="11">
        <v>79.841999999999999</v>
      </c>
      <c r="AK1712" s="11">
        <v>79.435000000000002</v>
      </c>
      <c r="AL1712" s="11"/>
    </row>
    <row r="1713" spans="1:38" x14ac:dyDescent="0.3">
      <c r="A1713" s="9">
        <f>DATE(2023, 8, 16)</f>
        <v>45154</v>
      </c>
      <c r="B1713" s="10">
        <v>83.45</v>
      </c>
      <c r="C1713" s="10">
        <v>83.02</v>
      </c>
      <c r="D1713" s="10">
        <v>82.6</v>
      </c>
      <c r="E1713" s="10">
        <v>82.22</v>
      </c>
      <c r="F1713" s="10">
        <v>81.87</v>
      </c>
      <c r="G1713" s="10">
        <v>81.52</v>
      </c>
      <c r="H1713" s="10">
        <v>81.180000000000007</v>
      </c>
      <c r="I1713" s="10">
        <v>80.849999999999994</v>
      </c>
      <c r="J1713" s="10">
        <v>80.52</v>
      </c>
      <c r="K1713" s="10">
        <v>80.19</v>
      </c>
      <c r="L1713" s="10">
        <v>79.86</v>
      </c>
      <c r="M1713" s="10">
        <v>79.540000000000006</v>
      </c>
      <c r="N1713" s="10">
        <v>79.38</v>
      </c>
      <c r="O1713" s="10">
        <v>79.02</v>
      </c>
      <c r="P1713" s="10">
        <v>78.73</v>
      </c>
      <c r="Q1713" s="10">
        <v>78.42</v>
      </c>
      <c r="R1713" s="10">
        <v>78.09</v>
      </c>
      <c r="S1713" s="10">
        <v>77.739999999999995</v>
      </c>
      <c r="T1713" s="10">
        <v>77.38</v>
      </c>
      <c r="U1713" s="10">
        <v>77.02</v>
      </c>
      <c r="V1713" s="10">
        <v>76.67</v>
      </c>
      <c r="W1713" s="10">
        <v>76.3</v>
      </c>
      <c r="X1713" s="10">
        <v>75.92</v>
      </c>
      <c r="Y1713" s="10">
        <v>75.55</v>
      </c>
      <c r="Z1713" s="11">
        <v>85.677999999999997</v>
      </c>
      <c r="AA1713" s="11">
        <v>83.424999999999997</v>
      </c>
      <c r="AB1713" s="11">
        <v>82.602000000000004</v>
      </c>
      <c r="AC1713" s="11">
        <v>81.953000000000003</v>
      </c>
      <c r="AD1713" s="11">
        <v>81.381</v>
      </c>
      <c r="AE1713" s="11">
        <v>80.900999999999996</v>
      </c>
      <c r="AF1713" s="11">
        <v>80.463999999999999</v>
      </c>
      <c r="AG1713" s="11">
        <v>80.073999999999998</v>
      </c>
      <c r="AH1713" s="11">
        <v>79.694999999999993</v>
      </c>
      <c r="AI1713" s="11">
        <v>79.325999999999993</v>
      </c>
      <c r="AJ1713" s="11">
        <v>78.974000000000004</v>
      </c>
      <c r="AK1713" s="11">
        <v>78.626999999999995</v>
      </c>
      <c r="AL1713" s="11"/>
    </row>
    <row r="1714" spans="1:38" x14ac:dyDescent="0.3">
      <c r="A1714" s="9">
        <f>DATE(2023, 8, 17)</f>
        <v>45155</v>
      </c>
      <c r="B1714" s="10">
        <v>84.12</v>
      </c>
      <c r="C1714" s="10">
        <v>83.67</v>
      </c>
      <c r="D1714" s="10">
        <v>83.24</v>
      </c>
      <c r="E1714" s="10">
        <v>82.84</v>
      </c>
      <c r="F1714" s="10">
        <v>82.47</v>
      </c>
      <c r="G1714" s="10">
        <v>82.09</v>
      </c>
      <c r="H1714" s="10">
        <v>81.72</v>
      </c>
      <c r="I1714" s="10">
        <v>81.37</v>
      </c>
      <c r="J1714" s="10">
        <v>81.02</v>
      </c>
      <c r="K1714" s="10">
        <v>80.680000000000007</v>
      </c>
      <c r="L1714" s="10">
        <v>80.33</v>
      </c>
      <c r="M1714" s="10">
        <v>79.989999999999995</v>
      </c>
      <c r="N1714" s="10">
        <v>80.39</v>
      </c>
      <c r="O1714" s="10">
        <v>79.900000000000006</v>
      </c>
      <c r="P1714" s="10">
        <v>79.510000000000005</v>
      </c>
      <c r="Q1714" s="10">
        <v>79.11</v>
      </c>
      <c r="R1714" s="10">
        <v>78.72</v>
      </c>
      <c r="S1714" s="10">
        <v>78.319999999999993</v>
      </c>
      <c r="T1714" s="10">
        <v>77.94</v>
      </c>
      <c r="U1714" s="10">
        <v>77.540000000000006</v>
      </c>
      <c r="V1714" s="10">
        <v>77.17</v>
      </c>
      <c r="W1714" s="10">
        <v>76.790000000000006</v>
      </c>
      <c r="X1714" s="10">
        <v>76.400000000000006</v>
      </c>
      <c r="Y1714" s="10">
        <v>76</v>
      </c>
      <c r="Z1714" s="11">
        <v>86.120999999999995</v>
      </c>
      <c r="AA1714" s="11">
        <v>84.260999999999996</v>
      </c>
      <c r="AB1714" s="11">
        <v>83.411000000000001</v>
      </c>
      <c r="AC1714" s="11">
        <v>82.721999999999994</v>
      </c>
      <c r="AD1714" s="11">
        <v>82.122</v>
      </c>
      <c r="AE1714" s="11">
        <v>81.613</v>
      </c>
      <c r="AF1714" s="11">
        <v>81.153000000000006</v>
      </c>
      <c r="AG1714" s="11">
        <v>80.742999999999995</v>
      </c>
      <c r="AH1714" s="11">
        <v>80.295000000000002</v>
      </c>
      <c r="AI1714" s="11">
        <v>79.905000000000001</v>
      </c>
      <c r="AJ1714" s="11">
        <v>79.533000000000001</v>
      </c>
      <c r="AK1714" s="11">
        <v>79.165999999999997</v>
      </c>
      <c r="AL1714" s="11"/>
    </row>
    <row r="1715" spans="1:38" x14ac:dyDescent="0.3">
      <c r="A1715" s="9">
        <f>DATE(2023, 8, 18)</f>
        <v>45156</v>
      </c>
      <c r="B1715" s="10">
        <v>84.8</v>
      </c>
      <c r="C1715" s="10">
        <v>84.36</v>
      </c>
      <c r="D1715" s="10">
        <v>83.94</v>
      </c>
      <c r="E1715" s="10">
        <v>83.54</v>
      </c>
      <c r="F1715" s="10">
        <v>83.16</v>
      </c>
      <c r="G1715" s="10">
        <v>82.78</v>
      </c>
      <c r="H1715" s="10">
        <v>82.41</v>
      </c>
      <c r="I1715" s="10">
        <v>82.05</v>
      </c>
      <c r="J1715" s="10">
        <v>81.7</v>
      </c>
      <c r="K1715" s="10">
        <v>81.34</v>
      </c>
      <c r="L1715" s="10">
        <v>80.989999999999995</v>
      </c>
      <c r="M1715" s="10">
        <v>80.64</v>
      </c>
      <c r="N1715" s="10">
        <v>81.25</v>
      </c>
      <c r="O1715" s="10">
        <v>80.66</v>
      </c>
      <c r="P1715" s="10">
        <v>80.2</v>
      </c>
      <c r="Q1715" s="10">
        <v>79.75</v>
      </c>
      <c r="R1715" s="10">
        <v>79.33</v>
      </c>
      <c r="S1715" s="10">
        <v>78.92</v>
      </c>
      <c r="T1715" s="10">
        <v>78.52</v>
      </c>
      <c r="U1715" s="10">
        <v>78.13</v>
      </c>
      <c r="V1715" s="10">
        <v>77.75</v>
      </c>
      <c r="W1715" s="10">
        <v>77.37</v>
      </c>
      <c r="X1715" s="10">
        <v>76.98</v>
      </c>
      <c r="Y1715" s="10">
        <v>76.569999999999993</v>
      </c>
      <c r="Z1715" s="11">
        <v>86.415000000000006</v>
      </c>
      <c r="AA1715" s="11">
        <v>85.05</v>
      </c>
      <c r="AB1715" s="11">
        <v>84.213999999999999</v>
      </c>
      <c r="AC1715" s="11">
        <v>83.510999999999996</v>
      </c>
      <c r="AD1715" s="11">
        <v>82.902000000000001</v>
      </c>
      <c r="AE1715" s="11">
        <v>82.378</v>
      </c>
      <c r="AF1715" s="11">
        <v>81.912999999999997</v>
      </c>
      <c r="AG1715" s="11">
        <v>81.483000000000004</v>
      </c>
      <c r="AH1715" s="11">
        <v>81.063999999999993</v>
      </c>
      <c r="AI1715" s="11">
        <v>80.655000000000001</v>
      </c>
      <c r="AJ1715" s="11">
        <v>80.253</v>
      </c>
      <c r="AK1715" s="11">
        <v>79.876000000000005</v>
      </c>
      <c r="AL1715" s="11"/>
    </row>
    <row r="1716" spans="1:38" x14ac:dyDescent="0.3">
      <c r="A1716" s="9">
        <f>DATE(2023, 8, 21)</f>
        <v>45159</v>
      </c>
      <c r="B1716" s="10">
        <v>84.46</v>
      </c>
      <c r="C1716" s="10">
        <v>84.09</v>
      </c>
      <c r="D1716" s="10">
        <v>83.7</v>
      </c>
      <c r="E1716" s="10">
        <v>83.33</v>
      </c>
      <c r="F1716" s="10">
        <v>82.97</v>
      </c>
      <c r="G1716" s="10">
        <v>82.62</v>
      </c>
      <c r="H1716" s="10">
        <v>82.28</v>
      </c>
      <c r="I1716" s="10">
        <v>81.95</v>
      </c>
      <c r="J1716" s="10">
        <v>81.599999999999994</v>
      </c>
      <c r="K1716" s="10">
        <v>81.27</v>
      </c>
      <c r="L1716" s="10">
        <v>80.930000000000007</v>
      </c>
      <c r="M1716" s="10">
        <v>80.599999999999994</v>
      </c>
      <c r="N1716" s="10">
        <v>80.72</v>
      </c>
      <c r="O1716" s="10">
        <v>80.12</v>
      </c>
      <c r="P1716" s="10">
        <v>79.760000000000005</v>
      </c>
      <c r="Q1716" s="10">
        <v>79.38</v>
      </c>
      <c r="R1716" s="10">
        <v>79.010000000000005</v>
      </c>
      <c r="S1716" s="10">
        <v>78.64</v>
      </c>
      <c r="T1716" s="10">
        <v>78.28</v>
      </c>
      <c r="U1716" s="10">
        <v>77.92</v>
      </c>
      <c r="V1716" s="10">
        <v>77.56</v>
      </c>
      <c r="W1716" s="10">
        <v>77.2</v>
      </c>
      <c r="X1716" s="10">
        <v>76.819999999999993</v>
      </c>
      <c r="Y1716" s="10">
        <v>76.45</v>
      </c>
      <c r="Z1716" s="11">
        <v>86.399000000000001</v>
      </c>
      <c r="AA1716" s="11">
        <v>84.891000000000005</v>
      </c>
      <c r="AB1716" s="11">
        <v>84.05</v>
      </c>
      <c r="AC1716" s="11">
        <v>83.358999999999995</v>
      </c>
      <c r="AD1716" s="11">
        <v>82.757999999999996</v>
      </c>
      <c r="AE1716" s="11">
        <v>82.257999999999996</v>
      </c>
      <c r="AF1716" s="11">
        <v>81.807000000000002</v>
      </c>
      <c r="AG1716" s="11">
        <v>81.387</v>
      </c>
      <c r="AH1716" s="11">
        <v>80.984999999999999</v>
      </c>
      <c r="AI1716" s="11">
        <v>80.584999999999994</v>
      </c>
      <c r="AJ1716" s="11">
        <v>80.203999999999994</v>
      </c>
      <c r="AK1716" s="11">
        <v>79.816000000000003</v>
      </c>
      <c r="AL1716" s="11"/>
    </row>
    <row r="1717" spans="1:38" x14ac:dyDescent="0.3">
      <c r="A1717" s="9">
        <f>DATE(2023, 8, 22)</f>
        <v>45160</v>
      </c>
      <c r="B1717" s="10">
        <v>84.03</v>
      </c>
      <c r="C1717" s="10">
        <v>83.69</v>
      </c>
      <c r="D1717" s="10">
        <v>83.35</v>
      </c>
      <c r="E1717" s="10">
        <v>83.01</v>
      </c>
      <c r="F1717" s="10">
        <v>82.67</v>
      </c>
      <c r="G1717" s="10">
        <v>82.33</v>
      </c>
      <c r="H1717" s="10">
        <v>82.01</v>
      </c>
      <c r="I1717" s="10">
        <v>81.69</v>
      </c>
      <c r="J1717" s="10">
        <v>81.36</v>
      </c>
      <c r="K1717" s="10">
        <v>81.040000000000006</v>
      </c>
      <c r="L1717" s="10">
        <v>80.709999999999994</v>
      </c>
      <c r="M1717" s="10">
        <v>80.38</v>
      </c>
      <c r="N1717" s="10">
        <v>80.349999999999994</v>
      </c>
      <c r="O1717" s="10">
        <v>79.64</v>
      </c>
      <c r="P1717" s="10">
        <v>79.349999999999994</v>
      </c>
      <c r="Q1717" s="10">
        <v>79.03</v>
      </c>
      <c r="R1717" s="10">
        <v>78.7</v>
      </c>
      <c r="S1717" s="10">
        <v>78.349999999999994</v>
      </c>
      <c r="T1717" s="10">
        <v>77.989999999999995</v>
      </c>
      <c r="U1717" s="10">
        <v>77.63</v>
      </c>
      <c r="V1717" s="10">
        <v>77.28</v>
      </c>
      <c r="W1717" s="10">
        <v>76.94</v>
      </c>
      <c r="X1717" s="10">
        <v>76.569999999999993</v>
      </c>
      <c r="Y1717" s="10">
        <v>76.209999999999994</v>
      </c>
      <c r="Z1717" s="11">
        <v>86.290999999999997</v>
      </c>
      <c r="AA1717" s="11">
        <v>84.581000000000003</v>
      </c>
      <c r="AB1717" s="11">
        <v>83.756</v>
      </c>
      <c r="AC1717" s="11">
        <v>83.094999999999999</v>
      </c>
      <c r="AD1717" s="11">
        <v>82.506</v>
      </c>
      <c r="AE1717" s="11">
        <v>82.004999999999995</v>
      </c>
      <c r="AF1717" s="11">
        <v>81.564999999999998</v>
      </c>
      <c r="AG1717" s="11">
        <v>81.153999999999996</v>
      </c>
      <c r="AH1717" s="11">
        <v>80.745000000000005</v>
      </c>
      <c r="AI1717" s="11">
        <v>80.366</v>
      </c>
      <c r="AJ1717" s="11">
        <v>79.983999999999995</v>
      </c>
      <c r="AK1717" s="11">
        <v>79.617000000000004</v>
      </c>
      <c r="AL1717" s="11"/>
    </row>
    <row r="1718" spans="1:38" x14ac:dyDescent="0.3">
      <c r="A1718" s="9">
        <f>DATE(2023, 8, 23)</f>
        <v>45161</v>
      </c>
      <c r="B1718" s="10">
        <v>83.21</v>
      </c>
      <c r="C1718" s="10">
        <v>82.84</v>
      </c>
      <c r="D1718" s="10">
        <v>82.55</v>
      </c>
      <c r="E1718" s="10">
        <v>82.23</v>
      </c>
      <c r="F1718" s="10">
        <v>81.900000000000006</v>
      </c>
      <c r="G1718" s="10">
        <v>81.569999999999993</v>
      </c>
      <c r="H1718" s="10">
        <v>81.260000000000005</v>
      </c>
      <c r="I1718" s="10">
        <v>80.959999999999994</v>
      </c>
      <c r="J1718" s="10">
        <v>80.650000000000006</v>
      </c>
      <c r="K1718" s="10">
        <v>80.34</v>
      </c>
      <c r="L1718" s="10">
        <v>80.02</v>
      </c>
      <c r="M1718" s="10">
        <v>79.72</v>
      </c>
      <c r="N1718" s="10">
        <v>78.89</v>
      </c>
      <c r="O1718" s="10">
        <v>78.59</v>
      </c>
      <c r="P1718" s="10">
        <v>78.28</v>
      </c>
      <c r="Q1718" s="10">
        <v>77.959999999999994</v>
      </c>
      <c r="R1718" s="10">
        <v>77.62</v>
      </c>
      <c r="S1718" s="10">
        <v>77.290000000000006</v>
      </c>
      <c r="T1718" s="10">
        <v>76.95</v>
      </c>
      <c r="U1718" s="10">
        <v>76.63</v>
      </c>
      <c r="V1718" s="10">
        <v>76.3</v>
      </c>
      <c r="W1718" s="10">
        <v>75.95</v>
      </c>
      <c r="X1718" s="10">
        <v>75.599999999999994</v>
      </c>
      <c r="Y1718" s="10">
        <v>75.27</v>
      </c>
      <c r="Z1718" s="11">
        <v>86.106999999999999</v>
      </c>
      <c r="AA1718" s="11">
        <v>83.956000000000003</v>
      </c>
      <c r="AB1718" s="11">
        <v>83.185000000000002</v>
      </c>
      <c r="AC1718" s="11">
        <v>82.534000000000006</v>
      </c>
      <c r="AD1718" s="11">
        <v>81.956999999999994</v>
      </c>
      <c r="AE1718" s="11">
        <v>81.445999999999998</v>
      </c>
      <c r="AF1718" s="11">
        <v>81.006</v>
      </c>
      <c r="AG1718" s="11">
        <v>80.605000000000004</v>
      </c>
      <c r="AH1718" s="11">
        <v>80.195999999999998</v>
      </c>
      <c r="AI1718" s="11">
        <v>79.816000000000003</v>
      </c>
      <c r="AJ1718" s="11">
        <v>79.435000000000002</v>
      </c>
      <c r="AK1718" s="11">
        <v>79.066999999999993</v>
      </c>
      <c r="AL1718" s="11"/>
    </row>
    <row r="1719" spans="1:38" x14ac:dyDescent="0.3">
      <c r="A1719" s="9">
        <f>DATE(2023, 8, 24)</f>
        <v>45162</v>
      </c>
      <c r="B1719" s="10">
        <v>83.36</v>
      </c>
      <c r="C1719" s="10">
        <v>82.92</v>
      </c>
      <c r="D1719" s="10">
        <v>82.57</v>
      </c>
      <c r="E1719" s="10">
        <v>82.21</v>
      </c>
      <c r="F1719" s="10">
        <v>81.84</v>
      </c>
      <c r="G1719" s="10">
        <v>81.48</v>
      </c>
      <c r="H1719" s="10">
        <v>81.14</v>
      </c>
      <c r="I1719" s="10">
        <v>80.81</v>
      </c>
      <c r="J1719" s="10">
        <v>80.48</v>
      </c>
      <c r="K1719" s="10">
        <v>80.150000000000006</v>
      </c>
      <c r="L1719" s="10">
        <v>79.819999999999993</v>
      </c>
      <c r="M1719" s="10">
        <v>79.489999999999995</v>
      </c>
      <c r="N1719" s="10">
        <v>79.05</v>
      </c>
      <c r="O1719" s="10">
        <v>78.66</v>
      </c>
      <c r="P1719" s="10">
        <v>78.260000000000005</v>
      </c>
      <c r="Q1719" s="10">
        <v>77.87</v>
      </c>
      <c r="R1719" s="10">
        <v>77.48</v>
      </c>
      <c r="S1719" s="10">
        <v>77.11</v>
      </c>
      <c r="T1719" s="10">
        <v>76.760000000000005</v>
      </c>
      <c r="U1719" s="10">
        <v>76.42</v>
      </c>
      <c r="V1719" s="10">
        <v>76.069999999999993</v>
      </c>
      <c r="W1719" s="10">
        <v>75.7</v>
      </c>
      <c r="X1719" s="10">
        <v>75.33</v>
      </c>
      <c r="Y1719" s="10">
        <v>74.98</v>
      </c>
      <c r="Z1719" s="11">
        <v>86.197999999999993</v>
      </c>
      <c r="AA1719" s="11">
        <v>84.343000000000004</v>
      </c>
      <c r="AB1719" s="11">
        <v>83.516000000000005</v>
      </c>
      <c r="AC1719" s="11">
        <v>82.802999999999997</v>
      </c>
      <c r="AD1719" s="11">
        <v>82.174000000000007</v>
      </c>
      <c r="AE1719" s="11">
        <v>81.605000000000004</v>
      </c>
      <c r="AF1719" s="11">
        <v>81.108999999999995</v>
      </c>
      <c r="AG1719" s="11">
        <v>80.644000000000005</v>
      </c>
      <c r="AH1719" s="11">
        <v>80.254999999999995</v>
      </c>
      <c r="AI1719" s="11">
        <v>79.846000000000004</v>
      </c>
      <c r="AJ1719" s="11">
        <v>79.463999999999999</v>
      </c>
      <c r="AK1719" s="11">
        <v>79.057000000000002</v>
      </c>
      <c r="AL1719" s="11"/>
    </row>
    <row r="1720" spans="1:38" x14ac:dyDescent="0.3">
      <c r="A1720" s="9">
        <f>DATE(2023, 8, 25)</f>
        <v>45163</v>
      </c>
      <c r="B1720" s="10">
        <v>84.48</v>
      </c>
      <c r="C1720" s="10">
        <v>83.95</v>
      </c>
      <c r="D1720" s="10">
        <v>83.56</v>
      </c>
      <c r="E1720" s="10">
        <v>83.16</v>
      </c>
      <c r="F1720" s="10">
        <v>82.75</v>
      </c>
      <c r="G1720" s="10">
        <v>82.35</v>
      </c>
      <c r="H1720" s="10">
        <v>81.98</v>
      </c>
      <c r="I1720" s="10">
        <v>81.63</v>
      </c>
      <c r="J1720" s="10">
        <v>81.27</v>
      </c>
      <c r="K1720" s="10">
        <v>80.930000000000007</v>
      </c>
      <c r="L1720" s="10">
        <v>80.569999999999993</v>
      </c>
      <c r="M1720" s="10">
        <v>80.22</v>
      </c>
      <c r="N1720" s="10">
        <v>79.83</v>
      </c>
      <c r="O1720" s="10">
        <v>79.489999999999995</v>
      </c>
      <c r="P1720" s="10">
        <v>79.09</v>
      </c>
      <c r="Q1720" s="10">
        <v>78.69</v>
      </c>
      <c r="R1720" s="10">
        <v>78.290000000000006</v>
      </c>
      <c r="S1720" s="10">
        <v>77.900000000000006</v>
      </c>
      <c r="T1720" s="10">
        <v>77.52</v>
      </c>
      <c r="U1720" s="10">
        <v>77.16</v>
      </c>
      <c r="V1720" s="10">
        <v>76.8</v>
      </c>
      <c r="W1720" s="10">
        <v>76.42</v>
      </c>
      <c r="X1720" s="10">
        <v>76.040000000000006</v>
      </c>
      <c r="Y1720" s="10">
        <v>75.67</v>
      </c>
      <c r="Z1720" s="11">
        <v>86.373000000000005</v>
      </c>
      <c r="AA1720" s="11">
        <v>85.111000000000004</v>
      </c>
      <c r="AB1720" s="11">
        <v>84.248000000000005</v>
      </c>
      <c r="AC1720" s="11">
        <v>83.501000000000005</v>
      </c>
      <c r="AD1720" s="11">
        <v>82.86</v>
      </c>
      <c r="AE1720" s="11">
        <v>82.272999999999996</v>
      </c>
      <c r="AF1720" s="11">
        <v>81.753</v>
      </c>
      <c r="AG1720" s="11">
        <v>81.281999999999996</v>
      </c>
      <c r="AH1720" s="11">
        <v>80.825000000000003</v>
      </c>
      <c r="AI1720" s="11">
        <v>80.403999999999996</v>
      </c>
      <c r="AJ1720" s="11">
        <v>79.972999999999999</v>
      </c>
      <c r="AK1720" s="11">
        <v>79.575999999999993</v>
      </c>
      <c r="AL1720" s="11"/>
    </row>
    <row r="1721" spans="1:38" x14ac:dyDescent="0.3">
      <c r="A1721" s="9">
        <f>DATE(2023, 8, 28)</f>
        <v>45166</v>
      </c>
      <c r="B1721" s="10">
        <v>84.42</v>
      </c>
      <c r="C1721" s="10">
        <v>83.87</v>
      </c>
      <c r="D1721" s="10">
        <v>83.48</v>
      </c>
      <c r="E1721" s="10">
        <v>83.07</v>
      </c>
      <c r="F1721" s="10">
        <v>82.66</v>
      </c>
      <c r="G1721" s="10">
        <v>82.26</v>
      </c>
      <c r="H1721" s="10">
        <v>81.88</v>
      </c>
      <c r="I1721" s="10">
        <v>81.510000000000005</v>
      </c>
      <c r="J1721" s="10">
        <v>81.150000000000006</v>
      </c>
      <c r="K1721" s="10">
        <v>80.790000000000006</v>
      </c>
      <c r="L1721" s="10">
        <v>80.42</v>
      </c>
      <c r="M1721" s="10">
        <v>80.06</v>
      </c>
      <c r="N1721" s="10">
        <v>80.099999999999994</v>
      </c>
      <c r="O1721" s="10">
        <v>79.67</v>
      </c>
      <c r="P1721" s="10">
        <v>79.209999999999994</v>
      </c>
      <c r="Q1721" s="10">
        <v>78.760000000000005</v>
      </c>
      <c r="R1721" s="10">
        <v>78.319999999999993</v>
      </c>
      <c r="S1721" s="10">
        <v>77.91</v>
      </c>
      <c r="T1721" s="10">
        <v>77.510000000000005</v>
      </c>
      <c r="U1721" s="10">
        <v>77.13</v>
      </c>
      <c r="V1721" s="10">
        <v>76.739999999999995</v>
      </c>
      <c r="W1721" s="10">
        <v>76.33</v>
      </c>
      <c r="X1721" s="10">
        <v>75.94</v>
      </c>
      <c r="Y1721" s="10">
        <v>75.55</v>
      </c>
      <c r="Z1721" s="11">
        <v>86.355999999999995</v>
      </c>
      <c r="AA1721" s="11">
        <v>84.947000000000003</v>
      </c>
      <c r="AB1721" s="11">
        <v>84.126000000000005</v>
      </c>
      <c r="AC1721" s="11">
        <v>83.385999999999996</v>
      </c>
      <c r="AD1721" s="11">
        <v>82.754999999999995</v>
      </c>
      <c r="AE1721" s="11">
        <v>82.186000000000007</v>
      </c>
      <c r="AF1721" s="11">
        <v>81.691999999999993</v>
      </c>
      <c r="AG1721" s="11">
        <v>81.221999999999994</v>
      </c>
      <c r="AH1721" s="11">
        <v>80.754000000000005</v>
      </c>
      <c r="AI1721" s="11">
        <v>80.313999999999993</v>
      </c>
      <c r="AJ1721" s="11">
        <v>79.891999999999996</v>
      </c>
      <c r="AK1721" s="11">
        <v>79.474999999999994</v>
      </c>
      <c r="AL1721" s="11"/>
    </row>
    <row r="1722" spans="1:38" x14ac:dyDescent="0.3">
      <c r="A1722" s="9">
        <f>DATE(2023, 8, 29)</f>
        <v>45167</v>
      </c>
      <c r="B1722" s="10">
        <v>85.49</v>
      </c>
      <c r="C1722" s="10">
        <v>84.91</v>
      </c>
      <c r="D1722" s="10">
        <v>84.44</v>
      </c>
      <c r="E1722" s="10">
        <v>83.97</v>
      </c>
      <c r="F1722" s="10">
        <v>83.51</v>
      </c>
      <c r="G1722" s="10">
        <v>83.07</v>
      </c>
      <c r="H1722" s="10">
        <v>82.66</v>
      </c>
      <c r="I1722" s="10">
        <v>82.27</v>
      </c>
      <c r="J1722" s="10">
        <v>81.89</v>
      </c>
      <c r="K1722" s="10">
        <v>81.510000000000005</v>
      </c>
      <c r="L1722" s="10">
        <v>81.13</v>
      </c>
      <c r="M1722" s="10">
        <v>80.760000000000005</v>
      </c>
      <c r="N1722" s="10">
        <v>81.16</v>
      </c>
      <c r="O1722" s="10">
        <v>80.680000000000007</v>
      </c>
      <c r="P1722" s="10">
        <v>80.17</v>
      </c>
      <c r="Q1722" s="10">
        <v>79.67</v>
      </c>
      <c r="R1722" s="10">
        <v>79.19</v>
      </c>
      <c r="S1722" s="10">
        <v>78.739999999999995</v>
      </c>
      <c r="T1722" s="10">
        <v>78.31</v>
      </c>
      <c r="U1722" s="10">
        <v>77.89</v>
      </c>
      <c r="V1722" s="10">
        <v>77.489999999999995</v>
      </c>
      <c r="W1722" s="10">
        <v>77.069999999999993</v>
      </c>
      <c r="X1722" s="10">
        <v>76.650000000000006</v>
      </c>
      <c r="Y1722" s="10">
        <v>76.25</v>
      </c>
      <c r="Z1722" s="11">
        <v>86.433999999999997</v>
      </c>
      <c r="AA1722" s="11">
        <v>85.757999999999996</v>
      </c>
      <c r="AB1722" s="11">
        <v>84.95</v>
      </c>
      <c r="AC1722" s="11">
        <v>84.200999999999993</v>
      </c>
      <c r="AD1722" s="11">
        <v>83.54</v>
      </c>
      <c r="AE1722" s="11">
        <v>82.950999999999993</v>
      </c>
      <c r="AF1722" s="11">
        <v>82.430999999999997</v>
      </c>
      <c r="AG1722" s="11">
        <v>81.930999999999997</v>
      </c>
      <c r="AH1722" s="11">
        <v>81.442999999999998</v>
      </c>
      <c r="AI1722" s="11">
        <v>80.992999999999995</v>
      </c>
      <c r="AJ1722" s="11">
        <v>80.542000000000002</v>
      </c>
      <c r="AK1722" s="11">
        <v>80.105000000000004</v>
      </c>
      <c r="AL1722" s="11"/>
    </row>
    <row r="1723" spans="1:38" x14ac:dyDescent="0.3">
      <c r="A1723" s="9">
        <f>DATE(2023, 8, 30)</f>
        <v>45168</v>
      </c>
      <c r="B1723" s="10">
        <v>85.86</v>
      </c>
      <c r="C1723" s="10">
        <v>85.24</v>
      </c>
      <c r="D1723" s="10">
        <v>84.75</v>
      </c>
      <c r="E1723" s="10">
        <v>84.26</v>
      </c>
      <c r="F1723" s="10">
        <v>83.77</v>
      </c>
      <c r="G1723" s="10">
        <v>83.3</v>
      </c>
      <c r="H1723" s="10">
        <v>82.86</v>
      </c>
      <c r="I1723" s="10">
        <v>82.45</v>
      </c>
      <c r="J1723" s="10">
        <v>82.05</v>
      </c>
      <c r="K1723" s="10">
        <v>81.66</v>
      </c>
      <c r="L1723" s="10">
        <v>81.27</v>
      </c>
      <c r="M1723" s="10">
        <v>80.88</v>
      </c>
      <c r="N1723" s="10">
        <v>81.63</v>
      </c>
      <c r="O1723" s="10">
        <v>81.12</v>
      </c>
      <c r="P1723" s="10">
        <v>80.569999999999993</v>
      </c>
      <c r="Q1723" s="10">
        <v>80.02</v>
      </c>
      <c r="R1723" s="10">
        <v>79.489999999999995</v>
      </c>
      <c r="S1723" s="10">
        <v>79</v>
      </c>
      <c r="T1723" s="10">
        <v>78.540000000000006</v>
      </c>
      <c r="U1723" s="10">
        <v>78.09</v>
      </c>
      <c r="V1723" s="10">
        <v>77.680000000000007</v>
      </c>
      <c r="W1723" s="10">
        <v>77.23</v>
      </c>
      <c r="X1723" s="10">
        <v>76.8</v>
      </c>
      <c r="Y1723" s="10">
        <v>76.38</v>
      </c>
      <c r="Z1723" s="11">
        <v>86.453999999999994</v>
      </c>
      <c r="AA1723" s="11">
        <v>86.231999999999999</v>
      </c>
      <c r="AB1723" s="11">
        <v>85.373000000000005</v>
      </c>
      <c r="AC1723" s="11">
        <v>84.587999999999994</v>
      </c>
      <c r="AD1723" s="11">
        <v>83.873000000000005</v>
      </c>
      <c r="AE1723" s="11">
        <v>83.245000000000005</v>
      </c>
      <c r="AF1723" s="11">
        <v>82.694999999999993</v>
      </c>
      <c r="AG1723" s="11">
        <v>82.17</v>
      </c>
      <c r="AH1723" s="11">
        <v>81.671999999999997</v>
      </c>
      <c r="AI1723" s="11">
        <v>81.203000000000003</v>
      </c>
      <c r="AJ1723" s="11">
        <v>80.751000000000005</v>
      </c>
      <c r="AK1723" s="11">
        <v>80.313999999999993</v>
      </c>
      <c r="AL1723" s="11"/>
    </row>
    <row r="1724" spans="1:38" x14ac:dyDescent="0.3">
      <c r="A1724" s="9">
        <f>DATE(2023, 8, 31)</f>
        <v>45169</v>
      </c>
      <c r="B1724" s="10">
        <v>86.86</v>
      </c>
      <c r="C1724" s="10">
        <v>86.83</v>
      </c>
      <c r="D1724" s="10">
        <v>86.23</v>
      </c>
      <c r="E1724" s="10">
        <v>85.64</v>
      </c>
      <c r="F1724" s="10">
        <v>85.07</v>
      </c>
      <c r="G1724" s="10">
        <v>84.52</v>
      </c>
      <c r="H1724" s="10">
        <v>84.03</v>
      </c>
      <c r="I1724" s="10">
        <v>83.56</v>
      </c>
      <c r="J1724" s="10">
        <v>83.12</v>
      </c>
      <c r="K1724" s="10">
        <v>82.68</v>
      </c>
      <c r="L1724" s="10">
        <v>82.24</v>
      </c>
      <c r="M1724" s="10">
        <v>81.819999999999993</v>
      </c>
      <c r="N1724" s="10">
        <v>83.63</v>
      </c>
      <c r="O1724" s="10">
        <v>82.96</v>
      </c>
      <c r="P1724" s="10">
        <v>82.26</v>
      </c>
      <c r="Q1724" s="10">
        <v>81.58</v>
      </c>
      <c r="R1724" s="10">
        <v>80.930000000000007</v>
      </c>
      <c r="S1724" s="10">
        <v>80.349999999999994</v>
      </c>
      <c r="T1724" s="10">
        <v>79.81</v>
      </c>
      <c r="U1724" s="10">
        <v>79.319999999999993</v>
      </c>
      <c r="V1724" s="10">
        <v>78.84</v>
      </c>
      <c r="W1724" s="10">
        <v>78.349999999999994</v>
      </c>
      <c r="X1724" s="10">
        <v>77.87</v>
      </c>
      <c r="Y1724" s="10">
        <v>77.400000000000006</v>
      </c>
      <c r="Z1724" s="11">
        <v>86.465000000000003</v>
      </c>
      <c r="AA1724" s="11">
        <v>87.972999999999999</v>
      </c>
      <c r="AB1724" s="11">
        <v>87.072999999999993</v>
      </c>
      <c r="AC1724" s="11">
        <v>86.213999999999999</v>
      </c>
      <c r="AD1724" s="11">
        <v>85.415000000000006</v>
      </c>
      <c r="AE1724" s="11">
        <v>84.671000000000006</v>
      </c>
      <c r="AF1724" s="11">
        <v>84.025000000000006</v>
      </c>
      <c r="AG1724" s="11">
        <v>83.447999999999993</v>
      </c>
      <c r="AH1724" s="11">
        <v>82.89</v>
      </c>
      <c r="AI1724" s="11">
        <v>82.331000000000003</v>
      </c>
      <c r="AJ1724" s="11">
        <v>81.759</v>
      </c>
      <c r="AK1724" s="11">
        <v>81.272000000000006</v>
      </c>
      <c r="AL1724" s="11"/>
    </row>
    <row r="1725" spans="1:38" x14ac:dyDescent="0.3">
      <c r="A1725" s="9">
        <f>DATE(2023, 9, 1)</f>
        <v>45170</v>
      </c>
      <c r="B1725" s="10">
        <v>88.55</v>
      </c>
      <c r="C1725" s="10">
        <v>87.8</v>
      </c>
      <c r="D1725" s="10">
        <v>87.1</v>
      </c>
      <c r="E1725" s="10">
        <v>86.43</v>
      </c>
      <c r="F1725" s="10">
        <v>85.82</v>
      </c>
      <c r="G1725" s="10">
        <v>85.28</v>
      </c>
      <c r="H1725" s="10">
        <v>84.78</v>
      </c>
      <c r="I1725" s="10">
        <v>84.31</v>
      </c>
      <c r="J1725" s="10">
        <v>83.84</v>
      </c>
      <c r="K1725" s="10">
        <v>83.38</v>
      </c>
      <c r="L1725" s="10">
        <v>82.93</v>
      </c>
      <c r="M1725" s="10">
        <v>82.5</v>
      </c>
      <c r="N1725" s="10">
        <v>85.55</v>
      </c>
      <c r="O1725" s="10">
        <v>84.75</v>
      </c>
      <c r="P1725" s="10">
        <v>83.9</v>
      </c>
      <c r="Q1725" s="10">
        <v>83.11</v>
      </c>
      <c r="R1725" s="10">
        <v>82.38</v>
      </c>
      <c r="S1725" s="10">
        <v>81.72</v>
      </c>
      <c r="T1725" s="10">
        <v>81.12</v>
      </c>
      <c r="U1725" s="10">
        <v>80.569999999999993</v>
      </c>
      <c r="V1725" s="10">
        <v>80.05</v>
      </c>
      <c r="W1725" s="10">
        <v>79.510000000000005</v>
      </c>
      <c r="X1725" s="10">
        <v>79</v>
      </c>
      <c r="Y1725" s="10">
        <v>78.5</v>
      </c>
      <c r="Z1725" s="11">
        <v>86.465000000000003</v>
      </c>
      <c r="AA1725" s="11">
        <v>89.644000000000005</v>
      </c>
      <c r="AB1725" s="11">
        <v>88.703999999999994</v>
      </c>
      <c r="AC1725" s="11">
        <v>87.786000000000001</v>
      </c>
      <c r="AD1725" s="11">
        <v>86.885999999999996</v>
      </c>
      <c r="AE1725" s="11">
        <v>86.114999999999995</v>
      </c>
      <c r="AF1725" s="11">
        <v>85.400999999999996</v>
      </c>
      <c r="AG1725" s="11">
        <v>84.781999999999996</v>
      </c>
      <c r="AH1725" s="11">
        <v>84.209000000000003</v>
      </c>
      <c r="AI1725" s="11">
        <v>83.67</v>
      </c>
      <c r="AJ1725" s="11">
        <v>83.147999999999996</v>
      </c>
      <c r="AK1725" s="11">
        <v>82.620999999999995</v>
      </c>
      <c r="AL1725" s="11"/>
    </row>
    <row r="1726" spans="1:38" x14ac:dyDescent="0.3">
      <c r="A1726" s="9">
        <f>DATE(2023, 9, 4)</f>
        <v>45173</v>
      </c>
      <c r="B1726" s="10">
        <v>89</v>
      </c>
      <c r="C1726" s="10">
        <v>88.25</v>
      </c>
      <c r="D1726" s="10">
        <v>87.55</v>
      </c>
      <c r="E1726" s="10">
        <v>86.89</v>
      </c>
      <c r="F1726" s="10">
        <v>86.3</v>
      </c>
      <c r="G1726" s="10">
        <v>85.76</v>
      </c>
      <c r="H1726" s="10">
        <v>85.27</v>
      </c>
      <c r="I1726" s="10">
        <v>84.81</v>
      </c>
      <c r="J1726" s="10">
        <v>84.35</v>
      </c>
      <c r="K1726" s="10">
        <v>83.89</v>
      </c>
      <c r="L1726" s="10">
        <v>83.44</v>
      </c>
      <c r="M1726" s="10">
        <v>83.01</v>
      </c>
      <c r="N1726" s="10">
        <v>85.55</v>
      </c>
      <c r="O1726" s="10">
        <v>84.75</v>
      </c>
      <c r="P1726" s="10">
        <v>83.9</v>
      </c>
      <c r="Q1726" s="10">
        <v>83.11</v>
      </c>
      <c r="R1726" s="10">
        <v>82.38</v>
      </c>
      <c r="S1726" s="10">
        <v>81.72</v>
      </c>
      <c r="T1726" s="10">
        <v>81.12</v>
      </c>
      <c r="U1726" s="10">
        <v>80.569999999999993</v>
      </c>
      <c r="V1726" s="10">
        <v>80.05</v>
      </c>
      <c r="W1726" s="10">
        <v>79.510000000000005</v>
      </c>
      <c r="X1726" s="10">
        <v>79</v>
      </c>
      <c r="Y1726" s="10">
        <v>78.5</v>
      </c>
      <c r="Z1726" s="11">
        <v>89.983000000000004</v>
      </c>
      <c r="AA1726" s="11">
        <v>89.097999999999999</v>
      </c>
      <c r="AB1726" s="11">
        <v>88.198999999999998</v>
      </c>
      <c r="AC1726" s="11">
        <v>87.350999999999999</v>
      </c>
      <c r="AD1726" s="11">
        <v>86.605000000000004</v>
      </c>
      <c r="AE1726" s="11">
        <v>85.917000000000002</v>
      </c>
      <c r="AF1726" s="11">
        <v>85.307000000000002</v>
      </c>
      <c r="AG1726" s="11">
        <v>84.728999999999999</v>
      </c>
      <c r="AH1726" s="11">
        <v>84.18</v>
      </c>
      <c r="AI1726" s="11">
        <v>83.658000000000001</v>
      </c>
      <c r="AJ1726" s="11">
        <v>83.161000000000001</v>
      </c>
      <c r="AK1726" s="11">
        <v>82.66</v>
      </c>
      <c r="AL1726" s="11"/>
    </row>
    <row r="1727" spans="1:38" x14ac:dyDescent="0.3">
      <c r="A1727" s="9">
        <f>DATE(2023, 9, 5)</f>
        <v>45174</v>
      </c>
      <c r="B1727" s="10">
        <v>90.04</v>
      </c>
      <c r="C1727" s="10">
        <v>89.35</v>
      </c>
      <c r="D1727" s="10">
        <v>88.59</v>
      </c>
      <c r="E1727" s="10">
        <v>87.84</v>
      </c>
      <c r="F1727" s="10">
        <v>87.14</v>
      </c>
      <c r="G1727" s="10">
        <v>86.51</v>
      </c>
      <c r="H1727" s="10">
        <v>85.94</v>
      </c>
      <c r="I1727" s="10">
        <v>85.41</v>
      </c>
      <c r="J1727" s="10">
        <v>84.88</v>
      </c>
      <c r="K1727" s="10">
        <v>84.37</v>
      </c>
      <c r="L1727" s="10">
        <v>83.88</v>
      </c>
      <c r="M1727" s="10">
        <v>83.41</v>
      </c>
      <c r="N1727" s="10">
        <v>86.69</v>
      </c>
      <c r="O1727" s="10">
        <v>86.01</v>
      </c>
      <c r="P1727" s="10">
        <v>85.21</v>
      </c>
      <c r="Q1727" s="10">
        <v>84.38</v>
      </c>
      <c r="R1727" s="10">
        <v>83.59</v>
      </c>
      <c r="S1727" s="10">
        <v>82.87</v>
      </c>
      <c r="T1727" s="10">
        <v>82.22</v>
      </c>
      <c r="U1727" s="10">
        <v>81.61</v>
      </c>
      <c r="V1727" s="10">
        <v>81.03</v>
      </c>
      <c r="W1727" s="10">
        <v>80.45</v>
      </c>
      <c r="X1727" s="10">
        <v>79.89</v>
      </c>
      <c r="Y1727" s="10">
        <v>79.38</v>
      </c>
      <c r="Z1727" s="11">
        <v>91.215999999999994</v>
      </c>
      <c r="AA1727" s="11">
        <v>90.263000000000005</v>
      </c>
      <c r="AB1727" s="11">
        <v>89.233999999999995</v>
      </c>
      <c r="AC1727" s="11">
        <v>88.253</v>
      </c>
      <c r="AD1727" s="11">
        <v>87.403999999999996</v>
      </c>
      <c r="AE1727" s="11">
        <v>86.653000000000006</v>
      </c>
      <c r="AF1727" s="11">
        <v>85.968999999999994</v>
      </c>
      <c r="AG1727" s="11">
        <v>85.335999999999999</v>
      </c>
      <c r="AH1727" s="11">
        <v>84.658000000000001</v>
      </c>
      <c r="AI1727" s="11">
        <v>84.085999999999999</v>
      </c>
      <c r="AJ1727" s="11">
        <v>83.56</v>
      </c>
      <c r="AK1727" s="11">
        <v>83.049000000000007</v>
      </c>
      <c r="AL1727" s="11"/>
    </row>
    <row r="1728" spans="1:38" x14ac:dyDescent="0.3">
      <c r="A1728" s="9">
        <f>DATE(2023, 9, 6)</f>
        <v>45175</v>
      </c>
      <c r="B1728" s="10">
        <v>90.6</v>
      </c>
      <c r="C1728" s="10">
        <v>89.86</v>
      </c>
      <c r="D1728" s="10">
        <v>89.05</v>
      </c>
      <c r="E1728" s="10">
        <v>88.25</v>
      </c>
      <c r="F1728" s="10">
        <v>87.51</v>
      </c>
      <c r="G1728" s="10">
        <v>86.83</v>
      </c>
      <c r="H1728" s="10">
        <v>86.2</v>
      </c>
      <c r="I1728" s="10">
        <v>85.62</v>
      </c>
      <c r="J1728" s="10">
        <v>85.06</v>
      </c>
      <c r="K1728" s="10">
        <v>84.53</v>
      </c>
      <c r="L1728" s="10">
        <v>84.01</v>
      </c>
      <c r="M1728" s="10">
        <v>83.52</v>
      </c>
      <c r="N1728" s="10">
        <v>87.54</v>
      </c>
      <c r="O1728" s="10">
        <v>86.79</v>
      </c>
      <c r="P1728" s="10">
        <v>85.93</v>
      </c>
      <c r="Q1728" s="10">
        <v>85.06</v>
      </c>
      <c r="R1728" s="10">
        <v>84.22</v>
      </c>
      <c r="S1728" s="10">
        <v>83.44</v>
      </c>
      <c r="T1728" s="10">
        <v>82.72</v>
      </c>
      <c r="U1728" s="10">
        <v>82.04</v>
      </c>
      <c r="V1728" s="10">
        <v>81.400000000000006</v>
      </c>
      <c r="W1728" s="10">
        <v>80.760000000000005</v>
      </c>
      <c r="X1728" s="10">
        <v>80.16</v>
      </c>
      <c r="Y1728" s="10">
        <v>79.59</v>
      </c>
      <c r="Z1728" s="11">
        <v>91.465999999999994</v>
      </c>
      <c r="AA1728" s="11">
        <v>90.72</v>
      </c>
      <c r="AB1728" s="11">
        <v>89.724000000000004</v>
      </c>
      <c r="AC1728" s="11">
        <v>88.704999999999998</v>
      </c>
      <c r="AD1728" s="11">
        <v>87.834000000000003</v>
      </c>
      <c r="AE1728" s="11">
        <v>87.009</v>
      </c>
      <c r="AF1728" s="11">
        <v>86.251000000000005</v>
      </c>
      <c r="AG1728" s="11">
        <v>85.555000000000007</v>
      </c>
      <c r="AH1728" s="11">
        <v>84.936999999999998</v>
      </c>
      <c r="AI1728" s="11">
        <v>84.343999999999994</v>
      </c>
      <c r="AJ1728" s="11">
        <v>83.748999999999995</v>
      </c>
      <c r="AK1728" s="11">
        <v>83.198999999999998</v>
      </c>
      <c r="AL1728" s="11"/>
    </row>
    <row r="1729" spans="1:38" x14ac:dyDescent="0.3">
      <c r="A1729" s="9">
        <f>DATE(2023, 9, 7)</f>
        <v>45176</v>
      </c>
      <c r="B1729" s="10">
        <v>89.92</v>
      </c>
      <c r="C1729" s="10">
        <v>89.25</v>
      </c>
      <c r="D1729" s="10">
        <v>88.49</v>
      </c>
      <c r="E1729" s="10">
        <v>87.74</v>
      </c>
      <c r="F1729" s="10">
        <v>87.04</v>
      </c>
      <c r="G1729" s="10">
        <v>86.4</v>
      </c>
      <c r="H1729" s="10">
        <v>85.8</v>
      </c>
      <c r="I1729" s="10">
        <v>85.25</v>
      </c>
      <c r="J1729" s="10">
        <v>84.72</v>
      </c>
      <c r="K1729" s="10">
        <v>84.22</v>
      </c>
      <c r="L1729" s="10">
        <v>83.74</v>
      </c>
      <c r="M1729" s="10">
        <v>83.29</v>
      </c>
      <c r="N1729" s="10">
        <v>86.87</v>
      </c>
      <c r="O1729" s="10">
        <v>86.15</v>
      </c>
      <c r="P1729" s="10">
        <v>85.32</v>
      </c>
      <c r="Q1729" s="10">
        <v>84.49</v>
      </c>
      <c r="R1729" s="10">
        <v>83.69</v>
      </c>
      <c r="S1729" s="10">
        <v>82.96</v>
      </c>
      <c r="T1729" s="10">
        <v>82.28</v>
      </c>
      <c r="U1729" s="10">
        <v>81.650000000000006</v>
      </c>
      <c r="V1729" s="10">
        <v>81.03</v>
      </c>
      <c r="W1729" s="10">
        <v>80.430000000000007</v>
      </c>
      <c r="X1729" s="10">
        <v>79.87</v>
      </c>
      <c r="Y1729" s="10">
        <v>79.349999999999994</v>
      </c>
      <c r="Z1729" s="11">
        <v>90.802000000000007</v>
      </c>
      <c r="AA1729" s="11">
        <v>90.01</v>
      </c>
      <c r="AB1729" s="11">
        <v>89.042000000000002</v>
      </c>
      <c r="AC1729" s="11">
        <v>88.091999999999999</v>
      </c>
      <c r="AD1729" s="11">
        <v>87.253</v>
      </c>
      <c r="AE1729" s="11">
        <v>86.501000000000005</v>
      </c>
      <c r="AF1729" s="11">
        <v>85.802999999999997</v>
      </c>
      <c r="AG1729" s="11">
        <v>85.146000000000001</v>
      </c>
      <c r="AH1729" s="11">
        <v>84.537999999999997</v>
      </c>
      <c r="AI1729" s="11">
        <v>83.965999999999994</v>
      </c>
      <c r="AJ1729" s="11">
        <v>83.41</v>
      </c>
      <c r="AK1729" s="11">
        <v>82.89</v>
      </c>
      <c r="AL1729" s="11"/>
    </row>
    <row r="1730" spans="1:38" x14ac:dyDescent="0.3">
      <c r="A1730" s="9">
        <f>DATE(2023, 9, 8)</f>
        <v>45177</v>
      </c>
      <c r="B1730" s="10">
        <v>90.65</v>
      </c>
      <c r="C1730" s="10">
        <v>90.03</v>
      </c>
      <c r="D1730" s="10">
        <v>89.29</v>
      </c>
      <c r="E1730" s="10">
        <v>88.53</v>
      </c>
      <c r="F1730" s="10">
        <v>87.8</v>
      </c>
      <c r="G1730" s="10">
        <v>87.11</v>
      </c>
      <c r="H1730" s="10">
        <v>86.48</v>
      </c>
      <c r="I1730" s="10">
        <v>85.89</v>
      </c>
      <c r="J1730" s="10">
        <v>85.32</v>
      </c>
      <c r="K1730" s="10">
        <v>84.78</v>
      </c>
      <c r="L1730" s="10">
        <v>84.26</v>
      </c>
      <c r="M1730" s="10">
        <v>83.77</v>
      </c>
      <c r="N1730" s="10">
        <v>87.51</v>
      </c>
      <c r="O1730" s="10">
        <v>86.81</v>
      </c>
      <c r="P1730" s="10">
        <v>86</v>
      </c>
      <c r="Q1730" s="10">
        <v>85.15</v>
      </c>
      <c r="R1730" s="10">
        <v>84.31</v>
      </c>
      <c r="S1730" s="10">
        <v>83.53</v>
      </c>
      <c r="T1730" s="10">
        <v>82.81</v>
      </c>
      <c r="U1730" s="10">
        <v>82.14</v>
      </c>
      <c r="V1730" s="10">
        <v>81.48</v>
      </c>
      <c r="W1730" s="10">
        <v>80.84</v>
      </c>
      <c r="X1730" s="10">
        <v>80.25</v>
      </c>
      <c r="Y1730" s="10">
        <v>79.69</v>
      </c>
      <c r="Z1730" s="11">
        <v>91.418000000000006</v>
      </c>
      <c r="AA1730" s="11">
        <v>90.766000000000005</v>
      </c>
      <c r="AB1730" s="11">
        <v>89.814999999999998</v>
      </c>
      <c r="AC1730" s="11">
        <v>88.861999999999995</v>
      </c>
      <c r="AD1730" s="11">
        <v>88.004000000000005</v>
      </c>
      <c r="AE1730" s="11">
        <v>87.224999999999994</v>
      </c>
      <c r="AF1730" s="11">
        <v>86.506</v>
      </c>
      <c r="AG1730" s="11">
        <v>85.793999999999997</v>
      </c>
      <c r="AH1730" s="11">
        <v>85.126999999999995</v>
      </c>
      <c r="AI1730" s="11">
        <v>84.494</v>
      </c>
      <c r="AJ1730" s="11">
        <v>83.929000000000002</v>
      </c>
      <c r="AK1730" s="11">
        <v>83.378</v>
      </c>
      <c r="AL1730" s="11"/>
    </row>
    <row r="1731" spans="1:38" x14ac:dyDescent="0.3">
      <c r="A1731" s="9">
        <f>DATE(2023, 9, 11)</f>
        <v>45180</v>
      </c>
      <c r="B1731" s="10">
        <v>90.64</v>
      </c>
      <c r="C1731" s="10">
        <v>90.04</v>
      </c>
      <c r="D1731" s="10">
        <v>89.32</v>
      </c>
      <c r="E1731" s="10">
        <v>88.58</v>
      </c>
      <c r="F1731" s="10">
        <v>87.85</v>
      </c>
      <c r="G1731" s="10">
        <v>87.17</v>
      </c>
      <c r="H1731" s="10">
        <v>86.53</v>
      </c>
      <c r="I1731" s="10">
        <v>85.94</v>
      </c>
      <c r="J1731" s="10">
        <v>85.37</v>
      </c>
      <c r="K1731" s="10">
        <v>84.82</v>
      </c>
      <c r="L1731" s="10">
        <v>84.3</v>
      </c>
      <c r="M1731" s="10">
        <v>83.81</v>
      </c>
      <c r="N1731" s="10">
        <v>87.29</v>
      </c>
      <c r="O1731" s="10">
        <v>86.66</v>
      </c>
      <c r="P1731" s="10">
        <v>85.94</v>
      </c>
      <c r="Q1731" s="10">
        <v>85.15</v>
      </c>
      <c r="R1731" s="10">
        <v>84.35</v>
      </c>
      <c r="S1731" s="10">
        <v>83.6</v>
      </c>
      <c r="T1731" s="10">
        <v>82.9</v>
      </c>
      <c r="U1731" s="10">
        <v>82.24</v>
      </c>
      <c r="V1731" s="10">
        <v>81.569999999999993</v>
      </c>
      <c r="W1731" s="10">
        <v>80.94</v>
      </c>
      <c r="X1731" s="10">
        <v>80.349999999999994</v>
      </c>
      <c r="Y1731" s="10">
        <v>79.8</v>
      </c>
      <c r="Z1731" s="11">
        <v>91.349000000000004</v>
      </c>
      <c r="AA1731" s="11">
        <v>90.71</v>
      </c>
      <c r="AB1731" s="11">
        <v>89.76</v>
      </c>
      <c r="AC1731" s="11">
        <v>88.822000000000003</v>
      </c>
      <c r="AD1731" s="11">
        <v>87.963999999999999</v>
      </c>
      <c r="AE1731" s="11">
        <v>87.2</v>
      </c>
      <c r="AF1731" s="11">
        <v>86.471000000000004</v>
      </c>
      <c r="AG1731" s="11">
        <v>85.804000000000002</v>
      </c>
      <c r="AH1731" s="11">
        <v>85.156000000000006</v>
      </c>
      <c r="AI1731" s="11">
        <v>84.534000000000006</v>
      </c>
      <c r="AJ1731" s="11">
        <v>83.948999999999998</v>
      </c>
      <c r="AK1731" s="11">
        <v>83.388999999999996</v>
      </c>
      <c r="AL1731" s="11"/>
    </row>
    <row r="1732" spans="1:38" x14ac:dyDescent="0.3">
      <c r="A1732" s="9">
        <f>DATE(2023, 9, 12)</f>
        <v>45181</v>
      </c>
      <c r="B1732" s="10">
        <v>92.06</v>
      </c>
      <c r="C1732" s="10">
        <v>91.33</v>
      </c>
      <c r="D1732" s="10">
        <v>90.51</v>
      </c>
      <c r="E1732" s="10">
        <v>89.68</v>
      </c>
      <c r="F1732" s="10">
        <v>88.88</v>
      </c>
      <c r="G1732" s="10">
        <v>88.12</v>
      </c>
      <c r="H1732" s="10">
        <v>87.42</v>
      </c>
      <c r="I1732" s="10">
        <v>86.77</v>
      </c>
      <c r="J1732" s="10">
        <v>86.14</v>
      </c>
      <c r="K1732" s="10">
        <v>85.54</v>
      </c>
      <c r="L1732" s="10">
        <v>84.98</v>
      </c>
      <c r="M1732" s="10">
        <v>84.44</v>
      </c>
      <c r="N1732" s="10">
        <v>88.84</v>
      </c>
      <c r="O1732" s="10">
        <v>88.16</v>
      </c>
      <c r="P1732" s="10">
        <v>87.36</v>
      </c>
      <c r="Q1732" s="10">
        <v>86.5</v>
      </c>
      <c r="R1732" s="10">
        <v>85.63</v>
      </c>
      <c r="S1732" s="10">
        <v>84.8</v>
      </c>
      <c r="T1732" s="10">
        <v>84.01</v>
      </c>
      <c r="U1732" s="10">
        <v>83.26</v>
      </c>
      <c r="V1732" s="10">
        <v>82.52</v>
      </c>
      <c r="W1732" s="10">
        <v>81.81</v>
      </c>
      <c r="X1732" s="10">
        <v>81.150000000000006</v>
      </c>
      <c r="Y1732" s="10">
        <v>80.55</v>
      </c>
      <c r="Z1732" s="11">
        <v>92.269000000000005</v>
      </c>
      <c r="AA1732" s="11">
        <v>92.043000000000006</v>
      </c>
      <c r="AB1732" s="11">
        <v>91.022000000000006</v>
      </c>
      <c r="AC1732" s="11">
        <v>90.010999999999996</v>
      </c>
      <c r="AD1732" s="11">
        <v>89.078000000000003</v>
      </c>
      <c r="AE1732" s="11">
        <v>88.23</v>
      </c>
      <c r="AF1732" s="11">
        <v>87.427999999999997</v>
      </c>
      <c r="AG1732" s="11">
        <v>86.710999999999999</v>
      </c>
      <c r="AH1732" s="11">
        <v>86.034000000000006</v>
      </c>
      <c r="AI1732" s="11">
        <v>85.361999999999995</v>
      </c>
      <c r="AJ1732" s="11">
        <v>84.727000000000004</v>
      </c>
      <c r="AK1732" s="11">
        <v>84.106999999999999</v>
      </c>
      <c r="AL1732" s="11"/>
    </row>
    <row r="1733" spans="1:38" x14ac:dyDescent="0.3">
      <c r="A1733" s="9">
        <f>DATE(2023, 9, 13)</f>
        <v>45182</v>
      </c>
      <c r="B1733" s="10">
        <v>91.88</v>
      </c>
      <c r="C1733" s="10">
        <v>91.2</v>
      </c>
      <c r="D1733" s="10">
        <v>90.39</v>
      </c>
      <c r="E1733" s="10">
        <v>89.57</v>
      </c>
      <c r="F1733" s="10">
        <v>88.77</v>
      </c>
      <c r="G1733" s="10">
        <v>88.02</v>
      </c>
      <c r="H1733" s="10">
        <v>87.33</v>
      </c>
      <c r="I1733" s="10">
        <v>86.68</v>
      </c>
      <c r="J1733" s="10">
        <v>86.05</v>
      </c>
      <c r="K1733" s="10">
        <v>85.45</v>
      </c>
      <c r="L1733" s="10">
        <v>84.87</v>
      </c>
      <c r="M1733" s="10">
        <v>84.33</v>
      </c>
      <c r="N1733" s="10">
        <v>88.52</v>
      </c>
      <c r="O1733" s="10">
        <v>87.88</v>
      </c>
      <c r="P1733" s="10">
        <v>87.11</v>
      </c>
      <c r="Q1733" s="10">
        <v>86.27</v>
      </c>
      <c r="R1733" s="10">
        <v>85.4</v>
      </c>
      <c r="S1733" s="10">
        <v>84.58</v>
      </c>
      <c r="T1733" s="10">
        <v>83.79</v>
      </c>
      <c r="U1733" s="10">
        <v>83.04</v>
      </c>
      <c r="V1733" s="10">
        <v>82.32</v>
      </c>
      <c r="W1733" s="10">
        <v>81.61</v>
      </c>
      <c r="X1733" s="10">
        <v>80.95</v>
      </c>
      <c r="Y1733" s="10">
        <v>80.34</v>
      </c>
      <c r="Z1733" s="11">
        <v>92.37</v>
      </c>
      <c r="AA1733" s="11">
        <v>92.07</v>
      </c>
      <c r="AB1733" s="11">
        <v>91.03</v>
      </c>
      <c r="AC1733" s="11">
        <v>89.986999999999995</v>
      </c>
      <c r="AD1733" s="11">
        <v>89.039000000000001</v>
      </c>
      <c r="AE1733" s="11">
        <v>88.188000000000002</v>
      </c>
      <c r="AF1733" s="11">
        <v>87.393000000000001</v>
      </c>
      <c r="AG1733" s="11">
        <v>86.671000000000006</v>
      </c>
      <c r="AH1733" s="11">
        <v>85.974000000000004</v>
      </c>
      <c r="AI1733" s="11">
        <v>85.290999999999997</v>
      </c>
      <c r="AJ1733" s="11">
        <v>84.637</v>
      </c>
      <c r="AK1733" s="11">
        <v>84.006</v>
      </c>
      <c r="AL1733" s="11"/>
    </row>
    <row r="1734" spans="1:38" x14ac:dyDescent="0.3">
      <c r="A1734" s="9">
        <f>DATE(2023, 9, 14)</f>
        <v>45183</v>
      </c>
      <c r="B1734" s="10">
        <v>93.7</v>
      </c>
      <c r="C1734" s="10">
        <v>92.94</v>
      </c>
      <c r="D1734" s="10">
        <v>92.07</v>
      </c>
      <c r="E1734" s="10">
        <v>91.17</v>
      </c>
      <c r="F1734" s="10">
        <v>90.28</v>
      </c>
      <c r="G1734" s="10">
        <v>89.44</v>
      </c>
      <c r="H1734" s="10">
        <v>88.68</v>
      </c>
      <c r="I1734" s="10">
        <v>87.96</v>
      </c>
      <c r="J1734" s="10">
        <v>87.27</v>
      </c>
      <c r="K1734" s="10">
        <v>86.61</v>
      </c>
      <c r="L1734" s="10">
        <v>85.98</v>
      </c>
      <c r="M1734" s="10">
        <v>85.39</v>
      </c>
      <c r="N1734" s="10">
        <v>90.16</v>
      </c>
      <c r="O1734" s="10">
        <v>89.61</v>
      </c>
      <c r="P1734" s="10">
        <v>88.81</v>
      </c>
      <c r="Q1734" s="10">
        <v>87.9</v>
      </c>
      <c r="R1734" s="10">
        <v>86.95</v>
      </c>
      <c r="S1734" s="10">
        <v>86.04</v>
      </c>
      <c r="T1734" s="10">
        <v>85.17</v>
      </c>
      <c r="U1734" s="10">
        <v>84.36</v>
      </c>
      <c r="V1734" s="10">
        <v>83.57</v>
      </c>
      <c r="W1734" s="10">
        <v>82.8</v>
      </c>
      <c r="X1734" s="10">
        <v>82.09</v>
      </c>
      <c r="Y1734" s="10">
        <v>81.42</v>
      </c>
      <c r="Z1734" s="11">
        <v>93.379000000000005</v>
      </c>
      <c r="AA1734" s="11">
        <v>93.81</v>
      </c>
      <c r="AB1734" s="11">
        <v>92.709000000000003</v>
      </c>
      <c r="AC1734" s="11">
        <v>91.620999999999995</v>
      </c>
      <c r="AD1734" s="11">
        <v>90.611999999999995</v>
      </c>
      <c r="AE1734" s="11">
        <v>89.674000000000007</v>
      </c>
      <c r="AF1734" s="11">
        <v>88.799000000000007</v>
      </c>
      <c r="AG1734" s="11">
        <v>87.968999999999994</v>
      </c>
      <c r="AH1734" s="11">
        <v>87.180999999999997</v>
      </c>
      <c r="AI1734" s="11">
        <v>86.438999999999993</v>
      </c>
      <c r="AJ1734" s="11">
        <v>85.754000000000005</v>
      </c>
      <c r="AK1734" s="11">
        <v>85.093999999999994</v>
      </c>
      <c r="AL1734" s="11"/>
    </row>
    <row r="1735" spans="1:38" x14ac:dyDescent="0.3">
      <c r="A1735" s="9">
        <f>DATE(2023, 9, 15)</f>
        <v>45184</v>
      </c>
      <c r="B1735" s="10">
        <v>93.93</v>
      </c>
      <c r="C1735" s="10">
        <v>93.04</v>
      </c>
      <c r="D1735" s="10">
        <v>92.05</v>
      </c>
      <c r="E1735" s="10">
        <v>91.06</v>
      </c>
      <c r="F1735" s="10">
        <v>90.09</v>
      </c>
      <c r="G1735" s="10">
        <v>89.21</v>
      </c>
      <c r="H1735" s="10">
        <v>88.41</v>
      </c>
      <c r="I1735" s="10">
        <v>87.68</v>
      </c>
      <c r="J1735" s="10">
        <v>86.98</v>
      </c>
      <c r="K1735" s="10">
        <v>86.32</v>
      </c>
      <c r="L1735" s="10">
        <v>85.69</v>
      </c>
      <c r="M1735" s="10">
        <v>85.11</v>
      </c>
      <c r="N1735" s="10">
        <v>90.77</v>
      </c>
      <c r="O1735" s="10">
        <v>90.02</v>
      </c>
      <c r="P1735" s="10">
        <v>88.97</v>
      </c>
      <c r="Q1735" s="10">
        <v>87.92</v>
      </c>
      <c r="R1735" s="10">
        <v>86.85</v>
      </c>
      <c r="S1735" s="10">
        <v>85.85</v>
      </c>
      <c r="T1735" s="10">
        <v>84.93</v>
      </c>
      <c r="U1735" s="10">
        <v>84.09</v>
      </c>
      <c r="V1735" s="10">
        <v>83.3</v>
      </c>
      <c r="W1735" s="10">
        <v>82.53</v>
      </c>
      <c r="X1735" s="10">
        <v>81.819999999999993</v>
      </c>
      <c r="Y1735" s="10">
        <v>81.150000000000006</v>
      </c>
      <c r="Z1735" s="11">
        <v>93.507000000000005</v>
      </c>
      <c r="AA1735" s="11">
        <v>94.003</v>
      </c>
      <c r="AB1735" s="11">
        <v>92.814999999999998</v>
      </c>
      <c r="AC1735" s="11">
        <v>91.644999999999996</v>
      </c>
      <c r="AD1735" s="11">
        <v>90.57</v>
      </c>
      <c r="AE1735" s="11">
        <v>89.591999999999999</v>
      </c>
      <c r="AF1735" s="11">
        <v>88.703999999999994</v>
      </c>
      <c r="AG1735" s="11">
        <v>87.867999999999995</v>
      </c>
      <c r="AH1735" s="11">
        <v>87.051000000000002</v>
      </c>
      <c r="AI1735" s="11">
        <v>86.299000000000007</v>
      </c>
      <c r="AJ1735" s="11">
        <v>85.584999999999994</v>
      </c>
      <c r="AK1735" s="11">
        <v>84.924999999999997</v>
      </c>
      <c r="AL1735" s="11"/>
    </row>
    <row r="1736" spans="1:38" x14ac:dyDescent="0.3">
      <c r="A1736" s="9">
        <f>DATE(2023, 9, 18)</f>
        <v>45187</v>
      </c>
      <c r="B1736" s="10">
        <v>94.43</v>
      </c>
      <c r="C1736" s="10">
        <v>93.29</v>
      </c>
      <c r="D1736" s="10">
        <v>92.1</v>
      </c>
      <c r="E1736" s="10">
        <v>91</v>
      </c>
      <c r="F1736" s="10">
        <v>89.97</v>
      </c>
      <c r="G1736" s="10">
        <v>89.07</v>
      </c>
      <c r="H1736" s="10">
        <v>88.28</v>
      </c>
      <c r="I1736" s="10">
        <v>87.56</v>
      </c>
      <c r="J1736" s="10">
        <v>86.88</v>
      </c>
      <c r="K1736" s="10">
        <v>86.25</v>
      </c>
      <c r="L1736" s="10">
        <v>85.64</v>
      </c>
      <c r="M1736" s="10">
        <v>85.08</v>
      </c>
      <c r="N1736" s="10">
        <v>91.48</v>
      </c>
      <c r="O1736" s="10">
        <v>90.58</v>
      </c>
      <c r="P1736" s="10">
        <v>89.26</v>
      </c>
      <c r="Q1736" s="10">
        <v>88.01</v>
      </c>
      <c r="R1736" s="10">
        <v>86.79</v>
      </c>
      <c r="S1736" s="10">
        <v>85.7</v>
      </c>
      <c r="T1736" s="10">
        <v>84.74</v>
      </c>
      <c r="U1736" s="10">
        <v>83.89</v>
      </c>
      <c r="V1736" s="10">
        <v>83.14</v>
      </c>
      <c r="W1736" s="10">
        <v>82.39</v>
      </c>
      <c r="X1736" s="10">
        <v>81.7</v>
      </c>
      <c r="Y1736" s="10">
        <v>81.069999999999993</v>
      </c>
      <c r="Z1736" s="11">
        <v>93.472999999999999</v>
      </c>
      <c r="AA1736" s="11">
        <v>93.813999999999993</v>
      </c>
      <c r="AB1736" s="11">
        <v>92.564999999999998</v>
      </c>
      <c r="AC1736" s="11">
        <v>91.346000000000004</v>
      </c>
      <c r="AD1736" s="11">
        <v>90.254000000000005</v>
      </c>
      <c r="AE1736" s="11">
        <v>89.262</v>
      </c>
      <c r="AF1736" s="11">
        <v>88.364000000000004</v>
      </c>
      <c r="AG1736" s="11">
        <v>87.539000000000001</v>
      </c>
      <c r="AH1736" s="11">
        <v>86.733000000000004</v>
      </c>
      <c r="AI1736" s="11">
        <v>85.97</v>
      </c>
      <c r="AJ1736" s="11">
        <v>85.325999999999993</v>
      </c>
      <c r="AK1736" s="11">
        <v>84.706000000000003</v>
      </c>
      <c r="AL1736" s="11"/>
    </row>
    <row r="1737" spans="1:38" x14ac:dyDescent="0.3">
      <c r="A1737" s="9">
        <f>DATE(2023, 9, 19)</f>
        <v>45188</v>
      </c>
      <c r="B1737" s="10">
        <v>94.34</v>
      </c>
      <c r="C1737" s="10">
        <v>93.14</v>
      </c>
      <c r="D1737" s="10">
        <v>91.88</v>
      </c>
      <c r="E1737" s="10">
        <v>90.73</v>
      </c>
      <c r="F1737" s="10">
        <v>89.72</v>
      </c>
      <c r="G1737" s="10">
        <v>88.86</v>
      </c>
      <c r="H1737" s="10">
        <v>88.06</v>
      </c>
      <c r="I1737" s="10">
        <v>87.33</v>
      </c>
      <c r="J1737" s="10">
        <v>86.66</v>
      </c>
      <c r="K1737" s="10">
        <v>86.04</v>
      </c>
      <c r="L1737" s="10">
        <v>85.45</v>
      </c>
      <c r="M1737" s="10">
        <v>84.89</v>
      </c>
      <c r="N1737" s="10">
        <v>91.2</v>
      </c>
      <c r="O1737" s="10">
        <v>90.48</v>
      </c>
      <c r="P1737" s="10">
        <v>89.17</v>
      </c>
      <c r="Q1737" s="10">
        <v>87.89</v>
      </c>
      <c r="R1737" s="10">
        <v>86.65</v>
      </c>
      <c r="S1737" s="10">
        <v>85.53</v>
      </c>
      <c r="T1737" s="10">
        <v>84.55</v>
      </c>
      <c r="U1737" s="10">
        <v>83.7</v>
      </c>
      <c r="V1737" s="10">
        <v>82.94</v>
      </c>
      <c r="W1737" s="10">
        <v>82.22</v>
      </c>
      <c r="X1737" s="10">
        <v>81.55</v>
      </c>
      <c r="Y1737" s="10">
        <v>80.92</v>
      </c>
      <c r="Z1737" s="11">
        <v>93.475999999999999</v>
      </c>
      <c r="AA1737" s="11">
        <v>93.558999999999997</v>
      </c>
      <c r="AB1737" s="11">
        <v>92.114999999999995</v>
      </c>
      <c r="AC1737" s="11">
        <v>90.835999999999999</v>
      </c>
      <c r="AD1737" s="11">
        <v>89.730999999999995</v>
      </c>
      <c r="AE1737" s="11">
        <v>88.781999999999996</v>
      </c>
      <c r="AF1737" s="11">
        <v>87.914000000000001</v>
      </c>
      <c r="AG1737" s="11">
        <v>87.13</v>
      </c>
      <c r="AH1737" s="11">
        <v>86.373000000000005</v>
      </c>
      <c r="AI1737" s="11">
        <v>85.671000000000006</v>
      </c>
      <c r="AJ1737" s="11">
        <v>85.036000000000001</v>
      </c>
      <c r="AK1737" s="11">
        <v>84.436999999999998</v>
      </c>
      <c r="AL1737" s="11"/>
    </row>
    <row r="1738" spans="1:38" x14ac:dyDescent="0.3">
      <c r="A1738" s="9">
        <f>DATE(2023, 9, 20)</f>
        <v>45189</v>
      </c>
      <c r="B1738" s="10">
        <v>93.53</v>
      </c>
      <c r="C1738" s="10">
        <v>92.35</v>
      </c>
      <c r="D1738" s="10">
        <v>91.11</v>
      </c>
      <c r="E1738" s="10">
        <v>89.99</v>
      </c>
      <c r="F1738" s="10">
        <v>89.01</v>
      </c>
      <c r="G1738" s="10">
        <v>88.17</v>
      </c>
      <c r="H1738" s="10">
        <v>87.42</v>
      </c>
      <c r="I1738" s="10">
        <v>86.74</v>
      </c>
      <c r="J1738" s="10">
        <v>86.1</v>
      </c>
      <c r="K1738" s="10">
        <v>85.52</v>
      </c>
      <c r="L1738" s="10">
        <v>84.97</v>
      </c>
      <c r="M1738" s="10">
        <v>84.46</v>
      </c>
      <c r="N1738" s="10">
        <v>90.28</v>
      </c>
      <c r="O1738" s="10">
        <v>89.66</v>
      </c>
      <c r="P1738" s="10">
        <v>88.34</v>
      </c>
      <c r="Q1738" s="10">
        <v>87.06</v>
      </c>
      <c r="R1738" s="10">
        <v>85.83</v>
      </c>
      <c r="S1738" s="10">
        <v>84.74</v>
      </c>
      <c r="T1738" s="10">
        <v>83.8</v>
      </c>
      <c r="U1738" s="10">
        <v>83</v>
      </c>
      <c r="V1738" s="10">
        <v>82.29</v>
      </c>
      <c r="W1738" s="10">
        <v>81.61</v>
      </c>
      <c r="X1738" s="10">
        <v>80.98</v>
      </c>
      <c r="Y1738" s="10">
        <v>80.400000000000006</v>
      </c>
      <c r="Z1738" s="11">
        <v>93.134</v>
      </c>
      <c r="AA1738" s="11">
        <v>92.884</v>
      </c>
      <c r="AB1738" s="11">
        <v>91.543000000000006</v>
      </c>
      <c r="AC1738" s="11">
        <v>90.266000000000005</v>
      </c>
      <c r="AD1738" s="11">
        <v>89.165999999999997</v>
      </c>
      <c r="AE1738" s="11">
        <v>88.213999999999999</v>
      </c>
      <c r="AF1738" s="11">
        <v>87.355999999999995</v>
      </c>
      <c r="AG1738" s="11">
        <v>86.581000000000003</v>
      </c>
      <c r="AH1738" s="11">
        <v>85.855000000000004</v>
      </c>
      <c r="AI1738" s="11">
        <v>85.173000000000002</v>
      </c>
      <c r="AJ1738" s="11">
        <v>84.558000000000007</v>
      </c>
      <c r="AK1738" s="11">
        <v>83.977999999999994</v>
      </c>
      <c r="AL1738" s="11"/>
    </row>
    <row r="1739" spans="1:38" x14ac:dyDescent="0.3">
      <c r="A1739" s="9">
        <f>DATE(2023, 9, 21)</f>
        <v>45190</v>
      </c>
      <c r="B1739" s="10">
        <v>93.3</v>
      </c>
      <c r="C1739" s="10">
        <v>92.26</v>
      </c>
      <c r="D1739" s="10">
        <v>91.09</v>
      </c>
      <c r="E1739" s="10">
        <v>90</v>
      </c>
      <c r="F1739" s="10">
        <v>89.02</v>
      </c>
      <c r="G1739" s="10">
        <v>88.2</v>
      </c>
      <c r="H1739" s="10">
        <v>87.45</v>
      </c>
      <c r="I1739" s="10">
        <v>86.77</v>
      </c>
      <c r="J1739" s="10">
        <v>86.14</v>
      </c>
      <c r="K1739" s="10">
        <v>85.58</v>
      </c>
      <c r="L1739" s="10">
        <v>85.05</v>
      </c>
      <c r="M1739" s="10">
        <v>84.56</v>
      </c>
      <c r="N1739" s="10">
        <v>89.63</v>
      </c>
      <c r="O1739" s="10">
        <v>88.32</v>
      </c>
      <c r="P1739" s="10">
        <v>87.06</v>
      </c>
      <c r="Q1739" s="10">
        <v>85.83</v>
      </c>
      <c r="R1739" s="10">
        <v>84.74</v>
      </c>
      <c r="S1739" s="10">
        <v>83.81</v>
      </c>
      <c r="T1739" s="10">
        <v>83</v>
      </c>
      <c r="U1739" s="10">
        <v>82.28</v>
      </c>
      <c r="V1739" s="10">
        <v>81.61</v>
      </c>
      <c r="W1739" s="10">
        <v>81</v>
      </c>
      <c r="X1739" s="10">
        <v>80.430000000000007</v>
      </c>
      <c r="Y1739" s="10">
        <v>79.900000000000006</v>
      </c>
      <c r="Z1739" s="11">
        <v>93.082999999999998</v>
      </c>
      <c r="AA1739" s="11">
        <v>92.872</v>
      </c>
      <c r="AB1739" s="11">
        <v>91.525999999999996</v>
      </c>
      <c r="AC1739" s="11">
        <v>90.256</v>
      </c>
      <c r="AD1739" s="11">
        <v>89.158000000000001</v>
      </c>
      <c r="AE1739" s="11">
        <v>88.209000000000003</v>
      </c>
      <c r="AF1739" s="11">
        <v>87.376000000000005</v>
      </c>
      <c r="AG1739" s="11">
        <v>86.600999999999999</v>
      </c>
      <c r="AH1739" s="11">
        <v>85.876000000000005</v>
      </c>
      <c r="AI1739" s="11">
        <v>85.213999999999999</v>
      </c>
      <c r="AJ1739" s="11">
        <v>84.629000000000005</v>
      </c>
      <c r="AK1739" s="11">
        <v>84.07</v>
      </c>
      <c r="AL1739" s="11"/>
    </row>
    <row r="1740" spans="1:38" x14ac:dyDescent="0.3">
      <c r="A1740" s="9">
        <f>DATE(2023, 9, 22)</f>
        <v>45191</v>
      </c>
      <c r="B1740" s="10">
        <v>93.27</v>
      </c>
      <c r="C1740" s="10">
        <v>91.96</v>
      </c>
      <c r="D1740" s="10">
        <v>90.58</v>
      </c>
      <c r="E1740" s="10">
        <v>89.34</v>
      </c>
      <c r="F1740" s="10">
        <v>88.26</v>
      </c>
      <c r="G1740" s="10">
        <v>87.36</v>
      </c>
      <c r="H1740" s="10">
        <v>86.58</v>
      </c>
      <c r="I1740" s="10">
        <v>85.88</v>
      </c>
      <c r="J1740" s="10">
        <v>85.23</v>
      </c>
      <c r="K1740" s="10">
        <v>84.64</v>
      </c>
      <c r="L1740" s="10">
        <v>84.09</v>
      </c>
      <c r="M1740" s="10">
        <v>83.58</v>
      </c>
      <c r="N1740" s="10">
        <v>90.03</v>
      </c>
      <c r="O1740" s="10">
        <v>88.35</v>
      </c>
      <c r="P1740" s="10">
        <v>86.76</v>
      </c>
      <c r="Q1740" s="10">
        <v>85.33</v>
      </c>
      <c r="R1740" s="10">
        <v>84.13</v>
      </c>
      <c r="S1740" s="10">
        <v>83.13</v>
      </c>
      <c r="T1740" s="10">
        <v>82.28</v>
      </c>
      <c r="U1740" s="10">
        <v>81.53</v>
      </c>
      <c r="V1740" s="10">
        <v>80.819999999999993</v>
      </c>
      <c r="W1740" s="10">
        <v>80.17</v>
      </c>
      <c r="X1740" s="10">
        <v>79.569999999999993</v>
      </c>
      <c r="Y1740" s="10">
        <v>79.02</v>
      </c>
      <c r="Z1740" s="11">
        <v>93.036000000000001</v>
      </c>
      <c r="AA1740" s="11">
        <v>92.557000000000002</v>
      </c>
      <c r="AB1740" s="11">
        <v>91.072999999999993</v>
      </c>
      <c r="AC1740" s="11">
        <v>89.68</v>
      </c>
      <c r="AD1740" s="11">
        <v>88.468000000000004</v>
      </c>
      <c r="AE1740" s="11">
        <v>87.415999999999997</v>
      </c>
      <c r="AF1740" s="11">
        <v>86.53</v>
      </c>
      <c r="AG1740" s="11">
        <v>85.73</v>
      </c>
      <c r="AH1740" s="11">
        <v>84.983999999999995</v>
      </c>
      <c r="AI1740" s="11">
        <v>84.302999999999997</v>
      </c>
      <c r="AJ1740" s="11">
        <v>83.677999999999997</v>
      </c>
      <c r="AK1740" s="11">
        <v>83.078999999999994</v>
      </c>
      <c r="AL1740" s="11"/>
    </row>
    <row r="1741" spans="1:38" x14ac:dyDescent="0.3">
      <c r="A1741" s="9">
        <f>DATE(2023, 9, 25)</f>
        <v>45194</v>
      </c>
      <c r="B1741" s="10">
        <v>93.29</v>
      </c>
      <c r="C1741" s="10">
        <v>91.88</v>
      </c>
      <c r="D1741" s="10">
        <v>90.47</v>
      </c>
      <c r="E1741" s="10">
        <v>89.2</v>
      </c>
      <c r="F1741" s="10">
        <v>88.1</v>
      </c>
      <c r="G1741" s="10">
        <v>87.2</v>
      </c>
      <c r="H1741" s="10">
        <v>86.45</v>
      </c>
      <c r="I1741" s="10">
        <v>85.8</v>
      </c>
      <c r="J1741" s="10">
        <v>85.19</v>
      </c>
      <c r="K1741" s="10">
        <v>84.63</v>
      </c>
      <c r="L1741" s="10">
        <v>84.1</v>
      </c>
      <c r="M1741" s="10">
        <v>83.61</v>
      </c>
      <c r="N1741" s="10">
        <v>89.68</v>
      </c>
      <c r="O1741" s="10">
        <v>88.17</v>
      </c>
      <c r="P1741" s="10">
        <v>86.7</v>
      </c>
      <c r="Q1741" s="10">
        <v>85.29</v>
      </c>
      <c r="R1741" s="10">
        <v>84.08</v>
      </c>
      <c r="S1741" s="10">
        <v>83.08</v>
      </c>
      <c r="T1741" s="10">
        <v>82.24</v>
      </c>
      <c r="U1741" s="10">
        <v>81.48</v>
      </c>
      <c r="V1741" s="10">
        <v>80.790000000000006</v>
      </c>
      <c r="W1741" s="10">
        <v>80.16</v>
      </c>
      <c r="X1741" s="10">
        <v>79.58</v>
      </c>
      <c r="Y1741" s="10">
        <v>79.05</v>
      </c>
      <c r="Z1741" s="11">
        <v>93.02</v>
      </c>
      <c r="AA1741" s="11">
        <v>92.445999999999998</v>
      </c>
      <c r="AB1741" s="11">
        <v>90.915999999999997</v>
      </c>
      <c r="AC1741" s="11">
        <v>89.494</v>
      </c>
      <c r="AD1741" s="11">
        <v>88.274000000000001</v>
      </c>
      <c r="AE1741" s="11">
        <v>87.224000000000004</v>
      </c>
      <c r="AF1741" s="11">
        <v>86.367999999999995</v>
      </c>
      <c r="AG1741" s="11">
        <v>85.622</v>
      </c>
      <c r="AH1741" s="11">
        <v>84.926000000000002</v>
      </c>
      <c r="AI1741" s="11">
        <v>84.274000000000001</v>
      </c>
      <c r="AJ1741" s="11">
        <v>83.668999999999997</v>
      </c>
      <c r="AK1741" s="11">
        <v>83.11</v>
      </c>
      <c r="AL1741" s="11"/>
    </row>
    <row r="1742" spans="1:38" x14ac:dyDescent="0.3">
      <c r="A1742" s="9">
        <f>DATE(2023, 9, 26)</f>
        <v>45195</v>
      </c>
      <c r="B1742" s="10">
        <v>93.96</v>
      </c>
      <c r="C1742" s="10">
        <v>92.43</v>
      </c>
      <c r="D1742" s="10">
        <v>90.9</v>
      </c>
      <c r="E1742" s="10">
        <v>89.56</v>
      </c>
      <c r="F1742" s="10">
        <v>88.41</v>
      </c>
      <c r="G1742" s="10">
        <v>87.49</v>
      </c>
      <c r="H1742" s="10">
        <v>86.74</v>
      </c>
      <c r="I1742" s="10">
        <v>86.09</v>
      </c>
      <c r="J1742" s="10">
        <v>85.49</v>
      </c>
      <c r="K1742" s="10">
        <v>84.93</v>
      </c>
      <c r="L1742" s="10">
        <v>84.42</v>
      </c>
      <c r="M1742" s="10">
        <v>83.93</v>
      </c>
      <c r="N1742" s="10">
        <v>90.39</v>
      </c>
      <c r="O1742" s="10">
        <v>88.78</v>
      </c>
      <c r="P1742" s="10">
        <v>87.22</v>
      </c>
      <c r="Q1742" s="10">
        <v>85.71</v>
      </c>
      <c r="R1742" s="10">
        <v>84.44</v>
      </c>
      <c r="S1742" s="10">
        <v>83.4</v>
      </c>
      <c r="T1742" s="10">
        <v>82.54</v>
      </c>
      <c r="U1742" s="10">
        <v>81.78</v>
      </c>
      <c r="V1742" s="10">
        <v>81.09</v>
      </c>
      <c r="W1742" s="10">
        <v>80.45</v>
      </c>
      <c r="X1742" s="10">
        <v>79.87</v>
      </c>
      <c r="Y1742" s="10">
        <v>79.34</v>
      </c>
      <c r="Z1742" s="11">
        <v>93.057000000000002</v>
      </c>
      <c r="AA1742" s="11">
        <v>93.024000000000001</v>
      </c>
      <c r="AB1742" s="11">
        <v>91.378</v>
      </c>
      <c r="AC1742" s="11">
        <v>89.879000000000005</v>
      </c>
      <c r="AD1742" s="11">
        <v>88.62</v>
      </c>
      <c r="AE1742" s="11">
        <v>87.55</v>
      </c>
      <c r="AF1742" s="11">
        <v>86.683999999999997</v>
      </c>
      <c r="AG1742" s="11">
        <v>85.933000000000007</v>
      </c>
      <c r="AH1742" s="11">
        <v>85.236000000000004</v>
      </c>
      <c r="AI1742" s="11">
        <v>84.605000000000004</v>
      </c>
      <c r="AJ1742" s="11">
        <v>84.009</v>
      </c>
      <c r="AK1742" s="11">
        <v>83.43</v>
      </c>
      <c r="AL1742" s="11"/>
    </row>
    <row r="1743" spans="1:38" x14ac:dyDescent="0.3">
      <c r="A1743" s="9">
        <f>DATE(2023, 9, 27)</f>
        <v>45196</v>
      </c>
      <c r="B1743" s="10">
        <v>96.55</v>
      </c>
      <c r="C1743" s="10">
        <v>94.36</v>
      </c>
      <c r="D1743" s="10">
        <v>92.41</v>
      </c>
      <c r="E1743" s="10">
        <v>90.84</v>
      </c>
      <c r="F1743" s="10">
        <v>89.59</v>
      </c>
      <c r="G1743" s="10">
        <v>88.54</v>
      </c>
      <c r="H1743" s="10">
        <v>87.68</v>
      </c>
      <c r="I1743" s="10">
        <v>86.95</v>
      </c>
      <c r="J1743" s="10">
        <v>86.29</v>
      </c>
      <c r="K1743" s="10">
        <v>85.68</v>
      </c>
      <c r="L1743" s="10">
        <v>85.11</v>
      </c>
      <c r="M1743" s="10">
        <v>84.58</v>
      </c>
      <c r="N1743" s="10">
        <v>93.68</v>
      </c>
      <c r="O1743" s="10">
        <v>91.3</v>
      </c>
      <c r="P1743" s="10">
        <v>89.3</v>
      </c>
      <c r="Q1743" s="10">
        <v>87.42</v>
      </c>
      <c r="R1743" s="10">
        <v>85.86</v>
      </c>
      <c r="S1743" s="10">
        <v>84.6</v>
      </c>
      <c r="T1743" s="10">
        <v>83.59</v>
      </c>
      <c r="U1743" s="10">
        <v>82.74</v>
      </c>
      <c r="V1743" s="10">
        <v>81.98</v>
      </c>
      <c r="W1743" s="10">
        <v>81.290000000000006</v>
      </c>
      <c r="X1743" s="10">
        <v>80.650000000000006</v>
      </c>
      <c r="Y1743" s="10">
        <v>80.08</v>
      </c>
      <c r="Z1743" s="11">
        <v>93.296000000000006</v>
      </c>
      <c r="AA1743" s="11">
        <v>94.906000000000006</v>
      </c>
      <c r="AB1743" s="11">
        <v>92.864000000000004</v>
      </c>
      <c r="AC1743" s="11">
        <v>91.125</v>
      </c>
      <c r="AD1743" s="11">
        <v>89.757000000000005</v>
      </c>
      <c r="AE1743" s="11">
        <v>88.543999999999997</v>
      </c>
      <c r="AF1743" s="11">
        <v>87.554000000000002</v>
      </c>
      <c r="AG1743" s="11">
        <v>86.73</v>
      </c>
      <c r="AH1743" s="11">
        <v>85.962999999999994</v>
      </c>
      <c r="AI1743" s="11">
        <v>85.292000000000002</v>
      </c>
      <c r="AJ1743" s="11">
        <v>84.647000000000006</v>
      </c>
      <c r="AK1743" s="11">
        <v>84.018000000000001</v>
      </c>
      <c r="AL1743" s="11"/>
    </row>
    <row r="1744" spans="1:38" x14ac:dyDescent="0.3">
      <c r="A1744" s="9">
        <f>DATE(2023, 9, 28)</f>
        <v>45197</v>
      </c>
      <c r="B1744" s="10">
        <v>95.38</v>
      </c>
      <c r="C1744" s="10">
        <v>93.1</v>
      </c>
      <c r="D1744" s="10">
        <v>91.18</v>
      </c>
      <c r="E1744" s="10">
        <v>89.64</v>
      </c>
      <c r="F1744" s="10">
        <v>88.45</v>
      </c>
      <c r="G1744" s="10">
        <v>87.48</v>
      </c>
      <c r="H1744" s="10">
        <v>86.67</v>
      </c>
      <c r="I1744" s="10">
        <v>85.97</v>
      </c>
      <c r="J1744" s="10">
        <v>85.36</v>
      </c>
      <c r="K1744" s="10">
        <v>84.79</v>
      </c>
      <c r="L1744" s="10">
        <v>84.26</v>
      </c>
      <c r="M1744" s="10">
        <v>83.77</v>
      </c>
      <c r="N1744" s="10">
        <v>91.71</v>
      </c>
      <c r="O1744" s="10">
        <v>89.59</v>
      </c>
      <c r="P1744" s="10">
        <v>87.75</v>
      </c>
      <c r="Q1744" s="10">
        <v>85.98</v>
      </c>
      <c r="R1744" s="10">
        <v>84.55</v>
      </c>
      <c r="S1744" s="10">
        <v>83.42</v>
      </c>
      <c r="T1744" s="10">
        <v>82.49</v>
      </c>
      <c r="U1744" s="10">
        <v>81.7</v>
      </c>
      <c r="V1744" s="10">
        <v>80.989999999999995</v>
      </c>
      <c r="W1744" s="10">
        <v>80.34</v>
      </c>
      <c r="X1744" s="10">
        <v>79.75</v>
      </c>
      <c r="Y1744" s="10">
        <v>79.22</v>
      </c>
      <c r="Z1744" s="11">
        <v>93.24</v>
      </c>
      <c r="AA1744" s="11">
        <v>93.313000000000002</v>
      </c>
      <c r="AB1744" s="11">
        <v>91.35</v>
      </c>
      <c r="AC1744" s="11">
        <v>89.781000000000006</v>
      </c>
      <c r="AD1744" s="11">
        <v>88.510999999999996</v>
      </c>
      <c r="AE1744" s="11">
        <v>87.421000000000006</v>
      </c>
      <c r="AF1744" s="11">
        <v>86.534999999999997</v>
      </c>
      <c r="AG1744" s="11">
        <v>85.712000000000003</v>
      </c>
      <c r="AH1744" s="11">
        <v>85.015000000000001</v>
      </c>
      <c r="AI1744" s="11">
        <v>84.364000000000004</v>
      </c>
      <c r="AJ1744" s="11">
        <v>83.759</v>
      </c>
      <c r="AK1744" s="11">
        <v>83.17</v>
      </c>
      <c r="AL1744" s="11"/>
    </row>
    <row r="1745" spans="1:38" x14ac:dyDescent="0.3">
      <c r="A1745" s="9">
        <f>DATE(2023, 9, 29)</f>
        <v>45198</v>
      </c>
      <c r="B1745" s="10">
        <v>95.31</v>
      </c>
      <c r="C1745" s="10">
        <v>92.2</v>
      </c>
      <c r="D1745" s="10">
        <v>90.36</v>
      </c>
      <c r="E1745" s="10">
        <v>88.82</v>
      </c>
      <c r="F1745" s="10">
        <v>87.67</v>
      </c>
      <c r="G1745" s="10">
        <v>86.75</v>
      </c>
      <c r="H1745" s="10">
        <v>85.98</v>
      </c>
      <c r="I1745" s="10">
        <v>85.33</v>
      </c>
      <c r="J1745" s="10">
        <v>84.77</v>
      </c>
      <c r="K1745" s="10">
        <v>84.23</v>
      </c>
      <c r="L1745" s="10">
        <v>83.73</v>
      </c>
      <c r="M1745" s="10">
        <v>83.27</v>
      </c>
      <c r="N1745" s="10">
        <v>90.79</v>
      </c>
      <c r="O1745" s="10">
        <v>88.8</v>
      </c>
      <c r="P1745" s="10">
        <v>86.98</v>
      </c>
      <c r="Q1745" s="10">
        <v>85.27</v>
      </c>
      <c r="R1745" s="10">
        <v>83.88</v>
      </c>
      <c r="S1745" s="10">
        <v>82.78</v>
      </c>
      <c r="T1745" s="10">
        <v>81.88</v>
      </c>
      <c r="U1745" s="10">
        <v>81.12</v>
      </c>
      <c r="V1745" s="10">
        <v>80.44</v>
      </c>
      <c r="W1745" s="10">
        <v>79.83</v>
      </c>
      <c r="X1745" s="10">
        <v>79.260000000000005</v>
      </c>
      <c r="Y1745" s="10">
        <v>78.73</v>
      </c>
      <c r="Z1745" s="11">
        <v>93.31</v>
      </c>
      <c r="AA1745" s="11">
        <v>92.531000000000006</v>
      </c>
      <c r="AB1745" s="11">
        <v>90.573999999999998</v>
      </c>
      <c r="AC1745" s="11">
        <v>89.004000000000005</v>
      </c>
      <c r="AD1745" s="11">
        <v>87.757999999999996</v>
      </c>
      <c r="AE1745" s="11">
        <v>86.692999999999998</v>
      </c>
      <c r="AF1745" s="11">
        <v>85.817999999999998</v>
      </c>
      <c r="AG1745" s="11">
        <v>85.105000000000004</v>
      </c>
      <c r="AH1745" s="11">
        <v>84.456999999999994</v>
      </c>
      <c r="AI1745" s="11">
        <v>83.844999999999999</v>
      </c>
      <c r="AJ1745" s="11">
        <v>83.27</v>
      </c>
      <c r="AK1745" s="11">
        <v>82.73</v>
      </c>
      <c r="AL1745" s="11"/>
    </row>
    <row r="1746" spans="1:38" x14ac:dyDescent="0.3">
      <c r="A1746" s="9">
        <f>DATE(2023, 10, 2)</f>
        <v>45201</v>
      </c>
      <c r="B1746" s="10">
        <v>90.71</v>
      </c>
      <c r="C1746" s="10">
        <v>89.06</v>
      </c>
      <c r="D1746" s="10">
        <v>87.74</v>
      </c>
      <c r="E1746" s="10">
        <v>86.79</v>
      </c>
      <c r="F1746" s="10">
        <v>86.05</v>
      </c>
      <c r="G1746" s="10">
        <v>85.43</v>
      </c>
      <c r="H1746" s="10">
        <v>84.9</v>
      </c>
      <c r="I1746" s="10">
        <v>84.4</v>
      </c>
      <c r="J1746" s="10">
        <v>83.91</v>
      </c>
      <c r="K1746" s="10">
        <v>83.44</v>
      </c>
      <c r="L1746" s="10">
        <v>83</v>
      </c>
      <c r="M1746" s="10">
        <v>82.57</v>
      </c>
      <c r="N1746" s="10">
        <v>88.82</v>
      </c>
      <c r="O1746" s="10">
        <v>87.17</v>
      </c>
      <c r="P1746" s="10">
        <v>85.62</v>
      </c>
      <c r="Q1746" s="10">
        <v>84.2</v>
      </c>
      <c r="R1746" s="10">
        <v>83.07</v>
      </c>
      <c r="S1746" s="10">
        <v>82.15</v>
      </c>
      <c r="T1746" s="10">
        <v>81.39</v>
      </c>
      <c r="U1746" s="10">
        <v>80.709999999999994</v>
      </c>
      <c r="V1746" s="10">
        <v>80.09</v>
      </c>
      <c r="W1746" s="10">
        <v>79.489999999999995</v>
      </c>
      <c r="X1746" s="10">
        <v>78.94</v>
      </c>
      <c r="Y1746" s="10">
        <v>78.430000000000007</v>
      </c>
      <c r="Z1746" s="11">
        <v>93.31</v>
      </c>
      <c r="AA1746" s="11">
        <v>91.096000000000004</v>
      </c>
      <c r="AB1746" s="11">
        <v>89.17</v>
      </c>
      <c r="AC1746" s="11">
        <v>87.754999999999995</v>
      </c>
      <c r="AD1746" s="11">
        <v>86.706000000000003</v>
      </c>
      <c r="AE1746" s="11">
        <v>85.85</v>
      </c>
      <c r="AF1746" s="11">
        <v>85.153999999999996</v>
      </c>
      <c r="AG1746" s="11">
        <v>84.546999999999997</v>
      </c>
      <c r="AH1746" s="11">
        <v>83.989000000000004</v>
      </c>
      <c r="AI1746" s="11">
        <v>83.436999999999998</v>
      </c>
      <c r="AJ1746" s="11">
        <v>82.980999999999995</v>
      </c>
      <c r="AK1746" s="11">
        <v>82.46</v>
      </c>
      <c r="AL1746" s="11"/>
    </row>
    <row r="1747" spans="1:38" x14ac:dyDescent="0.3">
      <c r="A1747" s="9">
        <f>DATE(2023, 10, 3)</f>
        <v>45202</v>
      </c>
      <c r="B1747" s="10">
        <v>90.92</v>
      </c>
      <c r="C1747" s="10">
        <v>89.19</v>
      </c>
      <c r="D1747" s="10">
        <v>87.83</v>
      </c>
      <c r="E1747" s="10">
        <v>86.85</v>
      </c>
      <c r="F1747" s="10">
        <v>86.08</v>
      </c>
      <c r="G1747" s="10">
        <v>85.45</v>
      </c>
      <c r="H1747" s="10">
        <v>84.91</v>
      </c>
      <c r="I1747" s="10">
        <v>84.41</v>
      </c>
      <c r="J1747" s="10">
        <v>83.93</v>
      </c>
      <c r="K1747" s="10">
        <v>83.45</v>
      </c>
      <c r="L1747" s="10">
        <v>83.01</v>
      </c>
      <c r="M1747" s="10">
        <v>82.59</v>
      </c>
      <c r="N1747" s="10">
        <v>89.23</v>
      </c>
      <c r="O1747" s="10">
        <v>87.44</v>
      </c>
      <c r="P1747" s="10">
        <v>85.77</v>
      </c>
      <c r="Q1747" s="10">
        <v>84.27</v>
      </c>
      <c r="R1747" s="10">
        <v>83.09</v>
      </c>
      <c r="S1747" s="10">
        <v>82.16</v>
      </c>
      <c r="T1747" s="10">
        <v>81.39</v>
      </c>
      <c r="U1747" s="10">
        <v>80.73</v>
      </c>
      <c r="V1747" s="10">
        <v>80.12</v>
      </c>
      <c r="W1747" s="10">
        <v>79.55</v>
      </c>
      <c r="X1747" s="10">
        <v>79.010000000000005</v>
      </c>
      <c r="Y1747" s="10">
        <v>78.510000000000005</v>
      </c>
      <c r="Z1747" s="11">
        <v>91.352999999999994</v>
      </c>
      <c r="AA1747" s="11">
        <v>89.367999999999995</v>
      </c>
      <c r="AB1747" s="11">
        <v>87.882000000000005</v>
      </c>
      <c r="AC1747" s="11">
        <v>86.805000000000007</v>
      </c>
      <c r="AD1747" s="11">
        <v>85.900999999999996</v>
      </c>
      <c r="AE1747" s="11">
        <v>85.158000000000001</v>
      </c>
      <c r="AF1747" s="11">
        <v>84.537000000000006</v>
      </c>
      <c r="AG1747" s="11">
        <v>83.978999999999999</v>
      </c>
      <c r="AH1747" s="11">
        <v>83.415999999999997</v>
      </c>
      <c r="AI1747" s="11">
        <v>82.930999999999997</v>
      </c>
      <c r="AJ1747" s="11">
        <v>82.421000000000006</v>
      </c>
      <c r="AK1747" s="11">
        <v>81.92</v>
      </c>
      <c r="AL1747" s="11"/>
    </row>
    <row r="1748" spans="1:38" x14ac:dyDescent="0.3">
      <c r="A1748" s="9">
        <f>DATE(2023, 10, 4)</f>
        <v>45203</v>
      </c>
      <c r="B1748" s="10">
        <v>85.81</v>
      </c>
      <c r="C1748" s="10">
        <v>84.19</v>
      </c>
      <c r="D1748" s="10">
        <v>82.97</v>
      </c>
      <c r="E1748" s="10">
        <v>82.09</v>
      </c>
      <c r="F1748" s="10">
        <v>81.44</v>
      </c>
      <c r="G1748" s="10">
        <v>80.91</v>
      </c>
      <c r="H1748" s="10">
        <v>80.47</v>
      </c>
      <c r="I1748" s="10">
        <v>80.08</v>
      </c>
      <c r="J1748" s="10">
        <v>79.69</v>
      </c>
      <c r="K1748" s="10">
        <v>79.3</v>
      </c>
      <c r="L1748" s="10">
        <v>78.930000000000007</v>
      </c>
      <c r="M1748" s="10">
        <v>78.569999999999993</v>
      </c>
      <c r="N1748" s="10">
        <v>84.22</v>
      </c>
      <c r="O1748" s="10">
        <v>82.55</v>
      </c>
      <c r="P1748" s="10">
        <v>80.98</v>
      </c>
      <c r="Q1748" s="10">
        <v>79.62</v>
      </c>
      <c r="R1748" s="10">
        <v>78.58</v>
      </c>
      <c r="S1748" s="10">
        <v>77.78</v>
      </c>
      <c r="T1748" s="10">
        <v>77.13</v>
      </c>
      <c r="U1748" s="10">
        <v>76.56</v>
      </c>
      <c r="V1748" s="10">
        <v>76.040000000000006</v>
      </c>
      <c r="W1748" s="10">
        <v>75.55</v>
      </c>
      <c r="X1748" s="10">
        <v>75.09</v>
      </c>
      <c r="Y1748" s="10">
        <v>74.66</v>
      </c>
      <c r="Z1748" s="11">
        <v>86.900999999999996</v>
      </c>
      <c r="AA1748" s="11">
        <v>84.305000000000007</v>
      </c>
      <c r="AB1748" s="11">
        <v>82.962000000000003</v>
      </c>
      <c r="AC1748" s="11">
        <v>81.974999999999994</v>
      </c>
      <c r="AD1748" s="11">
        <v>81.185000000000002</v>
      </c>
      <c r="AE1748" s="11">
        <v>80.567999999999998</v>
      </c>
      <c r="AF1748" s="11">
        <v>80.052000000000007</v>
      </c>
      <c r="AG1748" s="11">
        <v>79.600999999999999</v>
      </c>
      <c r="AH1748" s="11">
        <v>79.129000000000005</v>
      </c>
      <c r="AI1748" s="11">
        <v>78.683999999999997</v>
      </c>
      <c r="AJ1748" s="11">
        <v>78.244</v>
      </c>
      <c r="AK1748" s="11">
        <v>77.802999999999997</v>
      </c>
      <c r="AL1748" s="11"/>
    </row>
    <row r="1749" spans="1:38" x14ac:dyDescent="0.3">
      <c r="A1749" s="9">
        <f>DATE(2023, 10, 5)</f>
        <v>45204</v>
      </c>
      <c r="B1749" s="10">
        <v>84.07</v>
      </c>
      <c r="C1749" s="10">
        <v>82.64</v>
      </c>
      <c r="D1749" s="10">
        <v>81.69</v>
      </c>
      <c r="E1749" s="10">
        <v>80.959999999999994</v>
      </c>
      <c r="F1749" s="10">
        <v>80.39</v>
      </c>
      <c r="G1749" s="10">
        <v>79.900000000000006</v>
      </c>
      <c r="H1749" s="10">
        <v>79.45</v>
      </c>
      <c r="I1749" s="10">
        <v>79.03</v>
      </c>
      <c r="J1749" s="10">
        <v>78.62</v>
      </c>
      <c r="K1749" s="10">
        <v>78.22</v>
      </c>
      <c r="L1749" s="10">
        <v>77.84</v>
      </c>
      <c r="M1749" s="10">
        <v>77.47</v>
      </c>
      <c r="N1749" s="10">
        <v>82.31</v>
      </c>
      <c r="O1749" s="10">
        <v>80.81</v>
      </c>
      <c r="P1749" s="10">
        <v>79.41</v>
      </c>
      <c r="Q1749" s="10">
        <v>78.239999999999995</v>
      </c>
      <c r="R1749" s="10">
        <v>77.33</v>
      </c>
      <c r="S1749" s="10">
        <v>76.599999999999994</v>
      </c>
      <c r="T1749" s="10">
        <v>75.989999999999995</v>
      </c>
      <c r="U1749" s="10">
        <v>75.430000000000007</v>
      </c>
      <c r="V1749" s="10">
        <v>74.92</v>
      </c>
      <c r="W1749" s="10">
        <v>74.45</v>
      </c>
      <c r="X1749" s="10">
        <v>73.989999999999995</v>
      </c>
      <c r="Y1749" s="10">
        <v>73.569999999999993</v>
      </c>
      <c r="Z1749" s="11">
        <v>85.572000000000003</v>
      </c>
      <c r="AA1749" s="11">
        <v>82.772000000000006</v>
      </c>
      <c r="AB1749" s="11">
        <v>81.656999999999996</v>
      </c>
      <c r="AC1749" s="11">
        <v>80.796000000000006</v>
      </c>
      <c r="AD1749" s="11">
        <v>80.096999999999994</v>
      </c>
      <c r="AE1749" s="11">
        <v>79.548000000000002</v>
      </c>
      <c r="AF1749" s="11">
        <v>79.039000000000001</v>
      </c>
      <c r="AG1749" s="11">
        <v>78.552000000000007</v>
      </c>
      <c r="AH1749" s="11">
        <v>78.043000000000006</v>
      </c>
      <c r="AI1749" s="11">
        <v>77.613</v>
      </c>
      <c r="AJ1749" s="11">
        <v>77.162999999999997</v>
      </c>
      <c r="AK1749" s="11">
        <v>76.712999999999994</v>
      </c>
      <c r="AL1749" s="11"/>
    </row>
    <row r="1750" spans="1:38" x14ac:dyDescent="0.3">
      <c r="A1750" s="9">
        <f>DATE(2023, 10, 6)</f>
        <v>45205</v>
      </c>
      <c r="B1750" s="10">
        <v>84.58</v>
      </c>
      <c r="C1750" s="10">
        <v>83.13</v>
      </c>
      <c r="D1750" s="10">
        <v>82.16</v>
      </c>
      <c r="E1750" s="10">
        <v>81.400000000000006</v>
      </c>
      <c r="F1750" s="10">
        <v>80.8</v>
      </c>
      <c r="G1750" s="10">
        <v>80.28</v>
      </c>
      <c r="H1750" s="10">
        <v>79.790000000000006</v>
      </c>
      <c r="I1750" s="10">
        <v>79.34</v>
      </c>
      <c r="J1750" s="10">
        <v>78.900000000000006</v>
      </c>
      <c r="K1750" s="10">
        <v>78.489999999999995</v>
      </c>
      <c r="L1750" s="10">
        <v>78.08</v>
      </c>
      <c r="M1750" s="10">
        <v>77.709999999999994</v>
      </c>
      <c r="N1750" s="10">
        <v>82.79</v>
      </c>
      <c r="O1750" s="10">
        <v>81.28</v>
      </c>
      <c r="P1750" s="10">
        <v>79.83</v>
      </c>
      <c r="Q1750" s="10">
        <v>78.64</v>
      </c>
      <c r="R1750" s="10">
        <v>77.709999999999994</v>
      </c>
      <c r="S1750" s="10">
        <v>76.94</v>
      </c>
      <c r="T1750" s="10">
        <v>76.31</v>
      </c>
      <c r="U1750" s="10">
        <v>75.75</v>
      </c>
      <c r="V1750" s="10">
        <v>75.22</v>
      </c>
      <c r="W1750" s="10">
        <v>74.73</v>
      </c>
      <c r="X1750" s="10">
        <v>74.25</v>
      </c>
      <c r="Y1750" s="10">
        <v>73.81</v>
      </c>
      <c r="Z1750" s="11">
        <v>85.891000000000005</v>
      </c>
      <c r="AA1750" s="11">
        <v>83.236000000000004</v>
      </c>
      <c r="AB1750" s="11">
        <v>82.111999999999995</v>
      </c>
      <c r="AC1750" s="11">
        <v>81.233000000000004</v>
      </c>
      <c r="AD1750" s="11">
        <v>80.484999999999999</v>
      </c>
      <c r="AE1750" s="11">
        <v>79.885999999999996</v>
      </c>
      <c r="AF1750" s="11">
        <v>79.322999999999993</v>
      </c>
      <c r="AG1750" s="11">
        <v>78.819999999999993</v>
      </c>
      <c r="AH1750" s="11">
        <v>78.31</v>
      </c>
      <c r="AI1750" s="11">
        <v>77.841999999999999</v>
      </c>
      <c r="AJ1750" s="11">
        <v>77.373000000000005</v>
      </c>
      <c r="AK1750" s="11">
        <v>76.912999999999997</v>
      </c>
      <c r="AL1750" s="11"/>
    </row>
    <row r="1751" spans="1:38" x14ac:dyDescent="0.3">
      <c r="A1751" s="9">
        <f>DATE(2023, 10, 9)</f>
        <v>45208</v>
      </c>
      <c r="B1751" s="10">
        <v>88.15</v>
      </c>
      <c r="C1751" s="10">
        <v>86.5</v>
      </c>
      <c r="D1751" s="10">
        <v>85.33</v>
      </c>
      <c r="E1751" s="10">
        <v>84.38</v>
      </c>
      <c r="F1751" s="10">
        <v>83.64</v>
      </c>
      <c r="G1751" s="10">
        <v>83.02</v>
      </c>
      <c r="H1751" s="10">
        <v>82.43</v>
      </c>
      <c r="I1751" s="10">
        <v>81.89</v>
      </c>
      <c r="J1751" s="10">
        <v>81.38</v>
      </c>
      <c r="K1751" s="10">
        <v>80.89</v>
      </c>
      <c r="L1751" s="10">
        <v>80.430000000000007</v>
      </c>
      <c r="M1751" s="10">
        <v>79.989999999999995</v>
      </c>
      <c r="N1751" s="10">
        <v>86.38</v>
      </c>
      <c r="O1751" s="10">
        <v>84.6</v>
      </c>
      <c r="P1751" s="10">
        <v>83</v>
      </c>
      <c r="Q1751" s="10">
        <v>81.62</v>
      </c>
      <c r="R1751" s="10">
        <v>80.510000000000005</v>
      </c>
      <c r="S1751" s="10">
        <v>79.599999999999994</v>
      </c>
      <c r="T1751" s="10">
        <v>78.87</v>
      </c>
      <c r="U1751" s="10">
        <v>78.239999999999995</v>
      </c>
      <c r="V1751" s="10">
        <v>77.64</v>
      </c>
      <c r="W1751" s="10">
        <v>77.069999999999993</v>
      </c>
      <c r="X1751" s="10">
        <v>76.540000000000006</v>
      </c>
      <c r="Y1751" s="10">
        <v>76.040000000000006</v>
      </c>
      <c r="Z1751" s="11">
        <v>88.519000000000005</v>
      </c>
      <c r="AA1751" s="11">
        <v>86.796999999999997</v>
      </c>
      <c r="AB1751" s="11">
        <v>85.43</v>
      </c>
      <c r="AC1751" s="11">
        <v>84.355999999999995</v>
      </c>
      <c r="AD1751" s="11">
        <v>83.471999999999994</v>
      </c>
      <c r="AE1751" s="11">
        <v>82.760999999999996</v>
      </c>
      <c r="AF1751" s="11">
        <v>82.085999999999999</v>
      </c>
      <c r="AG1751" s="11">
        <v>81.477999999999994</v>
      </c>
      <c r="AH1751" s="11">
        <v>80.876000000000005</v>
      </c>
      <c r="AI1751" s="11">
        <v>80.34</v>
      </c>
      <c r="AJ1751" s="11">
        <v>79.819999999999993</v>
      </c>
      <c r="AK1751" s="11">
        <v>79.319999999999993</v>
      </c>
      <c r="AL1751" s="11"/>
    </row>
    <row r="1752" spans="1:38" x14ac:dyDescent="0.3">
      <c r="A1752" s="9">
        <f>DATE(2023, 10, 10)</f>
        <v>45209</v>
      </c>
      <c r="B1752" s="10">
        <v>87.65</v>
      </c>
      <c r="C1752" s="10">
        <v>86.23</v>
      </c>
      <c r="D1752" s="10">
        <v>85.15</v>
      </c>
      <c r="E1752" s="10">
        <v>84.28</v>
      </c>
      <c r="F1752" s="10">
        <v>83.61</v>
      </c>
      <c r="G1752" s="10">
        <v>83.09</v>
      </c>
      <c r="H1752" s="10">
        <v>82.59</v>
      </c>
      <c r="I1752" s="10">
        <v>82.13</v>
      </c>
      <c r="J1752" s="10">
        <v>81.680000000000007</v>
      </c>
      <c r="K1752" s="10">
        <v>81.25</v>
      </c>
      <c r="L1752" s="10">
        <v>80.84</v>
      </c>
      <c r="M1752" s="10">
        <v>80.44</v>
      </c>
      <c r="N1752" s="10">
        <v>85.97</v>
      </c>
      <c r="O1752" s="10">
        <v>84.13</v>
      </c>
      <c r="P1752" s="10">
        <v>82.57</v>
      </c>
      <c r="Q1752" s="10">
        <v>81.290000000000006</v>
      </c>
      <c r="R1752" s="10">
        <v>80.31</v>
      </c>
      <c r="S1752" s="10">
        <v>79.53</v>
      </c>
      <c r="T1752" s="10">
        <v>78.91</v>
      </c>
      <c r="U1752" s="10">
        <v>78.36</v>
      </c>
      <c r="V1752" s="10">
        <v>77.84</v>
      </c>
      <c r="W1752" s="10">
        <v>77.34</v>
      </c>
      <c r="X1752" s="10">
        <v>76.88</v>
      </c>
      <c r="Y1752" s="10">
        <v>76.430000000000007</v>
      </c>
      <c r="Z1752" s="11">
        <v>88.355999999999995</v>
      </c>
      <c r="AA1752" s="11">
        <v>86.600999999999999</v>
      </c>
      <c r="AB1752" s="11">
        <v>85.317999999999998</v>
      </c>
      <c r="AC1752" s="11">
        <v>84.337999999999994</v>
      </c>
      <c r="AD1752" s="11">
        <v>83.515000000000001</v>
      </c>
      <c r="AE1752" s="11">
        <v>82.869</v>
      </c>
      <c r="AF1752" s="11">
        <v>82.278999999999996</v>
      </c>
      <c r="AG1752" s="11">
        <v>81.718999999999994</v>
      </c>
      <c r="AH1752" s="11">
        <v>81.158000000000001</v>
      </c>
      <c r="AI1752" s="11">
        <v>80.721999999999994</v>
      </c>
      <c r="AJ1752" s="11">
        <v>80.242000000000004</v>
      </c>
      <c r="AK1752" s="11">
        <v>79.792000000000002</v>
      </c>
      <c r="AL1752" s="11"/>
    </row>
    <row r="1753" spans="1:38" x14ac:dyDescent="0.3">
      <c r="A1753" s="9">
        <f>DATE(2023, 10, 11)</f>
        <v>45210</v>
      </c>
      <c r="B1753" s="10">
        <v>85.82</v>
      </c>
      <c r="C1753" s="10">
        <v>84.69</v>
      </c>
      <c r="D1753" s="10">
        <v>83.87</v>
      </c>
      <c r="E1753" s="10">
        <v>83.2</v>
      </c>
      <c r="F1753" s="10">
        <v>82.68</v>
      </c>
      <c r="G1753" s="10">
        <v>82.27</v>
      </c>
      <c r="H1753" s="10">
        <v>81.87</v>
      </c>
      <c r="I1753" s="10">
        <v>81.489999999999995</v>
      </c>
      <c r="J1753" s="10">
        <v>81.12</v>
      </c>
      <c r="K1753" s="10">
        <v>80.77</v>
      </c>
      <c r="L1753" s="10">
        <v>80.42</v>
      </c>
      <c r="M1753" s="10">
        <v>80.09</v>
      </c>
      <c r="N1753" s="10">
        <v>83.49</v>
      </c>
      <c r="O1753" s="10">
        <v>82.07</v>
      </c>
      <c r="P1753" s="10">
        <v>80.92</v>
      </c>
      <c r="Q1753" s="10">
        <v>79.959999999999994</v>
      </c>
      <c r="R1753" s="10">
        <v>79.209999999999994</v>
      </c>
      <c r="S1753" s="10">
        <v>78.599999999999994</v>
      </c>
      <c r="T1753" s="10">
        <v>78.09</v>
      </c>
      <c r="U1753" s="10">
        <v>77.62</v>
      </c>
      <c r="V1753" s="10">
        <v>77.180000000000007</v>
      </c>
      <c r="W1753" s="10">
        <v>76.760000000000005</v>
      </c>
      <c r="X1753" s="10">
        <v>76.349999999999994</v>
      </c>
      <c r="Y1753" s="10">
        <v>75.97</v>
      </c>
      <c r="Z1753" s="11">
        <v>87.24</v>
      </c>
      <c r="AA1753" s="11">
        <v>84.992999999999995</v>
      </c>
      <c r="AB1753" s="11">
        <v>83.983000000000004</v>
      </c>
      <c r="AC1753" s="11">
        <v>83.183000000000007</v>
      </c>
      <c r="AD1753" s="11">
        <v>82.522000000000006</v>
      </c>
      <c r="AE1753" s="11">
        <v>82.012</v>
      </c>
      <c r="AF1753" s="11">
        <v>81.525000000000006</v>
      </c>
      <c r="AG1753" s="11">
        <v>81.066000000000003</v>
      </c>
      <c r="AH1753" s="11">
        <v>80.597999999999999</v>
      </c>
      <c r="AI1753" s="11">
        <v>80.174999999999997</v>
      </c>
      <c r="AJ1753" s="11">
        <v>79.765000000000001</v>
      </c>
      <c r="AK1753" s="11">
        <v>79.364000000000004</v>
      </c>
      <c r="AL1753" s="11"/>
    </row>
    <row r="1754" spans="1:38" x14ac:dyDescent="0.3">
      <c r="A1754" s="9">
        <f>DATE(2023, 10, 12)</f>
        <v>45211</v>
      </c>
      <c r="B1754" s="10">
        <v>86</v>
      </c>
      <c r="C1754" s="10">
        <v>84.81</v>
      </c>
      <c r="D1754" s="10">
        <v>83.95</v>
      </c>
      <c r="E1754" s="10">
        <v>83.26</v>
      </c>
      <c r="F1754" s="10">
        <v>82.74</v>
      </c>
      <c r="G1754" s="10">
        <v>82.32</v>
      </c>
      <c r="H1754" s="10">
        <v>81.900000000000006</v>
      </c>
      <c r="I1754" s="10">
        <v>81.510000000000005</v>
      </c>
      <c r="J1754" s="10">
        <v>81.13</v>
      </c>
      <c r="K1754" s="10">
        <v>80.760000000000005</v>
      </c>
      <c r="L1754" s="10">
        <v>80.400000000000006</v>
      </c>
      <c r="M1754" s="10">
        <v>80.069999999999993</v>
      </c>
      <c r="N1754" s="10">
        <v>82.91</v>
      </c>
      <c r="O1754" s="10">
        <v>81.8</v>
      </c>
      <c r="P1754" s="10">
        <v>80.73</v>
      </c>
      <c r="Q1754" s="10">
        <v>79.790000000000006</v>
      </c>
      <c r="R1754" s="10">
        <v>79.040000000000006</v>
      </c>
      <c r="S1754" s="10">
        <v>78.44</v>
      </c>
      <c r="T1754" s="10">
        <v>77.95</v>
      </c>
      <c r="U1754" s="10">
        <v>77.510000000000005</v>
      </c>
      <c r="V1754" s="10">
        <v>77.09</v>
      </c>
      <c r="W1754" s="10">
        <v>76.680000000000007</v>
      </c>
      <c r="X1754" s="10">
        <v>76.28</v>
      </c>
      <c r="Y1754" s="10">
        <v>75.89</v>
      </c>
      <c r="Z1754" s="11">
        <v>87.441999999999993</v>
      </c>
      <c r="AA1754" s="11">
        <v>85.165999999999997</v>
      </c>
      <c r="AB1754" s="11">
        <v>84.144000000000005</v>
      </c>
      <c r="AC1754" s="11">
        <v>83.322000000000003</v>
      </c>
      <c r="AD1754" s="11">
        <v>82.631</v>
      </c>
      <c r="AE1754" s="11">
        <v>82.093999999999994</v>
      </c>
      <c r="AF1754" s="11">
        <v>81.576999999999998</v>
      </c>
      <c r="AG1754" s="11">
        <v>81.102999999999994</v>
      </c>
      <c r="AH1754" s="11">
        <v>80.641999999999996</v>
      </c>
      <c r="AI1754" s="11">
        <v>80.194000000000003</v>
      </c>
      <c r="AJ1754" s="11">
        <v>79.784999999999997</v>
      </c>
      <c r="AK1754" s="11">
        <v>79.403999999999996</v>
      </c>
      <c r="AL1754" s="11"/>
    </row>
    <row r="1755" spans="1:38" x14ac:dyDescent="0.3">
      <c r="A1755" s="9">
        <f>DATE(2023, 10, 13)</f>
        <v>45212</v>
      </c>
      <c r="B1755" s="10">
        <v>90.89</v>
      </c>
      <c r="C1755" s="10">
        <v>89.34</v>
      </c>
      <c r="D1755" s="10">
        <v>88.24</v>
      </c>
      <c r="E1755" s="10">
        <v>87.32</v>
      </c>
      <c r="F1755" s="10">
        <v>86.6</v>
      </c>
      <c r="G1755" s="10">
        <v>86</v>
      </c>
      <c r="H1755" s="10">
        <v>85.43</v>
      </c>
      <c r="I1755" s="10">
        <v>84.91</v>
      </c>
      <c r="J1755" s="10">
        <v>84.42</v>
      </c>
      <c r="K1755" s="10">
        <v>83.97</v>
      </c>
      <c r="L1755" s="10">
        <v>83.52</v>
      </c>
      <c r="M1755" s="10">
        <v>83.1</v>
      </c>
      <c r="N1755" s="10">
        <v>87.69</v>
      </c>
      <c r="O1755" s="10">
        <v>86.35</v>
      </c>
      <c r="P1755" s="10">
        <v>85.08</v>
      </c>
      <c r="Q1755" s="10">
        <v>83.89</v>
      </c>
      <c r="R1755" s="10">
        <v>82.92</v>
      </c>
      <c r="S1755" s="10">
        <v>82.14</v>
      </c>
      <c r="T1755" s="10">
        <v>81.47</v>
      </c>
      <c r="U1755" s="10">
        <v>80.87</v>
      </c>
      <c r="V1755" s="10">
        <v>80.33</v>
      </c>
      <c r="W1755" s="10">
        <v>79.81</v>
      </c>
      <c r="X1755" s="10">
        <v>79.290000000000006</v>
      </c>
      <c r="Y1755" s="10">
        <v>78.819999999999993</v>
      </c>
      <c r="Z1755" s="11">
        <v>90.13</v>
      </c>
      <c r="AA1755" s="11">
        <v>89.807000000000002</v>
      </c>
      <c r="AB1755" s="11">
        <v>88.525000000000006</v>
      </c>
      <c r="AC1755" s="11">
        <v>87.474000000000004</v>
      </c>
      <c r="AD1755" s="11">
        <v>86.551000000000002</v>
      </c>
      <c r="AE1755" s="11">
        <v>85.811999999999998</v>
      </c>
      <c r="AF1755" s="11">
        <v>85.156000000000006</v>
      </c>
      <c r="AG1755" s="11">
        <v>84.539000000000001</v>
      </c>
      <c r="AH1755" s="11">
        <v>83.947999999999993</v>
      </c>
      <c r="AI1755" s="11">
        <v>83.42</v>
      </c>
      <c r="AJ1755" s="11">
        <v>82.900999999999996</v>
      </c>
      <c r="AK1755" s="11">
        <v>82.42</v>
      </c>
      <c r="AL1755" s="11"/>
    </row>
    <row r="1756" spans="1:38" x14ac:dyDescent="0.3">
      <c r="A1756" s="9">
        <f>DATE(2023, 10, 16)</f>
        <v>45215</v>
      </c>
      <c r="B1756" s="10">
        <v>89.65</v>
      </c>
      <c r="C1756" s="10">
        <v>88.27</v>
      </c>
      <c r="D1756" s="10">
        <v>87.24</v>
      </c>
      <c r="E1756" s="10">
        <v>86.4</v>
      </c>
      <c r="F1756" s="10">
        <v>85.75</v>
      </c>
      <c r="G1756" s="10">
        <v>85.2</v>
      </c>
      <c r="H1756" s="10">
        <v>84.68</v>
      </c>
      <c r="I1756" s="10">
        <v>84.19</v>
      </c>
      <c r="J1756" s="10">
        <v>83.73</v>
      </c>
      <c r="K1756" s="10">
        <v>83.31</v>
      </c>
      <c r="L1756" s="10">
        <v>82.88</v>
      </c>
      <c r="M1756" s="10">
        <v>82.5</v>
      </c>
      <c r="N1756" s="10">
        <v>86.66</v>
      </c>
      <c r="O1756" s="10">
        <v>85.26</v>
      </c>
      <c r="P1756" s="10">
        <v>84.02</v>
      </c>
      <c r="Q1756" s="10">
        <v>82.92</v>
      </c>
      <c r="R1756" s="10">
        <v>82.04</v>
      </c>
      <c r="S1756" s="10">
        <v>81.319999999999993</v>
      </c>
      <c r="T1756" s="10">
        <v>80.709999999999994</v>
      </c>
      <c r="U1756" s="10">
        <v>80.150000000000006</v>
      </c>
      <c r="V1756" s="10">
        <v>79.63</v>
      </c>
      <c r="W1756" s="10">
        <v>79.14</v>
      </c>
      <c r="X1756" s="10">
        <v>78.680000000000007</v>
      </c>
      <c r="Y1756" s="10">
        <v>78.239999999999995</v>
      </c>
      <c r="Z1756" s="11">
        <v>89.692999999999998</v>
      </c>
      <c r="AA1756" s="11">
        <v>88.957999999999998</v>
      </c>
      <c r="AB1756" s="11">
        <v>87.700999999999993</v>
      </c>
      <c r="AC1756" s="11">
        <v>86.665999999999997</v>
      </c>
      <c r="AD1756" s="11">
        <v>85.8</v>
      </c>
      <c r="AE1756" s="11">
        <v>85.119</v>
      </c>
      <c r="AF1756" s="11">
        <v>84.477999999999994</v>
      </c>
      <c r="AG1756" s="11">
        <v>83.88</v>
      </c>
      <c r="AH1756" s="11">
        <v>83.319000000000003</v>
      </c>
      <c r="AI1756" s="11">
        <v>82.811000000000007</v>
      </c>
      <c r="AJ1756" s="11">
        <v>82.322999999999993</v>
      </c>
      <c r="AK1756" s="11">
        <v>81.873000000000005</v>
      </c>
      <c r="AL1756" s="11"/>
    </row>
    <row r="1757" spans="1:38" x14ac:dyDescent="0.3">
      <c r="A1757" s="9">
        <f>DATE(2023, 10, 17)</f>
        <v>45216</v>
      </c>
      <c r="B1757" s="10">
        <v>89.9</v>
      </c>
      <c r="C1757" s="10">
        <v>88.56</v>
      </c>
      <c r="D1757" s="10">
        <v>87.55</v>
      </c>
      <c r="E1757" s="10">
        <v>86.73</v>
      </c>
      <c r="F1757" s="10">
        <v>86.08</v>
      </c>
      <c r="G1757" s="10">
        <v>85.53</v>
      </c>
      <c r="H1757" s="10">
        <v>85.01</v>
      </c>
      <c r="I1757" s="10">
        <v>84.53</v>
      </c>
      <c r="J1757" s="10">
        <v>84.06</v>
      </c>
      <c r="K1757" s="10">
        <v>83.62</v>
      </c>
      <c r="L1757" s="10">
        <v>83.19</v>
      </c>
      <c r="M1757" s="10">
        <v>82.79</v>
      </c>
      <c r="N1757" s="10">
        <v>86.66</v>
      </c>
      <c r="O1757" s="10">
        <v>85.44</v>
      </c>
      <c r="P1757" s="10">
        <v>84.3</v>
      </c>
      <c r="Q1757" s="10">
        <v>83.26</v>
      </c>
      <c r="R1757" s="10">
        <v>82.42</v>
      </c>
      <c r="S1757" s="10">
        <v>81.709999999999994</v>
      </c>
      <c r="T1757" s="10">
        <v>81.08</v>
      </c>
      <c r="U1757" s="10">
        <v>80.510000000000005</v>
      </c>
      <c r="V1757" s="10">
        <v>79.97</v>
      </c>
      <c r="W1757" s="10">
        <v>79.47</v>
      </c>
      <c r="X1757" s="10">
        <v>79</v>
      </c>
      <c r="Y1757" s="10">
        <v>78.55</v>
      </c>
      <c r="Z1757" s="11">
        <v>89.853999999999999</v>
      </c>
      <c r="AA1757" s="11">
        <v>89.289000000000001</v>
      </c>
      <c r="AB1757" s="11">
        <v>88.072999999999993</v>
      </c>
      <c r="AC1757" s="11">
        <v>87.082999999999998</v>
      </c>
      <c r="AD1757" s="11">
        <v>86.228999999999999</v>
      </c>
      <c r="AE1757" s="11">
        <v>85.546999999999997</v>
      </c>
      <c r="AF1757" s="11">
        <v>84.927999999999997</v>
      </c>
      <c r="AG1757" s="11">
        <v>84.34</v>
      </c>
      <c r="AH1757" s="11">
        <v>83.757999999999996</v>
      </c>
      <c r="AI1757" s="11">
        <v>83.241</v>
      </c>
      <c r="AJ1757" s="11">
        <v>82.731999999999999</v>
      </c>
      <c r="AK1757" s="11">
        <v>82.262</v>
      </c>
      <c r="AL1757" s="11"/>
    </row>
    <row r="1758" spans="1:38" x14ac:dyDescent="0.3">
      <c r="A1758" s="9">
        <f>DATE(2023, 10, 18)</f>
        <v>45217</v>
      </c>
      <c r="B1758" s="10">
        <v>91.5</v>
      </c>
      <c r="C1758" s="10">
        <v>90.22</v>
      </c>
      <c r="D1758" s="10">
        <v>89.17</v>
      </c>
      <c r="E1758" s="10">
        <v>88.3</v>
      </c>
      <c r="F1758" s="10">
        <v>87.57</v>
      </c>
      <c r="G1758" s="10">
        <v>86.93</v>
      </c>
      <c r="H1758" s="10">
        <v>86.33</v>
      </c>
      <c r="I1758" s="10">
        <v>85.77</v>
      </c>
      <c r="J1758" s="10">
        <v>85.24</v>
      </c>
      <c r="K1758" s="10">
        <v>84.74</v>
      </c>
      <c r="L1758" s="10">
        <v>84.26</v>
      </c>
      <c r="M1758" s="10">
        <v>83.8</v>
      </c>
      <c r="N1758" s="10">
        <v>88.32</v>
      </c>
      <c r="O1758" s="10">
        <v>87.27</v>
      </c>
      <c r="P1758" s="10">
        <v>86.09</v>
      </c>
      <c r="Q1758" s="10">
        <v>84.97</v>
      </c>
      <c r="R1758" s="10">
        <v>84.03</v>
      </c>
      <c r="S1758" s="10">
        <v>83.23</v>
      </c>
      <c r="T1758" s="10">
        <v>82.53</v>
      </c>
      <c r="U1758" s="10">
        <v>81.89</v>
      </c>
      <c r="V1758" s="10">
        <v>81.290000000000006</v>
      </c>
      <c r="W1758" s="10">
        <v>80.709999999999994</v>
      </c>
      <c r="X1758" s="10">
        <v>80.17</v>
      </c>
      <c r="Y1758" s="10">
        <v>79.67</v>
      </c>
      <c r="Z1758" s="11">
        <v>90.613</v>
      </c>
      <c r="AA1758" s="11">
        <v>90.966999999999999</v>
      </c>
      <c r="AB1758" s="11">
        <v>89.727999999999994</v>
      </c>
      <c r="AC1758" s="11">
        <v>88.716999999999999</v>
      </c>
      <c r="AD1758" s="11">
        <v>87.79</v>
      </c>
      <c r="AE1758" s="11">
        <v>87.02</v>
      </c>
      <c r="AF1758" s="11">
        <v>86.295000000000002</v>
      </c>
      <c r="AG1758" s="11">
        <v>85.637</v>
      </c>
      <c r="AH1758" s="11">
        <v>84.995000000000005</v>
      </c>
      <c r="AI1758" s="11">
        <v>84.429000000000002</v>
      </c>
      <c r="AJ1758" s="11">
        <v>83.869</v>
      </c>
      <c r="AK1758" s="11">
        <v>83.33</v>
      </c>
      <c r="AL1758" s="11"/>
    </row>
    <row r="1759" spans="1:38" x14ac:dyDescent="0.3">
      <c r="A1759" s="9">
        <f>DATE(2023, 10, 19)</f>
        <v>45218</v>
      </c>
      <c r="B1759" s="10">
        <v>92.38</v>
      </c>
      <c r="C1759" s="10">
        <v>91.01</v>
      </c>
      <c r="D1759" s="10">
        <v>89.85</v>
      </c>
      <c r="E1759" s="10">
        <v>88.89</v>
      </c>
      <c r="F1759" s="10">
        <v>88.09</v>
      </c>
      <c r="G1759" s="10">
        <v>87.38</v>
      </c>
      <c r="H1759" s="10">
        <v>86.72</v>
      </c>
      <c r="I1759" s="10">
        <v>86.1</v>
      </c>
      <c r="J1759" s="10">
        <v>85.52</v>
      </c>
      <c r="K1759" s="10">
        <v>84.97</v>
      </c>
      <c r="L1759" s="10">
        <v>84.44</v>
      </c>
      <c r="M1759" s="10">
        <v>83.94</v>
      </c>
      <c r="N1759" s="10">
        <v>89.37</v>
      </c>
      <c r="O1759" s="10">
        <v>88.37</v>
      </c>
      <c r="P1759" s="10">
        <v>87.06</v>
      </c>
      <c r="Q1759" s="10">
        <v>85.79</v>
      </c>
      <c r="R1759" s="10">
        <v>84.69</v>
      </c>
      <c r="S1759" s="10">
        <v>83.77</v>
      </c>
      <c r="T1759" s="10">
        <v>82.98</v>
      </c>
      <c r="U1759" s="10">
        <v>82.27</v>
      </c>
      <c r="V1759" s="10">
        <v>81.599999999999994</v>
      </c>
      <c r="W1759" s="10">
        <v>80.97</v>
      </c>
      <c r="X1759" s="10">
        <v>80.38</v>
      </c>
      <c r="Y1759" s="10">
        <v>79.83</v>
      </c>
      <c r="Z1759" s="11">
        <v>90.736999999999995</v>
      </c>
      <c r="AA1759" s="11">
        <v>91.626999999999995</v>
      </c>
      <c r="AB1759" s="11">
        <v>90.337000000000003</v>
      </c>
      <c r="AC1759" s="11">
        <v>89.277000000000001</v>
      </c>
      <c r="AD1759" s="11">
        <v>88.326999999999998</v>
      </c>
      <c r="AE1759" s="11">
        <v>87.507000000000005</v>
      </c>
      <c r="AF1759" s="11">
        <v>86.731999999999999</v>
      </c>
      <c r="AG1759" s="11">
        <v>86.015000000000001</v>
      </c>
      <c r="AH1759" s="11">
        <v>85.322999999999993</v>
      </c>
      <c r="AI1759" s="11">
        <v>84.697000000000003</v>
      </c>
      <c r="AJ1759" s="11">
        <v>84.091999999999999</v>
      </c>
      <c r="AK1759" s="11">
        <v>83.503</v>
      </c>
      <c r="AL1759" s="11"/>
    </row>
    <row r="1760" spans="1:38" x14ac:dyDescent="0.3">
      <c r="A1760" s="9">
        <f>DATE(2023, 10, 20)</f>
        <v>45219</v>
      </c>
      <c r="B1760" s="10">
        <v>92.16</v>
      </c>
      <c r="C1760" s="10">
        <v>90.89</v>
      </c>
      <c r="D1760" s="10">
        <v>89.77</v>
      </c>
      <c r="E1760" s="10">
        <v>88.8</v>
      </c>
      <c r="F1760" s="10">
        <v>87.97</v>
      </c>
      <c r="G1760" s="10">
        <v>87.23</v>
      </c>
      <c r="H1760" s="10">
        <v>86.54</v>
      </c>
      <c r="I1760" s="10">
        <v>85.89</v>
      </c>
      <c r="J1760" s="10">
        <v>85.28</v>
      </c>
      <c r="K1760" s="10">
        <v>84.71</v>
      </c>
      <c r="L1760" s="10">
        <v>84.16</v>
      </c>
      <c r="M1760" s="10">
        <v>83.65</v>
      </c>
      <c r="N1760" s="10">
        <v>88.75</v>
      </c>
      <c r="O1760" s="10">
        <v>88.08</v>
      </c>
      <c r="P1760" s="10">
        <v>86.82</v>
      </c>
      <c r="Q1760" s="10">
        <v>85.57</v>
      </c>
      <c r="R1760" s="10">
        <v>84.47</v>
      </c>
      <c r="S1760" s="10">
        <v>83.54</v>
      </c>
      <c r="T1760" s="10">
        <v>82.73</v>
      </c>
      <c r="U1760" s="10">
        <v>81.99</v>
      </c>
      <c r="V1760" s="10">
        <v>81.3</v>
      </c>
      <c r="W1760" s="10">
        <v>80.66</v>
      </c>
      <c r="X1760" s="10">
        <v>80.05</v>
      </c>
      <c r="Y1760" s="10">
        <v>79.47</v>
      </c>
      <c r="Z1760" s="11">
        <v>90.7</v>
      </c>
      <c r="AA1760" s="11">
        <v>91.459000000000003</v>
      </c>
      <c r="AB1760" s="11">
        <v>90.215000000000003</v>
      </c>
      <c r="AC1760" s="11">
        <v>89.13</v>
      </c>
      <c r="AD1760" s="11">
        <v>88.155000000000001</v>
      </c>
      <c r="AE1760" s="11">
        <v>87.335999999999999</v>
      </c>
      <c r="AF1760" s="11">
        <v>86.55</v>
      </c>
      <c r="AG1760" s="11">
        <v>85.822999999999993</v>
      </c>
      <c r="AH1760" s="11">
        <v>85.111999999999995</v>
      </c>
      <c r="AI1760" s="11">
        <v>84.465999999999994</v>
      </c>
      <c r="AJ1760" s="11">
        <v>83.846999999999994</v>
      </c>
      <c r="AK1760" s="11">
        <v>83.266999999999996</v>
      </c>
      <c r="AL1760" s="11"/>
    </row>
    <row r="1761" spans="1:38" x14ac:dyDescent="0.3">
      <c r="A1761" s="9">
        <f>DATE(2023, 10, 23)</f>
        <v>45222</v>
      </c>
      <c r="B1761" s="10">
        <v>89.83</v>
      </c>
      <c r="C1761" s="10">
        <v>88.69</v>
      </c>
      <c r="D1761" s="10">
        <v>87.75</v>
      </c>
      <c r="E1761" s="10">
        <v>86.96</v>
      </c>
      <c r="F1761" s="10">
        <v>86.26</v>
      </c>
      <c r="G1761" s="10">
        <v>85.63</v>
      </c>
      <c r="H1761" s="10">
        <v>85.03</v>
      </c>
      <c r="I1761" s="10">
        <v>84.47</v>
      </c>
      <c r="J1761" s="10">
        <v>83.94</v>
      </c>
      <c r="K1761" s="10">
        <v>83.44</v>
      </c>
      <c r="L1761" s="10">
        <v>82.96</v>
      </c>
      <c r="M1761" s="10">
        <v>82.52</v>
      </c>
      <c r="N1761" s="10">
        <v>85.49</v>
      </c>
      <c r="O1761" s="10">
        <v>84.42</v>
      </c>
      <c r="P1761" s="10">
        <v>83.4</v>
      </c>
      <c r="Q1761" s="10">
        <v>82.51</v>
      </c>
      <c r="R1761" s="10">
        <v>81.760000000000005</v>
      </c>
      <c r="S1761" s="10">
        <v>81.099999999999994</v>
      </c>
      <c r="T1761" s="10">
        <v>80.48</v>
      </c>
      <c r="U1761" s="10">
        <v>79.91</v>
      </c>
      <c r="V1761" s="10">
        <v>79.36</v>
      </c>
      <c r="W1761" s="10">
        <v>78.81</v>
      </c>
      <c r="X1761" s="10">
        <v>78.31</v>
      </c>
      <c r="Y1761" s="10">
        <v>77.849999999999994</v>
      </c>
      <c r="Z1761" s="11">
        <v>89.927000000000007</v>
      </c>
      <c r="AA1761" s="11">
        <v>89.316999999999993</v>
      </c>
      <c r="AB1761" s="11">
        <v>88.22</v>
      </c>
      <c r="AC1761" s="11">
        <v>87.230999999999995</v>
      </c>
      <c r="AD1761" s="11">
        <v>86.322000000000003</v>
      </c>
      <c r="AE1761" s="11">
        <v>85.602000000000004</v>
      </c>
      <c r="AF1761" s="11">
        <v>84.915000000000006</v>
      </c>
      <c r="AG1761" s="11">
        <v>84.266999999999996</v>
      </c>
      <c r="AH1761" s="11">
        <v>83.644999999999996</v>
      </c>
      <c r="AI1761" s="11">
        <v>83.063999999999993</v>
      </c>
      <c r="AJ1761" s="11">
        <v>82.53</v>
      </c>
      <c r="AK1761" s="11">
        <v>82.015000000000001</v>
      </c>
      <c r="AL1761" s="11"/>
    </row>
    <row r="1762" spans="1:38" x14ac:dyDescent="0.3">
      <c r="A1762" s="9">
        <f>DATE(2023, 10, 24)</f>
        <v>45223</v>
      </c>
      <c r="B1762" s="10">
        <v>88.07</v>
      </c>
      <c r="C1762" s="10">
        <v>87.16</v>
      </c>
      <c r="D1762" s="10">
        <v>86.37</v>
      </c>
      <c r="E1762" s="10">
        <v>85.7</v>
      </c>
      <c r="F1762" s="10">
        <v>85.11</v>
      </c>
      <c r="G1762" s="10">
        <v>84.59</v>
      </c>
      <c r="H1762" s="10">
        <v>84.09</v>
      </c>
      <c r="I1762" s="10">
        <v>83.62</v>
      </c>
      <c r="J1762" s="10">
        <v>83.16</v>
      </c>
      <c r="K1762" s="10">
        <v>82.72</v>
      </c>
      <c r="L1762" s="10">
        <v>82.28</v>
      </c>
      <c r="M1762" s="10">
        <v>81.87</v>
      </c>
      <c r="N1762" s="10">
        <v>83.74</v>
      </c>
      <c r="O1762" s="10">
        <v>82.97</v>
      </c>
      <c r="P1762" s="10">
        <v>82.14</v>
      </c>
      <c r="Q1762" s="10">
        <v>81.39</v>
      </c>
      <c r="R1762" s="10">
        <v>80.73</v>
      </c>
      <c r="S1762" s="10">
        <v>80.13</v>
      </c>
      <c r="T1762" s="10">
        <v>79.569999999999993</v>
      </c>
      <c r="U1762" s="10">
        <v>79.05</v>
      </c>
      <c r="V1762" s="10">
        <v>78.55</v>
      </c>
      <c r="W1762" s="10">
        <v>78.069999999999993</v>
      </c>
      <c r="X1762" s="10">
        <v>77.61</v>
      </c>
      <c r="Y1762" s="10">
        <v>77.2</v>
      </c>
      <c r="Z1762" s="11">
        <v>89.652000000000001</v>
      </c>
      <c r="AA1762" s="11">
        <v>87.888999999999996</v>
      </c>
      <c r="AB1762" s="11">
        <v>86.878</v>
      </c>
      <c r="AC1762" s="11">
        <v>85.966999999999999</v>
      </c>
      <c r="AD1762" s="11">
        <v>85.135999999999996</v>
      </c>
      <c r="AE1762" s="11">
        <v>84.504999999999995</v>
      </c>
      <c r="AF1762" s="11">
        <v>83.918999999999997</v>
      </c>
      <c r="AG1762" s="11">
        <v>83.347999999999999</v>
      </c>
      <c r="AH1762" s="11">
        <v>82.805999999999997</v>
      </c>
      <c r="AI1762" s="11">
        <v>82.308999999999997</v>
      </c>
      <c r="AJ1762" s="11">
        <v>81.748999999999995</v>
      </c>
      <c r="AK1762" s="11">
        <v>81.269000000000005</v>
      </c>
      <c r="AL1762" s="11"/>
    </row>
    <row r="1763" spans="1:38" x14ac:dyDescent="0.3">
      <c r="A1763" s="9">
        <f>DATE(2023, 10, 25)</f>
        <v>45224</v>
      </c>
      <c r="B1763" s="10">
        <v>90.13</v>
      </c>
      <c r="C1763" s="10">
        <v>89.12</v>
      </c>
      <c r="D1763" s="10">
        <v>88.27</v>
      </c>
      <c r="E1763" s="10">
        <v>87.53</v>
      </c>
      <c r="F1763" s="10">
        <v>86.88</v>
      </c>
      <c r="G1763" s="10">
        <v>86.31</v>
      </c>
      <c r="H1763" s="10">
        <v>85.77</v>
      </c>
      <c r="I1763" s="10">
        <v>85.26</v>
      </c>
      <c r="J1763" s="10">
        <v>84.76</v>
      </c>
      <c r="K1763" s="10">
        <v>84.27</v>
      </c>
      <c r="L1763" s="10">
        <v>83.79</v>
      </c>
      <c r="M1763" s="10">
        <v>83.34</v>
      </c>
      <c r="N1763" s="10">
        <v>85.39</v>
      </c>
      <c r="O1763" s="10">
        <v>84.69</v>
      </c>
      <c r="P1763" s="10">
        <v>83.86</v>
      </c>
      <c r="Q1763" s="10">
        <v>83.08</v>
      </c>
      <c r="R1763" s="10">
        <v>82.41</v>
      </c>
      <c r="S1763" s="10">
        <v>81.8</v>
      </c>
      <c r="T1763" s="10">
        <v>81.22</v>
      </c>
      <c r="U1763" s="10">
        <v>80.650000000000006</v>
      </c>
      <c r="V1763" s="10">
        <v>80.11</v>
      </c>
      <c r="W1763" s="10">
        <v>79.59</v>
      </c>
      <c r="X1763" s="10">
        <v>79.09</v>
      </c>
      <c r="Y1763" s="10">
        <v>78.63</v>
      </c>
      <c r="Z1763" s="11">
        <v>89.988</v>
      </c>
      <c r="AA1763" s="11">
        <v>89.751000000000005</v>
      </c>
      <c r="AB1763" s="11">
        <v>88.796000000000006</v>
      </c>
      <c r="AC1763" s="11">
        <v>87.894999999999996</v>
      </c>
      <c r="AD1763" s="11">
        <v>87.036000000000001</v>
      </c>
      <c r="AE1763" s="11">
        <v>86.358000000000004</v>
      </c>
      <c r="AF1763" s="11">
        <v>85.718999999999994</v>
      </c>
      <c r="AG1763" s="11">
        <v>85.106999999999999</v>
      </c>
      <c r="AH1763" s="11">
        <v>84.506</v>
      </c>
      <c r="AI1763" s="11">
        <v>83.959000000000003</v>
      </c>
      <c r="AJ1763" s="11">
        <v>83.44</v>
      </c>
      <c r="AK1763" s="11">
        <v>82.91</v>
      </c>
      <c r="AL1763" s="11"/>
    </row>
    <row r="1764" spans="1:38" x14ac:dyDescent="0.3">
      <c r="A1764" s="9">
        <f>DATE(2023, 10, 26)</f>
        <v>45225</v>
      </c>
      <c r="B1764" s="10">
        <v>87.93</v>
      </c>
      <c r="C1764" s="10">
        <v>87.05</v>
      </c>
      <c r="D1764" s="10">
        <v>86.33</v>
      </c>
      <c r="E1764" s="10">
        <v>85.7</v>
      </c>
      <c r="F1764" s="10">
        <v>85.14</v>
      </c>
      <c r="G1764" s="10">
        <v>84.64</v>
      </c>
      <c r="H1764" s="10">
        <v>84.18</v>
      </c>
      <c r="I1764" s="10">
        <v>83.74</v>
      </c>
      <c r="J1764" s="10">
        <v>83.31</v>
      </c>
      <c r="K1764" s="10">
        <v>82.89</v>
      </c>
      <c r="L1764" s="10">
        <v>82.47</v>
      </c>
      <c r="M1764" s="10">
        <v>82.07</v>
      </c>
      <c r="N1764" s="10">
        <v>83.21</v>
      </c>
      <c r="O1764" s="10">
        <v>82.54</v>
      </c>
      <c r="P1764" s="10">
        <v>81.84</v>
      </c>
      <c r="Q1764" s="10">
        <v>81.19</v>
      </c>
      <c r="R1764" s="10">
        <v>80.63</v>
      </c>
      <c r="S1764" s="10">
        <v>80.11</v>
      </c>
      <c r="T1764" s="10">
        <v>79.61</v>
      </c>
      <c r="U1764" s="10">
        <v>79.12</v>
      </c>
      <c r="V1764" s="10">
        <v>78.650000000000006</v>
      </c>
      <c r="W1764" s="10">
        <v>78.2</v>
      </c>
      <c r="X1764" s="10">
        <v>77.760000000000005</v>
      </c>
      <c r="Y1764" s="10">
        <v>77.34</v>
      </c>
      <c r="Z1764" s="11">
        <v>89.682000000000002</v>
      </c>
      <c r="AA1764" s="11">
        <v>87.498000000000005</v>
      </c>
      <c r="AB1764" s="11">
        <v>86.667000000000002</v>
      </c>
      <c r="AC1764" s="11">
        <v>85.875</v>
      </c>
      <c r="AD1764" s="11">
        <v>85.146000000000001</v>
      </c>
      <c r="AE1764" s="11">
        <v>84.56</v>
      </c>
      <c r="AF1764" s="11">
        <v>84.01</v>
      </c>
      <c r="AG1764" s="11">
        <v>83.468999999999994</v>
      </c>
      <c r="AH1764" s="11">
        <v>82.938999999999993</v>
      </c>
      <c r="AI1764" s="11">
        <v>82.421999999999997</v>
      </c>
      <c r="AJ1764" s="11">
        <v>81.951999999999998</v>
      </c>
      <c r="AK1764" s="11">
        <v>81.510999999999996</v>
      </c>
      <c r="AL1764" s="11"/>
    </row>
    <row r="1765" spans="1:38" x14ac:dyDescent="0.3">
      <c r="A1765" s="9">
        <f>DATE(2023, 10, 27)</f>
        <v>45226</v>
      </c>
      <c r="B1765" s="10">
        <v>90.48</v>
      </c>
      <c r="C1765" s="10">
        <v>89.2</v>
      </c>
      <c r="D1765" s="10">
        <v>88.33</v>
      </c>
      <c r="E1765" s="10">
        <v>87.57</v>
      </c>
      <c r="F1765" s="10">
        <v>86.91</v>
      </c>
      <c r="G1765" s="10">
        <v>86.32</v>
      </c>
      <c r="H1765" s="10">
        <v>85.77</v>
      </c>
      <c r="I1765" s="10">
        <v>85.26</v>
      </c>
      <c r="J1765" s="10">
        <v>84.76</v>
      </c>
      <c r="K1765" s="10">
        <v>84.28</v>
      </c>
      <c r="L1765" s="10">
        <v>83.82</v>
      </c>
      <c r="M1765" s="10">
        <v>83.37</v>
      </c>
      <c r="N1765" s="10">
        <v>85.54</v>
      </c>
      <c r="O1765" s="10">
        <v>84.7</v>
      </c>
      <c r="P1765" s="10">
        <v>83.84</v>
      </c>
      <c r="Q1765" s="10">
        <v>83.05</v>
      </c>
      <c r="R1765" s="10">
        <v>82.36</v>
      </c>
      <c r="S1765" s="10">
        <v>81.739999999999995</v>
      </c>
      <c r="T1765" s="10">
        <v>81.150000000000006</v>
      </c>
      <c r="U1765" s="10">
        <v>80.599999999999994</v>
      </c>
      <c r="V1765" s="10">
        <v>80.069999999999993</v>
      </c>
      <c r="W1765" s="10">
        <v>79.569999999999993</v>
      </c>
      <c r="X1765" s="10">
        <v>79.09</v>
      </c>
      <c r="Y1765" s="10">
        <v>78.64</v>
      </c>
      <c r="Z1765" s="11">
        <v>89.89</v>
      </c>
      <c r="AA1765" s="11">
        <v>89.48</v>
      </c>
      <c r="AB1765" s="11">
        <v>88.484999999999999</v>
      </c>
      <c r="AC1765" s="11">
        <v>87.647999999999996</v>
      </c>
      <c r="AD1765" s="11">
        <v>86.855999999999995</v>
      </c>
      <c r="AE1765" s="11">
        <v>86.186000000000007</v>
      </c>
      <c r="AF1765" s="11">
        <v>85.546999999999997</v>
      </c>
      <c r="AG1765" s="11">
        <v>84.938000000000002</v>
      </c>
      <c r="AH1765" s="11">
        <v>84.340999999999994</v>
      </c>
      <c r="AI1765" s="11">
        <v>83.78</v>
      </c>
      <c r="AJ1765" s="11">
        <v>83.23</v>
      </c>
      <c r="AK1765" s="11">
        <v>82.7</v>
      </c>
      <c r="AL1765" s="11"/>
    </row>
    <row r="1766" spans="1:38" x14ac:dyDescent="0.3">
      <c r="A1766" s="9">
        <f>DATE(2023, 10, 30)</f>
        <v>45229</v>
      </c>
      <c r="B1766" s="10">
        <v>87.45</v>
      </c>
      <c r="C1766" s="10">
        <v>86.35</v>
      </c>
      <c r="D1766" s="10">
        <v>85.62</v>
      </c>
      <c r="E1766" s="10">
        <v>84.95</v>
      </c>
      <c r="F1766" s="10">
        <v>84.38</v>
      </c>
      <c r="G1766" s="10">
        <v>83.87</v>
      </c>
      <c r="H1766" s="10">
        <v>83.38</v>
      </c>
      <c r="I1766" s="10">
        <v>82.93</v>
      </c>
      <c r="J1766" s="10">
        <v>82.51</v>
      </c>
      <c r="K1766" s="10">
        <v>82.1</v>
      </c>
      <c r="L1766" s="10">
        <v>81.7</v>
      </c>
      <c r="M1766" s="10">
        <v>81.34</v>
      </c>
      <c r="N1766" s="10">
        <v>82.31</v>
      </c>
      <c r="O1766" s="10">
        <v>81.680000000000007</v>
      </c>
      <c r="P1766" s="10">
        <v>80.989999999999995</v>
      </c>
      <c r="Q1766" s="10">
        <v>80.34</v>
      </c>
      <c r="R1766" s="10">
        <v>79.78</v>
      </c>
      <c r="S1766" s="10">
        <v>79.260000000000005</v>
      </c>
      <c r="T1766" s="10">
        <v>78.75</v>
      </c>
      <c r="U1766" s="10">
        <v>78.3</v>
      </c>
      <c r="V1766" s="10">
        <v>77.86</v>
      </c>
      <c r="W1766" s="10">
        <v>77.42</v>
      </c>
      <c r="X1766" s="10">
        <v>77.010000000000005</v>
      </c>
      <c r="Y1766" s="10">
        <v>76.61</v>
      </c>
      <c r="Z1766" s="11">
        <v>89.734999999999999</v>
      </c>
      <c r="AA1766" s="11">
        <v>86.596999999999994</v>
      </c>
      <c r="AB1766" s="11">
        <v>85.742999999999995</v>
      </c>
      <c r="AC1766" s="11">
        <v>84.953999999999994</v>
      </c>
      <c r="AD1766" s="11">
        <v>84.256</v>
      </c>
      <c r="AE1766" s="11">
        <v>83.656000000000006</v>
      </c>
      <c r="AF1766" s="11">
        <v>83.09</v>
      </c>
      <c r="AG1766" s="11">
        <v>82.542000000000002</v>
      </c>
      <c r="AH1766" s="11">
        <v>82.02</v>
      </c>
      <c r="AI1766" s="11">
        <v>81.543000000000006</v>
      </c>
      <c r="AJ1766" s="11">
        <v>81.084000000000003</v>
      </c>
      <c r="AK1766" s="11">
        <v>80.641999999999996</v>
      </c>
      <c r="AL1766" s="11"/>
    </row>
    <row r="1767" spans="1:38" x14ac:dyDescent="0.3">
      <c r="A1767" s="9">
        <f>DATE(2023, 10, 31)</f>
        <v>45230</v>
      </c>
      <c r="B1767" s="10">
        <v>87.41</v>
      </c>
      <c r="C1767" s="10">
        <v>85.02</v>
      </c>
      <c r="D1767" s="10">
        <v>84.45</v>
      </c>
      <c r="E1767" s="10">
        <v>83.89</v>
      </c>
      <c r="F1767" s="10">
        <v>83.41</v>
      </c>
      <c r="G1767" s="10">
        <v>82.97</v>
      </c>
      <c r="H1767" s="10">
        <v>82.55</v>
      </c>
      <c r="I1767" s="10">
        <v>82.13</v>
      </c>
      <c r="J1767" s="10">
        <v>81.739999999999995</v>
      </c>
      <c r="K1767" s="10">
        <v>81.36</v>
      </c>
      <c r="L1767" s="10">
        <v>81</v>
      </c>
      <c r="M1767" s="10">
        <v>80.650000000000006</v>
      </c>
      <c r="N1767" s="10">
        <v>81.02</v>
      </c>
      <c r="O1767" s="10">
        <v>80.5</v>
      </c>
      <c r="P1767" s="10">
        <v>79.959999999999994</v>
      </c>
      <c r="Q1767" s="10">
        <v>79.42</v>
      </c>
      <c r="R1767" s="10">
        <v>78.930000000000007</v>
      </c>
      <c r="S1767" s="10">
        <v>78.47</v>
      </c>
      <c r="T1767" s="10">
        <v>78.040000000000006</v>
      </c>
      <c r="U1767" s="10">
        <v>77.62</v>
      </c>
      <c r="V1767" s="10">
        <v>77.209999999999994</v>
      </c>
      <c r="W1767" s="10">
        <v>76.81</v>
      </c>
      <c r="X1767" s="10">
        <v>76.42</v>
      </c>
      <c r="Y1767" s="10">
        <v>76.05</v>
      </c>
      <c r="Z1767" s="11">
        <v>89.76</v>
      </c>
      <c r="AA1767" s="11">
        <v>85.424000000000007</v>
      </c>
      <c r="AB1767" s="11">
        <v>84.659000000000006</v>
      </c>
      <c r="AC1767" s="11">
        <v>83.947999999999993</v>
      </c>
      <c r="AD1767" s="11">
        <v>83.338999999999999</v>
      </c>
      <c r="AE1767" s="11">
        <v>82.79</v>
      </c>
      <c r="AF1767" s="11">
        <v>82.281999999999996</v>
      </c>
      <c r="AG1767" s="11">
        <v>81.763000000000005</v>
      </c>
      <c r="AH1767" s="11">
        <v>81.271000000000001</v>
      </c>
      <c r="AI1767" s="11">
        <v>80.828999999999994</v>
      </c>
      <c r="AJ1767" s="11">
        <v>80.394000000000005</v>
      </c>
      <c r="AK1767" s="11">
        <v>79.974000000000004</v>
      </c>
      <c r="AL1767" s="11"/>
    </row>
    <row r="1768" spans="1:38" x14ac:dyDescent="0.3">
      <c r="A1768" s="9">
        <f>DATE(2023, 11, 1)</f>
        <v>45231</v>
      </c>
      <c r="B1768" s="10">
        <v>84.63</v>
      </c>
      <c r="C1768" s="10">
        <v>84.05</v>
      </c>
      <c r="D1768" s="10">
        <v>83.52</v>
      </c>
      <c r="E1768" s="10">
        <v>83.05</v>
      </c>
      <c r="F1768" s="10">
        <v>82.63</v>
      </c>
      <c r="G1768" s="10">
        <v>82.22</v>
      </c>
      <c r="H1768" s="10">
        <v>81.819999999999993</v>
      </c>
      <c r="I1768" s="10">
        <v>81.430000000000007</v>
      </c>
      <c r="J1768" s="10">
        <v>81.040000000000006</v>
      </c>
      <c r="K1768" s="10">
        <v>80.67</v>
      </c>
      <c r="L1768" s="10">
        <v>80.319999999999993</v>
      </c>
      <c r="M1768" s="10">
        <v>79.98</v>
      </c>
      <c r="N1768" s="10">
        <v>80.44</v>
      </c>
      <c r="O1768" s="10">
        <v>80.099999999999994</v>
      </c>
      <c r="P1768" s="10">
        <v>79.63</v>
      </c>
      <c r="Q1768" s="10">
        <v>79.13</v>
      </c>
      <c r="R1768" s="10">
        <v>78.67</v>
      </c>
      <c r="S1768" s="10">
        <v>78.23</v>
      </c>
      <c r="T1768" s="10">
        <v>77.81</v>
      </c>
      <c r="U1768" s="10">
        <v>77.37</v>
      </c>
      <c r="V1768" s="10">
        <v>76.95</v>
      </c>
      <c r="W1768" s="10">
        <v>76.569999999999993</v>
      </c>
      <c r="X1768" s="10">
        <v>76.16</v>
      </c>
      <c r="Y1768" s="10">
        <v>75.78</v>
      </c>
      <c r="Z1768" s="11">
        <v>89.76</v>
      </c>
      <c r="AA1768" s="11">
        <v>85.361999999999995</v>
      </c>
      <c r="AB1768" s="11">
        <v>84.466999999999999</v>
      </c>
      <c r="AC1768" s="11">
        <v>83.728999999999999</v>
      </c>
      <c r="AD1768" s="11">
        <v>83.1</v>
      </c>
      <c r="AE1768" s="11">
        <v>82.549000000000007</v>
      </c>
      <c r="AF1768" s="11">
        <v>82.031999999999996</v>
      </c>
      <c r="AG1768" s="11">
        <v>81.528000000000006</v>
      </c>
      <c r="AH1768" s="11">
        <v>81.046000000000006</v>
      </c>
      <c r="AI1768" s="11">
        <v>80.563999999999993</v>
      </c>
      <c r="AJ1768" s="11">
        <v>80.123999999999995</v>
      </c>
      <c r="AK1768" s="11">
        <v>79.703999999999994</v>
      </c>
      <c r="AL1768" s="11"/>
    </row>
    <row r="1769" spans="1:38" x14ac:dyDescent="0.3">
      <c r="A1769" s="9">
        <f>DATE(2023, 11, 2)</f>
        <v>45232</v>
      </c>
      <c r="B1769" s="10">
        <v>86.85</v>
      </c>
      <c r="C1769" s="10">
        <v>86.25</v>
      </c>
      <c r="D1769" s="10">
        <v>85.69</v>
      </c>
      <c r="E1769" s="10">
        <v>85.18</v>
      </c>
      <c r="F1769" s="10">
        <v>84.72</v>
      </c>
      <c r="G1769" s="10">
        <v>84.26</v>
      </c>
      <c r="H1769" s="10">
        <v>83.81</v>
      </c>
      <c r="I1769" s="10">
        <v>83.36</v>
      </c>
      <c r="J1769" s="10">
        <v>82.93</v>
      </c>
      <c r="K1769" s="10">
        <v>82.51</v>
      </c>
      <c r="L1769" s="10">
        <v>82.11</v>
      </c>
      <c r="M1769" s="10">
        <v>81.709999999999994</v>
      </c>
      <c r="N1769" s="10">
        <v>82.46</v>
      </c>
      <c r="O1769" s="10">
        <v>82.16</v>
      </c>
      <c r="P1769" s="10">
        <v>81.7</v>
      </c>
      <c r="Q1769" s="10">
        <v>81.2</v>
      </c>
      <c r="R1769" s="10">
        <v>80.72</v>
      </c>
      <c r="S1769" s="10">
        <v>80.239999999999995</v>
      </c>
      <c r="T1769" s="10">
        <v>79.77</v>
      </c>
      <c r="U1769" s="10">
        <v>79.3</v>
      </c>
      <c r="V1769" s="10">
        <v>78.83</v>
      </c>
      <c r="W1769" s="10">
        <v>78.37</v>
      </c>
      <c r="X1769" s="10">
        <v>77.900000000000006</v>
      </c>
      <c r="Y1769" s="10">
        <v>77.47</v>
      </c>
      <c r="Z1769" s="11">
        <v>87.653000000000006</v>
      </c>
      <c r="AA1769" s="11">
        <v>86.713999999999999</v>
      </c>
      <c r="AB1769" s="11">
        <v>85.947000000000003</v>
      </c>
      <c r="AC1769" s="11">
        <v>85.257999999999996</v>
      </c>
      <c r="AD1769" s="11">
        <v>84.662000000000006</v>
      </c>
      <c r="AE1769" s="11">
        <v>84.08</v>
      </c>
      <c r="AF1769" s="11">
        <v>83.53</v>
      </c>
      <c r="AG1769" s="11">
        <v>82.978999999999999</v>
      </c>
      <c r="AH1769" s="11">
        <v>82.462000000000003</v>
      </c>
      <c r="AI1769" s="11">
        <v>81.971999999999994</v>
      </c>
      <c r="AJ1769" s="11">
        <v>81.471000000000004</v>
      </c>
      <c r="AK1769" s="11">
        <v>81.043000000000006</v>
      </c>
      <c r="AL1769" s="11"/>
    </row>
    <row r="1770" spans="1:38" x14ac:dyDescent="0.3">
      <c r="A1770" s="9">
        <f>DATE(2023, 11, 3)</f>
        <v>45233</v>
      </c>
      <c r="B1770" s="10">
        <v>84.89</v>
      </c>
      <c r="C1770" s="10">
        <v>84.4</v>
      </c>
      <c r="D1770" s="10">
        <v>83.93</v>
      </c>
      <c r="E1770" s="10">
        <v>83.49</v>
      </c>
      <c r="F1770" s="10">
        <v>83.09</v>
      </c>
      <c r="G1770" s="10">
        <v>82.69</v>
      </c>
      <c r="H1770" s="10">
        <v>82.29</v>
      </c>
      <c r="I1770" s="10">
        <v>81.89</v>
      </c>
      <c r="J1770" s="10">
        <v>81.5</v>
      </c>
      <c r="K1770" s="10">
        <v>81.12</v>
      </c>
      <c r="L1770" s="10">
        <v>80.739999999999995</v>
      </c>
      <c r="M1770" s="10">
        <v>80.37</v>
      </c>
      <c r="N1770" s="10">
        <v>80.510000000000005</v>
      </c>
      <c r="O1770" s="10">
        <v>80.23</v>
      </c>
      <c r="P1770" s="10">
        <v>79.86</v>
      </c>
      <c r="Q1770" s="10">
        <v>79.459999999999994</v>
      </c>
      <c r="R1770" s="10">
        <v>79.069999999999993</v>
      </c>
      <c r="S1770" s="10">
        <v>78.67</v>
      </c>
      <c r="T1770" s="10">
        <v>78.260000000000005</v>
      </c>
      <c r="U1770" s="10">
        <v>77.83</v>
      </c>
      <c r="V1770" s="10">
        <v>77.400000000000006</v>
      </c>
      <c r="W1770" s="10">
        <v>76.97</v>
      </c>
      <c r="X1770" s="10">
        <v>76.540000000000006</v>
      </c>
      <c r="Y1770" s="10">
        <v>76.14</v>
      </c>
      <c r="Z1770" s="11">
        <v>86.061999999999998</v>
      </c>
      <c r="AA1770" s="11">
        <v>84.881</v>
      </c>
      <c r="AB1770" s="11">
        <v>84.188999999999993</v>
      </c>
      <c r="AC1770" s="11">
        <v>83.581000000000003</v>
      </c>
      <c r="AD1770" s="11">
        <v>83.05</v>
      </c>
      <c r="AE1770" s="11">
        <v>82.522000000000006</v>
      </c>
      <c r="AF1770" s="11">
        <v>82.013000000000005</v>
      </c>
      <c r="AG1770" s="11">
        <v>81.501000000000005</v>
      </c>
      <c r="AH1770" s="11">
        <v>81.033000000000001</v>
      </c>
      <c r="AI1770" s="11">
        <v>80.572999999999993</v>
      </c>
      <c r="AJ1770" s="11">
        <v>80.132000000000005</v>
      </c>
      <c r="AK1770" s="11">
        <v>79.713999999999999</v>
      </c>
      <c r="AL1770" s="11"/>
    </row>
    <row r="1771" spans="1:38" x14ac:dyDescent="0.3">
      <c r="A1771" s="9">
        <f>DATE(2023, 11, 6)</f>
        <v>45236</v>
      </c>
      <c r="B1771" s="10">
        <v>85.18</v>
      </c>
      <c r="C1771" s="10">
        <v>84.79</v>
      </c>
      <c r="D1771" s="10">
        <v>84.41</v>
      </c>
      <c r="E1771" s="10">
        <v>84.04</v>
      </c>
      <c r="F1771" s="10">
        <v>83.7</v>
      </c>
      <c r="G1771" s="10">
        <v>83.33</v>
      </c>
      <c r="H1771" s="10">
        <v>82.96</v>
      </c>
      <c r="I1771" s="10">
        <v>82.57</v>
      </c>
      <c r="J1771" s="10">
        <v>82.19</v>
      </c>
      <c r="K1771" s="10">
        <v>81.819999999999993</v>
      </c>
      <c r="L1771" s="10">
        <v>81.45</v>
      </c>
      <c r="M1771" s="10">
        <v>81.08</v>
      </c>
      <c r="N1771" s="10">
        <v>80.819999999999993</v>
      </c>
      <c r="O1771" s="10">
        <v>80.599999999999994</v>
      </c>
      <c r="P1771" s="10">
        <v>80.319999999999993</v>
      </c>
      <c r="Q1771" s="10">
        <v>79.989999999999995</v>
      </c>
      <c r="R1771" s="10">
        <v>79.66</v>
      </c>
      <c r="S1771" s="10">
        <v>79.3</v>
      </c>
      <c r="T1771" s="10">
        <v>78.930000000000007</v>
      </c>
      <c r="U1771" s="10">
        <v>78.55</v>
      </c>
      <c r="V1771" s="10">
        <v>78.150000000000006</v>
      </c>
      <c r="W1771" s="10">
        <v>77.75</v>
      </c>
      <c r="X1771" s="10">
        <v>77.34</v>
      </c>
      <c r="Y1771" s="10">
        <v>76.94</v>
      </c>
      <c r="Z1771" s="11">
        <v>86.41</v>
      </c>
      <c r="AA1771" s="11">
        <v>85.340999999999994</v>
      </c>
      <c r="AB1771" s="11">
        <v>84.688000000000002</v>
      </c>
      <c r="AC1771" s="11">
        <v>84.129000000000005</v>
      </c>
      <c r="AD1771" s="11">
        <v>83.647000000000006</v>
      </c>
      <c r="AE1771" s="11">
        <v>83.165000000000006</v>
      </c>
      <c r="AF1771" s="11">
        <v>82.688000000000002</v>
      </c>
      <c r="AG1771" s="11">
        <v>82.180999999999997</v>
      </c>
      <c r="AH1771" s="11">
        <v>81.724000000000004</v>
      </c>
      <c r="AI1771" s="11">
        <v>81.283000000000001</v>
      </c>
      <c r="AJ1771" s="11">
        <v>80.831999999999994</v>
      </c>
      <c r="AK1771" s="11">
        <v>80.394000000000005</v>
      </c>
      <c r="AL1771" s="11"/>
    </row>
    <row r="1772" spans="1:38" x14ac:dyDescent="0.3">
      <c r="A1772" s="9">
        <f>DATE(2023, 11, 7)</f>
        <v>45237</v>
      </c>
      <c r="B1772" s="10">
        <v>81.61</v>
      </c>
      <c r="C1772" s="10">
        <v>81.31</v>
      </c>
      <c r="D1772" s="10">
        <v>81.03</v>
      </c>
      <c r="E1772" s="10">
        <v>80.75</v>
      </c>
      <c r="F1772" s="10">
        <v>80.48</v>
      </c>
      <c r="G1772" s="10">
        <v>80.19</v>
      </c>
      <c r="H1772" s="10">
        <v>79.87</v>
      </c>
      <c r="I1772" s="10">
        <v>79.53</v>
      </c>
      <c r="J1772" s="10">
        <v>79.19</v>
      </c>
      <c r="K1772" s="10">
        <v>78.84</v>
      </c>
      <c r="L1772" s="10">
        <v>78.489999999999995</v>
      </c>
      <c r="M1772" s="10">
        <v>78.150000000000006</v>
      </c>
      <c r="N1772" s="10">
        <v>77.37</v>
      </c>
      <c r="O1772" s="10">
        <v>77.209999999999994</v>
      </c>
      <c r="P1772" s="10">
        <v>76.98</v>
      </c>
      <c r="Q1772" s="10">
        <v>76.73</v>
      </c>
      <c r="R1772" s="10">
        <v>76.459999999999994</v>
      </c>
      <c r="S1772" s="10">
        <v>76.16</v>
      </c>
      <c r="T1772" s="10">
        <v>75.849999999999994</v>
      </c>
      <c r="U1772" s="10">
        <v>75.5</v>
      </c>
      <c r="V1772" s="10">
        <v>75.13</v>
      </c>
      <c r="W1772" s="10">
        <v>74.760000000000005</v>
      </c>
      <c r="X1772" s="10">
        <v>74.38</v>
      </c>
      <c r="Y1772" s="10">
        <v>74.02</v>
      </c>
      <c r="Z1772" s="11">
        <v>83.697999999999993</v>
      </c>
      <c r="AA1772" s="11">
        <v>81.816999999999993</v>
      </c>
      <c r="AB1772" s="11">
        <v>81.244</v>
      </c>
      <c r="AC1772" s="11">
        <v>80.771000000000001</v>
      </c>
      <c r="AD1772" s="11">
        <v>80.340999999999994</v>
      </c>
      <c r="AE1772" s="11">
        <v>79.923000000000002</v>
      </c>
      <c r="AF1772" s="11">
        <v>79.492999999999995</v>
      </c>
      <c r="AG1772" s="11">
        <v>79.040999999999997</v>
      </c>
      <c r="AH1772" s="11">
        <v>78.61</v>
      </c>
      <c r="AI1772" s="11">
        <v>78.209000000000003</v>
      </c>
      <c r="AJ1772" s="11">
        <v>77.804000000000002</v>
      </c>
      <c r="AK1772" s="11">
        <v>77.394999999999996</v>
      </c>
      <c r="AL1772" s="11"/>
    </row>
    <row r="1773" spans="1:38" x14ac:dyDescent="0.3">
      <c r="A1773" s="9">
        <f>DATE(2023, 11, 8)</f>
        <v>45238</v>
      </c>
      <c r="B1773" s="10">
        <v>79.540000000000006</v>
      </c>
      <c r="C1773" s="10">
        <v>79.41</v>
      </c>
      <c r="D1773" s="10">
        <v>79.209999999999994</v>
      </c>
      <c r="E1773" s="10">
        <v>78.989999999999995</v>
      </c>
      <c r="F1773" s="10">
        <v>78.77</v>
      </c>
      <c r="G1773" s="10">
        <v>78.52</v>
      </c>
      <c r="H1773" s="10">
        <v>78.239999999999995</v>
      </c>
      <c r="I1773" s="10">
        <v>77.95</v>
      </c>
      <c r="J1773" s="10">
        <v>77.650000000000006</v>
      </c>
      <c r="K1773" s="10">
        <v>77.349999999999994</v>
      </c>
      <c r="L1773" s="10">
        <v>77.03</v>
      </c>
      <c r="M1773" s="10">
        <v>76.709999999999994</v>
      </c>
      <c r="N1773" s="10">
        <v>75.33</v>
      </c>
      <c r="O1773" s="10">
        <v>75.31</v>
      </c>
      <c r="P1773" s="10">
        <v>75.12</v>
      </c>
      <c r="Q1773" s="10">
        <v>74.930000000000007</v>
      </c>
      <c r="R1773" s="10">
        <v>74.739999999999995</v>
      </c>
      <c r="S1773" s="10">
        <v>74.52</v>
      </c>
      <c r="T1773" s="10">
        <v>74.25</v>
      </c>
      <c r="U1773" s="10">
        <v>73.959999999999994</v>
      </c>
      <c r="V1773" s="10">
        <v>73.63</v>
      </c>
      <c r="W1773" s="10">
        <v>73.28</v>
      </c>
      <c r="X1773" s="10">
        <v>72.92</v>
      </c>
      <c r="Y1773" s="10">
        <v>72.569999999999993</v>
      </c>
      <c r="Z1773" s="11">
        <v>82.206999999999994</v>
      </c>
      <c r="AA1773" s="11">
        <v>79.86</v>
      </c>
      <c r="AB1773" s="11">
        <v>79.350999999999999</v>
      </c>
      <c r="AC1773" s="11">
        <v>78.938999999999993</v>
      </c>
      <c r="AD1773" s="11">
        <v>78.581000000000003</v>
      </c>
      <c r="AE1773" s="11">
        <v>78.207999999999998</v>
      </c>
      <c r="AF1773" s="11">
        <v>77.828000000000003</v>
      </c>
      <c r="AG1773" s="11">
        <v>77.435000000000002</v>
      </c>
      <c r="AH1773" s="11">
        <v>77.057000000000002</v>
      </c>
      <c r="AI1773" s="11">
        <v>76.674999999999997</v>
      </c>
      <c r="AJ1773" s="11">
        <v>76.284999999999997</v>
      </c>
      <c r="AK1773" s="11">
        <v>75.897000000000006</v>
      </c>
      <c r="AL1773" s="11"/>
    </row>
    <row r="1774" spans="1:38" x14ac:dyDescent="0.3">
      <c r="A1774" s="9">
        <f>DATE(2023, 11, 9)</f>
        <v>45239</v>
      </c>
      <c r="B1774" s="10">
        <v>80.010000000000005</v>
      </c>
      <c r="C1774" s="10">
        <v>79.84</v>
      </c>
      <c r="D1774" s="10">
        <v>79.62</v>
      </c>
      <c r="E1774" s="10">
        <v>79.39</v>
      </c>
      <c r="F1774" s="10">
        <v>79.17</v>
      </c>
      <c r="G1774" s="10">
        <v>78.92</v>
      </c>
      <c r="H1774" s="10">
        <v>78.650000000000006</v>
      </c>
      <c r="I1774" s="10">
        <v>78.37</v>
      </c>
      <c r="J1774" s="10">
        <v>78.069999999999993</v>
      </c>
      <c r="K1774" s="10">
        <v>77.760000000000005</v>
      </c>
      <c r="L1774" s="10">
        <v>77.45</v>
      </c>
      <c r="M1774" s="10">
        <v>77.14</v>
      </c>
      <c r="N1774" s="10">
        <v>75.739999999999995</v>
      </c>
      <c r="O1774" s="10">
        <v>75.75</v>
      </c>
      <c r="P1774" s="10">
        <v>75.569999999999993</v>
      </c>
      <c r="Q1774" s="10">
        <v>75.38</v>
      </c>
      <c r="R1774" s="10">
        <v>75.180000000000007</v>
      </c>
      <c r="S1774" s="10">
        <v>74.959999999999994</v>
      </c>
      <c r="T1774" s="10">
        <v>74.7</v>
      </c>
      <c r="U1774" s="10">
        <v>74.42</v>
      </c>
      <c r="V1774" s="10">
        <v>74.099999999999994</v>
      </c>
      <c r="W1774" s="10">
        <v>73.75</v>
      </c>
      <c r="X1774" s="10">
        <v>73.400000000000006</v>
      </c>
      <c r="Y1774" s="10">
        <v>73.069999999999993</v>
      </c>
      <c r="Z1774" s="11">
        <v>82.426000000000002</v>
      </c>
      <c r="AA1774" s="11">
        <v>80.234999999999999</v>
      </c>
      <c r="AB1774" s="11">
        <v>79.677000000000007</v>
      </c>
      <c r="AC1774" s="11">
        <v>79.254999999999995</v>
      </c>
      <c r="AD1774" s="11">
        <v>78.903000000000006</v>
      </c>
      <c r="AE1774" s="11">
        <v>78.533000000000001</v>
      </c>
      <c r="AF1774" s="11">
        <v>78.153000000000006</v>
      </c>
      <c r="AG1774" s="11">
        <v>77.775000000000006</v>
      </c>
      <c r="AH1774" s="11">
        <v>77.406999999999996</v>
      </c>
      <c r="AI1774" s="11">
        <v>77.016000000000005</v>
      </c>
      <c r="AJ1774" s="11">
        <v>76.635000000000005</v>
      </c>
      <c r="AK1774" s="11">
        <v>76.266000000000005</v>
      </c>
      <c r="AL1774" s="11"/>
    </row>
    <row r="1775" spans="1:38" x14ac:dyDescent="0.3">
      <c r="A1775" s="9">
        <f>DATE(2023, 11, 10)</f>
        <v>45240</v>
      </c>
      <c r="B1775" s="10">
        <v>81.430000000000007</v>
      </c>
      <c r="C1775" s="10">
        <v>81.13</v>
      </c>
      <c r="D1775" s="10">
        <v>80.84</v>
      </c>
      <c r="E1775" s="10">
        <v>80.569999999999993</v>
      </c>
      <c r="F1775" s="10">
        <v>80.33</v>
      </c>
      <c r="G1775" s="10">
        <v>80.06</v>
      </c>
      <c r="H1775" s="10">
        <v>79.77</v>
      </c>
      <c r="I1775" s="10">
        <v>79.48</v>
      </c>
      <c r="J1775" s="10">
        <v>79.17</v>
      </c>
      <c r="K1775" s="10">
        <v>78.84</v>
      </c>
      <c r="L1775" s="10">
        <v>78.510000000000005</v>
      </c>
      <c r="M1775" s="10">
        <v>78.19</v>
      </c>
      <c r="N1775" s="10">
        <v>77.17</v>
      </c>
      <c r="O1775" s="10">
        <v>77.150000000000006</v>
      </c>
      <c r="P1775" s="10">
        <v>76.930000000000007</v>
      </c>
      <c r="Q1775" s="10">
        <v>76.680000000000007</v>
      </c>
      <c r="R1775" s="10">
        <v>76.430000000000007</v>
      </c>
      <c r="S1775" s="10">
        <v>76.180000000000007</v>
      </c>
      <c r="T1775" s="10">
        <v>75.900000000000006</v>
      </c>
      <c r="U1775" s="10">
        <v>75.59</v>
      </c>
      <c r="V1775" s="10">
        <v>75.25</v>
      </c>
      <c r="W1775" s="10">
        <v>74.89</v>
      </c>
      <c r="X1775" s="10">
        <v>74.53</v>
      </c>
      <c r="Y1775" s="10">
        <v>74.17</v>
      </c>
      <c r="Z1775" s="11">
        <v>83.236000000000004</v>
      </c>
      <c r="AA1775" s="11">
        <v>81.423000000000002</v>
      </c>
      <c r="AB1775" s="11">
        <v>80.826999999999998</v>
      </c>
      <c r="AC1775" s="11">
        <v>80.388000000000005</v>
      </c>
      <c r="AD1775" s="11">
        <v>80.022000000000006</v>
      </c>
      <c r="AE1775" s="11">
        <v>79.641999999999996</v>
      </c>
      <c r="AF1775" s="11">
        <v>79.251999999999995</v>
      </c>
      <c r="AG1775" s="11">
        <v>78.849999999999994</v>
      </c>
      <c r="AH1775" s="11">
        <v>78.465999999999994</v>
      </c>
      <c r="AI1775" s="11">
        <v>78.064999999999998</v>
      </c>
      <c r="AJ1775" s="11">
        <v>77.685000000000002</v>
      </c>
      <c r="AK1775" s="11">
        <v>77.286000000000001</v>
      </c>
      <c r="AL1775" s="11"/>
    </row>
    <row r="1776" spans="1:38" x14ac:dyDescent="0.3">
      <c r="A1776" s="9">
        <f>DATE(2023, 11, 13)</f>
        <v>45243</v>
      </c>
      <c r="B1776" s="10">
        <v>82.52</v>
      </c>
      <c r="C1776" s="10">
        <v>82.19</v>
      </c>
      <c r="D1776" s="10">
        <v>81.88</v>
      </c>
      <c r="E1776" s="10">
        <v>81.599999999999994</v>
      </c>
      <c r="F1776" s="10">
        <v>81.36</v>
      </c>
      <c r="G1776" s="10">
        <v>81.09</v>
      </c>
      <c r="H1776" s="10">
        <v>80.790000000000006</v>
      </c>
      <c r="I1776" s="10">
        <v>80.489999999999995</v>
      </c>
      <c r="J1776" s="10">
        <v>80.16</v>
      </c>
      <c r="K1776" s="10">
        <v>79.81</v>
      </c>
      <c r="L1776" s="10">
        <v>79.47</v>
      </c>
      <c r="M1776" s="10">
        <v>79.13</v>
      </c>
      <c r="N1776" s="10">
        <v>78.260000000000005</v>
      </c>
      <c r="O1776" s="10">
        <v>78.19</v>
      </c>
      <c r="P1776" s="10">
        <v>77.989999999999995</v>
      </c>
      <c r="Q1776" s="10">
        <v>77.75</v>
      </c>
      <c r="R1776" s="10">
        <v>77.510000000000005</v>
      </c>
      <c r="S1776" s="10">
        <v>77.25</v>
      </c>
      <c r="T1776" s="10">
        <v>76.94</v>
      </c>
      <c r="U1776" s="10">
        <v>76.62</v>
      </c>
      <c r="V1776" s="10">
        <v>76.260000000000005</v>
      </c>
      <c r="W1776" s="10">
        <v>75.87</v>
      </c>
      <c r="X1776" s="10">
        <v>75.489999999999995</v>
      </c>
      <c r="Y1776" s="10">
        <v>75.11</v>
      </c>
      <c r="Z1776" s="11">
        <v>83.864000000000004</v>
      </c>
      <c r="AA1776" s="11">
        <v>82.436999999999998</v>
      </c>
      <c r="AB1776" s="11">
        <v>81.814999999999998</v>
      </c>
      <c r="AC1776" s="11">
        <v>81.385000000000005</v>
      </c>
      <c r="AD1776" s="11">
        <v>81.004999999999995</v>
      </c>
      <c r="AE1776" s="11">
        <v>80.623000000000005</v>
      </c>
      <c r="AF1776" s="11">
        <v>80.221999999999994</v>
      </c>
      <c r="AG1776" s="11">
        <v>79.808999999999997</v>
      </c>
      <c r="AH1776" s="11">
        <v>79.405000000000001</v>
      </c>
      <c r="AI1776" s="11">
        <v>78.984999999999999</v>
      </c>
      <c r="AJ1776" s="11">
        <v>78.573999999999998</v>
      </c>
      <c r="AK1776" s="11">
        <v>78.165000000000006</v>
      </c>
      <c r="AL1776" s="11"/>
    </row>
    <row r="1777" spans="1:38" x14ac:dyDescent="0.3">
      <c r="A1777" s="9">
        <f>DATE(2023, 11, 14)</f>
        <v>45244</v>
      </c>
      <c r="B1777" s="10">
        <v>82.47</v>
      </c>
      <c r="C1777" s="10">
        <v>82.21</v>
      </c>
      <c r="D1777" s="10">
        <v>81.93</v>
      </c>
      <c r="E1777" s="10">
        <v>81.650000000000006</v>
      </c>
      <c r="F1777" s="10">
        <v>81.39</v>
      </c>
      <c r="G1777" s="10">
        <v>81.11</v>
      </c>
      <c r="H1777" s="10">
        <v>80.8</v>
      </c>
      <c r="I1777" s="10">
        <v>80.48</v>
      </c>
      <c r="J1777" s="10">
        <v>80.13</v>
      </c>
      <c r="K1777" s="10">
        <v>79.77</v>
      </c>
      <c r="L1777" s="10">
        <v>79.400000000000006</v>
      </c>
      <c r="M1777" s="10">
        <v>79.040000000000006</v>
      </c>
      <c r="N1777" s="10">
        <v>78.260000000000005</v>
      </c>
      <c r="O1777" s="10">
        <v>78.17</v>
      </c>
      <c r="P1777" s="10">
        <v>77.98</v>
      </c>
      <c r="Q1777" s="10">
        <v>77.75</v>
      </c>
      <c r="R1777" s="10">
        <v>77.489999999999995</v>
      </c>
      <c r="S1777" s="10">
        <v>77.2</v>
      </c>
      <c r="T1777" s="10">
        <v>76.87</v>
      </c>
      <c r="U1777" s="10">
        <v>76.510000000000005</v>
      </c>
      <c r="V1777" s="10">
        <v>76.12</v>
      </c>
      <c r="W1777" s="10">
        <v>75.72</v>
      </c>
      <c r="X1777" s="10">
        <v>75.31</v>
      </c>
      <c r="Y1777" s="10">
        <v>74.91</v>
      </c>
      <c r="Z1777" s="11">
        <v>83.938999999999993</v>
      </c>
      <c r="AA1777" s="11">
        <v>82.409000000000006</v>
      </c>
      <c r="AB1777" s="11">
        <v>81.798000000000002</v>
      </c>
      <c r="AC1777" s="11">
        <v>81.358999999999995</v>
      </c>
      <c r="AD1777" s="11">
        <v>80.977000000000004</v>
      </c>
      <c r="AE1777" s="11">
        <v>80.596999999999994</v>
      </c>
      <c r="AF1777" s="11">
        <v>80.186000000000007</v>
      </c>
      <c r="AG1777" s="11">
        <v>79.763000000000005</v>
      </c>
      <c r="AH1777" s="11">
        <v>79.334000000000003</v>
      </c>
      <c r="AI1777" s="11">
        <v>78.903000000000006</v>
      </c>
      <c r="AJ1777" s="11">
        <v>78.462999999999994</v>
      </c>
      <c r="AK1777" s="11">
        <v>78.034000000000006</v>
      </c>
      <c r="AL1777" s="11"/>
    </row>
    <row r="1778" spans="1:38" x14ac:dyDescent="0.3">
      <c r="A1778" s="9">
        <f>DATE(2023, 11, 15)</f>
        <v>45245</v>
      </c>
      <c r="B1778" s="10">
        <v>81.180000000000007</v>
      </c>
      <c r="C1778" s="10">
        <v>81.05</v>
      </c>
      <c r="D1778" s="10">
        <v>80.88</v>
      </c>
      <c r="E1778" s="10">
        <v>80.69</v>
      </c>
      <c r="F1778" s="10">
        <v>80.510000000000005</v>
      </c>
      <c r="G1778" s="10">
        <v>80.290000000000006</v>
      </c>
      <c r="H1778" s="10">
        <v>80.040000000000006</v>
      </c>
      <c r="I1778" s="10">
        <v>79.760000000000005</v>
      </c>
      <c r="J1778" s="10">
        <v>79.459999999999994</v>
      </c>
      <c r="K1778" s="10">
        <v>79.14</v>
      </c>
      <c r="L1778" s="10">
        <v>78.819999999999993</v>
      </c>
      <c r="M1778" s="10">
        <v>78.48</v>
      </c>
      <c r="N1778" s="10">
        <v>76.66</v>
      </c>
      <c r="O1778" s="10">
        <v>76.790000000000006</v>
      </c>
      <c r="P1778" s="10">
        <v>76.8</v>
      </c>
      <c r="Q1778" s="10">
        <v>76.72</v>
      </c>
      <c r="R1778" s="10">
        <v>76.56</v>
      </c>
      <c r="S1778" s="10">
        <v>76.36</v>
      </c>
      <c r="T1778" s="10">
        <v>76.11</v>
      </c>
      <c r="U1778" s="10">
        <v>75.819999999999993</v>
      </c>
      <c r="V1778" s="10">
        <v>75.489999999999995</v>
      </c>
      <c r="W1778" s="10">
        <v>75.13</v>
      </c>
      <c r="X1778" s="10">
        <v>74.77</v>
      </c>
      <c r="Y1778" s="10">
        <v>74.41</v>
      </c>
      <c r="Z1778" s="11">
        <v>83.227999999999994</v>
      </c>
      <c r="AA1778" s="11">
        <v>81.113</v>
      </c>
      <c r="AB1778" s="11">
        <v>80.626000000000005</v>
      </c>
      <c r="AC1778" s="11">
        <v>80.275999999999996</v>
      </c>
      <c r="AD1778" s="11">
        <v>80.004000000000005</v>
      </c>
      <c r="AE1778" s="11">
        <v>79.698999999999998</v>
      </c>
      <c r="AF1778" s="11">
        <v>79.358000000000004</v>
      </c>
      <c r="AG1778" s="11">
        <v>78.984999999999999</v>
      </c>
      <c r="AH1778" s="11">
        <v>78.626000000000005</v>
      </c>
      <c r="AI1778" s="11">
        <v>78.245000000000005</v>
      </c>
      <c r="AJ1778" s="11">
        <v>77.864000000000004</v>
      </c>
      <c r="AK1778" s="11">
        <v>77.474999999999994</v>
      </c>
      <c r="AL1778" s="11"/>
    </row>
    <row r="1779" spans="1:38" x14ac:dyDescent="0.3">
      <c r="A1779" s="9">
        <f>DATE(2023, 11, 16)</f>
        <v>45246</v>
      </c>
      <c r="B1779" s="10">
        <v>77.42</v>
      </c>
      <c r="C1779" s="10">
        <v>77.510000000000005</v>
      </c>
      <c r="D1779" s="10">
        <v>77.5</v>
      </c>
      <c r="E1779" s="10">
        <v>77.44</v>
      </c>
      <c r="F1779" s="10">
        <v>77.349999999999994</v>
      </c>
      <c r="G1779" s="10">
        <v>77.2</v>
      </c>
      <c r="H1779" s="10">
        <v>77</v>
      </c>
      <c r="I1779" s="10">
        <v>76.77</v>
      </c>
      <c r="J1779" s="10">
        <v>76.510000000000005</v>
      </c>
      <c r="K1779" s="10">
        <v>76.239999999999995</v>
      </c>
      <c r="L1779" s="10">
        <v>75.97</v>
      </c>
      <c r="M1779" s="10">
        <v>75.69</v>
      </c>
      <c r="N1779" s="10">
        <v>72.900000000000006</v>
      </c>
      <c r="O1779" s="10">
        <v>73.09</v>
      </c>
      <c r="P1779" s="10">
        <v>73.19</v>
      </c>
      <c r="Q1779" s="10">
        <v>73.28</v>
      </c>
      <c r="R1779" s="10">
        <v>73.27</v>
      </c>
      <c r="S1779" s="10">
        <v>73.19</v>
      </c>
      <c r="T1779" s="10">
        <v>73.040000000000006</v>
      </c>
      <c r="U1779" s="10">
        <v>72.81</v>
      </c>
      <c r="V1779" s="10">
        <v>72.540000000000006</v>
      </c>
      <c r="W1779" s="10">
        <v>72.239999999999995</v>
      </c>
      <c r="X1779" s="10">
        <v>71.92</v>
      </c>
      <c r="Y1779" s="10">
        <v>71.64</v>
      </c>
      <c r="Z1779" s="11">
        <v>81.613</v>
      </c>
      <c r="AA1779" s="11">
        <v>77.804000000000002</v>
      </c>
      <c r="AB1779" s="11">
        <v>77.417000000000002</v>
      </c>
      <c r="AC1779" s="11">
        <v>77.167000000000002</v>
      </c>
      <c r="AD1779" s="11">
        <v>76.977999999999994</v>
      </c>
      <c r="AE1779" s="11">
        <v>76.756</v>
      </c>
      <c r="AF1779" s="11">
        <v>76.465999999999994</v>
      </c>
      <c r="AG1779" s="11">
        <v>76.128</v>
      </c>
      <c r="AH1779" s="11">
        <v>75.789000000000001</v>
      </c>
      <c r="AI1779" s="11">
        <v>75.457999999999998</v>
      </c>
      <c r="AJ1779" s="11">
        <v>75.126999999999995</v>
      </c>
      <c r="AK1779" s="11">
        <v>74.787000000000006</v>
      </c>
      <c r="AL1779" s="11"/>
    </row>
    <row r="1780" spans="1:38" x14ac:dyDescent="0.3">
      <c r="A1780" s="9">
        <f>DATE(2023, 11, 17)</f>
        <v>45247</v>
      </c>
      <c r="B1780" s="10">
        <v>80.61</v>
      </c>
      <c r="C1780" s="10">
        <v>80.5</v>
      </c>
      <c r="D1780" s="10">
        <v>80.349999999999994</v>
      </c>
      <c r="E1780" s="10">
        <v>80.2</v>
      </c>
      <c r="F1780" s="10">
        <v>80.05</v>
      </c>
      <c r="G1780" s="10">
        <v>79.86</v>
      </c>
      <c r="H1780" s="10">
        <v>79.61</v>
      </c>
      <c r="I1780" s="10">
        <v>79.33</v>
      </c>
      <c r="J1780" s="10">
        <v>79.03</v>
      </c>
      <c r="K1780" s="10">
        <v>78.72</v>
      </c>
      <c r="L1780" s="10">
        <v>78.41</v>
      </c>
      <c r="M1780" s="10">
        <v>78.099999999999994</v>
      </c>
      <c r="N1780" s="10">
        <v>75.89</v>
      </c>
      <c r="O1780" s="10">
        <v>76.040000000000006</v>
      </c>
      <c r="P1780" s="10">
        <v>76.11</v>
      </c>
      <c r="Q1780" s="10">
        <v>76.08</v>
      </c>
      <c r="R1780" s="10">
        <v>75.97</v>
      </c>
      <c r="S1780" s="10">
        <v>75.8</v>
      </c>
      <c r="T1780" s="10">
        <v>75.58</v>
      </c>
      <c r="U1780" s="10">
        <v>75.290000000000006</v>
      </c>
      <c r="V1780" s="10">
        <v>74.959999999999994</v>
      </c>
      <c r="W1780" s="10">
        <v>74.61</v>
      </c>
      <c r="X1780" s="10">
        <v>74.260000000000005</v>
      </c>
      <c r="Y1780" s="10">
        <v>73.92</v>
      </c>
      <c r="Z1780" s="11">
        <v>83.088999999999999</v>
      </c>
      <c r="AA1780" s="11">
        <v>80.98</v>
      </c>
      <c r="AB1780" s="11">
        <v>80.488</v>
      </c>
      <c r="AC1780" s="11">
        <v>80.143000000000001</v>
      </c>
      <c r="AD1780" s="11">
        <v>79.840999999999994</v>
      </c>
      <c r="AE1780" s="11">
        <v>79.53</v>
      </c>
      <c r="AF1780" s="11">
        <v>79.177999999999997</v>
      </c>
      <c r="AG1780" s="11">
        <v>78.795000000000002</v>
      </c>
      <c r="AH1780" s="11">
        <v>78.417000000000002</v>
      </c>
      <c r="AI1780" s="11">
        <v>78.036000000000001</v>
      </c>
      <c r="AJ1780" s="11">
        <v>77.655000000000001</v>
      </c>
      <c r="AK1780" s="11">
        <v>77.256</v>
      </c>
      <c r="AL1780" s="11"/>
    </row>
    <row r="1781" spans="1:38" x14ac:dyDescent="0.3">
      <c r="A1781" s="9">
        <f>DATE(2023, 11, 20)</f>
        <v>45250</v>
      </c>
      <c r="B1781" s="10">
        <v>82.32</v>
      </c>
      <c r="C1781" s="10">
        <v>82.34</v>
      </c>
      <c r="D1781" s="10">
        <v>82.2</v>
      </c>
      <c r="E1781" s="10">
        <v>82.02</v>
      </c>
      <c r="F1781" s="10">
        <v>81.83</v>
      </c>
      <c r="G1781" s="10">
        <v>81.59</v>
      </c>
      <c r="H1781" s="10">
        <v>81.31</v>
      </c>
      <c r="I1781" s="10">
        <v>80.989999999999995</v>
      </c>
      <c r="J1781" s="10">
        <v>80.64</v>
      </c>
      <c r="K1781" s="10">
        <v>80.290000000000006</v>
      </c>
      <c r="L1781" s="10">
        <v>79.94</v>
      </c>
      <c r="M1781" s="10">
        <v>79.58</v>
      </c>
      <c r="N1781" s="10">
        <v>77.599999999999994</v>
      </c>
      <c r="O1781" s="10">
        <v>77.83</v>
      </c>
      <c r="P1781" s="10">
        <v>77.900000000000006</v>
      </c>
      <c r="Q1781" s="10">
        <v>77.83</v>
      </c>
      <c r="R1781" s="10">
        <v>77.680000000000007</v>
      </c>
      <c r="S1781" s="10">
        <v>77.47</v>
      </c>
      <c r="T1781" s="10">
        <v>77.19</v>
      </c>
      <c r="U1781" s="10">
        <v>76.86</v>
      </c>
      <c r="V1781" s="10">
        <v>76.489999999999995</v>
      </c>
      <c r="W1781" s="10">
        <v>76.099999999999994</v>
      </c>
      <c r="X1781" s="10">
        <v>75.709999999999994</v>
      </c>
      <c r="Y1781" s="10">
        <v>75.34</v>
      </c>
      <c r="Z1781" s="11">
        <v>83.884</v>
      </c>
      <c r="AA1781" s="11">
        <v>82.820999999999998</v>
      </c>
      <c r="AB1781" s="11">
        <v>82.311999999999998</v>
      </c>
      <c r="AC1781" s="11">
        <v>81.926000000000002</v>
      </c>
      <c r="AD1781" s="11">
        <v>81.599999999999994</v>
      </c>
      <c r="AE1781" s="11">
        <v>81.259</v>
      </c>
      <c r="AF1781" s="11">
        <v>80.878</v>
      </c>
      <c r="AG1781" s="11">
        <v>80.454999999999998</v>
      </c>
      <c r="AH1781" s="11">
        <v>80.034999999999997</v>
      </c>
      <c r="AI1781" s="11">
        <v>79.614000000000004</v>
      </c>
      <c r="AJ1781" s="11">
        <v>79.192999999999998</v>
      </c>
      <c r="AK1781" s="11">
        <v>78.754000000000005</v>
      </c>
      <c r="AL1781" s="11"/>
    </row>
    <row r="1782" spans="1:38" x14ac:dyDescent="0.3">
      <c r="A1782" s="9">
        <f>DATE(2023, 11, 21)</f>
        <v>45251</v>
      </c>
      <c r="B1782" s="10">
        <v>82.45</v>
      </c>
      <c r="C1782" s="10">
        <v>82.48</v>
      </c>
      <c r="D1782" s="10">
        <v>82.33</v>
      </c>
      <c r="E1782" s="10">
        <v>82.13</v>
      </c>
      <c r="F1782" s="10">
        <v>81.93</v>
      </c>
      <c r="G1782" s="10">
        <v>81.69</v>
      </c>
      <c r="H1782" s="10">
        <v>81.41</v>
      </c>
      <c r="I1782" s="10">
        <v>81.08</v>
      </c>
      <c r="J1782" s="10">
        <v>80.73</v>
      </c>
      <c r="K1782" s="10">
        <v>80.36</v>
      </c>
      <c r="L1782" s="10">
        <v>80</v>
      </c>
      <c r="M1782" s="10">
        <v>79.64</v>
      </c>
      <c r="N1782" s="10">
        <v>77.77</v>
      </c>
      <c r="O1782" s="10">
        <v>77.92</v>
      </c>
      <c r="P1782" s="10">
        <v>77.88</v>
      </c>
      <c r="Q1782" s="10">
        <v>77.739999999999995</v>
      </c>
      <c r="R1782" s="10">
        <v>77.540000000000006</v>
      </c>
      <c r="S1782" s="10">
        <v>77.260000000000005</v>
      </c>
      <c r="T1782" s="10">
        <v>76.92</v>
      </c>
      <c r="U1782" s="10">
        <v>76.55</v>
      </c>
      <c r="V1782" s="10">
        <v>76.150000000000006</v>
      </c>
      <c r="W1782" s="10">
        <v>75.75</v>
      </c>
      <c r="X1782" s="10">
        <v>75.36</v>
      </c>
      <c r="Y1782" s="10">
        <v>74.98</v>
      </c>
      <c r="Z1782" s="11">
        <v>83.879000000000005</v>
      </c>
      <c r="AA1782" s="11">
        <v>82.995000000000005</v>
      </c>
      <c r="AB1782" s="11">
        <v>82.475999999999999</v>
      </c>
      <c r="AC1782" s="11">
        <v>82.09</v>
      </c>
      <c r="AD1782" s="11">
        <v>81.748000000000005</v>
      </c>
      <c r="AE1782" s="11">
        <v>81.397000000000006</v>
      </c>
      <c r="AF1782" s="11">
        <v>81.016000000000005</v>
      </c>
      <c r="AG1782" s="11">
        <v>80.578000000000003</v>
      </c>
      <c r="AH1782" s="11">
        <v>80.153999999999996</v>
      </c>
      <c r="AI1782" s="11">
        <v>79.718999999999994</v>
      </c>
      <c r="AJ1782" s="11">
        <v>79.283000000000001</v>
      </c>
      <c r="AK1782" s="11">
        <v>78.853999999999999</v>
      </c>
      <c r="AL1782" s="11"/>
    </row>
    <row r="1783" spans="1:38" x14ac:dyDescent="0.3">
      <c r="A1783" s="9">
        <f>DATE(2023, 11, 22)</f>
        <v>45252</v>
      </c>
      <c r="B1783" s="10">
        <v>81.96</v>
      </c>
      <c r="C1783" s="10">
        <v>81.88</v>
      </c>
      <c r="D1783" s="10">
        <v>81.7</v>
      </c>
      <c r="E1783" s="10">
        <v>81.489999999999995</v>
      </c>
      <c r="F1783" s="10">
        <v>81.28</v>
      </c>
      <c r="G1783" s="10">
        <v>81.040000000000006</v>
      </c>
      <c r="H1783" s="10">
        <v>80.760000000000005</v>
      </c>
      <c r="I1783" s="10">
        <v>80.44</v>
      </c>
      <c r="J1783" s="10">
        <v>80.09</v>
      </c>
      <c r="K1783" s="10">
        <v>79.73</v>
      </c>
      <c r="L1783" s="10">
        <v>79.37</v>
      </c>
      <c r="M1783" s="10">
        <v>79.010000000000005</v>
      </c>
      <c r="N1783" s="10">
        <v>77.099999999999994</v>
      </c>
      <c r="O1783" s="10">
        <v>77.25</v>
      </c>
      <c r="P1783" s="10">
        <v>77.23</v>
      </c>
      <c r="Q1783" s="10">
        <v>77.08</v>
      </c>
      <c r="R1783" s="10">
        <v>76.87</v>
      </c>
      <c r="S1783" s="10">
        <v>76.599999999999994</v>
      </c>
      <c r="T1783" s="10">
        <v>76.28</v>
      </c>
      <c r="U1783" s="10">
        <v>75.91</v>
      </c>
      <c r="V1783" s="10">
        <v>75.53</v>
      </c>
      <c r="W1783" s="10">
        <v>75.13</v>
      </c>
      <c r="X1783" s="10">
        <v>74.760000000000005</v>
      </c>
      <c r="Y1783" s="10">
        <v>74.38</v>
      </c>
      <c r="Z1783" s="11">
        <v>83.698999999999998</v>
      </c>
      <c r="AA1783" s="11">
        <v>82.397000000000006</v>
      </c>
      <c r="AB1783" s="11">
        <v>81.849999999999994</v>
      </c>
      <c r="AC1783" s="11">
        <v>81.451999999999998</v>
      </c>
      <c r="AD1783" s="11">
        <v>81.102999999999994</v>
      </c>
      <c r="AE1783" s="11">
        <v>80.736999999999995</v>
      </c>
      <c r="AF1783" s="11">
        <v>80.346000000000004</v>
      </c>
      <c r="AG1783" s="11">
        <v>79.912999999999997</v>
      </c>
      <c r="AH1783" s="11">
        <v>79.474000000000004</v>
      </c>
      <c r="AI1783" s="11">
        <v>79.054000000000002</v>
      </c>
      <c r="AJ1783" s="11">
        <v>78.632999999999996</v>
      </c>
      <c r="AK1783" s="11">
        <v>78.213999999999999</v>
      </c>
      <c r="AL1783" s="11"/>
    </row>
    <row r="1784" spans="1:38" x14ac:dyDescent="0.3">
      <c r="A1784" s="9">
        <f>DATE(2023, 11, 23)</f>
        <v>45253</v>
      </c>
      <c r="B1784" s="10">
        <v>81.42</v>
      </c>
      <c r="C1784" s="10">
        <v>81.25</v>
      </c>
      <c r="D1784" s="10">
        <v>81.05</v>
      </c>
      <c r="E1784" s="10">
        <v>80.819999999999993</v>
      </c>
      <c r="F1784" s="10">
        <v>80.599999999999994</v>
      </c>
      <c r="G1784" s="10">
        <v>80.37</v>
      </c>
      <c r="H1784" s="10">
        <v>80.099999999999994</v>
      </c>
      <c r="I1784" s="10">
        <v>79.78</v>
      </c>
      <c r="J1784" s="10">
        <v>79.44</v>
      </c>
      <c r="K1784" s="10">
        <v>79.09</v>
      </c>
      <c r="L1784" s="10">
        <v>78.75</v>
      </c>
      <c r="M1784" s="10">
        <v>78.41</v>
      </c>
      <c r="N1784" s="10">
        <v>77.099999999999994</v>
      </c>
      <c r="O1784" s="10">
        <v>77.25</v>
      </c>
      <c r="P1784" s="10">
        <v>77.23</v>
      </c>
      <c r="Q1784" s="10">
        <v>77.08</v>
      </c>
      <c r="R1784" s="10">
        <v>76.87</v>
      </c>
      <c r="S1784" s="10">
        <v>76.599999999999994</v>
      </c>
      <c r="T1784" s="10">
        <v>76.28</v>
      </c>
      <c r="U1784" s="10">
        <v>75.91</v>
      </c>
      <c r="V1784" s="10">
        <v>75.53</v>
      </c>
      <c r="W1784" s="10">
        <v>75.13</v>
      </c>
      <c r="X1784" s="10">
        <v>74.760000000000005</v>
      </c>
      <c r="Y1784" s="10">
        <v>74.38</v>
      </c>
      <c r="Z1784" s="11">
        <v>83.527000000000001</v>
      </c>
      <c r="AA1784" s="11">
        <v>81.825000000000003</v>
      </c>
      <c r="AB1784" s="11">
        <v>81.215000000000003</v>
      </c>
      <c r="AC1784" s="11">
        <v>80.784999999999997</v>
      </c>
      <c r="AD1784" s="11">
        <v>80.418000000000006</v>
      </c>
      <c r="AE1784" s="11">
        <v>80.058000000000007</v>
      </c>
      <c r="AF1784" s="11">
        <v>79.676000000000002</v>
      </c>
      <c r="AG1784" s="11">
        <v>79.242999999999995</v>
      </c>
      <c r="AH1784" s="11">
        <v>78.834999999999994</v>
      </c>
      <c r="AI1784" s="11">
        <v>78.424999999999997</v>
      </c>
      <c r="AJ1784" s="11">
        <v>78.013999999999996</v>
      </c>
      <c r="AK1784" s="11">
        <v>77.605000000000004</v>
      </c>
      <c r="AL1784" s="11"/>
    </row>
    <row r="1785" spans="1:38" x14ac:dyDescent="0.3">
      <c r="A1785" s="9">
        <f>DATE(2023, 11, 24)</f>
        <v>45254</v>
      </c>
      <c r="B1785" s="10">
        <v>80.58</v>
      </c>
      <c r="C1785" s="10">
        <v>80.48</v>
      </c>
      <c r="D1785" s="10">
        <v>80.31</v>
      </c>
      <c r="E1785" s="10">
        <v>80.12</v>
      </c>
      <c r="F1785" s="10">
        <v>79.959999999999994</v>
      </c>
      <c r="G1785" s="10">
        <v>79.77</v>
      </c>
      <c r="H1785" s="10">
        <v>79.53</v>
      </c>
      <c r="I1785" s="10">
        <v>79.239999999999995</v>
      </c>
      <c r="J1785" s="10">
        <v>78.930000000000007</v>
      </c>
      <c r="K1785" s="10">
        <v>78.61</v>
      </c>
      <c r="L1785" s="10">
        <v>78.28</v>
      </c>
      <c r="M1785" s="10">
        <v>77.94</v>
      </c>
      <c r="N1785" s="10">
        <v>75.540000000000006</v>
      </c>
      <c r="O1785" s="10">
        <v>75.77</v>
      </c>
      <c r="P1785" s="10">
        <v>75.83</v>
      </c>
      <c r="Q1785" s="10">
        <v>75.75</v>
      </c>
      <c r="R1785" s="10">
        <v>75.599999999999994</v>
      </c>
      <c r="S1785" s="10">
        <v>75.38</v>
      </c>
      <c r="T1785" s="10">
        <v>75.12</v>
      </c>
      <c r="U1785" s="10">
        <v>74.790000000000006</v>
      </c>
      <c r="V1785" s="10">
        <v>74.45</v>
      </c>
      <c r="W1785" s="10">
        <v>74.099999999999994</v>
      </c>
      <c r="X1785" s="10">
        <v>73.75</v>
      </c>
      <c r="Y1785" s="10">
        <v>73.400000000000006</v>
      </c>
      <c r="Z1785" s="11">
        <v>83.438999999999993</v>
      </c>
      <c r="AA1785" s="11">
        <v>81.207999999999998</v>
      </c>
      <c r="AB1785" s="11">
        <v>80.590999999999994</v>
      </c>
      <c r="AC1785" s="11">
        <v>80.147999999999996</v>
      </c>
      <c r="AD1785" s="11">
        <v>79.816999999999993</v>
      </c>
      <c r="AE1785" s="11">
        <v>79.486999999999995</v>
      </c>
      <c r="AF1785" s="11">
        <v>79.126999999999995</v>
      </c>
      <c r="AG1785" s="11">
        <v>78.727000000000004</v>
      </c>
      <c r="AH1785" s="11">
        <v>78.346000000000004</v>
      </c>
      <c r="AI1785" s="11">
        <v>77.954999999999998</v>
      </c>
      <c r="AJ1785" s="11">
        <v>77.573999999999998</v>
      </c>
      <c r="AK1785" s="11">
        <v>77.185000000000002</v>
      </c>
      <c r="AL1785" s="11"/>
    </row>
    <row r="1786" spans="1:38" x14ac:dyDescent="0.3">
      <c r="A1786" s="9">
        <f>DATE(2023, 11, 27)</f>
        <v>45257</v>
      </c>
      <c r="B1786" s="10">
        <v>79.98</v>
      </c>
      <c r="C1786" s="10">
        <v>79.87</v>
      </c>
      <c r="D1786" s="10">
        <v>79.73</v>
      </c>
      <c r="E1786" s="10">
        <v>79.569999999999993</v>
      </c>
      <c r="F1786" s="10">
        <v>79.41</v>
      </c>
      <c r="G1786" s="10">
        <v>79.22</v>
      </c>
      <c r="H1786" s="10">
        <v>79</v>
      </c>
      <c r="I1786" s="10">
        <v>78.73</v>
      </c>
      <c r="J1786" s="10">
        <v>78.44</v>
      </c>
      <c r="K1786" s="10">
        <v>78.14</v>
      </c>
      <c r="L1786" s="10">
        <v>77.819999999999993</v>
      </c>
      <c r="M1786" s="10">
        <v>77.5</v>
      </c>
      <c r="N1786" s="10">
        <v>74.86</v>
      </c>
      <c r="O1786" s="10">
        <v>75.09</v>
      </c>
      <c r="P1786" s="10">
        <v>75.22</v>
      </c>
      <c r="Q1786" s="10">
        <v>75.2</v>
      </c>
      <c r="R1786" s="10">
        <v>75.09</v>
      </c>
      <c r="S1786" s="10">
        <v>74.900000000000006</v>
      </c>
      <c r="T1786" s="10">
        <v>74.66</v>
      </c>
      <c r="U1786" s="10">
        <v>74.36</v>
      </c>
      <c r="V1786" s="10">
        <v>74.040000000000006</v>
      </c>
      <c r="W1786" s="10">
        <v>73.69</v>
      </c>
      <c r="X1786" s="10">
        <v>73.349999999999994</v>
      </c>
      <c r="Y1786" s="10">
        <v>73</v>
      </c>
      <c r="Z1786" s="11">
        <v>83.295000000000002</v>
      </c>
      <c r="AA1786" s="11">
        <v>80.700999999999993</v>
      </c>
      <c r="AB1786" s="11">
        <v>80.128</v>
      </c>
      <c r="AC1786" s="11">
        <v>79.706999999999994</v>
      </c>
      <c r="AD1786" s="11">
        <v>79.38</v>
      </c>
      <c r="AE1786" s="11">
        <v>79.05</v>
      </c>
      <c r="AF1786" s="11">
        <v>78.688000000000002</v>
      </c>
      <c r="AG1786" s="11">
        <v>78.305999999999997</v>
      </c>
      <c r="AH1786" s="11">
        <v>77.927000000000007</v>
      </c>
      <c r="AI1786" s="11">
        <v>77.545000000000002</v>
      </c>
      <c r="AJ1786" s="11">
        <v>77.144999999999996</v>
      </c>
      <c r="AK1786" s="11">
        <v>76.756</v>
      </c>
      <c r="AL1786" s="11"/>
    </row>
    <row r="1787" spans="1:38" x14ac:dyDescent="0.3">
      <c r="A1787" s="9">
        <f>DATE(2023, 11, 28)</f>
        <v>45258</v>
      </c>
      <c r="B1787" s="10">
        <v>81.680000000000007</v>
      </c>
      <c r="C1787" s="10">
        <v>81.47</v>
      </c>
      <c r="D1787" s="10">
        <v>81.23</v>
      </c>
      <c r="E1787" s="10">
        <v>81.010000000000005</v>
      </c>
      <c r="F1787" s="10">
        <v>80.790000000000006</v>
      </c>
      <c r="G1787" s="10">
        <v>80.540000000000006</v>
      </c>
      <c r="H1787" s="10">
        <v>80.25</v>
      </c>
      <c r="I1787" s="10">
        <v>79.94</v>
      </c>
      <c r="J1787" s="10">
        <v>79.61</v>
      </c>
      <c r="K1787" s="10">
        <v>79.27</v>
      </c>
      <c r="L1787" s="10">
        <v>78.92</v>
      </c>
      <c r="M1787" s="10">
        <v>78.56</v>
      </c>
      <c r="N1787" s="10">
        <v>76.41</v>
      </c>
      <c r="O1787" s="10">
        <v>76.59</v>
      </c>
      <c r="P1787" s="10">
        <v>76.66</v>
      </c>
      <c r="Q1787" s="10">
        <v>76.59</v>
      </c>
      <c r="R1787" s="10">
        <v>76.45</v>
      </c>
      <c r="S1787" s="10">
        <v>76.22</v>
      </c>
      <c r="T1787" s="10">
        <v>75.930000000000007</v>
      </c>
      <c r="U1787" s="10">
        <v>75.58</v>
      </c>
      <c r="V1787" s="10">
        <v>75.19</v>
      </c>
      <c r="W1787" s="10">
        <v>74.8</v>
      </c>
      <c r="X1787" s="10">
        <v>74.41</v>
      </c>
      <c r="Y1787" s="10">
        <v>74.02</v>
      </c>
      <c r="Z1787" s="11">
        <v>83.459000000000003</v>
      </c>
      <c r="AA1787" s="11">
        <v>82.171000000000006</v>
      </c>
      <c r="AB1787" s="11">
        <v>81.58</v>
      </c>
      <c r="AC1787" s="11">
        <v>81.13</v>
      </c>
      <c r="AD1787" s="11">
        <v>80.757999999999996</v>
      </c>
      <c r="AE1787" s="11">
        <v>80.376999999999995</v>
      </c>
      <c r="AF1787" s="11">
        <v>79.956999999999994</v>
      </c>
      <c r="AG1787" s="11">
        <v>79.513999999999996</v>
      </c>
      <c r="AH1787" s="11">
        <v>79.094999999999999</v>
      </c>
      <c r="AI1787" s="11">
        <v>78.694000000000003</v>
      </c>
      <c r="AJ1787" s="11">
        <v>78.272999999999996</v>
      </c>
      <c r="AK1787" s="11">
        <v>77.843999999999994</v>
      </c>
      <c r="AL1787" s="11"/>
    </row>
    <row r="1788" spans="1:38" x14ac:dyDescent="0.3">
      <c r="A1788" s="9">
        <f>DATE(2023, 11, 29)</f>
        <v>45259</v>
      </c>
      <c r="B1788" s="10">
        <v>83.1</v>
      </c>
      <c r="C1788" s="10">
        <v>82.88</v>
      </c>
      <c r="D1788" s="10">
        <v>82.58</v>
      </c>
      <c r="E1788" s="10">
        <v>82.29</v>
      </c>
      <c r="F1788" s="10">
        <v>82.01</v>
      </c>
      <c r="G1788" s="10">
        <v>81.739999999999995</v>
      </c>
      <c r="H1788" s="10">
        <v>81.430000000000007</v>
      </c>
      <c r="I1788" s="10">
        <v>81.099999999999994</v>
      </c>
      <c r="J1788" s="10">
        <v>80.760000000000005</v>
      </c>
      <c r="K1788" s="10">
        <v>80.42</v>
      </c>
      <c r="L1788" s="10">
        <v>80.05</v>
      </c>
      <c r="M1788" s="10">
        <v>79.680000000000007</v>
      </c>
      <c r="N1788" s="10">
        <v>77.86</v>
      </c>
      <c r="O1788" s="10">
        <v>77.989999999999995</v>
      </c>
      <c r="P1788" s="10">
        <v>77.98</v>
      </c>
      <c r="Q1788" s="10">
        <v>77.86</v>
      </c>
      <c r="R1788" s="10">
        <v>77.69</v>
      </c>
      <c r="S1788" s="10">
        <v>77.45</v>
      </c>
      <c r="T1788" s="10">
        <v>77.14</v>
      </c>
      <c r="U1788" s="10">
        <v>76.760000000000005</v>
      </c>
      <c r="V1788" s="10">
        <v>76.36</v>
      </c>
      <c r="W1788" s="10">
        <v>75.95</v>
      </c>
      <c r="X1788" s="10">
        <v>75.55</v>
      </c>
      <c r="Y1788" s="10">
        <v>75.12</v>
      </c>
      <c r="Z1788" s="11">
        <v>83.504999999999995</v>
      </c>
      <c r="AA1788" s="11">
        <v>83.254999999999995</v>
      </c>
      <c r="AB1788" s="11">
        <v>82.792000000000002</v>
      </c>
      <c r="AC1788" s="11">
        <v>82.331999999999994</v>
      </c>
      <c r="AD1788" s="11">
        <v>81.933999999999997</v>
      </c>
      <c r="AE1788" s="11">
        <v>81.534000000000006</v>
      </c>
      <c r="AF1788" s="11">
        <v>81.093999999999994</v>
      </c>
      <c r="AG1788" s="11">
        <v>80.634</v>
      </c>
      <c r="AH1788" s="11">
        <v>80.215000000000003</v>
      </c>
      <c r="AI1788" s="11">
        <v>79.793000000000006</v>
      </c>
      <c r="AJ1788" s="11">
        <v>79.341999999999999</v>
      </c>
      <c r="AK1788" s="11">
        <v>78.894000000000005</v>
      </c>
      <c r="AL1788" s="11"/>
    </row>
    <row r="1789" spans="1:38" x14ac:dyDescent="0.3">
      <c r="A1789" s="9">
        <f>DATE(2023, 11, 30)</f>
        <v>45260</v>
      </c>
      <c r="B1789" s="10">
        <v>82.83</v>
      </c>
      <c r="C1789" s="10">
        <v>80.86</v>
      </c>
      <c r="D1789" s="10">
        <v>80.58</v>
      </c>
      <c r="E1789" s="10">
        <v>80.28</v>
      </c>
      <c r="F1789" s="10">
        <v>80</v>
      </c>
      <c r="G1789" s="10">
        <v>79.709999999999994</v>
      </c>
      <c r="H1789" s="10">
        <v>79.42</v>
      </c>
      <c r="I1789" s="10">
        <v>79.11</v>
      </c>
      <c r="J1789" s="10">
        <v>78.790000000000006</v>
      </c>
      <c r="K1789" s="10">
        <v>78.47</v>
      </c>
      <c r="L1789" s="10">
        <v>78.14</v>
      </c>
      <c r="M1789" s="10">
        <v>77.8</v>
      </c>
      <c r="N1789" s="10">
        <v>75.959999999999994</v>
      </c>
      <c r="O1789" s="10">
        <v>76.05</v>
      </c>
      <c r="P1789" s="10">
        <v>75.989999999999995</v>
      </c>
      <c r="Q1789" s="10">
        <v>75.849999999999994</v>
      </c>
      <c r="R1789" s="10">
        <v>75.680000000000007</v>
      </c>
      <c r="S1789" s="10">
        <v>75.47</v>
      </c>
      <c r="T1789" s="10">
        <v>75.2</v>
      </c>
      <c r="U1789" s="10">
        <v>74.87</v>
      </c>
      <c r="V1789" s="10">
        <v>74.48</v>
      </c>
      <c r="W1789" s="10">
        <v>74.08</v>
      </c>
      <c r="X1789" s="10">
        <v>73.7</v>
      </c>
      <c r="Y1789" s="10">
        <v>73.319999999999993</v>
      </c>
      <c r="Z1789" s="11">
        <v>83.561000000000007</v>
      </c>
      <c r="AA1789" s="11">
        <v>81.381</v>
      </c>
      <c r="AB1789" s="11">
        <v>80.975999999999999</v>
      </c>
      <c r="AC1789" s="11">
        <v>80.456999999999994</v>
      </c>
      <c r="AD1789" s="11">
        <v>79.991</v>
      </c>
      <c r="AE1789" s="11">
        <v>79.546999999999997</v>
      </c>
      <c r="AF1789" s="11">
        <v>79.126999999999995</v>
      </c>
      <c r="AG1789" s="11">
        <v>78.713999999999999</v>
      </c>
      <c r="AH1789" s="11">
        <v>78.305999999999997</v>
      </c>
      <c r="AI1789" s="11">
        <v>77.915000000000006</v>
      </c>
      <c r="AJ1789" s="11">
        <v>77.504000000000005</v>
      </c>
      <c r="AK1789" s="11">
        <v>77.084999999999994</v>
      </c>
      <c r="AL1789" s="11"/>
    </row>
    <row r="1790" spans="1:38" x14ac:dyDescent="0.3">
      <c r="A1790" s="9">
        <f>DATE(2023, 12, 1)</f>
        <v>45261</v>
      </c>
      <c r="B1790" s="10">
        <v>78.88</v>
      </c>
      <c r="C1790" s="10">
        <v>78.77</v>
      </c>
      <c r="D1790" s="10">
        <v>78.61</v>
      </c>
      <c r="E1790" s="10">
        <v>78.45</v>
      </c>
      <c r="F1790" s="10">
        <v>78.27</v>
      </c>
      <c r="G1790" s="10">
        <v>78.040000000000006</v>
      </c>
      <c r="H1790" s="10">
        <v>77.78</v>
      </c>
      <c r="I1790" s="10">
        <v>77.489999999999995</v>
      </c>
      <c r="J1790" s="10">
        <v>77.2</v>
      </c>
      <c r="K1790" s="10">
        <v>76.900000000000006</v>
      </c>
      <c r="L1790" s="10">
        <v>76.59</v>
      </c>
      <c r="M1790" s="10">
        <v>76.28</v>
      </c>
      <c r="N1790" s="10">
        <v>74.069999999999993</v>
      </c>
      <c r="O1790" s="10">
        <v>74.25</v>
      </c>
      <c r="P1790" s="10">
        <v>74.31</v>
      </c>
      <c r="Q1790" s="10">
        <v>74.28</v>
      </c>
      <c r="R1790" s="10">
        <v>74.2</v>
      </c>
      <c r="S1790" s="10">
        <v>74.040000000000006</v>
      </c>
      <c r="T1790" s="10">
        <v>73.83</v>
      </c>
      <c r="U1790" s="10">
        <v>73.55</v>
      </c>
      <c r="V1790" s="10">
        <v>73.22</v>
      </c>
      <c r="W1790" s="10">
        <v>72.849999999999994</v>
      </c>
      <c r="X1790" s="10">
        <v>72.510000000000005</v>
      </c>
      <c r="Y1790" s="10">
        <v>72.16</v>
      </c>
      <c r="Z1790" s="11">
        <v>83.561000000000007</v>
      </c>
      <c r="AA1790" s="11">
        <v>79.430999999999997</v>
      </c>
      <c r="AB1790" s="11">
        <v>78.933000000000007</v>
      </c>
      <c r="AC1790" s="11">
        <v>78.587000000000003</v>
      </c>
      <c r="AD1790" s="11">
        <v>78.290999999999997</v>
      </c>
      <c r="AE1790" s="11">
        <v>77.989999999999995</v>
      </c>
      <c r="AF1790" s="11">
        <v>77.638999999999996</v>
      </c>
      <c r="AG1790" s="11">
        <v>77.256</v>
      </c>
      <c r="AH1790" s="11">
        <v>76.867000000000004</v>
      </c>
      <c r="AI1790" s="11">
        <v>76.516000000000005</v>
      </c>
      <c r="AJ1790" s="11">
        <v>76.155000000000001</v>
      </c>
      <c r="AK1790" s="11">
        <v>75.787000000000006</v>
      </c>
      <c r="AL1790" s="11"/>
    </row>
    <row r="1791" spans="1:38" x14ac:dyDescent="0.3">
      <c r="A1791" s="9">
        <f>DATE(2023, 12, 4)</f>
        <v>45264</v>
      </c>
      <c r="B1791" s="10">
        <v>78.03</v>
      </c>
      <c r="C1791" s="10">
        <v>78.069999999999993</v>
      </c>
      <c r="D1791" s="10">
        <v>78.05</v>
      </c>
      <c r="E1791" s="10">
        <v>78</v>
      </c>
      <c r="F1791" s="10">
        <v>77.930000000000007</v>
      </c>
      <c r="G1791" s="10">
        <v>77.8</v>
      </c>
      <c r="H1791" s="10">
        <v>77.62</v>
      </c>
      <c r="I1791" s="10">
        <v>77.41</v>
      </c>
      <c r="J1791" s="10">
        <v>77.17</v>
      </c>
      <c r="K1791" s="10">
        <v>76.91</v>
      </c>
      <c r="L1791" s="10">
        <v>76.63</v>
      </c>
      <c r="M1791" s="10">
        <v>76.34</v>
      </c>
      <c r="N1791" s="10">
        <v>73.040000000000006</v>
      </c>
      <c r="O1791" s="10">
        <v>73.319999999999993</v>
      </c>
      <c r="P1791" s="10">
        <v>73.53</v>
      </c>
      <c r="Q1791" s="10">
        <v>73.680000000000007</v>
      </c>
      <c r="R1791" s="10">
        <v>73.760000000000005</v>
      </c>
      <c r="S1791" s="10">
        <v>73.760000000000005</v>
      </c>
      <c r="T1791" s="10">
        <v>73.67</v>
      </c>
      <c r="U1791" s="10">
        <v>73.489999999999995</v>
      </c>
      <c r="V1791" s="10">
        <v>73.23</v>
      </c>
      <c r="W1791" s="10">
        <v>72.930000000000007</v>
      </c>
      <c r="X1791" s="10">
        <v>72.63</v>
      </c>
      <c r="Y1791" s="10">
        <v>72.31</v>
      </c>
      <c r="Z1791" s="11">
        <v>78.082999999999998</v>
      </c>
      <c r="AA1791" s="11">
        <v>77.606999999999999</v>
      </c>
      <c r="AB1791" s="11">
        <v>77.477000000000004</v>
      </c>
      <c r="AC1791" s="11">
        <v>77.406999999999996</v>
      </c>
      <c r="AD1791" s="11">
        <v>77.323999999999998</v>
      </c>
      <c r="AE1791" s="11">
        <v>77.162000000000006</v>
      </c>
      <c r="AF1791" s="11">
        <v>76.91</v>
      </c>
      <c r="AG1791" s="11">
        <v>76.64</v>
      </c>
      <c r="AH1791" s="11">
        <v>76.367999999999995</v>
      </c>
      <c r="AI1791" s="11">
        <v>76.096999999999994</v>
      </c>
      <c r="AJ1791" s="11">
        <v>75.747</v>
      </c>
      <c r="AK1791" s="11">
        <v>75.387</v>
      </c>
      <c r="AL1791" s="11"/>
    </row>
    <row r="1792" spans="1:38" x14ac:dyDescent="0.3">
      <c r="A1792" s="9">
        <f>DATE(2023, 12, 5)</f>
        <v>45265</v>
      </c>
      <c r="B1792" s="10">
        <v>77.2</v>
      </c>
      <c r="C1792" s="10">
        <v>77.17</v>
      </c>
      <c r="D1792" s="10">
        <v>77.08</v>
      </c>
      <c r="E1792" s="10">
        <v>76.98</v>
      </c>
      <c r="F1792" s="10">
        <v>76.89</v>
      </c>
      <c r="G1792" s="10">
        <v>76.75</v>
      </c>
      <c r="H1792" s="10">
        <v>76.56</v>
      </c>
      <c r="I1792" s="10">
        <v>76.349999999999994</v>
      </c>
      <c r="J1792" s="10">
        <v>76.14</v>
      </c>
      <c r="K1792" s="10">
        <v>75.900000000000006</v>
      </c>
      <c r="L1792" s="10">
        <v>75.650000000000006</v>
      </c>
      <c r="M1792" s="10">
        <v>75.39</v>
      </c>
      <c r="N1792" s="10">
        <v>72.319999999999993</v>
      </c>
      <c r="O1792" s="10">
        <v>72.53</v>
      </c>
      <c r="P1792" s="10">
        <v>72.7</v>
      </c>
      <c r="Q1792" s="10">
        <v>72.8</v>
      </c>
      <c r="R1792" s="10">
        <v>72.86</v>
      </c>
      <c r="S1792" s="10">
        <v>72.84</v>
      </c>
      <c r="T1792" s="10">
        <v>72.73</v>
      </c>
      <c r="U1792" s="10">
        <v>72.540000000000006</v>
      </c>
      <c r="V1792" s="10">
        <v>72.290000000000006</v>
      </c>
      <c r="W1792" s="10">
        <v>71.989999999999995</v>
      </c>
      <c r="X1792" s="10">
        <v>71.72</v>
      </c>
      <c r="Y1792" s="10">
        <v>71.44</v>
      </c>
      <c r="Z1792" s="11">
        <v>77.519000000000005</v>
      </c>
      <c r="AA1792" s="11">
        <v>76.945999999999998</v>
      </c>
      <c r="AB1792" s="11">
        <v>76.715000000000003</v>
      </c>
      <c r="AC1792" s="11">
        <v>76.546000000000006</v>
      </c>
      <c r="AD1792" s="11">
        <v>76.388999999999996</v>
      </c>
      <c r="AE1792" s="11">
        <v>76.171999999999997</v>
      </c>
      <c r="AF1792" s="11">
        <v>75.897000000000006</v>
      </c>
      <c r="AG1792" s="11">
        <v>75.611000000000004</v>
      </c>
      <c r="AH1792" s="11">
        <v>75.328999999999994</v>
      </c>
      <c r="AI1792" s="11">
        <v>75.048000000000002</v>
      </c>
      <c r="AJ1792" s="11">
        <v>74.739000000000004</v>
      </c>
      <c r="AK1792" s="11">
        <v>74.397999999999996</v>
      </c>
      <c r="AL1792" s="11"/>
    </row>
    <row r="1793" spans="1:38" x14ac:dyDescent="0.3">
      <c r="A1793" s="9">
        <f>DATE(2023, 12, 6)</f>
        <v>45266</v>
      </c>
      <c r="B1793" s="10">
        <v>74.3</v>
      </c>
      <c r="C1793" s="10">
        <v>74.45</v>
      </c>
      <c r="D1793" s="10">
        <v>74.489999999999995</v>
      </c>
      <c r="E1793" s="10">
        <v>74.5</v>
      </c>
      <c r="F1793" s="10">
        <v>74.510000000000005</v>
      </c>
      <c r="G1793" s="10">
        <v>74.459999999999994</v>
      </c>
      <c r="H1793" s="10">
        <v>74.34</v>
      </c>
      <c r="I1793" s="10">
        <v>74.2</v>
      </c>
      <c r="J1793" s="10">
        <v>74.040000000000006</v>
      </c>
      <c r="K1793" s="10">
        <v>73.86</v>
      </c>
      <c r="L1793" s="10">
        <v>73.66</v>
      </c>
      <c r="M1793" s="10">
        <v>73.459999999999994</v>
      </c>
      <c r="N1793" s="10">
        <v>69.38</v>
      </c>
      <c r="O1793" s="10">
        <v>69.650000000000006</v>
      </c>
      <c r="P1793" s="10">
        <v>69.91</v>
      </c>
      <c r="Q1793" s="10">
        <v>70.12</v>
      </c>
      <c r="R1793" s="10">
        <v>70.28</v>
      </c>
      <c r="S1793" s="10">
        <v>70.34</v>
      </c>
      <c r="T1793" s="10">
        <v>70.31</v>
      </c>
      <c r="U1793" s="10">
        <v>70.180000000000007</v>
      </c>
      <c r="V1793" s="10">
        <v>70</v>
      </c>
      <c r="W1793" s="10">
        <v>69.77</v>
      </c>
      <c r="X1793" s="10">
        <v>69.55</v>
      </c>
      <c r="Y1793" s="10">
        <v>69.34</v>
      </c>
      <c r="Z1793" s="11">
        <v>75.516999999999996</v>
      </c>
      <c r="AA1793" s="11">
        <v>74.481999999999999</v>
      </c>
      <c r="AB1793" s="11">
        <v>74.314999999999998</v>
      </c>
      <c r="AC1793" s="11">
        <v>74.244</v>
      </c>
      <c r="AD1793" s="11">
        <v>74.173000000000002</v>
      </c>
      <c r="AE1793" s="11">
        <v>74.043000000000006</v>
      </c>
      <c r="AF1793" s="11">
        <v>73.840999999999994</v>
      </c>
      <c r="AG1793" s="11">
        <v>73.590999999999994</v>
      </c>
      <c r="AH1793" s="11">
        <v>73.39</v>
      </c>
      <c r="AI1793" s="11">
        <v>73.168000000000006</v>
      </c>
      <c r="AJ1793" s="11">
        <v>72.921000000000006</v>
      </c>
      <c r="AK1793" s="11">
        <v>72.64</v>
      </c>
      <c r="AL1793" s="11"/>
    </row>
    <row r="1794" spans="1:38" x14ac:dyDescent="0.3">
      <c r="A1794" s="9">
        <f>DATE(2023, 12, 7)</f>
        <v>45267</v>
      </c>
      <c r="B1794" s="10">
        <v>74.05</v>
      </c>
      <c r="C1794" s="10">
        <v>74.239999999999995</v>
      </c>
      <c r="D1794" s="10">
        <v>74.33</v>
      </c>
      <c r="E1794" s="10">
        <v>74.39</v>
      </c>
      <c r="F1794" s="10">
        <v>74.400000000000006</v>
      </c>
      <c r="G1794" s="10">
        <v>74.36</v>
      </c>
      <c r="H1794" s="10">
        <v>74.25</v>
      </c>
      <c r="I1794" s="10">
        <v>74.11</v>
      </c>
      <c r="J1794" s="10">
        <v>73.95</v>
      </c>
      <c r="K1794" s="10">
        <v>73.760000000000005</v>
      </c>
      <c r="L1794" s="10">
        <v>73.56</v>
      </c>
      <c r="M1794" s="10">
        <v>73.36</v>
      </c>
      <c r="N1794" s="10">
        <v>69.34</v>
      </c>
      <c r="O1794" s="10">
        <v>69.59</v>
      </c>
      <c r="P1794" s="10">
        <v>69.81</v>
      </c>
      <c r="Q1794" s="10">
        <v>70</v>
      </c>
      <c r="R1794" s="10">
        <v>70.150000000000006</v>
      </c>
      <c r="S1794" s="10">
        <v>70.2</v>
      </c>
      <c r="T1794" s="10">
        <v>70.16</v>
      </c>
      <c r="U1794" s="10">
        <v>70.03</v>
      </c>
      <c r="V1794" s="10">
        <v>69.84</v>
      </c>
      <c r="W1794" s="10">
        <v>69.61</v>
      </c>
      <c r="X1794" s="10">
        <v>69.400000000000006</v>
      </c>
      <c r="Y1794" s="10">
        <v>69.19</v>
      </c>
      <c r="Z1794" s="11">
        <v>75.265000000000001</v>
      </c>
      <c r="AA1794" s="11">
        <v>74.274000000000001</v>
      </c>
      <c r="AB1794" s="11">
        <v>74.147999999999996</v>
      </c>
      <c r="AC1794" s="11">
        <v>74.091999999999999</v>
      </c>
      <c r="AD1794" s="11">
        <v>74.003</v>
      </c>
      <c r="AE1794" s="11">
        <v>73.86</v>
      </c>
      <c r="AF1794" s="11">
        <v>73.647999999999996</v>
      </c>
      <c r="AG1794" s="11">
        <v>73.423000000000002</v>
      </c>
      <c r="AH1794" s="11">
        <v>73.200999999999993</v>
      </c>
      <c r="AI1794" s="11">
        <v>72.959999999999994</v>
      </c>
      <c r="AJ1794" s="11">
        <v>72.691000000000003</v>
      </c>
      <c r="AK1794" s="11">
        <v>72.42</v>
      </c>
      <c r="AL1794" s="11"/>
    </row>
    <row r="1795" spans="1:38" x14ac:dyDescent="0.3">
      <c r="A1795" s="9">
        <f>DATE(2023, 12, 8)</f>
        <v>45268</v>
      </c>
      <c r="B1795" s="10">
        <v>75.84</v>
      </c>
      <c r="C1795" s="10">
        <v>76</v>
      </c>
      <c r="D1795" s="10">
        <v>76.03</v>
      </c>
      <c r="E1795" s="10">
        <v>76.02</v>
      </c>
      <c r="F1795" s="10">
        <v>75.97</v>
      </c>
      <c r="G1795" s="10">
        <v>75.87</v>
      </c>
      <c r="H1795" s="10">
        <v>75.72</v>
      </c>
      <c r="I1795" s="10">
        <v>75.52</v>
      </c>
      <c r="J1795" s="10">
        <v>75.31</v>
      </c>
      <c r="K1795" s="10">
        <v>75.09</v>
      </c>
      <c r="L1795" s="10">
        <v>74.849999999999994</v>
      </c>
      <c r="M1795" s="10">
        <v>74.61</v>
      </c>
      <c r="N1795" s="10">
        <v>71.23</v>
      </c>
      <c r="O1795" s="10">
        <v>71.44</v>
      </c>
      <c r="P1795" s="10">
        <v>71.58</v>
      </c>
      <c r="Q1795" s="10">
        <v>71.69</v>
      </c>
      <c r="R1795" s="10">
        <v>71.760000000000005</v>
      </c>
      <c r="S1795" s="10">
        <v>71.75</v>
      </c>
      <c r="T1795" s="10">
        <v>71.66</v>
      </c>
      <c r="U1795" s="10">
        <v>71.489999999999995</v>
      </c>
      <c r="V1795" s="10">
        <v>71.25</v>
      </c>
      <c r="W1795" s="10">
        <v>70.98</v>
      </c>
      <c r="X1795" s="10">
        <v>70.739999999999995</v>
      </c>
      <c r="Y1795" s="10">
        <v>70.48</v>
      </c>
      <c r="Z1795" s="11">
        <v>76.677000000000007</v>
      </c>
      <c r="AA1795" s="11">
        <v>76.027000000000001</v>
      </c>
      <c r="AB1795" s="11">
        <v>75.855999999999995</v>
      </c>
      <c r="AC1795" s="11">
        <v>75.712999999999994</v>
      </c>
      <c r="AD1795" s="11">
        <v>75.563000000000002</v>
      </c>
      <c r="AE1795" s="11">
        <v>75.363</v>
      </c>
      <c r="AF1795" s="11">
        <v>75.099999999999994</v>
      </c>
      <c r="AG1795" s="11">
        <v>74.831000000000003</v>
      </c>
      <c r="AH1795" s="11">
        <v>74.55</v>
      </c>
      <c r="AI1795" s="11">
        <v>74.278999999999996</v>
      </c>
      <c r="AJ1795" s="11">
        <v>74</v>
      </c>
      <c r="AK1795" s="11">
        <v>73.698999999999998</v>
      </c>
      <c r="AL1795" s="11"/>
    </row>
    <row r="1796" spans="1:38" x14ac:dyDescent="0.3">
      <c r="A1796" s="9">
        <f>DATE(2023, 12, 11)</f>
        <v>45271</v>
      </c>
      <c r="B1796" s="10">
        <v>76.03</v>
      </c>
      <c r="C1796" s="10">
        <v>76.25</v>
      </c>
      <c r="D1796" s="10">
        <v>76.349999999999994</v>
      </c>
      <c r="E1796" s="10">
        <v>76.39</v>
      </c>
      <c r="F1796" s="10">
        <v>76.38</v>
      </c>
      <c r="G1796" s="10">
        <v>76.33</v>
      </c>
      <c r="H1796" s="10">
        <v>76.209999999999994</v>
      </c>
      <c r="I1796" s="10">
        <v>76.05</v>
      </c>
      <c r="J1796" s="10">
        <v>75.86</v>
      </c>
      <c r="K1796" s="10">
        <v>75.66</v>
      </c>
      <c r="L1796" s="10">
        <v>75.44</v>
      </c>
      <c r="M1796" s="10">
        <v>75.2</v>
      </c>
      <c r="N1796" s="10">
        <v>71.319999999999993</v>
      </c>
      <c r="O1796" s="10">
        <v>71.56</v>
      </c>
      <c r="P1796" s="10">
        <v>71.760000000000005</v>
      </c>
      <c r="Q1796" s="10">
        <v>71.92</v>
      </c>
      <c r="R1796" s="10">
        <v>72.040000000000006</v>
      </c>
      <c r="S1796" s="10">
        <v>72.09</v>
      </c>
      <c r="T1796" s="10">
        <v>72.05</v>
      </c>
      <c r="U1796" s="10">
        <v>71.92</v>
      </c>
      <c r="V1796" s="10">
        <v>71.72</v>
      </c>
      <c r="W1796" s="10">
        <v>71.47</v>
      </c>
      <c r="X1796" s="10">
        <v>71.239999999999995</v>
      </c>
      <c r="Y1796" s="10">
        <v>71</v>
      </c>
      <c r="Z1796" s="11">
        <v>76.792000000000002</v>
      </c>
      <c r="AA1796" s="11">
        <v>76.16</v>
      </c>
      <c r="AB1796" s="11">
        <v>76.046999999999997</v>
      </c>
      <c r="AC1796" s="11">
        <v>75.975999999999999</v>
      </c>
      <c r="AD1796" s="11">
        <v>75.903000000000006</v>
      </c>
      <c r="AE1796" s="11">
        <v>75.75</v>
      </c>
      <c r="AF1796" s="11">
        <v>75.546999999999997</v>
      </c>
      <c r="AG1796" s="11">
        <v>75.326999999999998</v>
      </c>
      <c r="AH1796" s="11">
        <v>75.096000000000004</v>
      </c>
      <c r="AI1796" s="11">
        <v>74.84</v>
      </c>
      <c r="AJ1796" s="11">
        <v>74.569999999999993</v>
      </c>
      <c r="AK1796" s="11">
        <v>74.278999999999996</v>
      </c>
      <c r="AL1796" s="11"/>
    </row>
    <row r="1797" spans="1:38" x14ac:dyDescent="0.3">
      <c r="A1797" s="9">
        <f>DATE(2023, 12, 12)</f>
        <v>45272</v>
      </c>
      <c r="B1797" s="10">
        <v>73.239999999999995</v>
      </c>
      <c r="C1797" s="10">
        <v>73.52</v>
      </c>
      <c r="D1797" s="10">
        <v>73.7</v>
      </c>
      <c r="E1797" s="10">
        <v>73.849999999999994</v>
      </c>
      <c r="F1797" s="10">
        <v>73.94</v>
      </c>
      <c r="G1797" s="10">
        <v>73.959999999999994</v>
      </c>
      <c r="H1797" s="10">
        <v>73.91</v>
      </c>
      <c r="I1797" s="10">
        <v>73.8</v>
      </c>
      <c r="J1797" s="10">
        <v>73.66</v>
      </c>
      <c r="K1797" s="10">
        <v>73.489999999999995</v>
      </c>
      <c r="L1797" s="10">
        <v>73.31</v>
      </c>
      <c r="M1797" s="10">
        <v>73.11</v>
      </c>
      <c r="N1797" s="10">
        <v>68.61</v>
      </c>
      <c r="O1797" s="10">
        <v>68.849999999999994</v>
      </c>
      <c r="P1797" s="10">
        <v>69.09</v>
      </c>
      <c r="Q1797" s="10">
        <v>69.31</v>
      </c>
      <c r="R1797" s="10">
        <v>69.510000000000005</v>
      </c>
      <c r="S1797" s="10">
        <v>69.66</v>
      </c>
      <c r="T1797" s="10">
        <v>69.709999999999994</v>
      </c>
      <c r="U1797" s="10">
        <v>69.66</v>
      </c>
      <c r="V1797" s="10">
        <v>69.5</v>
      </c>
      <c r="W1797" s="10">
        <v>69.3</v>
      </c>
      <c r="X1797" s="10">
        <v>69.11</v>
      </c>
      <c r="Y1797" s="10">
        <v>68.92</v>
      </c>
      <c r="Z1797" s="11">
        <v>74.759</v>
      </c>
      <c r="AA1797" s="11">
        <v>72.981999999999999</v>
      </c>
      <c r="AB1797" s="11">
        <v>73.150999999999996</v>
      </c>
      <c r="AC1797" s="11">
        <v>73.275999999999996</v>
      </c>
      <c r="AD1797" s="11">
        <v>73.338999999999999</v>
      </c>
      <c r="AE1797" s="11">
        <v>73.319000000000003</v>
      </c>
      <c r="AF1797" s="11">
        <v>73.215000000000003</v>
      </c>
      <c r="AG1797" s="11">
        <v>73.084000000000003</v>
      </c>
      <c r="AH1797" s="11">
        <v>72.902000000000001</v>
      </c>
      <c r="AI1797" s="11">
        <v>72.680999999999997</v>
      </c>
      <c r="AJ1797" s="11">
        <v>72.450999999999993</v>
      </c>
      <c r="AK1797" s="11">
        <v>72.19</v>
      </c>
      <c r="AL1797" s="11"/>
    </row>
    <row r="1798" spans="1:38" x14ac:dyDescent="0.3">
      <c r="A1798" s="9">
        <f>DATE(2023, 12, 13)</f>
        <v>45273</v>
      </c>
      <c r="B1798" s="10">
        <v>74.260000000000005</v>
      </c>
      <c r="C1798" s="10">
        <v>74.510000000000005</v>
      </c>
      <c r="D1798" s="10">
        <v>74.709999999999994</v>
      </c>
      <c r="E1798" s="10">
        <v>74.87</v>
      </c>
      <c r="F1798" s="10">
        <v>74.959999999999994</v>
      </c>
      <c r="G1798" s="10">
        <v>75</v>
      </c>
      <c r="H1798" s="10">
        <v>74.959999999999994</v>
      </c>
      <c r="I1798" s="10">
        <v>74.849999999999994</v>
      </c>
      <c r="J1798" s="10">
        <v>74.709999999999994</v>
      </c>
      <c r="K1798" s="10">
        <v>74.540000000000006</v>
      </c>
      <c r="L1798" s="10">
        <v>74.349999999999994</v>
      </c>
      <c r="M1798" s="10">
        <v>74.14</v>
      </c>
      <c r="N1798" s="10">
        <v>69.47</v>
      </c>
      <c r="O1798" s="10">
        <v>69.72</v>
      </c>
      <c r="P1798" s="10">
        <v>69.98</v>
      </c>
      <c r="Q1798" s="10">
        <v>70.239999999999995</v>
      </c>
      <c r="R1798" s="10">
        <v>70.489999999999995</v>
      </c>
      <c r="S1798" s="10">
        <v>70.650000000000006</v>
      </c>
      <c r="T1798" s="10">
        <v>70.72</v>
      </c>
      <c r="U1798" s="10">
        <v>70.680000000000007</v>
      </c>
      <c r="V1798" s="10">
        <v>70.540000000000006</v>
      </c>
      <c r="W1798" s="10">
        <v>70.349999999999994</v>
      </c>
      <c r="X1798" s="10">
        <v>70.16</v>
      </c>
      <c r="Y1798" s="10">
        <v>69.95</v>
      </c>
      <c r="Z1798" s="11">
        <v>75.022000000000006</v>
      </c>
      <c r="AA1798" s="11">
        <v>73.731999999999999</v>
      </c>
      <c r="AB1798" s="11">
        <v>73.971000000000004</v>
      </c>
      <c r="AC1798" s="11">
        <v>74.134</v>
      </c>
      <c r="AD1798" s="11">
        <v>74.227000000000004</v>
      </c>
      <c r="AE1798" s="11">
        <v>74.248000000000005</v>
      </c>
      <c r="AF1798" s="11">
        <v>74.17</v>
      </c>
      <c r="AG1798" s="11">
        <v>74.054000000000002</v>
      </c>
      <c r="AH1798" s="11">
        <v>73.891999999999996</v>
      </c>
      <c r="AI1798" s="11">
        <v>73.691000000000003</v>
      </c>
      <c r="AJ1798" s="11">
        <v>73.471000000000004</v>
      </c>
      <c r="AK1798" s="11">
        <v>73.239999999999995</v>
      </c>
      <c r="AL1798" s="11"/>
    </row>
    <row r="1799" spans="1:38" x14ac:dyDescent="0.3">
      <c r="A1799" s="9">
        <f>DATE(2023, 12, 14)</f>
        <v>45274</v>
      </c>
      <c r="B1799" s="10">
        <v>76.61</v>
      </c>
      <c r="C1799" s="10">
        <v>76.849999999999994</v>
      </c>
      <c r="D1799" s="10">
        <v>77.010000000000005</v>
      </c>
      <c r="E1799" s="10">
        <v>77.099999999999994</v>
      </c>
      <c r="F1799" s="10">
        <v>77.12</v>
      </c>
      <c r="G1799" s="10">
        <v>77.09</v>
      </c>
      <c r="H1799" s="10">
        <v>76.989999999999995</v>
      </c>
      <c r="I1799" s="10">
        <v>76.819999999999993</v>
      </c>
      <c r="J1799" s="10">
        <v>76.63</v>
      </c>
      <c r="K1799" s="10">
        <v>76.42</v>
      </c>
      <c r="L1799" s="10">
        <v>76.19</v>
      </c>
      <c r="M1799" s="10">
        <v>75.930000000000007</v>
      </c>
      <c r="N1799" s="10">
        <v>71.58</v>
      </c>
      <c r="O1799" s="10">
        <v>71.91</v>
      </c>
      <c r="P1799" s="10">
        <v>72.209999999999994</v>
      </c>
      <c r="Q1799" s="10">
        <v>72.45</v>
      </c>
      <c r="R1799" s="10">
        <v>72.66</v>
      </c>
      <c r="S1799" s="10">
        <v>72.77</v>
      </c>
      <c r="T1799" s="10">
        <v>72.77</v>
      </c>
      <c r="U1799" s="10">
        <v>72.67</v>
      </c>
      <c r="V1799" s="10">
        <v>72.48</v>
      </c>
      <c r="W1799" s="10">
        <v>72.239999999999995</v>
      </c>
      <c r="X1799" s="10">
        <v>72.02</v>
      </c>
      <c r="Y1799" s="10">
        <v>71.75</v>
      </c>
      <c r="Z1799" s="11">
        <v>76.332999999999998</v>
      </c>
      <c r="AA1799" s="11">
        <v>76.272000000000006</v>
      </c>
      <c r="AB1799" s="11">
        <v>76.328999999999994</v>
      </c>
      <c r="AC1799" s="11">
        <v>76.382999999999996</v>
      </c>
      <c r="AD1799" s="11">
        <v>76.353999999999999</v>
      </c>
      <c r="AE1799" s="11">
        <v>76.290999999999997</v>
      </c>
      <c r="AF1799" s="11">
        <v>76.156999999999996</v>
      </c>
      <c r="AG1799" s="11">
        <v>75.977000000000004</v>
      </c>
      <c r="AH1799" s="11">
        <v>75.765000000000001</v>
      </c>
      <c r="AI1799" s="11">
        <v>75.549000000000007</v>
      </c>
      <c r="AJ1799" s="11">
        <v>75.278999999999996</v>
      </c>
      <c r="AK1799" s="11">
        <v>74.977999999999994</v>
      </c>
      <c r="AL1799" s="11"/>
    </row>
    <row r="1800" spans="1:38" x14ac:dyDescent="0.3">
      <c r="A1800" s="9">
        <f>DATE(2023, 12, 15)</f>
        <v>45275</v>
      </c>
      <c r="B1800" s="10">
        <v>76.55</v>
      </c>
      <c r="C1800" s="10">
        <v>76.760000000000005</v>
      </c>
      <c r="D1800" s="10">
        <v>76.92</v>
      </c>
      <c r="E1800" s="10">
        <v>77.010000000000005</v>
      </c>
      <c r="F1800" s="10">
        <v>77.03</v>
      </c>
      <c r="G1800" s="10">
        <v>76.989999999999995</v>
      </c>
      <c r="H1800" s="10">
        <v>76.87</v>
      </c>
      <c r="I1800" s="10">
        <v>76.69</v>
      </c>
      <c r="J1800" s="10">
        <v>76.489999999999995</v>
      </c>
      <c r="K1800" s="10">
        <v>76.28</v>
      </c>
      <c r="L1800" s="10">
        <v>76.05</v>
      </c>
      <c r="M1800" s="10">
        <v>75.790000000000006</v>
      </c>
      <c r="N1800" s="10">
        <v>71.430000000000007</v>
      </c>
      <c r="O1800" s="10">
        <v>71.78</v>
      </c>
      <c r="P1800" s="10">
        <v>72.05</v>
      </c>
      <c r="Q1800" s="10">
        <v>72.31</v>
      </c>
      <c r="R1800" s="10">
        <v>72.53</v>
      </c>
      <c r="S1800" s="10">
        <v>72.650000000000006</v>
      </c>
      <c r="T1800" s="10">
        <v>72.650000000000006</v>
      </c>
      <c r="U1800" s="10">
        <v>72.55</v>
      </c>
      <c r="V1800" s="10">
        <v>72.36</v>
      </c>
      <c r="W1800" s="10">
        <v>72.12</v>
      </c>
      <c r="X1800" s="10">
        <v>71.87</v>
      </c>
      <c r="Y1800" s="10">
        <v>71.599999999999994</v>
      </c>
      <c r="Z1800" s="11">
        <v>76.242999999999995</v>
      </c>
      <c r="AA1800" s="11">
        <v>76.069000000000003</v>
      </c>
      <c r="AB1800" s="11">
        <v>76.119</v>
      </c>
      <c r="AC1800" s="11">
        <v>76.198999999999998</v>
      </c>
      <c r="AD1800" s="11">
        <v>76.207999999999998</v>
      </c>
      <c r="AE1800" s="11">
        <v>76.150000000000006</v>
      </c>
      <c r="AF1800" s="11">
        <v>75.995999999999995</v>
      </c>
      <c r="AG1800" s="11">
        <v>75.801000000000002</v>
      </c>
      <c r="AH1800" s="11">
        <v>75.599999999999994</v>
      </c>
      <c r="AI1800" s="11">
        <v>75.379000000000005</v>
      </c>
      <c r="AJ1800" s="11">
        <v>75.138999999999996</v>
      </c>
      <c r="AK1800" s="11">
        <v>74.847999999999999</v>
      </c>
      <c r="AL1800" s="11"/>
    </row>
    <row r="1801" spans="1:38" x14ac:dyDescent="0.3">
      <c r="A1801" s="9">
        <f>DATE(2023, 12, 18)</f>
        <v>45278</v>
      </c>
      <c r="B1801" s="10">
        <v>77.95</v>
      </c>
      <c r="C1801" s="10">
        <v>78.11</v>
      </c>
      <c r="D1801" s="10">
        <v>78.209999999999994</v>
      </c>
      <c r="E1801" s="10">
        <v>78.28</v>
      </c>
      <c r="F1801" s="10">
        <v>78.27</v>
      </c>
      <c r="G1801" s="10">
        <v>78.19</v>
      </c>
      <c r="H1801" s="10">
        <v>78.03</v>
      </c>
      <c r="I1801" s="10">
        <v>77.8</v>
      </c>
      <c r="J1801" s="10">
        <v>77.55</v>
      </c>
      <c r="K1801" s="10">
        <v>77.3</v>
      </c>
      <c r="L1801" s="10">
        <v>77.040000000000006</v>
      </c>
      <c r="M1801" s="10">
        <v>76.739999999999995</v>
      </c>
      <c r="N1801" s="10">
        <v>72.47</v>
      </c>
      <c r="O1801" s="10">
        <v>72.819999999999993</v>
      </c>
      <c r="P1801" s="10">
        <v>73.099999999999994</v>
      </c>
      <c r="Q1801" s="10">
        <v>73.349999999999994</v>
      </c>
      <c r="R1801" s="10">
        <v>73.56</v>
      </c>
      <c r="S1801" s="10">
        <v>73.67</v>
      </c>
      <c r="T1801" s="10">
        <v>73.66</v>
      </c>
      <c r="U1801" s="10">
        <v>73.53</v>
      </c>
      <c r="V1801" s="10">
        <v>73.3</v>
      </c>
      <c r="W1801" s="10">
        <v>73.02</v>
      </c>
      <c r="X1801" s="10">
        <v>72.739999999999995</v>
      </c>
      <c r="Y1801" s="10">
        <v>72.430000000000007</v>
      </c>
      <c r="Z1801" s="11">
        <v>76.748999999999995</v>
      </c>
      <c r="AA1801" s="11">
        <v>77.305000000000007</v>
      </c>
      <c r="AB1801" s="11">
        <v>77.343000000000004</v>
      </c>
      <c r="AC1801" s="11">
        <v>77.41</v>
      </c>
      <c r="AD1801" s="11">
        <v>77.385999999999996</v>
      </c>
      <c r="AE1801" s="11">
        <v>77.308000000000007</v>
      </c>
      <c r="AF1801" s="11">
        <v>77.119</v>
      </c>
      <c r="AG1801" s="11">
        <v>76.879000000000005</v>
      </c>
      <c r="AH1801" s="11">
        <v>76.629000000000005</v>
      </c>
      <c r="AI1801" s="11">
        <v>76.358000000000004</v>
      </c>
      <c r="AJ1801" s="11">
        <v>76.066999999999993</v>
      </c>
      <c r="AK1801" s="11">
        <v>75.745999999999995</v>
      </c>
      <c r="AL1801" s="11"/>
    </row>
    <row r="1802" spans="1:38" x14ac:dyDescent="0.3">
      <c r="A1802" s="9">
        <f>DATE(2023, 12, 19)</f>
        <v>45279</v>
      </c>
      <c r="B1802" s="10">
        <v>79.23</v>
      </c>
      <c r="C1802" s="10">
        <v>79.37</v>
      </c>
      <c r="D1802" s="10">
        <v>79.41</v>
      </c>
      <c r="E1802" s="10">
        <v>79.44</v>
      </c>
      <c r="F1802" s="10">
        <v>79.39</v>
      </c>
      <c r="G1802" s="10">
        <v>79.27</v>
      </c>
      <c r="H1802" s="10">
        <v>79.069999999999993</v>
      </c>
      <c r="I1802" s="10">
        <v>78.81</v>
      </c>
      <c r="J1802" s="10">
        <v>78.540000000000006</v>
      </c>
      <c r="K1802" s="10">
        <v>78.260000000000005</v>
      </c>
      <c r="L1802" s="10">
        <v>77.97</v>
      </c>
      <c r="M1802" s="10">
        <v>77.650000000000006</v>
      </c>
      <c r="N1802" s="10">
        <v>73.44</v>
      </c>
      <c r="O1802" s="10">
        <v>73.94</v>
      </c>
      <c r="P1802" s="10">
        <v>74.209999999999994</v>
      </c>
      <c r="Q1802" s="10">
        <v>74.44</v>
      </c>
      <c r="R1802" s="10">
        <v>74.62</v>
      </c>
      <c r="S1802" s="10">
        <v>74.69</v>
      </c>
      <c r="T1802" s="10">
        <v>74.650000000000006</v>
      </c>
      <c r="U1802" s="10">
        <v>74.48</v>
      </c>
      <c r="V1802" s="10">
        <v>74.23</v>
      </c>
      <c r="W1802" s="10">
        <v>73.94</v>
      </c>
      <c r="X1802" s="10">
        <v>73.650000000000006</v>
      </c>
      <c r="Y1802" s="10">
        <v>73.319999999999993</v>
      </c>
      <c r="Z1802" s="11">
        <v>77.2</v>
      </c>
      <c r="AA1802" s="11">
        <v>78.641000000000005</v>
      </c>
      <c r="AB1802" s="11">
        <v>78.590999999999994</v>
      </c>
      <c r="AC1802" s="11">
        <v>78.620999999999995</v>
      </c>
      <c r="AD1802" s="11">
        <v>78.536000000000001</v>
      </c>
      <c r="AE1802" s="11">
        <v>78.391000000000005</v>
      </c>
      <c r="AF1802" s="11">
        <v>78.167000000000002</v>
      </c>
      <c r="AG1802" s="11">
        <v>77.897999999999996</v>
      </c>
      <c r="AH1802" s="11">
        <v>77.637</v>
      </c>
      <c r="AI1802" s="11">
        <v>77.346000000000004</v>
      </c>
      <c r="AJ1802" s="11">
        <v>77.025999999999996</v>
      </c>
      <c r="AK1802" s="11">
        <v>76.694999999999993</v>
      </c>
      <c r="AL1802" s="11"/>
    </row>
    <row r="1803" spans="1:38" x14ac:dyDescent="0.3">
      <c r="A1803" s="9">
        <f>DATE(2023, 12, 20)</f>
        <v>45280</v>
      </c>
      <c r="B1803" s="10">
        <v>79.7</v>
      </c>
      <c r="C1803" s="10">
        <v>79.66</v>
      </c>
      <c r="D1803" s="10">
        <v>79.59</v>
      </c>
      <c r="E1803" s="10">
        <v>79.52</v>
      </c>
      <c r="F1803" s="10">
        <v>79.42</v>
      </c>
      <c r="G1803" s="10">
        <v>79.260000000000005</v>
      </c>
      <c r="H1803" s="10">
        <v>79.02</v>
      </c>
      <c r="I1803" s="10">
        <v>78.73</v>
      </c>
      <c r="J1803" s="10">
        <v>78.430000000000007</v>
      </c>
      <c r="K1803" s="10">
        <v>78.13</v>
      </c>
      <c r="L1803" s="10">
        <v>77.83</v>
      </c>
      <c r="M1803" s="10">
        <v>77.489999999999995</v>
      </c>
      <c r="N1803" s="10">
        <v>74.22</v>
      </c>
      <c r="O1803" s="10">
        <v>74.45</v>
      </c>
      <c r="P1803" s="10">
        <v>74.62</v>
      </c>
      <c r="Q1803" s="10">
        <v>74.73</v>
      </c>
      <c r="R1803" s="10">
        <v>74.739999999999995</v>
      </c>
      <c r="S1803" s="10">
        <v>74.63</v>
      </c>
      <c r="T1803" s="10">
        <v>74.42</v>
      </c>
      <c r="U1803" s="10">
        <v>74.14</v>
      </c>
      <c r="V1803" s="10">
        <v>73.819999999999993</v>
      </c>
      <c r="W1803" s="10">
        <v>73.5</v>
      </c>
      <c r="X1803" s="10">
        <v>73.17</v>
      </c>
      <c r="Y1803" s="10">
        <v>72.8</v>
      </c>
      <c r="Z1803" s="11">
        <v>77.323999999999998</v>
      </c>
      <c r="AA1803" s="11">
        <v>78.959999999999994</v>
      </c>
      <c r="AB1803" s="11">
        <v>78.849999999999994</v>
      </c>
      <c r="AC1803" s="11">
        <v>78.790000000000006</v>
      </c>
      <c r="AD1803" s="11">
        <v>78.650999999999996</v>
      </c>
      <c r="AE1803" s="11">
        <v>78.447999999999993</v>
      </c>
      <c r="AF1803" s="11">
        <v>78.156000000000006</v>
      </c>
      <c r="AG1803" s="11">
        <v>77.861999999999995</v>
      </c>
      <c r="AH1803" s="11">
        <v>77.566000000000003</v>
      </c>
      <c r="AI1803" s="11">
        <v>77.256</v>
      </c>
      <c r="AJ1803" s="11">
        <v>76.944999999999993</v>
      </c>
      <c r="AK1803" s="11">
        <v>76.584999999999994</v>
      </c>
      <c r="AL1803" s="11"/>
    </row>
    <row r="1804" spans="1:38" x14ac:dyDescent="0.3">
      <c r="A1804" s="9">
        <f>DATE(2023, 12, 21)</f>
        <v>45281</v>
      </c>
      <c r="B1804" s="10">
        <v>79.39</v>
      </c>
      <c r="C1804" s="10">
        <v>79.16</v>
      </c>
      <c r="D1804" s="10">
        <v>79</v>
      </c>
      <c r="E1804" s="10">
        <v>78.900000000000006</v>
      </c>
      <c r="F1804" s="10">
        <v>78.790000000000006</v>
      </c>
      <c r="G1804" s="10">
        <v>78.62</v>
      </c>
      <c r="H1804" s="10">
        <v>78.39</v>
      </c>
      <c r="I1804" s="10">
        <v>78.099999999999994</v>
      </c>
      <c r="J1804" s="10">
        <v>77.81</v>
      </c>
      <c r="K1804" s="10">
        <v>77.52</v>
      </c>
      <c r="L1804" s="10">
        <v>77.22</v>
      </c>
      <c r="M1804" s="10">
        <v>76.89</v>
      </c>
      <c r="N1804" s="10">
        <v>73.89</v>
      </c>
      <c r="O1804" s="10">
        <v>74.06</v>
      </c>
      <c r="P1804" s="10">
        <v>74.180000000000007</v>
      </c>
      <c r="Q1804" s="10">
        <v>74.239999999999995</v>
      </c>
      <c r="R1804" s="10">
        <v>74.2</v>
      </c>
      <c r="S1804" s="10">
        <v>74.06</v>
      </c>
      <c r="T1804" s="10">
        <v>73.83</v>
      </c>
      <c r="U1804" s="10">
        <v>73.55</v>
      </c>
      <c r="V1804" s="10">
        <v>73.23</v>
      </c>
      <c r="W1804" s="10">
        <v>72.91</v>
      </c>
      <c r="X1804" s="10">
        <v>72.569999999999993</v>
      </c>
      <c r="Y1804" s="10">
        <v>72.209999999999994</v>
      </c>
      <c r="Z1804" s="11">
        <v>77.301000000000002</v>
      </c>
      <c r="AA1804" s="11">
        <v>78.709999999999994</v>
      </c>
      <c r="AB1804" s="11">
        <v>78.417000000000002</v>
      </c>
      <c r="AC1804" s="11">
        <v>78.277000000000001</v>
      </c>
      <c r="AD1804" s="11">
        <v>78.096999999999994</v>
      </c>
      <c r="AE1804" s="11">
        <v>77.87</v>
      </c>
      <c r="AF1804" s="11">
        <v>77.575999999999993</v>
      </c>
      <c r="AG1804" s="11">
        <v>77.257000000000005</v>
      </c>
      <c r="AH1804" s="11">
        <v>76.977000000000004</v>
      </c>
      <c r="AI1804" s="11">
        <v>76.665999999999997</v>
      </c>
      <c r="AJ1804" s="11">
        <v>76.346000000000004</v>
      </c>
      <c r="AK1804" s="11">
        <v>75.984999999999999</v>
      </c>
      <c r="AL1804" s="11"/>
    </row>
    <row r="1805" spans="1:38" x14ac:dyDescent="0.3">
      <c r="A1805" s="9">
        <f>DATE(2023, 12, 22)</f>
        <v>45282</v>
      </c>
      <c r="B1805" s="10">
        <v>79.069999999999993</v>
      </c>
      <c r="C1805" s="10">
        <v>78.8</v>
      </c>
      <c r="D1805" s="10">
        <v>78.64</v>
      </c>
      <c r="E1805" s="10">
        <v>78.489999999999995</v>
      </c>
      <c r="F1805" s="10">
        <v>78.33</v>
      </c>
      <c r="G1805" s="10">
        <v>78.12</v>
      </c>
      <c r="H1805" s="10">
        <v>77.84</v>
      </c>
      <c r="I1805" s="10">
        <v>77.52</v>
      </c>
      <c r="J1805" s="10">
        <v>77.2</v>
      </c>
      <c r="K1805" s="10">
        <v>76.88</v>
      </c>
      <c r="L1805" s="10">
        <v>76.56</v>
      </c>
      <c r="M1805" s="10">
        <v>76.209999999999994</v>
      </c>
      <c r="N1805" s="10">
        <v>73.56</v>
      </c>
      <c r="O1805" s="10">
        <v>73.73</v>
      </c>
      <c r="P1805" s="10">
        <v>73.84</v>
      </c>
      <c r="Q1805" s="10">
        <v>73.88</v>
      </c>
      <c r="R1805" s="10">
        <v>73.8</v>
      </c>
      <c r="S1805" s="10">
        <v>73.599999999999994</v>
      </c>
      <c r="T1805" s="10">
        <v>73.319999999999993</v>
      </c>
      <c r="U1805" s="10">
        <v>72.98</v>
      </c>
      <c r="V1805" s="10">
        <v>72.61</v>
      </c>
      <c r="W1805" s="10">
        <v>72.239999999999995</v>
      </c>
      <c r="X1805" s="10">
        <v>71.89</v>
      </c>
      <c r="Y1805" s="10">
        <v>71.510000000000005</v>
      </c>
      <c r="Z1805" s="11">
        <v>77.230999999999995</v>
      </c>
      <c r="AA1805" s="11">
        <v>78.613</v>
      </c>
      <c r="AB1805" s="11">
        <v>78.233000000000004</v>
      </c>
      <c r="AC1805" s="11">
        <v>78.012</v>
      </c>
      <c r="AD1805" s="11">
        <v>77.78</v>
      </c>
      <c r="AE1805" s="11">
        <v>77.498000000000005</v>
      </c>
      <c r="AF1805" s="11">
        <v>77.153999999999996</v>
      </c>
      <c r="AG1805" s="11">
        <v>76.786000000000001</v>
      </c>
      <c r="AH1805" s="11">
        <v>76.435000000000002</v>
      </c>
      <c r="AI1805" s="11">
        <v>76.084999999999994</v>
      </c>
      <c r="AJ1805" s="11">
        <v>75.765000000000001</v>
      </c>
      <c r="AK1805" s="11">
        <v>75.415000000000006</v>
      </c>
      <c r="AL1805" s="11"/>
    </row>
    <row r="1806" spans="1:38" x14ac:dyDescent="0.3">
      <c r="A1806" s="9">
        <f>DATE(2023, 12, 26)</f>
        <v>45286</v>
      </c>
      <c r="B1806" s="10">
        <v>81.069999999999993</v>
      </c>
      <c r="C1806" s="10">
        <v>80.849999999999994</v>
      </c>
      <c r="D1806" s="10">
        <v>80.66</v>
      </c>
      <c r="E1806" s="10">
        <v>80.459999999999994</v>
      </c>
      <c r="F1806" s="10">
        <v>80.23</v>
      </c>
      <c r="G1806" s="10">
        <v>79.95</v>
      </c>
      <c r="H1806" s="10">
        <v>79.599999999999994</v>
      </c>
      <c r="I1806" s="10">
        <v>79.209999999999994</v>
      </c>
      <c r="J1806" s="10">
        <v>78.819999999999993</v>
      </c>
      <c r="K1806" s="10">
        <v>78.44</v>
      </c>
      <c r="L1806" s="10">
        <v>78.069999999999993</v>
      </c>
      <c r="M1806" s="10">
        <v>77.67</v>
      </c>
      <c r="N1806" s="10">
        <v>75.569999999999993</v>
      </c>
      <c r="O1806" s="10">
        <v>75.709999999999994</v>
      </c>
      <c r="P1806" s="10">
        <v>75.790000000000006</v>
      </c>
      <c r="Q1806" s="10">
        <v>75.790000000000006</v>
      </c>
      <c r="R1806" s="10">
        <v>75.650000000000006</v>
      </c>
      <c r="S1806" s="10">
        <v>75.38</v>
      </c>
      <c r="T1806" s="10">
        <v>75.02</v>
      </c>
      <c r="U1806" s="10">
        <v>74.59</v>
      </c>
      <c r="V1806" s="10">
        <v>74.150000000000006</v>
      </c>
      <c r="W1806" s="10">
        <v>73.73</v>
      </c>
      <c r="X1806" s="10">
        <v>73.319999999999993</v>
      </c>
      <c r="Y1806" s="10">
        <v>72.88</v>
      </c>
      <c r="Z1806" s="11">
        <v>77.564999999999998</v>
      </c>
      <c r="AA1806" s="11">
        <v>80.710999999999999</v>
      </c>
      <c r="AB1806" s="11">
        <v>80.301000000000002</v>
      </c>
      <c r="AC1806" s="11">
        <v>80.031000000000006</v>
      </c>
      <c r="AD1806" s="11">
        <v>79.751000000000005</v>
      </c>
      <c r="AE1806" s="11">
        <v>79.39</v>
      </c>
      <c r="AF1806" s="11">
        <v>78.956000000000003</v>
      </c>
      <c r="AG1806" s="11">
        <v>78.522999999999996</v>
      </c>
      <c r="AH1806" s="11">
        <v>78.113</v>
      </c>
      <c r="AI1806" s="11">
        <v>77.712000000000003</v>
      </c>
      <c r="AJ1806" s="11">
        <v>77.272999999999996</v>
      </c>
      <c r="AK1806" s="11">
        <v>76.872</v>
      </c>
      <c r="AL1806" s="11"/>
    </row>
    <row r="1807" spans="1:38" x14ac:dyDescent="0.3">
      <c r="A1807" s="9">
        <f>DATE(2023, 12, 27)</f>
        <v>45287</v>
      </c>
      <c r="B1807" s="10">
        <v>79.650000000000006</v>
      </c>
      <c r="C1807" s="10">
        <v>79.540000000000006</v>
      </c>
      <c r="D1807" s="10">
        <v>79.41</v>
      </c>
      <c r="E1807" s="10">
        <v>79.260000000000005</v>
      </c>
      <c r="F1807" s="10">
        <v>79.09</v>
      </c>
      <c r="G1807" s="10">
        <v>78.87</v>
      </c>
      <c r="H1807" s="10">
        <v>78.59</v>
      </c>
      <c r="I1807" s="10">
        <v>78.260000000000005</v>
      </c>
      <c r="J1807" s="10">
        <v>77.92</v>
      </c>
      <c r="K1807" s="10">
        <v>77.599999999999994</v>
      </c>
      <c r="L1807" s="10">
        <v>77.27</v>
      </c>
      <c r="M1807" s="10">
        <v>76.900000000000006</v>
      </c>
      <c r="N1807" s="10">
        <v>74.11</v>
      </c>
      <c r="O1807" s="10">
        <v>74.34</v>
      </c>
      <c r="P1807" s="10">
        <v>74.510000000000005</v>
      </c>
      <c r="Q1807" s="10">
        <v>74.599999999999994</v>
      </c>
      <c r="R1807" s="10">
        <v>74.569999999999993</v>
      </c>
      <c r="S1807" s="10">
        <v>74.39</v>
      </c>
      <c r="T1807" s="10">
        <v>74.099999999999994</v>
      </c>
      <c r="U1807" s="10">
        <v>73.75</v>
      </c>
      <c r="V1807" s="10">
        <v>73.38</v>
      </c>
      <c r="W1807" s="10">
        <v>73.010000000000005</v>
      </c>
      <c r="X1807" s="10">
        <v>72.61</v>
      </c>
      <c r="Y1807" s="10">
        <v>72.2</v>
      </c>
      <c r="Z1807" s="11">
        <v>77.42</v>
      </c>
      <c r="AA1807" s="11">
        <v>79.343999999999994</v>
      </c>
      <c r="AB1807" s="11">
        <v>79.013000000000005</v>
      </c>
      <c r="AC1807" s="11">
        <v>78.783000000000001</v>
      </c>
      <c r="AD1807" s="11">
        <v>78.566000000000003</v>
      </c>
      <c r="AE1807" s="11">
        <v>78.313999999999993</v>
      </c>
      <c r="AF1807" s="11">
        <v>77.974000000000004</v>
      </c>
      <c r="AG1807" s="11">
        <v>77.605000000000004</v>
      </c>
      <c r="AH1807" s="11">
        <v>77.245000000000005</v>
      </c>
      <c r="AI1807" s="11">
        <v>76.894000000000005</v>
      </c>
      <c r="AJ1807" s="11">
        <v>76.524000000000001</v>
      </c>
      <c r="AK1807" s="11">
        <v>76.134</v>
      </c>
      <c r="AL1807" s="11"/>
    </row>
    <row r="1808" spans="1:38" x14ac:dyDescent="0.3">
      <c r="A1808" s="9">
        <f>DATE(2023, 12, 28)</f>
        <v>45288</v>
      </c>
      <c r="B1808" s="10">
        <v>78.39</v>
      </c>
      <c r="C1808" s="10">
        <v>77.150000000000006</v>
      </c>
      <c r="D1808" s="10">
        <v>77.040000000000006</v>
      </c>
      <c r="E1808" s="10">
        <v>76.94</v>
      </c>
      <c r="F1808" s="10">
        <v>76.819999999999993</v>
      </c>
      <c r="G1808" s="10">
        <v>76.64</v>
      </c>
      <c r="H1808" s="10">
        <v>76.39</v>
      </c>
      <c r="I1808" s="10">
        <v>76.099999999999994</v>
      </c>
      <c r="J1808" s="10">
        <v>75.81</v>
      </c>
      <c r="K1808" s="10">
        <v>75.53</v>
      </c>
      <c r="L1808" s="10">
        <v>75.25</v>
      </c>
      <c r="M1808" s="10">
        <v>74.930000000000007</v>
      </c>
      <c r="N1808" s="10">
        <v>71.77</v>
      </c>
      <c r="O1808" s="10">
        <v>71.97</v>
      </c>
      <c r="P1808" s="10">
        <v>72.14</v>
      </c>
      <c r="Q1808" s="10">
        <v>72.27</v>
      </c>
      <c r="R1808" s="10">
        <v>72.290000000000006</v>
      </c>
      <c r="S1808" s="10">
        <v>72.150000000000006</v>
      </c>
      <c r="T1808" s="10">
        <v>71.89</v>
      </c>
      <c r="U1808" s="10">
        <v>71.56</v>
      </c>
      <c r="V1808" s="10">
        <v>71.209999999999994</v>
      </c>
      <c r="W1808" s="10">
        <v>70.88</v>
      </c>
      <c r="X1808" s="10">
        <v>70.55</v>
      </c>
      <c r="Y1808" s="10">
        <v>70.180000000000007</v>
      </c>
      <c r="Z1808" s="11">
        <v>77.302000000000007</v>
      </c>
      <c r="AA1808" s="11">
        <v>76.864999999999995</v>
      </c>
      <c r="AB1808" s="11">
        <v>76.58</v>
      </c>
      <c r="AC1808" s="11">
        <v>76.417000000000002</v>
      </c>
      <c r="AD1808" s="11">
        <v>76.266999999999996</v>
      </c>
      <c r="AE1808" s="11">
        <v>76.049000000000007</v>
      </c>
      <c r="AF1808" s="11">
        <v>75.725999999999999</v>
      </c>
      <c r="AG1808" s="11">
        <v>75.397000000000006</v>
      </c>
      <c r="AH1808" s="11">
        <v>75.066999999999993</v>
      </c>
      <c r="AI1808" s="11">
        <v>74.747</v>
      </c>
      <c r="AJ1808" s="11">
        <v>74.436000000000007</v>
      </c>
      <c r="AK1808" s="11">
        <v>74.116</v>
      </c>
      <c r="AL1808" s="11"/>
    </row>
    <row r="1809" spans="1:38" x14ac:dyDescent="0.3">
      <c r="A1809" s="9">
        <f>DATE(2023, 12, 29)</f>
        <v>45289</v>
      </c>
      <c r="B1809" s="10">
        <v>77.040000000000006</v>
      </c>
      <c r="C1809" s="10">
        <v>76.91</v>
      </c>
      <c r="D1809" s="10">
        <v>76.790000000000006</v>
      </c>
      <c r="E1809" s="10">
        <v>76.64</v>
      </c>
      <c r="F1809" s="10">
        <v>76.430000000000007</v>
      </c>
      <c r="G1809" s="10">
        <v>76.17</v>
      </c>
      <c r="H1809" s="10">
        <v>75.87</v>
      </c>
      <c r="I1809" s="10">
        <v>75.569999999999993</v>
      </c>
      <c r="J1809" s="10">
        <v>75.28</v>
      </c>
      <c r="K1809" s="10">
        <v>75</v>
      </c>
      <c r="L1809" s="10">
        <v>74.69</v>
      </c>
      <c r="M1809" s="10">
        <v>74.39</v>
      </c>
      <c r="N1809" s="10">
        <v>71.650000000000006</v>
      </c>
      <c r="O1809" s="10">
        <v>71.84</v>
      </c>
      <c r="P1809" s="10">
        <v>72.010000000000005</v>
      </c>
      <c r="Q1809" s="10">
        <v>72.13</v>
      </c>
      <c r="R1809" s="10">
        <v>72.12</v>
      </c>
      <c r="S1809" s="10">
        <v>71.97</v>
      </c>
      <c r="T1809" s="10">
        <v>71.69</v>
      </c>
      <c r="U1809" s="10">
        <v>71.34</v>
      </c>
      <c r="V1809" s="10">
        <v>70.98</v>
      </c>
      <c r="W1809" s="10">
        <v>70.650000000000006</v>
      </c>
      <c r="X1809" s="10">
        <v>70.3</v>
      </c>
      <c r="Y1809" s="10">
        <v>69.94</v>
      </c>
      <c r="Z1809" s="11">
        <v>77.331000000000003</v>
      </c>
      <c r="AA1809" s="11">
        <v>76.909000000000006</v>
      </c>
      <c r="AB1809" s="11">
        <v>76.549000000000007</v>
      </c>
      <c r="AC1809" s="11">
        <v>76.317999999999998</v>
      </c>
      <c r="AD1809" s="11">
        <v>76.105000000000004</v>
      </c>
      <c r="AE1809" s="11">
        <v>75.858999999999995</v>
      </c>
      <c r="AF1809" s="11">
        <v>75.545000000000002</v>
      </c>
      <c r="AG1809" s="11">
        <v>75.212000000000003</v>
      </c>
      <c r="AH1809" s="11">
        <v>74.891999999999996</v>
      </c>
      <c r="AI1809" s="11">
        <v>74.587000000000003</v>
      </c>
      <c r="AJ1809" s="11">
        <v>74.272000000000006</v>
      </c>
      <c r="AK1809" s="11">
        <v>73.906000000000006</v>
      </c>
      <c r="AL1809" s="11"/>
    </row>
    <row r="1810" spans="1:38" x14ac:dyDescent="0.3">
      <c r="A1810" s="9">
        <f>DATE(2024, 1, 2)</f>
        <v>45293</v>
      </c>
      <c r="B1810" s="10">
        <v>75.89</v>
      </c>
      <c r="C1810" s="10">
        <v>75.86</v>
      </c>
      <c r="D1810" s="10">
        <v>75.819999999999993</v>
      </c>
      <c r="E1810" s="10">
        <v>75.73</v>
      </c>
      <c r="F1810" s="10">
        <v>75.56</v>
      </c>
      <c r="G1810" s="10">
        <v>75.34</v>
      </c>
      <c r="H1810" s="10">
        <v>75.08</v>
      </c>
      <c r="I1810" s="10">
        <v>74.81</v>
      </c>
      <c r="J1810" s="10">
        <v>74.55</v>
      </c>
      <c r="K1810" s="10">
        <v>74.28</v>
      </c>
      <c r="L1810" s="10">
        <v>74</v>
      </c>
      <c r="M1810" s="10">
        <v>73.72</v>
      </c>
      <c r="N1810" s="10">
        <v>70.38</v>
      </c>
      <c r="O1810" s="10">
        <v>70.62</v>
      </c>
      <c r="P1810" s="10">
        <v>70.819999999999993</v>
      </c>
      <c r="Q1810" s="10">
        <v>70.989999999999995</v>
      </c>
      <c r="R1810" s="10">
        <v>71.040000000000006</v>
      </c>
      <c r="S1810" s="10">
        <v>70.94</v>
      </c>
      <c r="T1810" s="10">
        <v>70.7</v>
      </c>
      <c r="U1810" s="10">
        <v>70.41</v>
      </c>
      <c r="V1810" s="10">
        <v>70.099999999999994</v>
      </c>
      <c r="W1810" s="10">
        <v>69.81</v>
      </c>
      <c r="X1810" s="10">
        <v>69.489999999999995</v>
      </c>
      <c r="Y1810" s="10">
        <v>69.150000000000006</v>
      </c>
      <c r="Z1810" s="11">
        <v>77.331000000000003</v>
      </c>
      <c r="AA1810" s="11">
        <v>75.873999999999995</v>
      </c>
      <c r="AB1810" s="11">
        <v>75.617999999999995</v>
      </c>
      <c r="AC1810" s="11">
        <v>75.430999999999997</v>
      </c>
      <c r="AD1810" s="11">
        <v>75.253</v>
      </c>
      <c r="AE1810" s="11">
        <v>75.040999999999997</v>
      </c>
      <c r="AF1810" s="11">
        <v>74.747</v>
      </c>
      <c r="AG1810" s="11">
        <v>74.445999999999998</v>
      </c>
      <c r="AH1810" s="11">
        <v>74.165999999999997</v>
      </c>
      <c r="AI1810" s="11">
        <v>73.900000000000006</v>
      </c>
      <c r="AJ1810" s="11">
        <v>73.587999999999994</v>
      </c>
      <c r="AK1810" s="11">
        <v>73.257000000000005</v>
      </c>
      <c r="AL1810" s="11"/>
    </row>
    <row r="1811" spans="1:38" x14ac:dyDescent="0.3">
      <c r="A1811" s="9">
        <f>DATE(2024, 1, 3)</f>
        <v>45294</v>
      </c>
      <c r="B1811" s="10">
        <v>78.25</v>
      </c>
      <c r="C1811" s="10">
        <v>78.14</v>
      </c>
      <c r="D1811" s="10">
        <v>78.040000000000006</v>
      </c>
      <c r="E1811" s="10">
        <v>77.91</v>
      </c>
      <c r="F1811" s="10">
        <v>77.7</v>
      </c>
      <c r="G1811" s="10">
        <v>77.44</v>
      </c>
      <c r="H1811" s="10">
        <v>77.14</v>
      </c>
      <c r="I1811" s="10">
        <v>76.849999999999994</v>
      </c>
      <c r="J1811" s="10">
        <v>76.56</v>
      </c>
      <c r="K1811" s="10">
        <v>76.260000000000005</v>
      </c>
      <c r="L1811" s="10">
        <v>75.94</v>
      </c>
      <c r="M1811" s="10">
        <v>75.63</v>
      </c>
      <c r="N1811" s="10">
        <v>72.7</v>
      </c>
      <c r="O1811" s="10">
        <v>72.89</v>
      </c>
      <c r="P1811" s="10">
        <v>73.03</v>
      </c>
      <c r="Q1811" s="10">
        <v>73.12</v>
      </c>
      <c r="R1811" s="10">
        <v>73.09</v>
      </c>
      <c r="S1811" s="10">
        <v>72.94</v>
      </c>
      <c r="T1811" s="10">
        <v>72.66</v>
      </c>
      <c r="U1811" s="10">
        <v>72.34</v>
      </c>
      <c r="V1811" s="10">
        <v>71.989999999999995</v>
      </c>
      <c r="W1811" s="10">
        <v>71.650000000000006</v>
      </c>
      <c r="X1811" s="10">
        <v>71.31</v>
      </c>
      <c r="Y1811" s="10">
        <v>70.95</v>
      </c>
      <c r="Z1811" s="11">
        <v>77.826999999999998</v>
      </c>
      <c r="AA1811" s="11">
        <v>77.790000000000006</v>
      </c>
      <c r="AB1811" s="11">
        <v>77.623999999999995</v>
      </c>
      <c r="AC1811" s="11">
        <v>77.444999999999993</v>
      </c>
      <c r="AD1811" s="11">
        <v>77.198999999999998</v>
      </c>
      <c r="AE1811" s="11">
        <v>76.885000000000005</v>
      </c>
      <c r="AF1811" s="11">
        <v>76.557000000000002</v>
      </c>
      <c r="AG1811" s="11">
        <v>76.247</v>
      </c>
      <c r="AH1811" s="11">
        <v>75.936000000000007</v>
      </c>
      <c r="AI1811" s="11">
        <v>75.596000000000004</v>
      </c>
      <c r="AJ1811" s="11">
        <v>75.234999999999999</v>
      </c>
      <c r="AK1811" s="11">
        <v>74.875</v>
      </c>
      <c r="AL1811" s="11"/>
    </row>
    <row r="1812" spans="1:38" x14ac:dyDescent="0.3">
      <c r="A1812" s="9">
        <f>DATE(2024, 1, 4)</f>
        <v>45295</v>
      </c>
      <c r="B1812" s="10">
        <v>77.59</v>
      </c>
      <c r="C1812" s="10">
        <v>77.41</v>
      </c>
      <c r="D1812" s="10">
        <v>77.260000000000005</v>
      </c>
      <c r="E1812" s="10">
        <v>77.099999999999994</v>
      </c>
      <c r="F1812" s="10">
        <v>76.86</v>
      </c>
      <c r="G1812" s="10">
        <v>76.599999999999994</v>
      </c>
      <c r="H1812" s="10">
        <v>76.31</v>
      </c>
      <c r="I1812" s="10">
        <v>76.010000000000005</v>
      </c>
      <c r="J1812" s="10">
        <v>75.709999999999994</v>
      </c>
      <c r="K1812" s="10">
        <v>75.400000000000006</v>
      </c>
      <c r="L1812" s="10">
        <v>75.08</v>
      </c>
      <c r="M1812" s="10">
        <v>74.790000000000006</v>
      </c>
      <c r="N1812" s="10">
        <v>72.19</v>
      </c>
      <c r="O1812" s="10">
        <v>72.36</v>
      </c>
      <c r="P1812" s="10">
        <v>72.459999999999994</v>
      </c>
      <c r="Q1812" s="10">
        <v>72.489999999999995</v>
      </c>
      <c r="R1812" s="10">
        <v>72.430000000000007</v>
      </c>
      <c r="S1812" s="10">
        <v>72.25</v>
      </c>
      <c r="T1812" s="10">
        <v>71.97</v>
      </c>
      <c r="U1812" s="10">
        <v>71.650000000000006</v>
      </c>
      <c r="V1812" s="10">
        <v>71.290000000000006</v>
      </c>
      <c r="W1812" s="10">
        <v>70.959999999999994</v>
      </c>
      <c r="X1812" s="10">
        <v>70.61</v>
      </c>
      <c r="Y1812" s="10">
        <v>70.25</v>
      </c>
      <c r="Z1812" s="11">
        <v>77.33</v>
      </c>
      <c r="AA1812" s="11">
        <v>77.147999999999996</v>
      </c>
      <c r="AB1812" s="11">
        <v>76.927000000000007</v>
      </c>
      <c r="AC1812" s="11">
        <v>76.709000000000003</v>
      </c>
      <c r="AD1812" s="11">
        <v>76.418999999999997</v>
      </c>
      <c r="AE1812" s="11">
        <v>76.075999999999993</v>
      </c>
      <c r="AF1812" s="11">
        <v>75.736999999999995</v>
      </c>
      <c r="AG1812" s="11">
        <v>75.406000000000006</v>
      </c>
      <c r="AH1812" s="11">
        <v>75.075000000000003</v>
      </c>
      <c r="AI1812" s="11">
        <v>74.695999999999998</v>
      </c>
      <c r="AJ1812" s="11">
        <v>74.316000000000003</v>
      </c>
      <c r="AK1812" s="11">
        <v>73.975999999999999</v>
      </c>
      <c r="AL1812" s="11"/>
    </row>
    <row r="1813" spans="1:38" x14ac:dyDescent="0.3">
      <c r="A1813" s="9">
        <f>DATE(2024, 1, 5)</f>
        <v>45296</v>
      </c>
      <c r="B1813" s="10">
        <v>78.760000000000005</v>
      </c>
      <c r="C1813" s="10">
        <v>78.540000000000006</v>
      </c>
      <c r="D1813" s="10">
        <v>78.349999999999994</v>
      </c>
      <c r="E1813" s="10">
        <v>78.14</v>
      </c>
      <c r="F1813" s="10">
        <v>77.86</v>
      </c>
      <c r="G1813" s="10">
        <v>77.55</v>
      </c>
      <c r="H1813" s="10">
        <v>77.22</v>
      </c>
      <c r="I1813" s="10">
        <v>76.900000000000006</v>
      </c>
      <c r="J1813" s="10">
        <v>76.58</v>
      </c>
      <c r="K1813" s="10">
        <v>76.25</v>
      </c>
      <c r="L1813" s="10">
        <v>75.91</v>
      </c>
      <c r="M1813" s="10">
        <v>75.59</v>
      </c>
      <c r="N1813" s="10">
        <v>73.81</v>
      </c>
      <c r="O1813" s="10">
        <v>73.86</v>
      </c>
      <c r="P1813" s="10">
        <v>73.87</v>
      </c>
      <c r="Q1813" s="10">
        <v>73.81</v>
      </c>
      <c r="R1813" s="10">
        <v>73.66</v>
      </c>
      <c r="S1813" s="10">
        <v>73.41</v>
      </c>
      <c r="T1813" s="10">
        <v>73.08</v>
      </c>
      <c r="U1813" s="10">
        <v>72.709999999999994</v>
      </c>
      <c r="V1813" s="10">
        <v>72.33</v>
      </c>
      <c r="W1813" s="10">
        <v>71.959999999999994</v>
      </c>
      <c r="X1813" s="10">
        <v>71.599999999999994</v>
      </c>
      <c r="Y1813" s="10">
        <v>71.209999999999994</v>
      </c>
      <c r="Z1813" s="11">
        <v>78.353999999999999</v>
      </c>
      <c r="AA1813" s="11">
        <v>78.305999999999997</v>
      </c>
      <c r="AB1813" s="11">
        <v>78.055999999999997</v>
      </c>
      <c r="AC1813" s="11">
        <v>77.784000000000006</v>
      </c>
      <c r="AD1813" s="11">
        <v>77.460999999999999</v>
      </c>
      <c r="AE1813" s="11">
        <v>77.075999999999993</v>
      </c>
      <c r="AF1813" s="11">
        <v>76.688000000000002</v>
      </c>
      <c r="AG1813" s="11">
        <v>76.319999999999993</v>
      </c>
      <c r="AH1813" s="11">
        <v>75.978999999999999</v>
      </c>
      <c r="AI1813" s="11">
        <v>75.605000000000004</v>
      </c>
      <c r="AJ1813" s="11">
        <v>75.215000000000003</v>
      </c>
      <c r="AK1813" s="11">
        <v>74.834000000000003</v>
      </c>
      <c r="AL1813" s="11"/>
    </row>
    <row r="1814" spans="1:38" x14ac:dyDescent="0.3">
      <c r="A1814" s="9">
        <f>DATE(2024, 1, 8)</f>
        <v>45299</v>
      </c>
      <c r="B1814" s="10">
        <v>76.12</v>
      </c>
      <c r="C1814" s="10">
        <v>75.91</v>
      </c>
      <c r="D1814" s="10">
        <v>75.75</v>
      </c>
      <c r="E1814" s="10">
        <v>75.599999999999994</v>
      </c>
      <c r="F1814" s="10">
        <v>75.37</v>
      </c>
      <c r="G1814" s="10">
        <v>75.12</v>
      </c>
      <c r="H1814" s="10">
        <v>74.86</v>
      </c>
      <c r="I1814" s="10">
        <v>74.59</v>
      </c>
      <c r="J1814" s="10">
        <v>74.34</v>
      </c>
      <c r="K1814" s="10">
        <v>74.069999999999993</v>
      </c>
      <c r="L1814" s="10">
        <v>73.790000000000006</v>
      </c>
      <c r="M1814" s="10">
        <v>73.53</v>
      </c>
      <c r="N1814" s="10">
        <v>70.77</v>
      </c>
      <c r="O1814" s="10">
        <v>70.92</v>
      </c>
      <c r="P1814" s="10">
        <v>71.02</v>
      </c>
      <c r="Q1814" s="10">
        <v>71.06</v>
      </c>
      <c r="R1814" s="10">
        <v>71.02</v>
      </c>
      <c r="S1814" s="10">
        <v>70.87</v>
      </c>
      <c r="T1814" s="10">
        <v>70.62</v>
      </c>
      <c r="U1814" s="10">
        <v>70.31</v>
      </c>
      <c r="V1814" s="10">
        <v>69.989999999999995</v>
      </c>
      <c r="W1814" s="10">
        <v>69.680000000000007</v>
      </c>
      <c r="X1814" s="10">
        <v>69.38</v>
      </c>
      <c r="Y1814" s="10">
        <v>69.05</v>
      </c>
      <c r="Z1814" s="11">
        <v>76.352000000000004</v>
      </c>
      <c r="AA1814" s="11">
        <v>75.555999999999997</v>
      </c>
      <c r="AB1814" s="11">
        <v>75.355999999999995</v>
      </c>
      <c r="AC1814" s="11">
        <v>75.150000000000006</v>
      </c>
      <c r="AD1814" s="11">
        <v>74.861999999999995</v>
      </c>
      <c r="AE1814" s="11">
        <v>74.558000000000007</v>
      </c>
      <c r="AF1814" s="11">
        <v>74.263000000000005</v>
      </c>
      <c r="AG1814" s="11">
        <v>73.959000000000003</v>
      </c>
      <c r="AH1814" s="11">
        <v>73.656999999999996</v>
      </c>
      <c r="AI1814" s="11">
        <v>73.317999999999998</v>
      </c>
      <c r="AJ1814" s="11">
        <v>72.968000000000004</v>
      </c>
      <c r="AK1814" s="11">
        <v>72.63</v>
      </c>
      <c r="AL1814" s="11"/>
    </row>
    <row r="1815" spans="1:38" x14ac:dyDescent="0.3">
      <c r="A1815" s="9">
        <f>DATE(2024, 1, 9)</f>
        <v>45300</v>
      </c>
      <c r="B1815" s="10">
        <v>77.59</v>
      </c>
      <c r="C1815" s="10">
        <v>77.260000000000005</v>
      </c>
      <c r="D1815" s="10">
        <v>77.03</v>
      </c>
      <c r="E1815" s="10">
        <v>76.81</v>
      </c>
      <c r="F1815" s="10">
        <v>76.540000000000006</v>
      </c>
      <c r="G1815" s="10">
        <v>76.23</v>
      </c>
      <c r="H1815" s="10">
        <v>75.91</v>
      </c>
      <c r="I1815" s="10">
        <v>75.599999999999994</v>
      </c>
      <c r="J1815" s="10">
        <v>75.3</v>
      </c>
      <c r="K1815" s="10">
        <v>74.989999999999995</v>
      </c>
      <c r="L1815" s="10">
        <v>74.680000000000007</v>
      </c>
      <c r="M1815" s="10">
        <v>74.38</v>
      </c>
      <c r="N1815" s="10">
        <v>72.239999999999995</v>
      </c>
      <c r="O1815" s="10">
        <v>72.290000000000006</v>
      </c>
      <c r="P1815" s="10">
        <v>72.33</v>
      </c>
      <c r="Q1815" s="10">
        <v>72.3</v>
      </c>
      <c r="R1815" s="10">
        <v>72.180000000000007</v>
      </c>
      <c r="S1815" s="10">
        <v>71.97</v>
      </c>
      <c r="T1815" s="10">
        <v>71.680000000000007</v>
      </c>
      <c r="U1815" s="10">
        <v>71.34</v>
      </c>
      <c r="V1815" s="10">
        <v>70.97</v>
      </c>
      <c r="W1815" s="10">
        <v>70.63</v>
      </c>
      <c r="X1815" s="10">
        <v>70.28</v>
      </c>
      <c r="Y1815" s="10">
        <v>69.92</v>
      </c>
      <c r="Z1815" s="11">
        <v>77.52</v>
      </c>
      <c r="AA1815" s="11">
        <v>76.968999999999994</v>
      </c>
      <c r="AB1815" s="11">
        <v>76.697000000000003</v>
      </c>
      <c r="AC1815" s="11">
        <v>76.415999999999997</v>
      </c>
      <c r="AD1815" s="11">
        <v>76.081999999999994</v>
      </c>
      <c r="AE1815" s="11">
        <v>75.713999999999999</v>
      </c>
      <c r="AF1815" s="11">
        <v>75.356999999999999</v>
      </c>
      <c r="AG1815" s="11">
        <v>75.006</v>
      </c>
      <c r="AH1815" s="11">
        <v>74.655000000000001</v>
      </c>
      <c r="AI1815" s="11">
        <v>74.307000000000002</v>
      </c>
      <c r="AJ1815" s="11">
        <v>73.936000000000007</v>
      </c>
      <c r="AK1815" s="11">
        <v>73.585999999999999</v>
      </c>
      <c r="AL1815" s="11"/>
    </row>
    <row r="1816" spans="1:38" x14ac:dyDescent="0.3">
      <c r="A1816" s="9">
        <f>DATE(2024, 1, 10)</f>
        <v>45301</v>
      </c>
      <c r="B1816" s="10">
        <v>76.8</v>
      </c>
      <c r="C1816" s="10">
        <v>76.45</v>
      </c>
      <c r="D1816" s="10">
        <v>76.23</v>
      </c>
      <c r="E1816" s="10">
        <v>76.02</v>
      </c>
      <c r="F1816" s="10">
        <v>75.77</v>
      </c>
      <c r="G1816" s="10">
        <v>75.510000000000005</v>
      </c>
      <c r="H1816" s="10">
        <v>75.209999999999994</v>
      </c>
      <c r="I1816" s="10">
        <v>74.92</v>
      </c>
      <c r="J1816" s="10">
        <v>74.64</v>
      </c>
      <c r="K1816" s="10">
        <v>74.34</v>
      </c>
      <c r="L1816" s="10">
        <v>74.040000000000006</v>
      </c>
      <c r="M1816" s="10">
        <v>73.760000000000005</v>
      </c>
      <c r="N1816" s="10">
        <v>71.37</v>
      </c>
      <c r="O1816" s="10">
        <v>71.44</v>
      </c>
      <c r="P1816" s="10">
        <v>71.5</v>
      </c>
      <c r="Q1816" s="10">
        <v>71.540000000000006</v>
      </c>
      <c r="R1816" s="10">
        <v>71.489999999999995</v>
      </c>
      <c r="S1816" s="10">
        <v>71.349999999999994</v>
      </c>
      <c r="T1816" s="10">
        <v>71.12</v>
      </c>
      <c r="U1816" s="10">
        <v>70.83</v>
      </c>
      <c r="V1816" s="10">
        <v>70.5</v>
      </c>
      <c r="W1816" s="10">
        <v>70.180000000000007</v>
      </c>
      <c r="X1816" s="10">
        <v>69.849999999999994</v>
      </c>
      <c r="Y1816" s="10">
        <v>69.5</v>
      </c>
      <c r="Z1816" s="11">
        <v>77.084999999999994</v>
      </c>
      <c r="AA1816" s="11">
        <v>76.262</v>
      </c>
      <c r="AB1816" s="11">
        <v>75.944000000000003</v>
      </c>
      <c r="AC1816" s="11">
        <v>75.644000000000005</v>
      </c>
      <c r="AD1816" s="11">
        <v>75.343999999999994</v>
      </c>
      <c r="AE1816" s="11">
        <v>75.022999999999996</v>
      </c>
      <c r="AF1816" s="11">
        <v>74.682000000000002</v>
      </c>
      <c r="AG1816" s="11">
        <v>74.346999999999994</v>
      </c>
      <c r="AH1816" s="11">
        <v>74.012</v>
      </c>
      <c r="AI1816" s="11">
        <v>73.656999999999996</v>
      </c>
      <c r="AJ1816" s="11">
        <v>73.287000000000006</v>
      </c>
      <c r="AK1816" s="11">
        <v>72.927000000000007</v>
      </c>
      <c r="AL1816" s="11"/>
    </row>
    <row r="1817" spans="1:38" x14ac:dyDescent="0.3">
      <c r="A1817" s="9">
        <f>DATE(2024, 1, 11)</f>
        <v>45302</v>
      </c>
      <c r="B1817" s="10">
        <v>77.41</v>
      </c>
      <c r="C1817" s="10">
        <v>77.11</v>
      </c>
      <c r="D1817" s="10">
        <v>76.92</v>
      </c>
      <c r="E1817" s="10">
        <v>76.73</v>
      </c>
      <c r="F1817" s="10">
        <v>76.489999999999995</v>
      </c>
      <c r="G1817" s="10">
        <v>76.23</v>
      </c>
      <c r="H1817" s="10">
        <v>75.930000000000007</v>
      </c>
      <c r="I1817" s="10">
        <v>75.64</v>
      </c>
      <c r="J1817" s="10">
        <v>75.34</v>
      </c>
      <c r="K1817" s="10">
        <v>75.03</v>
      </c>
      <c r="L1817" s="10">
        <v>74.72</v>
      </c>
      <c r="M1817" s="10">
        <v>74.42</v>
      </c>
      <c r="N1817" s="10">
        <v>72.02</v>
      </c>
      <c r="O1817" s="10">
        <v>72.09</v>
      </c>
      <c r="P1817" s="10">
        <v>72.17</v>
      </c>
      <c r="Q1817" s="10">
        <v>72.209999999999994</v>
      </c>
      <c r="R1817" s="10">
        <v>72.14</v>
      </c>
      <c r="S1817" s="10">
        <v>71.98</v>
      </c>
      <c r="T1817" s="10">
        <v>71.72</v>
      </c>
      <c r="U1817" s="10">
        <v>71.41</v>
      </c>
      <c r="V1817" s="10">
        <v>71.069999999999993</v>
      </c>
      <c r="W1817" s="10">
        <v>70.739999999999995</v>
      </c>
      <c r="X1817" s="10">
        <v>70.400000000000006</v>
      </c>
      <c r="Y1817" s="10">
        <v>70.040000000000006</v>
      </c>
      <c r="Z1817" s="11">
        <v>77.488</v>
      </c>
      <c r="AA1817" s="11">
        <v>76.796000000000006</v>
      </c>
      <c r="AB1817" s="11">
        <v>76.546000000000006</v>
      </c>
      <c r="AC1817" s="11">
        <v>76.287000000000006</v>
      </c>
      <c r="AD1817" s="11">
        <v>75.997</v>
      </c>
      <c r="AE1817" s="11">
        <v>75.686000000000007</v>
      </c>
      <c r="AF1817" s="11">
        <v>75.346999999999994</v>
      </c>
      <c r="AG1817" s="11">
        <v>75.006</v>
      </c>
      <c r="AH1817" s="11">
        <v>74.655000000000001</v>
      </c>
      <c r="AI1817" s="11">
        <v>74.296999999999997</v>
      </c>
      <c r="AJ1817" s="11">
        <v>73.945999999999998</v>
      </c>
      <c r="AK1817" s="11">
        <v>73.585999999999999</v>
      </c>
      <c r="AL1817" s="11"/>
    </row>
    <row r="1818" spans="1:38" x14ac:dyDescent="0.3">
      <c r="A1818" s="9">
        <f>DATE(2024, 1, 12)</f>
        <v>45303</v>
      </c>
      <c r="B1818" s="10">
        <v>78.290000000000006</v>
      </c>
      <c r="C1818" s="10">
        <v>77.97</v>
      </c>
      <c r="D1818" s="10">
        <v>77.77</v>
      </c>
      <c r="E1818" s="10">
        <v>77.56</v>
      </c>
      <c r="F1818" s="10">
        <v>77.31</v>
      </c>
      <c r="G1818" s="10">
        <v>77.040000000000006</v>
      </c>
      <c r="H1818" s="10">
        <v>76.73</v>
      </c>
      <c r="I1818" s="10">
        <v>76.430000000000007</v>
      </c>
      <c r="J1818" s="10">
        <v>76.13</v>
      </c>
      <c r="K1818" s="10">
        <v>75.819999999999993</v>
      </c>
      <c r="L1818" s="10">
        <v>75.510000000000005</v>
      </c>
      <c r="M1818" s="10">
        <v>75.209999999999994</v>
      </c>
      <c r="N1818" s="10">
        <v>72.680000000000007</v>
      </c>
      <c r="O1818" s="10">
        <v>72.790000000000006</v>
      </c>
      <c r="P1818" s="10">
        <v>72.88</v>
      </c>
      <c r="Q1818" s="10">
        <v>72.930000000000007</v>
      </c>
      <c r="R1818" s="10">
        <v>72.87</v>
      </c>
      <c r="S1818" s="10">
        <v>72.7</v>
      </c>
      <c r="T1818" s="10">
        <v>72.44</v>
      </c>
      <c r="U1818" s="10">
        <v>72.11</v>
      </c>
      <c r="V1818" s="10">
        <v>71.760000000000005</v>
      </c>
      <c r="W1818" s="10">
        <v>71.430000000000007</v>
      </c>
      <c r="X1818" s="10">
        <v>71.099999999999994</v>
      </c>
      <c r="Y1818" s="10">
        <v>70.739999999999995</v>
      </c>
      <c r="Z1818" s="11">
        <v>77.930000000000007</v>
      </c>
      <c r="AA1818" s="11">
        <v>77.38</v>
      </c>
      <c r="AB1818" s="11">
        <v>77.218000000000004</v>
      </c>
      <c r="AC1818" s="11">
        <v>76.983999999999995</v>
      </c>
      <c r="AD1818" s="11">
        <v>76.712999999999994</v>
      </c>
      <c r="AE1818" s="11">
        <v>76.405000000000001</v>
      </c>
      <c r="AF1818" s="11">
        <v>76.072000000000003</v>
      </c>
      <c r="AG1818" s="11">
        <v>75.741</v>
      </c>
      <c r="AH1818" s="11">
        <v>75.41</v>
      </c>
      <c r="AI1818" s="11">
        <v>75.072000000000003</v>
      </c>
      <c r="AJ1818" s="11">
        <v>74.721000000000004</v>
      </c>
      <c r="AK1818" s="11">
        <v>74.37</v>
      </c>
      <c r="AL1818" s="11"/>
    </row>
    <row r="1819" spans="1:38" x14ac:dyDescent="0.3">
      <c r="A1819" s="9">
        <f>DATE(2024, 1, 15)</f>
        <v>45306</v>
      </c>
      <c r="B1819" s="10">
        <v>78.150000000000006</v>
      </c>
      <c r="C1819" s="10">
        <v>77.81</v>
      </c>
      <c r="D1819" s="10">
        <v>77.599999999999994</v>
      </c>
      <c r="E1819" s="10">
        <v>77.38</v>
      </c>
      <c r="F1819" s="10">
        <v>77.13</v>
      </c>
      <c r="G1819" s="10">
        <v>76.86</v>
      </c>
      <c r="H1819" s="10">
        <v>76.55</v>
      </c>
      <c r="I1819" s="10">
        <v>76.239999999999995</v>
      </c>
      <c r="J1819" s="10">
        <v>75.94</v>
      </c>
      <c r="K1819" s="10">
        <v>75.62</v>
      </c>
      <c r="L1819" s="10">
        <v>75.3</v>
      </c>
      <c r="M1819" s="10">
        <v>75</v>
      </c>
      <c r="N1819" s="10">
        <v>72.680000000000007</v>
      </c>
      <c r="O1819" s="10">
        <v>72.790000000000006</v>
      </c>
      <c r="P1819" s="10">
        <v>72.88</v>
      </c>
      <c r="Q1819" s="10">
        <v>72.930000000000007</v>
      </c>
      <c r="R1819" s="10">
        <v>72.87</v>
      </c>
      <c r="S1819" s="10">
        <v>72.7</v>
      </c>
      <c r="T1819" s="10">
        <v>72.44</v>
      </c>
      <c r="U1819" s="10">
        <v>72.11</v>
      </c>
      <c r="V1819" s="10">
        <v>71.760000000000005</v>
      </c>
      <c r="W1819" s="10">
        <v>71.430000000000007</v>
      </c>
      <c r="X1819" s="10">
        <v>71.099999999999994</v>
      </c>
      <c r="Y1819" s="10">
        <v>70.739999999999995</v>
      </c>
      <c r="Z1819" s="11">
        <v>77.697000000000003</v>
      </c>
      <c r="AA1819" s="11">
        <v>77.128</v>
      </c>
      <c r="AB1819" s="11">
        <v>76.947999999999993</v>
      </c>
      <c r="AC1819" s="11">
        <v>76.727999999999994</v>
      </c>
      <c r="AD1819" s="11">
        <v>76.462999999999994</v>
      </c>
      <c r="AE1819" s="11">
        <v>76.165000000000006</v>
      </c>
      <c r="AF1819" s="11">
        <v>75.837000000000003</v>
      </c>
      <c r="AG1819" s="11">
        <v>75.506</v>
      </c>
      <c r="AH1819" s="11">
        <v>75.185000000000002</v>
      </c>
      <c r="AI1819" s="11">
        <v>74.835999999999999</v>
      </c>
      <c r="AJ1819" s="11">
        <v>74.475999999999999</v>
      </c>
      <c r="AK1819" s="11">
        <v>74.125</v>
      </c>
      <c r="AL1819" s="11"/>
    </row>
    <row r="1820" spans="1:38" x14ac:dyDescent="0.3">
      <c r="A1820" s="9">
        <f>DATE(2024, 1, 16)</f>
        <v>45307</v>
      </c>
      <c r="B1820" s="10">
        <v>78.290000000000006</v>
      </c>
      <c r="C1820" s="10">
        <v>77.87</v>
      </c>
      <c r="D1820" s="10">
        <v>77.61</v>
      </c>
      <c r="E1820" s="10">
        <v>77.36</v>
      </c>
      <c r="F1820" s="10">
        <v>77.08</v>
      </c>
      <c r="G1820" s="10">
        <v>76.790000000000006</v>
      </c>
      <c r="H1820" s="10">
        <v>76.47</v>
      </c>
      <c r="I1820" s="10">
        <v>76.150000000000006</v>
      </c>
      <c r="J1820" s="10">
        <v>75.83</v>
      </c>
      <c r="K1820" s="10">
        <v>75.5</v>
      </c>
      <c r="L1820" s="10">
        <v>75.17</v>
      </c>
      <c r="M1820" s="10">
        <v>74.86</v>
      </c>
      <c r="N1820" s="10">
        <v>72.400000000000006</v>
      </c>
      <c r="O1820" s="10">
        <v>72.52</v>
      </c>
      <c r="P1820" s="10">
        <v>72.58</v>
      </c>
      <c r="Q1820" s="10">
        <v>72.59</v>
      </c>
      <c r="R1820" s="10">
        <v>72.5</v>
      </c>
      <c r="S1820" s="10">
        <v>72.33</v>
      </c>
      <c r="T1820" s="10">
        <v>72.05</v>
      </c>
      <c r="U1820" s="10">
        <v>71.72</v>
      </c>
      <c r="V1820" s="10">
        <v>71.36</v>
      </c>
      <c r="W1820" s="10">
        <v>71.03</v>
      </c>
      <c r="X1820" s="10">
        <v>70.7</v>
      </c>
      <c r="Y1820" s="10">
        <v>70.34</v>
      </c>
      <c r="Z1820" s="11">
        <v>77.697999999999993</v>
      </c>
      <c r="AA1820" s="11">
        <v>76.998999999999995</v>
      </c>
      <c r="AB1820" s="11">
        <v>76.819000000000003</v>
      </c>
      <c r="AC1820" s="11">
        <v>76.569000000000003</v>
      </c>
      <c r="AD1820" s="11">
        <v>76.278999999999996</v>
      </c>
      <c r="AE1820" s="11">
        <v>75.965999999999994</v>
      </c>
      <c r="AF1820" s="11">
        <v>75.632000000000005</v>
      </c>
      <c r="AG1820" s="11">
        <v>75.305000000000007</v>
      </c>
      <c r="AH1820" s="11">
        <v>74.974000000000004</v>
      </c>
      <c r="AI1820" s="11">
        <v>74.634</v>
      </c>
      <c r="AJ1820" s="11">
        <v>74.275000000000006</v>
      </c>
      <c r="AK1820" s="11">
        <v>73.905000000000001</v>
      </c>
      <c r="AL1820" s="11"/>
    </row>
    <row r="1821" spans="1:38" x14ac:dyDescent="0.3">
      <c r="A1821" s="9">
        <f>DATE(2024, 1, 17)</f>
        <v>45308</v>
      </c>
      <c r="B1821" s="10">
        <v>77.88</v>
      </c>
      <c r="C1821" s="10">
        <v>77.489999999999995</v>
      </c>
      <c r="D1821" s="10">
        <v>77.260000000000005</v>
      </c>
      <c r="E1821" s="10">
        <v>77.03</v>
      </c>
      <c r="F1821" s="10">
        <v>76.77</v>
      </c>
      <c r="G1821" s="10">
        <v>76.489999999999995</v>
      </c>
      <c r="H1821" s="10">
        <v>76.17</v>
      </c>
      <c r="I1821" s="10">
        <v>75.86</v>
      </c>
      <c r="J1821" s="10">
        <v>75.55</v>
      </c>
      <c r="K1821" s="10">
        <v>75.23</v>
      </c>
      <c r="L1821" s="10">
        <v>74.92</v>
      </c>
      <c r="M1821" s="10">
        <v>74.62</v>
      </c>
      <c r="N1821" s="10">
        <v>72.56</v>
      </c>
      <c r="O1821" s="10">
        <v>72.48</v>
      </c>
      <c r="P1821" s="10">
        <v>72.459999999999994</v>
      </c>
      <c r="Q1821" s="10">
        <v>72.41</v>
      </c>
      <c r="R1821" s="10">
        <v>72.28</v>
      </c>
      <c r="S1821" s="10">
        <v>72.09</v>
      </c>
      <c r="T1821" s="10">
        <v>71.8</v>
      </c>
      <c r="U1821" s="10">
        <v>71.459999999999994</v>
      </c>
      <c r="V1821" s="10">
        <v>71.099999999999994</v>
      </c>
      <c r="W1821" s="10">
        <v>70.760000000000005</v>
      </c>
      <c r="X1821" s="10">
        <v>70.430000000000007</v>
      </c>
      <c r="Y1821" s="10">
        <v>70.08</v>
      </c>
      <c r="Z1821" s="11">
        <v>77.472999999999999</v>
      </c>
      <c r="AA1821" s="11">
        <v>76.597999999999999</v>
      </c>
      <c r="AB1821" s="11">
        <v>76.406000000000006</v>
      </c>
      <c r="AC1821" s="11">
        <v>76.191999999999993</v>
      </c>
      <c r="AD1821" s="11">
        <v>75.903000000000006</v>
      </c>
      <c r="AE1821" s="11">
        <v>75.608999999999995</v>
      </c>
      <c r="AF1821" s="11">
        <v>75.302000000000007</v>
      </c>
      <c r="AG1821" s="11">
        <v>74.986000000000004</v>
      </c>
      <c r="AH1821" s="11">
        <v>74.665000000000006</v>
      </c>
      <c r="AI1821" s="11">
        <v>74.316999999999993</v>
      </c>
      <c r="AJ1821" s="11">
        <v>73.980999999999995</v>
      </c>
      <c r="AK1821" s="11">
        <v>73.646000000000001</v>
      </c>
      <c r="AL1821" s="11"/>
    </row>
    <row r="1822" spans="1:38" x14ac:dyDescent="0.3">
      <c r="A1822" s="9">
        <f>DATE(2024, 1, 18)</f>
        <v>45309</v>
      </c>
      <c r="B1822" s="10">
        <v>79.099999999999994</v>
      </c>
      <c r="C1822" s="10">
        <v>78.650000000000006</v>
      </c>
      <c r="D1822" s="10">
        <v>78.39</v>
      </c>
      <c r="E1822" s="10">
        <v>78.14</v>
      </c>
      <c r="F1822" s="10">
        <v>77.84</v>
      </c>
      <c r="G1822" s="10">
        <v>77.53</v>
      </c>
      <c r="H1822" s="10">
        <v>77.19</v>
      </c>
      <c r="I1822" s="10">
        <v>76.849999999999994</v>
      </c>
      <c r="J1822" s="10">
        <v>76.5</v>
      </c>
      <c r="K1822" s="10">
        <v>76.150000000000006</v>
      </c>
      <c r="L1822" s="10">
        <v>75.8</v>
      </c>
      <c r="M1822" s="10">
        <v>75.47</v>
      </c>
      <c r="N1822" s="10">
        <v>74.08</v>
      </c>
      <c r="O1822" s="10">
        <v>73.95</v>
      </c>
      <c r="P1822" s="10">
        <v>73.83</v>
      </c>
      <c r="Q1822" s="10">
        <v>73.7</v>
      </c>
      <c r="R1822" s="10">
        <v>73.5</v>
      </c>
      <c r="S1822" s="10">
        <v>73.25</v>
      </c>
      <c r="T1822" s="10">
        <v>72.900000000000006</v>
      </c>
      <c r="U1822" s="10">
        <v>72.52</v>
      </c>
      <c r="V1822" s="10">
        <v>72.12</v>
      </c>
      <c r="W1822" s="10">
        <v>71.760000000000005</v>
      </c>
      <c r="X1822" s="10">
        <v>71.42</v>
      </c>
      <c r="Y1822" s="10">
        <v>71.040000000000006</v>
      </c>
      <c r="Z1822" s="11">
        <v>77.930999999999997</v>
      </c>
      <c r="AA1822" s="11">
        <v>77.849000000000004</v>
      </c>
      <c r="AB1822" s="11">
        <v>77.593000000000004</v>
      </c>
      <c r="AC1822" s="11">
        <v>77.335999999999999</v>
      </c>
      <c r="AD1822" s="11">
        <v>77.001999999999995</v>
      </c>
      <c r="AE1822" s="11">
        <v>76.658000000000001</v>
      </c>
      <c r="AF1822" s="11">
        <v>76.319999999999993</v>
      </c>
      <c r="AG1822" s="11">
        <v>75.97</v>
      </c>
      <c r="AH1822" s="11">
        <v>75.62</v>
      </c>
      <c r="AI1822" s="11">
        <v>75.224999999999994</v>
      </c>
      <c r="AJ1822" s="11">
        <v>74.834000000000003</v>
      </c>
      <c r="AK1822" s="11">
        <v>74.474000000000004</v>
      </c>
      <c r="AL1822" s="11"/>
    </row>
    <row r="1823" spans="1:38" x14ac:dyDescent="0.3">
      <c r="A1823" s="9">
        <f>DATE(2024, 1, 19)</f>
        <v>45310</v>
      </c>
      <c r="B1823" s="10">
        <v>78.56</v>
      </c>
      <c r="C1823" s="10">
        <v>78.08</v>
      </c>
      <c r="D1823" s="10">
        <v>77.790000000000006</v>
      </c>
      <c r="E1823" s="10">
        <v>77.53</v>
      </c>
      <c r="F1823" s="10">
        <v>77.239999999999995</v>
      </c>
      <c r="G1823" s="10">
        <v>76.92</v>
      </c>
      <c r="H1823" s="10">
        <v>76.569999999999993</v>
      </c>
      <c r="I1823" s="10">
        <v>76.209999999999994</v>
      </c>
      <c r="J1823" s="10">
        <v>75.86</v>
      </c>
      <c r="K1823" s="10">
        <v>75.510000000000005</v>
      </c>
      <c r="L1823" s="10">
        <v>75.16</v>
      </c>
      <c r="M1823" s="10">
        <v>74.84</v>
      </c>
      <c r="N1823" s="10">
        <v>73.41</v>
      </c>
      <c r="O1823" s="10">
        <v>73.25</v>
      </c>
      <c r="P1823" s="10">
        <v>73.12</v>
      </c>
      <c r="Q1823" s="10">
        <v>72.989999999999995</v>
      </c>
      <c r="R1823" s="10">
        <v>72.8</v>
      </c>
      <c r="S1823" s="10">
        <v>72.540000000000006</v>
      </c>
      <c r="T1823" s="10">
        <v>72.209999999999994</v>
      </c>
      <c r="U1823" s="10">
        <v>71.819999999999993</v>
      </c>
      <c r="V1823" s="10">
        <v>71.42</v>
      </c>
      <c r="W1823" s="10">
        <v>71.069999999999993</v>
      </c>
      <c r="X1823" s="10">
        <v>70.72</v>
      </c>
      <c r="Y1823" s="10">
        <v>70.34</v>
      </c>
      <c r="Z1823" s="11">
        <v>77.802999999999997</v>
      </c>
      <c r="AA1823" s="11">
        <v>77.355000000000004</v>
      </c>
      <c r="AB1823" s="11">
        <v>77.093999999999994</v>
      </c>
      <c r="AC1823" s="11">
        <v>76.837000000000003</v>
      </c>
      <c r="AD1823" s="11">
        <v>76.501000000000005</v>
      </c>
      <c r="AE1823" s="11">
        <v>76.158000000000001</v>
      </c>
      <c r="AF1823" s="11">
        <v>75.804000000000002</v>
      </c>
      <c r="AG1823" s="11">
        <v>75.444000000000003</v>
      </c>
      <c r="AH1823" s="11">
        <v>75.082999999999998</v>
      </c>
      <c r="AI1823" s="11">
        <v>74.7</v>
      </c>
      <c r="AJ1823" s="11">
        <v>74.325000000000003</v>
      </c>
      <c r="AK1823" s="11">
        <v>73.963999999999999</v>
      </c>
      <c r="AL1823" s="11"/>
    </row>
    <row r="1824" spans="1:38" x14ac:dyDescent="0.3">
      <c r="A1824" s="9">
        <f>DATE(2024, 1, 22)</f>
        <v>45313</v>
      </c>
      <c r="B1824" s="10">
        <v>80.06</v>
      </c>
      <c r="C1824" s="10">
        <v>79.599999999999994</v>
      </c>
      <c r="D1824" s="10">
        <v>79.319999999999993</v>
      </c>
      <c r="E1824" s="10">
        <v>79.06</v>
      </c>
      <c r="F1824" s="10">
        <v>78.760000000000005</v>
      </c>
      <c r="G1824" s="10">
        <v>78.44</v>
      </c>
      <c r="H1824" s="10">
        <v>78.08</v>
      </c>
      <c r="I1824" s="10">
        <v>77.72</v>
      </c>
      <c r="J1824" s="10">
        <v>77.349999999999994</v>
      </c>
      <c r="K1824" s="10">
        <v>76.98</v>
      </c>
      <c r="L1824" s="10">
        <v>76.62</v>
      </c>
      <c r="M1824" s="10">
        <v>76.28</v>
      </c>
      <c r="N1824" s="10">
        <v>75.19</v>
      </c>
      <c r="O1824" s="10">
        <v>74.760000000000005</v>
      </c>
      <c r="P1824" s="10">
        <v>74.650000000000006</v>
      </c>
      <c r="Q1824" s="10">
        <v>74.540000000000006</v>
      </c>
      <c r="R1824" s="10">
        <v>74.349999999999994</v>
      </c>
      <c r="S1824" s="10">
        <v>74.099999999999994</v>
      </c>
      <c r="T1824" s="10">
        <v>73.760000000000005</v>
      </c>
      <c r="U1824" s="10">
        <v>73.37</v>
      </c>
      <c r="V1824" s="10">
        <v>72.97</v>
      </c>
      <c r="W1824" s="10">
        <v>72.599999999999994</v>
      </c>
      <c r="X1824" s="10">
        <v>72.2</v>
      </c>
      <c r="Y1824" s="10">
        <v>71.81</v>
      </c>
      <c r="Z1824" s="11">
        <v>78.325000000000003</v>
      </c>
      <c r="AA1824" s="11">
        <v>78.897000000000006</v>
      </c>
      <c r="AB1824" s="11">
        <v>78.656999999999996</v>
      </c>
      <c r="AC1824" s="11">
        <v>78.396000000000001</v>
      </c>
      <c r="AD1824" s="11">
        <v>78.055999999999997</v>
      </c>
      <c r="AE1824" s="11">
        <v>77.706999999999994</v>
      </c>
      <c r="AF1824" s="11">
        <v>77.338999999999999</v>
      </c>
      <c r="AG1824" s="11">
        <v>76.972999999999999</v>
      </c>
      <c r="AH1824" s="11">
        <v>76.602000000000004</v>
      </c>
      <c r="AI1824" s="11">
        <v>76.213999999999999</v>
      </c>
      <c r="AJ1824" s="11">
        <v>75.823999999999998</v>
      </c>
      <c r="AK1824" s="11">
        <v>75.451999999999998</v>
      </c>
      <c r="AL1824" s="11"/>
    </row>
    <row r="1825" spans="1:38" x14ac:dyDescent="0.3">
      <c r="A1825" s="9">
        <f>DATE(2024, 1, 23)</f>
        <v>45314</v>
      </c>
      <c r="B1825" s="10">
        <v>79.55</v>
      </c>
      <c r="C1825" s="10">
        <v>79.11</v>
      </c>
      <c r="D1825" s="10">
        <v>78.849999999999994</v>
      </c>
      <c r="E1825" s="10">
        <v>78.62</v>
      </c>
      <c r="F1825" s="10">
        <v>78.349999999999994</v>
      </c>
      <c r="G1825" s="10">
        <v>78.040000000000006</v>
      </c>
      <c r="H1825" s="10">
        <v>77.709999999999994</v>
      </c>
      <c r="I1825" s="10">
        <v>77.36</v>
      </c>
      <c r="J1825" s="10">
        <v>77.010000000000005</v>
      </c>
      <c r="K1825" s="10">
        <v>76.650000000000006</v>
      </c>
      <c r="L1825" s="10">
        <v>76.290000000000006</v>
      </c>
      <c r="M1825" s="10">
        <v>75.959999999999994</v>
      </c>
      <c r="N1825" s="10">
        <v>74.37</v>
      </c>
      <c r="O1825" s="10">
        <v>74.27</v>
      </c>
      <c r="P1825" s="10">
        <v>74.16</v>
      </c>
      <c r="Q1825" s="10">
        <v>73.98</v>
      </c>
      <c r="R1825" s="10">
        <v>73.73</v>
      </c>
      <c r="S1825" s="10">
        <v>73.400000000000006</v>
      </c>
      <c r="T1825" s="10">
        <v>73.03</v>
      </c>
      <c r="U1825" s="10">
        <v>72.63</v>
      </c>
      <c r="V1825" s="10">
        <v>72.260000000000005</v>
      </c>
      <c r="W1825" s="10">
        <v>71.88</v>
      </c>
      <c r="X1825" s="10">
        <v>71.48</v>
      </c>
      <c r="Y1825" s="10">
        <v>71.099999999999994</v>
      </c>
      <c r="Z1825" s="11">
        <v>78.206000000000003</v>
      </c>
      <c r="AA1825" s="11">
        <v>78.468999999999994</v>
      </c>
      <c r="AB1825" s="11">
        <v>78.227999999999994</v>
      </c>
      <c r="AC1825" s="11">
        <v>77.984999999999999</v>
      </c>
      <c r="AD1825" s="11">
        <v>77.656000000000006</v>
      </c>
      <c r="AE1825" s="11">
        <v>77.316000000000003</v>
      </c>
      <c r="AF1825" s="11">
        <v>76.965999999999994</v>
      </c>
      <c r="AG1825" s="11">
        <v>76.614000000000004</v>
      </c>
      <c r="AH1825" s="11">
        <v>76.253</v>
      </c>
      <c r="AI1825" s="11">
        <v>75.873999999999995</v>
      </c>
      <c r="AJ1825" s="11">
        <v>75.494</v>
      </c>
      <c r="AK1825" s="11">
        <v>75.123000000000005</v>
      </c>
      <c r="AL1825" s="11"/>
    </row>
    <row r="1826" spans="1:38" x14ac:dyDescent="0.3">
      <c r="A1826" s="9">
        <f>DATE(2024, 1, 24)</f>
        <v>45315</v>
      </c>
      <c r="B1826" s="10">
        <v>80.040000000000006</v>
      </c>
      <c r="C1826" s="10">
        <v>79.63</v>
      </c>
      <c r="D1826" s="10">
        <v>79.38</v>
      </c>
      <c r="E1826" s="10">
        <v>79.13</v>
      </c>
      <c r="F1826" s="10">
        <v>78.83</v>
      </c>
      <c r="G1826" s="10">
        <v>78.5</v>
      </c>
      <c r="H1826" s="10">
        <v>78.13</v>
      </c>
      <c r="I1826" s="10">
        <v>77.760000000000005</v>
      </c>
      <c r="J1826" s="10">
        <v>77.39</v>
      </c>
      <c r="K1826" s="10">
        <v>77.010000000000005</v>
      </c>
      <c r="L1826" s="10">
        <v>76.64</v>
      </c>
      <c r="M1826" s="10">
        <v>76.3</v>
      </c>
      <c r="N1826" s="10">
        <v>75.09</v>
      </c>
      <c r="O1826" s="10">
        <v>74.98</v>
      </c>
      <c r="P1826" s="10">
        <v>74.849999999999994</v>
      </c>
      <c r="Q1826" s="10">
        <v>74.64</v>
      </c>
      <c r="R1826" s="10">
        <v>74.349999999999994</v>
      </c>
      <c r="S1826" s="10">
        <v>73.98</v>
      </c>
      <c r="T1826" s="10">
        <v>73.56</v>
      </c>
      <c r="U1826" s="10">
        <v>73.13</v>
      </c>
      <c r="V1826" s="10">
        <v>72.739999999999995</v>
      </c>
      <c r="W1826" s="10">
        <v>72.349999999999994</v>
      </c>
      <c r="X1826" s="10">
        <v>71.94</v>
      </c>
      <c r="Y1826" s="10">
        <v>71.55</v>
      </c>
      <c r="Z1826" s="11">
        <v>78.373999999999995</v>
      </c>
      <c r="AA1826" s="11">
        <v>79.129000000000005</v>
      </c>
      <c r="AB1826" s="11">
        <v>78.870999999999995</v>
      </c>
      <c r="AC1826" s="11">
        <v>78.581000000000003</v>
      </c>
      <c r="AD1826" s="11">
        <v>78.209000000000003</v>
      </c>
      <c r="AE1826" s="11">
        <v>77.825000000000003</v>
      </c>
      <c r="AF1826" s="11">
        <v>77.433999999999997</v>
      </c>
      <c r="AG1826" s="11">
        <v>77.043000000000006</v>
      </c>
      <c r="AH1826" s="11">
        <v>76.652000000000001</v>
      </c>
      <c r="AI1826" s="11">
        <v>76.254000000000005</v>
      </c>
      <c r="AJ1826" s="11">
        <v>75.853999999999999</v>
      </c>
      <c r="AK1826" s="11">
        <v>75.462000000000003</v>
      </c>
      <c r="AL1826" s="11"/>
    </row>
    <row r="1827" spans="1:38" x14ac:dyDescent="0.3">
      <c r="A1827" s="9">
        <f>DATE(2024, 1, 25)</f>
        <v>45316</v>
      </c>
      <c r="B1827" s="10">
        <v>82.43</v>
      </c>
      <c r="C1827" s="10">
        <v>81.96</v>
      </c>
      <c r="D1827" s="10">
        <v>81.63</v>
      </c>
      <c r="E1827" s="10">
        <v>81.290000000000006</v>
      </c>
      <c r="F1827" s="10">
        <v>80.89</v>
      </c>
      <c r="G1827" s="10">
        <v>80.45</v>
      </c>
      <c r="H1827" s="10">
        <v>79.989999999999995</v>
      </c>
      <c r="I1827" s="10">
        <v>79.53</v>
      </c>
      <c r="J1827" s="10">
        <v>79.09</v>
      </c>
      <c r="K1827" s="10">
        <v>78.64</v>
      </c>
      <c r="L1827" s="10">
        <v>78.209999999999994</v>
      </c>
      <c r="M1827" s="10">
        <v>77.819999999999993</v>
      </c>
      <c r="N1827" s="10">
        <v>77.36</v>
      </c>
      <c r="O1827" s="10">
        <v>77.19</v>
      </c>
      <c r="P1827" s="10">
        <v>77.010000000000005</v>
      </c>
      <c r="Q1827" s="10">
        <v>76.72</v>
      </c>
      <c r="R1827" s="10">
        <v>76.34</v>
      </c>
      <c r="S1827" s="10">
        <v>75.88</v>
      </c>
      <c r="T1827" s="10">
        <v>75.38</v>
      </c>
      <c r="U1827" s="10">
        <v>74.87</v>
      </c>
      <c r="V1827" s="10">
        <v>74.42</v>
      </c>
      <c r="W1827" s="10">
        <v>73.97</v>
      </c>
      <c r="X1827" s="10">
        <v>73.5</v>
      </c>
      <c r="Y1827" s="10">
        <v>73.06</v>
      </c>
      <c r="Z1827" s="11">
        <v>78.804000000000002</v>
      </c>
      <c r="AA1827" s="11">
        <v>81.328999999999994</v>
      </c>
      <c r="AB1827" s="11">
        <v>81.048000000000002</v>
      </c>
      <c r="AC1827" s="11">
        <v>80.707999999999998</v>
      </c>
      <c r="AD1827" s="11">
        <v>80.289000000000001</v>
      </c>
      <c r="AE1827" s="11">
        <v>79.819999999999993</v>
      </c>
      <c r="AF1827" s="11">
        <v>79.332999999999998</v>
      </c>
      <c r="AG1827" s="11">
        <v>78.852999999999994</v>
      </c>
      <c r="AH1827" s="11">
        <v>78.382000000000005</v>
      </c>
      <c r="AI1827" s="11">
        <v>77.894000000000005</v>
      </c>
      <c r="AJ1827" s="11">
        <v>77.411000000000001</v>
      </c>
      <c r="AK1827" s="11">
        <v>76.968000000000004</v>
      </c>
      <c r="AL1827" s="11"/>
    </row>
    <row r="1828" spans="1:38" x14ac:dyDescent="0.3">
      <c r="A1828" s="9">
        <f>DATE(2024, 1, 26)</f>
        <v>45317</v>
      </c>
      <c r="B1828" s="10">
        <v>83.55</v>
      </c>
      <c r="C1828" s="10">
        <v>82.95</v>
      </c>
      <c r="D1828" s="10">
        <v>82.52</v>
      </c>
      <c r="E1828" s="10">
        <v>82.13</v>
      </c>
      <c r="F1828" s="10">
        <v>81.709999999999994</v>
      </c>
      <c r="G1828" s="10">
        <v>81.27</v>
      </c>
      <c r="H1828" s="10">
        <v>80.790000000000006</v>
      </c>
      <c r="I1828" s="10">
        <v>80.31</v>
      </c>
      <c r="J1828" s="10">
        <v>79.84</v>
      </c>
      <c r="K1828" s="10">
        <v>79.37</v>
      </c>
      <c r="L1828" s="10">
        <v>78.92</v>
      </c>
      <c r="M1828" s="10">
        <v>78.510000000000005</v>
      </c>
      <c r="N1828" s="10">
        <v>78.010000000000005</v>
      </c>
      <c r="O1828" s="10">
        <v>77.86</v>
      </c>
      <c r="P1828" s="10">
        <v>77.680000000000007</v>
      </c>
      <c r="Q1828" s="10">
        <v>77.39</v>
      </c>
      <c r="R1828" s="10">
        <v>77</v>
      </c>
      <c r="S1828" s="10">
        <v>76.52</v>
      </c>
      <c r="T1828" s="10">
        <v>75.989999999999995</v>
      </c>
      <c r="U1828" s="10">
        <v>75.459999999999994</v>
      </c>
      <c r="V1828" s="10">
        <v>74.989999999999995</v>
      </c>
      <c r="W1828" s="10">
        <v>74.52</v>
      </c>
      <c r="X1828" s="10">
        <v>74.040000000000006</v>
      </c>
      <c r="Y1828" s="10">
        <v>73.59</v>
      </c>
      <c r="Z1828" s="11">
        <v>78.902000000000001</v>
      </c>
      <c r="AA1828" s="11">
        <v>82.191000000000003</v>
      </c>
      <c r="AB1828" s="11">
        <v>81.912000000000006</v>
      </c>
      <c r="AC1828" s="11">
        <v>81.551000000000002</v>
      </c>
      <c r="AD1828" s="11">
        <v>81.081000000000003</v>
      </c>
      <c r="AE1828" s="11">
        <v>80.585999999999999</v>
      </c>
      <c r="AF1828" s="11">
        <v>80.088999999999999</v>
      </c>
      <c r="AG1828" s="11">
        <v>79.588999999999999</v>
      </c>
      <c r="AH1828" s="11">
        <v>79.108000000000004</v>
      </c>
      <c r="AI1828" s="11">
        <v>78.62</v>
      </c>
      <c r="AJ1828" s="11">
        <v>78.14</v>
      </c>
      <c r="AK1828" s="11">
        <v>77.677000000000007</v>
      </c>
      <c r="AL1828" s="11"/>
    </row>
    <row r="1829" spans="1:38" x14ac:dyDescent="0.3">
      <c r="A1829" s="9">
        <f>DATE(2024, 1, 29)</f>
        <v>45320</v>
      </c>
      <c r="B1829" s="10">
        <v>82.4</v>
      </c>
      <c r="C1829" s="10">
        <v>81.83</v>
      </c>
      <c r="D1829" s="10">
        <v>81.45</v>
      </c>
      <c r="E1829" s="10">
        <v>81.08</v>
      </c>
      <c r="F1829" s="10">
        <v>80.680000000000007</v>
      </c>
      <c r="G1829" s="10">
        <v>80.25</v>
      </c>
      <c r="H1829" s="10">
        <v>79.78</v>
      </c>
      <c r="I1829" s="10">
        <v>79.319999999999993</v>
      </c>
      <c r="J1829" s="10">
        <v>78.86</v>
      </c>
      <c r="K1829" s="10">
        <v>78.41</v>
      </c>
      <c r="L1829" s="10">
        <v>77.97</v>
      </c>
      <c r="M1829" s="10">
        <v>77.56</v>
      </c>
      <c r="N1829" s="10">
        <v>76.78</v>
      </c>
      <c r="O1829" s="10">
        <v>76.67</v>
      </c>
      <c r="P1829" s="10">
        <v>76.55</v>
      </c>
      <c r="Q1829" s="10">
        <v>76.33</v>
      </c>
      <c r="R1829" s="10">
        <v>76</v>
      </c>
      <c r="S1829" s="10">
        <v>75.56</v>
      </c>
      <c r="T1829" s="10">
        <v>75.06</v>
      </c>
      <c r="U1829" s="10">
        <v>74.55</v>
      </c>
      <c r="V1829" s="10">
        <v>74.08</v>
      </c>
      <c r="W1829" s="10">
        <v>73.62</v>
      </c>
      <c r="X1829" s="10">
        <v>73.150000000000006</v>
      </c>
      <c r="Y1829" s="10">
        <v>72.709999999999994</v>
      </c>
      <c r="Z1829" s="11">
        <v>78.820999999999998</v>
      </c>
      <c r="AA1829" s="11">
        <v>81.122</v>
      </c>
      <c r="AB1829" s="11">
        <v>80.852000000000004</v>
      </c>
      <c r="AC1829" s="11">
        <v>80.462999999999994</v>
      </c>
      <c r="AD1829" s="11">
        <v>80.010999999999996</v>
      </c>
      <c r="AE1829" s="11">
        <v>79.527000000000001</v>
      </c>
      <c r="AF1829" s="11">
        <v>79.040000000000006</v>
      </c>
      <c r="AG1829" s="11">
        <v>78.569000000000003</v>
      </c>
      <c r="AH1829" s="11">
        <v>78.108999999999995</v>
      </c>
      <c r="AI1829" s="11">
        <v>77.641000000000005</v>
      </c>
      <c r="AJ1829" s="11">
        <v>77.17</v>
      </c>
      <c r="AK1829" s="11">
        <v>76.727999999999994</v>
      </c>
      <c r="AL1829" s="11"/>
    </row>
    <row r="1830" spans="1:38" x14ac:dyDescent="0.3">
      <c r="A1830" s="9">
        <f>DATE(2024, 1, 30)</f>
        <v>45321</v>
      </c>
      <c r="B1830" s="10">
        <v>82.87</v>
      </c>
      <c r="C1830" s="10">
        <v>82.5</v>
      </c>
      <c r="D1830" s="10">
        <v>82.13</v>
      </c>
      <c r="E1830" s="10">
        <v>81.75</v>
      </c>
      <c r="F1830" s="10">
        <v>81.36</v>
      </c>
      <c r="G1830" s="10">
        <v>80.94</v>
      </c>
      <c r="H1830" s="10">
        <v>80.48</v>
      </c>
      <c r="I1830" s="10">
        <v>80.02</v>
      </c>
      <c r="J1830" s="10">
        <v>79.569999999999993</v>
      </c>
      <c r="K1830" s="10">
        <v>79.11</v>
      </c>
      <c r="L1830" s="10">
        <v>78.67</v>
      </c>
      <c r="M1830" s="10">
        <v>78.25</v>
      </c>
      <c r="N1830" s="10">
        <v>77.819999999999993</v>
      </c>
      <c r="O1830" s="10">
        <v>77.650000000000006</v>
      </c>
      <c r="P1830" s="10">
        <v>77.48</v>
      </c>
      <c r="Q1830" s="10">
        <v>77.22</v>
      </c>
      <c r="R1830" s="10">
        <v>76.87</v>
      </c>
      <c r="S1830" s="10">
        <v>76.41</v>
      </c>
      <c r="T1830" s="10">
        <v>75.92</v>
      </c>
      <c r="U1830" s="10">
        <v>75.41</v>
      </c>
      <c r="V1830" s="10">
        <v>74.94</v>
      </c>
      <c r="W1830" s="10">
        <v>74.47</v>
      </c>
      <c r="X1830" s="10">
        <v>73.98</v>
      </c>
      <c r="Y1830" s="10">
        <v>73.53</v>
      </c>
      <c r="Z1830" s="11">
        <v>78.856999999999999</v>
      </c>
      <c r="AA1830" s="11">
        <v>81.867000000000004</v>
      </c>
      <c r="AB1830" s="11">
        <v>81.581000000000003</v>
      </c>
      <c r="AC1830" s="11">
        <v>81.137</v>
      </c>
      <c r="AD1830" s="11">
        <v>80.686999999999998</v>
      </c>
      <c r="AE1830" s="11">
        <v>80.224999999999994</v>
      </c>
      <c r="AF1830" s="11">
        <v>79.754999999999995</v>
      </c>
      <c r="AG1830" s="11">
        <v>79.292000000000002</v>
      </c>
      <c r="AH1830" s="11">
        <v>78.832999999999998</v>
      </c>
      <c r="AI1830" s="11">
        <v>78.355999999999995</v>
      </c>
      <c r="AJ1830" s="11">
        <v>77.89</v>
      </c>
      <c r="AK1830" s="11">
        <v>77.421999999999997</v>
      </c>
      <c r="AL1830" s="11"/>
    </row>
    <row r="1831" spans="1:38" x14ac:dyDescent="0.3">
      <c r="A1831" s="9">
        <f>DATE(2024, 1, 31)</f>
        <v>45322</v>
      </c>
      <c r="B1831" s="10">
        <v>81.709999999999994</v>
      </c>
      <c r="C1831" s="10">
        <v>80.55</v>
      </c>
      <c r="D1831" s="10">
        <v>80.27</v>
      </c>
      <c r="E1831" s="10">
        <v>79.95</v>
      </c>
      <c r="F1831" s="10">
        <v>79.58</v>
      </c>
      <c r="G1831" s="10">
        <v>79.19</v>
      </c>
      <c r="H1831" s="10">
        <v>78.77</v>
      </c>
      <c r="I1831" s="10">
        <v>78.34</v>
      </c>
      <c r="J1831" s="10">
        <v>77.92</v>
      </c>
      <c r="K1831" s="10">
        <v>77.5</v>
      </c>
      <c r="L1831" s="10">
        <v>77.08</v>
      </c>
      <c r="M1831" s="10">
        <v>76.7</v>
      </c>
      <c r="N1831" s="10">
        <v>75.849999999999994</v>
      </c>
      <c r="O1831" s="10">
        <v>75.709999999999994</v>
      </c>
      <c r="P1831" s="10">
        <v>75.56</v>
      </c>
      <c r="Q1831" s="10">
        <v>75.349999999999994</v>
      </c>
      <c r="R1831" s="10">
        <v>75.040000000000006</v>
      </c>
      <c r="S1831" s="10">
        <v>74.64</v>
      </c>
      <c r="T1831" s="10">
        <v>74.2</v>
      </c>
      <c r="U1831" s="10">
        <v>73.739999999999995</v>
      </c>
      <c r="V1831" s="10">
        <v>73.319999999999993</v>
      </c>
      <c r="W1831" s="10">
        <v>72.89</v>
      </c>
      <c r="X1831" s="10">
        <v>72.45</v>
      </c>
      <c r="Y1831" s="10">
        <v>72.03</v>
      </c>
      <c r="Z1831" s="11">
        <v>78.846999999999994</v>
      </c>
      <c r="AA1831" s="11">
        <v>80.147000000000006</v>
      </c>
      <c r="AB1831" s="11">
        <v>79.834000000000003</v>
      </c>
      <c r="AC1831" s="11">
        <v>79.387</v>
      </c>
      <c r="AD1831" s="11">
        <v>78.947999999999993</v>
      </c>
      <c r="AE1831" s="11">
        <v>78.503</v>
      </c>
      <c r="AF1831" s="11">
        <v>78.058000000000007</v>
      </c>
      <c r="AG1831" s="11">
        <v>77.617999999999995</v>
      </c>
      <c r="AH1831" s="11">
        <v>77.180000000000007</v>
      </c>
      <c r="AI1831" s="11">
        <v>76.731999999999999</v>
      </c>
      <c r="AJ1831" s="11">
        <v>76.272000000000006</v>
      </c>
      <c r="AK1831" s="11">
        <v>75.83</v>
      </c>
      <c r="AL1831" s="11"/>
    </row>
    <row r="1832" spans="1:38" x14ac:dyDescent="0.3">
      <c r="A1832" s="9">
        <f>DATE(2024, 2, 1)</f>
        <v>45323</v>
      </c>
      <c r="B1832" s="10">
        <v>78.7</v>
      </c>
      <c r="C1832" s="10">
        <v>78.41</v>
      </c>
      <c r="D1832" s="10">
        <v>78.11</v>
      </c>
      <c r="E1832" s="10">
        <v>77.78</v>
      </c>
      <c r="F1832" s="10">
        <v>77.430000000000007</v>
      </c>
      <c r="G1832" s="10">
        <v>77.040000000000006</v>
      </c>
      <c r="H1832" s="10">
        <v>76.63</v>
      </c>
      <c r="I1832" s="10">
        <v>76.23</v>
      </c>
      <c r="J1832" s="10">
        <v>75.819999999999993</v>
      </c>
      <c r="K1832" s="10">
        <v>75.430000000000007</v>
      </c>
      <c r="L1832" s="10">
        <v>75.06</v>
      </c>
      <c r="M1832" s="10">
        <v>74.760000000000005</v>
      </c>
      <c r="N1832" s="10">
        <v>73.819999999999993</v>
      </c>
      <c r="O1832" s="10">
        <v>73.790000000000006</v>
      </c>
      <c r="P1832" s="10">
        <v>73.7</v>
      </c>
      <c r="Q1832" s="10">
        <v>73.540000000000006</v>
      </c>
      <c r="R1832" s="10">
        <v>73.28</v>
      </c>
      <c r="S1832" s="10">
        <v>72.91</v>
      </c>
      <c r="T1832" s="10">
        <v>72.489999999999995</v>
      </c>
      <c r="U1832" s="10">
        <v>72.06</v>
      </c>
      <c r="V1832" s="10">
        <v>71.66</v>
      </c>
      <c r="W1832" s="10">
        <v>71.25</v>
      </c>
      <c r="X1832" s="10">
        <v>70.83</v>
      </c>
      <c r="Y1832" s="10">
        <v>70.430000000000007</v>
      </c>
      <c r="Z1832" s="11">
        <v>78.846999999999994</v>
      </c>
      <c r="AA1832" s="11">
        <v>78.557000000000002</v>
      </c>
      <c r="AB1832" s="11">
        <v>78.204999999999998</v>
      </c>
      <c r="AC1832" s="11">
        <v>77.724999999999994</v>
      </c>
      <c r="AD1832" s="11">
        <v>77.260000000000005</v>
      </c>
      <c r="AE1832" s="11">
        <v>76.802000000000007</v>
      </c>
      <c r="AF1832" s="11">
        <v>76.37</v>
      </c>
      <c r="AG1832" s="11">
        <v>75.947000000000003</v>
      </c>
      <c r="AH1832" s="11">
        <v>75.527000000000001</v>
      </c>
      <c r="AI1832" s="11">
        <v>75.113</v>
      </c>
      <c r="AJ1832" s="11">
        <v>74.701999999999998</v>
      </c>
      <c r="AK1832" s="11">
        <v>74.301000000000002</v>
      </c>
      <c r="AL1832" s="11"/>
    </row>
    <row r="1833" spans="1:38" x14ac:dyDescent="0.3">
      <c r="A1833" s="9">
        <f>DATE(2024, 2, 2)</f>
        <v>45324</v>
      </c>
      <c r="B1833" s="10">
        <v>77.33</v>
      </c>
      <c r="C1833" s="10">
        <v>77.069999999999993</v>
      </c>
      <c r="D1833" s="10">
        <v>76.8</v>
      </c>
      <c r="E1833" s="10">
        <v>76.5</v>
      </c>
      <c r="F1833" s="10">
        <v>76.19</v>
      </c>
      <c r="G1833" s="10">
        <v>75.83</v>
      </c>
      <c r="H1833" s="10">
        <v>75.45</v>
      </c>
      <c r="I1833" s="10">
        <v>75.09</v>
      </c>
      <c r="J1833" s="10">
        <v>74.72</v>
      </c>
      <c r="K1833" s="10">
        <v>74.36</v>
      </c>
      <c r="L1833" s="10">
        <v>74.03</v>
      </c>
      <c r="M1833" s="10">
        <v>73.760000000000005</v>
      </c>
      <c r="N1833" s="10">
        <v>72.28</v>
      </c>
      <c r="O1833" s="10">
        <v>72.3</v>
      </c>
      <c r="P1833" s="10">
        <v>72.28</v>
      </c>
      <c r="Q1833" s="10">
        <v>72.180000000000007</v>
      </c>
      <c r="R1833" s="10">
        <v>71.97</v>
      </c>
      <c r="S1833" s="10">
        <v>71.66</v>
      </c>
      <c r="T1833" s="10">
        <v>71.28</v>
      </c>
      <c r="U1833" s="10">
        <v>70.89</v>
      </c>
      <c r="V1833" s="10">
        <v>70.53</v>
      </c>
      <c r="W1833" s="10">
        <v>70.150000000000006</v>
      </c>
      <c r="X1833" s="10">
        <v>69.77</v>
      </c>
      <c r="Y1833" s="10">
        <v>69.42</v>
      </c>
      <c r="Z1833" s="11">
        <v>77.575000000000003</v>
      </c>
      <c r="AA1833" s="11">
        <v>76.906999999999996</v>
      </c>
      <c r="AB1833" s="11">
        <v>76.45</v>
      </c>
      <c r="AC1833" s="11">
        <v>76.02</v>
      </c>
      <c r="AD1833" s="11">
        <v>75.608999999999995</v>
      </c>
      <c r="AE1833" s="11">
        <v>75.203000000000003</v>
      </c>
      <c r="AF1833" s="11">
        <v>74.804000000000002</v>
      </c>
      <c r="AG1833" s="11">
        <v>74.423000000000002</v>
      </c>
      <c r="AH1833" s="11">
        <v>74.03</v>
      </c>
      <c r="AI1833" s="11">
        <v>73.644000000000005</v>
      </c>
      <c r="AJ1833" s="11">
        <v>73.284000000000006</v>
      </c>
      <c r="AK1833" s="11">
        <v>73.019000000000005</v>
      </c>
      <c r="AL1833" s="11"/>
    </row>
    <row r="1834" spans="1:38" x14ac:dyDescent="0.3">
      <c r="A1834" s="9">
        <f>DATE(2024, 2, 5)</f>
        <v>45327</v>
      </c>
      <c r="B1834" s="10">
        <v>77.989999999999995</v>
      </c>
      <c r="C1834" s="10">
        <v>77.73</v>
      </c>
      <c r="D1834" s="10">
        <v>77.48</v>
      </c>
      <c r="E1834" s="10">
        <v>77.2</v>
      </c>
      <c r="F1834" s="10">
        <v>76.900000000000006</v>
      </c>
      <c r="G1834" s="10">
        <v>76.56</v>
      </c>
      <c r="H1834" s="10">
        <v>76.19</v>
      </c>
      <c r="I1834" s="10">
        <v>75.83</v>
      </c>
      <c r="J1834" s="10">
        <v>75.47</v>
      </c>
      <c r="K1834" s="10">
        <v>75.11</v>
      </c>
      <c r="L1834" s="10">
        <v>74.77</v>
      </c>
      <c r="M1834" s="10">
        <v>74.5</v>
      </c>
      <c r="N1834" s="10">
        <v>72.78</v>
      </c>
      <c r="O1834" s="10">
        <v>72.849999999999994</v>
      </c>
      <c r="P1834" s="10">
        <v>72.87</v>
      </c>
      <c r="Q1834" s="10">
        <v>72.790000000000006</v>
      </c>
      <c r="R1834" s="10">
        <v>72.599999999999994</v>
      </c>
      <c r="S1834" s="10">
        <v>72.3</v>
      </c>
      <c r="T1834" s="10">
        <v>71.94</v>
      </c>
      <c r="U1834" s="10">
        <v>71.56</v>
      </c>
      <c r="V1834" s="10">
        <v>71.209999999999994</v>
      </c>
      <c r="W1834" s="10">
        <v>70.84</v>
      </c>
      <c r="X1834" s="10">
        <v>70.459999999999994</v>
      </c>
      <c r="Y1834" s="10">
        <v>70.09</v>
      </c>
      <c r="Z1834" s="11">
        <v>77.977999999999994</v>
      </c>
      <c r="AA1834" s="11">
        <v>77.397999999999996</v>
      </c>
      <c r="AB1834" s="11">
        <v>77.048000000000002</v>
      </c>
      <c r="AC1834" s="11">
        <v>76.698999999999998</v>
      </c>
      <c r="AD1834" s="11">
        <v>76.322999999999993</v>
      </c>
      <c r="AE1834" s="11">
        <v>75.938999999999993</v>
      </c>
      <c r="AF1834" s="11">
        <v>75.554000000000002</v>
      </c>
      <c r="AG1834" s="11">
        <v>75.183000000000007</v>
      </c>
      <c r="AH1834" s="11">
        <v>74.799000000000007</v>
      </c>
      <c r="AI1834" s="11">
        <v>74.403999999999996</v>
      </c>
      <c r="AJ1834" s="11">
        <v>74.034000000000006</v>
      </c>
      <c r="AK1834" s="11">
        <v>73.727999999999994</v>
      </c>
      <c r="AL1834" s="11"/>
    </row>
    <row r="1835" spans="1:38" x14ac:dyDescent="0.3">
      <c r="A1835" s="9">
        <f>DATE(2024, 2, 6)</f>
        <v>45328</v>
      </c>
      <c r="B1835" s="10">
        <v>78.59</v>
      </c>
      <c r="C1835" s="10">
        <v>78.27</v>
      </c>
      <c r="D1835" s="10">
        <v>77.95</v>
      </c>
      <c r="E1835" s="10">
        <v>77.61</v>
      </c>
      <c r="F1835" s="10">
        <v>77.260000000000005</v>
      </c>
      <c r="G1835" s="10">
        <v>76.88</v>
      </c>
      <c r="H1835" s="10">
        <v>76.489999999999995</v>
      </c>
      <c r="I1835" s="10">
        <v>76.11</v>
      </c>
      <c r="J1835" s="10">
        <v>75.72</v>
      </c>
      <c r="K1835" s="10">
        <v>75.34</v>
      </c>
      <c r="L1835" s="10">
        <v>74.989999999999995</v>
      </c>
      <c r="M1835" s="10">
        <v>74.7</v>
      </c>
      <c r="N1835" s="10">
        <v>73.31</v>
      </c>
      <c r="O1835" s="10">
        <v>73.37</v>
      </c>
      <c r="P1835" s="10">
        <v>73.349999999999994</v>
      </c>
      <c r="Q1835" s="10">
        <v>73.23</v>
      </c>
      <c r="R1835" s="10">
        <v>73.010000000000005</v>
      </c>
      <c r="S1835" s="10">
        <v>72.680000000000007</v>
      </c>
      <c r="T1835" s="10">
        <v>72.3</v>
      </c>
      <c r="U1835" s="10">
        <v>71.900000000000006</v>
      </c>
      <c r="V1835" s="10">
        <v>71.53</v>
      </c>
      <c r="W1835" s="10">
        <v>71.150000000000006</v>
      </c>
      <c r="X1835" s="10">
        <v>70.75</v>
      </c>
      <c r="Y1835" s="10">
        <v>70.36</v>
      </c>
      <c r="Z1835" s="11">
        <v>78.311999999999998</v>
      </c>
      <c r="AA1835" s="11">
        <v>77.843999999999994</v>
      </c>
      <c r="AB1835" s="11">
        <v>77.454999999999998</v>
      </c>
      <c r="AC1835" s="11">
        <v>77.064999999999998</v>
      </c>
      <c r="AD1835" s="11">
        <v>76.656000000000006</v>
      </c>
      <c r="AE1835" s="11">
        <v>76.238</v>
      </c>
      <c r="AF1835" s="11">
        <v>75.817999999999998</v>
      </c>
      <c r="AG1835" s="11">
        <v>75.406000000000006</v>
      </c>
      <c r="AH1835" s="11">
        <v>74.992999999999995</v>
      </c>
      <c r="AI1835" s="11">
        <v>74.593000000000004</v>
      </c>
      <c r="AJ1835" s="11">
        <v>74.201999999999998</v>
      </c>
      <c r="AK1835" s="11">
        <v>73.917000000000002</v>
      </c>
      <c r="AL1835" s="11"/>
    </row>
    <row r="1836" spans="1:38" x14ac:dyDescent="0.3">
      <c r="A1836" s="9">
        <f>DATE(2024, 2, 7)</f>
        <v>45329</v>
      </c>
      <c r="B1836" s="10">
        <v>79.209999999999994</v>
      </c>
      <c r="C1836" s="10">
        <v>78.89</v>
      </c>
      <c r="D1836" s="10">
        <v>78.55</v>
      </c>
      <c r="E1836" s="10">
        <v>78.2</v>
      </c>
      <c r="F1836" s="10">
        <v>77.83</v>
      </c>
      <c r="G1836" s="10">
        <v>77.430000000000007</v>
      </c>
      <c r="H1836" s="10">
        <v>77.03</v>
      </c>
      <c r="I1836" s="10">
        <v>76.64</v>
      </c>
      <c r="J1836" s="10">
        <v>76.239999999999995</v>
      </c>
      <c r="K1836" s="10">
        <v>75.849999999999994</v>
      </c>
      <c r="L1836" s="10">
        <v>75.489999999999995</v>
      </c>
      <c r="M1836" s="10">
        <v>75.180000000000007</v>
      </c>
      <c r="N1836" s="10">
        <v>73.86</v>
      </c>
      <c r="O1836" s="10">
        <v>73.91</v>
      </c>
      <c r="P1836" s="10">
        <v>73.89</v>
      </c>
      <c r="Q1836" s="10">
        <v>73.77</v>
      </c>
      <c r="R1836" s="10">
        <v>73.540000000000006</v>
      </c>
      <c r="S1836" s="10">
        <v>73.2</v>
      </c>
      <c r="T1836" s="10">
        <v>72.8</v>
      </c>
      <c r="U1836" s="10">
        <v>72.38</v>
      </c>
      <c r="V1836" s="10">
        <v>71.989999999999995</v>
      </c>
      <c r="W1836" s="10">
        <v>71.59</v>
      </c>
      <c r="X1836" s="10">
        <v>71.180000000000007</v>
      </c>
      <c r="Y1836" s="10">
        <v>70.78</v>
      </c>
      <c r="Z1836" s="11">
        <v>78.864999999999995</v>
      </c>
      <c r="AA1836" s="11">
        <v>78.563000000000002</v>
      </c>
      <c r="AB1836" s="11">
        <v>78.129000000000005</v>
      </c>
      <c r="AC1836" s="11">
        <v>77.698999999999998</v>
      </c>
      <c r="AD1836" s="11">
        <v>77.259</v>
      </c>
      <c r="AE1836" s="11">
        <v>76.808000000000007</v>
      </c>
      <c r="AF1836" s="11">
        <v>76.376999999999995</v>
      </c>
      <c r="AG1836" s="11">
        <v>75.965999999999994</v>
      </c>
      <c r="AH1836" s="11">
        <v>75.548000000000002</v>
      </c>
      <c r="AI1836" s="11">
        <v>75.132999999999996</v>
      </c>
      <c r="AJ1836" s="11">
        <v>74.739000000000004</v>
      </c>
      <c r="AK1836" s="11">
        <v>74.417000000000002</v>
      </c>
      <c r="AL1836" s="11"/>
    </row>
    <row r="1837" spans="1:38" x14ac:dyDescent="0.3">
      <c r="A1837" s="9">
        <f>DATE(2024, 2, 8)</f>
        <v>45330</v>
      </c>
      <c r="B1837" s="10">
        <v>81.63</v>
      </c>
      <c r="C1837" s="10">
        <v>81.08</v>
      </c>
      <c r="D1837" s="10">
        <v>80.569999999999993</v>
      </c>
      <c r="E1837" s="10">
        <v>80.09</v>
      </c>
      <c r="F1837" s="10">
        <v>79.62</v>
      </c>
      <c r="G1837" s="10">
        <v>79.14</v>
      </c>
      <c r="H1837" s="10">
        <v>78.67</v>
      </c>
      <c r="I1837" s="10">
        <v>78.23</v>
      </c>
      <c r="J1837" s="10">
        <v>77.790000000000006</v>
      </c>
      <c r="K1837" s="10">
        <v>77.36</v>
      </c>
      <c r="L1837" s="10">
        <v>76.95</v>
      </c>
      <c r="M1837" s="10">
        <v>76.599999999999994</v>
      </c>
      <c r="N1837" s="10">
        <v>76.22</v>
      </c>
      <c r="O1837" s="10">
        <v>76.19</v>
      </c>
      <c r="P1837" s="10">
        <v>76.040000000000006</v>
      </c>
      <c r="Q1837" s="10">
        <v>75.78</v>
      </c>
      <c r="R1837" s="10">
        <v>75.45</v>
      </c>
      <c r="S1837" s="10">
        <v>75.02</v>
      </c>
      <c r="T1837" s="10">
        <v>74.540000000000006</v>
      </c>
      <c r="U1837" s="10">
        <v>74.05</v>
      </c>
      <c r="V1837" s="10">
        <v>73.599999999999994</v>
      </c>
      <c r="W1837" s="10">
        <v>73.14</v>
      </c>
      <c r="X1837" s="10">
        <v>72.69</v>
      </c>
      <c r="Y1837" s="10">
        <v>72.25</v>
      </c>
      <c r="Z1837" s="11">
        <v>80.272999999999996</v>
      </c>
      <c r="AA1837" s="11">
        <v>80.596000000000004</v>
      </c>
      <c r="AB1837" s="11">
        <v>80.126000000000005</v>
      </c>
      <c r="AC1837" s="11">
        <v>79.625</v>
      </c>
      <c r="AD1837" s="11">
        <v>79.096000000000004</v>
      </c>
      <c r="AE1837" s="11">
        <v>78.569999999999993</v>
      </c>
      <c r="AF1837" s="11">
        <v>78.069999999999993</v>
      </c>
      <c r="AG1837" s="11">
        <v>77.593999999999994</v>
      </c>
      <c r="AH1837" s="11">
        <v>77.131</v>
      </c>
      <c r="AI1837" s="11">
        <v>76.67</v>
      </c>
      <c r="AJ1837" s="11">
        <v>76.221999999999994</v>
      </c>
      <c r="AK1837" s="11">
        <v>75.855000000000004</v>
      </c>
      <c r="AL1837" s="11"/>
    </row>
    <row r="1838" spans="1:38" x14ac:dyDescent="0.3">
      <c r="A1838" s="9">
        <f>DATE(2024, 2, 9)</f>
        <v>45331</v>
      </c>
      <c r="B1838" s="10">
        <v>82.19</v>
      </c>
      <c r="C1838" s="10">
        <v>81.61</v>
      </c>
      <c r="D1838" s="10">
        <v>81.11</v>
      </c>
      <c r="E1838" s="10">
        <v>80.66</v>
      </c>
      <c r="F1838" s="10">
        <v>80.22</v>
      </c>
      <c r="G1838" s="10">
        <v>79.760000000000005</v>
      </c>
      <c r="H1838" s="10">
        <v>79.290000000000006</v>
      </c>
      <c r="I1838" s="10">
        <v>78.849999999999994</v>
      </c>
      <c r="J1838" s="10">
        <v>78.400000000000006</v>
      </c>
      <c r="K1838" s="10">
        <v>77.95</v>
      </c>
      <c r="L1838" s="10">
        <v>77.540000000000006</v>
      </c>
      <c r="M1838" s="10">
        <v>77.17</v>
      </c>
      <c r="N1838" s="10">
        <v>76.84</v>
      </c>
      <c r="O1838" s="10">
        <v>76.77</v>
      </c>
      <c r="P1838" s="10">
        <v>76.61</v>
      </c>
      <c r="Q1838" s="10">
        <v>76.349999999999994</v>
      </c>
      <c r="R1838" s="10">
        <v>76.010000000000005</v>
      </c>
      <c r="S1838" s="10">
        <v>75.59</v>
      </c>
      <c r="T1838" s="10">
        <v>75.11</v>
      </c>
      <c r="U1838" s="10">
        <v>74.62</v>
      </c>
      <c r="V1838" s="10">
        <v>74.17</v>
      </c>
      <c r="W1838" s="10">
        <v>73.709999999999994</v>
      </c>
      <c r="X1838" s="10">
        <v>73.239999999999995</v>
      </c>
      <c r="Y1838" s="10">
        <v>72.8</v>
      </c>
      <c r="Z1838" s="11">
        <v>80.644000000000005</v>
      </c>
      <c r="AA1838" s="11">
        <v>81.088999999999999</v>
      </c>
      <c r="AB1838" s="11">
        <v>80.59</v>
      </c>
      <c r="AC1838" s="11">
        <v>80.084999999999994</v>
      </c>
      <c r="AD1838" s="11">
        <v>79.575000000000003</v>
      </c>
      <c r="AE1838" s="11">
        <v>79.081000000000003</v>
      </c>
      <c r="AF1838" s="11">
        <v>78.590999999999994</v>
      </c>
      <c r="AG1838" s="11">
        <v>78.119</v>
      </c>
      <c r="AH1838" s="11">
        <v>77.650000000000006</v>
      </c>
      <c r="AI1838" s="11">
        <v>77.185000000000002</v>
      </c>
      <c r="AJ1838" s="11">
        <v>76.724999999999994</v>
      </c>
      <c r="AK1838" s="11">
        <v>76.344999999999999</v>
      </c>
      <c r="AL1838" s="11"/>
    </row>
    <row r="1839" spans="1:38" x14ac:dyDescent="0.3">
      <c r="A1839" s="9">
        <f>DATE(2024, 2, 12)</f>
        <v>45334</v>
      </c>
      <c r="B1839" s="10">
        <v>82</v>
      </c>
      <c r="C1839" s="10">
        <v>81.510000000000005</v>
      </c>
      <c r="D1839" s="10">
        <v>81.040000000000006</v>
      </c>
      <c r="E1839" s="10">
        <v>80.599999999999994</v>
      </c>
      <c r="F1839" s="10">
        <v>80.17</v>
      </c>
      <c r="G1839" s="10">
        <v>79.72</v>
      </c>
      <c r="H1839" s="10">
        <v>79.27</v>
      </c>
      <c r="I1839" s="10">
        <v>78.84</v>
      </c>
      <c r="J1839" s="10">
        <v>78.400000000000006</v>
      </c>
      <c r="K1839" s="10">
        <v>77.959999999999994</v>
      </c>
      <c r="L1839" s="10">
        <v>77.56</v>
      </c>
      <c r="M1839" s="10">
        <v>77.2</v>
      </c>
      <c r="N1839" s="10">
        <v>76.92</v>
      </c>
      <c r="O1839" s="10">
        <v>76.819999999999993</v>
      </c>
      <c r="P1839" s="10">
        <v>76.650000000000006</v>
      </c>
      <c r="Q1839" s="10">
        <v>76.39</v>
      </c>
      <c r="R1839" s="10">
        <v>76.040000000000006</v>
      </c>
      <c r="S1839" s="10">
        <v>75.62</v>
      </c>
      <c r="T1839" s="10">
        <v>75.150000000000006</v>
      </c>
      <c r="U1839" s="10">
        <v>74.67</v>
      </c>
      <c r="V1839" s="10">
        <v>74.22</v>
      </c>
      <c r="W1839" s="10">
        <v>73.77</v>
      </c>
      <c r="X1839" s="10">
        <v>73.31</v>
      </c>
      <c r="Y1839" s="10">
        <v>72.86</v>
      </c>
      <c r="Z1839" s="11">
        <v>80.581000000000003</v>
      </c>
      <c r="AA1839" s="11">
        <v>80.992000000000004</v>
      </c>
      <c r="AB1839" s="11">
        <v>80.55</v>
      </c>
      <c r="AC1839" s="11">
        <v>80.040999999999997</v>
      </c>
      <c r="AD1839" s="11">
        <v>79.533000000000001</v>
      </c>
      <c r="AE1839" s="11">
        <v>79.045000000000002</v>
      </c>
      <c r="AF1839" s="11">
        <v>78.564999999999998</v>
      </c>
      <c r="AG1839" s="11">
        <v>78.099000000000004</v>
      </c>
      <c r="AH1839" s="11">
        <v>77.631</v>
      </c>
      <c r="AI1839" s="11">
        <v>77.171000000000006</v>
      </c>
      <c r="AJ1839" s="11">
        <v>76.736000000000004</v>
      </c>
      <c r="AK1839" s="11">
        <v>76.375</v>
      </c>
      <c r="AL1839" s="11"/>
    </row>
    <row r="1840" spans="1:38" x14ac:dyDescent="0.3">
      <c r="A1840" s="9">
        <f>DATE(2024, 2, 13)</f>
        <v>45335</v>
      </c>
      <c r="B1840" s="10">
        <v>82.77</v>
      </c>
      <c r="C1840" s="10">
        <v>82.07</v>
      </c>
      <c r="D1840" s="10">
        <v>81.48</v>
      </c>
      <c r="E1840" s="10">
        <v>80.959999999999994</v>
      </c>
      <c r="F1840" s="10">
        <v>80.459999999999994</v>
      </c>
      <c r="G1840" s="10">
        <v>79.959999999999994</v>
      </c>
      <c r="H1840" s="10">
        <v>79.48</v>
      </c>
      <c r="I1840" s="10">
        <v>79.03</v>
      </c>
      <c r="J1840" s="10">
        <v>78.58</v>
      </c>
      <c r="K1840" s="10">
        <v>78.13</v>
      </c>
      <c r="L1840" s="10">
        <v>77.709999999999994</v>
      </c>
      <c r="M1840" s="10">
        <v>77.349999999999994</v>
      </c>
      <c r="N1840" s="10">
        <v>77.87</v>
      </c>
      <c r="O1840" s="10">
        <v>77.56</v>
      </c>
      <c r="P1840" s="10">
        <v>77.239999999999995</v>
      </c>
      <c r="Q1840" s="10">
        <v>76.87</v>
      </c>
      <c r="R1840" s="10">
        <v>76.44</v>
      </c>
      <c r="S1840" s="10">
        <v>75.94</v>
      </c>
      <c r="T1840" s="10">
        <v>75.400000000000006</v>
      </c>
      <c r="U1840" s="10">
        <v>74.88</v>
      </c>
      <c r="V1840" s="10">
        <v>74.400000000000006</v>
      </c>
      <c r="W1840" s="10">
        <v>73.930000000000007</v>
      </c>
      <c r="X1840" s="10">
        <v>73.459999999999994</v>
      </c>
      <c r="Y1840" s="10">
        <v>73.010000000000005</v>
      </c>
      <c r="Z1840" s="11">
        <v>80.963999999999999</v>
      </c>
      <c r="AA1840" s="11">
        <v>81.585999999999999</v>
      </c>
      <c r="AB1840" s="11">
        <v>81.069999999999993</v>
      </c>
      <c r="AC1840" s="11">
        <v>80.477999999999994</v>
      </c>
      <c r="AD1840" s="11">
        <v>79.875</v>
      </c>
      <c r="AE1840" s="11">
        <v>79.332999999999998</v>
      </c>
      <c r="AF1840" s="11">
        <v>78.825000000000003</v>
      </c>
      <c r="AG1840" s="11">
        <v>78.338999999999999</v>
      </c>
      <c r="AH1840" s="11">
        <v>77.86</v>
      </c>
      <c r="AI1840" s="11">
        <v>77.38</v>
      </c>
      <c r="AJ1840" s="11">
        <v>76.930999999999997</v>
      </c>
      <c r="AK1840" s="11">
        <v>76.575000000000003</v>
      </c>
      <c r="AL1840" s="11"/>
    </row>
    <row r="1841" spans="1:38" x14ac:dyDescent="0.3">
      <c r="A1841" s="9">
        <f>DATE(2024, 2, 14)</f>
        <v>45336</v>
      </c>
      <c r="B1841" s="10">
        <v>81.599999999999994</v>
      </c>
      <c r="C1841" s="10">
        <v>80.989999999999995</v>
      </c>
      <c r="D1841" s="10">
        <v>80.48</v>
      </c>
      <c r="E1841" s="10">
        <v>80.010000000000005</v>
      </c>
      <c r="F1841" s="10">
        <v>79.56</v>
      </c>
      <c r="G1841" s="10">
        <v>79.12</v>
      </c>
      <c r="H1841" s="10">
        <v>78.680000000000007</v>
      </c>
      <c r="I1841" s="10">
        <v>78.260000000000005</v>
      </c>
      <c r="J1841" s="10">
        <v>77.84</v>
      </c>
      <c r="K1841" s="10">
        <v>77.42</v>
      </c>
      <c r="L1841" s="10">
        <v>77.03</v>
      </c>
      <c r="M1841" s="10">
        <v>76.69</v>
      </c>
      <c r="N1841" s="10">
        <v>76.64</v>
      </c>
      <c r="O1841" s="10">
        <v>76.36</v>
      </c>
      <c r="P1841" s="10">
        <v>76.11</v>
      </c>
      <c r="Q1841" s="10">
        <v>75.790000000000006</v>
      </c>
      <c r="R1841" s="10">
        <v>75.41</v>
      </c>
      <c r="S1841" s="10">
        <v>74.959999999999994</v>
      </c>
      <c r="T1841" s="10">
        <v>74.489999999999995</v>
      </c>
      <c r="U1841" s="10">
        <v>73.98</v>
      </c>
      <c r="V1841" s="10">
        <v>73.540000000000006</v>
      </c>
      <c r="W1841" s="10">
        <v>73.09</v>
      </c>
      <c r="X1841" s="10">
        <v>72.64</v>
      </c>
      <c r="Y1841" s="10">
        <v>72.209999999999994</v>
      </c>
      <c r="Z1841" s="11">
        <v>80.454999999999998</v>
      </c>
      <c r="AA1841" s="11">
        <v>80.53</v>
      </c>
      <c r="AB1841" s="11">
        <v>80.039000000000001</v>
      </c>
      <c r="AC1841" s="11">
        <v>79.48</v>
      </c>
      <c r="AD1841" s="11">
        <v>78.929000000000002</v>
      </c>
      <c r="AE1841" s="11">
        <v>78.429000000000002</v>
      </c>
      <c r="AF1841" s="11">
        <v>77.956000000000003</v>
      </c>
      <c r="AG1841" s="11">
        <v>77.512</v>
      </c>
      <c r="AH1841" s="11">
        <v>77.084000000000003</v>
      </c>
      <c r="AI1841" s="11">
        <v>76.653000000000006</v>
      </c>
      <c r="AJ1841" s="11">
        <v>76.238</v>
      </c>
      <c r="AK1841" s="11">
        <v>75.875</v>
      </c>
      <c r="AL1841" s="11"/>
    </row>
    <row r="1842" spans="1:38" x14ac:dyDescent="0.3">
      <c r="A1842" s="9">
        <f>DATE(2024, 2, 15)</f>
        <v>45337</v>
      </c>
      <c r="B1842" s="10">
        <v>82.86</v>
      </c>
      <c r="C1842" s="10">
        <v>82.16</v>
      </c>
      <c r="D1842" s="10">
        <v>81.56</v>
      </c>
      <c r="E1842" s="10">
        <v>81.010000000000005</v>
      </c>
      <c r="F1842" s="10">
        <v>80.48</v>
      </c>
      <c r="G1842" s="10">
        <v>79.98</v>
      </c>
      <c r="H1842" s="10">
        <v>79.5</v>
      </c>
      <c r="I1842" s="10">
        <v>79.040000000000006</v>
      </c>
      <c r="J1842" s="10">
        <v>78.59</v>
      </c>
      <c r="K1842" s="10">
        <v>78.14</v>
      </c>
      <c r="L1842" s="10">
        <v>77.73</v>
      </c>
      <c r="M1842" s="10">
        <v>77.36</v>
      </c>
      <c r="N1842" s="10">
        <v>78.03</v>
      </c>
      <c r="O1842" s="10">
        <v>77.59</v>
      </c>
      <c r="P1842" s="10">
        <v>77.22</v>
      </c>
      <c r="Q1842" s="10">
        <v>76.81</v>
      </c>
      <c r="R1842" s="10">
        <v>76.34</v>
      </c>
      <c r="S1842" s="10">
        <v>75.81</v>
      </c>
      <c r="T1842" s="10">
        <v>75.260000000000005</v>
      </c>
      <c r="U1842" s="10">
        <v>74.72</v>
      </c>
      <c r="V1842" s="10">
        <v>74.25</v>
      </c>
      <c r="W1842" s="10">
        <v>73.78</v>
      </c>
      <c r="X1842" s="10">
        <v>73.3</v>
      </c>
      <c r="Y1842" s="10">
        <v>72.849999999999994</v>
      </c>
      <c r="Z1842" s="11">
        <v>81.001999999999995</v>
      </c>
      <c r="AA1842" s="11">
        <v>81.67</v>
      </c>
      <c r="AB1842" s="11">
        <v>81.150000000000006</v>
      </c>
      <c r="AC1842" s="11">
        <v>80.531999999999996</v>
      </c>
      <c r="AD1842" s="11">
        <v>79.915000000000006</v>
      </c>
      <c r="AE1842" s="11">
        <v>79.358999999999995</v>
      </c>
      <c r="AF1842" s="11">
        <v>78.838999999999999</v>
      </c>
      <c r="AG1842" s="11">
        <v>78.358999999999995</v>
      </c>
      <c r="AH1842" s="11">
        <v>77.89</v>
      </c>
      <c r="AI1842" s="11">
        <v>77.42</v>
      </c>
      <c r="AJ1842" s="11">
        <v>76.974999999999994</v>
      </c>
      <c r="AK1842" s="11">
        <v>76.603999999999999</v>
      </c>
      <c r="AL1842" s="11"/>
    </row>
    <row r="1843" spans="1:38" x14ac:dyDescent="0.3">
      <c r="A1843" s="9">
        <f>DATE(2024, 2, 16)</f>
        <v>45338</v>
      </c>
      <c r="B1843" s="10">
        <v>83.47</v>
      </c>
      <c r="C1843" s="10">
        <v>82.74</v>
      </c>
      <c r="D1843" s="10">
        <v>82.11</v>
      </c>
      <c r="E1843" s="10">
        <v>81.510000000000005</v>
      </c>
      <c r="F1843" s="10">
        <v>80.94</v>
      </c>
      <c r="G1843" s="10">
        <v>80.400000000000006</v>
      </c>
      <c r="H1843" s="10">
        <v>79.89</v>
      </c>
      <c r="I1843" s="10">
        <v>79.41</v>
      </c>
      <c r="J1843" s="10">
        <v>78.94</v>
      </c>
      <c r="K1843" s="10">
        <v>78.47</v>
      </c>
      <c r="L1843" s="10">
        <v>78.040000000000006</v>
      </c>
      <c r="M1843" s="10">
        <v>77.66</v>
      </c>
      <c r="N1843" s="10">
        <v>79.19</v>
      </c>
      <c r="O1843" s="10">
        <v>78.459999999999994</v>
      </c>
      <c r="P1843" s="10">
        <v>77.98</v>
      </c>
      <c r="Q1843" s="10">
        <v>77.48</v>
      </c>
      <c r="R1843" s="10">
        <v>76.94</v>
      </c>
      <c r="S1843" s="10">
        <v>76.349999999999994</v>
      </c>
      <c r="T1843" s="10">
        <v>75.77</v>
      </c>
      <c r="U1843" s="10">
        <v>75.2</v>
      </c>
      <c r="V1843" s="10">
        <v>74.69</v>
      </c>
      <c r="W1843" s="10">
        <v>74.19</v>
      </c>
      <c r="X1843" s="10">
        <v>73.69</v>
      </c>
      <c r="Y1843" s="10">
        <v>73.22</v>
      </c>
      <c r="Z1843" s="11">
        <v>81.222999999999999</v>
      </c>
      <c r="AA1843" s="11">
        <v>82.213999999999999</v>
      </c>
      <c r="AB1843" s="11">
        <v>81.697999999999993</v>
      </c>
      <c r="AC1843" s="11">
        <v>81.05</v>
      </c>
      <c r="AD1843" s="11">
        <v>80.41</v>
      </c>
      <c r="AE1843" s="11">
        <v>79.814999999999998</v>
      </c>
      <c r="AF1843" s="11">
        <v>79.275000000000006</v>
      </c>
      <c r="AG1843" s="11">
        <v>78.756</v>
      </c>
      <c r="AH1843" s="11">
        <v>78.266000000000005</v>
      </c>
      <c r="AI1843" s="11">
        <v>77.786000000000001</v>
      </c>
      <c r="AJ1843" s="11">
        <v>77.33</v>
      </c>
      <c r="AK1843" s="11">
        <v>76.944000000000003</v>
      </c>
      <c r="AL1843" s="11"/>
    </row>
    <row r="1844" spans="1:38" x14ac:dyDescent="0.3">
      <c r="A1844" s="9">
        <f>DATE(2024, 2, 19)</f>
        <v>45341</v>
      </c>
      <c r="B1844" s="10">
        <v>83.56</v>
      </c>
      <c r="C1844" s="10">
        <v>82.73</v>
      </c>
      <c r="D1844" s="10">
        <v>82.09</v>
      </c>
      <c r="E1844" s="10">
        <v>81.510000000000005</v>
      </c>
      <c r="F1844" s="10">
        <v>80.959999999999994</v>
      </c>
      <c r="G1844" s="10">
        <v>80.430000000000007</v>
      </c>
      <c r="H1844" s="10">
        <v>79.92</v>
      </c>
      <c r="I1844" s="10">
        <v>79.430000000000007</v>
      </c>
      <c r="J1844" s="10">
        <v>78.959999999999994</v>
      </c>
      <c r="K1844" s="10">
        <v>78.489999999999995</v>
      </c>
      <c r="L1844" s="10">
        <v>78.06</v>
      </c>
      <c r="M1844" s="10">
        <v>77.680000000000007</v>
      </c>
      <c r="N1844" s="10">
        <v>79.19</v>
      </c>
      <c r="O1844" s="10">
        <v>78.459999999999994</v>
      </c>
      <c r="P1844" s="10">
        <v>77.98</v>
      </c>
      <c r="Q1844" s="10">
        <v>77.48</v>
      </c>
      <c r="R1844" s="10">
        <v>76.94</v>
      </c>
      <c r="S1844" s="10">
        <v>76.349999999999994</v>
      </c>
      <c r="T1844" s="10">
        <v>75.77</v>
      </c>
      <c r="U1844" s="10">
        <v>75.2</v>
      </c>
      <c r="V1844" s="10">
        <v>74.69</v>
      </c>
      <c r="W1844" s="10">
        <v>74.19</v>
      </c>
      <c r="X1844" s="10">
        <v>73.69</v>
      </c>
      <c r="Y1844" s="10">
        <v>73.22</v>
      </c>
      <c r="Z1844" s="11">
        <v>81.231999999999999</v>
      </c>
      <c r="AA1844" s="11">
        <v>82.283000000000001</v>
      </c>
      <c r="AB1844" s="11">
        <v>81.733999999999995</v>
      </c>
      <c r="AC1844" s="11">
        <v>81.085999999999999</v>
      </c>
      <c r="AD1844" s="11">
        <v>80.438999999999993</v>
      </c>
      <c r="AE1844" s="11">
        <v>79.828000000000003</v>
      </c>
      <c r="AF1844" s="11">
        <v>79.268000000000001</v>
      </c>
      <c r="AG1844" s="11">
        <v>78.748000000000005</v>
      </c>
      <c r="AH1844" s="11">
        <v>78.25</v>
      </c>
      <c r="AI1844" s="11">
        <v>77.77</v>
      </c>
      <c r="AJ1844" s="11">
        <v>77.313999999999993</v>
      </c>
      <c r="AK1844" s="11">
        <v>76.924000000000007</v>
      </c>
      <c r="AL1844" s="11"/>
    </row>
    <row r="1845" spans="1:38" x14ac:dyDescent="0.3">
      <c r="A1845" s="9">
        <f>DATE(2024, 2, 20)</f>
        <v>45342</v>
      </c>
      <c r="B1845" s="10">
        <v>82.34</v>
      </c>
      <c r="C1845" s="10">
        <v>81.5</v>
      </c>
      <c r="D1845" s="10">
        <v>80.87</v>
      </c>
      <c r="E1845" s="10">
        <v>80.31</v>
      </c>
      <c r="F1845" s="10">
        <v>79.77</v>
      </c>
      <c r="G1845" s="10">
        <v>79.260000000000005</v>
      </c>
      <c r="H1845" s="10">
        <v>78.760000000000005</v>
      </c>
      <c r="I1845" s="10">
        <v>78.3</v>
      </c>
      <c r="J1845" s="10">
        <v>77.84</v>
      </c>
      <c r="K1845" s="10">
        <v>77.39</v>
      </c>
      <c r="L1845" s="10">
        <v>76.97</v>
      </c>
      <c r="M1845" s="10">
        <v>76.599999999999994</v>
      </c>
      <c r="N1845" s="10">
        <v>78.180000000000007</v>
      </c>
      <c r="O1845" s="10">
        <v>77.040000000000006</v>
      </c>
      <c r="P1845" s="10">
        <v>76.62</v>
      </c>
      <c r="Q1845" s="10">
        <v>76.2</v>
      </c>
      <c r="R1845" s="10">
        <v>75.73</v>
      </c>
      <c r="S1845" s="10">
        <v>75.2</v>
      </c>
      <c r="T1845" s="10">
        <v>74.650000000000006</v>
      </c>
      <c r="U1845" s="10">
        <v>74.099999999999994</v>
      </c>
      <c r="V1845" s="10">
        <v>73.61</v>
      </c>
      <c r="W1845" s="10">
        <v>73.11</v>
      </c>
      <c r="X1845" s="10">
        <v>72.62</v>
      </c>
      <c r="Y1845" s="10">
        <v>72.17</v>
      </c>
      <c r="Z1845" s="11">
        <v>80.828999999999994</v>
      </c>
      <c r="AA1845" s="11">
        <v>81.129000000000005</v>
      </c>
      <c r="AB1845" s="11">
        <v>80.525000000000006</v>
      </c>
      <c r="AC1845" s="11">
        <v>79.867000000000004</v>
      </c>
      <c r="AD1845" s="11">
        <v>79.209999999999994</v>
      </c>
      <c r="AE1845" s="11">
        <v>78.597999999999999</v>
      </c>
      <c r="AF1845" s="11">
        <v>78.049000000000007</v>
      </c>
      <c r="AG1845" s="11">
        <v>77.537999999999997</v>
      </c>
      <c r="AH1845" s="11">
        <v>77.05</v>
      </c>
      <c r="AI1845" s="11">
        <v>76.58</v>
      </c>
      <c r="AJ1845" s="11">
        <v>76.125</v>
      </c>
      <c r="AK1845" s="11">
        <v>75.765000000000001</v>
      </c>
      <c r="AL1845" s="11"/>
    </row>
    <row r="1846" spans="1:38" x14ac:dyDescent="0.3">
      <c r="A1846" s="9">
        <f>DATE(2024, 2, 21)</f>
        <v>45343</v>
      </c>
      <c r="B1846" s="10">
        <v>83.03</v>
      </c>
      <c r="C1846" s="10">
        <v>82.11</v>
      </c>
      <c r="D1846" s="10">
        <v>81.41</v>
      </c>
      <c r="E1846" s="10">
        <v>80.8</v>
      </c>
      <c r="F1846" s="10">
        <v>80.22</v>
      </c>
      <c r="G1846" s="10">
        <v>79.650000000000006</v>
      </c>
      <c r="H1846" s="10">
        <v>79.12</v>
      </c>
      <c r="I1846" s="10">
        <v>78.62</v>
      </c>
      <c r="J1846" s="10">
        <v>78.150000000000006</v>
      </c>
      <c r="K1846" s="10">
        <v>77.69</v>
      </c>
      <c r="L1846" s="10">
        <v>77.260000000000005</v>
      </c>
      <c r="M1846" s="10">
        <v>76.88</v>
      </c>
      <c r="N1846" s="10">
        <v>77.91</v>
      </c>
      <c r="O1846" s="10">
        <v>77.31</v>
      </c>
      <c r="P1846" s="10">
        <v>76.78</v>
      </c>
      <c r="Q1846" s="10">
        <v>76.22</v>
      </c>
      <c r="R1846" s="10">
        <v>75.63</v>
      </c>
      <c r="S1846" s="10">
        <v>75.03</v>
      </c>
      <c r="T1846" s="10">
        <v>74.44</v>
      </c>
      <c r="U1846" s="10">
        <v>73.92</v>
      </c>
      <c r="V1846" s="10">
        <v>73.42</v>
      </c>
      <c r="W1846" s="10">
        <v>72.930000000000007</v>
      </c>
      <c r="X1846" s="10">
        <v>72.459999999999994</v>
      </c>
      <c r="Y1846" s="10">
        <v>72.040000000000006</v>
      </c>
      <c r="Z1846" s="11">
        <v>81.022000000000006</v>
      </c>
      <c r="AA1846" s="11">
        <v>81.744</v>
      </c>
      <c r="AB1846" s="11">
        <v>81.087000000000003</v>
      </c>
      <c r="AC1846" s="11">
        <v>80.37</v>
      </c>
      <c r="AD1846" s="11">
        <v>79.652000000000001</v>
      </c>
      <c r="AE1846" s="11">
        <v>79.007000000000005</v>
      </c>
      <c r="AF1846" s="11">
        <v>78.436999999999998</v>
      </c>
      <c r="AG1846" s="11">
        <v>77.897000000000006</v>
      </c>
      <c r="AH1846" s="11">
        <v>77.397000000000006</v>
      </c>
      <c r="AI1846" s="11">
        <v>76.915000000000006</v>
      </c>
      <c r="AJ1846" s="11">
        <v>76.448999999999998</v>
      </c>
      <c r="AK1846" s="11">
        <v>76.063999999999993</v>
      </c>
      <c r="AL1846" s="11"/>
    </row>
    <row r="1847" spans="1:38" x14ac:dyDescent="0.3">
      <c r="A1847" s="9">
        <f>DATE(2024, 2, 22)</f>
        <v>45344</v>
      </c>
      <c r="B1847" s="10">
        <v>83.67</v>
      </c>
      <c r="C1847" s="10">
        <v>82.7</v>
      </c>
      <c r="D1847" s="10">
        <v>81.99</v>
      </c>
      <c r="E1847" s="10">
        <v>81.349999999999994</v>
      </c>
      <c r="F1847" s="10">
        <v>80.73</v>
      </c>
      <c r="G1847" s="10">
        <v>80.13</v>
      </c>
      <c r="H1847" s="10">
        <v>79.569999999999993</v>
      </c>
      <c r="I1847" s="10">
        <v>79.069999999999993</v>
      </c>
      <c r="J1847" s="10">
        <v>78.59</v>
      </c>
      <c r="K1847" s="10">
        <v>78.12</v>
      </c>
      <c r="L1847" s="10">
        <v>77.67</v>
      </c>
      <c r="M1847" s="10">
        <v>77.290000000000006</v>
      </c>
      <c r="N1847" s="10">
        <v>78.61</v>
      </c>
      <c r="O1847" s="10">
        <v>77.930000000000007</v>
      </c>
      <c r="P1847" s="10">
        <v>77.34</v>
      </c>
      <c r="Q1847" s="10">
        <v>76.739999999999995</v>
      </c>
      <c r="R1847" s="10">
        <v>76.12</v>
      </c>
      <c r="S1847" s="10">
        <v>75.5</v>
      </c>
      <c r="T1847" s="10">
        <v>74.89</v>
      </c>
      <c r="U1847" s="10">
        <v>74.36</v>
      </c>
      <c r="V1847" s="10">
        <v>73.84</v>
      </c>
      <c r="W1847" s="10">
        <v>73.34</v>
      </c>
      <c r="X1847" s="10">
        <v>72.87</v>
      </c>
      <c r="Y1847" s="10">
        <v>72.45</v>
      </c>
      <c r="Z1847" s="11">
        <v>81.216999999999999</v>
      </c>
      <c r="AA1847" s="11">
        <v>82.272000000000006</v>
      </c>
      <c r="AB1847" s="11">
        <v>81.590999999999994</v>
      </c>
      <c r="AC1847" s="11">
        <v>80.840999999999994</v>
      </c>
      <c r="AD1847" s="11">
        <v>80.097999999999999</v>
      </c>
      <c r="AE1847" s="11">
        <v>79.430999999999997</v>
      </c>
      <c r="AF1847" s="11">
        <v>78.84</v>
      </c>
      <c r="AG1847" s="11">
        <v>78.298000000000002</v>
      </c>
      <c r="AH1847" s="11">
        <v>77.8</v>
      </c>
      <c r="AI1847" s="11">
        <v>77.308999999999997</v>
      </c>
      <c r="AJ1847" s="11">
        <v>76.823999999999998</v>
      </c>
      <c r="AK1847" s="11">
        <v>76.453999999999994</v>
      </c>
      <c r="AL1847" s="11"/>
    </row>
    <row r="1848" spans="1:38" x14ac:dyDescent="0.3">
      <c r="A1848" s="9">
        <f>DATE(2024, 2, 23)</f>
        <v>45345</v>
      </c>
      <c r="B1848" s="10">
        <v>81.62</v>
      </c>
      <c r="C1848" s="10">
        <v>80.8</v>
      </c>
      <c r="D1848" s="10">
        <v>80.25</v>
      </c>
      <c r="E1848" s="10">
        <v>79.709999999999994</v>
      </c>
      <c r="F1848" s="10">
        <v>79.16</v>
      </c>
      <c r="G1848" s="10">
        <v>78.63</v>
      </c>
      <c r="H1848" s="10">
        <v>78.14</v>
      </c>
      <c r="I1848" s="10">
        <v>77.69</v>
      </c>
      <c r="J1848" s="10">
        <v>77.25</v>
      </c>
      <c r="K1848" s="10">
        <v>76.819999999999993</v>
      </c>
      <c r="L1848" s="10">
        <v>76.42</v>
      </c>
      <c r="M1848" s="10">
        <v>76.069999999999993</v>
      </c>
      <c r="N1848" s="10">
        <v>76.489999999999995</v>
      </c>
      <c r="O1848" s="10">
        <v>76.08</v>
      </c>
      <c r="P1848" s="10">
        <v>75.62</v>
      </c>
      <c r="Q1848" s="10">
        <v>75.13</v>
      </c>
      <c r="R1848" s="10">
        <v>74.59</v>
      </c>
      <c r="S1848" s="10">
        <v>74.05</v>
      </c>
      <c r="T1848" s="10">
        <v>73.510000000000005</v>
      </c>
      <c r="U1848" s="10">
        <v>73.02</v>
      </c>
      <c r="V1848" s="10">
        <v>72.55</v>
      </c>
      <c r="W1848" s="10">
        <v>72.09</v>
      </c>
      <c r="X1848" s="10">
        <v>71.67</v>
      </c>
      <c r="Y1848" s="10">
        <v>71.28</v>
      </c>
      <c r="Z1848" s="11">
        <v>80.754000000000005</v>
      </c>
      <c r="AA1848" s="11">
        <v>80.322999999999993</v>
      </c>
      <c r="AB1848" s="11">
        <v>79.795000000000002</v>
      </c>
      <c r="AC1848" s="11">
        <v>79.150000000000006</v>
      </c>
      <c r="AD1848" s="11">
        <v>78.507999999999996</v>
      </c>
      <c r="AE1848" s="11">
        <v>77.903000000000006</v>
      </c>
      <c r="AF1848" s="11">
        <v>77.352999999999994</v>
      </c>
      <c r="AG1848" s="11">
        <v>76.852999999999994</v>
      </c>
      <c r="AH1848" s="11">
        <v>76.402000000000001</v>
      </c>
      <c r="AI1848" s="11">
        <v>75.962000000000003</v>
      </c>
      <c r="AJ1848" s="11">
        <v>75.537999999999997</v>
      </c>
      <c r="AK1848" s="11">
        <v>75.176000000000002</v>
      </c>
      <c r="AL1848" s="11"/>
    </row>
    <row r="1849" spans="1:38" x14ac:dyDescent="0.3">
      <c r="A1849" s="9">
        <f>DATE(2024, 2, 26)</f>
        <v>45348</v>
      </c>
      <c r="B1849" s="10">
        <v>82.53</v>
      </c>
      <c r="C1849" s="10">
        <v>81.67</v>
      </c>
      <c r="D1849" s="10">
        <v>81.099999999999994</v>
      </c>
      <c r="E1849" s="10">
        <v>80.540000000000006</v>
      </c>
      <c r="F1849" s="10">
        <v>79.97</v>
      </c>
      <c r="G1849" s="10">
        <v>79.400000000000006</v>
      </c>
      <c r="H1849" s="10">
        <v>78.87</v>
      </c>
      <c r="I1849" s="10">
        <v>78.38</v>
      </c>
      <c r="J1849" s="10">
        <v>77.91</v>
      </c>
      <c r="K1849" s="10">
        <v>77.45</v>
      </c>
      <c r="L1849" s="10">
        <v>77.03</v>
      </c>
      <c r="M1849" s="10">
        <v>76.66</v>
      </c>
      <c r="N1849" s="10">
        <v>77.58</v>
      </c>
      <c r="O1849" s="10">
        <v>77.09</v>
      </c>
      <c r="P1849" s="10">
        <v>76.59</v>
      </c>
      <c r="Q1849" s="10">
        <v>76.05</v>
      </c>
      <c r="R1849" s="10">
        <v>75.459999999999994</v>
      </c>
      <c r="S1849" s="10">
        <v>74.849999999999994</v>
      </c>
      <c r="T1849" s="10">
        <v>74.27</v>
      </c>
      <c r="U1849" s="10">
        <v>73.739999999999995</v>
      </c>
      <c r="V1849" s="10">
        <v>73.239999999999995</v>
      </c>
      <c r="W1849" s="10">
        <v>72.75</v>
      </c>
      <c r="X1849" s="10">
        <v>72.3</v>
      </c>
      <c r="Y1849" s="10">
        <v>71.89</v>
      </c>
      <c r="Z1849" s="11">
        <v>80.834999999999994</v>
      </c>
      <c r="AA1849" s="11">
        <v>81.128</v>
      </c>
      <c r="AB1849" s="11">
        <v>80.658000000000001</v>
      </c>
      <c r="AC1849" s="11">
        <v>79.995999999999995</v>
      </c>
      <c r="AD1849" s="11">
        <v>79.347999999999999</v>
      </c>
      <c r="AE1849" s="11">
        <v>78.712000000000003</v>
      </c>
      <c r="AF1849" s="11">
        <v>78.123000000000005</v>
      </c>
      <c r="AG1849" s="11">
        <v>77.587999999999994</v>
      </c>
      <c r="AH1849" s="11">
        <v>77.099999999999994</v>
      </c>
      <c r="AI1849" s="11">
        <v>76.61</v>
      </c>
      <c r="AJ1849" s="11">
        <v>76.165000000000006</v>
      </c>
      <c r="AK1849" s="11">
        <v>75.823999999999998</v>
      </c>
      <c r="AL1849" s="11"/>
    </row>
    <row r="1850" spans="1:38" x14ac:dyDescent="0.3">
      <c r="A1850" s="9">
        <f>DATE(2024, 2, 27)</f>
        <v>45349</v>
      </c>
      <c r="B1850" s="10">
        <v>83.65</v>
      </c>
      <c r="C1850" s="10">
        <v>82.66</v>
      </c>
      <c r="D1850" s="10">
        <v>82.02</v>
      </c>
      <c r="E1850" s="10">
        <v>81.400000000000006</v>
      </c>
      <c r="F1850" s="10">
        <v>80.77</v>
      </c>
      <c r="G1850" s="10">
        <v>80.150000000000006</v>
      </c>
      <c r="H1850" s="10">
        <v>79.569999999999993</v>
      </c>
      <c r="I1850" s="10">
        <v>79.040000000000006</v>
      </c>
      <c r="J1850" s="10">
        <v>78.53</v>
      </c>
      <c r="K1850" s="10">
        <v>78.040000000000006</v>
      </c>
      <c r="L1850" s="10">
        <v>77.59</v>
      </c>
      <c r="M1850" s="10">
        <v>77.2</v>
      </c>
      <c r="N1850" s="10">
        <v>78.87</v>
      </c>
      <c r="O1850" s="10">
        <v>78.23</v>
      </c>
      <c r="P1850" s="10">
        <v>77.64</v>
      </c>
      <c r="Q1850" s="10">
        <v>77</v>
      </c>
      <c r="R1850" s="10">
        <v>76.319999999999993</v>
      </c>
      <c r="S1850" s="10">
        <v>75.66</v>
      </c>
      <c r="T1850" s="10">
        <v>75.02</v>
      </c>
      <c r="U1850" s="10">
        <v>74.45</v>
      </c>
      <c r="V1850" s="10">
        <v>73.91</v>
      </c>
      <c r="W1850" s="10">
        <v>73.38</v>
      </c>
      <c r="X1850" s="10">
        <v>72.900000000000006</v>
      </c>
      <c r="Y1850" s="10">
        <v>72.47</v>
      </c>
      <c r="Z1850" s="11">
        <v>80.968999999999994</v>
      </c>
      <c r="AA1850" s="11">
        <v>82.131</v>
      </c>
      <c r="AB1850" s="11">
        <v>81.581999999999994</v>
      </c>
      <c r="AC1850" s="11">
        <v>80.891000000000005</v>
      </c>
      <c r="AD1850" s="11">
        <v>80.179000000000002</v>
      </c>
      <c r="AE1850" s="11">
        <v>79.48</v>
      </c>
      <c r="AF1850" s="11">
        <v>78.840999999999994</v>
      </c>
      <c r="AG1850" s="11">
        <v>78.266000000000005</v>
      </c>
      <c r="AH1850" s="11">
        <v>77.739000000000004</v>
      </c>
      <c r="AI1850" s="11">
        <v>77.218999999999994</v>
      </c>
      <c r="AJ1850" s="11">
        <v>76.742999999999995</v>
      </c>
      <c r="AK1850" s="11">
        <v>76.364000000000004</v>
      </c>
      <c r="AL1850" s="11"/>
    </row>
    <row r="1851" spans="1:38" x14ac:dyDescent="0.3">
      <c r="A1851" s="9">
        <f>DATE(2024, 2, 28)</f>
        <v>45350</v>
      </c>
      <c r="B1851" s="10">
        <v>83.68</v>
      </c>
      <c r="C1851" s="10">
        <v>82.15</v>
      </c>
      <c r="D1851" s="10">
        <v>81.47</v>
      </c>
      <c r="E1851" s="10">
        <v>80.849999999999994</v>
      </c>
      <c r="F1851" s="10">
        <v>80.22</v>
      </c>
      <c r="G1851" s="10">
        <v>79.599999999999994</v>
      </c>
      <c r="H1851" s="10">
        <v>79.03</v>
      </c>
      <c r="I1851" s="10">
        <v>78.5</v>
      </c>
      <c r="J1851" s="10">
        <v>78.010000000000005</v>
      </c>
      <c r="K1851" s="10">
        <v>77.540000000000006</v>
      </c>
      <c r="L1851" s="10">
        <v>77.099999999999994</v>
      </c>
      <c r="M1851" s="10">
        <v>76.73</v>
      </c>
      <c r="N1851" s="10">
        <v>78.540000000000006</v>
      </c>
      <c r="O1851" s="10">
        <v>77.83</v>
      </c>
      <c r="P1851" s="10">
        <v>77.209999999999994</v>
      </c>
      <c r="Q1851" s="10">
        <v>76.569999999999993</v>
      </c>
      <c r="R1851" s="10">
        <v>75.900000000000006</v>
      </c>
      <c r="S1851" s="10">
        <v>75.23</v>
      </c>
      <c r="T1851" s="10">
        <v>74.59</v>
      </c>
      <c r="U1851" s="10">
        <v>74.02</v>
      </c>
      <c r="V1851" s="10">
        <v>73.489999999999995</v>
      </c>
      <c r="W1851" s="10">
        <v>72.97</v>
      </c>
      <c r="X1851" s="10">
        <v>72.5</v>
      </c>
      <c r="Y1851" s="10">
        <v>72.069999999999993</v>
      </c>
      <c r="Z1851" s="11">
        <v>80.906000000000006</v>
      </c>
      <c r="AA1851" s="11">
        <v>81.718999999999994</v>
      </c>
      <c r="AB1851" s="11">
        <v>81.126999999999995</v>
      </c>
      <c r="AC1851" s="11">
        <v>80.408000000000001</v>
      </c>
      <c r="AD1851" s="11">
        <v>79.680000000000007</v>
      </c>
      <c r="AE1851" s="11">
        <v>78.989999999999995</v>
      </c>
      <c r="AF1851" s="11">
        <v>78.350999999999999</v>
      </c>
      <c r="AG1851" s="11">
        <v>77.766999999999996</v>
      </c>
      <c r="AH1851" s="11">
        <v>77.25</v>
      </c>
      <c r="AI1851" s="11">
        <v>76.759</v>
      </c>
      <c r="AJ1851" s="11">
        <v>76.284999999999997</v>
      </c>
      <c r="AK1851" s="11">
        <v>75.918999999999997</v>
      </c>
      <c r="AL1851" s="11"/>
    </row>
    <row r="1852" spans="1:38" x14ac:dyDescent="0.3">
      <c r="A1852" s="9">
        <f>DATE(2024, 2, 29)</f>
        <v>45351</v>
      </c>
      <c r="B1852" s="10">
        <v>83.62</v>
      </c>
      <c r="C1852" s="10">
        <v>81.91</v>
      </c>
      <c r="D1852" s="10">
        <v>81.180000000000007</v>
      </c>
      <c r="E1852" s="10">
        <v>80.53</v>
      </c>
      <c r="F1852" s="10">
        <v>79.88</v>
      </c>
      <c r="G1852" s="10">
        <v>79.260000000000005</v>
      </c>
      <c r="H1852" s="10">
        <v>78.69</v>
      </c>
      <c r="I1852" s="10">
        <v>78.180000000000007</v>
      </c>
      <c r="J1852" s="10">
        <v>77.7</v>
      </c>
      <c r="K1852" s="10">
        <v>77.23</v>
      </c>
      <c r="L1852" s="10">
        <v>76.81</v>
      </c>
      <c r="M1852" s="10">
        <v>76.44</v>
      </c>
      <c r="N1852" s="10">
        <v>78.260000000000005</v>
      </c>
      <c r="O1852" s="10">
        <v>77.45</v>
      </c>
      <c r="P1852" s="10">
        <v>76.81</v>
      </c>
      <c r="Q1852" s="10">
        <v>76.180000000000007</v>
      </c>
      <c r="R1852" s="10">
        <v>75.53</v>
      </c>
      <c r="S1852" s="10">
        <v>74.86</v>
      </c>
      <c r="T1852" s="10">
        <v>74.23</v>
      </c>
      <c r="U1852" s="10">
        <v>73.67</v>
      </c>
      <c r="V1852" s="10">
        <v>73.13</v>
      </c>
      <c r="W1852" s="10">
        <v>72.62</v>
      </c>
      <c r="X1852" s="10">
        <v>72.150000000000006</v>
      </c>
      <c r="Y1852" s="10">
        <v>71.739999999999995</v>
      </c>
      <c r="Z1852" s="11">
        <v>80.884</v>
      </c>
      <c r="AA1852" s="11">
        <v>81.613</v>
      </c>
      <c r="AB1852" s="11">
        <v>80.915000000000006</v>
      </c>
      <c r="AC1852" s="11">
        <v>80.134</v>
      </c>
      <c r="AD1852" s="11">
        <v>79.352999999999994</v>
      </c>
      <c r="AE1852" s="11">
        <v>78.662000000000006</v>
      </c>
      <c r="AF1852" s="11">
        <v>78.010999999999996</v>
      </c>
      <c r="AG1852" s="11">
        <v>77.44</v>
      </c>
      <c r="AH1852" s="11">
        <v>76.94</v>
      </c>
      <c r="AI1852" s="11">
        <v>76.456000000000003</v>
      </c>
      <c r="AJ1852" s="11">
        <v>75.994</v>
      </c>
      <c r="AK1852" s="11">
        <v>75.625</v>
      </c>
      <c r="AL1852" s="11"/>
    </row>
    <row r="1853" spans="1:38" x14ac:dyDescent="0.3">
      <c r="A1853" s="9">
        <f>DATE(2024, 3, 1)</f>
        <v>45352</v>
      </c>
      <c r="B1853" s="10">
        <v>83.55</v>
      </c>
      <c r="C1853" s="10">
        <v>82.69</v>
      </c>
      <c r="D1853" s="10">
        <v>81.93</v>
      </c>
      <c r="E1853" s="10">
        <v>81.180000000000007</v>
      </c>
      <c r="F1853" s="10">
        <v>80.459999999999994</v>
      </c>
      <c r="G1853" s="10">
        <v>79.81</v>
      </c>
      <c r="H1853" s="10">
        <v>79.209999999999994</v>
      </c>
      <c r="I1853" s="10">
        <v>78.66</v>
      </c>
      <c r="J1853" s="10">
        <v>78.13</v>
      </c>
      <c r="K1853" s="10">
        <v>77.64</v>
      </c>
      <c r="L1853" s="10">
        <v>77.23</v>
      </c>
      <c r="M1853" s="10">
        <v>76.84</v>
      </c>
      <c r="N1853" s="10">
        <v>79.97</v>
      </c>
      <c r="O1853" s="10">
        <v>79.09</v>
      </c>
      <c r="P1853" s="10">
        <v>78.33</v>
      </c>
      <c r="Q1853" s="10">
        <v>77.59</v>
      </c>
      <c r="R1853" s="10">
        <v>76.84</v>
      </c>
      <c r="S1853" s="10">
        <v>76.09</v>
      </c>
      <c r="T1853" s="10">
        <v>75.37</v>
      </c>
      <c r="U1853" s="10">
        <v>74.72</v>
      </c>
      <c r="V1853" s="10">
        <v>74.11</v>
      </c>
      <c r="W1853" s="10">
        <v>73.52</v>
      </c>
      <c r="X1853" s="10">
        <v>72.989999999999995</v>
      </c>
      <c r="Y1853" s="10">
        <v>72.52</v>
      </c>
      <c r="Z1853" s="11">
        <v>80.884</v>
      </c>
      <c r="AA1853" s="11">
        <v>82.665999999999997</v>
      </c>
      <c r="AB1853" s="11">
        <v>82.084999999999994</v>
      </c>
      <c r="AC1853" s="11">
        <v>81.304000000000002</v>
      </c>
      <c r="AD1853" s="11">
        <v>80.501000000000005</v>
      </c>
      <c r="AE1853" s="11">
        <v>79.742999999999995</v>
      </c>
      <c r="AF1853" s="11">
        <v>79.028000000000006</v>
      </c>
      <c r="AG1853" s="11">
        <v>78.379000000000005</v>
      </c>
      <c r="AH1853" s="11">
        <v>77.816999999999993</v>
      </c>
      <c r="AI1853" s="11">
        <v>77.257000000000005</v>
      </c>
      <c r="AJ1853" s="11">
        <v>76.730999999999995</v>
      </c>
      <c r="AK1853" s="11">
        <v>76.311999999999998</v>
      </c>
      <c r="AL1853" s="11"/>
    </row>
    <row r="1854" spans="1:38" x14ac:dyDescent="0.3">
      <c r="A1854" s="9">
        <f>DATE(2024, 3, 4)</f>
        <v>45355</v>
      </c>
      <c r="B1854" s="10">
        <v>82.8</v>
      </c>
      <c r="C1854" s="10">
        <v>82.08</v>
      </c>
      <c r="D1854" s="10">
        <v>81.41</v>
      </c>
      <c r="E1854" s="10">
        <v>80.75</v>
      </c>
      <c r="F1854" s="10">
        <v>80.11</v>
      </c>
      <c r="G1854" s="10">
        <v>79.52</v>
      </c>
      <c r="H1854" s="10">
        <v>78.97</v>
      </c>
      <c r="I1854" s="10">
        <v>78.47</v>
      </c>
      <c r="J1854" s="10">
        <v>77.97</v>
      </c>
      <c r="K1854" s="10">
        <v>77.52</v>
      </c>
      <c r="L1854" s="10">
        <v>77.14</v>
      </c>
      <c r="M1854" s="10">
        <v>76.790000000000006</v>
      </c>
      <c r="N1854" s="10">
        <v>78.739999999999995</v>
      </c>
      <c r="O1854" s="10">
        <v>78.17</v>
      </c>
      <c r="P1854" s="10">
        <v>77.61</v>
      </c>
      <c r="Q1854" s="10">
        <v>77.010000000000005</v>
      </c>
      <c r="R1854" s="10">
        <v>76.38</v>
      </c>
      <c r="S1854" s="10">
        <v>75.739999999999995</v>
      </c>
      <c r="T1854" s="10">
        <v>75.099999999999994</v>
      </c>
      <c r="U1854" s="10">
        <v>74.52</v>
      </c>
      <c r="V1854" s="10">
        <v>73.97</v>
      </c>
      <c r="W1854" s="10">
        <v>73.45</v>
      </c>
      <c r="X1854" s="10">
        <v>72.98</v>
      </c>
      <c r="Y1854" s="10">
        <v>72.540000000000006</v>
      </c>
      <c r="Z1854" s="11">
        <v>82.197999999999993</v>
      </c>
      <c r="AA1854" s="11">
        <v>81.484999999999999</v>
      </c>
      <c r="AB1854" s="11">
        <v>80.691999999999993</v>
      </c>
      <c r="AC1854" s="11">
        <v>79.941999999999993</v>
      </c>
      <c r="AD1854" s="11">
        <v>79.210999999999999</v>
      </c>
      <c r="AE1854" s="11">
        <v>78.542000000000002</v>
      </c>
      <c r="AF1854" s="11">
        <v>77.947999999999993</v>
      </c>
      <c r="AG1854" s="11">
        <v>77.418000000000006</v>
      </c>
      <c r="AH1854" s="11">
        <v>76.906999999999996</v>
      </c>
      <c r="AI1854" s="11">
        <v>76.415999999999997</v>
      </c>
      <c r="AJ1854" s="11">
        <v>76.093999999999994</v>
      </c>
      <c r="AK1854" s="11">
        <v>75.772999999999996</v>
      </c>
      <c r="AL1854" s="11"/>
    </row>
    <row r="1855" spans="1:38" x14ac:dyDescent="0.3">
      <c r="A1855" s="9">
        <f>DATE(2024, 3, 5)</f>
        <v>45356</v>
      </c>
      <c r="B1855" s="10">
        <v>82.04</v>
      </c>
      <c r="C1855" s="10">
        <v>81.33</v>
      </c>
      <c r="D1855" s="10">
        <v>80.69</v>
      </c>
      <c r="E1855" s="10">
        <v>80.069999999999993</v>
      </c>
      <c r="F1855" s="10">
        <v>79.459999999999994</v>
      </c>
      <c r="G1855" s="10">
        <v>78.88</v>
      </c>
      <c r="H1855" s="10">
        <v>78.349999999999994</v>
      </c>
      <c r="I1855" s="10">
        <v>77.87</v>
      </c>
      <c r="J1855" s="10">
        <v>77.39</v>
      </c>
      <c r="K1855" s="10">
        <v>76.959999999999994</v>
      </c>
      <c r="L1855" s="10">
        <v>76.58</v>
      </c>
      <c r="M1855" s="10">
        <v>76.239999999999995</v>
      </c>
      <c r="N1855" s="10">
        <v>78.150000000000006</v>
      </c>
      <c r="O1855" s="10">
        <v>77.41</v>
      </c>
      <c r="P1855" s="10">
        <v>76.819999999999993</v>
      </c>
      <c r="Q1855" s="10">
        <v>76.22</v>
      </c>
      <c r="R1855" s="10">
        <v>75.61</v>
      </c>
      <c r="S1855" s="10">
        <v>75</v>
      </c>
      <c r="T1855" s="10">
        <v>74.39</v>
      </c>
      <c r="U1855" s="10">
        <v>73.819999999999993</v>
      </c>
      <c r="V1855" s="10">
        <v>73.28</v>
      </c>
      <c r="W1855" s="10">
        <v>72.78</v>
      </c>
      <c r="X1855" s="10">
        <v>72.33</v>
      </c>
      <c r="Y1855" s="10">
        <v>71.930000000000007</v>
      </c>
      <c r="Z1855" s="11">
        <v>81.661000000000001</v>
      </c>
      <c r="AA1855" s="11">
        <v>80.906000000000006</v>
      </c>
      <c r="AB1855" s="11">
        <v>80.111999999999995</v>
      </c>
      <c r="AC1855" s="11">
        <v>79.361000000000004</v>
      </c>
      <c r="AD1855" s="11">
        <v>78.66</v>
      </c>
      <c r="AE1855" s="11">
        <v>78.027000000000001</v>
      </c>
      <c r="AF1855" s="11">
        <v>77.474000000000004</v>
      </c>
      <c r="AG1855" s="11">
        <v>76.968999999999994</v>
      </c>
      <c r="AH1855" s="11">
        <v>76.48</v>
      </c>
      <c r="AI1855" s="11">
        <v>76.004000000000005</v>
      </c>
      <c r="AJ1855" s="11">
        <v>75.644999999999996</v>
      </c>
      <c r="AK1855" s="11">
        <v>75.322999999999993</v>
      </c>
      <c r="AL1855" s="11"/>
    </row>
    <row r="1856" spans="1:38" x14ac:dyDescent="0.3">
      <c r="A1856" s="9">
        <f>DATE(2024, 3, 6)</f>
        <v>45357</v>
      </c>
      <c r="B1856" s="10">
        <v>82.96</v>
      </c>
      <c r="C1856" s="10">
        <v>82.18</v>
      </c>
      <c r="D1856" s="10">
        <v>81.489999999999995</v>
      </c>
      <c r="E1856" s="10">
        <v>80.81</v>
      </c>
      <c r="F1856" s="10">
        <v>80.14</v>
      </c>
      <c r="G1856" s="10">
        <v>79.510000000000005</v>
      </c>
      <c r="H1856" s="10">
        <v>78.94</v>
      </c>
      <c r="I1856" s="10">
        <v>78.42</v>
      </c>
      <c r="J1856" s="10">
        <v>77.91</v>
      </c>
      <c r="K1856" s="10">
        <v>77.430000000000007</v>
      </c>
      <c r="L1856" s="10">
        <v>77.03</v>
      </c>
      <c r="M1856" s="10">
        <v>76.650000000000006</v>
      </c>
      <c r="N1856" s="10">
        <v>79.13</v>
      </c>
      <c r="O1856" s="10">
        <v>78.41</v>
      </c>
      <c r="P1856" s="10">
        <v>77.78</v>
      </c>
      <c r="Q1856" s="10">
        <v>77.14</v>
      </c>
      <c r="R1856" s="10">
        <v>76.47</v>
      </c>
      <c r="S1856" s="10">
        <v>75.790000000000006</v>
      </c>
      <c r="T1856" s="10">
        <v>75.12</v>
      </c>
      <c r="U1856" s="10">
        <v>74.5</v>
      </c>
      <c r="V1856" s="10">
        <v>73.92</v>
      </c>
      <c r="W1856" s="10">
        <v>73.37</v>
      </c>
      <c r="X1856" s="10">
        <v>72.87</v>
      </c>
      <c r="Y1856" s="10">
        <v>72.430000000000007</v>
      </c>
      <c r="Z1856" s="11">
        <v>82.438000000000002</v>
      </c>
      <c r="AA1856" s="11">
        <v>81.849000000000004</v>
      </c>
      <c r="AB1856" s="11">
        <v>80.978999999999999</v>
      </c>
      <c r="AC1856" s="11">
        <v>80.171999999999997</v>
      </c>
      <c r="AD1856" s="11">
        <v>79.412999999999997</v>
      </c>
      <c r="AE1856" s="11">
        <v>78.718999999999994</v>
      </c>
      <c r="AF1856" s="11">
        <v>78.105000000000004</v>
      </c>
      <c r="AG1856" s="11">
        <v>77.552999999999997</v>
      </c>
      <c r="AH1856" s="11">
        <v>77.016999999999996</v>
      </c>
      <c r="AI1856" s="11">
        <v>76.501999999999995</v>
      </c>
      <c r="AJ1856" s="11">
        <v>76.102999999999994</v>
      </c>
      <c r="AK1856" s="11">
        <v>75.751999999999995</v>
      </c>
      <c r="AL1856" s="11"/>
    </row>
    <row r="1857" spans="1:38" x14ac:dyDescent="0.3">
      <c r="A1857" s="9">
        <f>DATE(2024, 3, 7)</f>
        <v>45358</v>
      </c>
      <c r="B1857" s="10">
        <v>82.96</v>
      </c>
      <c r="C1857" s="10">
        <v>82.28</v>
      </c>
      <c r="D1857" s="10">
        <v>81.63</v>
      </c>
      <c r="E1857" s="10">
        <v>80.98</v>
      </c>
      <c r="F1857" s="10">
        <v>80.33</v>
      </c>
      <c r="G1857" s="10">
        <v>79.709999999999994</v>
      </c>
      <c r="H1857" s="10">
        <v>79.14</v>
      </c>
      <c r="I1857" s="10">
        <v>78.62</v>
      </c>
      <c r="J1857" s="10">
        <v>78.11</v>
      </c>
      <c r="K1857" s="10">
        <v>77.64</v>
      </c>
      <c r="L1857" s="10">
        <v>77.239999999999995</v>
      </c>
      <c r="M1857" s="10">
        <v>76.87</v>
      </c>
      <c r="N1857" s="10">
        <v>78.930000000000007</v>
      </c>
      <c r="O1857" s="10">
        <v>78.319999999999993</v>
      </c>
      <c r="P1857" s="10">
        <v>77.78</v>
      </c>
      <c r="Q1857" s="10">
        <v>77.2</v>
      </c>
      <c r="R1857" s="10">
        <v>76.56</v>
      </c>
      <c r="S1857" s="10">
        <v>75.900000000000006</v>
      </c>
      <c r="T1857" s="10">
        <v>75.239999999999995</v>
      </c>
      <c r="U1857" s="10">
        <v>74.64</v>
      </c>
      <c r="V1857" s="10">
        <v>74.069999999999993</v>
      </c>
      <c r="W1857" s="10">
        <v>73.52</v>
      </c>
      <c r="X1857" s="10">
        <v>73.03</v>
      </c>
      <c r="Y1857" s="10">
        <v>72.59</v>
      </c>
      <c r="Z1857" s="11">
        <v>82.540999999999997</v>
      </c>
      <c r="AA1857" s="11">
        <v>82.064999999999998</v>
      </c>
      <c r="AB1857" s="11">
        <v>81.168999999999997</v>
      </c>
      <c r="AC1857" s="11">
        <v>80.346000000000004</v>
      </c>
      <c r="AD1857" s="11">
        <v>79.59</v>
      </c>
      <c r="AE1857" s="11">
        <v>78.917000000000002</v>
      </c>
      <c r="AF1857" s="11">
        <v>78.316000000000003</v>
      </c>
      <c r="AG1857" s="11">
        <v>77.765000000000001</v>
      </c>
      <c r="AH1857" s="11">
        <v>77.228999999999999</v>
      </c>
      <c r="AI1857" s="11">
        <v>76.712999999999994</v>
      </c>
      <c r="AJ1857" s="11">
        <v>76.317999999999998</v>
      </c>
      <c r="AK1857" s="11">
        <v>75.966999999999999</v>
      </c>
      <c r="AL1857" s="11"/>
    </row>
    <row r="1858" spans="1:38" x14ac:dyDescent="0.3">
      <c r="A1858" s="9">
        <f>DATE(2024, 3, 8)</f>
        <v>45359</v>
      </c>
      <c r="B1858" s="10">
        <v>82.08</v>
      </c>
      <c r="C1858" s="10">
        <v>81.510000000000005</v>
      </c>
      <c r="D1858" s="10">
        <v>80.92</v>
      </c>
      <c r="E1858" s="10">
        <v>80.31</v>
      </c>
      <c r="F1858" s="10">
        <v>79.69</v>
      </c>
      <c r="G1858" s="10">
        <v>79.09</v>
      </c>
      <c r="H1858" s="10">
        <v>78.53</v>
      </c>
      <c r="I1858" s="10">
        <v>78.010000000000005</v>
      </c>
      <c r="J1858" s="10">
        <v>77.5</v>
      </c>
      <c r="K1858" s="10">
        <v>77.040000000000006</v>
      </c>
      <c r="L1858" s="10">
        <v>76.64</v>
      </c>
      <c r="M1858" s="10">
        <v>76.28</v>
      </c>
      <c r="N1858" s="10">
        <v>78.010000000000005</v>
      </c>
      <c r="O1858" s="10">
        <v>77.5</v>
      </c>
      <c r="P1858" s="10">
        <v>77.03</v>
      </c>
      <c r="Q1858" s="10">
        <v>76.510000000000005</v>
      </c>
      <c r="R1858" s="10">
        <v>75.92</v>
      </c>
      <c r="S1858" s="10">
        <v>75.290000000000006</v>
      </c>
      <c r="T1858" s="10">
        <v>74.650000000000006</v>
      </c>
      <c r="U1858" s="10">
        <v>74.08</v>
      </c>
      <c r="V1858" s="10">
        <v>73.510000000000005</v>
      </c>
      <c r="W1858" s="10">
        <v>72.97</v>
      </c>
      <c r="X1858" s="10">
        <v>72.48</v>
      </c>
      <c r="Y1858" s="10">
        <v>72.040000000000006</v>
      </c>
      <c r="Z1858" s="11">
        <v>82.117000000000004</v>
      </c>
      <c r="AA1858" s="11">
        <v>81.41</v>
      </c>
      <c r="AB1858" s="11">
        <v>80.551000000000002</v>
      </c>
      <c r="AC1858" s="11">
        <v>79.790000000000006</v>
      </c>
      <c r="AD1858" s="11">
        <v>79.06</v>
      </c>
      <c r="AE1858" s="11">
        <v>78.399000000000001</v>
      </c>
      <c r="AF1858" s="11">
        <v>77.798000000000002</v>
      </c>
      <c r="AG1858" s="11">
        <v>77.227999999999994</v>
      </c>
      <c r="AH1858" s="11">
        <v>76.677999999999997</v>
      </c>
      <c r="AI1858" s="11">
        <v>76.167000000000002</v>
      </c>
      <c r="AJ1858" s="11">
        <v>75.774000000000001</v>
      </c>
      <c r="AK1858" s="11">
        <v>75.423000000000002</v>
      </c>
      <c r="AL1858" s="11"/>
    </row>
    <row r="1859" spans="1:38" x14ac:dyDescent="0.3">
      <c r="A1859" s="9">
        <f>DATE(2024, 3, 11)</f>
        <v>45362</v>
      </c>
      <c r="B1859" s="10">
        <v>82.21</v>
      </c>
      <c r="C1859" s="10">
        <v>81.72</v>
      </c>
      <c r="D1859" s="10">
        <v>81.2</v>
      </c>
      <c r="E1859" s="10">
        <v>80.63</v>
      </c>
      <c r="F1859" s="10">
        <v>80.03</v>
      </c>
      <c r="G1859" s="10">
        <v>79.44</v>
      </c>
      <c r="H1859" s="10">
        <v>78.900000000000006</v>
      </c>
      <c r="I1859" s="10">
        <v>78.39</v>
      </c>
      <c r="J1859" s="10">
        <v>77.900000000000006</v>
      </c>
      <c r="K1859" s="10">
        <v>77.45</v>
      </c>
      <c r="L1859" s="10">
        <v>77.06</v>
      </c>
      <c r="M1859" s="10">
        <v>76.709999999999994</v>
      </c>
      <c r="N1859" s="10">
        <v>77.930000000000007</v>
      </c>
      <c r="O1859" s="10">
        <v>77.53</v>
      </c>
      <c r="P1859" s="10">
        <v>77.14</v>
      </c>
      <c r="Q1859" s="10">
        <v>76.69</v>
      </c>
      <c r="R1859" s="10">
        <v>76.150000000000006</v>
      </c>
      <c r="S1859" s="10">
        <v>75.55</v>
      </c>
      <c r="T1859" s="10">
        <v>74.95</v>
      </c>
      <c r="U1859" s="10">
        <v>74.400000000000006</v>
      </c>
      <c r="V1859" s="10">
        <v>73.849999999999994</v>
      </c>
      <c r="W1859" s="10">
        <v>73.33</v>
      </c>
      <c r="X1859" s="10">
        <v>72.86</v>
      </c>
      <c r="Y1859" s="10">
        <v>72.45</v>
      </c>
      <c r="Z1859" s="11">
        <v>82.259</v>
      </c>
      <c r="AA1859" s="11">
        <v>81.751000000000005</v>
      </c>
      <c r="AB1859" s="11">
        <v>80.92</v>
      </c>
      <c r="AC1859" s="11">
        <v>80.150999999999996</v>
      </c>
      <c r="AD1859" s="11">
        <v>79.444999999999993</v>
      </c>
      <c r="AE1859" s="11">
        <v>78.802000000000007</v>
      </c>
      <c r="AF1859" s="11">
        <v>78.200999999999993</v>
      </c>
      <c r="AG1859" s="11">
        <v>77.649000000000001</v>
      </c>
      <c r="AH1859" s="11">
        <v>77.119</v>
      </c>
      <c r="AI1859" s="11">
        <v>76.623000000000005</v>
      </c>
      <c r="AJ1859" s="11">
        <v>76.253</v>
      </c>
      <c r="AK1859" s="11">
        <v>75.923000000000002</v>
      </c>
      <c r="AL1859" s="11"/>
    </row>
    <row r="1860" spans="1:38" x14ac:dyDescent="0.3">
      <c r="A1860" s="9">
        <f>DATE(2024, 3, 12)</f>
        <v>45363</v>
      </c>
      <c r="B1860" s="10">
        <v>81.92</v>
      </c>
      <c r="C1860" s="10">
        <v>81.459999999999994</v>
      </c>
      <c r="D1860" s="10">
        <v>80.95</v>
      </c>
      <c r="E1860" s="10">
        <v>80.39</v>
      </c>
      <c r="F1860" s="10">
        <v>79.8</v>
      </c>
      <c r="G1860" s="10">
        <v>79.22</v>
      </c>
      <c r="H1860" s="10">
        <v>78.67</v>
      </c>
      <c r="I1860" s="10">
        <v>78.16</v>
      </c>
      <c r="J1860" s="10">
        <v>77.66</v>
      </c>
      <c r="K1860" s="10">
        <v>77.209999999999994</v>
      </c>
      <c r="L1860" s="10">
        <v>76.819999999999993</v>
      </c>
      <c r="M1860" s="10">
        <v>76.459999999999994</v>
      </c>
      <c r="N1860" s="10">
        <v>77.56</v>
      </c>
      <c r="O1860" s="10">
        <v>77.25</v>
      </c>
      <c r="P1860" s="10">
        <v>76.900000000000006</v>
      </c>
      <c r="Q1860" s="10">
        <v>76.459999999999994</v>
      </c>
      <c r="R1860" s="10">
        <v>75.930000000000007</v>
      </c>
      <c r="S1860" s="10">
        <v>75.33</v>
      </c>
      <c r="T1860" s="10">
        <v>74.73</v>
      </c>
      <c r="U1860" s="10">
        <v>74.180000000000007</v>
      </c>
      <c r="V1860" s="10">
        <v>73.64</v>
      </c>
      <c r="W1860" s="10">
        <v>73.12</v>
      </c>
      <c r="X1860" s="10">
        <v>72.66</v>
      </c>
      <c r="Y1860" s="10">
        <v>72.25</v>
      </c>
      <c r="Z1860" s="11">
        <v>82.192999999999998</v>
      </c>
      <c r="AA1860" s="11">
        <v>81.606999999999999</v>
      </c>
      <c r="AB1860" s="11">
        <v>80.769000000000005</v>
      </c>
      <c r="AC1860" s="11">
        <v>79.988</v>
      </c>
      <c r="AD1860" s="11">
        <v>79.275000000000006</v>
      </c>
      <c r="AE1860" s="11">
        <v>78.623999999999995</v>
      </c>
      <c r="AF1860" s="11">
        <v>78.013000000000005</v>
      </c>
      <c r="AG1860" s="11">
        <v>77.453000000000003</v>
      </c>
      <c r="AH1860" s="11">
        <v>76.929000000000002</v>
      </c>
      <c r="AI1860" s="11">
        <v>76.418000000000006</v>
      </c>
      <c r="AJ1860" s="11">
        <v>76.009</v>
      </c>
      <c r="AK1860" s="11">
        <v>75.638000000000005</v>
      </c>
      <c r="AL1860" s="11"/>
    </row>
    <row r="1861" spans="1:38" x14ac:dyDescent="0.3">
      <c r="A1861" s="9">
        <f>DATE(2024, 3, 13)</f>
        <v>45364</v>
      </c>
      <c r="B1861" s="10">
        <v>84.03</v>
      </c>
      <c r="C1861" s="10">
        <v>83.44</v>
      </c>
      <c r="D1861" s="10">
        <v>82.81</v>
      </c>
      <c r="E1861" s="10">
        <v>82.16</v>
      </c>
      <c r="F1861" s="10">
        <v>81.5</v>
      </c>
      <c r="G1861" s="10">
        <v>80.849999999999994</v>
      </c>
      <c r="H1861" s="10">
        <v>80.25</v>
      </c>
      <c r="I1861" s="10">
        <v>79.69</v>
      </c>
      <c r="J1861" s="10">
        <v>79.150000000000006</v>
      </c>
      <c r="K1861" s="10">
        <v>78.650000000000006</v>
      </c>
      <c r="L1861" s="10">
        <v>78.23</v>
      </c>
      <c r="M1861" s="10">
        <v>77.84</v>
      </c>
      <c r="N1861" s="10">
        <v>79.72</v>
      </c>
      <c r="O1861" s="10">
        <v>79.3</v>
      </c>
      <c r="P1861" s="10">
        <v>78.84</v>
      </c>
      <c r="Q1861" s="10">
        <v>78.31</v>
      </c>
      <c r="R1861" s="10">
        <v>77.7</v>
      </c>
      <c r="S1861" s="10">
        <v>77.02</v>
      </c>
      <c r="T1861" s="10">
        <v>76.349999999999994</v>
      </c>
      <c r="U1861" s="10">
        <v>75.73</v>
      </c>
      <c r="V1861" s="10">
        <v>75.14</v>
      </c>
      <c r="W1861" s="10">
        <v>74.569999999999993</v>
      </c>
      <c r="X1861" s="10">
        <v>74.06</v>
      </c>
      <c r="Y1861" s="10">
        <v>73.599999999999994</v>
      </c>
      <c r="Z1861" s="11">
        <v>83.242000000000004</v>
      </c>
      <c r="AA1861" s="11">
        <v>83.551000000000002</v>
      </c>
      <c r="AB1861" s="11">
        <v>82.652000000000001</v>
      </c>
      <c r="AC1861" s="11">
        <v>81.805999999999997</v>
      </c>
      <c r="AD1861" s="11">
        <v>81.007000000000005</v>
      </c>
      <c r="AE1861" s="11">
        <v>80.278000000000006</v>
      </c>
      <c r="AF1861" s="11">
        <v>79.619</v>
      </c>
      <c r="AG1861" s="11">
        <v>79.012</v>
      </c>
      <c r="AH1861" s="11">
        <v>78.426000000000002</v>
      </c>
      <c r="AI1861" s="11">
        <v>77.87</v>
      </c>
      <c r="AJ1861" s="11">
        <v>77.421999999999997</v>
      </c>
      <c r="AK1861" s="11">
        <v>77.040999999999997</v>
      </c>
      <c r="AL1861" s="11"/>
    </row>
    <row r="1862" spans="1:38" x14ac:dyDescent="0.3">
      <c r="A1862" s="9">
        <f>DATE(2024, 3, 14)</f>
        <v>45365</v>
      </c>
      <c r="B1862" s="10">
        <v>85.42</v>
      </c>
      <c r="C1862" s="10">
        <v>84.74</v>
      </c>
      <c r="D1862" s="10">
        <v>84.03</v>
      </c>
      <c r="E1862" s="10">
        <v>83.33</v>
      </c>
      <c r="F1862" s="10">
        <v>82.62</v>
      </c>
      <c r="G1862" s="10">
        <v>81.93</v>
      </c>
      <c r="H1862" s="10">
        <v>81.28</v>
      </c>
      <c r="I1862" s="10">
        <v>80.680000000000007</v>
      </c>
      <c r="J1862" s="10">
        <v>80.099999999999994</v>
      </c>
      <c r="K1862" s="10">
        <v>79.569999999999993</v>
      </c>
      <c r="L1862" s="10">
        <v>79.099999999999994</v>
      </c>
      <c r="M1862" s="10">
        <v>78.67</v>
      </c>
      <c r="N1862" s="10">
        <v>81.260000000000005</v>
      </c>
      <c r="O1862" s="10">
        <v>80.739999999999995</v>
      </c>
      <c r="P1862" s="10">
        <v>80.19</v>
      </c>
      <c r="Q1862" s="10">
        <v>79.569999999999993</v>
      </c>
      <c r="R1862" s="10">
        <v>78.88</v>
      </c>
      <c r="S1862" s="10">
        <v>78.16</v>
      </c>
      <c r="T1862" s="10">
        <v>77.45</v>
      </c>
      <c r="U1862" s="10">
        <v>76.790000000000006</v>
      </c>
      <c r="V1862" s="10">
        <v>76.150000000000006</v>
      </c>
      <c r="W1862" s="10">
        <v>75.540000000000006</v>
      </c>
      <c r="X1862" s="10">
        <v>74.989999999999995</v>
      </c>
      <c r="Y1862" s="10">
        <v>74.5</v>
      </c>
      <c r="Z1862" s="11">
        <v>83.864000000000004</v>
      </c>
      <c r="AA1862" s="11">
        <v>84.727999999999994</v>
      </c>
      <c r="AB1862" s="11">
        <v>83.78</v>
      </c>
      <c r="AC1862" s="11">
        <v>82.9</v>
      </c>
      <c r="AD1862" s="11">
        <v>82.064999999999998</v>
      </c>
      <c r="AE1862" s="11">
        <v>81.31</v>
      </c>
      <c r="AF1862" s="11">
        <v>80.600999999999999</v>
      </c>
      <c r="AG1862" s="11">
        <v>79.95</v>
      </c>
      <c r="AH1862" s="11">
        <v>79.325000000000003</v>
      </c>
      <c r="AI1862" s="11">
        <v>78.734999999999999</v>
      </c>
      <c r="AJ1862" s="11">
        <v>78.27</v>
      </c>
      <c r="AK1862" s="11">
        <v>77.849999999999994</v>
      </c>
      <c r="AL1862" s="11"/>
    </row>
    <row r="1863" spans="1:38" x14ac:dyDescent="0.3">
      <c r="A1863" s="9">
        <f>DATE(2024, 3, 15)</f>
        <v>45366</v>
      </c>
      <c r="B1863" s="10">
        <v>85.34</v>
      </c>
      <c r="C1863" s="10">
        <v>84.75</v>
      </c>
      <c r="D1863" s="10">
        <v>84.11</v>
      </c>
      <c r="E1863" s="10">
        <v>83.46</v>
      </c>
      <c r="F1863" s="10">
        <v>82.79</v>
      </c>
      <c r="G1863" s="10">
        <v>82.12</v>
      </c>
      <c r="H1863" s="10">
        <v>81.5</v>
      </c>
      <c r="I1863" s="10">
        <v>80.91</v>
      </c>
      <c r="J1863" s="10">
        <v>80.34</v>
      </c>
      <c r="K1863" s="10">
        <v>79.83</v>
      </c>
      <c r="L1863" s="10">
        <v>79.37</v>
      </c>
      <c r="M1863" s="10">
        <v>78.95</v>
      </c>
      <c r="N1863" s="10">
        <v>81.040000000000006</v>
      </c>
      <c r="O1863" s="10">
        <v>80.58</v>
      </c>
      <c r="P1863" s="10">
        <v>80.14</v>
      </c>
      <c r="Q1863" s="10">
        <v>79.61</v>
      </c>
      <c r="R1863" s="10">
        <v>78.98</v>
      </c>
      <c r="S1863" s="10">
        <v>78.3</v>
      </c>
      <c r="T1863" s="10">
        <v>77.62</v>
      </c>
      <c r="U1863" s="10">
        <v>76.98</v>
      </c>
      <c r="V1863" s="10">
        <v>76.349999999999994</v>
      </c>
      <c r="W1863" s="10">
        <v>75.75</v>
      </c>
      <c r="X1863" s="10">
        <v>75.209999999999994</v>
      </c>
      <c r="Y1863" s="10">
        <v>74.709999999999994</v>
      </c>
      <c r="Z1863" s="11">
        <v>83.831999999999994</v>
      </c>
      <c r="AA1863" s="11">
        <v>84.8</v>
      </c>
      <c r="AB1863" s="11">
        <v>83.870999999999995</v>
      </c>
      <c r="AC1863" s="11">
        <v>83.043000000000006</v>
      </c>
      <c r="AD1863" s="11">
        <v>82.241</v>
      </c>
      <c r="AE1863" s="11">
        <v>81.488</v>
      </c>
      <c r="AF1863" s="11">
        <v>80.796999999999997</v>
      </c>
      <c r="AG1863" s="11">
        <v>80.156999999999996</v>
      </c>
      <c r="AH1863" s="11">
        <v>79.546000000000006</v>
      </c>
      <c r="AI1863" s="11">
        <v>78.975999999999999</v>
      </c>
      <c r="AJ1863" s="11">
        <v>78.516000000000005</v>
      </c>
      <c r="AK1863" s="11">
        <v>78.099999999999994</v>
      </c>
      <c r="AL1863" s="11"/>
    </row>
    <row r="1864" spans="1:38" x14ac:dyDescent="0.3">
      <c r="A1864" s="9">
        <f>DATE(2024, 3, 18)</f>
        <v>45369</v>
      </c>
      <c r="B1864" s="10">
        <v>86.89</v>
      </c>
      <c r="C1864" s="10">
        <v>86.19</v>
      </c>
      <c r="D1864" s="10">
        <v>85.42</v>
      </c>
      <c r="E1864" s="10">
        <v>84.68</v>
      </c>
      <c r="F1864" s="10">
        <v>83.94</v>
      </c>
      <c r="G1864" s="10">
        <v>83.21</v>
      </c>
      <c r="H1864" s="10">
        <v>82.53</v>
      </c>
      <c r="I1864" s="10">
        <v>81.88</v>
      </c>
      <c r="J1864" s="10">
        <v>81.25</v>
      </c>
      <c r="K1864" s="10">
        <v>80.680000000000007</v>
      </c>
      <c r="L1864" s="10">
        <v>80.180000000000007</v>
      </c>
      <c r="M1864" s="10">
        <v>79.72</v>
      </c>
      <c r="N1864" s="10">
        <v>82.72</v>
      </c>
      <c r="O1864" s="10">
        <v>82.16</v>
      </c>
      <c r="P1864" s="10">
        <v>81.61</v>
      </c>
      <c r="Q1864" s="10">
        <v>80.959999999999994</v>
      </c>
      <c r="R1864" s="10">
        <v>80.23</v>
      </c>
      <c r="S1864" s="10">
        <v>79.459999999999994</v>
      </c>
      <c r="T1864" s="10">
        <v>78.69</v>
      </c>
      <c r="U1864" s="10">
        <v>77.97</v>
      </c>
      <c r="V1864" s="10">
        <v>77.28</v>
      </c>
      <c r="W1864" s="10">
        <v>76.63</v>
      </c>
      <c r="X1864" s="10">
        <v>76.03</v>
      </c>
      <c r="Y1864" s="10">
        <v>75.48</v>
      </c>
      <c r="Z1864" s="11">
        <v>84.477000000000004</v>
      </c>
      <c r="AA1864" s="11">
        <v>86.32</v>
      </c>
      <c r="AB1864" s="11">
        <v>85.317999999999998</v>
      </c>
      <c r="AC1864" s="11">
        <v>84.381</v>
      </c>
      <c r="AD1864" s="11">
        <v>83.478999999999999</v>
      </c>
      <c r="AE1864" s="11">
        <v>82.667000000000002</v>
      </c>
      <c r="AF1864" s="11">
        <v>81.906999999999996</v>
      </c>
      <c r="AG1864" s="11">
        <v>81.221000000000004</v>
      </c>
      <c r="AH1864" s="11">
        <v>80.552999999999997</v>
      </c>
      <c r="AI1864" s="11">
        <v>79.92</v>
      </c>
      <c r="AJ1864" s="11">
        <v>79.409000000000006</v>
      </c>
      <c r="AK1864" s="11">
        <v>78.938000000000002</v>
      </c>
      <c r="AL1864" s="11"/>
    </row>
    <row r="1865" spans="1:38" x14ac:dyDescent="0.3">
      <c r="A1865" s="9">
        <f>DATE(2024, 3, 19)</f>
        <v>45370</v>
      </c>
      <c r="B1865" s="10">
        <v>87.38</v>
      </c>
      <c r="C1865" s="10">
        <v>86.62</v>
      </c>
      <c r="D1865" s="10">
        <v>85.83</v>
      </c>
      <c r="E1865" s="10">
        <v>85.06</v>
      </c>
      <c r="F1865" s="10">
        <v>84.28</v>
      </c>
      <c r="G1865" s="10">
        <v>83.53</v>
      </c>
      <c r="H1865" s="10">
        <v>82.83</v>
      </c>
      <c r="I1865" s="10">
        <v>82.17</v>
      </c>
      <c r="J1865" s="10">
        <v>81.53</v>
      </c>
      <c r="K1865" s="10">
        <v>80.95</v>
      </c>
      <c r="L1865" s="10">
        <v>80.44</v>
      </c>
      <c r="M1865" s="10">
        <v>79.97</v>
      </c>
      <c r="N1865" s="10">
        <v>83.47</v>
      </c>
      <c r="O1865" s="10">
        <v>82.73</v>
      </c>
      <c r="P1865" s="10">
        <v>82.08</v>
      </c>
      <c r="Q1865" s="10">
        <v>81.38</v>
      </c>
      <c r="R1865" s="10">
        <v>80.61</v>
      </c>
      <c r="S1865" s="10">
        <v>79.81</v>
      </c>
      <c r="T1865" s="10">
        <v>79.03</v>
      </c>
      <c r="U1865" s="10">
        <v>78.28</v>
      </c>
      <c r="V1865" s="10">
        <v>77.56</v>
      </c>
      <c r="W1865" s="10">
        <v>76.89</v>
      </c>
      <c r="X1865" s="10">
        <v>76.27</v>
      </c>
      <c r="Y1865" s="10">
        <v>75.72</v>
      </c>
      <c r="Z1865" s="11">
        <v>84.602999999999994</v>
      </c>
      <c r="AA1865" s="11">
        <v>86.721000000000004</v>
      </c>
      <c r="AB1865" s="11">
        <v>85.715999999999994</v>
      </c>
      <c r="AC1865" s="11">
        <v>84.77</v>
      </c>
      <c r="AD1865" s="11">
        <v>83.846000000000004</v>
      </c>
      <c r="AE1865" s="11">
        <v>83.003</v>
      </c>
      <c r="AF1865" s="11">
        <v>82.233999999999995</v>
      </c>
      <c r="AG1865" s="11">
        <v>81.527000000000001</v>
      </c>
      <c r="AH1865" s="11">
        <v>80.846999999999994</v>
      </c>
      <c r="AI1865" s="11">
        <v>80.206000000000003</v>
      </c>
      <c r="AJ1865" s="11">
        <v>79.703999999999994</v>
      </c>
      <c r="AK1865" s="11">
        <v>79.233000000000004</v>
      </c>
      <c r="AL1865" s="11"/>
    </row>
    <row r="1866" spans="1:38" x14ac:dyDescent="0.3">
      <c r="A1866" s="9">
        <f>DATE(2024, 3, 20)</f>
        <v>45371</v>
      </c>
      <c r="B1866" s="10">
        <v>85.95</v>
      </c>
      <c r="C1866" s="10">
        <v>85.38</v>
      </c>
      <c r="D1866" s="10">
        <v>84.72</v>
      </c>
      <c r="E1866" s="10">
        <v>84.03</v>
      </c>
      <c r="F1866" s="10">
        <v>83.34</v>
      </c>
      <c r="G1866" s="10">
        <v>82.67</v>
      </c>
      <c r="H1866" s="10">
        <v>82.02</v>
      </c>
      <c r="I1866" s="10">
        <v>81.400000000000006</v>
      </c>
      <c r="J1866" s="10">
        <v>80.8</v>
      </c>
      <c r="K1866" s="10">
        <v>80.25</v>
      </c>
      <c r="L1866" s="10">
        <v>79.77</v>
      </c>
      <c r="M1866" s="10">
        <v>79.319999999999993</v>
      </c>
      <c r="N1866" s="10">
        <v>81.680000000000007</v>
      </c>
      <c r="O1866" s="10">
        <v>81.27</v>
      </c>
      <c r="P1866" s="10">
        <v>80.78</v>
      </c>
      <c r="Q1866" s="10">
        <v>80.180000000000007</v>
      </c>
      <c r="R1866" s="10">
        <v>79.510000000000005</v>
      </c>
      <c r="S1866" s="10">
        <v>78.790000000000006</v>
      </c>
      <c r="T1866" s="10">
        <v>78.06</v>
      </c>
      <c r="U1866" s="10">
        <v>77.36</v>
      </c>
      <c r="V1866" s="10">
        <v>76.7</v>
      </c>
      <c r="W1866" s="10">
        <v>76.069999999999993</v>
      </c>
      <c r="X1866" s="10">
        <v>75.489999999999995</v>
      </c>
      <c r="Y1866" s="10">
        <v>74.959999999999994</v>
      </c>
      <c r="Z1866" s="11">
        <v>84.183999999999997</v>
      </c>
      <c r="AA1866" s="11">
        <v>85.506</v>
      </c>
      <c r="AB1866" s="11">
        <v>84.566000000000003</v>
      </c>
      <c r="AC1866" s="11">
        <v>83.709000000000003</v>
      </c>
      <c r="AD1866" s="11">
        <v>82.861999999999995</v>
      </c>
      <c r="AE1866" s="11">
        <v>82.078999999999994</v>
      </c>
      <c r="AF1866" s="11">
        <v>81.358999999999995</v>
      </c>
      <c r="AG1866" s="11">
        <v>80.688999999999993</v>
      </c>
      <c r="AH1866" s="11">
        <v>80.049000000000007</v>
      </c>
      <c r="AI1866" s="11">
        <v>79.448999999999998</v>
      </c>
      <c r="AJ1866" s="11">
        <v>78.988</v>
      </c>
      <c r="AK1866" s="11">
        <v>78.549000000000007</v>
      </c>
      <c r="AL1866" s="11"/>
    </row>
    <row r="1867" spans="1:38" x14ac:dyDescent="0.3">
      <c r="A1867" s="9">
        <f>DATE(2024, 3, 21)</f>
        <v>45372</v>
      </c>
      <c r="B1867" s="10">
        <v>85.78</v>
      </c>
      <c r="C1867" s="10">
        <v>85.24</v>
      </c>
      <c r="D1867" s="10">
        <v>84.6</v>
      </c>
      <c r="E1867" s="10">
        <v>83.93</v>
      </c>
      <c r="F1867" s="10">
        <v>83.25</v>
      </c>
      <c r="G1867" s="10">
        <v>82.57</v>
      </c>
      <c r="H1867" s="10">
        <v>81.94</v>
      </c>
      <c r="I1867" s="10">
        <v>81.34</v>
      </c>
      <c r="J1867" s="10">
        <v>80.760000000000005</v>
      </c>
      <c r="K1867" s="10">
        <v>80.22</v>
      </c>
      <c r="L1867" s="10">
        <v>79.73</v>
      </c>
      <c r="M1867" s="10">
        <v>79.28</v>
      </c>
      <c r="N1867" s="10">
        <v>81.069999999999993</v>
      </c>
      <c r="O1867" s="10">
        <v>80.64</v>
      </c>
      <c r="P1867" s="10">
        <v>80.09</v>
      </c>
      <c r="Q1867" s="10">
        <v>79.45</v>
      </c>
      <c r="R1867" s="10">
        <v>78.75</v>
      </c>
      <c r="S1867" s="10">
        <v>78.05</v>
      </c>
      <c r="T1867" s="10">
        <v>77.38</v>
      </c>
      <c r="U1867" s="10">
        <v>76.72</v>
      </c>
      <c r="V1867" s="10">
        <v>76.099999999999994</v>
      </c>
      <c r="W1867" s="10">
        <v>75.53</v>
      </c>
      <c r="X1867" s="10">
        <v>75.010000000000005</v>
      </c>
      <c r="Y1867" s="10">
        <v>74.53</v>
      </c>
      <c r="Z1867" s="11">
        <v>84.153000000000006</v>
      </c>
      <c r="AA1867" s="11">
        <v>85.340999999999994</v>
      </c>
      <c r="AB1867" s="11">
        <v>84.400999999999996</v>
      </c>
      <c r="AC1867" s="11">
        <v>83.566000000000003</v>
      </c>
      <c r="AD1867" s="11">
        <v>82.745999999999995</v>
      </c>
      <c r="AE1867" s="11">
        <v>81.986000000000004</v>
      </c>
      <c r="AF1867" s="11">
        <v>81.286000000000001</v>
      </c>
      <c r="AG1867" s="11">
        <v>80.635000000000005</v>
      </c>
      <c r="AH1867" s="11">
        <v>80.013999999999996</v>
      </c>
      <c r="AI1867" s="11">
        <v>79.423000000000002</v>
      </c>
      <c r="AJ1867" s="11">
        <v>78.94</v>
      </c>
      <c r="AK1867" s="11">
        <v>78.489000000000004</v>
      </c>
      <c r="AL1867" s="11"/>
    </row>
    <row r="1868" spans="1:38" x14ac:dyDescent="0.3">
      <c r="A1868" s="9">
        <f>DATE(2024, 3, 22)</f>
        <v>45373</v>
      </c>
      <c r="B1868" s="10">
        <v>85.43</v>
      </c>
      <c r="C1868" s="10">
        <v>84.83</v>
      </c>
      <c r="D1868" s="10">
        <v>84.15</v>
      </c>
      <c r="E1868" s="10">
        <v>83.46</v>
      </c>
      <c r="F1868" s="10">
        <v>82.77</v>
      </c>
      <c r="G1868" s="10">
        <v>82.09</v>
      </c>
      <c r="H1868" s="10">
        <v>81.45</v>
      </c>
      <c r="I1868" s="10">
        <v>80.849999999999994</v>
      </c>
      <c r="J1868" s="10">
        <v>80.27</v>
      </c>
      <c r="K1868" s="10">
        <v>79.73</v>
      </c>
      <c r="L1868" s="10">
        <v>79.25</v>
      </c>
      <c r="M1868" s="10">
        <v>78.81</v>
      </c>
      <c r="N1868" s="10">
        <v>80.63</v>
      </c>
      <c r="O1868" s="10">
        <v>80.17</v>
      </c>
      <c r="P1868" s="10">
        <v>79.61</v>
      </c>
      <c r="Q1868" s="10">
        <v>78.95</v>
      </c>
      <c r="R1868" s="10">
        <v>78.23</v>
      </c>
      <c r="S1868" s="10">
        <v>77.510000000000005</v>
      </c>
      <c r="T1868" s="10">
        <v>76.83</v>
      </c>
      <c r="U1868" s="10">
        <v>76.180000000000007</v>
      </c>
      <c r="V1868" s="10">
        <v>75.569999999999993</v>
      </c>
      <c r="W1868" s="10">
        <v>75</v>
      </c>
      <c r="X1868" s="10">
        <v>74.489999999999995</v>
      </c>
      <c r="Y1868" s="10">
        <v>74.02</v>
      </c>
      <c r="Z1868" s="11">
        <v>84.046999999999997</v>
      </c>
      <c r="AA1868" s="11">
        <v>84.933999999999997</v>
      </c>
      <c r="AB1868" s="11">
        <v>83.998999999999995</v>
      </c>
      <c r="AC1868" s="11">
        <v>83.153999999999996</v>
      </c>
      <c r="AD1868" s="11">
        <v>82.33</v>
      </c>
      <c r="AE1868" s="11">
        <v>81.561000000000007</v>
      </c>
      <c r="AF1868" s="11">
        <v>80.850999999999999</v>
      </c>
      <c r="AG1868" s="11">
        <v>80.194999999999993</v>
      </c>
      <c r="AH1868" s="11">
        <v>79.563999999999993</v>
      </c>
      <c r="AI1868" s="11">
        <v>78.974000000000004</v>
      </c>
      <c r="AJ1868" s="11">
        <v>78.489999999999995</v>
      </c>
      <c r="AK1868" s="11">
        <v>78.028999999999996</v>
      </c>
      <c r="AL1868" s="11"/>
    </row>
    <row r="1869" spans="1:38" x14ac:dyDescent="0.3">
      <c r="A1869" s="9">
        <f>DATE(2024, 3, 25)</f>
        <v>45376</v>
      </c>
      <c r="B1869" s="10">
        <v>86.75</v>
      </c>
      <c r="C1869" s="10">
        <v>86.08</v>
      </c>
      <c r="D1869" s="10">
        <v>85.36</v>
      </c>
      <c r="E1869" s="10">
        <v>84.62</v>
      </c>
      <c r="F1869" s="10">
        <v>83.88</v>
      </c>
      <c r="G1869" s="10">
        <v>83.15</v>
      </c>
      <c r="H1869" s="10">
        <v>82.47</v>
      </c>
      <c r="I1869" s="10">
        <v>81.83</v>
      </c>
      <c r="J1869" s="10">
        <v>81.22</v>
      </c>
      <c r="K1869" s="10">
        <v>80.66</v>
      </c>
      <c r="L1869" s="10">
        <v>80.16</v>
      </c>
      <c r="M1869" s="10">
        <v>79.7</v>
      </c>
      <c r="N1869" s="10">
        <v>81.95</v>
      </c>
      <c r="O1869" s="10">
        <v>81.38</v>
      </c>
      <c r="P1869" s="10">
        <v>80.77</v>
      </c>
      <c r="Q1869" s="10">
        <v>80.06</v>
      </c>
      <c r="R1869" s="10">
        <v>79.290000000000006</v>
      </c>
      <c r="S1869" s="10">
        <v>78.53</v>
      </c>
      <c r="T1869" s="10">
        <v>77.819999999999993</v>
      </c>
      <c r="U1869" s="10">
        <v>77.14</v>
      </c>
      <c r="V1869" s="10">
        <v>76.510000000000005</v>
      </c>
      <c r="W1869" s="10">
        <v>75.92</v>
      </c>
      <c r="X1869" s="10">
        <v>75.38</v>
      </c>
      <c r="Y1869" s="10">
        <v>74.88</v>
      </c>
      <c r="Z1869" s="11">
        <v>84.228999999999999</v>
      </c>
      <c r="AA1869" s="11">
        <v>86.159000000000006</v>
      </c>
      <c r="AB1869" s="11">
        <v>85.195999999999998</v>
      </c>
      <c r="AC1869" s="11">
        <v>84.298000000000002</v>
      </c>
      <c r="AD1869" s="11">
        <v>83.438000000000002</v>
      </c>
      <c r="AE1869" s="11">
        <v>82.619</v>
      </c>
      <c r="AF1869" s="11">
        <v>81.86</v>
      </c>
      <c r="AG1869" s="11">
        <v>81.171999999999997</v>
      </c>
      <c r="AH1869" s="11">
        <v>80.522999999999996</v>
      </c>
      <c r="AI1869" s="11">
        <v>79.912000000000006</v>
      </c>
      <c r="AJ1869" s="11">
        <v>79.409000000000006</v>
      </c>
      <c r="AK1869" s="11">
        <v>78.972999999999999</v>
      </c>
      <c r="AL1869" s="11"/>
    </row>
    <row r="1870" spans="1:38" x14ac:dyDescent="0.3">
      <c r="A1870" s="9">
        <f>DATE(2024, 3, 26)</f>
        <v>45377</v>
      </c>
      <c r="B1870" s="10">
        <v>86.25</v>
      </c>
      <c r="C1870" s="10">
        <v>85.63</v>
      </c>
      <c r="D1870" s="10">
        <v>84.91</v>
      </c>
      <c r="E1870" s="10">
        <v>84.19</v>
      </c>
      <c r="F1870" s="10">
        <v>83.49</v>
      </c>
      <c r="G1870" s="10">
        <v>82.79</v>
      </c>
      <c r="H1870" s="10">
        <v>82.14</v>
      </c>
      <c r="I1870" s="10">
        <v>81.510000000000005</v>
      </c>
      <c r="J1870" s="10">
        <v>80.91</v>
      </c>
      <c r="K1870" s="10">
        <v>80.36</v>
      </c>
      <c r="L1870" s="10">
        <v>79.88</v>
      </c>
      <c r="M1870" s="10">
        <v>79.44</v>
      </c>
      <c r="N1870" s="10">
        <v>81.62</v>
      </c>
      <c r="O1870" s="10">
        <v>81.040000000000006</v>
      </c>
      <c r="P1870" s="10">
        <v>80.430000000000007</v>
      </c>
      <c r="Q1870" s="10">
        <v>79.73</v>
      </c>
      <c r="R1870" s="10">
        <v>79.010000000000005</v>
      </c>
      <c r="S1870" s="10">
        <v>78.28</v>
      </c>
      <c r="T1870" s="10">
        <v>77.59</v>
      </c>
      <c r="U1870" s="10">
        <v>76.92</v>
      </c>
      <c r="V1870" s="10">
        <v>76.31</v>
      </c>
      <c r="W1870" s="10">
        <v>75.739999999999995</v>
      </c>
      <c r="X1870" s="10">
        <v>75.22</v>
      </c>
      <c r="Y1870" s="10">
        <v>74.73</v>
      </c>
      <c r="Z1870" s="11">
        <v>84.185000000000002</v>
      </c>
      <c r="AA1870" s="11">
        <v>85.832999999999998</v>
      </c>
      <c r="AB1870" s="11">
        <v>84.81</v>
      </c>
      <c r="AC1870" s="11">
        <v>83.91</v>
      </c>
      <c r="AD1870" s="11">
        <v>83.051000000000002</v>
      </c>
      <c r="AE1870" s="11">
        <v>82.251000000000005</v>
      </c>
      <c r="AF1870" s="11">
        <v>81.510999999999996</v>
      </c>
      <c r="AG1870" s="11">
        <v>80.828999999999994</v>
      </c>
      <c r="AH1870" s="11">
        <v>80.188999999999993</v>
      </c>
      <c r="AI1870" s="11">
        <v>79.584999999999994</v>
      </c>
      <c r="AJ1870" s="11">
        <v>79.094999999999999</v>
      </c>
      <c r="AK1870" s="11">
        <v>78.653999999999996</v>
      </c>
      <c r="AL1870" s="11"/>
    </row>
    <row r="1871" spans="1:38" x14ac:dyDescent="0.3">
      <c r="A1871" s="9">
        <f>DATE(2024, 3, 27)</f>
        <v>45378</v>
      </c>
      <c r="B1871" s="10">
        <v>86.09</v>
      </c>
      <c r="C1871" s="10">
        <v>85.41</v>
      </c>
      <c r="D1871" s="10">
        <v>84.71</v>
      </c>
      <c r="E1871" s="10">
        <v>84.02</v>
      </c>
      <c r="F1871" s="10">
        <v>83.34</v>
      </c>
      <c r="G1871" s="10">
        <v>82.66</v>
      </c>
      <c r="H1871" s="10">
        <v>82.02</v>
      </c>
      <c r="I1871" s="10">
        <v>81.41</v>
      </c>
      <c r="J1871" s="10">
        <v>80.83</v>
      </c>
      <c r="K1871" s="10">
        <v>80.290000000000006</v>
      </c>
      <c r="L1871" s="10">
        <v>79.81</v>
      </c>
      <c r="M1871" s="10">
        <v>79.37</v>
      </c>
      <c r="N1871" s="10">
        <v>81.349999999999994</v>
      </c>
      <c r="O1871" s="10">
        <v>80.78</v>
      </c>
      <c r="P1871" s="10">
        <v>80.19</v>
      </c>
      <c r="Q1871" s="10">
        <v>79.52</v>
      </c>
      <c r="R1871" s="10">
        <v>78.819999999999993</v>
      </c>
      <c r="S1871" s="10">
        <v>78.12</v>
      </c>
      <c r="T1871" s="10">
        <v>77.44</v>
      </c>
      <c r="U1871" s="10">
        <v>76.8</v>
      </c>
      <c r="V1871" s="10">
        <v>76.2</v>
      </c>
      <c r="W1871" s="10">
        <v>75.64</v>
      </c>
      <c r="X1871" s="10">
        <v>75.13</v>
      </c>
      <c r="Y1871" s="10">
        <v>74.66</v>
      </c>
      <c r="Z1871" s="11">
        <v>84.135999999999996</v>
      </c>
      <c r="AA1871" s="11">
        <v>85.722999999999999</v>
      </c>
      <c r="AB1871" s="11">
        <v>84.694000000000003</v>
      </c>
      <c r="AC1871" s="11">
        <v>83.79</v>
      </c>
      <c r="AD1871" s="11">
        <v>82.944999999999993</v>
      </c>
      <c r="AE1871" s="11">
        <v>82.176000000000002</v>
      </c>
      <c r="AF1871" s="11">
        <v>81.450999999999993</v>
      </c>
      <c r="AG1871" s="11">
        <v>80.784999999999997</v>
      </c>
      <c r="AH1871" s="11">
        <v>80.144000000000005</v>
      </c>
      <c r="AI1871" s="11">
        <v>79.524000000000001</v>
      </c>
      <c r="AJ1871" s="11">
        <v>79.040000000000006</v>
      </c>
      <c r="AK1871" s="11">
        <v>78.588999999999999</v>
      </c>
      <c r="AL1871" s="11"/>
    </row>
    <row r="1872" spans="1:38" x14ac:dyDescent="0.3">
      <c r="A1872" s="9">
        <f>DATE(2024, 3, 28)</f>
        <v>45379</v>
      </c>
      <c r="B1872" s="10">
        <v>87.48</v>
      </c>
      <c r="C1872" s="10">
        <v>87</v>
      </c>
      <c r="D1872" s="10">
        <v>86.15</v>
      </c>
      <c r="E1872" s="10">
        <v>85.35</v>
      </c>
      <c r="F1872" s="10">
        <v>84.57</v>
      </c>
      <c r="G1872" s="10">
        <v>83.81</v>
      </c>
      <c r="H1872" s="10">
        <v>83.11</v>
      </c>
      <c r="I1872" s="10">
        <v>82.45</v>
      </c>
      <c r="J1872" s="10">
        <v>81.819999999999993</v>
      </c>
      <c r="K1872" s="10">
        <v>81.239999999999995</v>
      </c>
      <c r="L1872" s="10">
        <v>80.73</v>
      </c>
      <c r="M1872" s="10">
        <v>80.260000000000005</v>
      </c>
      <c r="N1872" s="10">
        <v>83.17</v>
      </c>
      <c r="O1872" s="10">
        <v>82.42</v>
      </c>
      <c r="P1872" s="10">
        <v>81.67</v>
      </c>
      <c r="Q1872" s="10">
        <v>80.89</v>
      </c>
      <c r="R1872" s="10">
        <v>80.09</v>
      </c>
      <c r="S1872" s="10">
        <v>79.290000000000006</v>
      </c>
      <c r="T1872" s="10">
        <v>78.540000000000006</v>
      </c>
      <c r="U1872" s="10">
        <v>77.84</v>
      </c>
      <c r="V1872" s="10">
        <v>77.19</v>
      </c>
      <c r="W1872" s="10">
        <v>76.569999999999993</v>
      </c>
      <c r="X1872" s="10">
        <v>76.03</v>
      </c>
      <c r="Y1872" s="10">
        <v>75.53</v>
      </c>
      <c r="Z1872" s="11">
        <v>84.152000000000001</v>
      </c>
      <c r="AA1872" s="11">
        <v>87.210999999999999</v>
      </c>
      <c r="AB1872" s="11">
        <v>86.141000000000005</v>
      </c>
      <c r="AC1872" s="11">
        <v>85.186000000000007</v>
      </c>
      <c r="AD1872" s="11">
        <v>84.262</v>
      </c>
      <c r="AE1872" s="11">
        <v>83.405000000000001</v>
      </c>
      <c r="AF1872" s="11">
        <v>82.619</v>
      </c>
      <c r="AG1872" s="11">
        <v>81.893000000000001</v>
      </c>
      <c r="AH1872" s="11">
        <v>81.201999999999998</v>
      </c>
      <c r="AI1872" s="11">
        <v>80.540999999999997</v>
      </c>
      <c r="AJ1872" s="11">
        <v>80.009</v>
      </c>
      <c r="AK1872" s="11">
        <v>79.528000000000006</v>
      </c>
      <c r="AL1872" s="11"/>
    </row>
    <row r="1873" spans="1:38" x14ac:dyDescent="0.3">
      <c r="A1873" s="9">
        <f>DATE(2024, 4, 1)</f>
        <v>45383</v>
      </c>
      <c r="B1873" s="10">
        <v>87.42</v>
      </c>
      <c r="C1873" s="10">
        <v>86.49</v>
      </c>
      <c r="D1873" s="10">
        <v>85.64</v>
      </c>
      <c r="E1873" s="10">
        <v>84.81</v>
      </c>
      <c r="F1873" s="10">
        <v>84.01</v>
      </c>
      <c r="G1873" s="10">
        <v>83.27</v>
      </c>
      <c r="H1873" s="10">
        <v>82.57</v>
      </c>
      <c r="I1873" s="10">
        <v>81.91</v>
      </c>
      <c r="J1873" s="10">
        <v>81.31</v>
      </c>
      <c r="K1873" s="10">
        <v>80.78</v>
      </c>
      <c r="L1873" s="10">
        <v>80.3</v>
      </c>
      <c r="M1873" s="10">
        <v>79.849999999999994</v>
      </c>
      <c r="N1873" s="10">
        <v>83.71</v>
      </c>
      <c r="O1873" s="10">
        <v>82.82</v>
      </c>
      <c r="P1873" s="10">
        <v>81.98</v>
      </c>
      <c r="Q1873" s="10">
        <v>81.12</v>
      </c>
      <c r="R1873" s="10">
        <v>80.260000000000005</v>
      </c>
      <c r="S1873" s="10">
        <v>79.42</v>
      </c>
      <c r="T1873" s="10">
        <v>78.62</v>
      </c>
      <c r="U1873" s="10">
        <v>77.89</v>
      </c>
      <c r="V1873" s="10">
        <v>77.209999999999994</v>
      </c>
      <c r="W1873" s="10">
        <v>76.59</v>
      </c>
      <c r="X1873" s="10">
        <v>76</v>
      </c>
      <c r="Y1873" s="10">
        <v>75.48</v>
      </c>
      <c r="Z1873" s="11">
        <v>84.152000000000001</v>
      </c>
      <c r="AA1873" s="11">
        <v>87.753</v>
      </c>
      <c r="AB1873" s="11">
        <v>86.608000000000004</v>
      </c>
      <c r="AC1873" s="11">
        <v>85.599000000000004</v>
      </c>
      <c r="AD1873" s="11">
        <v>84.605000000000004</v>
      </c>
      <c r="AE1873" s="11">
        <v>83.686000000000007</v>
      </c>
      <c r="AF1873" s="11">
        <v>82.856999999999999</v>
      </c>
      <c r="AG1873" s="11">
        <v>82.081000000000003</v>
      </c>
      <c r="AH1873" s="11">
        <v>81.370999999999995</v>
      </c>
      <c r="AI1873" s="11">
        <v>80.69</v>
      </c>
      <c r="AJ1873" s="11">
        <v>80.147999999999996</v>
      </c>
      <c r="AK1873" s="11">
        <v>79.638000000000005</v>
      </c>
      <c r="AL1873" s="11"/>
    </row>
    <row r="1874" spans="1:38" x14ac:dyDescent="0.3">
      <c r="A1874" s="9">
        <f>DATE(2024, 4, 2)</f>
        <v>45384</v>
      </c>
      <c r="B1874" s="10">
        <v>88.92</v>
      </c>
      <c r="C1874" s="10">
        <v>87.89</v>
      </c>
      <c r="D1874" s="10">
        <v>86.92</v>
      </c>
      <c r="E1874" s="10">
        <v>86</v>
      </c>
      <c r="F1874" s="10">
        <v>85.12</v>
      </c>
      <c r="G1874" s="10">
        <v>84.31</v>
      </c>
      <c r="H1874" s="10">
        <v>83.55</v>
      </c>
      <c r="I1874" s="10">
        <v>82.83</v>
      </c>
      <c r="J1874" s="10">
        <v>82.16</v>
      </c>
      <c r="K1874" s="10">
        <v>81.569999999999993</v>
      </c>
      <c r="L1874" s="10">
        <v>81.03</v>
      </c>
      <c r="M1874" s="10">
        <v>80.53</v>
      </c>
      <c r="N1874" s="10">
        <v>85.15</v>
      </c>
      <c r="O1874" s="10">
        <v>84.22</v>
      </c>
      <c r="P1874" s="10">
        <v>83.29</v>
      </c>
      <c r="Q1874" s="10">
        <v>82.34</v>
      </c>
      <c r="R1874" s="10">
        <v>81.38</v>
      </c>
      <c r="S1874" s="10">
        <v>80.45</v>
      </c>
      <c r="T1874" s="10">
        <v>79.569999999999993</v>
      </c>
      <c r="U1874" s="10">
        <v>78.77</v>
      </c>
      <c r="V1874" s="10">
        <v>78.02</v>
      </c>
      <c r="W1874" s="10">
        <v>77.319999999999993</v>
      </c>
      <c r="X1874" s="10">
        <v>76.7</v>
      </c>
      <c r="Y1874" s="10">
        <v>76.12</v>
      </c>
      <c r="Z1874" s="11">
        <v>89.257999999999996</v>
      </c>
      <c r="AA1874" s="11">
        <v>88.177999999999997</v>
      </c>
      <c r="AB1874" s="11">
        <v>87.057000000000002</v>
      </c>
      <c r="AC1874" s="11">
        <v>85.966999999999999</v>
      </c>
      <c r="AD1874" s="11">
        <v>84.965999999999994</v>
      </c>
      <c r="AE1874" s="11">
        <v>84.063999999999993</v>
      </c>
      <c r="AF1874" s="11">
        <v>83.228999999999999</v>
      </c>
      <c r="AG1874" s="11">
        <v>82.457999999999998</v>
      </c>
      <c r="AH1874" s="11">
        <v>81.713999999999999</v>
      </c>
      <c r="AI1874" s="11">
        <v>81.105000000000004</v>
      </c>
      <c r="AJ1874" s="11">
        <v>80.545000000000002</v>
      </c>
      <c r="AK1874" s="11">
        <v>80.028999999999996</v>
      </c>
      <c r="AL1874" s="11"/>
    </row>
    <row r="1875" spans="1:38" x14ac:dyDescent="0.3">
      <c r="A1875" s="9">
        <f>DATE(2024, 4, 3)</f>
        <v>45385</v>
      </c>
      <c r="B1875" s="10">
        <v>89.35</v>
      </c>
      <c r="C1875" s="10">
        <v>88.42</v>
      </c>
      <c r="D1875" s="10">
        <v>87.53</v>
      </c>
      <c r="E1875" s="10">
        <v>86.66</v>
      </c>
      <c r="F1875" s="10">
        <v>85.82</v>
      </c>
      <c r="G1875" s="10">
        <v>85.03</v>
      </c>
      <c r="H1875" s="10">
        <v>84.27</v>
      </c>
      <c r="I1875" s="10">
        <v>83.54</v>
      </c>
      <c r="J1875" s="10">
        <v>82.87</v>
      </c>
      <c r="K1875" s="10">
        <v>82.25</v>
      </c>
      <c r="L1875" s="10">
        <v>81.69</v>
      </c>
      <c r="M1875" s="10">
        <v>81.17</v>
      </c>
      <c r="N1875" s="10">
        <v>85.43</v>
      </c>
      <c r="O1875" s="10">
        <v>84.61</v>
      </c>
      <c r="P1875" s="10">
        <v>83.77</v>
      </c>
      <c r="Q1875" s="10">
        <v>82.88</v>
      </c>
      <c r="R1875" s="10">
        <v>81.97</v>
      </c>
      <c r="S1875" s="10">
        <v>81.069999999999993</v>
      </c>
      <c r="T1875" s="10">
        <v>80.22</v>
      </c>
      <c r="U1875" s="10">
        <v>79.42</v>
      </c>
      <c r="V1875" s="10">
        <v>78.67</v>
      </c>
      <c r="W1875" s="10">
        <v>77.959999999999994</v>
      </c>
      <c r="X1875" s="10">
        <v>77.319999999999993</v>
      </c>
      <c r="Y1875" s="10">
        <v>76.73</v>
      </c>
      <c r="Z1875" s="11">
        <v>89.566999999999993</v>
      </c>
      <c r="AA1875" s="11">
        <v>88.649000000000001</v>
      </c>
      <c r="AB1875" s="11">
        <v>87.566999999999993</v>
      </c>
      <c r="AC1875" s="11">
        <v>86.543000000000006</v>
      </c>
      <c r="AD1875" s="11">
        <v>85.593000000000004</v>
      </c>
      <c r="AE1875" s="11">
        <v>84.731999999999999</v>
      </c>
      <c r="AF1875" s="11">
        <v>83.908000000000001</v>
      </c>
      <c r="AG1875" s="11">
        <v>83.128</v>
      </c>
      <c r="AH1875" s="11">
        <v>82.381</v>
      </c>
      <c r="AI1875" s="11">
        <v>81.754999999999995</v>
      </c>
      <c r="AJ1875" s="11">
        <v>81.164000000000001</v>
      </c>
      <c r="AK1875" s="11">
        <v>80.606999999999999</v>
      </c>
      <c r="AL1875" s="11"/>
    </row>
    <row r="1876" spans="1:38" x14ac:dyDescent="0.3">
      <c r="A1876" s="9">
        <f>DATE(2024, 4, 4)</f>
        <v>45386</v>
      </c>
      <c r="B1876" s="10">
        <v>90.65</v>
      </c>
      <c r="C1876" s="10">
        <v>89.66</v>
      </c>
      <c r="D1876" s="10">
        <v>88.71</v>
      </c>
      <c r="E1876" s="10">
        <v>87.78</v>
      </c>
      <c r="F1876" s="10">
        <v>86.9</v>
      </c>
      <c r="G1876" s="10">
        <v>86.06</v>
      </c>
      <c r="H1876" s="10">
        <v>85.27</v>
      </c>
      <c r="I1876" s="10">
        <v>84.51</v>
      </c>
      <c r="J1876" s="10">
        <v>83.8</v>
      </c>
      <c r="K1876" s="10">
        <v>83.14</v>
      </c>
      <c r="L1876" s="10">
        <v>82.53</v>
      </c>
      <c r="M1876" s="10">
        <v>81.96</v>
      </c>
      <c r="N1876" s="10">
        <v>86.59</v>
      </c>
      <c r="O1876" s="10">
        <v>85.81</v>
      </c>
      <c r="P1876" s="10">
        <v>84.96</v>
      </c>
      <c r="Q1876" s="10">
        <v>84.03</v>
      </c>
      <c r="R1876" s="10">
        <v>83.07</v>
      </c>
      <c r="S1876" s="10">
        <v>82.12</v>
      </c>
      <c r="T1876" s="10">
        <v>81.22</v>
      </c>
      <c r="U1876" s="10">
        <v>80.400000000000006</v>
      </c>
      <c r="V1876" s="10">
        <v>79.61</v>
      </c>
      <c r="W1876" s="10">
        <v>78.86</v>
      </c>
      <c r="X1876" s="10">
        <v>78.17</v>
      </c>
      <c r="Y1876" s="10">
        <v>77.540000000000006</v>
      </c>
      <c r="Z1876" s="11">
        <v>90.391000000000005</v>
      </c>
      <c r="AA1876" s="11">
        <v>89.718999999999994</v>
      </c>
      <c r="AB1876" s="11">
        <v>88.638000000000005</v>
      </c>
      <c r="AC1876" s="11">
        <v>87.585999999999999</v>
      </c>
      <c r="AD1876" s="11">
        <v>86.608000000000004</v>
      </c>
      <c r="AE1876" s="11">
        <v>85.691999999999993</v>
      </c>
      <c r="AF1876" s="11">
        <v>84.844999999999999</v>
      </c>
      <c r="AG1876" s="11">
        <v>84.046000000000006</v>
      </c>
      <c r="AH1876" s="11">
        <v>83.257000000000005</v>
      </c>
      <c r="AI1876" s="11">
        <v>82.566999999999993</v>
      </c>
      <c r="AJ1876" s="11">
        <v>81.921999999999997</v>
      </c>
      <c r="AK1876" s="11">
        <v>81.325000000000003</v>
      </c>
      <c r="AL1876" s="11"/>
    </row>
    <row r="1877" spans="1:38" x14ac:dyDescent="0.3">
      <c r="A1877" s="9">
        <f>DATE(2024, 4, 5)</f>
        <v>45387</v>
      </c>
      <c r="B1877" s="10">
        <v>91.17</v>
      </c>
      <c r="C1877" s="10">
        <v>90.13</v>
      </c>
      <c r="D1877" s="10">
        <v>89.12</v>
      </c>
      <c r="E1877" s="10">
        <v>88.16</v>
      </c>
      <c r="F1877" s="10">
        <v>87.24</v>
      </c>
      <c r="G1877" s="10">
        <v>86.38</v>
      </c>
      <c r="H1877" s="10">
        <v>85.56</v>
      </c>
      <c r="I1877" s="10">
        <v>84.76</v>
      </c>
      <c r="J1877" s="10">
        <v>84.01</v>
      </c>
      <c r="K1877" s="10">
        <v>83.31</v>
      </c>
      <c r="L1877" s="10">
        <v>82.67</v>
      </c>
      <c r="M1877" s="10">
        <v>82.07</v>
      </c>
      <c r="N1877" s="10">
        <v>86.91</v>
      </c>
      <c r="O1877" s="10">
        <v>86.1</v>
      </c>
      <c r="P1877" s="10">
        <v>85.2</v>
      </c>
      <c r="Q1877" s="10">
        <v>84.24</v>
      </c>
      <c r="R1877" s="10">
        <v>83.26</v>
      </c>
      <c r="S1877" s="10">
        <v>82.28</v>
      </c>
      <c r="T1877" s="10">
        <v>81.37</v>
      </c>
      <c r="U1877" s="10">
        <v>80.5</v>
      </c>
      <c r="V1877" s="10">
        <v>79.680000000000007</v>
      </c>
      <c r="W1877" s="10">
        <v>78.900000000000006</v>
      </c>
      <c r="X1877" s="10">
        <v>78.180000000000007</v>
      </c>
      <c r="Y1877" s="10">
        <v>77.52</v>
      </c>
      <c r="Z1877" s="11">
        <v>90.64</v>
      </c>
      <c r="AA1877" s="11">
        <v>89.995999999999995</v>
      </c>
      <c r="AB1877" s="11">
        <v>88.927000000000007</v>
      </c>
      <c r="AC1877" s="11">
        <v>87.89</v>
      </c>
      <c r="AD1877" s="11">
        <v>86.911000000000001</v>
      </c>
      <c r="AE1877" s="11">
        <v>86.001000000000005</v>
      </c>
      <c r="AF1877" s="11">
        <v>85.144999999999996</v>
      </c>
      <c r="AG1877" s="11">
        <v>84.308999999999997</v>
      </c>
      <c r="AH1877" s="11">
        <v>83.488</v>
      </c>
      <c r="AI1877" s="11">
        <v>82.771000000000001</v>
      </c>
      <c r="AJ1877" s="11">
        <v>82.1</v>
      </c>
      <c r="AK1877" s="11">
        <v>81.474000000000004</v>
      </c>
      <c r="AL1877" s="11"/>
    </row>
    <row r="1878" spans="1:38" x14ac:dyDescent="0.3">
      <c r="A1878" s="9">
        <f>DATE(2024, 4, 8)</f>
        <v>45390</v>
      </c>
      <c r="B1878" s="10">
        <v>90.38</v>
      </c>
      <c r="C1878" s="10">
        <v>89.38</v>
      </c>
      <c r="D1878" s="10">
        <v>88.43</v>
      </c>
      <c r="E1878" s="10">
        <v>87.52</v>
      </c>
      <c r="F1878" s="10">
        <v>86.65</v>
      </c>
      <c r="G1878" s="10">
        <v>85.84</v>
      </c>
      <c r="H1878" s="10">
        <v>85.06</v>
      </c>
      <c r="I1878" s="10">
        <v>84.3</v>
      </c>
      <c r="J1878" s="10">
        <v>83.58</v>
      </c>
      <c r="K1878" s="10">
        <v>82.91</v>
      </c>
      <c r="L1878" s="10">
        <v>82.29</v>
      </c>
      <c r="M1878" s="10">
        <v>81.72</v>
      </c>
      <c r="N1878" s="10">
        <v>86.43</v>
      </c>
      <c r="O1878" s="10">
        <v>85.53</v>
      </c>
      <c r="P1878" s="10">
        <v>84.64</v>
      </c>
      <c r="Q1878" s="10">
        <v>83.71</v>
      </c>
      <c r="R1878" s="10">
        <v>82.77</v>
      </c>
      <c r="S1878" s="10">
        <v>81.84</v>
      </c>
      <c r="T1878" s="10">
        <v>80.959999999999994</v>
      </c>
      <c r="U1878" s="10">
        <v>80.13</v>
      </c>
      <c r="V1878" s="10">
        <v>79.34</v>
      </c>
      <c r="W1878" s="10">
        <v>78.59</v>
      </c>
      <c r="X1878" s="10">
        <v>77.900000000000006</v>
      </c>
      <c r="Y1878" s="10">
        <v>77.27</v>
      </c>
      <c r="Z1878" s="11">
        <v>90.064999999999998</v>
      </c>
      <c r="AA1878" s="11">
        <v>89.236999999999995</v>
      </c>
      <c r="AB1878" s="11">
        <v>88.183999999999997</v>
      </c>
      <c r="AC1878" s="11">
        <v>87.171999999999997</v>
      </c>
      <c r="AD1878" s="11">
        <v>86.230999999999995</v>
      </c>
      <c r="AE1878" s="11">
        <v>85.37</v>
      </c>
      <c r="AF1878" s="11">
        <v>84.546999999999997</v>
      </c>
      <c r="AG1878" s="11">
        <v>83.745999999999995</v>
      </c>
      <c r="AH1878" s="11">
        <v>82.956000000000003</v>
      </c>
      <c r="AI1878" s="11">
        <v>82.281999999999996</v>
      </c>
      <c r="AJ1878" s="11">
        <v>81.632000000000005</v>
      </c>
      <c r="AK1878" s="11">
        <v>81.046000000000006</v>
      </c>
      <c r="AL1878" s="11"/>
    </row>
    <row r="1879" spans="1:38" x14ac:dyDescent="0.3">
      <c r="A1879" s="9">
        <f>DATE(2024, 4, 9)</f>
        <v>45391</v>
      </c>
      <c r="B1879" s="10">
        <v>89.42</v>
      </c>
      <c r="C1879" s="10">
        <v>88.53</v>
      </c>
      <c r="D1879" s="10">
        <v>87.66</v>
      </c>
      <c r="E1879" s="10">
        <v>86.83</v>
      </c>
      <c r="F1879" s="10">
        <v>86.02</v>
      </c>
      <c r="G1879" s="10">
        <v>85.25</v>
      </c>
      <c r="H1879" s="10">
        <v>84.49</v>
      </c>
      <c r="I1879" s="10">
        <v>83.75</v>
      </c>
      <c r="J1879" s="10">
        <v>83.04</v>
      </c>
      <c r="K1879" s="10">
        <v>82.37</v>
      </c>
      <c r="L1879" s="10">
        <v>81.760000000000005</v>
      </c>
      <c r="M1879" s="10">
        <v>81.19</v>
      </c>
      <c r="N1879" s="10">
        <v>85.23</v>
      </c>
      <c r="O1879" s="10">
        <v>84.46</v>
      </c>
      <c r="P1879" s="10">
        <v>83.68</v>
      </c>
      <c r="Q1879" s="10">
        <v>82.87</v>
      </c>
      <c r="R1879" s="10">
        <v>82.02</v>
      </c>
      <c r="S1879" s="10">
        <v>81.16</v>
      </c>
      <c r="T1879" s="10">
        <v>80.33</v>
      </c>
      <c r="U1879" s="10">
        <v>79.53</v>
      </c>
      <c r="V1879" s="10">
        <v>78.760000000000005</v>
      </c>
      <c r="W1879" s="10">
        <v>78.02</v>
      </c>
      <c r="X1879" s="10">
        <v>77.34</v>
      </c>
      <c r="Y1879" s="10">
        <v>76.72</v>
      </c>
      <c r="Z1879" s="11">
        <v>89.488</v>
      </c>
      <c r="AA1879" s="11">
        <v>88.41</v>
      </c>
      <c r="AB1879" s="11">
        <v>87.361000000000004</v>
      </c>
      <c r="AC1879" s="11">
        <v>86.37</v>
      </c>
      <c r="AD1879" s="11">
        <v>85.48</v>
      </c>
      <c r="AE1879" s="11">
        <v>84.659000000000006</v>
      </c>
      <c r="AF1879" s="11">
        <v>83.867999999999995</v>
      </c>
      <c r="AG1879" s="11">
        <v>83.096000000000004</v>
      </c>
      <c r="AH1879" s="11">
        <v>82.335999999999999</v>
      </c>
      <c r="AI1879" s="11">
        <v>81.665999999999997</v>
      </c>
      <c r="AJ1879" s="11">
        <v>81.036000000000001</v>
      </c>
      <c r="AK1879" s="11">
        <v>80.465999999999994</v>
      </c>
      <c r="AL1879" s="11"/>
    </row>
    <row r="1880" spans="1:38" x14ac:dyDescent="0.3">
      <c r="A1880" s="9">
        <f>DATE(2024, 4, 10)</f>
        <v>45392</v>
      </c>
      <c r="B1880" s="10">
        <v>90.48</v>
      </c>
      <c r="C1880" s="10">
        <v>89.49</v>
      </c>
      <c r="D1880" s="10">
        <v>88.53</v>
      </c>
      <c r="E1880" s="10">
        <v>87.65</v>
      </c>
      <c r="F1880" s="10">
        <v>86.8</v>
      </c>
      <c r="G1880" s="10">
        <v>85.99</v>
      </c>
      <c r="H1880" s="10">
        <v>85.21</v>
      </c>
      <c r="I1880" s="10">
        <v>84.45</v>
      </c>
      <c r="J1880" s="10">
        <v>83.71</v>
      </c>
      <c r="K1880" s="10">
        <v>83.03</v>
      </c>
      <c r="L1880" s="10">
        <v>82.39</v>
      </c>
      <c r="M1880" s="10">
        <v>81.8</v>
      </c>
      <c r="N1880" s="10">
        <v>86.21</v>
      </c>
      <c r="O1880" s="10">
        <v>85.44</v>
      </c>
      <c r="P1880" s="10">
        <v>84.63</v>
      </c>
      <c r="Q1880" s="10">
        <v>83.77</v>
      </c>
      <c r="R1880" s="10">
        <v>82.87</v>
      </c>
      <c r="S1880" s="10">
        <v>81.97</v>
      </c>
      <c r="T1880" s="10">
        <v>81.11</v>
      </c>
      <c r="U1880" s="10">
        <v>80.28</v>
      </c>
      <c r="V1880" s="10">
        <v>79.489999999999995</v>
      </c>
      <c r="W1880" s="10">
        <v>78.73</v>
      </c>
      <c r="X1880" s="10">
        <v>78.03</v>
      </c>
      <c r="Y1880" s="10">
        <v>77.39</v>
      </c>
      <c r="Z1880" s="11">
        <v>90.24</v>
      </c>
      <c r="AA1880" s="11">
        <v>89.438000000000002</v>
      </c>
      <c r="AB1880" s="11">
        <v>88.308000000000007</v>
      </c>
      <c r="AC1880" s="11">
        <v>87.253</v>
      </c>
      <c r="AD1880" s="11">
        <v>86.313000000000002</v>
      </c>
      <c r="AE1880" s="11">
        <v>85.472999999999999</v>
      </c>
      <c r="AF1880" s="11">
        <v>84.662000000000006</v>
      </c>
      <c r="AG1880" s="11">
        <v>83.852999999999994</v>
      </c>
      <c r="AH1880" s="11">
        <v>83.045000000000002</v>
      </c>
      <c r="AI1880" s="11">
        <v>82.355999999999995</v>
      </c>
      <c r="AJ1880" s="11">
        <v>81.680999999999997</v>
      </c>
      <c r="AK1880" s="11">
        <v>81.063999999999993</v>
      </c>
      <c r="AL1880" s="11"/>
    </row>
    <row r="1881" spans="1:38" x14ac:dyDescent="0.3">
      <c r="A1881" s="9">
        <f>DATE(2024, 4, 11)</f>
        <v>45393</v>
      </c>
      <c r="B1881" s="10">
        <v>89.74</v>
      </c>
      <c r="C1881" s="10">
        <v>88.83</v>
      </c>
      <c r="D1881" s="10">
        <v>87.94</v>
      </c>
      <c r="E1881" s="10">
        <v>87.11</v>
      </c>
      <c r="F1881" s="10">
        <v>86.31</v>
      </c>
      <c r="G1881" s="10">
        <v>85.57</v>
      </c>
      <c r="H1881" s="10">
        <v>84.84</v>
      </c>
      <c r="I1881" s="10">
        <v>84.13</v>
      </c>
      <c r="J1881" s="10">
        <v>83.44</v>
      </c>
      <c r="K1881" s="10">
        <v>82.79</v>
      </c>
      <c r="L1881" s="10">
        <v>82.19</v>
      </c>
      <c r="M1881" s="10">
        <v>81.63</v>
      </c>
      <c r="N1881" s="10">
        <v>85.02</v>
      </c>
      <c r="O1881" s="10">
        <v>84.45</v>
      </c>
      <c r="P1881" s="10">
        <v>83.77</v>
      </c>
      <c r="Q1881" s="10">
        <v>83.02</v>
      </c>
      <c r="R1881" s="10">
        <v>82.2</v>
      </c>
      <c r="S1881" s="10">
        <v>81.37</v>
      </c>
      <c r="T1881" s="10">
        <v>80.58</v>
      </c>
      <c r="U1881" s="10">
        <v>79.81</v>
      </c>
      <c r="V1881" s="10">
        <v>79.069999999999993</v>
      </c>
      <c r="W1881" s="10">
        <v>78.37</v>
      </c>
      <c r="X1881" s="10">
        <v>77.709999999999994</v>
      </c>
      <c r="Y1881" s="10">
        <v>77.11</v>
      </c>
      <c r="Z1881" s="11">
        <v>89.81</v>
      </c>
      <c r="AA1881" s="11">
        <v>88.725999999999999</v>
      </c>
      <c r="AB1881" s="11">
        <v>87.679000000000002</v>
      </c>
      <c r="AC1881" s="11">
        <v>86.688000000000002</v>
      </c>
      <c r="AD1881" s="11">
        <v>85.816999999999993</v>
      </c>
      <c r="AE1881" s="11">
        <v>85.025999999999996</v>
      </c>
      <c r="AF1881" s="11">
        <v>84.256</v>
      </c>
      <c r="AG1881" s="11">
        <v>83.506</v>
      </c>
      <c r="AH1881" s="11">
        <v>82.745999999999995</v>
      </c>
      <c r="AI1881" s="11">
        <v>82.093000000000004</v>
      </c>
      <c r="AJ1881" s="11">
        <v>81.471999999999994</v>
      </c>
      <c r="AK1881" s="11">
        <v>80.896000000000001</v>
      </c>
      <c r="AL1881" s="11"/>
    </row>
    <row r="1882" spans="1:38" x14ac:dyDescent="0.3">
      <c r="A1882" s="9">
        <f>DATE(2024, 4, 12)</f>
        <v>45394</v>
      </c>
      <c r="B1882" s="10">
        <v>90.45</v>
      </c>
      <c r="C1882" s="10">
        <v>89.53</v>
      </c>
      <c r="D1882" s="10">
        <v>88.65</v>
      </c>
      <c r="E1882" s="10">
        <v>87.81</v>
      </c>
      <c r="F1882" s="10">
        <v>87.01</v>
      </c>
      <c r="G1882" s="10">
        <v>86.25</v>
      </c>
      <c r="H1882" s="10">
        <v>85.52</v>
      </c>
      <c r="I1882" s="10">
        <v>84.79</v>
      </c>
      <c r="J1882" s="10">
        <v>84.09</v>
      </c>
      <c r="K1882" s="10">
        <v>83.43</v>
      </c>
      <c r="L1882" s="10">
        <v>82.81</v>
      </c>
      <c r="M1882" s="10">
        <v>82.25</v>
      </c>
      <c r="N1882" s="10">
        <v>85.66</v>
      </c>
      <c r="O1882" s="10">
        <v>85.08</v>
      </c>
      <c r="P1882" s="10">
        <v>84.4</v>
      </c>
      <c r="Q1882" s="10">
        <v>83.65</v>
      </c>
      <c r="R1882" s="10">
        <v>82.82</v>
      </c>
      <c r="S1882" s="10">
        <v>81.96</v>
      </c>
      <c r="T1882" s="10">
        <v>81.16</v>
      </c>
      <c r="U1882" s="10">
        <v>80.36</v>
      </c>
      <c r="V1882" s="10">
        <v>79.59</v>
      </c>
      <c r="W1882" s="10">
        <v>78.87</v>
      </c>
      <c r="X1882" s="10">
        <v>78.209999999999994</v>
      </c>
      <c r="Y1882" s="10">
        <v>77.59</v>
      </c>
      <c r="Z1882" s="11">
        <v>90.097999999999999</v>
      </c>
      <c r="AA1882" s="11">
        <v>89.262</v>
      </c>
      <c r="AB1882" s="11">
        <v>88.256</v>
      </c>
      <c r="AC1882" s="11">
        <v>87.302999999999997</v>
      </c>
      <c r="AD1882" s="11">
        <v>86.435000000000002</v>
      </c>
      <c r="AE1882" s="11">
        <v>85.64</v>
      </c>
      <c r="AF1882" s="11">
        <v>84.869</v>
      </c>
      <c r="AG1882" s="11">
        <v>84.113</v>
      </c>
      <c r="AH1882" s="11">
        <v>83.352999999999994</v>
      </c>
      <c r="AI1882" s="11">
        <v>82.691999999999993</v>
      </c>
      <c r="AJ1882" s="11">
        <v>82.061999999999998</v>
      </c>
      <c r="AK1882" s="11">
        <v>81.495999999999995</v>
      </c>
      <c r="AL1882" s="11"/>
    </row>
    <row r="1883" spans="1:38" x14ac:dyDescent="0.3">
      <c r="A1883" s="9">
        <f>DATE(2024, 4, 15)</f>
        <v>45397</v>
      </c>
      <c r="B1883" s="10">
        <v>90.1</v>
      </c>
      <c r="C1883" s="10">
        <v>89.25</v>
      </c>
      <c r="D1883" s="10">
        <v>88.41</v>
      </c>
      <c r="E1883" s="10">
        <v>87.6</v>
      </c>
      <c r="F1883" s="10">
        <v>86.82</v>
      </c>
      <c r="G1883" s="10">
        <v>86.09</v>
      </c>
      <c r="H1883" s="10">
        <v>85.37</v>
      </c>
      <c r="I1883" s="10">
        <v>84.66</v>
      </c>
      <c r="J1883" s="10">
        <v>83.98</v>
      </c>
      <c r="K1883" s="10">
        <v>83.35</v>
      </c>
      <c r="L1883" s="10">
        <v>82.76</v>
      </c>
      <c r="M1883" s="10">
        <v>82.22</v>
      </c>
      <c r="N1883" s="10">
        <v>85.41</v>
      </c>
      <c r="O1883" s="10">
        <v>84.86</v>
      </c>
      <c r="P1883" s="10">
        <v>84.2</v>
      </c>
      <c r="Q1883" s="10">
        <v>83.47</v>
      </c>
      <c r="R1883" s="10">
        <v>82.65</v>
      </c>
      <c r="S1883" s="10">
        <v>81.83</v>
      </c>
      <c r="T1883" s="10">
        <v>81.040000000000006</v>
      </c>
      <c r="U1883" s="10">
        <v>80.27</v>
      </c>
      <c r="V1883" s="10">
        <v>79.540000000000006</v>
      </c>
      <c r="W1883" s="10">
        <v>78.84</v>
      </c>
      <c r="X1883" s="10">
        <v>78.2</v>
      </c>
      <c r="Y1883" s="10">
        <v>77.61</v>
      </c>
      <c r="Z1883" s="11">
        <v>89.878</v>
      </c>
      <c r="AA1883" s="11">
        <v>89.007999999999996</v>
      </c>
      <c r="AB1883" s="11">
        <v>88.025000000000006</v>
      </c>
      <c r="AC1883" s="11">
        <v>87.081000000000003</v>
      </c>
      <c r="AD1883" s="11">
        <v>86.227000000000004</v>
      </c>
      <c r="AE1883" s="11">
        <v>85.456000000000003</v>
      </c>
      <c r="AF1883" s="11">
        <v>84.718999999999994</v>
      </c>
      <c r="AG1883" s="11">
        <v>83.988</v>
      </c>
      <c r="AH1883" s="11">
        <v>83.26</v>
      </c>
      <c r="AI1883" s="11">
        <v>82.632999999999996</v>
      </c>
      <c r="AJ1883" s="11">
        <v>82.022999999999996</v>
      </c>
      <c r="AK1883" s="11">
        <v>81.466999999999999</v>
      </c>
      <c r="AL1883" s="11"/>
    </row>
    <row r="1884" spans="1:38" x14ac:dyDescent="0.3">
      <c r="A1884" s="9">
        <f>DATE(2024, 4, 16)</f>
        <v>45398</v>
      </c>
      <c r="B1884" s="10">
        <v>90.02</v>
      </c>
      <c r="C1884" s="10">
        <v>89.23</v>
      </c>
      <c r="D1884" s="10">
        <v>88.43</v>
      </c>
      <c r="E1884" s="10">
        <v>87.65</v>
      </c>
      <c r="F1884" s="10">
        <v>86.9</v>
      </c>
      <c r="G1884" s="10">
        <v>86.2</v>
      </c>
      <c r="H1884" s="10">
        <v>85.51</v>
      </c>
      <c r="I1884" s="10">
        <v>84.82</v>
      </c>
      <c r="J1884" s="10">
        <v>84.14</v>
      </c>
      <c r="K1884" s="10">
        <v>83.5</v>
      </c>
      <c r="L1884" s="10">
        <v>82.91</v>
      </c>
      <c r="M1884" s="10">
        <v>82.38</v>
      </c>
      <c r="N1884" s="10">
        <v>85.36</v>
      </c>
      <c r="O1884" s="10">
        <v>84.83</v>
      </c>
      <c r="P1884" s="10">
        <v>84.22</v>
      </c>
      <c r="Q1884" s="10">
        <v>83.51</v>
      </c>
      <c r="R1884" s="10">
        <v>82.73</v>
      </c>
      <c r="S1884" s="10">
        <v>81.92</v>
      </c>
      <c r="T1884" s="10">
        <v>81.150000000000006</v>
      </c>
      <c r="U1884" s="10">
        <v>80.400000000000006</v>
      </c>
      <c r="V1884" s="10">
        <v>79.67</v>
      </c>
      <c r="W1884" s="10">
        <v>78.98</v>
      </c>
      <c r="X1884" s="10">
        <v>78.349999999999994</v>
      </c>
      <c r="Y1884" s="10">
        <v>77.760000000000005</v>
      </c>
      <c r="Z1884" s="11">
        <v>89.954999999999998</v>
      </c>
      <c r="AA1884" s="11">
        <v>89.105000000000004</v>
      </c>
      <c r="AB1884" s="11">
        <v>88.149000000000001</v>
      </c>
      <c r="AC1884" s="11">
        <v>87.230999999999995</v>
      </c>
      <c r="AD1884" s="11">
        <v>86.400999999999996</v>
      </c>
      <c r="AE1884" s="11">
        <v>85.650999999999996</v>
      </c>
      <c r="AF1884" s="11">
        <v>84.930999999999997</v>
      </c>
      <c r="AG1884" s="11">
        <v>84.218999999999994</v>
      </c>
      <c r="AH1884" s="11">
        <v>83.478999999999999</v>
      </c>
      <c r="AI1884" s="11">
        <v>82.832999999999998</v>
      </c>
      <c r="AJ1884" s="11">
        <v>82.224000000000004</v>
      </c>
      <c r="AK1884" s="11">
        <v>81.677999999999997</v>
      </c>
      <c r="AL1884" s="11"/>
    </row>
    <row r="1885" spans="1:38" x14ac:dyDescent="0.3">
      <c r="A1885" s="9">
        <f>DATE(2024, 4, 17)</f>
        <v>45399</v>
      </c>
      <c r="B1885" s="10">
        <v>87.29</v>
      </c>
      <c r="C1885" s="10">
        <v>86.6</v>
      </c>
      <c r="D1885" s="10">
        <v>85.9</v>
      </c>
      <c r="E1885" s="10">
        <v>85.2</v>
      </c>
      <c r="F1885" s="10">
        <v>84.52</v>
      </c>
      <c r="G1885" s="10">
        <v>83.9</v>
      </c>
      <c r="H1885" s="10">
        <v>83.29</v>
      </c>
      <c r="I1885" s="10">
        <v>82.68</v>
      </c>
      <c r="J1885" s="10">
        <v>82.08</v>
      </c>
      <c r="K1885" s="10">
        <v>81.510000000000005</v>
      </c>
      <c r="L1885" s="10">
        <v>80.989999999999995</v>
      </c>
      <c r="M1885" s="10">
        <v>80.52</v>
      </c>
      <c r="N1885" s="10">
        <v>82.69</v>
      </c>
      <c r="O1885" s="10">
        <v>82.15</v>
      </c>
      <c r="P1885" s="10">
        <v>81.61</v>
      </c>
      <c r="Q1885" s="10">
        <v>81</v>
      </c>
      <c r="R1885" s="10">
        <v>80.31</v>
      </c>
      <c r="S1885" s="10">
        <v>79.61</v>
      </c>
      <c r="T1885" s="10">
        <v>78.95</v>
      </c>
      <c r="U1885" s="10">
        <v>78.31</v>
      </c>
      <c r="V1885" s="10">
        <v>77.680000000000007</v>
      </c>
      <c r="W1885" s="10">
        <v>77.08</v>
      </c>
      <c r="X1885" s="10">
        <v>76.52</v>
      </c>
      <c r="Y1885" s="10">
        <v>76</v>
      </c>
      <c r="Z1885" s="11">
        <v>88.869</v>
      </c>
      <c r="AA1885" s="11">
        <v>86.56</v>
      </c>
      <c r="AB1885" s="11">
        <v>85.688999999999993</v>
      </c>
      <c r="AC1885" s="11">
        <v>84.83</v>
      </c>
      <c r="AD1885" s="11">
        <v>84.057000000000002</v>
      </c>
      <c r="AE1885" s="11">
        <v>83.385999999999996</v>
      </c>
      <c r="AF1885" s="11">
        <v>82.738</v>
      </c>
      <c r="AG1885" s="11">
        <v>82.090999999999994</v>
      </c>
      <c r="AH1885" s="11">
        <v>81.445999999999998</v>
      </c>
      <c r="AI1885" s="11">
        <v>80.876000000000005</v>
      </c>
      <c r="AJ1885" s="11">
        <v>80.346999999999994</v>
      </c>
      <c r="AK1885" s="11">
        <v>79.87</v>
      </c>
      <c r="AL1885" s="11"/>
    </row>
    <row r="1886" spans="1:38" x14ac:dyDescent="0.3">
      <c r="A1886" s="9">
        <f>DATE(2024, 4, 18)</f>
        <v>45400</v>
      </c>
      <c r="B1886" s="10">
        <v>87.11</v>
      </c>
      <c r="C1886" s="10">
        <v>86.4</v>
      </c>
      <c r="D1886" s="10">
        <v>85.7</v>
      </c>
      <c r="E1886" s="10">
        <v>85</v>
      </c>
      <c r="F1886" s="10">
        <v>84.32</v>
      </c>
      <c r="G1886" s="10">
        <v>83.69</v>
      </c>
      <c r="H1886" s="10">
        <v>83.07</v>
      </c>
      <c r="I1886" s="10">
        <v>82.45</v>
      </c>
      <c r="J1886" s="10">
        <v>81.849999999999994</v>
      </c>
      <c r="K1886" s="10">
        <v>81.290000000000006</v>
      </c>
      <c r="L1886" s="10">
        <v>80.77</v>
      </c>
      <c r="M1886" s="10">
        <v>80.31</v>
      </c>
      <c r="N1886" s="10">
        <v>82.73</v>
      </c>
      <c r="O1886" s="10">
        <v>82.1</v>
      </c>
      <c r="P1886" s="10">
        <v>81.52</v>
      </c>
      <c r="Q1886" s="10">
        <v>80.87</v>
      </c>
      <c r="R1886" s="10">
        <v>80.17</v>
      </c>
      <c r="S1886" s="10">
        <v>79.45</v>
      </c>
      <c r="T1886" s="10">
        <v>78.77</v>
      </c>
      <c r="U1886" s="10">
        <v>78.13</v>
      </c>
      <c r="V1886" s="10">
        <v>77.489999999999995</v>
      </c>
      <c r="W1886" s="10">
        <v>76.900000000000006</v>
      </c>
      <c r="X1886" s="10">
        <v>76.349999999999994</v>
      </c>
      <c r="Y1886" s="10">
        <v>75.84</v>
      </c>
      <c r="Z1886" s="11">
        <v>88.775999999999996</v>
      </c>
      <c r="AA1886" s="11">
        <v>86.343000000000004</v>
      </c>
      <c r="AB1886" s="11">
        <v>85.483999999999995</v>
      </c>
      <c r="AC1886" s="11">
        <v>84.665000000000006</v>
      </c>
      <c r="AD1886" s="11">
        <v>83.876000000000005</v>
      </c>
      <c r="AE1886" s="11">
        <v>83.174999999999997</v>
      </c>
      <c r="AF1886" s="11">
        <v>82.513000000000005</v>
      </c>
      <c r="AG1886" s="11">
        <v>81.870999999999995</v>
      </c>
      <c r="AH1886" s="11">
        <v>81.231999999999999</v>
      </c>
      <c r="AI1886" s="11">
        <v>80.676000000000002</v>
      </c>
      <c r="AJ1886" s="11">
        <v>80.147000000000006</v>
      </c>
      <c r="AK1886" s="11">
        <v>79.69</v>
      </c>
      <c r="AL1886" s="11"/>
    </row>
    <row r="1887" spans="1:38" x14ac:dyDescent="0.3">
      <c r="A1887" s="9">
        <f>DATE(2024, 4, 19)</f>
        <v>45401</v>
      </c>
      <c r="B1887" s="10">
        <v>87.29</v>
      </c>
      <c r="C1887" s="10">
        <v>86.51</v>
      </c>
      <c r="D1887" s="10">
        <v>85.75</v>
      </c>
      <c r="E1887" s="10">
        <v>85</v>
      </c>
      <c r="F1887" s="10">
        <v>84.27</v>
      </c>
      <c r="G1887" s="10">
        <v>83.59</v>
      </c>
      <c r="H1887" s="10">
        <v>82.93</v>
      </c>
      <c r="I1887" s="10">
        <v>82.28</v>
      </c>
      <c r="J1887" s="10">
        <v>81.66</v>
      </c>
      <c r="K1887" s="10">
        <v>81.069999999999993</v>
      </c>
      <c r="L1887" s="10">
        <v>80.540000000000006</v>
      </c>
      <c r="M1887" s="10">
        <v>80.069999999999993</v>
      </c>
      <c r="N1887" s="10">
        <v>83.14</v>
      </c>
      <c r="O1887" s="10">
        <v>82.22</v>
      </c>
      <c r="P1887" s="10">
        <v>81.58</v>
      </c>
      <c r="Q1887" s="10">
        <v>80.88</v>
      </c>
      <c r="R1887" s="10">
        <v>80.13</v>
      </c>
      <c r="S1887" s="10">
        <v>79.37</v>
      </c>
      <c r="T1887" s="10">
        <v>78.650000000000006</v>
      </c>
      <c r="U1887" s="10">
        <v>77.959999999999994</v>
      </c>
      <c r="V1887" s="10">
        <v>77.3</v>
      </c>
      <c r="W1887" s="10">
        <v>76.680000000000007</v>
      </c>
      <c r="X1887" s="10">
        <v>76.11</v>
      </c>
      <c r="Y1887" s="10">
        <v>75.59</v>
      </c>
      <c r="Z1887" s="11">
        <v>88.870999999999995</v>
      </c>
      <c r="AA1887" s="11">
        <v>86.418000000000006</v>
      </c>
      <c r="AB1887" s="11">
        <v>85.573999999999998</v>
      </c>
      <c r="AC1887" s="11">
        <v>84.698999999999998</v>
      </c>
      <c r="AD1887" s="11">
        <v>83.86</v>
      </c>
      <c r="AE1887" s="11">
        <v>83.084000000000003</v>
      </c>
      <c r="AF1887" s="11">
        <v>82.391999999999996</v>
      </c>
      <c r="AG1887" s="11">
        <v>81.709999999999994</v>
      </c>
      <c r="AH1887" s="11">
        <v>81.043999999999997</v>
      </c>
      <c r="AI1887" s="11">
        <v>80.456000000000003</v>
      </c>
      <c r="AJ1887" s="11">
        <v>79.917000000000002</v>
      </c>
      <c r="AK1887" s="11">
        <v>79.44</v>
      </c>
      <c r="AL1887" s="11"/>
    </row>
    <row r="1888" spans="1:38" x14ac:dyDescent="0.3">
      <c r="A1888" s="9">
        <f>DATE(2024, 4, 22)</f>
        <v>45404</v>
      </c>
      <c r="B1888" s="10">
        <v>87</v>
      </c>
      <c r="C1888" s="10">
        <v>86.07</v>
      </c>
      <c r="D1888" s="10">
        <v>85.29</v>
      </c>
      <c r="E1888" s="10">
        <v>84.55</v>
      </c>
      <c r="F1888" s="10">
        <v>83.83</v>
      </c>
      <c r="G1888" s="10">
        <v>83.16</v>
      </c>
      <c r="H1888" s="10">
        <v>82.51</v>
      </c>
      <c r="I1888" s="10">
        <v>81.88</v>
      </c>
      <c r="J1888" s="10">
        <v>81.27</v>
      </c>
      <c r="K1888" s="10">
        <v>80.7</v>
      </c>
      <c r="L1888" s="10">
        <v>80.17</v>
      </c>
      <c r="M1888" s="10">
        <v>79.709999999999994</v>
      </c>
      <c r="N1888" s="10">
        <v>82.85</v>
      </c>
      <c r="O1888" s="10">
        <v>81.900000000000006</v>
      </c>
      <c r="P1888" s="10">
        <v>81.209999999999994</v>
      </c>
      <c r="Q1888" s="10">
        <v>80.489999999999995</v>
      </c>
      <c r="R1888" s="10">
        <v>79.73</v>
      </c>
      <c r="S1888" s="10">
        <v>78.97</v>
      </c>
      <c r="T1888" s="10">
        <v>78.260000000000005</v>
      </c>
      <c r="U1888" s="10">
        <v>77.58</v>
      </c>
      <c r="V1888" s="10">
        <v>76.94</v>
      </c>
      <c r="W1888" s="10">
        <v>76.34</v>
      </c>
      <c r="X1888" s="10">
        <v>75.78</v>
      </c>
      <c r="Y1888" s="10">
        <v>75.27</v>
      </c>
      <c r="Z1888" s="11">
        <v>88.712999999999994</v>
      </c>
      <c r="AA1888" s="11">
        <v>85.965999999999994</v>
      </c>
      <c r="AB1888" s="11">
        <v>85.100999999999999</v>
      </c>
      <c r="AC1888" s="11">
        <v>84.224000000000004</v>
      </c>
      <c r="AD1888" s="11">
        <v>83.405000000000001</v>
      </c>
      <c r="AE1888" s="11">
        <v>82.649000000000001</v>
      </c>
      <c r="AF1888" s="11">
        <v>81.962999999999994</v>
      </c>
      <c r="AG1888" s="11">
        <v>81.301000000000002</v>
      </c>
      <c r="AH1888" s="11">
        <v>80.661000000000001</v>
      </c>
      <c r="AI1888" s="11">
        <v>80.090999999999994</v>
      </c>
      <c r="AJ1888" s="11">
        <v>79.561000000000007</v>
      </c>
      <c r="AK1888" s="11">
        <v>79.090999999999994</v>
      </c>
      <c r="AL1888" s="11"/>
    </row>
    <row r="1889" spans="1:38" x14ac:dyDescent="0.3">
      <c r="A1889" s="9">
        <f>DATE(2024, 4, 23)</f>
        <v>45405</v>
      </c>
      <c r="B1889" s="10">
        <v>88.42</v>
      </c>
      <c r="C1889" s="10">
        <v>87.39</v>
      </c>
      <c r="D1889" s="10">
        <v>86.55</v>
      </c>
      <c r="E1889" s="10">
        <v>85.76</v>
      </c>
      <c r="F1889" s="10">
        <v>84.99</v>
      </c>
      <c r="G1889" s="10">
        <v>84.27</v>
      </c>
      <c r="H1889" s="10">
        <v>83.58</v>
      </c>
      <c r="I1889" s="10">
        <v>82.91</v>
      </c>
      <c r="J1889" s="10">
        <v>82.27</v>
      </c>
      <c r="K1889" s="10">
        <v>81.66</v>
      </c>
      <c r="L1889" s="10">
        <v>81.099999999999994</v>
      </c>
      <c r="M1889" s="10">
        <v>80.61</v>
      </c>
      <c r="N1889" s="10">
        <v>83.36</v>
      </c>
      <c r="O1889" s="10">
        <v>82.56</v>
      </c>
      <c r="P1889" s="10">
        <v>81.73</v>
      </c>
      <c r="Q1889" s="10">
        <v>80.89</v>
      </c>
      <c r="R1889" s="10">
        <v>80.06</v>
      </c>
      <c r="S1889" s="10">
        <v>79.3</v>
      </c>
      <c r="T1889" s="10">
        <v>78.58</v>
      </c>
      <c r="U1889" s="10">
        <v>77.88</v>
      </c>
      <c r="V1889" s="10">
        <v>77.23</v>
      </c>
      <c r="W1889" s="10">
        <v>76.63</v>
      </c>
      <c r="X1889" s="10">
        <v>76.09</v>
      </c>
      <c r="Y1889" s="10">
        <v>75.59</v>
      </c>
      <c r="Z1889" s="11">
        <v>89.135000000000005</v>
      </c>
      <c r="AA1889" s="11">
        <v>87.323999999999998</v>
      </c>
      <c r="AB1889" s="11">
        <v>86.396000000000001</v>
      </c>
      <c r="AC1889" s="11">
        <v>85.436999999999998</v>
      </c>
      <c r="AD1889" s="11">
        <v>84.566999999999993</v>
      </c>
      <c r="AE1889" s="11">
        <v>83.751999999999995</v>
      </c>
      <c r="AF1889" s="11">
        <v>83.016000000000005</v>
      </c>
      <c r="AG1889" s="11">
        <v>82.33</v>
      </c>
      <c r="AH1889" s="11">
        <v>81.652000000000001</v>
      </c>
      <c r="AI1889" s="11">
        <v>81.034999999999997</v>
      </c>
      <c r="AJ1889" s="11">
        <v>80.456000000000003</v>
      </c>
      <c r="AK1889" s="11">
        <v>79.959999999999994</v>
      </c>
      <c r="AL1889" s="11"/>
    </row>
    <row r="1890" spans="1:38" x14ac:dyDescent="0.3">
      <c r="A1890" s="9">
        <f>DATE(2024, 4, 24)</f>
        <v>45406</v>
      </c>
      <c r="B1890" s="10">
        <v>88.02</v>
      </c>
      <c r="C1890" s="10">
        <v>87.04</v>
      </c>
      <c r="D1890" s="10">
        <v>86.29</v>
      </c>
      <c r="E1890" s="10">
        <v>85.56</v>
      </c>
      <c r="F1890" s="10">
        <v>84.83</v>
      </c>
      <c r="G1890" s="10">
        <v>84.14</v>
      </c>
      <c r="H1890" s="10">
        <v>83.48</v>
      </c>
      <c r="I1890" s="10">
        <v>82.85</v>
      </c>
      <c r="J1890" s="10">
        <v>82.24</v>
      </c>
      <c r="K1890" s="10">
        <v>81.66</v>
      </c>
      <c r="L1890" s="10">
        <v>81.13</v>
      </c>
      <c r="M1890" s="10">
        <v>80.66</v>
      </c>
      <c r="N1890" s="10">
        <v>82.81</v>
      </c>
      <c r="O1890" s="10">
        <v>82.09</v>
      </c>
      <c r="P1890" s="10">
        <v>81.349999999999994</v>
      </c>
      <c r="Q1890" s="10">
        <v>80.58</v>
      </c>
      <c r="R1890" s="10">
        <v>79.81</v>
      </c>
      <c r="S1890" s="10">
        <v>79.11</v>
      </c>
      <c r="T1890" s="10">
        <v>78.42</v>
      </c>
      <c r="U1890" s="10">
        <v>77.760000000000005</v>
      </c>
      <c r="V1890" s="10">
        <v>77.150000000000006</v>
      </c>
      <c r="W1890" s="10">
        <v>76.58</v>
      </c>
      <c r="X1890" s="10">
        <v>76.06</v>
      </c>
      <c r="Y1890" s="10">
        <v>75.58</v>
      </c>
      <c r="Z1890" s="11">
        <v>89.093999999999994</v>
      </c>
      <c r="AA1890" s="11">
        <v>86.95</v>
      </c>
      <c r="AB1890" s="11">
        <v>86.08</v>
      </c>
      <c r="AC1890" s="11">
        <v>85.186999999999998</v>
      </c>
      <c r="AD1890" s="11">
        <v>84.364000000000004</v>
      </c>
      <c r="AE1890" s="11">
        <v>83.593999999999994</v>
      </c>
      <c r="AF1890" s="11">
        <v>82.897999999999996</v>
      </c>
      <c r="AG1890" s="11">
        <v>82.242999999999995</v>
      </c>
      <c r="AH1890" s="11">
        <v>81.605000000000004</v>
      </c>
      <c r="AI1890" s="11">
        <v>81.036000000000001</v>
      </c>
      <c r="AJ1890" s="11">
        <v>80.497</v>
      </c>
      <c r="AK1890" s="11">
        <v>80.02</v>
      </c>
      <c r="AL1890" s="11"/>
    </row>
    <row r="1891" spans="1:38" x14ac:dyDescent="0.3">
      <c r="A1891" s="9">
        <f>DATE(2024, 4, 25)</f>
        <v>45407</v>
      </c>
      <c r="B1891" s="10">
        <v>89.01</v>
      </c>
      <c r="C1891" s="10">
        <v>87.77</v>
      </c>
      <c r="D1891" s="10">
        <v>86.92</v>
      </c>
      <c r="E1891" s="10">
        <v>86.12</v>
      </c>
      <c r="F1891" s="10">
        <v>85.34</v>
      </c>
      <c r="G1891" s="10">
        <v>84.62</v>
      </c>
      <c r="H1891" s="10">
        <v>83.95</v>
      </c>
      <c r="I1891" s="10">
        <v>83.29</v>
      </c>
      <c r="J1891" s="10">
        <v>82.67</v>
      </c>
      <c r="K1891" s="10">
        <v>82.08</v>
      </c>
      <c r="L1891" s="10">
        <v>81.540000000000006</v>
      </c>
      <c r="M1891" s="10">
        <v>81.06</v>
      </c>
      <c r="N1891" s="10">
        <v>83.57</v>
      </c>
      <c r="O1891" s="10">
        <v>82.75</v>
      </c>
      <c r="P1891" s="10">
        <v>81.93</v>
      </c>
      <c r="Q1891" s="10">
        <v>81.09</v>
      </c>
      <c r="R1891" s="10">
        <v>80.28</v>
      </c>
      <c r="S1891" s="10">
        <v>79.53</v>
      </c>
      <c r="T1891" s="10">
        <v>78.83</v>
      </c>
      <c r="U1891" s="10">
        <v>78.150000000000006</v>
      </c>
      <c r="V1891" s="10">
        <v>77.52</v>
      </c>
      <c r="W1891" s="10">
        <v>76.95</v>
      </c>
      <c r="X1891" s="10">
        <v>76.42</v>
      </c>
      <c r="Y1891" s="10">
        <v>75.94</v>
      </c>
      <c r="Z1891" s="11">
        <v>89.204999999999998</v>
      </c>
      <c r="AA1891" s="11">
        <v>87.644000000000005</v>
      </c>
      <c r="AB1891" s="11">
        <v>86.739000000000004</v>
      </c>
      <c r="AC1891" s="11">
        <v>85.796999999999997</v>
      </c>
      <c r="AD1891" s="11">
        <v>84.945999999999998</v>
      </c>
      <c r="AE1891" s="11">
        <v>84.143000000000001</v>
      </c>
      <c r="AF1891" s="11">
        <v>83.426000000000002</v>
      </c>
      <c r="AG1891" s="11">
        <v>82.73</v>
      </c>
      <c r="AH1891" s="11">
        <v>82.063999999999993</v>
      </c>
      <c r="AI1891" s="11">
        <v>81.474999999999994</v>
      </c>
      <c r="AJ1891" s="11">
        <v>80.915999999999997</v>
      </c>
      <c r="AK1891" s="11">
        <v>80.42</v>
      </c>
      <c r="AL1891" s="11"/>
    </row>
    <row r="1892" spans="1:38" x14ac:dyDescent="0.3">
      <c r="A1892" s="9">
        <f>DATE(2024, 4, 26)</f>
        <v>45408</v>
      </c>
      <c r="B1892" s="10">
        <v>89.5</v>
      </c>
      <c r="C1892" s="10">
        <v>88.21</v>
      </c>
      <c r="D1892" s="10">
        <v>87.37</v>
      </c>
      <c r="E1892" s="10">
        <v>86.58</v>
      </c>
      <c r="F1892" s="10">
        <v>85.81</v>
      </c>
      <c r="G1892" s="10">
        <v>85.1</v>
      </c>
      <c r="H1892" s="10">
        <v>84.41</v>
      </c>
      <c r="I1892" s="10">
        <v>83.75</v>
      </c>
      <c r="J1892" s="10">
        <v>83.11</v>
      </c>
      <c r="K1892" s="10">
        <v>82.51</v>
      </c>
      <c r="L1892" s="10">
        <v>81.95</v>
      </c>
      <c r="M1892" s="10">
        <v>81.459999999999994</v>
      </c>
      <c r="N1892" s="10">
        <v>83.85</v>
      </c>
      <c r="O1892" s="10">
        <v>83.13</v>
      </c>
      <c r="P1892" s="10">
        <v>82.35</v>
      </c>
      <c r="Q1892" s="10">
        <v>81.540000000000006</v>
      </c>
      <c r="R1892" s="10">
        <v>80.739999999999995</v>
      </c>
      <c r="S1892" s="10">
        <v>80.010000000000005</v>
      </c>
      <c r="T1892" s="10">
        <v>79.3</v>
      </c>
      <c r="U1892" s="10">
        <v>78.61</v>
      </c>
      <c r="V1892" s="10">
        <v>77.98</v>
      </c>
      <c r="W1892" s="10">
        <v>77.39</v>
      </c>
      <c r="X1892" s="10">
        <v>76.849999999999994</v>
      </c>
      <c r="Y1892" s="10">
        <v>76.34</v>
      </c>
      <c r="Z1892" s="11">
        <v>89.234999999999999</v>
      </c>
      <c r="AA1892" s="11">
        <v>88.003</v>
      </c>
      <c r="AB1892" s="11">
        <v>87.102000000000004</v>
      </c>
      <c r="AC1892" s="11">
        <v>86.161000000000001</v>
      </c>
      <c r="AD1892" s="11">
        <v>85.322000000000003</v>
      </c>
      <c r="AE1892" s="11">
        <v>84.527000000000001</v>
      </c>
      <c r="AF1892" s="11">
        <v>83.808000000000007</v>
      </c>
      <c r="AG1892" s="11">
        <v>83.125</v>
      </c>
      <c r="AH1892" s="11">
        <v>82.433000000000007</v>
      </c>
      <c r="AI1892" s="11">
        <v>81.844999999999999</v>
      </c>
      <c r="AJ1892" s="11">
        <v>81.271000000000001</v>
      </c>
      <c r="AK1892" s="11">
        <v>80.77</v>
      </c>
      <c r="AL1892" s="11"/>
    </row>
    <row r="1893" spans="1:38" x14ac:dyDescent="0.3">
      <c r="A1893" s="9">
        <f>DATE(2024, 4, 29)</f>
        <v>45411</v>
      </c>
      <c r="B1893" s="10">
        <v>88.4</v>
      </c>
      <c r="C1893" s="10">
        <v>87.2</v>
      </c>
      <c r="D1893" s="10">
        <v>86.42</v>
      </c>
      <c r="E1893" s="10">
        <v>85.68</v>
      </c>
      <c r="F1893" s="10">
        <v>84.96</v>
      </c>
      <c r="G1893" s="10">
        <v>84.3</v>
      </c>
      <c r="H1893" s="10">
        <v>83.65</v>
      </c>
      <c r="I1893" s="10">
        <v>83.02</v>
      </c>
      <c r="J1893" s="10">
        <v>82.42</v>
      </c>
      <c r="K1893" s="10">
        <v>81.849999999999994</v>
      </c>
      <c r="L1893" s="10">
        <v>81.319999999999993</v>
      </c>
      <c r="M1893" s="10">
        <v>80.849999999999994</v>
      </c>
      <c r="N1893" s="10">
        <v>82.63</v>
      </c>
      <c r="O1893" s="10">
        <v>82.03</v>
      </c>
      <c r="P1893" s="10">
        <v>81.37</v>
      </c>
      <c r="Q1893" s="10">
        <v>80.650000000000006</v>
      </c>
      <c r="R1893" s="10">
        <v>79.92</v>
      </c>
      <c r="S1893" s="10">
        <v>79.239999999999995</v>
      </c>
      <c r="T1893" s="10">
        <v>78.569999999999993</v>
      </c>
      <c r="U1893" s="10">
        <v>77.92</v>
      </c>
      <c r="V1893" s="10">
        <v>77.319999999999993</v>
      </c>
      <c r="W1893" s="10">
        <v>76.760000000000005</v>
      </c>
      <c r="X1893" s="10">
        <v>76.239999999999995</v>
      </c>
      <c r="Y1893" s="10">
        <v>75.760000000000005</v>
      </c>
      <c r="Z1893" s="11">
        <v>89.161000000000001</v>
      </c>
      <c r="AA1893" s="11">
        <v>86.97</v>
      </c>
      <c r="AB1893" s="11">
        <v>86.122</v>
      </c>
      <c r="AC1893" s="11">
        <v>85.180999999999997</v>
      </c>
      <c r="AD1893" s="11">
        <v>84.372</v>
      </c>
      <c r="AE1893" s="11">
        <v>83.629000000000005</v>
      </c>
      <c r="AF1893" s="11">
        <v>82.968000000000004</v>
      </c>
      <c r="AG1893" s="11">
        <v>82.316000000000003</v>
      </c>
      <c r="AH1893" s="11">
        <v>81.671000000000006</v>
      </c>
      <c r="AI1893" s="11">
        <v>81.105999999999995</v>
      </c>
      <c r="AJ1893" s="11">
        <v>80.566999999999993</v>
      </c>
      <c r="AK1893" s="11">
        <v>80.09</v>
      </c>
      <c r="AL1893" s="11"/>
    </row>
    <row r="1894" spans="1:38" x14ac:dyDescent="0.3">
      <c r="A1894" s="9">
        <f>DATE(2024, 4, 30)</f>
        <v>45412</v>
      </c>
      <c r="B1894" s="10">
        <v>87.86</v>
      </c>
      <c r="C1894" s="10">
        <v>86.33</v>
      </c>
      <c r="D1894" s="10">
        <v>85.61</v>
      </c>
      <c r="E1894" s="10">
        <v>84.91</v>
      </c>
      <c r="F1894" s="10">
        <v>84.23</v>
      </c>
      <c r="G1894" s="10">
        <v>83.61</v>
      </c>
      <c r="H1894" s="10">
        <v>83</v>
      </c>
      <c r="I1894" s="10">
        <v>82.4</v>
      </c>
      <c r="J1894" s="10">
        <v>81.819999999999993</v>
      </c>
      <c r="K1894" s="10">
        <v>81.27</v>
      </c>
      <c r="L1894" s="10">
        <v>80.760000000000005</v>
      </c>
      <c r="M1894" s="10">
        <v>80.31</v>
      </c>
      <c r="N1894" s="10">
        <v>81.93</v>
      </c>
      <c r="O1894" s="10">
        <v>81.28</v>
      </c>
      <c r="P1894" s="10">
        <v>80.61</v>
      </c>
      <c r="Q1894" s="10">
        <v>79.91</v>
      </c>
      <c r="R1894" s="10">
        <v>79.209999999999994</v>
      </c>
      <c r="S1894" s="10">
        <v>78.569999999999993</v>
      </c>
      <c r="T1894" s="10">
        <v>77.95</v>
      </c>
      <c r="U1894" s="10">
        <v>77.34</v>
      </c>
      <c r="V1894" s="10">
        <v>76.77</v>
      </c>
      <c r="W1894" s="10">
        <v>76.239999999999995</v>
      </c>
      <c r="X1894" s="10">
        <v>75.75</v>
      </c>
      <c r="Y1894" s="10">
        <v>75.290000000000006</v>
      </c>
      <c r="Z1894" s="11">
        <v>89.171999999999997</v>
      </c>
      <c r="AA1894" s="11">
        <v>86.198999999999998</v>
      </c>
      <c r="AB1894" s="11">
        <v>85.397999999999996</v>
      </c>
      <c r="AC1894" s="11">
        <v>84.447999999999993</v>
      </c>
      <c r="AD1894" s="11">
        <v>83.647000000000006</v>
      </c>
      <c r="AE1894" s="11">
        <v>82.941000000000003</v>
      </c>
      <c r="AF1894" s="11">
        <v>82.3</v>
      </c>
      <c r="AG1894" s="11">
        <v>81.679000000000002</v>
      </c>
      <c r="AH1894" s="11">
        <v>81.063999999999993</v>
      </c>
      <c r="AI1894" s="11">
        <v>80.531999999999996</v>
      </c>
      <c r="AJ1894" s="11">
        <v>80.018000000000001</v>
      </c>
      <c r="AK1894" s="11">
        <v>79.570999999999998</v>
      </c>
      <c r="AL1894" s="11"/>
    </row>
    <row r="1895" spans="1:38" x14ac:dyDescent="0.3">
      <c r="A1895" s="9">
        <f>DATE(2024, 5, 1)</f>
        <v>45413</v>
      </c>
      <c r="B1895" s="10">
        <v>83.44</v>
      </c>
      <c r="C1895" s="10">
        <v>82.79</v>
      </c>
      <c r="D1895" s="10">
        <v>82.15</v>
      </c>
      <c r="E1895" s="10">
        <v>81.53</v>
      </c>
      <c r="F1895" s="10">
        <v>80.97</v>
      </c>
      <c r="G1895" s="10">
        <v>80.41</v>
      </c>
      <c r="H1895" s="10">
        <v>79.86</v>
      </c>
      <c r="I1895" s="10">
        <v>79.34</v>
      </c>
      <c r="J1895" s="10">
        <v>78.84</v>
      </c>
      <c r="K1895" s="10">
        <v>78.38</v>
      </c>
      <c r="L1895" s="10">
        <v>77.97</v>
      </c>
      <c r="M1895" s="10">
        <v>77.62</v>
      </c>
      <c r="N1895" s="10">
        <v>79</v>
      </c>
      <c r="O1895" s="10">
        <v>78.44</v>
      </c>
      <c r="P1895" s="10">
        <v>77.849999999999994</v>
      </c>
      <c r="Q1895" s="10">
        <v>77.22</v>
      </c>
      <c r="R1895" s="10">
        <v>76.59</v>
      </c>
      <c r="S1895" s="10">
        <v>76.010000000000005</v>
      </c>
      <c r="T1895" s="10">
        <v>75.45</v>
      </c>
      <c r="U1895" s="10">
        <v>74.91</v>
      </c>
      <c r="V1895" s="10">
        <v>74.38</v>
      </c>
      <c r="W1895" s="10">
        <v>73.89</v>
      </c>
      <c r="X1895" s="10">
        <v>73.44</v>
      </c>
      <c r="Y1895" s="10">
        <v>73.02</v>
      </c>
      <c r="Z1895" s="11">
        <v>89.171999999999997</v>
      </c>
      <c r="AA1895" s="11">
        <v>83.468000000000004</v>
      </c>
      <c r="AB1895" s="11">
        <v>82.668000000000006</v>
      </c>
      <c r="AC1895" s="11">
        <v>81.778000000000006</v>
      </c>
      <c r="AD1895" s="11">
        <v>81.009</v>
      </c>
      <c r="AE1895" s="11">
        <v>80.344999999999999</v>
      </c>
      <c r="AF1895" s="11">
        <v>79.753</v>
      </c>
      <c r="AG1895" s="11">
        <v>79.17</v>
      </c>
      <c r="AH1895" s="11">
        <v>78.617000000000004</v>
      </c>
      <c r="AI1895" s="11">
        <v>78.134</v>
      </c>
      <c r="AJ1895" s="11">
        <v>77.67</v>
      </c>
      <c r="AK1895" s="11">
        <v>77.263000000000005</v>
      </c>
      <c r="AL1895" s="11"/>
    </row>
    <row r="1896" spans="1:38" x14ac:dyDescent="0.3">
      <c r="A1896" s="9">
        <f>DATE(2024, 5, 2)</f>
        <v>45414</v>
      </c>
      <c r="B1896" s="10">
        <v>83.67</v>
      </c>
      <c r="C1896" s="10">
        <v>83.03</v>
      </c>
      <c r="D1896" s="10">
        <v>82.4</v>
      </c>
      <c r="E1896" s="10">
        <v>81.790000000000006</v>
      </c>
      <c r="F1896" s="10">
        <v>81.239999999999995</v>
      </c>
      <c r="G1896" s="10">
        <v>80.7</v>
      </c>
      <c r="H1896" s="10">
        <v>80.180000000000007</v>
      </c>
      <c r="I1896" s="10">
        <v>79.680000000000007</v>
      </c>
      <c r="J1896" s="10">
        <v>79.2</v>
      </c>
      <c r="K1896" s="10">
        <v>78.760000000000005</v>
      </c>
      <c r="L1896" s="10">
        <v>78.37</v>
      </c>
      <c r="M1896" s="10">
        <v>78.040000000000006</v>
      </c>
      <c r="N1896" s="10">
        <v>78.95</v>
      </c>
      <c r="O1896" s="10">
        <v>78.48</v>
      </c>
      <c r="P1896" s="10">
        <v>77.95</v>
      </c>
      <c r="Q1896" s="10">
        <v>77.37</v>
      </c>
      <c r="R1896" s="10">
        <v>76.78</v>
      </c>
      <c r="S1896" s="10">
        <v>76.239999999999995</v>
      </c>
      <c r="T1896" s="10">
        <v>75.73</v>
      </c>
      <c r="U1896" s="10">
        <v>75.209999999999994</v>
      </c>
      <c r="V1896" s="10">
        <v>74.709999999999994</v>
      </c>
      <c r="W1896" s="10">
        <v>74.25</v>
      </c>
      <c r="X1896" s="10">
        <v>73.81</v>
      </c>
      <c r="Y1896" s="10">
        <v>73.400000000000006</v>
      </c>
      <c r="Z1896" s="11">
        <v>83.89</v>
      </c>
      <c r="AA1896" s="11">
        <v>83.08</v>
      </c>
      <c r="AB1896" s="11">
        <v>82.182000000000002</v>
      </c>
      <c r="AC1896" s="11">
        <v>81.41</v>
      </c>
      <c r="AD1896" s="11">
        <v>80.753</v>
      </c>
      <c r="AE1896" s="11">
        <v>80.156999999999996</v>
      </c>
      <c r="AF1896" s="11">
        <v>79.584000000000003</v>
      </c>
      <c r="AG1896" s="11">
        <v>79.028999999999996</v>
      </c>
      <c r="AH1896" s="11">
        <v>78.555000000000007</v>
      </c>
      <c r="AI1896" s="11">
        <v>78.111000000000004</v>
      </c>
      <c r="AJ1896" s="11">
        <v>77.724000000000004</v>
      </c>
      <c r="AK1896" s="11">
        <v>77.373999999999995</v>
      </c>
      <c r="AL1896" s="11"/>
    </row>
    <row r="1897" spans="1:38" x14ac:dyDescent="0.3">
      <c r="A1897" s="9">
        <f>DATE(2024, 5, 3)</f>
        <v>45415</v>
      </c>
      <c r="B1897" s="10">
        <v>82.96</v>
      </c>
      <c r="C1897" s="10">
        <v>82.45</v>
      </c>
      <c r="D1897" s="10">
        <v>81.91</v>
      </c>
      <c r="E1897" s="10">
        <v>81.37</v>
      </c>
      <c r="F1897" s="10">
        <v>80.87</v>
      </c>
      <c r="G1897" s="10">
        <v>80.38</v>
      </c>
      <c r="H1897" s="10">
        <v>79.900000000000006</v>
      </c>
      <c r="I1897" s="10">
        <v>79.430000000000007</v>
      </c>
      <c r="J1897" s="10">
        <v>78.989999999999995</v>
      </c>
      <c r="K1897" s="10">
        <v>78.59</v>
      </c>
      <c r="L1897" s="10">
        <v>78.239999999999995</v>
      </c>
      <c r="M1897" s="10">
        <v>77.930000000000007</v>
      </c>
      <c r="N1897" s="10">
        <v>78.11</v>
      </c>
      <c r="O1897" s="10">
        <v>77.760000000000005</v>
      </c>
      <c r="P1897" s="10">
        <v>77.349999999999994</v>
      </c>
      <c r="Q1897" s="10">
        <v>76.86</v>
      </c>
      <c r="R1897" s="10">
        <v>76.36</v>
      </c>
      <c r="S1897" s="10">
        <v>75.89</v>
      </c>
      <c r="T1897" s="10">
        <v>75.430000000000007</v>
      </c>
      <c r="U1897" s="10">
        <v>74.97</v>
      </c>
      <c r="V1897" s="10">
        <v>74.52</v>
      </c>
      <c r="W1897" s="10">
        <v>74.08</v>
      </c>
      <c r="X1897" s="10">
        <v>73.680000000000007</v>
      </c>
      <c r="Y1897" s="10">
        <v>73.31</v>
      </c>
      <c r="Z1897" s="11">
        <v>83.200999999999993</v>
      </c>
      <c r="AA1897" s="11">
        <v>82.366</v>
      </c>
      <c r="AB1897" s="11">
        <v>81.576999999999998</v>
      </c>
      <c r="AC1897" s="11">
        <v>80.915000000000006</v>
      </c>
      <c r="AD1897" s="11">
        <v>80.338999999999999</v>
      </c>
      <c r="AE1897" s="11">
        <v>79.789000000000001</v>
      </c>
      <c r="AF1897" s="11">
        <v>79.257999999999996</v>
      </c>
      <c r="AG1897" s="11">
        <v>78.718000000000004</v>
      </c>
      <c r="AH1897" s="11">
        <v>78.266999999999996</v>
      </c>
      <c r="AI1897" s="11">
        <v>77.858000000000004</v>
      </c>
      <c r="AJ1897" s="11">
        <v>77.504999999999995</v>
      </c>
      <c r="AK1897" s="11">
        <v>77.224999999999994</v>
      </c>
      <c r="AL1897" s="11"/>
    </row>
    <row r="1898" spans="1:38" x14ac:dyDescent="0.3">
      <c r="A1898" s="9">
        <f>DATE(2024, 5, 6)</f>
        <v>45418</v>
      </c>
      <c r="B1898" s="10">
        <v>83.33</v>
      </c>
      <c r="C1898" s="10">
        <v>82.84</v>
      </c>
      <c r="D1898" s="10">
        <v>82.32</v>
      </c>
      <c r="E1898" s="10">
        <v>81.78</v>
      </c>
      <c r="F1898" s="10">
        <v>81.290000000000006</v>
      </c>
      <c r="G1898" s="10">
        <v>80.8</v>
      </c>
      <c r="H1898" s="10">
        <v>80.33</v>
      </c>
      <c r="I1898" s="10">
        <v>79.87</v>
      </c>
      <c r="J1898" s="10">
        <v>79.44</v>
      </c>
      <c r="K1898" s="10">
        <v>79.040000000000006</v>
      </c>
      <c r="L1898" s="10">
        <v>78.69</v>
      </c>
      <c r="M1898" s="10">
        <v>78.38</v>
      </c>
      <c r="N1898" s="10">
        <v>78.48</v>
      </c>
      <c r="O1898" s="10">
        <v>78.14</v>
      </c>
      <c r="P1898" s="10">
        <v>77.739999999999995</v>
      </c>
      <c r="Q1898" s="10">
        <v>77.27</v>
      </c>
      <c r="R1898" s="10">
        <v>76.77</v>
      </c>
      <c r="S1898" s="10">
        <v>76.290000000000006</v>
      </c>
      <c r="T1898" s="10">
        <v>75.84</v>
      </c>
      <c r="U1898" s="10">
        <v>75.37</v>
      </c>
      <c r="V1898" s="10">
        <v>74.92</v>
      </c>
      <c r="W1898" s="10">
        <v>74.48</v>
      </c>
      <c r="X1898" s="10">
        <v>74.08</v>
      </c>
      <c r="Y1898" s="10">
        <v>73.709999999999994</v>
      </c>
      <c r="Z1898" s="11">
        <v>83.659000000000006</v>
      </c>
      <c r="AA1898" s="11">
        <v>82.849000000000004</v>
      </c>
      <c r="AB1898" s="11">
        <v>82.054000000000002</v>
      </c>
      <c r="AC1898" s="11">
        <v>81.376999999999995</v>
      </c>
      <c r="AD1898" s="11">
        <v>80.775999999999996</v>
      </c>
      <c r="AE1898" s="11">
        <v>80.209999999999994</v>
      </c>
      <c r="AF1898" s="11">
        <v>79.680000000000007</v>
      </c>
      <c r="AG1898" s="11">
        <v>79.16</v>
      </c>
      <c r="AH1898" s="11">
        <v>78.691999999999993</v>
      </c>
      <c r="AI1898" s="11">
        <v>78.283000000000001</v>
      </c>
      <c r="AJ1898" s="11">
        <v>77.924999999999997</v>
      </c>
      <c r="AK1898" s="11">
        <v>77.635000000000005</v>
      </c>
      <c r="AL1898" s="11"/>
    </row>
    <row r="1899" spans="1:38" x14ac:dyDescent="0.3">
      <c r="A1899" s="9">
        <f>DATE(2024, 5, 7)</f>
        <v>45419</v>
      </c>
      <c r="B1899" s="10">
        <v>83.16</v>
      </c>
      <c r="C1899" s="10">
        <v>82.72</v>
      </c>
      <c r="D1899" s="10">
        <v>82.23</v>
      </c>
      <c r="E1899" s="10">
        <v>81.7</v>
      </c>
      <c r="F1899" s="10">
        <v>81.209999999999994</v>
      </c>
      <c r="G1899" s="10">
        <v>80.73</v>
      </c>
      <c r="H1899" s="10">
        <v>80.260000000000005</v>
      </c>
      <c r="I1899" s="10">
        <v>79.81</v>
      </c>
      <c r="J1899" s="10">
        <v>79.37</v>
      </c>
      <c r="K1899" s="10">
        <v>78.959999999999994</v>
      </c>
      <c r="L1899" s="10">
        <v>78.59</v>
      </c>
      <c r="M1899" s="10">
        <v>78.27</v>
      </c>
      <c r="N1899" s="10">
        <v>78.38</v>
      </c>
      <c r="O1899" s="10">
        <v>78.06</v>
      </c>
      <c r="P1899" s="10">
        <v>77.680000000000007</v>
      </c>
      <c r="Q1899" s="10">
        <v>77.239999999999995</v>
      </c>
      <c r="R1899" s="10">
        <v>76.760000000000005</v>
      </c>
      <c r="S1899" s="10">
        <v>76.290000000000006</v>
      </c>
      <c r="T1899" s="10">
        <v>75.84</v>
      </c>
      <c r="U1899" s="10">
        <v>75.38</v>
      </c>
      <c r="V1899" s="10">
        <v>74.92</v>
      </c>
      <c r="W1899" s="10">
        <v>74.489999999999995</v>
      </c>
      <c r="X1899" s="10">
        <v>74.09</v>
      </c>
      <c r="Y1899" s="10">
        <v>73.7</v>
      </c>
      <c r="Z1899" s="11">
        <v>83.804000000000002</v>
      </c>
      <c r="AA1899" s="11">
        <v>82.834999999999994</v>
      </c>
      <c r="AB1899" s="11">
        <v>82.046000000000006</v>
      </c>
      <c r="AC1899" s="11">
        <v>81.366</v>
      </c>
      <c r="AD1899" s="11">
        <v>80.760999999999996</v>
      </c>
      <c r="AE1899" s="11">
        <v>80.194999999999993</v>
      </c>
      <c r="AF1899" s="11">
        <v>79.653999999999996</v>
      </c>
      <c r="AG1899" s="11">
        <v>79.132999999999996</v>
      </c>
      <c r="AH1899" s="11">
        <v>78.680999999999997</v>
      </c>
      <c r="AI1899" s="11">
        <v>78.262</v>
      </c>
      <c r="AJ1899" s="11">
        <v>77.885000000000005</v>
      </c>
      <c r="AK1899" s="11">
        <v>77.563999999999993</v>
      </c>
      <c r="AL1899" s="11"/>
    </row>
    <row r="1900" spans="1:38" x14ac:dyDescent="0.3">
      <c r="A1900" s="9">
        <f>DATE(2024, 5, 8)</f>
        <v>45420</v>
      </c>
      <c r="B1900" s="10">
        <v>83.58</v>
      </c>
      <c r="C1900" s="10">
        <v>83</v>
      </c>
      <c r="D1900" s="10">
        <v>82.42</v>
      </c>
      <c r="E1900" s="10">
        <v>81.84</v>
      </c>
      <c r="F1900" s="10">
        <v>81.3</v>
      </c>
      <c r="G1900" s="10">
        <v>80.77</v>
      </c>
      <c r="H1900" s="10">
        <v>80.260000000000005</v>
      </c>
      <c r="I1900" s="10">
        <v>79.77</v>
      </c>
      <c r="J1900" s="10">
        <v>79.3</v>
      </c>
      <c r="K1900" s="10">
        <v>78.87</v>
      </c>
      <c r="L1900" s="10">
        <v>78.489999999999995</v>
      </c>
      <c r="M1900" s="10">
        <v>78.16</v>
      </c>
      <c r="N1900" s="10">
        <v>78.989999999999995</v>
      </c>
      <c r="O1900" s="10">
        <v>78.56</v>
      </c>
      <c r="P1900" s="10">
        <v>78.069999999999993</v>
      </c>
      <c r="Q1900" s="10">
        <v>77.53</v>
      </c>
      <c r="R1900" s="10">
        <v>76.97</v>
      </c>
      <c r="S1900" s="10">
        <v>76.430000000000007</v>
      </c>
      <c r="T1900" s="10">
        <v>75.92</v>
      </c>
      <c r="U1900" s="10">
        <v>75.430000000000007</v>
      </c>
      <c r="V1900" s="10">
        <v>74.94</v>
      </c>
      <c r="W1900" s="10">
        <v>74.48</v>
      </c>
      <c r="X1900" s="10">
        <v>74.05</v>
      </c>
      <c r="Y1900" s="10">
        <v>73.650000000000006</v>
      </c>
      <c r="Z1900" s="11">
        <v>83.986999999999995</v>
      </c>
      <c r="AA1900" s="11">
        <v>83.156999999999996</v>
      </c>
      <c r="AB1900" s="11">
        <v>82.31</v>
      </c>
      <c r="AC1900" s="11">
        <v>81.555000000000007</v>
      </c>
      <c r="AD1900" s="11">
        <v>80.876000000000005</v>
      </c>
      <c r="AE1900" s="11">
        <v>80.256</v>
      </c>
      <c r="AF1900" s="11">
        <v>79.674999999999997</v>
      </c>
      <c r="AG1900" s="11">
        <v>79.113</v>
      </c>
      <c r="AH1900" s="11">
        <v>78.617000000000004</v>
      </c>
      <c r="AI1900" s="11">
        <v>78.171000000000006</v>
      </c>
      <c r="AJ1900" s="11">
        <v>77.784000000000006</v>
      </c>
      <c r="AK1900" s="11">
        <v>77.444000000000003</v>
      </c>
      <c r="AL1900" s="11"/>
    </row>
    <row r="1901" spans="1:38" x14ac:dyDescent="0.3">
      <c r="A1901" s="9">
        <f>DATE(2024, 5, 9)</f>
        <v>45421</v>
      </c>
      <c r="B1901" s="10">
        <v>83.88</v>
      </c>
      <c r="C1901" s="10">
        <v>83.34</v>
      </c>
      <c r="D1901" s="10">
        <v>82.75</v>
      </c>
      <c r="E1901" s="10">
        <v>82.16</v>
      </c>
      <c r="F1901" s="10">
        <v>81.61</v>
      </c>
      <c r="G1901" s="10">
        <v>81.069999999999993</v>
      </c>
      <c r="H1901" s="10">
        <v>80.55</v>
      </c>
      <c r="I1901" s="10">
        <v>80.06</v>
      </c>
      <c r="J1901" s="10">
        <v>79.58</v>
      </c>
      <c r="K1901" s="10">
        <v>79.14</v>
      </c>
      <c r="L1901" s="10">
        <v>78.75</v>
      </c>
      <c r="M1901" s="10">
        <v>78.41</v>
      </c>
      <c r="N1901" s="10">
        <v>79.260000000000005</v>
      </c>
      <c r="O1901" s="10">
        <v>78.8</v>
      </c>
      <c r="P1901" s="10">
        <v>78.31</v>
      </c>
      <c r="Q1901" s="10">
        <v>77.760000000000005</v>
      </c>
      <c r="R1901" s="10">
        <v>77.209999999999994</v>
      </c>
      <c r="S1901" s="10">
        <v>76.680000000000007</v>
      </c>
      <c r="T1901" s="10">
        <v>76.17</v>
      </c>
      <c r="U1901" s="10">
        <v>75.66</v>
      </c>
      <c r="V1901" s="10">
        <v>75.17</v>
      </c>
      <c r="W1901" s="10">
        <v>74.709999999999994</v>
      </c>
      <c r="X1901" s="10">
        <v>74.28</v>
      </c>
      <c r="Y1901" s="10">
        <v>73.87</v>
      </c>
      <c r="Z1901" s="11">
        <v>84.325000000000003</v>
      </c>
      <c r="AA1901" s="11">
        <v>83.558999999999997</v>
      </c>
      <c r="AB1901" s="11">
        <v>82.697999999999993</v>
      </c>
      <c r="AC1901" s="11">
        <v>81.927999999999997</v>
      </c>
      <c r="AD1901" s="11">
        <v>81.238</v>
      </c>
      <c r="AE1901" s="11">
        <v>80.606999999999999</v>
      </c>
      <c r="AF1901" s="11">
        <v>80.006</v>
      </c>
      <c r="AG1901" s="11">
        <v>79.424000000000007</v>
      </c>
      <c r="AH1901" s="11">
        <v>78.91</v>
      </c>
      <c r="AI1901" s="11">
        <v>78.450999999999993</v>
      </c>
      <c r="AJ1901" s="11">
        <v>78.054000000000002</v>
      </c>
      <c r="AK1901" s="11">
        <v>77.712999999999994</v>
      </c>
      <c r="AL1901" s="11"/>
    </row>
    <row r="1902" spans="1:38" x14ac:dyDescent="0.3">
      <c r="A1902" s="9">
        <f>DATE(2024, 5, 10)</f>
        <v>45422</v>
      </c>
      <c r="B1902" s="10">
        <v>82.79</v>
      </c>
      <c r="C1902" s="10">
        <v>82.36</v>
      </c>
      <c r="D1902" s="10">
        <v>81.83</v>
      </c>
      <c r="E1902" s="10">
        <v>81.28</v>
      </c>
      <c r="F1902" s="10">
        <v>80.75</v>
      </c>
      <c r="G1902" s="10">
        <v>80.23</v>
      </c>
      <c r="H1902" s="10">
        <v>79.73</v>
      </c>
      <c r="I1902" s="10">
        <v>79.260000000000005</v>
      </c>
      <c r="J1902" s="10">
        <v>78.81</v>
      </c>
      <c r="K1902" s="10">
        <v>78.39</v>
      </c>
      <c r="L1902" s="10">
        <v>78.02</v>
      </c>
      <c r="M1902" s="10">
        <v>77.69</v>
      </c>
      <c r="N1902" s="10">
        <v>78.260000000000005</v>
      </c>
      <c r="O1902" s="10">
        <v>77.84</v>
      </c>
      <c r="P1902" s="10">
        <v>77.41</v>
      </c>
      <c r="Q1902" s="10">
        <v>76.92</v>
      </c>
      <c r="R1902" s="10">
        <v>76.400000000000006</v>
      </c>
      <c r="S1902" s="10">
        <v>75.900000000000006</v>
      </c>
      <c r="T1902" s="10">
        <v>75.41</v>
      </c>
      <c r="U1902" s="10">
        <v>74.930000000000007</v>
      </c>
      <c r="V1902" s="10">
        <v>74.47</v>
      </c>
      <c r="W1902" s="10">
        <v>74.03</v>
      </c>
      <c r="X1902" s="10">
        <v>73.599999999999994</v>
      </c>
      <c r="Y1902" s="10">
        <v>73.2</v>
      </c>
      <c r="Z1902" s="11">
        <v>83.757000000000005</v>
      </c>
      <c r="AA1902" s="11">
        <v>82.649000000000001</v>
      </c>
      <c r="AB1902" s="11">
        <v>81.817999999999998</v>
      </c>
      <c r="AC1902" s="11">
        <v>81.067999999999998</v>
      </c>
      <c r="AD1902" s="11">
        <v>80.396000000000001</v>
      </c>
      <c r="AE1902" s="11">
        <v>79.784999999999997</v>
      </c>
      <c r="AF1902" s="11">
        <v>79.212999999999994</v>
      </c>
      <c r="AG1902" s="11">
        <v>78.652000000000001</v>
      </c>
      <c r="AH1902" s="11">
        <v>78.171000000000006</v>
      </c>
      <c r="AI1902" s="11">
        <v>77.736999999999995</v>
      </c>
      <c r="AJ1902" s="11">
        <v>77.353999999999999</v>
      </c>
      <c r="AK1902" s="11">
        <v>77.013999999999996</v>
      </c>
      <c r="AL1902" s="11"/>
    </row>
    <row r="1903" spans="1:38" x14ac:dyDescent="0.3">
      <c r="A1903" s="9">
        <f>DATE(2024, 5, 13)</f>
        <v>45425</v>
      </c>
      <c r="B1903" s="10">
        <v>83.36</v>
      </c>
      <c r="C1903" s="10">
        <v>82.91</v>
      </c>
      <c r="D1903" s="10">
        <v>82.37</v>
      </c>
      <c r="E1903" s="10">
        <v>81.819999999999993</v>
      </c>
      <c r="F1903" s="10">
        <v>81.290000000000006</v>
      </c>
      <c r="G1903" s="10">
        <v>80.77</v>
      </c>
      <c r="H1903" s="10">
        <v>80.27</v>
      </c>
      <c r="I1903" s="10">
        <v>79.8</v>
      </c>
      <c r="J1903" s="10">
        <v>79.34</v>
      </c>
      <c r="K1903" s="10">
        <v>78.900000000000006</v>
      </c>
      <c r="L1903" s="10">
        <v>78.510000000000005</v>
      </c>
      <c r="M1903" s="10">
        <v>78.17</v>
      </c>
      <c r="N1903" s="10">
        <v>79.12</v>
      </c>
      <c r="O1903" s="10">
        <v>78.599999999999994</v>
      </c>
      <c r="P1903" s="10">
        <v>78.08</v>
      </c>
      <c r="Q1903" s="10">
        <v>77.52</v>
      </c>
      <c r="R1903" s="10">
        <v>76.959999999999994</v>
      </c>
      <c r="S1903" s="10">
        <v>76.430000000000007</v>
      </c>
      <c r="T1903" s="10">
        <v>75.930000000000007</v>
      </c>
      <c r="U1903" s="10">
        <v>75.44</v>
      </c>
      <c r="V1903" s="10">
        <v>74.97</v>
      </c>
      <c r="W1903" s="10">
        <v>74.510000000000005</v>
      </c>
      <c r="X1903" s="10">
        <v>74.08</v>
      </c>
      <c r="Y1903" s="10">
        <v>73.67</v>
      </c>
      <c r="Z1903" s="11">
        <v>84.108000000000004</v>
      </c>
      <c r="AA1903" s="11">
        <v>83.224000000000004</v>
      </c>
      <c r="AB1903" s="11">
        <v>82.384</v>
      </c>
      <c r="AC1903" s="11">
        <v>81.634</v>
      </c>
      <c r="AD1903" s="11">
        <v>80.957999999999998</v>
      </c>
      <c r="AE1903" s="11">
        <v>80.347999999999999</v>
      </c>
      <c r="AF1903" s="11">
        <v>79.772999999999996</v>
      </c>
      <c r="AG1903" s="11">
        <v>79.221000000000004</v>
      </c>
      <c r="AH1903" s="11">
        <v>78.73</v>
      </c>
      <c r="AI1903" s="11">
        <v>78.290999999999997</v>
      </c>
      <c r="AJ1903" s="11">
        <v>77.894000000000005</v>
      </c>
      <c r="AK1903" s="11">
        <v>77.534000000000006</v>
      </c>
      <c r="AL1903" s="11"/>
    </row>
    <row r="1904" spans="1:38" x14ac:dyDescent="0.3">
      <c r="A1904" s="9">
        <f>DATE(2024, 5, 14)</f>
        <v>45426</v>
      </c>
      <c r="B1904" s="10">
        <v>82.38</v>
      </c>
      <c r="C1904" s="10">
        <v>81.96</v>
      </c>
      <c r="D1904" s="10">
        <v>81.47</v>
      </c>
      <c r="E1904" s="10">
        <v>80.959999999999994</v>
      </c>
      <c r="F1904" s="10">
        <v>80.47</v>
      </c>
      <c r="G1904" s="10">
        <v>79.989999999999995</v>
      </c>
      <c r="H1904" s="10">
        <v>79.53</v>
      </c>
      <c r="I1904" s="10">
        <v>79.09</v>
      </c>
      <c r="J1904" s="10">
        <v>78.67</v>
      </c>
      <c r="K1904" s="10">
        <v>78.28</v>
      </c>
      <c r="L1904" s="10">
        <v>77.94</v>
      </c>
      <c r="M1904" s="10">
        <v>77.650000000000006</v>
      </c>
      <c r="N1904" s="10">
        <v>78.02</v>
      </c>
      <c r="O1904" s="10">
        <v>77.650000000000006</v>
      </c>
      <c r="P1904" s="10">
        <v>77.2</v>
      </c>
      <c r="Q1904" s="10">
        <v>76.69</v>
      </c>
      <c r="R1904" s="10">
        <v>76.16</v>
      </c>
      <c r="S1904" s="10">
        <v>75.680000000000007</v>
      </c>
      <c r="T1904" s="10">
        <v>75.23</v>
      </c>
      <c r="U1904" s="10">
        <v>74.790000000000006</v>
      </c>
      <c r="V1904" s="10">
        <v>74.349999999999994</v>
      </c>
      <c r="W1904" s="10">
        <v>73.930000000000007</v>
      </c>
      <c r="X1904" s="10">
        <v>73.540000000000006</v>
      </c>
      <c r="Y1904" s="10">
        <v>73.17</v>
      </c>
      <c r="Z1904" s="11">
        <v>83.466999999999999</v>
      </c>
      <c r="AA1904" s="11">
        <v>82.138999999999996</v>
      </c>
      <c r="AB1904" s="11">
        <v>81.347999999999999</v>
      </c>
      <c r="AC1904" s="11">
        <v>80.668000000000006</v>
      </c>
      <c r="AD1904" s="11">
        <v>80.037000000000006</v>
      </c>
      <c r="AE1904" s="11">
        <v>79.474999999999994</v>
      </c>
      <c r="AF1904" s="11">
        <v>78.944000000000003</v>
      </c>
      <c r="AG1904" s="11">
        <v>78.423000000000002</v>
      </c>
      <c r="AH1904" s="11">
        <v>77.972999999999999</v>
      </c>
      <c r="AI1904" s="11">
        <v>77.602999999999994</v>
      </c>
      <c r="AJ1904" s="11">
        <v>77.256</v>
      </c>
      <c r="AK1904" s="11">
        <v>76.945999999999998</v>
      </c>
      <c r="AL1904" s="11"/>
    </row>
    <row r="1905" spans="1:38" x14ac:dyDescent="0.3">
      <c r="A1905" s="9">
        <f>DATE(2024, 5, 15)</f>
        <v>45427</v>
      </c>
      <c r="B1905" s="10">
        <v>82.75</v>
      </c>
      <c r="C1905" s="10">
        <v>82.33</v>
      </c>
      <c r="D1905" s="10">
        <v>81.83</v>
      </c>
      <c r="E1905" s="10">
        <v>81.3</v>
      </c>
      <c r="F1905" s="10">
        <v>80.78</v>
      </c>
      <c r="G1905" s="10">
        <v>80.28</v>
      </c>
      <c r="H1905" s="10">
        <v>79.81</v>
      </c>
      <c r="I1905" s="10">
        <v>79.36</v>
      </c>
      <c r="J1905" s="10">
        <v>78.930000000000007</v>
      </c>
      <c r="K1905" s="10">
        <v>78.53</v>
      </c>
      <c r="L1905" s="10">
        <v>78.180000000000007</v>
      </c>
      <c r="M1905" s="10">
        <v>77.87</v>
      </c>
      <c r="N1905" s="10">
        <v>78.63</v>
      </c>
      <c r="O1905" s="10">
        <v>78.16</v>
      </c>
      <c r="P1905" s="10">
        <v>77.680000000000007</v>
      </c>
      <c r="Q1905" s="10">
        <v>77.14</v>
      </c>
      <c r="R1905" s="10">
        <v>76.58</v>
      </c>
      <c r="S1905" s="10">
        <v>76.06</v>
      </c>
      <c r="T1905" s="10">
        <v>75.56</v>
      </c>
      <c r="U1905" s="10">
        <v>75.08</v>
      </c>
      <c r="V1905" s="10">
        <v>74.64</v>
      </c>
      <c r="W1905" s="10">
        <v>74.2</v>
      </c>
      <c r="X1905" s="10">
        <v>73.790000000000006</v>
      </c>
      <c r="Y1905" s="10">
        <v>73.42</v>
      </c>
      <c r="Z1905" s="11">
        <v>83.668999999999997</v>
      </c>
      <c r="AA1905" s="11">
        <v>82.486000000000004</v>
      </c>
      <c r="AB1905" s="11">
        <v>81.698999999999998</v>
      </c>
      <c r="AC1905" s="11">
        <v>81.016000000000005</v>
      </c>
      <c r="AD1905" s="11">
        <v>80.385999999999996</v>
      </c>
      <c r="AE1905" s="11">
        <v>79.813999999999993</v>
      </c>
      <c r="AF1905" s="11">
        <v>79.263000000000005</v>
      </c>
      <c r="AG1905" s="11">
        <v>78.728999999999999</v>
      </c>
      <c r="AH1905" s="11">
        <v>78.272000000000006</v>
      </c>
      <c r="AI1905" s="11">
        <v>77.852999999999994</v>
      </c>
      <c r="AJ1905" s="11">
        <v>77.484999999999999</v>
      </c>
      <c r="AK1905" s="11">
        <v>77.165000000000006</v>
      </c>
      <c r="AL1905" s="11"/>
    </row>
    <row r="1906" spans="1:38" x14ac:dyDescent="0.3">
      <c r="A1906" s="9">
        <f>DATE(2024, 5, 16)</f>
        <v>45428</v>
      </c>
      <c r="B1906" s="10">
        <v>83.27</v>
      </c>
      <c r="C1906" s="10">
        <v>82.87</v>
      </c>
      <c r="D1906" s="10">
        <v>82.36</v>
      </c>
      <c r="E1906" s="10">
        <v>81.819999999999993</v>
      </c>
      <c r="F1906" s="10">
        <v>81.3</v>
      </c>
      <c r="G1906" s="10">
        <v>80.8</v>
      </c>
      <c r="H1906" s="10">
        <v>80.319999999999993</v>
      </c>
      <c r="I1906" s="10">
        <v>79.87</v>
      </c>
      <c r="J1906" s="10">
        <v>79.44</v>
      </c>
      <c r="K1906" s="10">
        <v>79.040000000000006</v>
      </c>
      <c r="L1906" s="10">
        <v>78.680000000000007</v>
      </c>
      <c r="M1906" s="10">
        <v>78.37</v>
      </c>
      <c r="N1906" s="10">
        <v>79.23</v>
      </c>
      <c r="O1906" s="10">
        <v>78.739999999999995</v>
      </c>
      <c r="P1906" s="10">
        <v>78.27</v>
      </c>
      <c r="Q1906" s="10">
        <v>77.73</v>
      </c>
      <c r="R1906" s="10">
        <v>77.17</v>
      </c>
      <c r="S1906" s="10">
        <v>76.64</v>
      </c>
      <c r="T1906" s="10">
        <v>76.150000000000006</v>
      </c>
      <c r="U1906" s="10">
        <v>75.66</v>
      </c>
      <c r="V1906" s="10">
        <v>75.2</v>
      </c>
      <c r="W1906" s="10">
        <v>74.75</v>
      </c>
      <c r="X1906" s="10">
        <v>74.34</v>
      </c>
      <c r="Y1906" s="10">
        <v>73.95</v>
      </c>
      <c r="Z1906" s="11">
        <v>83.97</v>
      </c>
      <c r="AA1906" s="11">
        <v>83.078000000000003</v>
      </c>
      <c r="AB1906" s="11">
        <v>82.287999999999997</v>
      </c>
      <c r="AC1906" s="11">
        <v>81.566000000000003</v>
      </c>
      <c r="AD1906" s="11">
        <v>80.915999999999997</v>
      </c>
      <c r="AE1906" s="11">
        <v>80.323999999999998</v>
      </c>
      <c r="AF1906" s="11">
        <v>79.774000000000001</v>
      </c>
      <c r="AG1906" s="11">
        <v>79.248999999999995</v>
      </c>
      <c r="AH1906" s="11">
        <v>78.781999999999996</v>
      </c>
      <c r="AI1906" s="11">
        <v>78.361999999999995</v>
      </c>
      <c r="AJ1906" s="11">
        <v>77.984999999999999</v>
      </c>
      <c r="AK1906" s="11">
        <v>77.655000000000001</v>
      </c>
      <c r="AL1906" s="11"/>
    </row>
    <row r="1907" spans="1:38" x14ac:dyDescent="0.3">
      <c r="A1907" s="9">
        <f>DATE(2024, 5, 17)</f>
        <v>45429</v>
      </c>
      <c r="B1907" s="10">
        <v>83.98</v>
      </c>
      <c r="C1907" s="10">
        <v>83.63</v>
      </c>
      <c r="D1907" s="10">
        <v>83.14</v>
      </c>
      <c r="E1907" s="10">
        <v>82.6</v>
      </c>
      <c r="F1907" s="10">
        <v>82.06</v>
      </c>
      <c r="G1907" s="10">
        <v>81.540000000000006</v>
      </c>
      <c r="H1907" s="10">
        <v>81.040000000000006</v>
      </c>
      <c r="I1907" s="10">
        <v>80.56</v>
      </c>
      <c r="J1907" s="10">
        <v>80.11</v>
      </c>
      <c r="K1907" s="10">
        <v>79.7</v>
      </c>
      <c r="L1907" s="10">
        <v>79.33</v>
      </c>
      <c r="M1907" s="10">
        <v>79</v>
      </c>
      <c r="N1907" s="10">
        <v>80.06</v>
      </c>
      <c r="O1907" s="10">
        <v>79.58</v>
      </c>
      <c r="P1907" s="10">
        <v>79.12</v>
      </c>
      <c r="Q1907" s="10">
        <v>78.58</v>
      </c>
      <c r="R1907" s="10">
        <v>78.010000000000005</v>
      </c>
      <c r="S1907" s="10">
        <v>77.459999999999994</v>
      </c>
      <c r="T1907" s="10">
        <v>76.94</v>
      </c>
      <c r="U1907" s="10">
        <v>76.430000000000007</v>
      </c>
      <c r="V1907" s="10">
        <v>75.95</v>
      </c>
      <c r="W1907" s="10">
        <v>75.489999999999995</v>
      </c>
      <c r="X1907" s="10">
        <v>75.05</v>
      </c>
      <c r="Y1907" s="10">
        <v>74.64</v>
      </c>
      <c r="Z1907" s="11">
        <v>84.381</v>
      </c>
      <c r="AA1907" s="11">
        <v>83.956999999999994</v>
      </c>
      <c r="AB1907" s="11">
        <v>83.137</v>
      </c>
      <c r="AC1907" s="11">
        <v>82.405000000000001</v>
      </c>
      <c r="AD1907" s="11">
        <v>81.718000000000004</v>
      </c>
      <c r="AE1907" s="11">
        <v>81.108000000000004</v>
      </c>
      <c r="AF1907" s="11">
        <v>80.527000000000001</v>
      </c>
      <c r="AG1907" s="11">
        <v>79.966999999999999</v>
      </c>
      <c r="AH1907" s="11">
        <v>79.480999999999995</v>
      </c>
      <c r="AI1907" s="11">
        <v>79.052000000000007</v>
      </c>
      <c r="AJ1907" s="11">
        <v>78.664000000000001</v>
      </c>
      <c r="AK1907" s="11">
        <v>78.325000000000003</v>
      </c>
      <c r="AL1907" s="11"/>
    </row>
    <row r="1908" spans="1:38" x14ac:dyDescent="0.3">
      <c r="A1908" s="9">
        <f>DATE(2024, 5, 20)</f>
        <v>45432</v>
      </c>
      <c r="B1908" s="10">
        <v>83.71</v>
      </c>
      <c r="C1908" s="10">
        <v>83.46</v>
      </c>
      <c r="D1908" s="10">
        <v>83.05</v>
      </c>
      <c r="E1908" s="10">
        <v>82.57</v>
      </c>
      <c r="F1908" s="10">
        <v>82.06</v>
      </c>
      <c r="G1908" s="10">
        <v>81.55</v>
      </c>
      <c r="H1908" s="10">
        <v>81.069999999999993</v>
      </c>
      <c r="I1908" s="10">
        <v>80.61</v>
      </c>
      <c r="J1908" s="10">
        <v>80.17</v>
      </c>
      <c r="K1908" s="10">
        <v>79.77</v>
      </c>
      <c r="L1908" s="10">
        <v>79.41</v>
      </c>
      <c r="M1908" s="10">
        <v>79.099999999999994</v>
      </c>
      <c r="N1908" s="10">
        <v>79.8</v>
      </c>
      <c r="O1908" s="10">
        <v>79.3</v>
      </c>
      <c r="P1908" s="10">
        <v>78.900000000000006</v>
      </c>
      <c r="Q1908" s="10">
        <v>78.42</v>
      </c>
      <c r="R1908" s="10">
        <v>77.88</v>
      </c>
      <c r="S1908" s="10">
        <v>77.36</v>
      </c>
      <c r="T1908" s="10">
        <v>76.87</v>
      </c>
      <c r="U1908" s="10">
        <v>76.39</v>
      </c>
      <c r="V1908" s="10">
        <v>75.930000000000007</v>
      </c>
      <c r="W1908" s="10">
        <v>75.489999999999995</v>
      </c>
      <c r="X1908" s="10">
        <v>75.069999999999993</v>
      </c>
      <c r="Y1908" s="10">
        <v>74.680000000000007</v>
      </c>
      <c r="Z1908" s="11">
        <v>84.406000000000006</v>
      </c>
      <c r="AA1908" s="11">
        <v>83.98</v>
      </c>
      <c r="AB1908" s="11">
        <v>83.171999999999997</v>
      </c>
      <c r="AC1908" s="11">
        <v>82.48</v>
      </c>
      <c r="AD1908" s="11">
        <v>81.811000000000007</v>
      </c>
      <c r="AE1908" s="11">
        <v>81.210999999999999</v>
      </c>
      <c r="AF1908" s="11">
        <v>80.632999999999996</v>
      </c>
      <c r="AG1908" s="11">
        <v>80.078000000000003</v>
      </c>
      <c r="AH1908" s="11">
        <v>79.611999999999995</v>
      </c>
      <c r="AI1908" s="11">
        <v>79.182000000000002</v>
      </c>
      <c r="AJ1908" s="11">
        <v>78.784999999999997</v>
      </c>
      <c r="AK1908" s="11">
        <v>78.454999999999998</v>
      </c>
      <c r="AL1908" s="11"/>
    </row>
    <row r="1909" spans="1:38" x14ac:dyDescent="0.3">
      <c r="A1909" s="9">
        <f>DATE(2024, 5, 21)</f>
        <v>45433</v>
      </c>
      <c r="B1909" s="10">
        <v>82.88</v>
      </c>
      <c r="C1909" s="10">
        <v>82.7</v>
      </c>
      <c r="D1909" s="10">
        <v>82.33</v>
      </c>
      <c r="E1909" s="10">
        <v>81.89</v>
      </c>
      <c r="F1909" s="10">
        <v>81.400000000000006</v>
      </c>
      <c r="G1909" s="10">
        <v>80.91</v>
      </c>
      <c r="H1909" s="10">
        <v>80.44</v>
      </c>
      <c r="I1909" s="10">
        <v>80</v>
      </c>
      <c r="J1909" s="10">
        <v>79.59</v>
      </c>
      <c r="K1909" s="10">
        <v>79.209999999999994</v>
      </c>
      <c r="L1909" s="10">
        <v>78.88</v>
      </c>
      <c r="M1909" s="10">
        <v>78.58</v>
      </c>
      <c r="N1909" s="10">
        <v>79.260000000000005</v>
      </c>
      <c r="O1909" s="10">
        <v>78.66</v>
      </c>
      <c r="P1909" s="10">
        <v>78.28</v>
      </c>
      <c r="Q1909" s="10">
        <v>77.819999999999993</v>
      </c>
      <c r="R1909" s="10">
        <v>77.31</v>
      </c>
      <c r="S1909" s="10">
        <v>76.81</v>
      </c>
      <c r="T1909" s="10">
        <v>76.33</v>
      </c>
      <c r="U1909" s="10">
        <v>75.87</v>
      </c>
      <c r="V1909" s="10">
        <v>75.430000000000007</v>
      </c>
      <c r="W1909" s="10">
        <v>75.02</v>
      </c>
      <c r="X1909" s="10">
        <v>74.61</v>
      </c>
      <c r="Y1909" s="10">
        <v>74.239999999999995</v>
      </c>
      <c r="Z1909" s="11">
        <v>84.102000000000004</v>
      </c>
      <c r="AA1909" s="11">
        <v>83.156999999999996</v>
      </c>
      <c r="AB1909" s="11">
        <v>82.426000000000002</v>
      </c>
      <c r="AC1909" s="11">
        <v>81.768000000000001</v>
      </c>
      <c r="AD1909" s="11">
        <v>81.156999999999996</v>
      </c>
      <c r="AE1909" s="11">
        <v>80.58</v>
      </c>
      <c r="AF1909" s="11">
        <v>80.019000000000005</v>
      </c>
      <c r="AG1909" s="11">
        <v>79.480999999999995</v>
      </c>
      <c r="AH1909" s="11">
        <v>79.033000000000001</v>
      </c>
      <c r="AI1909" s="11">
        <v>78.614000000000004</v>
      </c>
      <c r="AJ1909" s="11">
        <v>78.245999999999995</v>
      </c>
      <c r="AK1909" s="11">
        <v>77.926000000000002</v>
      </c>
      <c r="AL1909" s="11"/>
    </row>
    <row r="1910" spans="1:38" x14ac:dyDescent="0.3">
      <c r="A1910" s="9">
        <f>DATE(2024, 5, 22)</f>
        <v>45434</v>
      </c>
      <c r="B1910" s="10">
        <v>81.900000000000006</v>
      </c>
      <c r="C1910" s="10">
        <v>81.64</v>
      </c>
      <c r="D1910" s="10">
        <v>81.22</v>
      </c>
      <c r="E1910" s="10">
        <v>80.760000000000005</v>
      </c>
      <c r="F1910" s="10">
        <v>80.27</v>
      </c>
      <c r="G1910" s="10">
        <v>79.790000000000006</v>
      </c>
      <c r="H1910" s="10">
        <v>79.33</v>
      </c>
      <c r="I1910" s="10">
        <v>78.900000000000006</v>
      </c>
      <c r="J1910" s="10">
        <v>78.510000000000005</v>
      </c>
      <c r="K1910" s="10">
        <v>78.150000000000006</v>
      </c>
      <c r="L1910" s="10">
        <v>77.819999999999993</v>
      </c>
      <c r="M1910" s="10">
        <v>77.540000000000006</v>
      </c>
      <c r="N1910" s="10">
        <v>77.569999999999993</v>
      </c>
      <c r="O1910" s="10">
        <v>77.150000000000006</v>
      </c>
      <c r="P1910" s="10">
        <v>76.66</v>
      </c>
      <c r="Q1910" s="10">
        <v>76.13</v>
      </c>
      <c r="R1910" s="10">
        <v>75.64</v>
      </c>
      <c r="S1910" s="10">
        <v>75.16</v>
      </c>
      <c r="T1910" s="10">
        <v>74.709999999999994</v>
      </c>
      <c r="U1910" s="10">
        <v>74.28</v>
      </c>
      <c r="V1910" s="10">
        <v>73.87</v>
      </c>
      <c r="W1910" s="10">
        <v>73.48</v>
      </c>
      <c r="X1910" s="10">
        <v>73.12</v>
      </c>
      <c r="Y1910" s="10">
        <v>72.78</v>
      </c>
      <c r="Z1910" s="11">
        <v>83.754000000000005</v>
      </c>
      <c r="AA1910" s="11">
        <v>82.113</v>
      </c>
      <c r="AB1910" s="11">
        <v>81.353999999999999</v>
      </c>
      <c r="AC1910" s="11">
        <v>80.69</v>
      </c>
      <c r="AD1910" s="11">
        <v>80.066999999999993</v>
      </c>
      <c r="AE1910" s="11">
        <v>79.483999999999995</v>
      </c>
      <c r="AF1910" s="11">
        <v>78.924000000000007</v>
      </c>
      <c r="AG1910" s="11">
        <v>78.397999999999996</v>
      </c>
      <c r="AH1910" s="11">
        <v>77.963999999999999</v>
      </c>
      <c r="AI1910" s="11">
        <v>77.584000000000003</v>
      </c>
      <c r="AJ1910" s="11">
        <v>77.216999999999999</v>
      </c>
      <c r="AK1910" s="11">
        <v>76.917000000000002</v>
      </c>
      <c r="AL1910" s="11"/>
    </row>
    <row r="1911" spans="1:38" x14ac:dyDescent="0.3">
      <c r="A1911" s="9">
        <f>DATE(2024, 5, 23)</f>
        <v>45435</v>
      </c>
      <c r="B1911" s="10">
        <v>81.36</v>
      </c>
      <c r="C1911" s="10">
        <v>81.11</v>
      </c>
      <c r="D1911" s="10">
        <v>80.69</v>
      </c>
      <c r="E1911" s="10">
        <v>80.23</v>
      </c>
      <c r="F1911" s="10">
        <v>79.760000000000005</v>
      </c>
      <c r="G1911" s="10">
        <v>79.3</v>
      </c>
      <c r="H1911" s="10">
        <v>78.86</v>
      </c>
      <c r="I1911" s="10">
        <v>78.45</v>
      </c>
      <c r="J1911" s="10">
        <v>78.069999999999993</v>
      </c>
      <c r="K1911" s="10">
        <v>77.72</v>
      </c>
      <c r="L1911" s="10">
        <v>77.400000000000006</v>
      </c>
      <c r="M1911" s="10">
        <v>77.12</v>
      </c>
      <c r="N1911" s="10">
        <v>76.87</v>
      </c>
      <c r="O1911" s="10">
        <v>76.459999999999994</v>
      </c>
      <c r="P1911" s="10">
        <v>76</v>
      </c>
      <c r="Q1911" s="10">
        <v>75.5</v>
      </c>
      <c r="R1911" s="10">
        <v>75.03</v>
      </c>
      <c r="S1911" s="10">
        <v>74.569999999999993</v>
      </c>
      <c r="T1911" s="10">
        <v>74.14</v>
      </c>
      <c r="U1911" s="10">
        <v>73.72</v>
      </c>
      <c r="V1911" s="10">
        <v>73.33</v>
      </c>
      <c r="W1911" s="10">
        <v>72.959999999999994</v>
      </c>
      <c r="X1911" s="10">
        <v>72.63</v>
      </c>
      <c r="Y1911" s="10">
        <v>72.3</v>
      </c>
      <c r="Z1911" s="11">
        <v>83.664000000000001</v>
      </c>
      <c r="AA1911" s="11">
        <v>81.754000000000005</v>
      </c>
      <c r="AB1911" s="11">
        <v>81.034000000000006</v>
      </c>
      <c r="AC1911" s="11">
        <v>80.353999999999999</v>
      </c>
      <c r="AD1911" s="11">
        <v>79.727999999999994</v>
      </c>
      <c r="AE1911" s="11">
        <v>79.150999999999996</v>
      </c>
      <c r="AF1911" s="11">
        <v>78.605000000000004</v>
      </c>
      <c r="AG1911" s="11">
        <v>78.088999999999999</v>
      </c>
      <c r="AH1911" s="11">
        <v>77.659000000000006</v>
      </c>
      <c r="AI1911" s="11">
        <v>77.263999999999996</v>
      </c>
      <c r="AJ1911" s="11">
        <v>76.906999999999996</v>
      </c>
      <c r="AK1911" s="11">
        <v>76.587000000000003</v>
      </c>
      <c r="AL1911" s="11"/>
    </row>
    <row r="1912" spans="1:38" x14ac:dyDescent="0.3">
      <c r="A1912" s="9">
        <f>DATE(2024, 5, 24)</f>
        <v>45436</v>
      </c>
      <c r="B1912" s="10">
        <v>82.12</v>
      </c>
      <c r="C1912" s="10">
        <v>81.84</v>
      </c>
      <c r="D1912" s="10">
        <v>81.400000000000006</v>
      </c>
      <c r="E1912" s="10">
        <v>80.91</v>
      </c>
      <c r="F1912" s="10">
        <v>80.400000000000006</v>
      </c>
      <c r="G1912" s="10">
        <v>79.900000000000006</v>
      </c>
      <c r="H1912" s="10">
        <v>79.430000000000007</v>
      </c>
      <c r="I1912" s="10">
        <v>78.989999999999995</v>
      </c>
      <c r="J1912" s="10">
        <v>78.58</v>
      </c>
      <c r="K1912" s="10">
        <v>78.2</v>
      </c>
      <c r="L1912" s="10">
        <v>77.86</v>
      </c>
      <c r="M1912" s="10">
        <v>77.56</v>
      </c>
      <c r="N1912" s="10">
        <v>77.72</v>
      </c>
      <c r="O1912" s="10">
        <v>77.23</v>
      </c>
      <c r="P1912" s="10">
        <v>76.709999999999994</v>
      </c>
      <c r="Q1912" s="10">
        <v>76.13</v>
      </c>
      <c r="R1912" s="10">
        <v>75.599999999999994</v>
      </c>
      <c r="S1912" s="10">
        <v>75.09</v>
      </c>
      <c r="T1912" s="10">
        <v>74.62</v>
      </c>
      <c r="U1912" s="10">
        <v>74.17</v>
      </c>
      <c r="V1912" s="10">
        <v>73.75</v>
      </c>
      <c r="W1912" s="10">
        <v>73.37</v>
      </c>
      <c r="X1912" s="10">
        <v>73.010000000000005</v>
      </c>
      <c r="Y1912" s="10">
        <v>72.67</v>
      </c>
      <c r="Z1912" s="11">
        <v>83.79</v>
      </c>
      <c r="AA1912" s="11">
        <v>82.313000000000002</v>
      </c>
      <c r="AB1912" s="11">
        <v>81.638999999999996</v>
      </c>
      <c r="AC1912" s="11">
        <v>80.995000000000005</v>
      </c>
      <c r="AD1912" s="11">
        <v>80.355999999999995</v>
      </c>
      <c r="AE1912" s="11">
        <v>79.75</v>
      </c>
      <c r="AF1912" s="11">
        <v>79.168999999999997</v>
      </c>
      <c r="AG1912" s="11">
        <v>78.600999999999999</v>
      </c>
      <c r="AH1912" s="11">
        <v>78.143000000000001</v>
      </c>
      <c r="AI1912" s="11">
        <v>77.712999999999994</v>
      </c>
      <c r="AJ1912" s="11">
        <v>77.325999999999993</v>
      </c>
      <c r="AK1912" s="11">
        <v>76.995999999999995</v>
      </c>
      <c r="AL1912" s="11"/>
    </row>
    <row r="1913" spans="1:38" x14ac:dyDescent="0.3">
      <c r="A1913" s="9">
        <f>DATE(2024, 5, 27)</f>
        <v>45439</v>
      </c>
      <c r="B1913" s="10">
        <v>83.1</v>
      </c>
      <c r="C1913" s="10">
        <v>82.88</v>
      </c>
      <c r="D1913" s="10">
        <v>82.45</v>
      </c>
      <c r="E1913" s="10">
        <v>81.96</v>
      </c>
      <c r="F1913" s="10">
        <v>81.44</v>
      </c>
      <c r="G1913" s="10">
        <v>80.92</v>
      </c>
      <c r="H1913" s="10">
        <v>80.430000000000007</v>
      </c>
      <c r="I1913" s="10">
        <v>79.97</v>
      </c>
      <c r="J1913" s="10">
        <v>79.55</v>
      </c>
      <c r="K1913" s="10">
        <v>79.16</v>
      </c>
      <c r="L1913" s="10">
        <v>78.8</v>
      </c>
      <c r="M1913" s="10">
        <v>78.489999999999995</v>
      </c>
      <c r="N1913" s="10">
        <v>77.72</v>
      </c>
      <c r="O1913" s="10">
        <v>77.23</v>
      </c>
      <c r="P1913" s="10">
        <v>76.709999999999994</v>
      </c>
      <c r="Q1913" s="10">
        <v>76.13</v>
      </c>
      <c r="R1913" s="10">
        <v>75.599999999999994</v>
      </c>
      <c r="S1913" s="10">
        <v>75.09</v>
      </c>
      <c r="T1913" s="10">
        <v>74.62</v>
      </c>
      <c r="U1913" s="10">
        <v>74.17</v>
      </c>
      <c r="V1913" s="10">
        <v>73.75</v>
      </c>
      <c r="W1913" s="10">
        <v>73.37</v>
      </c>
      <c r="X1913" s="10">
        <v>73.010000000000005</v>
      </c>
      <c r="Y1913" s="10">
        <v>72.67</v>
      </c>
      <c r="Z1913" s="11">
        <v>83.99</v>
      </c>
      <c r="AA1913" s="11">
        <v>83.328000000000003</v>
      </c>
      <c r="AB1913" s="11">
        <v>82.688000000000002</v>
      </c>
      <c r="AC1913" s="11">
        <v>82.055000000000007</v>
      </c>
      <c r="AD1913" s="11">
        <v>81.411000000000001</v>
      </c>
      <c r="AE1913" s="11">
        <v>80.793999999999997</v>
      </c>
      <c r="AF1913" s="11">
        <v>80.203000000000003</v>
      </c>
      <c r="AG1913" s="11">
        <v>79.63</v>
      </c>
      <c r="AH1913" s="11">
        <v>79.141999999999996</v>
      </c>
      <c r="AI1913" s="11">
        <v>78.706999999999994</v>
      </c>
      <c r="AJ1913" s="11">
        <v>78.305000000000007</v>
      </c>
      <c r="AK1913" s="11">
        <v>77.945999999999998</v>
      </c>
      <c r="AL1913" s="11"/>
    </row>
    <row r="1914" spans="1:38" x14ac:dyDescent="0.3">
      <c r="A1914" s="9">
        <f>DATE(2024, 5, 28)</f>
        <v>45440</v>
      </c>
      <c r="B1914" s="10">
        <v>84.22</v>
      </c>
      <c r="C1914" s="10">
        <v>83.94</v>
      </c>
      <c r="D1914" s="10">
        <v>83.49</v>
      </c>
      <c r="E1914" s="10">
        <v>82.98</v>
      </c>
      <c r="F1914" s="10">
        <v>82.44</v>
      </c>
      <c r="G1914" s="10">
        <v>81.91</v>
      </c>
      <c r="H1914" s="10">
        <v>81.400000000000006</v>
      </c>
      <c r="I1914" s="10">
        <v>80.92</v>
      </c>
      <c r="J1914" s="10">
        <v>80.48</v>
      </c>
      <c r="K1914" s="10">
        <v>80.06</v>
      </c>
      <c r="L1914" s="10">
        <v>79.67</v>
      </c>
      <c r="M1914" s="10">
        <v>79.319999999999993</v>
      </c>
      <c r="N1914" s="10">
        <v>79.83</v>
      </c>
      <c r="O1914" s="10">
        <v>79.349999999999994</v>
      </c>
      <c r="P1914" s="10">
        <v>78.83</v>
      </c>
      <c r="Q1914" s="10">
        <v>78.239999999999995</v>
      </c>
      <c r="R1914" s="10">
        <v>77.67</v>
      </c>
      <c r="S1914" s="10">
        <v>77.14</v>
      </c>
      <c r="T1914" s="10">
        <v>76.62</v>
      </c>
      <c r="U1914" s="10">
        <v>76.12</v>
      </c>
      <c r="V1914" s="10">
        <v>75.67</v>
      </c>
      <c r="W1914" s="10">
        <v>75.239999999999995</v>
      </c>
      <c r="X1914" s="10">
        <v>74.84</v>
      </c>
      <c r="Y1914" s="10">
        <v>74.459999999999994</v>
      </c>
      <c r="Z1914" s="11">
        <v>84.120999999999995</v>
      </c>
      <c r="AA1914" s="11">
        <v>84.218000000000004</v>
      </c>
      <c r="AB1914" s="11">
        <v>83.641000000000005</v>
      </c>
      <c r="AC1914" s="11">
        <v>82.980999999999995</v>
      </c>
      <c r="AD1914" s="11">
        <v>82.331000000000003</v>
      </c>
      <c r="AE1914" s="11">
        <v>81.697999999999993</v>
      </c>
      <c r="AF1914" s="11">
        <v>81.096999999999994</v>
      </c>
      <c r="AG1914" s="11">
        <v>80.518000000000001</v>
      </c>
      <c r="AH1914" s="11">
        <v>80.018000000000001</v>
      </c>
      <c r="AI1914" s="11">
        <v>79.561000000000007</v>
      </c>
      <c r="AJ1914" s="11">
        <v>79.132999999999996</v>
      </c>
      <c r="AK1914" s="11">
        <v>78.754000000000005</v>
      </c>
      <c r="AL1914" s="11"/>
    </row>
    <row r="1915" spans="1:38" x14ac:dyDescent="0.3">
      <c r="A1915" s="9">
        <f>DATE(2024, 5, 29)</f>
        <v>45441</v>
      </c>
      <c r="B1915" s="10">
        <v>83.6</v>
      </c>
      <c r="C1915" s="10">
        <v>83.43</v>
      </c>
      <c r="D1915" s="10">
        <v>83.03</v>
      </c>
      <c r="E1915" s="10">
        <v>82.56</v>
      </c>
      <c r="F1915" s="10">
        <v>82.07</v>
      </c>
      <c r="G1915" s="10">
        <v>81.58</v>
      </c>
      <c r="H1915" s="10">
        <v>81.099999999999994</v>
      </c>
      <c r="I1915" s="10">
        <v>80.650000000000006</v>
      </c>
      <c r="J1915" s="10">
        <v>80.209999999999994</v>
      </c>
      <c r="K1915" s="10">
        <v>79.8</v>
      </c>
      <c r="L1915" s="10">
        <v>79.41</v>
      </c>
      <c r="M1915" s="10">
        <v>79.05</v>
      </c>
      <c r="N1915" s="10">
        <v>79.23</v>
      </c>
      <c r="O1915" s="10">
        <v>78.8</v>
      </c>
      <c r="P1915" s="10">
        <v>78.34</v>
      </c>
      <c r="Q1915" s="10">
        <v>77.81</v>
      </c>
      <c r="R1915" s="10">
        <v>77.28</v>
      </c>
      <c r="S1915" s="10">
        <v>76.77</v>
      </c>
      <c r="T1915" s="10">
        <v>76.290000000000006</v>
      </c>
      <c r="U1915" s="10">
        <v>75.81</v>
      </c>
      <c r="V1915" s="10">
        <v>75.38</v>
      </c>
      <c r="W1915" s="10">
        <v>74.959999999999994</v>
      </c>
      <c r="X1915" s="10">
        <v>74.56</v>
      </c>
      <c r="Y1915" s="10">
        <v>74.17</v>
      </c>
      <c r="Z1915" s="11">
        <v>84.082999999999998</v>
      </c>
      <c r="AA1915" s="11">
        <v>83.53</v>
      </c>
      <c r="AB1915" s="11">
        <v>83.13</v>
      </c>
      <c r="AC1915" s="11">
        <v>82.558000000000007</v>
      </c>
      <c r="AD1915" s="11">
        <v>81.947999999999993</v>
      </c>
      <c r="AE1915" s="11">
        <v>81.358999999999995</v>
      </c>
      <c r="AF1915" s="11">
        <v>80.789000000000001</v>
      </c>
      <c r="AG1915" s="11">
        <v>80.227999999999994</v>
      </c>
      <c r="AH1915" s="11">
        <v>79.741</v>
      </c>
      <c r="AI1915" s="11">
        <v>79.290999999999997</v>
      </c>
      <c r="AJ1915" s="11">
        <v>78.863</v>
      </c>
      <c r="AK1915" s="11">
        <v>78.463999999999999</v>
      </c>
      <c r="AL1915" s="11"/>
    </row>
    <row r="1916" spans="1:38" x14ac:dyDescent="0.3">
      <c r="A1916" s="9">
        <f>DATE(2024, 5, 30)</f>
        <v>45442</v>
      </c>
      <c r="B1916" s="10">
        <v>81.86</v>
      </c>
      <c r="C1916" s="10">
        <v>81.88</v>
      </c>
      <c r="D1916" s="10">
        <v>81.58</v>
      </c>
      <c r="E1916" s="10">
        <v>81.17</v>
      </c>
      <c r="F1916" s="10">
        <v>80.73</v>
      </c>
      <c r="G1916" s="10">
        <v>80.290000000000006</v>
      </c>
      <c r="H1916" s="10">
        <v>79.87</v>
      </c>
      <c r="I1916" s="10">
        <v>79.459999999999994</v>
      </c>
      <c r="J1916" s="10">
        <v>79.069999999999993</v>
      </c>
      <c r="K1916" s="10">
        <v>78.69</v>
      </c>
      <c r="L1916" s="10">
        <v>78.33</v>
      </c>
      <c r="M1916" s="10">
        <v>78.010000000000005</v>
      </c>
      <c r="N1916" s="10">
        <v>77.91</v>
      </c>
      <c r="O1916" s="10">
        <v>77.540000000000006</v>
      </c>
      <c r="P1916" s="10">
        <v>77.14</v>
      </c>
      <c r="Q1916" s="10">
        <v>76.66</v>
      </c>
      <c r="R1916" s="10">
        <v>76.17</v>
      </c>
      <c r="S1916" s="10">
        <v>75.709999999999994</v>
      </c>
      <c r="T1916" s="10">
        <v>75.27</v>
      </c>
      <c r="U1916" s="10">
        <v>74.849999999999994</v>
      </c>
      <c r="V1916" s="10">
        <v>74.45</v>
      </c>
      <c r="W1916" s="10">
        <v>74.06</v>
      </c>
      <c r="X1916" s="10">
        <v>73.69</v>
      </c>
      <c r="Y1916" s="10">
        <v>73.319999999999993</v>
      </c>
      <c r="Z1916" s="11">
        <v>84.007999999999996</v>
      </c>
      <c r="AA1916" s="11">
        <v>82.144999999999996</v>
      </c>
      <c r="AB1916" s="11">
        <v>81.756</v>
      </c>
      <c r="AC1916" s="11">
        <v>81.266000000000005</v>
      </c>
      <c r="AD1916" s="11">
        <v>80.736999999999995</v>
      </c>
      <c r="AE1916" s="11">
        <v>80.186999999999998</v>
      </c>
      <c r="AF1916" s="11">
        <v>79.635000000000005</v>
      </c>
      <c r="AG1916" s="11">
        <v>79.102999999999994</v>
      </c>
      <c r="AH1916" s="11">
        <v>78.643000000000001</v>
      </c>
      <c r="AI1916" s="11">
        <v>78.231999999999999</v>
      </c>
      <c r="AJ1916" s="11">
        <v>77.844999999999999</v>
      </c>
      <c r="AK1916" s="11">
        <v>77.495000000000005</v>
      </c>
      <c r="AL1916" s="11"/>
    </row>
    <row r="1917" spans="1:38" x14ac:dyDescent="0.3">
      <c r="A1917" s="9">
        <f>DATE(2024, 5, 31)</f>
        <v>45443</v>
      </c>
      <c r="B1917" s="10">
        <v>81.62</v>
      </c>
      <c r="C1917" s="10">
        <v>81.11</v>
      </c>
      <c r="D1917" s="10">
        <v>80.87</v>
      </c>
      <c r="E1917" s="10">
        <v>80.53</v>
      </c>
      <c r="F1917" s="10">
        <v>80.16</v>
      </c>
      <c r="G1917" s="10">
        <v>79.790000000000006</v>
      </c>
      <c r="H1917" s="10">
        <v>79.44</v>
      </c>
      <c r="I1917" s="10">
        <v>79.09</v>
      </c>
      <c r="J1917" s="10">
        <v>78.760000000000005</v>
      </c>
      <c r="K1917" s="10">
        <v>78.44</v>
      </c>
      <c r="L1917" s="10">
        <v>78.13</v>
      </c>
      <c r="M1917" s="10">
        <v>77.86</v>
      </c>
      <c r="N1917" s="10">
        <v>76.989999999999995</v>
      </c>
      <c r="O1917" s="10">
        <v>76.73</v>
      </c>
      <c r="P1917" s="10">
        <v>76.400000000000006</v>
      </c>
      <c r="Q1917" s="10">
        <v>75.989999999999995</v>
      </c>
      <c r="R1917" s="10">
        <v>75.569999999999993</v>
      </c>
      <c r="S1917" s="10">
        <v>75.17</v>
      </c>
      <c r="T1917" s="10">
        <v>74.790000000000006</v>
      </c>
      <c r="U1917" s="10">
        <v>74.430000000000007</v>
      </c>
      <c r="V1917" s="10">
        <v>74.09</v>
      </c>
      <c r="W1917" s="10">
        <v>73.760000000000005</v>
      </c>
      <c r="X1917" s="10">
        <v>73.44</v>
      </c>
      <c r="Y1917" s="10">
        <v>73.12</v>
      </c>
      <c r="Z1917" s="11">
        <v>84.034999999999997</v>
      </c>
      <c r="AA1917" s="11">
        <v>81.632999999999996</v>
      </c>
      <c r="AB1917" s="11">
        <v>81.173000000000002</v>
      </c>
      <c r="AC1917" s="11">
        <v>80.691999999999993</v>
      </c>
      <c r="AD1917" s="11">
        <v>80.209000000000003</v>
      </c>
      <c r="AE1917" s="11">
        <v>79.697999999999993</v>
      </c>
      <c r="AF1917" s="11">
        <v>79.195999999999998</v>
      </c>
      <c r="AG1917" s="11">
        <v>78.701999999999998</v>
      </c>
      <c r="AH1917" s="11">
        <v>78.290000000000006</v>
      </c>
      <c r="AI1917" s="11">
        <v>77.930000000000007</v>
      </c>
      <c r="AJ1917" s="11">
        <v>77.596999999999994</v>
      </c>
      <c r="AK1917" s="11">
        <v>77.296999999999997</v>
      </c>
      <c r="AL1917" s="11"/>
    </row>
    <row r="1918" spans="1:38" x14ac:dyDescent="0.3">
      <c r="A1918" s="9">
        <f>DATE(2024, 6, 3)</f>
        <v>45446</v>
      </c>
      <c r="B1918" s="10">
        <v>78.36</v>
      </c>
      <c r="C1918" s="10">
        <v>78.22</v>
      </c>
      <c r="D1918" s="10">
        <v>77.95</v>
      </c>
      <c r="E1918" s="10">
        <v>77.64</v>
      </c>
      <c r="F1918" s="10">
        <v>77.33</v>
      </c>
      <c r="G1918" s="10">
        <v>77.05</v>
      </c>
      <c r="H1918" s="10">
        <v>76.78</v>
      </c>
      <c r="I1918" s="10">
        <v>76.52</v>
      </c>
      <c r="J1918" s="10">
        <v>76.27</v>
      </c>
      <c r="K1918" s="10">
        <v>76.03</v>
      </c>
      <c r="L1918" s="10">
        <v>75.819999999999993</v>
      </c>
      <c r="M1918" s="10">
        <v>75.61</v>
      </c>
      <c r="N1918" s="10">
        <v>74.22</v>
      </c>
      <c r="O1918" s="10">
        <v>74.09</v>
      </c>
      <c r="P1918" s="10">
        <v>73.84</v>
      </c>
      <c r="Q1918" s="10">
        <v>73.5</v>
      </c>
      <c r="R1918" s="10">
        <v>73.150000000000006</v>
      </c>
      <c r="S1918" s="10">
        <v>72.81</v>
      </c>
      <c r="T1918" s="10">
        <v>72.5</v>
      </c>
      <c r="U1918" s="10">
        <v>72.2</v>
      </c>
      <c r="V1918" s="10">
        <v>71.92</v>
      </c>
      <c r="W1918" s="10">
        <v>71.650000000000006</v>
      </c>
      <c r="X1918" s="10">
        <v>71.39</v>
      </c>
      <c r="Y1918" s="10">
        <v>71.150000000000006</v>
      </c>
      <c r="Z1918" s="11">
        <v>84.034999999999997</v>
      </c>
      <c r="AA1918" s="11">
        <v>79.225999999999999</v>
      </c>
      <c r="AB1918" s="11">
        <v>78.597999999999999</v>
      </c>
      <c r="AC1918" s="11">
        <v>78.123999999999995</v>
      </c>
      <c r="AD1918" s="11">
        <v>77.688999999999993</v>
      </c>
      <c r="AE1918" s="11">
        <v>77.238</v>
      </c>
      <c r="AF1918" s="11">
        <v>76.796999999999997</v>
      </c>
      <c r="AG1918" s="11">
        <v>76.385000000000005</v>
      </c>
      <c r="AH1918" s="11">
        <v>76.039000000000001</v>
      </c>
      <c r="AI1918" s="11">
        <v>75.738</v>
      </c>
      <c r="AJ1918" s="11">
        <v>75.465000000000003</v>
      </c>
      <c r="AK1918" s="11">
        <v>75.221000000000004</v>
      </c>
      <c r="AL1918" s="11"/>
    </row>
    <row r="1919" spans="1:38" x14ac:dyDescent="0.3">
      <c r="A1919" s="9">
        <f>DATE(2024, 6, 4)</f>
        <v>45447</v>
      </c>
      <c r="B1919" s="10">
        <v>77.52</v>
      </c>
      <c r="C1919" s="10">
        <v>77.27</v>
      </c>
      <c r="D1919" s="10">
        <v>76.94</v>
      </c>
      <c r="E1919" s="10">
        <v>76.59</v>
      </c>
      <c r="F1919" s="10">
        <v>76.25</v>
      </c>
      <c r="G1919" s="10">
        <v>75.95</v>
      </c>
      <c r="H1919" s="10">
        <v>75.66</v>
      </c>
      <c r="I1919" s="10">
        <v>75.400000000000006</v>
      </c>
      <c r="J1919" s="10">
        <v>75.16</v>
      </c>
      <c r="K1919" s="10">
        <v>74.92</v>
      </c>
      <c r="L1919" s="10">
        <v>74.7</v>
      </c>
      <c r="M1919" s="10">
        <v>74.48</v>
      </c>
      <c r="N1919" s="10">
        <v>73.25</v>
      </c>
      <c r="O1919" s="10">
        <v>73.06</v>
      </c>
      <c r="P1919" s="10">
        <v>72.75</v>
      </c>
      <c r="Q1919" s="10">
        <v>72.349999999999994</v>
      </c>
      <c r="R1919" s="10">
        <v>71.959999999999994</v>
      </c>
      <c r="S1919" s="10">
        <v>71.599999999999994</v>
      </c>
      <c r="T1919" s="10">
        <v>71.260000000000005</v>
      </c>
      <c r="U1919" s="10">
        <v>70.930000000000007</v>
      </c>
      <c r="V1919" s="10">
        <v>70.63</v>
      </c>
      <c r="W1919" s="10">
        <v>70.349999999999994</v>
      </c>
      <c r="X1919" s="10">
        <v>70.099999999999994</v>
      </c>
      <c r="Y1919" s="10">
        <v>69.849999999999994</v>
      </c>
      <c r="Z1919" s="11">
        <v>78.150000000000006</v>
      </c>
      <c r="AA1919" s="11">
        <v>77.546000000000006</v>
      </c>
      <c r="AB1919" s="11">
        <v>77.123999999999995</v>
      </c>
      <c r="AC1919" s="11">
        <v>76.683999999999997</v>
      </c>
      <c r="AD1919" s="11">
        <v>76.216999999999999</v>
      </c>
      <c r="AE1919" s="11">
        <v>75.766999999999996</v>
      </c>
      <c r="AF1919" s="11">
        <v>75.334999999999994</v>
      </c>
      <c r="AG1919" s="11">
        <v>74.989000000000004</v>
      </c>
      <c r="AH1919" s="11">
        <v>74.697999999999993</v>
      </c>
      <c r="AI1919" s="11">
        <v>74.41</v>
      </c>
      <c r="AJ1919" s="11">
        <v>74.14</v>
      </c>
      <c r="AK1919" s="11">
        <v>73.875</v>
      </c>
      <c r="AL1919" s="11"/>
    </row>
    <row r="1920" spans="1:38" x14ac:dyDescent="0.3">
      <c r="A1920" s="9">
        <f>DATE(2024, 6, 5)</f>
        <v>45448</v>
      </c>
      <c r="B1920" s="10">
        <v>78.41</v>
      </c>
      <c r="C1920" s="10">
        <v>78.040000000000006</v>
      </c>
      <c r="D1920" s="10">
        <v>77.61</v>
      </c>
      <c r="E1920" s="10">
        <v>77.19</v>
      </c>
      <c r="F1920" s="10">
        <v>76.790000000000006</v>
      </c>
      <c r="G1920" s="10">
        <v>76.42</v>
      </c>
      <c r="H1920" s="10">
        <v>76.09</v>
      </c>
      <c r="I1920" s="10">
        <v>75.78</v>
      </c>
      <c r="J1920" s="10">
        <v>75.5</v>
      </c>
      <c r="K1920" s="10">
        <v>75.22</v>
      </c>
      <c r="L1920" s="10">
        <v>74.97</v>
      </c>
      <c r="M1920" s="10">
        <v>74.72</v>
      </c>
      <c r="N1920" s="10">
        <v>74.069999999999993</v>
      </c>
      <c r="O1920" s="10">
        <v>73.819999999999993</v>
      </c>
      <c r="P1920" s="10">
        <v>73.42</v>
      </c>
      <c r="Q1920" s="10">
        <v>72.930000000000007</v>
      </c>
      <c r="R1920" s="10">
        <v>72.459999999999994</v>
      </c>
      <c r="S1920" s="10">
        <v>72.02</v>
      </c>
      <c r="T1920" s="10">
        <v>71.62</v>
      </c>
      <c r="U1920" s="10">
        <v>71.239999999999995</v>
      </c>
      <c r="V1920" s="10">
        <v>70.91</v>
      </c>
      <c r="W1920" s="10">
        <v>70.599999999999994</v>
      </c>
      <c r="X1920" s="10">
        <v>70.31</v>
      </c>
      <c r="Y1920" s="10">
        <v>70.03</v>
      </c>
      <c r="Z1920" s="11">
        <v>78.834000000000003</v>
      </c>
      <c r="AA1920" s="11">
        <v>78.320999999999998</v>
      </c>
      <c r="AB1920" s="11">
        <v>77.790999999999997</v>
      </c>
      <c r="AC1920" s="11">
        <v>77.254000000000005</v>
      </c>
      <c r="AD1920" s="11">
        <v>76.713999999999999</v>
      </c>
      <c r="AE1920" s="11">
        <v>76.194999999999993</v>
      </c>
      <c r="AF1920" s="11">
        <v>75.709999999999994</v>
      </c>
      <c r="AG1920" s="11">
        <v>75.307000000000002</v>
      </c>
      <c r="AH1920" s="11">
        <v>74.980999999999995</v>
      </c>
      <c r="AI1920" s="11">
        <v>74.668000000000006</v>
      </c>
      <c r="AJ1920" s="11">
        <v>74.378</v>
      </c>
      <c r="AK1920" s="11">
        <v>74.093000000000004</v>
      </c>
      <c r="AL1920" s="11"/>
    </row>
    <row r="1921" spans="1:38" x14ac:dyDescent="0.3">
      <c r="A1921" s="9">
        <f>DATE(2024, 6, 6)</f>
        <v>45449</v>
      </c>
      <c r="B1921" s="10">
        <v>79.87</v>
      </c>
      <c r="C1921" s="10">
        <v>79.5</v>
      </c>
      <c r="D1921" s="10">
        <v>79.040000000000006</v>
      </c>
      <c r="E1921" s="10">
        <v>78.58</v>
      </c>
      <c r="F1921" s="10">
        <v>78.150000000000006</v>
      </c>
      <c r="G1921" s="10">
        <v>77.760000000000005</v>
      </c>
      <c r="H1921" s="10">
        <v>77.400000000000006</v>
      </c>
      <c r="I1921" s="10">
        <v>77.05</v>
      </c>
      <c r="J1921" s="10">
        <v>76.73</v>
      </c>
      <c r="K1921" s="10">
        <v>76.42</v>
      </c>
      <c r="L1921" s="10">
        <v>76.13</v>
      </c>
      <c r="M1921" s="10">
        <v>75.849999999999994</v>
      </c>
      <c r="N1921" s="10">
        <v>75.55</v>
      </c>
      <c r="O1921" s="10">
        <v>75.239999999999995</v>
      </c>
      <c r="P1921" s="10">
        <v>74.81</v>
      </c>
      <c r="Q1921" s="10">
        <v>74.290000000000006</v>
      </c>
      <c r="R1921" s="10">
        <v>73.78</v>
      </c>
      <c r="S1921" s="10">
        <v>73.31</v>
      </c>
      <c r="T1921" s="10">
        <v>72.87</v>
      </c>
      <c r="U1921" s="10">
        <v>72.47</v>
      </c>
      <c r="V1921" s="10">
        <v>72.099999999999994</v>
      </c>
      <c r="W1921" s="10">
        <v>71.75</v>
      </c>
      <c r="X1921" s="10">
        <v>71.42</v>
      </c>
      <c r="Y1921" s="10">
        <v>71.11</v>
      </c>
      <c r="Z1921" s="11">
        <v>79.98</v>
      </c>
      <c r="AA1921" s="11">
        <v>79.769000000000005</v>
      </c>
      <c r="AB1921" s="11">
        <v>79.209999999999994</v>
      </c>
      <c r="AC1921" s="11">
        <v>78.650999999999996</v>
      </c>
      <c r="AD1921" s="11">
        <v>78.093000000000004</v>
      </c>
      <c r="AE1921" s="11">
        <v>77.552999999999997</v>
      </c>
      <c r="AF1921" s="11">
        <v>77.027000000000001</v>
      </c>
      <c r="AG1921" s="11">
        <v>76.584999999999994</v>
      </c>
      <c r="AH1921" s="11">
        <v>76.215000000000003</v>
      </c>
      <c r="AI1921" s="11">
        <v>75.866</v>
      </c>
      <c r="AJ1921" s="11">
        <v>75.537000000000006</v>
      </c>
      <c r="AK1921" s="11">
        <v>75.227000000000004</v>
      </c>
      <c r="AL1921" s="11"/>
    </row>
    <row r="1922" spans="1:38" x14ac:dyDescent="0.3">
      <c r="A1922" s="9">
        <f>DATE(2024, 6, 7)</f>
        <v>45450</v>
      </c>
      <c r="B1922" s="10">
        <v>79.62</v>
      </c>
      <c r="C1922" s="10">
        <v>79.34</v>
      </c>
      <c r="D1922" s="10">
        <v>78.94</v>
      </c>
      <c r="E1922" s="10">
        <v>78.53</v>
      </c>
      <c r="F1922" s="10">
        <v>78.14</v>
      </c>
      <c r="G1922" s="10">
        <v>77.78</v>
      </c>
      <c r="H1922" s="10">
        <v>77.459999999999994</v>
      </c>
      <c r="I1922" s="10">
        <v>77.14</v>
      </c>
      <c r="J1922" s="10">
        <v>76.84</v>
      </c>
      <c r="K1922" s="10">
        <v>76.55</v>
      </c>
      <c r="L1922" s="10">
        <v>76.28</v>
      </c>
      <c r="M1922" s="10">
        <v>76.02</v>
      </c>
      <c r="N1922" s="10">
        <v>75.53</v>
      </c>
      <c r="O1922" s="10">
        <v>75.22</v>
      </c>
      <c r="P1922" s="10">
        <v>74.8</v>
      </c>
      <c r="Q1922" s="10">
        <v>74.319999999999993</v>
      </c>
      <c r="R1922" s="10">
        <v>73.849999999999994</v>
      </c>
      <c r="S1922" s="10">
        <v>73.41</v>
      </c>
      <c r="T1922" s="10">
        <v>73</v>
      </c>
      <c r="U1922" s="10">
        <v>72.63</v>
      </c>
      <c r="V1922" s="10">
        <v>72.290000000000006</v>
      </c>
      <c r="W1922" s="10">
        <v>71.98</v>
      </c>
      <c r="X1922" s="10">
        <v>71.67</v>
      </c>
      <c r="Y1922" s="10">
        <v>71.39</v>
      </c>
      <c r="Z1922" s="11">
        <v>79.876999999999995</v>
      </c>
      <c r="AA1922" s="11">
        <v>79.593000000000004</v>
      </c>
      <c r="AB1922" s="11">
        <v>79.08</v>
      </c>
      <c r="AC1922" s="11">
        <v>78.575000000000003</v>
      </c>
      <c r="AD1922" s="11">
        <v>78.061000000000007</v>
      </c>
      <c r="AE1922" s="11">
        <v>77.555000000000007</v>
      </c>
      <c r="AF1922" s="11">
        <v>77.06</v>
      </c>
      <c r="AG1922" s="11">
        <v>76.646000000000001</v>
      </c>
      <c r="AH1922" s="11">
        <v>76.296000000000006</v>
      </c>
      <c r="AI1922" s="11">
        <v>75.966999999999999</v>
      </c>
      <c r="AJ1922" s="11">
        <v>75.658000000000001</v>
      </c>
      <c r="AK1922" s="11">
        <v>75.358000000000004</v>
      </c>
      <c r="AL1922" s="11"/>
    </row>
    <row r="1923" spans="1:38" x14ac:dyDescent="0.3">
      <c r="A1923" s="9">
        <f>DATE(2024, 6, 10)</f>
        <v>45453</v>
      </c>
      <c r="B1923" s="10">
        <v>81.63</v>
      </c>
      <c r="C1923" s="10">
        <v>81.23</v>
      </c>
      <c r="D1923" s="10">
        <v>80.75</v>
      </c>
      <c r="E1923" s="10">
        <v>80.27</v>
      </c>
      <c r="F1923" s="10">
        <v>79.81</v>
      </c>
      <c r="G1923" s="10">
        <v>79.38</v>
      </c>
      <c r="H1923" s="10">
        <v>78.989999999999995</v>
      </c>
      <c r="I1923" s="10">
        <v>78.63</v>
      </c>
      <c r="J1923" s="10">
        <v>78.290000000000006</v>
      </c>
      <c r="K1923" s="10">
        <v>77.959999999999994</v>
      </c>
      <c r="L1923" s="10">
        <v>77.66</v>
      </c>
      <c r="M1923" s="10">
        <v>77.37</v>
      </c>
      <c r="N1923" s="10">
        <v>77.739999999999995</v>
      </c>
      <c r="O1923" s="10">
        <v>77.33</v>
      </c>
      <c r="P1923" s="10">
        <v>76.819999999999993</v>
      </c>
      <c r="Q1923" s="10">
        <v>76.25</v>
      </c>
      <c r="R1923" s="10">
        <v>75.69</v>
      </c>
      <c r="S1923" s="10">
        <v>75.17</v>
      </c>
      <c r="T1923" s="10">
        <v>74.69</v>
      </c>
      <c r="U1923" s="10">
        <v>74.260000000000005</v>
      </c>
      <c r="V1923" s="10">
        <v>73.86</v>
      </c>
      <c r="W1923" s="10">
        <v>73.489999999999995</v>
      </c>
      <c r="X1923" s="10">
        <v>73.14</v>
      </c>
      <c r="Y1923" s="10">
        <v>72.819999999999993</v>
      </c>
      <c r="Z1923" s="11">
        <v>81.144000000000005</v>
      </c>
      <c r="AA1923" s="11">
        <v>81.462000000000003</v>
      </c>
      <c r="AB1923" s="11">
        <v>80.873000000000005</v>
      </c>
      <c r="AC1923" s="11">
        <v>80.296000000000006</v>
      </c>
      <c r="AD1923" s="11">
        <v>79.724000000000004</v>
      </c>
      <c r="AE1923" s="11">
        <v>79.174999999999997</v>
      </c>
      <c r="AF1923" s="11">
        <v>78.635000000000005</v>
      </c>
      <c r="AG1923" s="11">
        <v>78.180999999999997</v>
      </c>
      <c r="AH1923" s="11">
        <v>77.790000000000006</v>
      </c>
      <c r="AI1923" s="11">
        <v>77.421999999999997</v>
      </c>
      <c r="AJ1923" s="11">
        <v>77.075999999999993</v>
      </c>
      <c r="AK1923" s="11">
        <v>76.745999999999995</v>
      </c>
      <c r="AL1923" s="11"/>
    </row>
    <row r="1924" spans="1:38" x14ac:dyDescent="0.3">
      <c r="A1924" s="9">
        <f>DATE(2024, 6, 11)</f>
        <v>45454</v>
      </c>
      <c r="B1924" s="10">
        <v>81.92</v>
      </c>
      <c r="C1924" s="10">
        <v>81.540000000000006</v>
      </c>
      <c r="D1924" s="10">
        <v>81.06</v>
      </c>
      <c r="E1924" s="10">
        <v>80.59</v>
      </c>
      <c r="F1924" s="10">
        <v>80.14</v>
      </c>
      <c r="G1924" s="10">
        <v>79.72</v>
      </c>
      <c r="H1924" s="10">
        <v>79.34</v>
      </c>
      <c r="I1924" s="10">
        <v>78.98</v>
      </c>
      <c r="J1924" s="10">
        <v>78.63</v>
      </c>
      <c r="K1924" s="10">
        <v>78.31</v>
      </c>
      <c r="L1924" s="10">
        <v>78.010000000000005</v>
      </c>
      <c r="M1924" s="10">
        <v>77.72</v>
      </c>
      <c r="N1924" s="10">
        <v>77.900000000000006</v>
      </c>
      <c r="O1924" s="10">
        <v>77.55</v>
      </c>
      <c r="P1924" s="10">
        <v>77.08</v>
      </c>
      <c r="Q1924" s="10">
        <v>76.540000000000006</v>
      </c>
      <c r="R1924" s="10">
        <v>76</v>
      </c>
      <c r="S1924" s="10">
        <v>75.489999999999995</v>
      </c>
      <c r="T1924" s="10">
        <v>75.02</v>
      </c>
      <c r="U1924" s="10">
        <v>74.599999999999994</v>
      </c>
      <c r="V1924" s="10">
        <v>74.2</v>
      </c>
      <c r="W1924" s="10">
        <v>73.83</v>
      </c>
      <c r="X1924" s="10">
        <v>73.48</v>
      </c>
      <c r="Y1924" s="10">
        <v>73.150000000000006</v>
      </c>
      <c r="Z1924" s="11">
        <v>81.305999999999997</v>
      </c>
      <c r="AA1924" s="11">
        <v>81.769000000000005</v>
      </c>
      <c r="AB1924" s="11">
        <v>81.17</v>
      </c>
      <c r="AC1924" s="11">
        <v>80.58</v>
      </c>
      <c r="AD1924" s="11">
        <v>80.004000000000005</v>
      </c>
      <c r="AE1924" s="11">
        <v>79.462999999999994</v>
      </c>
      <c r="AF1924" s="11">
        <v>78.941999999999993</v>
      </c>
      <c r="AG1924" s="11">
        <v>78.497</v>
      </c>
      <c r="AH1924" s="11">
        <v>78.108999999999995</v>
      </c>
      <c r="AI1924" s="11">
        <v>77.745999999999995</v>
      </c>
      <c r="AJ1924" s="11">
        <v>77.415999999999997</v>
      </c>
      <c r="AK1924" s="11">
        <v>77.096999999999994</v>
      </c>
      <c r="AL1924" s="11"/>
    </row>
    <row r="1925" spans="1:38" x14ac:dyDescent="0.3">
      <c r="A1925" s="9">
        <f>DATE(2024, 6, 12)</f>
        <v>45455</v>
      </c>
      <c r="B1925" s="10">
        <v>82.6</v>
      </c>
      <c r="C1925" s="10">
        <v>82.15</v>
      </c>
      <c r="D1925" s="10">
        <v>81.650000000000006</v>
      </c>
      <c r="E1925" s="10">
        <v>81.16</v>
      </c>
      <c r="F1925" s="10">
        <v>80.69</v>
      </c>
      <c r="G1925" s="10">
        <v>80.25</v>
      </c>
      <c r="H1925" s="10">
        <v>79.849999999999994</v>
      </c>
      <c r="I1925" s="10">
        <v>79.459999999999994</v>
      </c>
      <c r="J1925" s="10">
        <v>79.09</v>
      </c>
      <c r="K1925" s="10">
        <v>78.739999999999995</v>
      </c>
      <c r="L1925" s="10">
        <v>78.42</v>
      </c>
      <c r="M1925" s="10">
        <v>78.11</v>
      </c>
      <c r="N1925" s="10">
        <v>78.5</v>
      </c>
      <c r="O1925" s="10">
        <v>78.150000000000006</v>
      </c>
      <c r="P1925" s="10">
        <v>77.680000000000007</v>
      </c>
      <c r="Q1925" s="10">
        <v>77.13</v>
      </c>
      <c r="R1925" s="10">
        <v>76.58</v>
      </c>
      <c r="S1925" s="10">
        <v>76.040000000000006</v>
      </c>
      <c r="T1925" s="10">
        <v>75.56</v>
      </c>
      <c r="U1925" s="10">
        <v>75.12</v>
      </c>
      <c r="V1925" s="10">
        <v>74.7</v>
      </c>
      <c r="W1925" s="10">
        <v>74.3</v>
      </c>
      <c r="X1925" s="10">
        <v>73.92</v>
      </c>
      <c r="Y1925" s="10">
        <v>73.56</v>
      </c>
      <c r="Z1925" s="11">
        <v>81.643000000000001</v>
      </c>
      <c r="AA1925" s="11">
        <v>82.281999999999996</v>
      </c>
      <c r="AB1925" s="11">
        <v>81.688999999999993</v>
      </c>
      <c r="AC1925" s="11">
        <v>81.099999999999994</v>
      </c>
      <c r="AD1925" s="11">
        <v>80.540999999999997</v>
      </c>
      <c r="AE1925" s="11">
        <v>80.001000000000005</v>
      </c>
      <c r="AF1925" s="11">
        <v>79.472999999999999</v>
      </c>
      <c r="AG1925" s="11">
        <v>79.003</v>
      </c>
      <c r="AH1925" s="11">
        <v>78.582999999999998</v>
      </c>
      <c r="AI1925" s="11">
        <v>78.194999999999993</v>
      </c>
      <c r="AJ1925" s="11">
        <v>77.834999999999994</v>
      </c>
      <c r="AK1925" s="11">
        <v>77.486000000000004</v>
      </c>
      <c r="AL1925" s="11"/>
    </row>
    <row r="1926" spans="1:38" x14ac:dyDescent="0.3">
      <c r="A1926" s="9">
        <f>DATE(2024, 6, 13)</f>
        <v>45456</v>
      </c>
      <c r="B1926" s="10">
        <v>82.75</v>
      </c>
      <c r="C1926" s="10">
        <v>82.3</v>
      </c>
      <c r="D1926" s="10">
        <v>81.8</v>
      </c>
      <c r="E1926" s="10">
        <v>81.31</v>
      </c>
      <c r="F1926" s="10">
        <v>80.84</v>
      </c>
      <c r="G1926" s="10">
        <v>80.400000000000006</v>
      </c>
      <c r="H1926" s="10">
        <v>79.989999999999995</v>
      </c>
      <c r="I1926" s="10">
        <v>79.599999999999994</v>
      </c>
      <c r="J1926" s="10">
        <v>79.23</v>
      </c>
      <c r="K1926" s="10">
        <v>78.87</v>
      </c>
      <c r="L1926" s="10">
        <v>78.540000000000006</v>
      </c>
      <c r="M1926" s="10">
        <v>78.22</v>
      </c>
      <c r="N1926" s="10">
        <v>78.62</v>
      </c>
      <c r="O1926" s="10">
        <v>78.260000000000005</v>
      </c>
      <c r="P1926" s="10">
        <v>77.819999999999993</v>
      </c>
      <c r="Q1926" s="10">
        <v>77.31</v>
      </c>
      <c r="R1926" s="10">
        <v>76.78</v>
      </c>
      <c r="S1926" s="10">
        <v>76.25</v>
      </c>
      <c r="T1926" s="10">
        <v>75.75</v>
      </c>
      <c r="U1926" s="10">
        <v>75.31</v>
      </c>
      <c r="V1926" s="10">
        <v>74.89</v>
      </c>
      <c r="W1926" s="10">
        <v>74.48</v>
      </c>
      <c r="X1926" s="10">
        <v>74.099999999999994</v>
      </c>
      <c r="Y1926" s="10">
        <v>73.73</v>
      </c>
      <c r="Z1926" s="11">
        <v>81.575999999999993</v>
      </c>
      <c r="AA1926" s="11">
        <v>82.283000000000001</v>
      </c>
      <c r="AB1926" s="11">
        <v>81.742999999999995</v>
      </c>
      <c r="AC1926" s="11">
        <v>81.171000000000006</v>
      </c>
      <c r="AD1926" s="11">
        <v>80.626000000000005</v>
      </c>
      <c r="AE1926" s="11">
        <v>80.099999999999994</v>
      </c>
      <c r="AF1926" s="11">
        <v>79.582999999999998</v>
      </c>
      <c r="AG1926" s="11">
        <v>79.125</v>
      </c>
      <c r="AH1926" s="11">
        <v>78.703999999999994</v>
      </c>
      <c r="AI1926" s="11">
        <v>78.296000000000006</v>
      </c>
      <c r="AJ1926" s="11">
        <v>77.930000000000007</v>
      </c>
      <c r="AK1926" s="11">
        <v>77.575000000000003</v>
      </c>
      <c r="AL1926" s="11"/>
    </row>
    <row r="1927" spans="1:38" x14ac:dyDescent="0.3">
      <c r="A1927" s="9">
        <f>DATE(2024, 6, 14)</f>
        <v>45457</v>
      </c>
      <c r="B1927" s="10">
        <v>82.62</v>
      </c>
      <c r="C1927" s="10">
        <v>82.08</v>
      </c>
      <c r="D1927" s="10">
        <v>81.5</v>
      </c>
      <c r="E1927" s="10">
        <v>80.97</v>
      </c>
      <c r="F1927" s="10">
        <v>80.48</v>
      </c>
      <c r="G1927" s="10">
        <v>80.03</v>
      </c>
      <c r="H1927" s="10">
        <v>79.599999999999994</v>
      </c>
      <c r="I1927" s="10">
        <v>79.2</v>
      </c>
      <c r="J1927" s="10">
        <v>78.83</v>
      </c>
      <c r="K1927" s="10">
        <v>78.48</v>
      </c>
      <c r="L1927" s="10">
        <v>78.150000000000006</v>
      </c>
      <c r="M1927" s="10">
        <v>77.83</v>
      </c>
      <c r="N1927" s="10">
        <v>78.45</v>
      </c>
      <c r="O1927" s="10">
        <v>78.05</v>
      </c>
      <c r="P1927" s="10">
        <v>77.55</v>
      </c>
      <c r="Q1927" s="10">
        <v>76.98</v>
      </c>
      <c r="R1927" s="10">
        <v>76.41</v>
      </c>
      <c r="S1927" s="10">
        <v>75.87</v>
      </c>
      <c r="T1927" s="10">
        <v>75.37</v>
      </c>
      <c r="U1927" s="10">
        <v>74.91</v>
      </c>
      <c r="V1927" s="10">
        <v>74.48</v>
      </c>
      <c r="W1927" s="10">
        <v>74.069999999999993</v>
      </c>
      <c r="X1927" s="10">
        <v>73.680000000000007</v>
      </c>
      <c r="Y1927" s="10">
        <v>73.31</v>
      </c>
      <c r="Z1927" s="11">
        <v>81.501999999999995</v>
      </c>
      <c r="AA1927" s="11">
        <v>82.105000000000004</v>
      </c>
      <c r="AB1927" s="11">
        <v>81.503</v>
      </c>
      <c r="AC1927" s="11">
        <v>80.891000000000005</v>
      </c>
      <c r="AD1927" s="11">
        <v>80.319999999999993</v>
      </c>
      <c r="AE1927" s="11">
        <v>79.77</v>
      </c>
      <c r="AF1927" s="11">
        <v>79.231999999999999</v>
      </c>
      <c r="AG1927" s="11">
        <v>78.763000000000005</v>
      </c>
      <c r="AH1927" s="11">
        <v>78.332999999999998</v>
      </c>
      <c r="AI1927" s="11">
        <v>77.933999999999997</v>
      </c>
      <c r="AJ1927" s="11">
        <v>77.575000000000003</v>
      </c>
      <c r="AK1927" s="11">
        <v>77.215999999999994</v>
      </c>
      <c r="AL1927" s="11"/>
    </row>
    <row r="1928" spans="1:38" x14ac:dyDescent="0.3">
      <c r="A1928" s="9">
        <f>DATE(2024, 6, 17)</f>
        <v>45460</v>
      </c>
      <c r="B1928" s="10">
        <v>84.25</v>
      </c>
      <c r="C1928" s="10">
        <v>83.52</v>
      </c>
      <c r="D1928" s="10">
        <v>82.79</v>
      </c>
      <c r="E1928" s="10">
        <v>82.15</v>
      </c>
      <c r="F1928" s="10">
        <v>81.55</v>
      </c>
      <c r="G1928" s="10">
        <v>80.989999999999995</v>
      </c>
      <c r="H1928" s="10">
        <v>80.47</v>
      </c>
      <c r="I1928" s="10">
        <v>79.98</v>
      </c>
      <c r="J1928" s="10">
        <v>79.53</v>
      </c>
      <c r="K1928" s="10">
        <v>79.099999999999994</v>
      </c>
      <c r="L1928" s="10">
        <v>78.7</v>
      </c>
      <c r="M1928" s="10">
        <v>78.319999999999993</v>
      </c>
      <c r="N1928" s="10">
        <v>80.33</v>
      </c>
      <c r="O1928" s="10">
        <v>79.72</v>
      </c>
      <c r="P1928" s="10">
        <v>79.02</v>
      </c>
      <c r="Q1928" s="10">
        <v>78.27</v>
      </c>
      <c r="R1928" s="10">
        <v>77.55</v>
      </c>
      <c r="S1928" s="10">
        <v>76.900000000000006</v>
      </c>
      <c r="T1928" s="10">
        <v>76.31</v>
      </c>
      <c r="U1928" s="10">
        <v>75.760000000000005</v>
      </c>
      <c r="V1928" s="10">
        <v>75.239999999999995</v>
      </c>
      <c r="W1928" s="10">
        <v>74.73</v>
      </c>
      <c r="X1928" s="10">
        <v>74.260000000000005</v>
      </c>
      <c r="Y1928" s="10">
        <v>73.819999999999993</v>
      </c>
      <c r="Z1928" s="11">
        <v>82.097999999999999</v>
      </c>
      <c r="AA1928" s="11">
        <v>83.361999999999995</v>
      </c>
      <c r="AB1928" s="11">
        <v>82.674999999999997</v>
      </c>
      <c r="AC1928" s="11">
        <v>81.980999999999995</v>
      </c>
      <c r="AD1928" s="11">
        <v>81.334999999999994</v>
      </c>
      <c r="AE1928" s="11">
        <v>80.712999999999994</v>
      </c>
      <c r="AF1928" s="11">
        <v>80.093000000000004</v>
      </c>
      <c r="AG1928" s="11">
        <v>79.569999999999993</v>
      </c>
      <c r="AH1928" s="11">
        <v>79.088999999999999</v>
      </c>
      <c r="AI1928" s="11">
        <v>78.620999999999995</v>
      </c>
      <c r="AJ1928" s="11">
        <v>78.191999999999993</v>
      </c>
      <c r="AK1928" s="11">
        <v>77.783000000000001</v>
      </c>
      <c r="AL1928" s="11"/>
    </row>
    <row r="1929" spans="1:38" x14ac:dyDescent="0.3">
      <c r="A1929" s="9">
        <f>DATE(2024, 6, 18)</f>
        <v>45461</v>
      </c>
      <c r="B1929" s="10">
        <v>85.33</v>
      </c>
      <c r="C1929" s="10">
        <v>84.53</v>
      </c>
      <c r="D1929" s="10">
        <v>83.79</v>
      </c>
      <c r="E1929" s="10">
        <v>83.15</v>
      </c>
      <c r="F1929" s="10">
        <v>82.55</v>
      </c>
      <c r="G1929" s="10">
        <v>81.99</v>
      </c>
      <c r="H1929" s="10">
        <v>81.459999999999994</v>
      </c>
      <c r="I1929" s="10">
        <v>80.959999999999994</v>
      </c>
      <c r="J1929" s="10">
        <v>80.5</v>
      </c>
      <c r="K1929" s="10">
        <v>80.069999999999993</v>
      </c>
      <c r="L1929" s="10">
        <v>79.66</v>
      </c>
      <c r="M1929" s="10">
        <v>79.28</v>
      </c>
      <c r="N1929" s="10">
        <v>81.569999999999993</v>
      </c>
      <c r="O1929" s="10">
        <v>80.709999999999994</v>
      </c>
      <c r="P1929" s="10">
        <v>79.989999999999995</v>
      </c>
      <c r="Q1929" s="10">
        <v>79.23</v>
      </c>
      <c r="R1929" s="10">
        <v>78.53</v>
      </c>
      <c r="S1929" s="10">
        <v>77.87</v>
      </c>
      <c r="T1929" s="10">
        <v>77.27</v>
      </c>
      <c r="U1929" s="10">
        <v>76.709999999999994</v>
      </c>
      <c r="V1929" s="10">
        <v>76.19</v>
      </c>
      <c r="W1929" s="10">
        <v>75.69</v>
      </c>
      <c r="X1929" s="10">
        <v>75.22</v>
      </c>
      <c r="Y1929" s="10">
        <v>74.78</v>
      </c>
      <c r="Z1929" s="11">
        <v>82.518000000000001</v>
      </c>
      <c r="AA1929" s="11">
        <v>84.358000000000004</v>
      </c>
      <c r="AB1929" s="11">
        <v>83.632000000000005</v>
      </c>
      <c r="AC1929" s="11">
        <v>82.94</v>
      </c>
      <c r="AD1929" s="11">
        <v>82.290999999999997</v>
      </c>
      <c r="AE1929" s="11">
        <v>81.67</v>
      </c>
      <c r="AF1929" s="11">
        <v>81.063999999999993</v>
      </c>
      <c r="AG1929" s="11">
        <v>80.524000000000001</v>
      </c>
      <c r="AH1929" s="11">
        <v>80.024000000000001</v>
      </c>
      <c r="AI1929" s="11">
        <v>79.555000000000007</v>
      </c>
      <c r="AJ1929" s="11">
        <v>79.117000000000004</v>
      </c>
      <c r="AK1929" s="11">
        <v>78.707999999999998</v>
      </c>
      <c r="AL1929" s="11"/>
    </row>
    <row r="1930" spans="1:38" x14ac:dyDescent="0.3">
      <c r="A1930" s="9">
        <f>DATE(2024, 6, 19)</f>
        <v>45462</v>
      </c>
      <c r="B1930" s="10">
        <v>85.07</v>
      </c>
      <c r="C1930" s="10">
        <v>84.29</v>
      </c>
      <c r="D1930" s="10">
        <v>83.58</v>
      </c>
      <c r="E1930" s="10">
        <v>82.97</v>
      </c>
      <c r="F1930" s="10">
        <v>82.41</v>
      </c>
      <c r="G1930" s="10">
        <v>81.87</v>
      </c>
      <c r="H1930" s="10">
        <v>81.36</v>
      </c>
      <c r="I1930" s="10">
        <v>80.88</v>
      </c>
      <c r="J1930" s="10">
        <v>80.430000000000007</v>
      </c>
      <c r="K1930" s="10">
        <v>80.010000000000005</v>
      </c>
      <c r="L1930" s="10">
        <v>79.61</v>
      </c>
      <c r="M1930" s="10">
        <v>79.23</v>
      </c>
      <c r="N1930" s="10">
        <v>81.569999999999993</v>
      </c>
      <c r="O1930" s="10">
        <v>80.709999999999994</v>
      </c>
      <c r="P1930" s="10">
        <v>79.989999999999995</v>
      </c>
      <c r="Q1930" s="10">
        <v>79.23</v>
      </c>
      <c r="R1930" s="10">
        <v>78.53</v>
      </c>
      <c r="S1930" s="10">
        <v>77.87</v>
      </c>
      <c r="T1930" s="10">
        <v>77.27</v>
      </c>
      <c r="U1930" s="10">
        <v>76.709999999999994</v>
      </c>
      <c r="V1930" s="10">
        <v>76.19</v>
      </c>
      <c r="W1930" s="10">
        <v>75.69</v>
      </c>
      <c r="X1930" s="10">
        <v>75.22</v>
      </c>
      <c r="Y1930" s="10">
        <v>74.78</v>
      </c>
      <c r="Z1930" s="11">
        <v>82.376999999999995</v>
      </c>
      <c r="AA1930" s="11">
        <v>84.188999999999993</v>
      </c>
      <c r="AB1930" s="11">
        <v>83.507000000000005</v>
      </c>
      <c r="AC1930" s="11">
        <v>82.843000000000004</v>
      </c>
      <c r="AD1930" s="11">
        <v>82.197000000000003</v>
      </c>
      <c r="AE1930" s="11">
        <v>81.575999999999993</v>
      </c>
      <c r="AF1930" s="11">
        <v>80.983999999999995</v>
      </c>
      <c r="AG1930" s="11">
        <v>80.459999999999994</v>
      </c>
      <c r="AH1930" s="11">
        <v>79.978999999999999</v>
      </c>
      <c r="AI1930" s="11">
        <v>79.540999999999997</v>
      </c>
      <c r="AJ1930" s="11">
        <v>79.122</v>
      </c>
      <c r="AK1930" s="11">
        <v>78.722999999999999</v>
      </c>
      <c r="AL1930" s="11"/>
    </row>
    <row r="1931" spans="1:38" x14ac:dyDescent="0.3">
      <c r="A1931" s="9">
        <f>DATE(2024, 6, 20)</f>
        <v>45463</v>
      </c>
      <c r="B1931" s="10">
        <v>85.71</v>
      </c>
      <c r="C1931" s="10">
        <v>84.86</v>
      </c>
      <c r="D1931" s="10">
        <v>84.13</v>
      </c>
      <c r="E1931" s="10">
        <v>83.49</v>
      </c>
      <c r="F1931" s="10">
        <v>82.91</v>
      </c>
      <c r="G1931" s="10">
        <v>82.34</v>
      </c>
      <c r="H1931" s="10">
        <v>81.81</v>
      </c>
      <c r="I1931" s="10">
        <v>81.31</v>
      </c>
      <c r="J1931" s="10">
        <v>80.849999999999994</v>
      </c>
      <c r="K1931" s="10">
        <v>80.430000000000007</v>
      </c>
      <c r="L1931" s="10">
        <v>80.02</v>
      </c>
      <c r="M1931" s="10">
        <v>79.64</v>
      </c>
      <c r="N1931" s="10">
        <v>82.17</v>
      </c>
      <c r="O1931" s="10">
        <v>81.290000000000006</v>
      </c>
      <c r="P1931" s="10">
        <v>80.489999999999995</v>
      </c>
      <c r="Q1931" s="10">
        <v>79.67</v>
      </c>
      <c r="R1931" s="10">
        <v>78.930000000000007</v>
      </c>
      <c r="S1931" s="10">
        <v>78.25</v>
      </c>
      <c r="T1931" s="10">
        <v>77.63</v>
      </c>
      <c r="U1931" s="10">
        <v>77.06</v>
      </c>
      <c r="V1931" s="10">
        <v>76.53</v>
      </c>
      <c r="W1931" s="10">
        <v>76.02</v>
      </c>
      <c r="X1931" s="10">
        <v>75.55</v>
      </c>
      <c r="Y1931" s="10">
        <v>75.11</v>
      </c>
      <c r="Z1931" s="11">
        <v>82.602999999999994</v>
      </c>
      <c r="AA1931" s="11">
        <v>84.888999999999996</v>
      </c>
      <c r="AB1931" s="11">
        <v>84.186000000000007</v>
      </c>
      <c r="AC1931" s="11">
        <v>83.486999999999995</v>
      </c>
      <c r="AD1931" s="11">
        <v>82.799000000000007</v>
      </c>
      <c r="AE1931" s="11">
        <v>82.138999999999996</v>
      </c>
      <c r="AF1931" s="11">
        <v>81.501999999999995</v>
      </c>
      <c r="AG1931" s="11">
        <v>80.963999999999999</v>
      </c>
      <c r="AH1931" s="11">
        <v>80.468999999999994</v>
      </c>
      <c r="AI1931" s="11">
        <v>80.015000000000001</v>
      </c>
      <c r="AJ1931" s="11">
        <v>79.572000000000003</v>
      </c>
      <c r="AK1931" s="11">
        <v>79.159000000000006</v>
      </c>
      <c r="AL1931" s="11"/>
    </row>
    <row r="1932" spans="1:38" x14ac:dyDescent="0.3">
      <c r="A1932" s="9">
        <f>DATE(2024, 6, 21)</f>
        <v>45464</v>
      </c>
      <c r="B1932" s="10">
        <v>85.24</v>
      </c>
      <c r="C1932" s="10">
        <v>84.33</v>
      </c>
      <c r="D1932" s="10">
        <v>83.56</v>
      </c>
      <c r="E1932" s="10">
        <v>82.91</v>
      </c>
      <c r="F1932" s="10">
        <v>82.33</v>
      </c>
      <c r="G1932" s="10">
        <v>81.78</v>
      </c>
      <c r="H1932" s="10">
        <v>81.260000000000005</v>
      </c>
      <c r="I1932" s="10">
        <v>80.77</v>
      </c>
      <c r="J1932" s="10">
        <v>80.319999999999993</v>
      </c>
      <c r="K1932" s="10">
        <v>79.900000000000006</v>
      </c>
      <c r="L1932" s="10">
        <v>79.5</v>
      </c>
      <c r="M1932" s="10">
        <v>79.12</v>
      </c>
      <c r="N1932" s="10">
        <v>80.73</v>
      </c>
      <c r="O1932" s="10">
        <v>79.959999999999994</v>
      </c>
      <c r="P1932" s="10">
        <v>79.150000000000006</v>
      </c>
      <c r="Q1932" s="10">
        <v>78.400000000000006</v>
      </c>
      <c r="R1932" s="10">
        <v>77.709999999999994</v>
      </c>
      <c r="S1932" s="10">
        <v>77.09</v>
      </c>
      <c r="T1932" s="10">
        <v>76.52</v>
      </c>
      <c r="U1932" s="10">
        <v>76</v>
      </c>
      <c r="V1932" s="10">
        <v>75.5</v>
      </c>
      <c r="W1932" s="10">
        <v>75.040000000000006</v>
      </c>
      <c r="X1932" s="10">
        <v>74.61</v>
      </c>
      <c r="Y1932" s="10">
        <v>74.17</v>
      </c>
      <c r="Z1932" s="11">
        <v>82.477999999999994</v>
      </c>
      <c r="AA1932" s="11">
        <v>84.447000000000003</v>
      </c>
      <c r="AB1932" s="11">
        <v>83.69</v>
      </c>
      <c r="AC1932" s="11">
        <v>82.962000000000003</v>
      </c>
      <c r="AD1932" s="11">
        <v>82.256</v>
      </c>
      <c r="AE1932" s="11">
        <v>81.584999999999994</v>
      </c>
      <c r="AF1932" s="11">
        <v>80.923000000000002</v>
      </c>
      <c r="AG1932" s="11">
        <v>80.36</v>
      </c>
      <c r="AH1932" s="11">
        <v>79.879000000000005</v>
      </c>
      <c r="AI1932" s="11">
        <v>79.421000000000006</v>
      </c>
      <c r="AJ1932" s="11">
        <v>78.981999999999999</v>
      </c>
      <c r="AK1932" s="11">
        <v>78.563000000000002</v>
      </c>
      <c r="AL1932" s="11"/>
    </row>
    <row r="1933" spans="1:38" x14ac:dyDescent="0.3">
      <c r="A1933" s="9">
        <f>DATE(2024, 6, 24)</f>
        <v>45467</v>
      </c>
      <c r="B1933" s="10">
        <v>86.01</v>
      </c>
      <c r="C1933" s="10">
        <v>85.15</v>
      </c>
      <c r="D1933" s="10">
        <v>84.41</v>
      </c>
      <c r="E1933" s="10">
        <v>83.77</v>
      </c>
      <c r="F1933" s="10">
        <v>83.18</v>
      </c>
      <c r="G1933" s="10">
        <v>82.62</v>
      </c>
      <c r="H1933" s="10">
        <v>82.1</v>
      </c>
      <c r="I1933" s="10">
        <v>81.599999999999994</v>
      </c>
      <c r="J1933" s="10">
        <v>81.14</v>
      </c>
      <c r="K1933" s="10">
        <v>80.72</v>
      </c>
      <c r="L1933" s="10">
        <v>80.319999999999993</v>
      </c>
      <c r="M1933" s="10">
        <v>79.94</v>
      </c>
      <c r="N1933" s="10">
        <v>81.63</v>
      </c>
      <c r="O1933" s="10">
        <v>80.86</v>
      </c>
      <c r="P1933" s="10">
        <v>80.06</v>
      </c>
      <c r="Q1933" s="10">
        <v>79.290000000000006</v>
      </c>
      <c r="R1933" s="10">
        <v>78.58</v>
      </c>
      <c r="S1933" s="10">
        <v>77.94</v>
      </c>
      <c r="T1933" s="10">
        <v>77.36</v>
      </c>
      <c r="U1933" s="10">
        <v>76.819999999999993</v>
      </c>
      <c r="V1933" s="10">
        <v>76.31</v>
      </c>
      <c r="W1933" s="10">
        <v>75.84</v>
      </c>
      <c r="X1933" s="10">
        <v>75.39</v>
      </c>
      <c r="Y1933" s="10">
        <v>74.94</v>
      </c>
      <c r="Z1933" s="11">
        <v>82.635000000000005</v>
      </c>
      <c r="AA1933" s="11">
        <v>85.278000000000006</v>
      </c>
      <c r="AB1933" s="11">
        <v>84.543999999999997</v>
      </c>
      <c r="AC1933" s="11">
        <v>83.814999999999998</v>
      </c>
      <c r="AD1933" s="11">
        <v>83.119</v>
      </c>
      <c r="AE1933" s="11">
        <v>82.448999999999998</v>
      </c>
      <c r="AF1933" s="11">
        <v>81.786000000000001</v>
      </c>
      <c r="AG1933" s="11">
        <v>81.228999999999999</v>
      </c>
      <c r="AH1933" s="11">
        <v>80.728999999999999</v>
      </c>
      <c r="AI1933" s="11">
        <v>80.281000000000006</v>
      </c>
      <c r="AJ1933" s="11">
        <v>79.861999999999995</v>
      </c>
      <c r="AK1933" s="11">
        <v>79.472999999999999</v>
      </c>
      <c r="AL1933" s="11"/>
    </row>
    <row r="1934" spans="1:38" x14ac:dyDescent="0.3">
      <c r="A1934" s="9">
        <f>DATE(2024, 6, 25)</f>
        <v>45468</v>
      </c>
      <c r="B1934" s="10">
        <v>85.01</v>
      </c>
      <c r="C1934" s="10">
        <v>84.22</v>
      </c>
      <c r="D1934" s="10">
        <v>83.58</v>
      </c>
      <c r="E1934" s="10">
        <v>83</v>
      </c>
      <c r="F1934" s="10">
        <v>82.47</v>
      </c>
      <c r="G1934" s="10">
        <v>81.96</v>
      </c>
      <c r="H1934" s="10">
        <v>81.489999999999995</v>
      </c>
      <c r="I1934" s="10">
        <v>81.05</v>
      </c>
      <c r="J1934" s="10">
        <v>80.63</v>
      </c>
      <c r="K1934" s="10">
        <v>80.23</v>
      </c>
      <c r="L1934" s="10">
        <v>79.849999999999994</v>
      </c>
      <c r="M1934" s="10">
        <v>79.489999999999995</v>
      </c>
      <c r="N1934" s="10">
        <v>80.83</v>
      </c>
      <c r="O1934" s="10">
        <v>80.069999999999993</v>
      </c>
      <c r="P1934" s="10">
        <v>79.319999999999993</v>
      </c>
      <c r="Q1934" s="10">
        <v>78.63</v>
      </c>
      <c r="R1934" s="10">
        <v>77.989999999999995</v>
      </c>
      <c r="S1934" s="10">
        <v>77.41</v>
      </c>
      <c r="T1934" s="10">
        <v>76.87</v>
      </c>
      <c r="U1934" s="10">
        <v>76.38</v>
      </c>
      <c r="V1934" s="10">
        <v>75.91</v>
      </c>
      <c r="W1934" s="10">
        <v>75.459999999999994</v>
      </c>
      <c r="X1934" s="10">
        <v>75.040000000000006</v>
      </c>
      <c r="Y1934" s="10">
        <v>74.61</v>
      </c>
      <c r="Z1934" s="11">
        <v>82.483000000000004</v>
      </c>
      <c r="AA1934" s="11">
        <v>84.4</v>
      </c>
      <c r="AB1934" s="11">
        <v>83.744</v>
      </c>
      <c r="AC1934" s="11">
        <v>83.084000000000003</v>
      </c>
      <c r="AD1934" s="11">
        <v>82.453999999999994</v>
      </c>
      <c r="AE1934" s="11">
        <v>81.843000000000004</v>
      </c>
      <c r="AF1934" s="11">
        <v>81.248000000000005</v>
      </c>
      <c r="AG1934" s="11">
        <v>80.741</v>
      </c>
      <c r="AH1934" s="11">
        <v>80.28</v>
      </c>
      <c r="AI1934" s="11">
        <v>79.852000000000004</v>
      </c>
      <c r="AJ1934" s="11">
        <v>79.453000000000003</v>
      </c>
      <c r="AK1934" s="11">
        <v>79.073999999999998</v>
      </c>
      <c r="AL1934" s="11"/>
    </row>
    <row r="1935" spans="1:38" x14ac:dyDescent="0.3">
      <c r="A1935" s="9">
        <f>DATE(2024, 6, 26)</f>
        <v>45469</v>
      </c>
      <c r="B1935" s="10">
        <v>85.25</v>
      </c>
      <c r="C1935" s="10">
        <v>84.47</v>
      </c>
      <c r="D1935" s="10">
        <v>83.85</v>
      </c>
      <c r="E1935" s="10">
        <v>83.28</v>
      </c>
      <c r="F1935" s="10">
        <v>82.75</v>
      </c>
      <c r="G1935" s="10">
        <v>82.26</v>
      </c>
      <c r="H1935" s="10">
        <v>81.8</v>
      </c>
      <c r="I1935" s="10">
        <v>81.37</v>
      </c>
      <c r="J1935" s="10">
        <v>80.959999999999994</v>
      </c>
      <c r="K1935" s="10">
        <v>80.569999999999993</v>
      </c>
      <c r="L1935" s="10">
        <v>80.2</v>
      </c>
      <c r="M1935" s="10">
        <v>79.84</v>
      </c>
      <c r="N1935" s="10">
        <v>80.900000000000006</v>
      </c>
      <c r="O1935" s="10">
        <v>80.19</v>
      </c>
      <c r="P1935" s="10">
        <v>79.48</v>
      </c>
      <c r="Q1935" s="10">
        <v>78.83</v>
      </c>
      <c r="R1935" s="10">
        <v>78.239999999999995</v>
      </c>
      <c r="S1935" s="10">
        <v>77.69</v>
      </c>
      <c r="T1935" s="10">
        <v>77.17</v>
      </c>
      <c r="U1935" s="10">
        <v>76.69</v>
      </c>
      <c r="V1935" s="10">
        <v>76.23</v>
      </c>
      <c r="W1935" s="10">
        <v>75.8</v>
      </c>
      <c r="X1935" s="10">
        <v>75.38</v>
      </c>
      <c r="Y1935" s="10">
        <v>74.959999999999994</v>
      </c>
      <c r="Z1935" s="11">
        <v>82.472999999999999</v>
      </c>
      <c r="AA1935" s="11">
        <v>84.628</v>
      </c>
      <c r="AB1935" s="11">
        <v>84.019000000000005</v>
      </c>
      <c r="AC1935" s="11">
        <v>83.39</v>
      </c>
      <c r="AD1935" s="11">
        <v>82.763999999999996</v>
      </c>
      <c r="AE1935" s="11">
        <v>82.173000000000002</v>
      </c>
      <c r="AF1935" s="11">
        <v>81.588999999999999</v>
      </c>
      <c r="AG1935" s="11">
        <v>81.100999999999999</v>
      </c>
      <c r="AH1935" s="11">
        <v>80.650999999999996</v>
      </c>
      <c r="AI1935" s="11">
        <v>80.242000000000004</v>
      </c>
      <c r="AJ1935" s="11">
        <v>79.852999999999994</v>
      </c>
      <c r="AK1935" s="11">
        <v>79.474000000000004</v>
      </c>
      <c r="AL1935" s="11"/>
    </row>
    <row r="1936" spans="1:38" x14ac:dyDescent="0.3">
      <c r="A1936" s="9">
        <f>DATE(2024, 6, 27)</f>
        <v>45470</v>
      </c>
      <c r="B1936" s="10">
        <v>86.39</v>
      </c>
      <c r="C1936" s="10">
        <v>85.26</v>
      </c>
      <c r="D1936" s="10">
        <v>84.44</v>
      </c>
      <c r="E1936" s="10">
        <v>83.77</v>
      </c>
      <c r="F1936" s="10">
        <v>83.18</v>
      </c>
      <c r="G1936" s="10">
        <v>82.64</v>
      </c>
      <c r="H1936" s="10">
        <v>82.13</v>
      </c>
      <c r="I1936" s="10">
        <v>81.66</v>
      </c>
      <c r="J1936" s="10">
        <v>81.23</v>
      </c>
      <c r="K1936" s="10">
        <v>80.81</v>
      </c>
      <c r="L1936" s="10">
        <v>80.41</v>
      </c>
      <c r="M1936" s="10">
        <v>80.040000000000006</v>
      </c>
      <c r="N1936" s="10">
        <v>81.739999999999995</v>
      </c>
      <c r="O1936" s="10">
        <v>80.83</v>
      </c>
      <c r="P1936" s="10">
        <v>79.98</v>
      </c>
      <c r="Q1936" s="10">
        <v>79.25</v>
      </c>
      <c r="R1936" s="10">
        <v>78.599999999999994</v>
      </c>
      <c r="S1936" s="10">
        <v>78.010000000000005</v>
      </c>
      <c r="T1936" s="10">
        <v>77.45</v>
      </c>
      <c r="U1936" s="10">
        <v>76.930000000000007</v>
      </c>
      <c r="V1936" s="10">
        <v>76.44</v>
      </c>
      <c r="W1936" s="10">
        <v>75.97</v>
      </c>
      <c r="X1936" s="10">
        <v>75.52</v>
      </c>
      <c r="Y1936" s="10">
        <v>75.06</v>
      </c>
      <c r="Z1936" s="11">
        <v>82.528999999999996</v>
      </c>
      <c r="AA1936" s="11">
        <v>85.376000000000005</v>
      </c>
      <c r="AB1936" s="11">
        <v>84.685000000000002</v>
      </c>
      <c r="AC1936" s="11">
        <v>83.96</v>
      </c>
      <c r="AD1936" s="11">
        <v>83.254999999999995</v>
      </c>
      <c r="AE1936" s="11">
        <v>82.585999999999999</v>
      </c>
      <c r="AF1936" s="11">
        <v>81.956000000000003</v>
      </c>
      <c r="AG1936" s="11">
        <v>81.41</v>
      </c>
      <c r="AH1936" s="11">
        <v>80.938999999999993</v>
      </c>
      <c r="AI1936" s="11">
        <v>80.480999999999995</v>
      </c>
      <c r="AJ1936" s="11">
        <v>80.052000000000007</v>
      </c>
      <c r="AK1936" s="11">
        <v>79.662999999999997</v>
      </c>
      <c r="AL1936" s="11"/>
    </row>
    <row r="1937" spans="1:38" x14ac:dyDescent="0.3">
      <c r="A1937" s="9">
        <f>DATE(2024, 6, 28)</f>
        <v>45471</v>
      </c>
      <c r="B1937" s="10">
        <v>86.41</v>
      </c>
      <c r="C1937" s="10">
        <v>85</v>
      </c>
      <c r="D1937" s="10">
        <v>84.19</v>
      </c>
      <c r="E1937" s="10">
        <v>83.5</v>
      </c>
      <c r="F1937" s="10">
        <v>82.89</v>
      </c>
      <c r="G1937" s="10">
        <v>82.33</v>
      </c>
      <c r="H1937" s="10">
        <v>81.83</v>
      </c>
      <c r="I1937" s="10">
        <v>81.36</v>
      </c>
      <c r="J1937" s="10">
        <v>80.930000000000007</v>
      </c>
      <c r="K1937" s="10">
        <v>80.52</v>
      </c>
      <c r="L1937" s="10">
        <v>80.12</v>
      </c>
      <c r="M1937" s="10">
        <v>79.75</v>
      </c>
      <c r="N1937" s="10">
        <v>81.540000000000006</v>
      </c>
      <c r="O1937" s="10">
        <v>80.64</v>
      </c>
      <c r="P1937" s="10">
        <v>79.760000000000005</v>
      </c>
      <c r="Q1937" s="10">
        <v>79</v>
      </c>
      <c r="R1937" s="10">
        <v>78.34</v>
      </c>
      <c r="S1937" s="10">
        <v>77.739999999999995</v>
      </c>
      <c r="T1937" s="10">
        <v>77.17</v>
      </c>
      <c r="U1937" s="10">
        <v>76.650000000000006</v>
      </c>
      <c r="V1937" s="10">
        <v>76.150000000000006</v>
      </c>
      <c r="W1937" s="10">
        <v>75.7</v>
      </c>
      <c r="X1937" s="10">
        <v>75.260000000000005</v>
      </c>
      <c r="Y1937" s="10">
        <v>74.81</v>
      </c>
      <c r="Z1937" s="11">
        <v>82.549000000000007</v>
      </c>
      <c r="AA1937" s="11">
        <v>85.01</v>
      </c>
      <c r="AB1937" s="11">
        <v>84.379000000000005</v>
      </c>
      <c r="AC1937" s="11">
        <v>83.650999999999996</v>
      </c>
      <c r="AD1937" s="11">
        <v>82.950999999999993</v>
      </c>
      <c r="AE1937" s="11">
        <v>82.284999999999997</v>
      </c>
      <c r="AF1937" s="11">
        <v>81.655000000000001</v>
      </c>
      <c r="AG1937" s="11">
        <v>81.12</v>
      </c>
      <c r="AH1937" s="11">
        <v>80.650000000000006</v>
      </c>
      <c r="AI1937" s="11">
        <v>80.210999999999999</v>
      </c>
      <c r="AJ1937" s="11">
        <v>79.781999999999996</v>
      </c>
      <c r="AK1937" s="11">
        <v>79.393000000000001</v>
      </c>
      <c r="AL1937" s="11"/>
    </row>
    <row r="1938" spans="1:38" x14ac:dyDescent="0.3">
      <c r="A1938" s="9">
        <f>DATE(2024, 7, 1)</f>
        <v>45474</v>
      </c>
      <c r="B1938" s="10">
        <v>86.6</v>
      </c>
      <c r="C1938" s="10">
        <v>85.72</v>
      </c>
      <c r="D1938" s="10">
        <v>84.97</v>
      </c>
      <c r="E1938" s="10">
        <v>84.3</v>
      </c>
      <c r="F1938" s="10">
        <v>83.7</v>
      </c>
      <c r="G1938" s="10">
        <v>83.16</v>
      </c>
      <c r="H1938" s="10">
        <v>82.67</v>
      </c>
      <c r="I1938" s="10">
        <v>82.21</v>
      </c>
      <c r="J1938" s="10">
        <v>81.760000000000005</v>
      </c>
      <c r="K1938" s="10">
        <v>81.33</v>
      </c>
      <c r="L1938" s="10">
        <v>80.930000000000007</v>
      </c>
      <c r="M1938" s="10">
        <v>80.53</v>
      </c>
      <c r="N1938" s="10">
        <v>83.38</v>
      </c>
      <c r="O1938" s="10">
        <v>82.32</v>
      </c>
      <c r="P1938" s="10">
        <v>81.33</v>
      </c>
      <c r="Q1938" s="10">
        <v>80.48</v>
      </c>
      <c r="R1938" s="10">
        <v>79.75</v>
      </c>
      <c r="S1938" s="10">
        <v>79.09</v>
      </c>
      <c r="T1938" s="10">
        <v>78.489999999999995</v>
      </c>
      <c r="U1938" s="10">
        <v>77.930000000000007</v>
      </c>
      <c r="V1938" s="10">
        <v>77.400000000000006</v>
      </c>
      <c r="W1938" s="10">
        <v>76.91</v>
      </c>
      <c r="X1938" s="10">
        <v>76.45</v>
      </c>
      <c r="Y1938" s="10">
        <v>75.98</v>
      </c>
      <c r="Z1938" s="11">
        <v>82.549000000000007</v>
      </c>
      <c r="AA1938" s="11">
        <v>86.316999999999993</v>
      </c>
      <c r="AB1938" s="11">
        <v>85.777000000000001</v>
      </c>
      <c r="AC1938" s="11">
        <v>85.01</v>
      </c>
      <c r="AD1938" s="11">
        <v>84.272999999999996</v>
      </c>
      <c r="AE1938" s="11">
        <v>83.584000000000003</v>
      </c>
      <c r="AF1938" s="11">
        <v>82.933000000000007</v>
      </c>
      <c r="AG1938" s="11">
        <v>82.373999999999995</v>
      </c>
      <c r="AH1938" s="11">
        <v>81.882999999999996</v>
      </c>
      <c r="AI1938" s="11">
        <v>81.400000000000006</v>
      </c>
      <c r="AJ1938" s="11">
        <v>80.950999999999993</v>
      </c>
      <c r="AK1938" s="11">
        <v>80.512</v>
      </c>
      <c r="AL1938" s="11"/>
    </row>
    <row r="1939" spans="1:38" x14ac:dyDescent="0.3">
      <c r="A1939" s="9">
        <f>DATE(2024, 7, 2)</f>
        <v>45475</v>
      </c>
      <c r="B1939" s="10">
        <v>86.24</v>
      </c>
      <c r="C1939" s="10">
        <v>85.44</v>
      </c>
      <c r="D1939" s="10">
        <v>84.73</v>
      </c>
      <c r="E1939" s="10">
        <v>84.11</v>
      </c>
      <c r="F1939" s="10">
        <v>83.55</v>
      </c>
      <c r="G1939" s="10">
        <v>83.04</v>
      </c>
      <c r="H1939" s="10">
        <v>82.57</v>
      </c>
      <c r="I1939" s="10">
        <v>82.13</v>
      </c>
      <c r="J1939" s="10">
        <v>81.7</v>
      </c>
      <c r="K1939" s="10">
        <v>81.28</v>
      </c>
      <c r="L1939" s="10">
        <v>80.88</v>
      </c>
      <c r="M1939" s="10">
        <v>80.489999999999995</v>
      </c>
      <c r="N1939" s="10">
        <v>82.81</v>
      </c>
      <c r="O1939" s="10">
        <v>81.91</v>
      </c>
      <c r="P1939" s="10">
        <v>81.03</v>
      </c>
      <c r="Q1939" s="10">
        <v>80.25</v>
      </c>
      <c r="R1939" s="10">
        <v>79.56</v>
      </c>
      <c r="S1939" s="10">
        <v>78.94</v>
      </c>
      <c r="T1939" s="10">
        <v>78.36</v>
      </c>
      <c r="U1939" s="10">
        <v>77.84</v>
      </c>
      <c r="V1939" s="10">
        <v>77.33</v>
      </c>
      <c r="W1939" s="10">
        <v>76.86</v>
      </c>
      <c r="X1939" s="10">
        <v>76.41</v>
      </c>
      <c r="Y1939" s="10">
        <v>75.94</v>
      </c>
      <c r="Z1939" s="11">
        <v>86.141000000000005</v>
      </c>
      <c r="AA1939" s="11">
        <v>85.488</v>
      </c>
      <c r="AB1939" s="11">
        <v>84.728999999999999</v>
      </c>
      <c r="AC1939" s="11">
        <v>84.025999999999996</v>
      </c>
      <c r="AD1939" s="11">
        <v>83.381</v>
      </c>
      <c r="AE1939" s="11">
        <v>82.76</v>
      </c>
      <c r="AF1939" s="11">
        <v>82.23</v>
      </c>
      <c r="AG1939" s="11">
        <v>81.769000000000005</v>
      </c>
      <c r="AH1939" s="11">
        <v>81.319999999999993</v>
      </c>
      <c r="AI1939" s="11">
        <v>80.870999999999995</v>
      </c>
      <c r="AJ1939" s="11">
        <v>80.432000000000002</v>
      </c>
      <c r="AK1939" s="11">
        <v>80.010999999999996</v>
      </c>
      <c r="AL1939" s="11"/>
    </row>
    <row r="1940" spans="1:38" x14ac:dyDescent="0.3">
      <c r="A1940" s="9">
        <f>DATE(2024, 7, 3)</f>
        <v>45476</v>
      </c>
      <c r="B1940" s="10">
        <v>87.34</v>
      </c>
      <c r="C1940" s="10">
        <v>86.52</v>
      </c>
      <c r="D1940" s="10">
        <v>85.79</v>
      </c>
      <c r="E1940" s="10">
        <v>85.14</v>
      </c>
      <c r="F1940" s="10">
        <v>84.56</v>
      </c>
      <c r="G1940" s="10">
        <v>84.02</v>
      </c>
      <c r="H1940" s="10">
        <v>83.52</v>
      </c>
      <c r="I1940" s="10">
        <v>83.04</v>
      </c>
      <c r="J1940" s="10">
        <v>82.58</v>
      </c>
      <c r="K1940" s="10">
        <v>82.13</v>
      </c>
      <c r="L1940" s="10">
        <v>81.7</v>
      </c>
      <c r="M1940" s="10">
        <v>81.28</v>
      </c>
      <c r="N1940" s="10">
        <v>83.88</v>
      </c>
      <c r="O1940" s="10">
        <v>83.02</v>
      </c>
      <c r="P1940" s="10">
        <v>82.13</v>
      </c>
      <c r="Q1940" s="10">
        <v>81.319999999999993</v>
      </c>
      <c r="R1940" s="10">
        <v>80.59</v>
      </c>
      <c r="S1940" s="10">
        <v>79.930000000000007</v>
      </c>
      <c r="T1940" s="10">
        <v>79.31</v>
      </c>
      <c r="U1940" s="10">
        <v>78.75</v>
      </c>
      <c r="V1940" s="10">
        <v>78.22</v>
      </c>
      <c r="W1940" s="10">
        <v>77.72</v>
      </c>
      <c r="X1940" s="10">
        <v>77.23</v>
      </c>
      <c r="Y1940" s="10">
        <v>76.739999999999995</v>
      </c>
      <c r="Z1940" s="11">
        <v>87.194999999999993</v>
      </c>
      <c r="AA1940" s="11">
        <v>86.587000000000003</v>
      </c>
      <c r="AB1940" s="11">
        <v>85.79</v>
      </c>
      <c r="AC1940" s="11">
        <v>85.057000000000002</v>
      </c>
      <c r="AD1940" s="11">
        <v>84.406000000000006</v>
      </c>
      <c r="AE1940" s="11">
        <v>83.766999999999996</v>
      </c>
      <c r="AF1940" s="11">
        <v>83.203000000000003</v>
      </c>
      <c r="AG1940" s="11">
        <v>82.686999999999998</v>
      </c>
      <c r="AH1940" s="11">
        <v>82.198999999999998</v>
      </c>
      <c r="AI1940" s="11">
        <v>81.73</v>
      </c>
      <c r="AJ1940" s="11">
        <v>81.281000000000006</v>
      </c>
      <c r="AK1940" s="11">
        <v>80.84</v>
      </c>
      <c r="AL1940" s="11"/>
    </row>
    <row r="1941" spans="1:38" x14ac:dyDescent="0.3">
      <c r="A1941" s="9">
        <f>DATE(2024, 7, 4)</f>
        <v>45477</v>
      </c>
      <c r="B1941" s="10">
        <v>87.43</v>
      </c>
      <c r="C1941" s="10">
        <v>86.57</v>
      </c>
      <c r="D1941" s="10">
        <v>85.82</v>
      </c>
      <c r="E1941" s="10">
        <v>85.15</v>
      </c>
      <c r="F1941" s="10">
        <v>84.55</v>
      </c>
      <c r="G1941" s="10">
        <v>84</v>
      </c>
      <c r="H1941" s="10">
        <v>83.5</v>
      </c>
      <c r="I1941" s="10">
        <v>83.02</v>
      </c>
      <c r="J1941" s="10">
        <v>82.56</v>
      </c>
      <c r="K1941" s="10">
        <v>82.11</v>
      </c>
      <c r="L1941" s="10">
        <v>81.680000000000007</v>
      </c>
      <c r="M1941" s="10">
        <v>81.260000000000005</v>
      </c>
      <c r="N1941" s="10">
        <v>83.88</v>
      </c>
      <c r="O1941" s="10">
        <v>83.02</v>
      </c>
      <c r="P1941" s="10">
        <v>82.13</v>
      </c>
      <c r="Q1941" s="10">
        <v>81.319999999999993</v>
      </c>
      <c r="R1941" s="10">
        <v>80.59</v>
      </c>
      <c r="S1941" s="10">
        <v>79.930000000000007</v>
      </c>
      <c r="T1941" s="10">
        <v>79.31</v>
      </c>
      <c r="U1941" s="10">
        <v>78.75</v>
      </c>
      <c r="V1941" s="10">
        <v>78.22</v>
      </c>
      <c r="W1941" s="10">
        <v>77.72</v>
      </c>
      <c r="X1941" s="10">
        <v>77.23</v>
      </c>
      <c r="Y1941" s="10">
        <v>76.739999999999995</v>
      </c>
      <c r="Z1941" s="11">
        <v>87.203999999999994</v>
      </c>
      <c r="AA1941" s="11">
        <v>86.626000000000005</v>
      </c>
      <c r="AB1941" s="11">
        <v>85.822999999999993</v>
      </c>
      <c r="AC1941" s="11">
        <v>85.082999999999998</v>
      </c>
      <c r="AD1941" s="11">
        <v>84.412000000000006</v>
      </c>
      <c r="AE1941" s="11">
        <v>83.77</v>
      </c>
      <c r="AF1941" s="11">
        <v>83.197000000000003</v>
      </c>
      <c r="AG1941" s="11">
        <v>82.677000000000007</v>
      </c>
      <c r="AH1941" s="11">
        <v>82.188999999999993</v>
      </c>
      <c r="AI1941" s="11">
        <v>81.709999999999994</v>
      </c>
      <c r="AJ1941" s="11">
        <v>81.260999999999996</v>
      </c>
      <c r="AK1941" s="11">
        <v>80.819999999999993</v>
      </c>
      <c r="AL1941" s="11"/>
    </row>
    <row r="1942" spans="1:38" x14ac:dyDescent="0.3">
      <c r="A1942" s="9">
        <f>DATE(2024, 7, 5)</f>
        <v>45478</v>
      </c>
      <c r="B1942" s="10">
        <v>86.54</v>
      </c>
      <c r="C1942" s="10">
        <v>85.71</v>
      </c>
      <c r="D1942" s="10">
        <v>84.98</v>
      </c>
      <c r="E1942" s="10">
        <v>84.34</v>
      </c>
      <c r="F1942" s="10">
        <v>83.76</v>
      </c>
      <c r="G1942" s="10">
        <v>83.23</v>
      </c>
      <c r="H1942" s="10">
        <v>82.74</v>
      </c>
      <c r="I1942" s="10">
        <v>82.27</v>
      </c>
      <c r="J1942" s="10">
        <v>81.819999999999993</v>
      </c>
      <c r="K1942" s="10">
        <v>81.39</v>
      </c>
      <c r="L1942" s="10">
        <v>80.98</v>
      </c>
      <c r="M1942" s="10">
        <v>80.58</v>
      </c>
      <c r="N1942" s="10">
        <v>83.16</v>
      </c>
      <c r="O1942" s="10">
        <v>82.26</v>
      </c>
      <c r="P1942" s="10">
        <v>81.37</v>
      </c>
      <c r="Q1942" s="10">
        <v>80.56</v>
      </c>
      <c r="R1942" s="10">
        <v>79.819999999999993</v>
      </c>
      <c r="S1942" s="10">
        <v>79.17</v>
      </c>
      <c r="T1942" s="10">
        <v>78.569999999999993</v>
      </c>
      <c r="U1942" s="10">
        <v>78.03</v>
      </c>
      <c r="V1942" s="10">
        <v>77.510000000000005</v>
      </c>
      <c r="W1942" s="10">
        <v>77.03</v>
      </c>
      <c r="X1942" s="10">
        <v>76.569999999999993</v>
      </c>
      <c r="Y1942" s="10">
        <v>76.09</v>
      </c>
      <c r="Z1942" s="11">
        <v>86.606999999999999</v>
      </c>
      <c r="AA1942" s="11">
        <v>85.766000000000005</v>
      </c>
      <c r="AB1942" s="11">
        <v>84.944999999999993</v>
      </c>
      <c r="AC1942" s="11">
        <v>84.207999999999998</v>
      </c>
      <c r="AD1942" s="11">
        <v>83.56</v>
      </c>
      <c r="AE1942" s="11">
        <v>82.938000000000002</v>
      </c>
      <c r="AF1942" s="11">
        <v>82.399000000000001</v>
      </c>
      <c r="AG1942" s="11">
        <v>81.908000000000001</v>
      </c>
      <c r="AH1942" s="11">
        <v>81.44</v>
      </c>
      <c r="AI1942" s="11">
        <v>80.989999999999995</v>
      </c>
      <c r="AJ1942" s="11">
        <v>80.572000000000003</v>
      </c>
      <c r="AK1942" s="11">
        <v>80.150000000000006</v>
      </c>
      <c r="AL1942" s="11"/>
    </row>
    <row r="1943" spans="1:38" x14ac:dyDescent="0.3">
      <c r="A1943" s="9">
        <f>DATE(2024, 7, 8)</f>
        <v>45481</v>
      </c>
      <c r="B1943" s="10">
        <v>85.75</v>
      </c>
      <c r="C1943" s="10">
        <v>84.99</v>
      </c>
      <c r="D1943" s="10">
        <v>84.3</v>
      </c>
      <c r="E1943" s="10">
        <v>83.7</v>
      </c>
      <c r="F1943" s="10">
        <v>83.17</v>
      </c>
      <c r="G1943" s="10">
        <v>82.68</v>
      </c>
      <c r="H1943" s="10">
        <v>82.23</v>
      </c>
      <c r="I1943" s="10">
        <v>81.81</v>
      </c>
      <c r="J1943" s="10">
        <v>81.400000000000006</v>
      </c>
      <c r="K1943" s="10">
        <v>81</v>
      </c>
      <c r="L1943" s="10">
        <v>80.62</v>
      </c>
      <c r="M1943" s="10">
        <v>80.239999999999995</v>
      </c>
      <c r="N1943" s="10">
        <v>82.33</v>
      </c>
      <c r="O1943" s="10">
        <v>81.52</v>
      </c>
      <c r="P1943" s="10">
        <v>80.69</v>
      </c>
      <c r="Q1943" s="10">
        <v>79.95</v>
      </c>
      <c r="R1943" s="10">
        <v>79.28</v>
      </c>
      <c r="S1943" s="10">
        <v>78.67</v>
      </c>
      <c r="T1943" s="10">
        <v>78.12</v>
      </c>
      <c r="U1943" s="10">
        <v>77.61</v>
      </c>
      <c r="V1943" s="10">
        <v>77.13</v>
      </c>
      <c r="W1943" s="10">
        <v>76.680000000000007</v>
      </c>
      <c r="X1943" s="10">
        <v>76.239999999999995</v>
      </c>
      <c r="Y1943" s="10">
        <v>75.790000000000006</v>
      </c>
      <c r="Z1943" s="11">
        <v>85.974999999999994</v>
      </c>
      <c r="AA1943" s="11">
        <v>85.033000000000001</v>
      </c>
      <c r="AB1943" s="11">
        <v>84.251000000000005</v>
      </c>
      <c r="AC1943" s="11">
        <v>83.561000000000007</v>
      </c>
      <c r="AD1943" s="11">
        <v>82.950999999999993</v>
      </c>
      <c r="AE1943" s="11">
        <v>82.370999999999995</v>
      </c>
      <c r="AF1943" s="11">
        <v>81.870999999999995</v>
      </c>
      <c r="AG1943" s="11">
        <v>81.42</v>
      </c>
      <c r="AH1943" s="11">
        <v>80.991</v>
      </c>
      <c r="AI1943" s="11">
        <v>80.581999999999994</v>
      </c>
      <c r="AJ1943" s="11">
        <v>80.183000000000007</v>
      </c>
      <c r="AK1943" s="11">
        <v>79.792000000000002</v>
      </c>
      <c r="AL1943" s="11"/>
    </row>
    <row r="1944" spans="1:38" x14ac:dyDescent="0.3">
      <c r="A1944" s="9">
        <f>DATE(2024, 7, 9)</f>
        <v>45482</v>
      </c>
      <c r="B1944" s="10">
        <v>84.66</v>
      </c>
      <c r="C1944" s="10">
        <v>83.89</v>
      </c>
      <c r="D1944" s="10">
        <v>83.2</v>
      </c>
      <c r="E1944" s="10">
        <v>82.59</v>
      </c>
      <c r="F1944" s="10">
        <v>82.07</v>
      </c>
      <c r="G1944" s="10">
        <v>81.599999999999994</v>
      </c>
      <c r="H1944" s="10">
        <v>81.17</v>
      </c>
      <c r="I1944" s="10">
        <v>80.77</v>
      </c>
      <c r="J1944" s="10">
        <v>80.38</v>
      </c>
      <c r="K1944" s="10">
        <v>80</v>
      </c>
      <c r="L1944" s="10">
        <v>79.64</v>
      </c>
      <c r="M1944" s="10">
        <v>79.28</v>
      </c>
      <c r="N1944" s="10">
        <v>81.41</v>
      </c>
      <c r="O1944" s="10">
        <v>80.56</v>
      </c>
      <c r="P1944" s="10">
        <v>79.709999999999994</v>
      </c>
      <c r="Q1944" s="10">
        <v>78.94</v>
      </c>
      <c r="R1944" s="10">
        <v>78.25</v>
      </c>
      <c r="S1944" s="10">
        <v>77.650000000000006</v>
      </c>
      <c r="T1944" s="10">
        <v>77.11</v>
      </c>
      <c r="U1944" s="10">
        <v>76.63</v>
      </c>
      <c r="V1944" s="10">
        <v>76.17</v>
      </c>
      <c r="W1944" s="10">
        <v>75.739999999999995</v>
      </c>
      <c r="X1944" s="10">
        <v>75.319999999999993</v>
      </c>
      <c r="Y1944" s="10">
        <v>74.89</v>
      </c>
      <c r="Z1944" s="11">
        <v>85.200999999999993</v>
      </c>
      <c r="AA1944" s="11">
        <v>83.908000000000001</v>
      </c>
      <c r="AB1944" s="11">
        <v>83.150999999999996</v>
      </c>
      <c r="AC1944" s="11">
        <v>82.466999999999999</v>
      </c>
      <c r="AD1944" s="11">
        <v>81.86</v>
      </c>
      <c r="AE1944" s="11">
        <v>81.301000000000002</v>
      </c>
      <c r="AF1944" s="11">
        <v>80.811999999999998</v>
      </c>
      <c r="AG1944" s="11">
        <v>80.370999999999995</v>
      </c>
      <c r="AH1944" s="11">
        <v>79.941999999999993</v>
      </c>
      <c r="AI1944" s="11">
        <v>79.533000000000001</v>
      </c>
      <c r="AJ1944" s="11">
        <v>79.153999999999996</v>
      </c>
      <c r="AK1944" s="11">
        <v>78.772000000000006</v>
      </c>
      <c r="AL1944" s="11"/>
    </row>
    <row r="1945" spans="1:38" x14ac:dyDescent="0.3">
      <c r="A1945" s="9">
        <f>DATE(2024, 7, 10)</f>
        <v>45483</v>
      </c>
      <c r="B1945" s="10">
        <v>85.08</v>
      </c>
      <c r="C1945" s="10">
        <v>84.2</v>
      </c>
      <c r="D1945" s="10">
        <v>83.41</v>
      </c>
      <c r="E1945" s="10">
        <v>82.73</v>
      </c>
      <c r="F1945" s="10">
        <v>82.15</v>
      </c>
      <c r="G1945" s="10">
        <v>81.650000000000006</v>
      </c>
      <c r="H1945" s="10">
        <v>81.2</v>
      </c>
      <c r="I1945" s="10">
        <v>80.78</v>
      </c>
      <c r="J1945" s="10">
        <v>80.37</v>
      </c>
      <c r="K1945" s="10">
        <v>79.97</v>
      </c>
      <c r="L1945" s="10">
        <v>79.599999999999994</v>
      </c>
      <c r="M1945" s="10">
        <v>79.23</v>
      </c>
      <c r="N1945" s="10">
        <v>82.1</v>
      </c>
      <c r="O1945" s="10">
        <v>81.069999999999993</v>
      </c>
      <c r="P1945" s="10">
        <v>80.069999999999993</v>
      </c>
      <c r="Q1945" s="10">
        <v>79.209999999999994</v>
      </c>
      <c r="R1945" s="10">
        <v>78.45</v>
      </c>
      <c r="S1945" s="10">
        <v>77.78</v>
      </c>
      <c r="T1945" s="10">
        <v>77.2</v>
      </c>
      <c r="U1945" s="10">
        <v>76.680000000000007</v>
      </c>
      <c r="V1945" s="10">
        <v>76.2</v>
      </c>
      <c r="W1945" s="10">
        <v>75.760000000000005</v>
      </c>
      <c r="X1945" s="10">
        <v>75.33</v>
      </c>
      <c r="Y1945" s="10">
        <v>74.88</v>
      </c>
      <c r="Z1945" s="11">
        <v>85.352999999999994</v>
      </c>
      <c r="AA1945" s="11">
        <v>84.114000000000004</v>
      </c>
      <c r="AB1945" s="11">
        <v>83.314999999999998</v>
      </c>
      <c r="AC1945" s="11">
        <v>82.594999999999999</v>
      </c>
      <c r="AD1945" s="11">
        <v>81.965999999999994</v>
      </c>
      <c r="AE1945" s="11">
        <v>81.382000000000005</v>
      </c>
      <c r="AF1945" s="11">
        <v>80.876000000000005</v>
      </c>
      <c r="AG1945" s="11">
        <v>80.42</v>
      </c>
      <c r="AH1945" s="11">
        <v>79.971000000000004</v>
      </c>
      <c r="AI1945" s="11">
        <v>79.542000000000002</v>
      </c>
      <c r="AJ1945" s="11">
        <v>79.143000000000001</v>
      </c>
      <c r="AK1945" s="11">
        <v>78.751999999999995</v>
      </c>
      <c r="AL1945" s="11"/>
    </row>
    <row r="1946" spans="1:38" x14ac:dyDescent="0.3">
      <c r="A1946" s="9">
        <f>DATE(2024, 7, 11)</f>
        <v>45484</v>
      </c>
      <c r="B1946" s="10">
        <v>85.4</v>
      </c>
      <c r="C1946" s="10">
        <v>84.42</v>
      </c>
      <c r="D1946" s="10">
        <v>83.59</v>
      </c>
      <c r="E1946" s="10">
        <v>82.88</v>
      </c>
      <c r="F1946" s="10">
        <v>82.28</v>
      </c>
      <c r="G1946" s="10">
        <v>81.760000000000005</v>
      </c>
      <c r="H1946" s="10">
        <v>81.290000000000006</v>
      </c>
      <c r="I1946" s="10">
        <v>80.86</v>
      </c>
      <c r="J1946" s="10">
        <v>80.44</v>
      </c>
      <c r="K1946" s="10">
        <v>80.040000000000006</v>
      </c>
      <c r="L1946" s="10">
        <v>79.650000000000006</v>
      </c>
      <c r="M1946" s="10">
        <v>79.27</v>
      </c>
      <c r="N1946" s="10">
        <v>82.62</v>
      </c>
      <c r="O1946" s="10">
        <v>81.38</v>
      </c>
      <c r="P1946" s="10">
        <v>80.260000000000005</v>
      </c>
      <c r="Q1946" s="10">
        <v>79.37</v>
      </c>
      <c r="R1946" s="10">
        <v>78.61</v>
      </c>
      <c r="S1946" s="10">
        <v>77.94</v>
      </c>
      <c r="T1946" s="10">
        <v>77.33</v>
      </c>
      <c r="U1946" s="10">
        <v>76.790000000000006</v>
      </c>
      <c r="V1946" s="10">
        <v>76.28</v>
      </c>
      <c r="W1946" s="10">
        <v>75.819999999999993</v>
      </c>
      <c r="X1946" s="10">
        <v>75.38</v>
      </c>
      <c r="Y1946" s="10">
        <v>74.92</v>
      </c>
      <c r="Z1946" s="11">
        <v>85.497</v>
      </c>
      <c r="AA1946" s="11">
        <v>84.257000000000005</v>
      </c>
      <c r="AB1946" s="11">
        <v>83.433000000000007</v>
      </c>
      <c r="AC1946" s="11">
        <v>82.688999999999993</v>
      </c>
      <c r="AD1946" s="11">
        <v>82.04</v>
      </c>
      <c r="AE1946" s="11">
        <v>81.444999999999993</v>
      </c>
      <c r="AF1946" s="11">
        <v>80.935000000000002</v>
      </c>
      <c r="AG1946" s="11">
        <v>80.478999999999999</v>
      </c>
      <c r="AH1946" s="11">
        <v>80.031000000000006</v>
      </c>
      <c r="AI1946" s="11">
        <v>79.611000000000004</v>
      </c>
      <c r="AJ1946" s="11">
        <v>79.212999999999994</v>
      </c>
      <c r="AK1946" s="11">
        <v>78.822000000000003</v>
      </c>
      <c r="AL1946" s="11"/>
    </row>
    <row r="1947" spans="1:38" x14ac:dyDescent="0.3">
      <c r="A1947" s="9">
        <f>DATE(2024, 7, 12)</f>
        <v>45485</v>
      </c>
      <c r="B1947" s="10">
        <v>85.03</v>
      </c>
      <c r="C1947" s="10">
        <v>84.1</v>
      </c>
      <c r="D1947" s="10">
        <v>83.32</v>
      </c>
      <c r="E1947" s="10">
        <v>82.66</v>
      </c>
      <c r="F1947" s="10">
        <v>82.1</v>
      </c>
      <c r="G1947" s="10">
        <v>81.599999999999994</v>
      </c>
      <c r="H1947" s="10">
        <v>81.14</v>
      </c>
      <c r="I1947" s="10">
        <v>80.709999999999994</v>
      </c>
      <c r="J1947" s="10">
        <v>80.290000000000006</v>
      </c>
      <c r="K1947" s="10">
        <v>79.89</v>
      </c>
      <c r="L1947" s="10">
        <v>79.510000000000005</v>
      </c>
      <c r="M1947" s="10">
        <v>79.14</v>
      </c>
      <c r="N1947" s="10">
        <v>82.21</v>
      </c>
      <c r="O1947" s="10">
        <v>81.02</v>
      </c>
      <c r="P1947" s="10">
        <v>79.959999999999994</v>
      </c>
      <c r="Q1947" s="10">
        <v>79.099999999999994</v>
      </c>
      <c r="R1947" s="10">
        <v>78.400000000000006</v>
      </c>
      <c r="S1947" s="10">
        <v>77.78</v>
      </c>
      <c r="T1947" s="10">
        <v>77.2</v>
      </c>
      <c r="U1947" s="10">
        <v>76.66</v>
      </c>
      <c r="V1947" s="10">
        <v>76.17</v>
      </c>
      <c r="W1947" s="10">
        <v>75.709999999999994</v>
      </c>
      <c r="X1947" s="10">
        <v>75.28</v>
      </c>
      <c r="Y1947" s="10">
        <v>74.83</v>
      </c>
      <c r="Z1947" s="11">
        <v>85.239000000000004</v>
      </c>
      <c r="AA1947" s="11">
        <v>83.784999999999997</v>
      </c>
      <c r="AB1947" s="11">
        <v>83.019000000000005</v>
      </c>
      <c r="AC1947" s="11">
        <v>82.317999999999998</v>
      </c>
      <c r="AD1947" s="11">
        <v>81.701999999999998</v>
      </c>
      <c r="AE1947" s="11">
        <v>81.120999999999995</v>
      </c>
      <c r="AF1947" s="11">
        <v>80.64</v>
      </c>
      <c r="AG1947" s="11">
        <v>80.209000000000003</v>
      </c>
      <c r="AH1947" s="11">
        <v>79.790999999999997</v>
      </c>
      <c r="AI1947" s="11">
        <v>79.402000000000001</v>
      </c>
      <c r="AJ1947" s="11">
        <v>79.022999999999996</v>
      </c>
      <c r="AK1947" s="11">
        <v>78.641999999999996</v>
      </c>
      <c r="AL1947" s="11"/>
    </row>
    <row r="1948" spans="1:38" x14ac:dyDescent="0.3">
      <c r="A1948" s="9">
        <f>DATE(2024, 7, 15)</f>
        <v>45488</v>
      </c>
      <c r="B1948" s="10">
        <v>84.85</v>
      </c>
      <c r="C1948" s="10">
        <v>83.9</v>
      </c>
      <c r="D1948" s="10">
        <v>83.1</v>
      </c>
      <c r="E1948" s="10">
        <v>82.42</v>
      </c>
      <c r="F1948" s="10">
        <v>81.86</v>
      </c>
      <c r="G1948" s="10">
        <v>81.38</v>
      </c>
      <c r="H1948" s="10">
        <v>80.930000000000007</v>
      </c>
      <c r="I1948" s="10">
        <v>80.510000000000005</v>
      </c>
      <c r="J1948" s="10">
        <v>80.099999999999994</v>
      </c>
      <c r="K1948" s="10">
        <v>79.709999999999994</v>
      </c>
      <c r="L1948" s="10">
        <v>79.33</v>
      </c>
      <c r="M1948" s="10">
        <v>78.959999999999994</v>
      </c>
      <c r="N1948" s="10">
        <v>81.91</v>
      </c>
      <c r="O1948" s="10">
        <v>80.84</v>
      </c>
      <c r="P1948" s="10">
        <v>79.77</v>
      </c>
      <c r="Q1948" s="10">
        <v>78.88</v>
      </c>
      <c r="R1948" s="10">
        <v>78.150000000000006</v>
      </c>
      <c r="S1948" s="10">
        <v>77.52</v>
      </c>
      <c r="T1948" s="10">
        <v>76.95</v>
      </c>
      <c r="U1948" s="10">
        <v>76.430000000000007</v>
      </c>
      <c r="V1948" s="10">
        <v>75.95</v>
      </c>
      <c r="W1948" s="10">
        <v>75.5</v>
      </c>
      <c r="X1948" s="10">
        <v>75.069999999999993</v>
      </c>
      <c r="Y1948" s="10">
        <v>74.63</v>
      </c>
      <c r="Z1948" s="11">
        <v>85.134</v>
      </c>
      <c r="AA1948" s="11">
        <v>83.504000000000005</v>
      </c>
      <c r="AB1948" s="11">
        <v>82.757999999999996</v>
      </c>
      <c r="AC1948" s="11">
        <v>82.075999999999993</v>
      </c>
      <c r="AD1948" s="11">
        <v>81.477000000000004</v>
      </c>
      <c r="AE1948" s="11">
        <v>80.917000000000002</v>
      </c>
      <c r="AF1948" s="11">
        <v>80.441000000000003</v>
      </c>
      <c r="AG1948" s="11">
        <v>80.010000000000005</v>
      </c>
      <c r="AH1948" s="11">
        <v>79.590999999999994</v>
      </c>
      <c r="AI1948" s="11">
        <v>79.201999999999998</v>
      </c>
      <c r="AJ1948" s="11">
        <v>78.822999999999993</v>
      </c>
      <c r="AK1948" s="11">
        <v>78.451999999999998</v>
      </c>
      <c r="AL1948" s="11"/>
    </row>
    <row r="1949" spans="1:38" x14ac:dyDescent="0.3">
      <c r="A1949" s="9">
        <f>DATE(2024, 7, 16)</f>
        <v>45489</v>
      </c>
      <c r="B1949" s="10">
        <v>83.73</v>
      </c>
      <c r="C1949" s="10">
        <v>82.8</v>
      </c>
      <c r="D1949" s="10">
        <v>82.02</v>
      </c>
      <c r="E1949" s="10">
        <v>81.38</v>
      </c>
      <c r="F1949" s="10">
        <v>80.849999999999994</v>
      </c>
      <c r="G1949" s="10">
        <v>80.38</v>
      </c>
      <c r="H1949" s="10">
        <v>79.95</v>
      </c>
      <c r="I1949" s="10">
        <v>79.540000000000006</v>
      </c>
      <c r="J1949" s="10">
        <v>79.150000000000006</v>
      </c>
      <c r="K1949" s="10">
        <v>78.77</v>
      </c>
      <c r="L1949" s="10">
        <v>78.41</v>
      </c>
      <c r="M1949" s="10">
        <v>78.06</v>
      </c>
      <c r="N1949" s="10">
        <v>80.760000000000005</v>
      </c>
      <c r="O1949" s="10">
        <v>79.709999999999994</v>
      </c>
      <c r="P1949" s="10">
        <v>78.67</v>
      </c>
      <c r="Q1949" s="10">
        <v>77.81</v>
      </c>
      <c r="R1949" s="10">
        <v>77.11</v>
      </c>
      <c r="S1949" s="10">
        <v>76.5</v>
      </c>
      <c r="T1949" s="10">
        <v>75.95</v>
      </c>
      <c r="U1949" s="10">
        <v>75.459999999999994</v>
      </c>
      <c r="V1949" s="10">
        <v>75</v>
      </c>
      <c r="W1949" s="10">
        <v>74.569999999999993</v>
      </c>
      <c r="X1949" s="10">
        <v>74.16</v>
      </c>
      <c r="Y1949" s="10">
        <v>73.73</v>
      </c>
      <c r="Z1949" s="11">
        <v>84.623999999999995</v>
      </c>
      <c r="AA1949" s="11">
        <v>82.522000000000006</v>
      </c>
      <c r="AB1949" s="11">
        <v>81.765000000000001</v>
      </c>
      <c r="AC1949" s="11">
        <v>81.081999999999994</v>
      </c>
      <c r="AD1949" s="11">
        <v>80.495000000000005</v>
      </c>
      <c r="AE1949" s="11">
        <v>79.945999999999998</v>
      </c>
      <c r="AF1949" s="11">
        <v>79.495999999999995</v>
      </c>
      <c r="AG1949" s="11">
        <v>79.100999999999999</v>
      </c>
      <c r="AH1949" s="11">
        <v>78.712000000000003</v>
      </c>
      <c r="AI1949" s="11">
        <v>78.332999999999998</v>
      </c>
      <c r="AJ1949" s="11">
        <v>77.983999999999995</v>
      </c>
      <c r="AK1949" s="11">
        <v>77.632999999999996</v>
      </c>
      <c r="AL1949" s="11"/>
    </row>
    <row r="1950" spans="1:38" x14ac:dyDescent="0.3">
      <c r="A1950" s="9">
        <f>DATE(2024, 7, 17)</f>
        <v>45490</v>
      </c>
      <c r="B1950" s="10">
        <v>85.08</v>
      </c>
      <c r="C1950" s="10">
        <v>83.96</v>
      </c>
      <c r="D1950" s="10">
        <v>83.07</v>
      </c>
      <c r="E1950" s="10">
        <v>82.36</v>
      </c>
      <c r="F1950" s="10">
        <v>81.760000000000005</v>
      </c>
      <c r="G1950" s="10">
        <v>81.25</v>
      </c>
      <c r="H1950" s="10">
        <v>80.78</v>
      </c>
      <c r="I1950" s="10">
        <v>80.33</v>
      </c>
      <c r="J1950" s="10">
        <v>79.91</v>
      </c>
      <c r="K1950" s="10">
        <v>79.5</v>
      </c>
      <c r="L1950" s="10">
        <v>79.12</v>
      </c>
      <c r="M1950" s="10">
        <v>78.739999999999995</v>
      </c>
      <c r="N1950" s="10">
        <v>82.85</v>
      </c>
      <c r="O1950" s="10">
        <v>81.44</v>
      </c>
      <c r="P1950" s="10">
        <v>80.06</v>
      </c>
      <c r="Q1950" s="10">
        <v>79</v>
      </c>
      <c r="R1950" s="10">
        <v>78.16</v>
      </c>
      <c r="S1950" s="10">
        <v>77.459999999999994</v>
      </c>
      <c r="T1950" s="10">
        <v>76.849999999999994</v>
      </c>
      <c r="U1950" s="10">
        <v>76.3</v>
      </c>
      <c r="V1950" s="10">
        <v>75.8</v>
      </c>
      <c r="W1950" s="10">
        <v>75.34</v>
      </c>
      <c r="X1950" s="10">
        <v>74.91</v>
      </c>
      <c r="Y1950" s="10">
        <v>74.47</v>
      </c>
      <c r="Z1950" s="11">
        <v>85.123999999999995</v>
      </c>
      <c r="AA1950" s="11">
        <v>83.614999999999995</v>
      </c>
      <c r="AB1950" s="11">
        <v>82.820999999999998</v>
      </c>
      <c r="AC1950" s="11">
        <v>82.061000000000007</v>
      </c>
      <c r="AD1950" s="11">
        <v>81.400999999999996</v>
      </c>
      <c r="AE1950" s="11">
        <v>80.81</v>
      </c>
      <c r="AF1950" s="11">
        <v>80.314999999999998</v>
      </c>
      <c r="AG1950" s="11">
        <v>79.888999999999996</v>
      </c>
      <c r="AH1950" s="11">
        <v>79.48</v>
      </c>
      <c r="AI1950" s="11">
        <v>79.081999999999994</v>
      </c>
      <c r="AJ1950" s="11">
        <v>78.703000000000003</v>
      </c>
      <c r="AK1950" s="11">
        <v>78.322000000000003</v>
      </c>
      <c r="AL1950" s="11"/>
    </row>
    <row r="1951" spans="1:38" x14ac:dyDescent="0.3">
      <c r="A1951" s="9">
        <f>DATE(2024, 7, 18)</f>
        <v>45491</v>
      </c>
      <c r="B1951" s="10">
        <v>85.11</v>
      </c>
      <c r="C1951" s="10">
        <v>83.93</v>
      </c>
      <c r="D1951" s="10">
        <v>83.05</v>
      </c>
      <c r="E1951" s="10">
        <v>82.36</v>
      </c>
      <c r="F1951" s="10">
        <v>81.77</v>
      </c>
      <c r="G1951" s="10">
        <v>81.260000000000005</v>
      </c>
      <c r="H1951" s="10">
        <v>80.8</v>
      </c>
      <c r="I1951" s="10">
        <v>80.38</v>
      </c>
      <c r="J1951" s="10">
        <v>79.97</v>
      </c>
      <c r="K1951" s="10">
        <v>79.58</v>
      </c>
      <c r="L1951" s="10">
        <v>79.209999999999994</v>
      </c>
      <c r="M1951" s="10">
        <v>78.84</v>
      </c>
      <c r="N1951" s="10">
        <v>82.82</v>
      </c>
      <c r="O1951" s="10">
        <v>81.3</v>
      </c>
      <c r="P1951" s="10">
        <v>79.959999999999994</v>
      </c>
      <c r="Q1951" s="10">
        <v>78.95</v>
      </c>
      <c r="R1951" s="10">
        <v>78.11</v>
      </c>
      <c r="S1951" s="10">
        <v>77.42</v>
      </c>
      <c r="T1951" s="10">
        <v>76.819999999999993</v>
      </c>
      <c r="U1951" s="10">
        <v>76.28</v>
      </c>
      <c r="V1951" s="10">
        <v>75.8</v>
      </c>
      <c r="W1951" s="10">
        <v>75.36</v>
      </c>
      <c r="X1951" s="10">
        <v>74.930000000000007</v>
      </c>
      <c r="Y1951" s="10">
        <v>74.489999999999995</v>
      </c>
      <c r="Z1951" s="11">
        <v>85.111000000000004</v>
      </c>
      <c r="AA1951" s="11">
        <v>83.51</v>
      </c>
      <c r="AB1951" s="11">
        <v>82.703000000000003</v>
      </c>
      <c r="AC1951" s="11">
        <v>81.945999999999998</v>
      </c>
      <c r="AD1951" s="11">
        <v>81.284999999999997</v>
      </c>
      <c r="AE1951" s="11">
        <v>80.701999999999998</v>
      </c>
      <c r="AF1951" s="11">
        <v>80.215999999999994</v>
      </c>
      <c r="AG1951" s="11">
        <v>79.814999999999998</v>
      </c>
      <c r="AH1951" s="11">
        <v>79.426000000000002</v>
      </c>
      <c r="AI1951" s="11">
        <v>79.042000000000002</v>
      </c>
      <c r="AJ1951" s="11">
        <v>78.692999999999998</v>
      </c>
      <c r="AK1951" s="11">
        <v>78.341999999999999</v>
      </c>
      <c r="AL1951" s="11"/>
    </row>
    <row r="1952" spans="1:38" x14ac:dyDescent="0.3">
      <c r="A1952" s="9">
        <f>DATE(2024, 7, 19)</f>
        <v>45492</v>
      </c>
      <c r="B1952" s="10">
        <v>82.63</v>
      </c>
      <c r="C1952" s="10">
        <v>81.56</v>
      </c>
      <c r="D1952" s="10">
        <v>80.739999999999995</v>
      </c>
      <c r="E1952" s="10">
        <v>80.12</v>
      </c>
      <c r="F1952" s="10">
        <v>79.599999999999994</v>
      </c>
      <c r="G1952" s="10">
        <v>79.150000000000006</v>
      </c>
      <c r="H1952" s="10">
        <v>78.739999999999995</v>
      </c>
      <c r="I1952" s="10">
        <v>78.37</v>
      </c>
      <c r="J1952" s="10">
        <v>78</v>
      </c>
      <c r="K1952" s="10">
        <v>77.64</v>
      </c>
      <c r="L1952" s="10">
        <v>77.31</v>
      </c>
      <c r="M1952" s="10">
        <v>76.97</v>
      </c>
      <c r="N1952" s="10">
        <v>80.13</v>
      </c>
      <c r="O1952" s="10">
        <v>78.64</v>
      </c>
      <c r="P1952" s="10">
        <v>77.48</v>
      </c>
      <c r="Q1952" s="10">
        <v>76.599999999999994</v>
      </c>
      <c r="R1952" s="10">
        <v>75.86</v>
      </c>
      <c r="S1952" s="10">
        <v>75.23</v>
      </c>
      <c r="T1952" s="10">
        <v>74.709999999999994</v>
      </c>
      <c r="U1952" s="10">
        <v>74.23</v>
      </c>
      <c r="V1952" s="10">
        <v>73.790000000000006</v>
      </c>
      <c r="W1952" s="10">
        <v>73.41</v>
      </c>
      <c r="X1952" s="10">
        <v>73.02</v>
      </c>
      <c r="Y1952" s="10">
        <v>72.62</v>
      </c>
      <c r="Z1952" s="11">
        <v>84.286000000000001</v>
      </c>
      <c r="AA1952" s="11">
        <v>81.123000000000005</v>
      </c>
      <c r="AB1952" s="11">
        <v>80.378</v>
      </c>
      <c r="AC1952" s="11">
        <v>79.680999999999997</v>
      </c>
      <c r="AD1952" s="11">
        <v>79.088999999999999</v>
      </c>
      <c r="AE1952" s="11">
        <v>78.551000000000002</v>
      </c>
      <c r="AF1952" s="11">
        <v>78.108000000000004</v>
      </c>
      <c r="AG1952" s="11">
        <v>77.762</v>
      </c>
      <c r="AH1952" s="11">
        <v>77.423000000000002</v>
      </c>
      <c r="AI1952" s="11">
        <v>77.084000000000003</v>
      </c>
      <c r="AJ1952" s="11">
        <v>76.754999999999995</v>
      </c>
      <c r="AK1952" s="11">
        <v>76.424000000000007</v>
      </c>
      <c r="AL1952" s="11"/>
    </row>
    <row r="1953" spans="1:38" x14ac:dyDescent="0.3">
      <c r="A1953" s="9">
        <f>DATE(2024, 7, 22)</f>
        <v>45495</v>
      </c>
      <c r="B1953" s="10">
        <v>82.4</v>
      </c>
      <c r="C1953" s="10">
        <v>81.44</v>
      </c>
      <c r="D1953" s="10">
        <v>80.7</v>
      </c>
      <c r="E1953" s="10">
        <v>80.13</v>
      </c>
      <c r="F1953" s="10">
        <v>79.650000000000006</v>
      </c>
      <c r="G1953" s="10">
        <v>79.239999999999995</v>
      </c>
      <c r="H1953" s="10">
        <v>78.87</v>
      </c>
      <c r="I1953" s="10">
        <v>78.52</v>
      </c>
      <c r="J1953" s="10">
        <v>78.19</v>
      </c>
      <c r="K1953" s="10">
        <v>77.86</v>
      </c>
      <c r="L1953" s="10">
        <v>77.55</v>
      </c>
      <c r="M1953" s="10">
        <v>77.23</v>
      </c>
      <c r="N1953" s="10">
        <v>79.78</v>
      </c>
      <c r="O1953" s="10">
        <v>78.400000000000006</v>
      </c>
      <c r="P1953" s="10">
        <v>77.33</v>
      </c>
      <c r="Q1953" s="10">
        <v>76.5</v>
      </c>
      <c r="R1953" s="10">
        <v>75.8</v>
      </c>
      <c r="S1953" s="10">
        <v>75.23</v>
      </c>
      <c r="T1953" s="10">
        <v>74.73</v>
      </c>
      <c r="U1953" s="10">
        <v>74.3</v>
      </c>
      <c r="V1953" s="10">
        <v>73.89</v>
      </c>
      <c r="W1953" s="10">
        <v>73.52</v>
      </c>
      <c r="X1953" s="10">
        <v>73.16</v>
      </c>
      <c r="Y1953" s="10">
        <v>72.78</v>
      </c>
      <c r="Z1953" s="11">
        <v>84.25</v>
      </c>
      <c r="AA1953" s="11">
        <v>80.876000000000005</v>
      </c>
      <c r="AB1953" s="11">
        <v>80.233000000000004</v>
      </c>
      <c r="AC1953" s="11">
        <v>79.614000000000004</v>
      </c>
      <c r="AD1953" s="11">
        <v>79.075000000000003</v>
      </c>
      <c r="AE1953" s="11">
        <v>78.596000000000004</v>
      </c>
      <c r="AF1953" s="11">
        <v>78.194000000000003</v>
      </c>
      <c r="AG1953" s="11">
        <v>77.894000000000005</v>
      </c>
      <c r="AH1953" s="11">
        <v>77.614000000000004</v>
      </c>
      <c r="AI1953" s="11">
        <v>77.301000000000002</v>
      </c>
      <c r="AJ1953" s="11">
        <v>76.991</v>
      </c>
      <c r="AK1953" s="11">
        <v>76.680999999999997</v>
      </c>
      <c r="AL1953" s="11"/>
    </row>
    <row r="1954" spans="1:38" x14ac:dyDescent="0.3">
      <c r="A1954" s="9">
        <f>DATE(2024, 7, 23)</f>
        <v>45496</v>
      </c>
      <c r="B1954" s="10">
        <v>81.010000000000005</v>
      </c>
      <c r="C1954" s="10">
        <v>80.069999999999993</v>
      </c>
      <c r="D1954" s="10">
        <v>79.31</v>
      </c>
      <c r="E1954" s="10">
        <v>78.73</v>
      </c>
      <c r="F1954" s="10">
        <v>78.260000000000005</v>
      </c>
      <c r="G1954" s="10">
        <v>77.86</v>
      </c>
      <c r="H1954" s="10">
        <v>77.5</v>
      </c>
      <c r="I1954" s="10">
        <v>77.17</v>
      </c>
      <c r="J1954" s="10">
        <v>76.86</v>
      </c>
      <c r="K1954" s="10">
        <v>76.55</v>
      </c>
      <c r="L1954" s="10">
        <v>76.25</v>
      </c>
      <c r="M1954" s="10">
        <v>75.95</v>
      </c>
      <c r="N1954" s="10">
        <v>76.959999999999994</v>
      </c>
      <c r="O1954" s="10">
        <v>75.92</v>
      </c>
      <c r="P1954" s="10">
        <v>75.099999999999994</v>
      </c>
      <c r="Q1954" s="10">
        <v>74.41</v>
      </c>
      <c r="R1954" s="10">
        <v>73.849999999999994</v>
      </c>
      <c r="S1954" s="10">
        <v>73.39</v>
      </c>
      <c r="T1954" s="10">
        <v>72.98</v>
      </c>
      <c r="U1954" s="10">
        <v>72.599999999999994</v>
      </c>
      <c r="V1954" s="10">
        <v>72.239999999999995</v>
      </c>
      <c r="W1954" s="10">
        <v>71.89</v>
      </c>
      <c r="X1954" s="10">
        <v>71.53</v>
      </c>
      <c r="Y1954" s="10">
        <v>71.19</v>
      </c>
      <c r="Z1954" s="11">
        <v>83.798000000000002</v>
      </c>
      <c r="AA1954" s="11">
        <v>79.185000000000002</v>
      </c>
      <c r="AB1954" s="11">
        <v>78.685000000000002</v>
      </c>
      <c r="AC1954" s="11">
        <v>78.129000000000005</v>
      </c>
      <c r="AD1954" s="11">
        <v>77.608999999999995</v>
      </c>
      <c r="AE1954" s="11">
        <v>77.159000000000006</v>
      </c>
      <c r="AF1954" s="11">
        <v>76.784999999999997</v>
      </c>
      <c r="AG1954" s="11">
        <v>76.504999999999995</v>
      </c>
      <c r="AH1954" s="11">
        <v>76.234999999999999</v>
      </c>
      <c r="AI1954" s="11">
        <v>75.936000000000007</v>
      </c>
      <c r="AJ1954" s="11">
        <v>75.635999999999996</v>
      </c>
      <c r="AK1954" s="11">
        <v>75.335999999999999</v>
      </c>
      <c r="AL1954" s="11"/>
    </row>
    <row r="1955" spans="1:38" x14ac:dyDescent="0.3">
      <c r="A1955" s="9">
        <f>DATE(2024, 7, 24)</f>
        <v>45497</v>
      </c>
      <c r="B1955" s="10">
        <v>81.709999999999994</v>
      </c>
      <c r="C1955" s="10">
        <v>80.819999999999993</v>
      </c>
      <c r="D1955" s="10">
        <v>80.09</v>
      </c>
      <c r="E1955" s="10">
        <v>79.510000000000005</v>
      </c>
      <c r="F1955" s="10">
        <v>79.03</v>
      </c>
      <c r="G1955" s="10">
        <v>78.63</v>
      </c>
      <c r="H1955" s="10">
        <v>78.27</v>
      </c>
      <c r="I1955" s="10">
        <v>77.94</v>
      </c>
      <c r="J1955" s="10">
        <v>77.62</v>
      </c>
      <c r="K1955" s="10">
        <v>77.3</v>
      </c>
      <c r="L1955" s="10">
        <v>76.989999999999995</v>
      </c>
      <c r="M1955" s="10">
        <v>76.680000000000007</v>
      </c>
      <c r="N1955" s="10">
        <v>77.59</v>
      </c>
      <c r="O1955" s="10">
        <v>76.58</v>
      </c>
      <c r="P1955" s="10">
        <v>75.790000000000006</v>
      </c>
      <c r="Q1955" s="10">
        <v>75.12</v>
      </c>
      <c r="R1955" s="10">
        <v>74.56</v>
      </c>
      <c r="S1955" s="10">
        <v>74.09</v>
      </c>
      <c r="T1955" s="10">
        <v>73.680000000000007</v>
      </c>
      <c r="U1955" s="10">
        <v>73.290000000000006</v>
      </c>
      <c r="V1955" s="10">
        <v>72.930000000000007</v>
      </c>
      <c r="W1955" s="10">
        <v>72.58</v>
      </c>
      <c r="X1955" s="10">
        <v>72.19</v>
      </c>
      <c r="Y1955" s="10">
        <v>71.849999999999994</v>
      </c>
      <c r="Z1955" s="11">
        <v>83.994</v>
      </c>
      <c r="AA1955" s="11">
        <v>79.966999999999999</v>
      </c>
      <c r="AB1955" s="11">
        <v>79.531999999999996</v>
      </c>
      <c r="AC1955" s="11">
        <v>78.951999999999998</v>
      </c>
      <c r="AD1955" s="11">
        <v>78.417000000000002</v>
      </c>
      <c r="AE1955" s="11">
        <v>77.957999999999998</v>
      </c>
      <c r="AF1955" s="11">
        <v>77.584999999999994</v>
      </c>
      <c r="AG1955" s="11">
        <v>77.278999999999996</v>
      </c>
      <c r="AH1955" s="11">
        <v>76.989999999999995</v>
      </c>
      <c r="AI1955" s="11">
        <v>76.694999999999993</v>
      </c>
      <c r="AJ1955" s="11">
        <v>76.396000000000001</v>
      </c>
      <c r="AK1955" s="11">
        <v>76.094999999999999</v>
      </c>
      <c r="AL1955" s="11"/>
    </row>
    <row r="1956" spans="1:38" x14ac:dyDescent="0.3">
      <c r="A1956" s="9">
        <f>DATE(2024, 7, 25)</f>
        <v>45498</v>
      </c>
      <c r="B1956" s="10">
        <v>82.37</v>
      </c>
      <c r="C1956" s="10">
        <v>81.39</v>
      </c>
      <c r="D1956" s="10">
        <v>80.58</v>
      </c>
      <c r="E1956" s="10">
        <v>79.95</v>
      </c>
      <c r="F1956" s="10">
        <v>79.44</v>
      </c>
      <c r="G1956" s="10">
        <v>79.02</v>
      </c>
      <c r="H1956" s="10">
        <v>78.650000000000006</v>
      </c>
      <c r="I1956" s="10">
        <v>78.31</v>
      </c>
      <c r="J1956" s="10">
        <v>77.98</v>
      </c>
      <c r="K1956" s="10">
        <v>77.650000000000006</v>
      </c>
      <c r="L1956" s="10">
        <v>77.34</v>
      </c>
      <c r="M1956" s="10">
        <v>77.03</v>
      </c>
      <c r="N1956" s="10">
        <v>78.28</v>
      </c>
      <c r="O1956" s="10">
        <v>77.11</v>
      </c>
      <c r="P1956" s="10">
        <v>76.22</v>
      </c>
      <c r="Q1956" s="10">
        <v>75.510000000000005</v>
      </c>
      <c r="R1956" s="10">
        <v>74.930000000000007</v>
      </c>
      <c r="S1956" s="10">
        <v>74.430000000000007</v>
      </c>
      <c r="T1956" s="10">
        <v>74</v>
      </c>
      <c r="U1956" s="10">
        <v>73.61</v>
      </c>
      <c r="V1956" s="10">
        <v>73.239999999999995</v>
      </c>
      <c r="W1956" s="10">
        <v>72.89</v>
      </c>
      <c r="X1956" s="10">
        <v>72.540000000000006</v>
      </c>
      <c r="Y1956" s="10">
        <v>72.16</v>
      </c>
      <c r="Z1956" s="11">
        <v>84.088999999999999</v>
      </c>
      <c r="AA1956" s="11">
        <v>80.552999999999997</v>
      </c>
      <c r="AB1956" s="11">
        <v>80.125</v>
      </c>
      <c r="AC1956" s="11">
        <v>79.525999999999996</v>
      </c>
      <c r="AD1956" s="11">
        <v>78.959999999999994</v>
      </c>
      <c r="AE1956" s="11">
        <v>78.474999999999994</v>
      </c>
      <c r="AF1956" s="11">
        <v>78.055000000000007</v>
      </c>
      <c r="AG1956" s="11">
        <v>77.724000000000004</v>
      </c>
      <c r="AH1956" s="11">
        <v>77.403999999999996</v>
      </c>
      <c r="AI1956" s="11">
        <v>77.084999999999994</v>
      </c>
      <c r="AJ1956" s="11">
        <v>76.766000000000005</v>
      </c>
      <c r="AK1956" s="11">
        <v>76.444999999999993</v>
      </c>
      <c r="AL1956" s="11"/>
    </row>
    <row r="1957" spans="1:38" x14ac:dyDescent="0.3">
      <c r="A1957" s="9">
        <f>DATE(2024, 7, 26)</f>
        <v>45499</v>
      </c>
      <c r="B1957" s="10">
        <v>81.13</v>
      </c>
      <c r="C1957" s="10">
        <v>80.28</v>
      </c>
      <c r="D1957" s="10">
        <v>79.56</v>
      </c>
      <c r="E1957" s="10">
        <v>78.98</v>
      </c>
      <c r="F1957" s="10">
        <v>78.510000000000005</v>
      </c>
      <c r="G1957" s="10">
        <v>78.14</v>
      </c>
      <c r="H1957" s="10">
        <v>77.819999999999993</v>
      </c>
      <c r="I1957" s="10">
        <v>77.510000000000005</v>
      </c>
      <c r="J1957" s="10">
        <v>77.2</v>
      </c>
      <c r="K1957" s="10">
        <v>76.900000000000006</v>
      </c>
      <c r="L1957" s="10">
        <v>76.61</v>
      </c>
      <c r="M1957" s="10">
        <v>76.319999999999993</v>
      </c>
      <c r="N1957" s="10">
        <v>77.16</v>
      </c>
      <c r="O1957" s="10">
        <v>76</v>
      </c>
      <c r="P1957" s="10">
        <v>75.2</v>
      </c>
      <c r="Q1957" s="10">
        <v>74.569999999999993</v>
      </c>
      <c r="R1957" s="10">
        <v>74.06</v>
      </c>
      <c r="S1957" s="10">
        <v>73.64</v>
      </c>
      <c r="T1957" s="10">
        <v>73.260000000000005</v>
      </c>
      <c r="U1957" s="10">
        <v>72.900000000000006</v>
      </c>
      <c r="V1957" s="10">
        <v>72.56</v>
      </c>
      <c r="W1957" s="10">
        <v>72.22</v>
      </c>
      <c r="X1957" s="10">
        <v>71.87</v>
      </c>
      <c r="Y1957" s="10">
        <v>71.540000000000006</v>
      </c>
      <c r="Z1957" s="11">
        <v>83.912000000000006</v>
      </c>
      <c r="AA1957" s="11">
        <v>79.216999999999999</v>
      </c>
      <c r="AB1957" s="11">
        <v>79.001999999999995</v>
      </c>
      <c r="AC1957" s="11">
        <v>78.441999999999993</v>
      </c>
      <c r="AD1957" s="11">
        <v>77.930000000000007</v>
      </c>
      <c r="AE1957" s="11">
        <v>77.477999999999994</v>
      </c>
      <c r="AF1957" s="11">
        <v>77.126000000000005</v>
      </c>
      <c r="AG1957" s="11">
        <v>76.834999999999994</v>
      </c>
      <c r="AH1957" s="11">
        <v>76.546000000000006</v>
      </c>
      <c r="AI1957" s="11">
        <v>76.266000000000005</v>
      </c>
      <c r="AJ1957" s="11">
        <v>75.986999999999995</v>
      </c>
      <c r="AK1957" s="11">
        <v>75.704999999999998</v>
      </c>
      <c r="AL1957" s="11"/>
    </row>
    <row r="1958" spans="1:38" x14ac:dyDescent="0.3">
      <c r="A1958" s="9">
        <f>DATE(2024, 7, 29)</f>
        <v>45502</v>
      </c>
      <c r="B1958" s="10">
        <v>79.78</v>
      </c>
      <c r="C1958" s="10">
        <v>79.05</v>
      </c>
      <c r="D1958" s="10">
        <v>78.42</v>
      </c>
      <c r="E1958" s="10">
        <v>77.92</v>
      </c>
      <c r="F1958" s="10">
        <v>77.52</v>
      </c>
      <c r="G1958" s="10">
        <v>77.2</v>
      </c>
      <c r="H1958" s="10">
        <v>76.92</v>
      </c>
      <c r="I1958" s="10">
        <v>76.650000000000006</v>
      </c>
      <c r="J1958" s="10">
        <v>76.38</v>
      </c>
      <c r="K1958" s="10">
        <v>76.11</v>
      </c>
      <c r="L1958" s="10">
        <v>75.849999999999994</v>
      </c>
      <c r="M1958" s="10">
        <v>75.59</v>
      </c>
      <c r="N1958" s="10">
        <v>75.81</v>
      </c>
      <c r="O1958" s="10">
        <v>74.8</v>
      </c>
      <c r="P1958" s="10">
        <v>74.11</v>
      </c>
      <c r="Q1958" s="10">
        <v>73.56</v>
      </c>
      <c r="R1958" s="10">
        <v>73.13</v>
      </c>
      <c r="S1958" s="10">
        <v>72.75</v>
      </c>
      <c r="T1958" s="10">
        <v>72.42</v>
      </c>
      <c r="U1958" s="10">
        <v>72.099999999999994</v>
      </c>
      <c r="V1958" s="10">
        <v>71.8</v>
      </c>
      <c r="W1958" s="10">
        <v>71.489999999999995</v>
      </c>
      <c r="X1958" s="10">
        <v>71.180000000000007</v>
      </c>
      <c r="Y1958" s="10">
        <v>70.88</v>
      </c>
      <c r="Z1958" s="11">
        <v>83.796999999999997</v>
      </c>
      <c r="AA1958" s="11">
        <v>78.021000000000001</v>
      </c>
      <c r="AB1958" s="11">
        <v>77.796000000000006</v>
      </c>
      <c r="AC1958" s="11">
        <v>77.293000000000006</v>
      </c>
      <c r="AD1958" s="11">
        <v>76.84</v>
      </c>
      <c r="AE1958" s="11">
        <v>76.438000000000002</v>
      </c>
      <c r="AF1958" s="11">
        <v>76.123000000000005</v>
      </c>
      <c r="AG1958" s="11">
        <v>75.876999999999995</v>
      </c>
      <c r="AH1958" s="11">
        <v>75.647000000000006</v>
      </c>
      <c r="AI1958" s="11">
        <v>75.397999999999996</v>
      </c>
      <c r="AJ1958" s="11">
        <v>75.168000000000006</v>
      </c>
      <c r="AK1958" s="11">
        <v>74.927000000000007</v>
      </c>
      <c r="AL1958" s="11"/>
    </row>
    <row r="1959" spans="1:38" x14ac:dyDescent="0.3">
      <c r="A1959" s="9">
        <f>DATE(2024, 7, 30)</f>
        <v>45503</v>
      </c>
      <c r="B1959" s="10">
        <v>78.63</v>
      </c>
      <c r="C1959" s="10">
        <v>78.069999999999993</v>
      </c>
      <c r="D1959" s="10">
        <v>77.56</v>
      </c>
      <c r="E1959" s="10">
        <v>77.13</v>
      </c>
      <c r="F1959" s="10">
        <v>76.790000000000006</v>
      </c>
      <c r="G1959" s="10">
        <v>76.5</v>
      </c>
      <c r="H1959" s="10">
        <v>76.239999999999995</v>
      </c>
      <c r="I1959" s="10">
        <v>75.989999999999995</v>
      </c>
      <c r="J1959" s="10">
        <v>75.739999999999995</v>
      </c>
      <c r="K1959" s="10">
        <v>75.5</v>
      </c>
      <c r="L1959" s="10">
        <v>75.260000000000005</v>
      </c>
      <c r="M1959" s="10">
        <v>75.02</v>
      </c>
      <c r="N1959" s="10">
        <v>74.73</v>
      </c>
      <c r="O1959" s="10">
        <v>73.88</v>
      </c>
      <c r="P1959" s="10">
        <v>73.260000000000005</v>
      </c>
      <c r="Q1959" s="10">
        <v>72.77</v>
      </c>
      <c r="R1959" s="10">
        <v>72.36</v>
      </c>
      <c r="S1959" s="10">
        <v>72.02</v>
      </c>
      <c r="T1959" s="10">
        <v>71.709999999999994</v>
      </c>
      <c r="U1959" s="10">
        <v>71.430000000000007</v>
      </c>
      <c r="V1959" s="10">
        <v>71.16</v>
      </c>
      <c r="W1959" s="10">
        <v>70.900000000000006</v>
      </c>
      <c r="X1959" s="10">
        <v>70.61</v>
      </c>
      <c r="Y1959" s="10">
        <v>70.33</v>
      </c>
      <c r="Z1959" s="11">
        <v>83.766999999999996</v>
      </c>
      <c r="AA1959" s="11">
        <v>77.247</v>
      </c>
      <c r="AB1959" s="11">
        <v>77.061000000000007</v>
      </c>
      <c r="AC1959" s="11">
        <v>76.564999999999998</v>
      </c>
      <c r="AD1959" s="11">
        <v>76.156000000000006</v>
      </c>
      <c r="AE1959" s="11">
        <v>75.784999999999997</v>
      </c>
      <c r="AF1959" s="11">
        <v>75.486000000000004</v>
      </c>
      <c r="AG1959" s="11">
        <v>75.263000000000005</v>
      </c>
      <c r="AH1959" s="11">
        <v>75.040999999999997</v>
      </c>
      <c r="AI1959" s="11">
        <v>74.819000000000003</v>
      </c>
      <c r="AJ1959" s="11">
        <v>74.588999999999999</v>
      </c>
      <c r="AK1959" s="11">
        <v>74.358999999999995</v>
      </c>
      <c r="AL1959" s="11"/>
    </row>
    <row r="1960" spans="1:38" x14ac:dyDescent="0.3">
      <c r="A1960" s="9">
        <f>DATE(2024, 7, 31)</f>
        <v>45504</v>
      </c>
      <c r="B1960" s="10">
        <v>80.72</v>
      </c>
      <c r="C1960" s="10">
        <v>80.84</v>
      </c>
      <c r="D1960" s="10">
        <v>80.23</v>
      </c>
      <c r="E1960" s="10">
        <v>79.709999999999994</v>
      </c>
      <c r="F1960" s="10">
        <v>79.290000000000006</v>
      </c>
      <c r="G1960" s="10">
        <v>78.91</v>
      </c>
      <c r="H1960" s="10">
        <v>78.569999999999993</v>
      </c>
      <c r="I1960" s="10">
        <v>78.239999999999995</v>
      </c>
      <c r="J1960" s="10">
        <v>77.92</v>
      </c>
      <c r="K1960" s="10">
        <v>77.599999999999994</v>
      </c>
      <c r="L1960" s="10">
        <v>77.290000000000006</v>
      </c>
      <c r="M1960" s="10">
        <v>76.989999999999995</v>
      </c>
      <c r="N1960" s="10">
        <v>77.91</v>
      </c>
      <c r="O1960" s="10">
        <v>76.84</v>
      </c>
      <c r="P1960" s="10">
        <v>76.05</v>
      </c>
      <c r="Q1960" s="10">
        <v>75.42</v>
      </c>
      <c r="R1960" s="10">
        <v>74.900000000000006</v>
      </c>
      <c r="S1960" s="10">
        <v>74.45</v>
      </c>
      <c r="T1960" s="10">
        <v>74.06</v>
      </c>
      <c r="U1960" s="10">
        <v>73.69</v>
      </c>
      <c r="V1960" s="10">
        <v>73.33</v>
      </c>
      <c r="W1960" s="10">
        <v>72.98</v>
      </c>
      <c r="X1960" s="10">
        <v>72.62</v>
      </c>
      <c r="Y1960" s="10">
        <v>72.27</v>
      </c>
      <c r="Z1960" s="11">
        <v>83.83</v>
      </c>
      <c r="AA1960" s="11">
        <v>79.951999999999998</v>
      </c>
      <c r="AB1960" s="11">
        <v>79.724999999999994</v>
      </c>
      <c r="AC1960" s="11">
        <v>79.167000000000002</v>
      </c>
      <c r="AD1960" s="11">
        <v>78.688000000000002</v>
      </c>
      <c r="AE1960" s="11">
        <v>78.257999999999996</v>
      </c>
      <c r="AF1960" s="11">
        <v>77.900000000000006</v>
      </c>
      <c r="AG1960" s="11">
        <v>77.596999999999994</v>
      </c>
      <c r="AH1960" s="11">
        <v>77.295000000000002</v>
      </c>
      <c r="AI1960" s="11">
        <v>76.995000000000005</v>
      </c>
      <c r="AJ1960" s="11">
        <v>76.686000000000007</v>
      </c>
      <c r="AK1960" s="11">
        <v>76.375</v>
      </c>
      <c r="AL1960" s="11"/>
    </row>
    <row r="1961" spans="1:38" x14ac:dyDescent="0.3">
      <c r="A1961" s="9">
        <f>DATE(2024, 8, 1)</f>
        <v>45505</v>
      </c>
      <c r="B1961" s="10">
        <v>79.52</v>
      </c>
      <c r="C1961" s="10">
        <v>78.95</v>
      </c>
      <c r="D1961" s="10">
        <v>78.47</v>
      </c>
      <c r="E1961" s="10">
        <v>78.08</v>
      </c>
      <c r="F1961" s="10">
        <v>77.75</v>
      </c>
      <c r="G1961" s="10">
        <v>77.459999999999994</v>
      </c>
      <c r="H1961" s="10">
        <v>77.180000000000007</v>
      </c>
      <c r="I1961" s="10">
        <v>76.900000000000006</v>
      </c>
      <c r="J1961" s="10">
        <v>76.61</v>
      </c>
      <c r="K1961" s="10">
        <v>76.33</v>
      </c>
      <c r="L1961" s="10">
        <v>76.040000000000006</v>
      </c>
      <c r="M1961" s="10">
        <v>75.75</v>
      </c>
      <c r="N1961" s="10">
        <v>76.31</v>
      </c>
      <c r="O1961" s="10">
        <v>75.400000000000006</v>
      </c>
      <c r="P1961" s="10">
        <v>74.72</v>
      </c>
      <c r="Q1961" s="10">
        <v>74.14</v>
      </c>
      <c r="R1961" s="10">
        <v>73.69</v>
      </c>
      <c r="S1961" s="10">
        <v>73.319999999999993</v>
      </c>
      <c r="T1961" s="10">
        <v>72.98</v>
      </c>
      <c r="U1961" s="10">
        <v>72.66</v>
      </c>
      <c r="V1961" s="10">
        <v>72.34</v>
      </c>
      <c r="W1961" s="10">
        <v>72.02</v>
      </c>
      <c r="X1961" s="10">
        <v>71.69</v>
      </c>
      <c r="Y1961" s="10">
        <v>71.38</v>
      </c>
      <c r="Z1961" s="11">
        <v>83.83</v>
      </c>
      <c r="AA1961" s="11">
        <v>78.676000000000002</v>
      </c>
      <c r="AB1961" s="11">
        <v>78.453000000000003</v>
      </c>
      <c r="AC1961" s="11">
        <v>77.852999999999994</v>
      </c>
      <c r="AD1961" s="11">
        <v>77.403000000000006</v>
      </c>
      <c r="AE1961" s="11">
        <v>77.001999999999995</v>
      </c>
      <c r="AF1961" s="11">
        <v>76.686999999999998</v>
      </c>
      <c r="AG1961" s="11">
        <v>76.450999999999993</v>
      </c>
      <c r="AH1961" s="11">
        <v>76.22</v>
      </c>
      <c r="AI1961" s="11">
        <v>75.956999999999994</v>
      </c>
      <c r="AJ1961" s="11">
        <v>75.697000000000003</v>
      </c>
      <c r="AK1961" s="11">
        <v>75.426000000000002</v>
      </c>
      <c r="AL1961" s="11"/>
    </row>
    <row r="1962" spans="1:38" x14ac:dyDescent="0.3">
      <c r="A1962" s="9">
        <f>DATE(2024, 8, 2)</f>
        <v>45506</v>
      </c>
      <c r="B1962" s="10">
        <v>76.81</v>
      </c>
      <c r="C1962" s="10">
        <v>76.27</v>
      </c>
      <c r="D1962" s="10">
        <v>75.81</v>
      </c>
      <c r="E1962" s="10">
        <v>75.430000000000007</v>
      </c>
      <c r="F1962" s="10">
        <v>75.12</v>
      </c>
      <c r="G1962" s="10">
        <v>74.849999999999994</v>
      </c>
      <c r="H1962" s="10">
        <v>74.599999999999994</v>
      </c>
      <c r="I1962" s="10">
        <v>74.36</v>
      </c>
      <c r="J1962" s="10">
        <v>74.12</v>
      </c>
      <c r="K1962" s="10">
        <v>73.89</v>
      </c>
      <c r="L1962" s="10">
        <v>73.66</v>
      </c>
      <c r="M1962" s="10">
        <v>73.42</v>
      </c>
      <c r="N1962" s="10">
        <v>73.52</v>
      </c>
      <c r="O1962" s="10">
        <v>72.59</v>
      </c>
      <c r="P1962" s="10">
        <v>71.95</v>
      </c>
      <c r="Q1962" s="10">
        <v>71.41</v>
      </c>
      <c r="R1962" s="10">
        <v>70.97</v>
      </c>
      <c r="S1962" s="10">
        <v>70.62</v>
      </c>
      <c r="T1962" s="10">
        <v>70.31</v>
      </c>
      <c r="U1962" s="10">
        <v>70.02</v>
      </c>
      <c r="V1962" s="10">
        <v>69.739999999999995</v>
      </c>
      <c r="W1962" s="10">
        <v>69.47</v>
      </c>
      <c r="X1962" s="10">
        <v>69.19</v>
      </c>
      <c r="Y1962" s="10">
        <v>68.930000000000007</v>
      </c>
      <c r="Z1962" s="11">
        <v>76.069999999999993</v>
      </c>
      <c r="AA1962" s="11">
        <v>75.567999999999998</v>
      </c>
      <c r="AB1962" s="11">
        <v>74.983000000000004</v>
      </c>
      <c r="AC1962" s="11">
        <v>74.605000000000004</v>
      </c>
      <c r="AD1962" s="11">
        <v>74.254000000000005</v>
      </c>
      <c r="AE1962" s="11">
        <v>73.978999999999999</v>
      </c>
      <c r="AF1962" s="11">
        <v>73.787999999999997</v>
      </c>
      <c r="AG1962" s="11">
        <v>73.587999999999994</v>
      </c>
      <c r="AH1962" s="11">
        <v>73.388999999999996</v>
      </c>
      <c r="AI1962" s="11">
        <v>73.180000000000007</v>
      </c>
      <c r="AJ1962" s="11">
        <v>72.968999999999994</v>
      </c>
      <c r="AK1962" s="11">
        <v>72.760000000000005</v>
      </c>
      <c r="AL1962" s="11"/>
    </row>
    <row r="1963" spans="1:38" x14ac:dyDescent="0.3">
      <c r="A1963" s="9">
        <f>DATE(2024, 8, 5)</f>
        <v>45509</v>
      </c>
      <c r="B1963" s="10">
        <v>76.3</v>
      </c>
      <c r="C1963" s="10">
        <v>75.959999999999994</v>
      </c>
      <c r="D1963" s="10">
        <v>75.62</v>
      </c>
      <c r="E1963" s="10">
        <v>75.290000000000006</v>
      </c>
      <c r="F1963" s="10">
        <v>75</v>
      </c>
      <c r="G1963" s="10">
        <v>74.760000000000005</v>
      </c>
      <c r="H1963" s="10">
        <v>74.53</v>
      </c>
      <c r="I1963" s="10">
        <v>74.3</v>
      </c>
      <c r="J1963" s="10">
        <v>74.08</v>
      </c>
      <c r="K1963" s="10">
        <v>73.86</v>
      </c>
      <c r="L1963" s="10">
        <v>73.650000000000006</v>
      </c>
      <c r="M1963" s="10">
        <v>73.42</v>
      </c>
      <c r="N1963" s="10">
        <v>72.94</v>
      </c>
      <c r="O1963" s="10">
        <v>72.2</v>
      </c>
      <c r="P1963" s="10">
        <v>71.66</v>
      </c>
      <c r="Q1963" s="10">
        <v>71.2</v>
      </c>
      <c r="R1963" s="10">
        <v>70.819999999999993</v>
      </c>
      <c r="S1963" s="10">
        <v>70.489999999999995</v>
      </c>
      <c r="T1963" s="10">
        <v>70.2</v>
      </c>
      <c r="U1963" s="10">
        <v>69.930000000000007</v>
      </c>
      <c r="V1963" s="10">
        <v>69.680000000000007</v>
      </c>
      <c r="W1963" s="10">
        <v>69.430000000000007</v>
      </c>
      <c r="X1963" s="10">
        <v>69.17</v>
      </c>
      <c r="Y1963" s="10">
        <v>68.930000000000007</v>
      </c>
      <c r="Z1963" s="11">
        <v>75.260000000000005</v>
      </c>
      <c r="AA1963" s="11">
        <v>74.858999999999995</v>
      </c>
      <c r="AB1963" s="11">
        <v>74.436000000000007</v>
      </c>
      <c r="AC1963" s="11">
        <v>74.135999999999996</v>
      </c>
      <c r="AD1963" s="11">
        <v>73.846999999999994</v>
      </c>
      <c r="AE1963" s="11">
        <v>73.64</v>
      </c>
      <c r="AF1963" s="11">
        <v>73.468999999999994</v>
      </c>
      <c r="AG1963" s="11">
        <v>73.295000000000002</v>
      </c>
      <c r="AH1963" s="11">
        <v>73.12</v>
      </c>
      <c r="AI1963" s="11">
        <v>72.930000000000007</v>
      </c>
      <c r="AJ1963" s="11">
        <v>72.759</v>
      </c>
      <c r="AK1963" s="11">
        <v>72.561000000000007</v>
      </c>
      <c r="AL1963" s="11"/>
    </row>
    <row r="1964" spans="1:38" x14ac:dyDescent="0.3">
      <c r="A1964" s="9">
        <f>DATE(2024, 8, 6)</f>
        <v>45510</v>
      </c>
      <c r="B1964" s="10">
        <v>76.48</v>
      </c>
      <c r="C1964" s="10">
        <v>76.03</v>
      </c>
      <c r="D1964" s="10">
        <v>75.62</v>
      </c>
      <c r="E1964" s="10">
        <v>75.239999999999995</v>
      </c>
      <c r="F1964" s="10">
        <v>74.91</v>
      </c>
      <c r="G1964" s="10">
        <v>74.64</v>
      </c>
      <c r="H1964" s="10">
        <v>74.400000000000006</v>
      </c>
      <c r="I1964" s="10">
        <v>74.150000000000006</v>
      </c>
      <c r="J1964" s="10">
        <v>73.930000000000007</v>
      </c>
      <c r="K1964" s="10">
        <v>73.7</v>
      </c>
      <c r="L1964" s="10">
        <v>73.47</v>
      </c>
      <c r="M1964" s="10">
        <v>73.23</v>
      </c>
      <c r="N1964" s="10">
        <v>73.2</v>
      </c>
      <c r="O1964" s="10">
        <v>72.34</v>
      </c>
      <c r="P1964" s="10">
        <v>71.7</v>
      </c>
      <c r="Q1964" s="10">
        <v>71.17</v>
      </c>
      <c r="R1964" s="10">
        <v>70.739999999999995</v>
      </c>
      <c r="S1964" s="10">
        <v>70.37</v>
      </c>
      <c r="T1964" s="10">
        <v>70.06</v>
      </c>
      <c r="U1964" s="10">
        <v>69.78</v>
      </c>
      <c r="V1964" s="10">
        <v>69.510000000000005</v>
      </c>
      <c r="W1964" s="10">
        <v>69.25</v>
      </c>
      <c r="X1964" s="10">
        <v>68.98</v>
      </c>
      <c r="Y1964" s="10">
        <v>68.72</v>
      </c>
      <c r="Z1964" s="11">
        <v>75.423000000000002</v>
      </c>
      <c r="AA1964" s="11">
        <v>74.924999999999997</v>
      </c>
      <c r="AB1964" s="11">
        <v>74.447999999999993</v>
      </c>
      <c r="AC1964" s="11">
        <v>74.087999999999994</v>
      </c>
      <c r="AD1964" s="11">
        <v>73.765000000000001</v>
      </c>
      <c r="AE1964" s="11">
        <v>73.519000000000005</v>
      </c>
      <c r="AF1964" s="11">
        <v>73.328000000000003</v>
      </c>
      <c r="AG1964" s="11">
        <v>73.13</v>
      </c>
      <c r="AH1964" s="11">
        <v>72.929000000000002</v>
      </c>
      <c r="AI1964" s="11">
        <v>72.72</v>
      </c>
      <c r="AJ1964" s="11">
        <v>72.519000000000005</v>
      </c>
      <c r="AK1964" s="11">
        <v>72.31</v>
      </c>
      <c r="AL1964" s="11"/>
    </row>
    <row r="1965" spans="1:38" x14ac:dyDescent="0.3">
      <c r="A1965" s="9">
        <f>DATE(2024, 8, 7)</f>
        <v>45511</v>
      </c>
      <c r="B1965" s="10">
        <v>78.33</v>
      </c>
      <c r="C1965" s="10">
        <v>77.67</v>
      </c>
      <c r="D1965" s="10">
        <v>77.14</v>
      </c>
      <c r="E1965" s="10">
        <v>76.7</v>
      </c>
      <c r="F1965" s="10">
        <v>76.33</v>
      </c>
      <c r="G1965" s="10">
        <v>76.010000000000005</v>
      </c>
      <c r="H1965" s="10">
        <v>75.72</v>
      </c>
      <c r="I1965" s="10">
        <v>75.44</v>
      </c>
      <c r="J1965" s="10">
        <v>75.17</v>
      </c>
      <c r="K1965" s="10">
        <v>74.91</v>
      </c>
      <c r="L1965" s="10">
        <v>74.650000000000006</v>
      </c>
      <c r="M1965" s="10">
        <v>74.38</v>
      </c>
      <c r="N1965" s="10">
        <v>75.23</v>
      </c>
      <c r="O1965" s="10">
        <v>74.17</v>
      </c>
      <c r="P1965" s="10">
        <v>73.38</v>
      </c>
      <c r="Q1965" s="10">
        <v>72.75</v>
      </c>
      <c r="R1965" s="10">
        <v>72.239999999999995</v>
      </c>
      <c r="S1965" s="10">
        <v>71.81</v>
      </c>
      <c r="T1965" s="10">
        <v>71.44</v>
      </c>
      <c r="U1965" s="10">
        <v>71.12</v>
      </c>
      <c r="V1965" s="10">
        <v>70.81</v>
      </c>
      <c r="W1965" s="10">
        <v>70.52</v>
      </c>
      <c r="X1965" s="10">
        <v>70.209999999999994</v>
      </c>
      <c r="Y1965" s="10">
        <v>69.91</v>
      </c>
      <c r="Z1965" s="11">
        <v>76.888000000000005</v>
      </c>
      <c r="AA1965" s="11">
        <v>76.765000000000001</v>
      </c>
      <c r="AB1965" s="11">
        <v>76.17</v>
      </c>
      <c r="AC1965" s="11">
        <v>75.694000000000003</v>
      </c>
      <c r="AD1965" s="11">
        <v>75.295000000000002</v>
      </c>
      <c r="AE1965" s="11">
        <v>74.997</v>
      </c>
      <c r="AF1965" s="11">
        <v>74.745999999999995</v>
      </c>
      <c r="AG1965" s="11">
        <v>74.492000000000004</v>
      </c>
      <c r="AH1965" s="11">
        <v>74.242999999999995</v>
      </c>
      <c r="AI1965" s="11">
        <v>73.998000000000005</v>
      </c>
      <c r="AJ1965" s="11">
        <v>73.757000000000005</v>
      </c>
      <c r="AK1965" s="11">
        <v>73.509</v>
      </c>
      <c r="AL1965" s="11"/>
    </row>
    <row r="1966" spans="1:38" x14ac:dyDescent="0.3">
      <c r="A1966" s="9">
        <f>DATE(2024, 8, 8)</f>
        <v>45512</v>
      </c>
      <c r="B1966" s="10">
        <v>79.16</v>
      </c>
      <c r="C1966" s="10">
        <v>78.48</v>
      </c>
      <c r="D1966" s="10">
        <v>77.95</v>
      </c>
      <c r="E1966" s="10">
        <v>77.5</v>
      </c>
      <c r="F1966" s="10">
        <v>77.12</v>
      </c>
      <c r="G1966" s="10">
        <v>76.8</v>
      </c>
      <c r="H1966" s="10">
        <v>76.5</v>
      </c>
      <c r="I1966" s="10">
        <v>76.22</v>
      </c>
      <c r="J1966" s="10">
        <v>75.94</v>
      </c>
      <c r="K1966" s="10">
        <v>75.680000000000007</v>
      </c>
      <c r="L1966" s="10">
        <v>75.42</v>
      </c>
      <c r="M1966" s="10">
        <v>75.14</v>
      </c>
      <c r="N1966" s="10">
        <v>76.19</v>
      </c>
      <c r="O1966" s="10">
        <v>75.040000000000006</v>
      </c>
      <c r="P1966" s="10">
        <v>74.260000000000005</v>
      </c>
      <c r="Q1966" s="10">
        <v>73.64</v>
      </c>
      <c r="R1966" s="10">
        <v>73.13</v>
      </c>
      <c r="S1966" s="10">
        <v>72.7</v>
      </c>
      <c r="T1966" s="10">
        <v>72.31</v>
      </c>
      <c r="U1966" s="10">
        <v>71.98</v>
      </c>
      <c r="V1966" s="10">
        <v>71.66</v>
      </c>
      <c r="W1966" s="10">
        <v>71.36</v>
      </c>
      <c r="X1966" s="10">
        <v>71.040000000000006</v>
      </c>
      <c r="Y1966" s="10">
        <v>70.75</v>
      </c>
      <c r="Z1966" s="11">
        <v>77.665000000000006</v>
      </c>
      <c r="AA1966" s="11">
        <v>77.734999999999999</v>
      </c>
      <c r="AB1966" s="11">
        <v>77.113</v>
      </c>
      <c r="AC1966" s="11">
        <v>76.608000000000004</v>
      </c>
      <c r="AD1966" s="11">
        <v>76.180999999999997</v>
      </c>
      <c r="AE1966" s="11">
        <v>75.876999999999995</v>
      </c>
      <c r="AF1966" s="11">
        <v>75.626000000000005</v>
      </c>
      <c r="AG1966" s="11">
        <v>75.363</v>
      </c>
      <c r="AH1966" s="11">
        <v>75.113</v>
      </c>
      <c r="AI1966" s="11">
        <v>74.863</v>
      </c>
      <c r="AJ1966" s="11">
        <v>74.611999999999995</v>
      </c>
      <c r="AK1966" s="11">
        <v>74.353999999999999</v>
      </c>
      <c r="AL1966" s="11"/>
    </row>
    <row r="1967" spans="1:38" x14ac:dyDescent="0.3">
      <c r="A1967" s="9">
        <f>DATE(2024, 8, 9)</f>
        <v>45513</v>
      </c>
      <c r="B1967" s="10">
        <v>79.66</v>
      </c>
      <c r="C1967" s="10">
        <v>78.92</v>
      </c>
      <c r="D1967" s="10">
        <v>78.36</v>
      </c>
      <c r="E1967" s="10">
        <v>77.900000000000006</v>
      </c>
      <c r="F1967" s="10">
        <v>77.52</v>
      </c>
      <c r="G1967" s="10">
        <v>77.2</v>
      </c>
      <c r="H1967" s="10">
        <v>76.900000000000006</v>
      </c>
      <c r="I1967" s="10">
        <v>76.61</v>
      </c>
      <c r="J1967" s="10">
        <v>76.33</v>
      </c>
      <c r="K1967" s="10">
        <v>76.06</v>
      </c>
      <c r="L1967" s="10">
        <v>75.8</v>
      </c>
      <c r="M1967" s="10">
        <v>75.52</v>
      </c>
      <c r="N1967" s="10">
        <v>76.84</v>
      </c>
      <c r="O1967" s="10">
        <v>75.61</v>
      </c>
      <c r="P1967" s="10">
        <v>74.77</v>
      </c>
      <c r="Q1967" s="10">
        <v>74.12</v>
      </c>
      <c r="R1967" s="10">
        <v>73.599999999999994</v>
      </c>
      <c r="S1967" s="10">
        <v>73.17</v>
      </c>
      <c r="T1967" s="10">
        <v>72.78</v>
      </c>
      <c r="U1967" s="10">
        <v>72.44</v>
      </c>
      <c r="V1967" s="10">
        <v>72.13</v>
      </c>
      <c r="W1967" s="10">
        <v>71.819999999999993</v>
      </c>
      <c r="X1967" s="10">
        <v>71.489999999999995</v>
      </c>
      <c r="Y1967" s="10">
        <v>71.180000000000007</v>
      </c>
      <c r="Z1967" s="11">
        <v>77.935000000000002</v>
      </c>
      <c r="AA1967" s="11">
        <v>78.113</v>
      </c>
      <c r="AB1967" s="11">
        <v>77.489999999999995</v>
      </c>
      <c r="AC1967" s="11">
        <v>76.991</v>
      </c>
      <c r="AD1967" s="11">
        <v>76.569000000000003</v>
      </c>
      <c r="AE1967" s="11">
        <v>76.275999999999996</v>
      </c>
      <c r="AF1967" s="11">
        <v>76.016000000000005</v>
      </c>
      <c r="AG1967" s="11">
        <v>75.747</v>
      </c>
      <c r="AH1967" s="11">
        <v>75.486999999999995</v>
      </c>
      <c r="AI1967" s="11">
        <v>75.238</v>
      </c>
      <c r="AJ1967" s="11">
        <v>74.992000000000004</v>
      </c>
      <c r="AK1967" s="11">
        <v>74.739000000000004</v>
      </c>
      <c r="AL1967" s="11"/>
    </row>
    <row r="1968" spans="1:38" x14ac:dyDescent="0.3">
      <c r="A1968" s="9">
        <f>DATE(2024, 8, 12)</f>
        <v>45516</v>
      </c>
      <c r="B1968" s="10">
        <v>82.3</v>
      </c>
      <c r="C1968" s="10">
        <v>81.38</v>
      </c>
      <c r="D1968" s="10">
        <v>80.709999999999994</v>
      </c>
      <c r="E1968" s="10">
        <v>80.180000000000007</v>
      </c>
      <c r="F1968" s="10">
        <v>79.73</v>
      </c>
      <c r="G1968" s="10">
        <v>79.349999999999994</v>
      </c>
      <c r="H1968" s="10">
        <v>79</v>
      </c>
      <c r="I1968" s="10">
        <v>78.67</v>
      </c>
      <c r="J1968" s="10">
        <v>78.34</v>
      </c>
      <c r="K1968" s="10">
        <v>78.03</v>
      </c>
      <c r="L1968" s="10">
        <v>77.72</v>
      </c>
      <c r="M1968" s="10">
        <v>77.39</v>
      </c>
      <c r="N1968" s="10">
        <v>80.06</v>
      </c>
      <c r="O1968" s="10">
        <v>78.459999999999994</v>
      </c>
      <c r="P1968" s="10">
        <v>77.37</v>
      </c>
      <c r="Q1968" s="10">
        <v>76.52</v>
      </c>
      <c r="R1968" s="10">
        <v>75.86</v>
      </c>
      <c r="S1968" s="10">
        <v>75.33</v>
      </c>
      <c r="T1968" s="10">
        <v>74.88</v>
      </c>
      <c r="U1968" s="10">
        <v>74.48</v>
      </c>
      <c r="V1968" s="10">
        <v>74.11</v>
      </c>
      <c r="W1968" s="10">
        <v>73.75</v>
      </c>
      <c r="X1968" s="10">
        <v>73.37</v>
      </c>
      <c r="Y1968" s="10">
        <v>73.010000000000005</v>
      </c>
      <c r="Z1968" s="11">
        <v>79.481999999999999</v>
      </c>
      <c r="AA1968" s="11">
        <v>80.447999999999993</v>
      </c>
      <c r="AB1968" s="11">
        <v>79.747</v>
      </c>
      <c r="AC1968" s="11">
        <v>79.188999999999993</v>
      </c>
      <c r="AD1968" s="11">
        <v>78.718999999999994</v>
      </c>
      <c r="AE1968" s="11">
        <v>78.379000000000005</v>
      </c>
      <c r="AF1968" s="11">
        <v>78.088999999999999</v>
      </c>
      <c r="AG1968" s="11">
        <v>77.784000000000006</v>
      </c>
      <c r="AH1968" s="11">
        <v>77.471000000000004</v>
      </c>
      <c r="AI1968" s="11">
        <v>77.165999999999997</v>
      </c>
      <c r="AJ1968" s="11">
        <v>76.858999999999995</v>
      </c>
      <c r="AK1968" s="11">
        <v>76.552000000000007</v>
      </c>
      <c r="AL1968" s="11"/>
    </row>
    <row r="1969" spans="1:38" x14ac:dyDescent="0.3">
      <c r="A1969" s="9">
        <f>DATE(2024, 8, 13)</f>
        <v>45517</v>
      </c>
      <c r="B1969" s="10">
        <v>80.69</v>
      </c>
      <c r="C1969" s="10">
        <v>79.930000000000007</v>
      </c>
      <c r="D1969" s="10">
        <v>79.34</v>
      </c>
      <c r="E1969" s="10">
        <v>78.88</v>
      </c>
      <c r="F1969" s="10">
        <v>78.489999999999995</v>
      </c>
      <c r="G1969" s="10">
        <v>78.150000000000006</v>
      </c>
      <c r="H1969" s="10">
        <v>77.819999999999993</v>
      </c>
      <c r="I1969" s="10">
        <v>77.510000000000005</v>
      </c>
      <c r="J1969" s="10">
        <v>77.2</v>
      </c>
      <c r="K1969" s="10">
        <v>76.900000000000006</v>
      </c>
      <c r="L1969" s="10">
        <v>76.61</v>
      </c>
      <c r="M1969" s="10">
        <v>76.3</v>
      </c>
      <c r="N1969" s="10">
        <v>78.349999999999994</v>
      </c>
      <c r="O1969" s="10">
        <v>76.8</v>
      </c>
      <c r="P1969" s="10">
        <v>75.83</v>
      </c>
      <c r="Q1969" s="10">
        <v>75.09</v>
      </c>
      <c r="R1969" s="10">
        <v>74.52</v>
      </c>
      <c r="S1969" s="10">
        <v>74.040000000000006</v>
      </c>
      <c r="T1969" s="10">
        <v>73.63</v>
      </c>
      <c r="U1969" s="10">
        <v>73.260000000000005</v>
      </c>
      <c r="V1969" s="10">
        <v>72.91</v>
      </c>
      <c r="W1969" s="10">
        <v>72.56</v>
      </c>
      <c r="X1969" s="10">
        <v>72.2</v>
      </c>
      <c r="Y1969" s="10">
        <v>71.87</v>
      </c>
      <c r="Z1969" s="11">
        <v>78.444000000000003</v>
      </c>
      <c r="AA1969" s="11">
        <v>78.938999999999993</v>
      </c>
      <c r="AB1969" s="11">
        <v>78.236000000000004</v>
      </c>
      <c r="AC1969" s="11">
        <v>77.704999999999998</v>
      </c>
      <c r="AD1969" s="11">
        <v>77.284000000000006</v>
      </c>
      <c r="AE1969" s="11">
        <v>76.998999999999995</v>
      </c>
      <c r="AF1969" s="11">
        <v>76.748999999999995</v>
      </c>
      <c r="AG1969" s="11">
        <v>76.477000000000004</v>
      </c>
      <c r="AH1969" s="11">
        <v>76.206000000000003</v>
      </c>
      <c r="AI1969" s="11">
        <v>75.936999999999998</v>
      </c>
      <c r="AJ1969" s="11">
        <v>75.665000000000006</v>
      </c>
      <c r="AK1969" s="11">
        <v>75.397000000000006</v>
      </c>
      <c r="AL1969" s="11"/>
    </row>
    <row r="1970" spans="1:38" x14ac:dyDescent="0.3">
      <c r="A1970" s="9">
        <f>DATE(2024, 8, 14)</f>
        <v>45518</v>
      </c>
      <c r="B1970" s="10">
        <v>79.760000000000005</v>
      </c>
      <c r="C1970" s="10">
        <v>79.03</v>
      </c>
      <c r="D1970" s="10">
        <v>78.510000000000005</v>
      </c>
      <c r="E1970" s="10">
        <v>78.11</v>
      </c>
      <c r="F1970" s="10">
        <v>77.77</v>
      </c>
      <c r="G1970" s="10">
        <v>77.47</v>
      </c>
      <c r="H1970" s="10">
        <v>77.180000000000007</v>
      </c>
      <c r="I1970" s="10">
        <v>76.89</v>
      </c>
      <c r="J1970" s="10">
        <v>76.61</v>
      </c>
      <c r="K1970" s="10">
        <v>76.34</v>
      </c>
      <c r="L1970" s="10">
        <v>76.069999999999993</v>
      </c>
      <c r="M1970" s="10">
        <v>75.78</v>
      </c>
      <c r="N1970" s="10">
        <v>76.98</v>
      </c>
      <c r="O1970" s="10">
        <v>75.84</v>
      </c>
      <c r="P1970" s="10">
        <v>75</v>
      </c>
      <c r="Q1970" s="10">
        <v>74.349999999999994</v>
      </c>
      <c r="R1970" s="10">
        <v>73.849999999999994</v>
      </c>
      <c r="S1970" s="10">
        <v>73.44</v>
      </c>
      <c r="T1970" s="10">
        <v>73.069999999999993</v>
      </c>
      <c r="U1970" s="10">
        <v>72.73</v>
      </c>
      <c r="V1970" s="10">
        <v>72.400000000000006</v>
      </c>
      <c r="W1970" s="10">
        <v>72.069999999999993</v>
      </c>
      <c r="X1970" s="10">
        <v>71.739999999999995</v>
      </c>
      <c r="Y1970" s="10">
        <v>71.430000000000007</v>
      </c>
      <c r="Z1970" s="11">
        <v>78.081000000000003</v>
      </c>
      <c r="AA1970" s="11">
        <v>78.355000000000004</v>
      </c>
      <c r="AB1970" s="11">
        <v>77.614000000000004</v>
      </c>
      <c r="AC1970" s="11">
        <v>77.084000000000003</v>
      </c>
      <c r="AD1970" s="11">
        <v>76.691999999999993</v>
      </c>
      <c r="AE1970" s="11">
        <v>76.451999999999998</v>
      </c>
      <c r="AF1970" s="11">
        <v>76.238</v>
      </c>
      <c r="AG1970" s="11">
        <v>75.998000000000005</v>
      </c>
      <c r="AH1970" s="11">
        <v>75.757000000000005</v>
      </c>
      <c r="AI1970" s="11">
        <v>75.528000000000006</v>
      </c>
      <c r="AJ1970" s="11">
        <v>75.286000000000001</v>
      </c>
      <c r="AK1970" s="11">
        <v>75.028000000000006</v>
      </c>
      <c r="AL1970" s="11"/>
    </row>
    <row r="1971" spans="1:38" x14ac:dyDescent="0.3">
      <c r="A1971" s="9">
        <f>DATE(2024, 8, 15)</f>
        <v>45519</v>
      </c>
      <c r="B1971" s="10">
        <v>81.040000000000006</v>
      </c>
      <c r="C1971" s="10">
        <v>80.17</v>
      </c>
      <c r="D1971" s="10">
        <v>79.599999999999994</v>
      </c>
      <c r="E1971" s="10">
        <v>79.150000000000006</v>
      </c>
      <c r="F1971" s="10">
        <v>78.760000000000005</v>
      </c>
      <c r="G1971" s="10">
        <v>78.430000000000007</v>
      </c>
      <c r="H1971" s="10">
        <v>78.099999999999994</v>
      </c>
      <c r="I1971" s="10">
        <v>77.78</v>
      </c>
      <c r="J1971" s="10">
        <v>77.47</v>
      </c>
      <c r="K1971" s="10">
        <v>77.180000000000007</v>
      </c>
      <c r="L1971" s="10">
        <v>76.88</v>
      </c>
      <c r="M1971" s="10">
        <v>76.569999999999993</v>
      </c>
      <c r="N1971" s="10">
        <v>78.16</v>
      </c>
      <c r="O1971" s="10">
        <v>76.989999999999995</v>
      </c>
      <c r="P1971" s="10">
        <v>76.09</v>
      </c>
      <c r="Q1971" s="10">
        <v>75.41</v>
      </c>
      <c r="R1971" s="10">
        <v>74.86</v>
      </c>
      <c r="S1971" s="10">
        <v>74.400000000000006</v>
      </c>
      <c r="T1971" s="10">
        <v>74</v>
      </c>
      <c r="U1971" s="10">
        <v>73.62</v>
      </c>
      <c r="V1971" s="10">
        <v>73.260000000000005</v>
      </c>
      <c r="W1971" s="10">
        <v>72.91</v>
      </c>
      <c r="X1971" s="10">
        <v>72.540000000000006</v>
      </c>
      <c r="Y1971" s="10">
        <v>72.19</v>
      </c>
      <c r="Z1971" s="11">
        <v>78.694000000000003</v>
      </c>
      <c r="AA1971" s="11">
        <v>79.462999999999994</v>
      </c>
      <c r="AB1971" s="11">
        <v>78.680000000000007</v>
      </c>
      <c r="AC1971" s="11">
        <v>78.135999999999996</v>
      </c>
      <c r="AD1971" s="11">
        <v>77.718999999999994</v>
      </c>
      <c r="AE1971" s="11">
        <v>77.435000000000002</v>
      </c>
      <c r="AF1971" s="11">
        <v>77.183999999999997</v>
      </c>
      <c r="AG1971" s="11">
        <v>76.92</v>
      </c>
      <c r="AH1971" s="11">
        <v>76.656000000000006</v>
      </c>
      <c r="AI1971" s="11">
        <v>76.406000000000006</v>
      </c>
      <c r="AJ1971" s="11">
        <v>76.144999999999996</v>
      </c>
      <c r="AK1971" s="11">
        <v>75.861999999999995</v>
      </c>
      <c r="AL1971" s="11"/>
    </row>
    <row r="1972" spans="1:38" x14ac:dyDescent="0.3">
      <c r="A1972" s="9">
        <f>DATE(2024, 8, 16)</f>
        <v>45520</v>
      </c>
      <c r="B1972" s="10">
        <v>79.680000000000007</v>
      </c>
      <c r="C1972" s="10">
        <v>78.87</v>
      </c>
      <c r="D1972" s="10">
        <v>78.290000000000006</v>
      </c>
      <c r="E1972" s="10">
        <v>77.84</v>
      </c>
      <c r="F1972" s="10">
        <v>77.48</v>
      </c>
      <c r="G1972" s="10">
        <v>77.17</v>
      </c>
      <c r="H1972" s="10">
        <v>76.87</v>
      </c>
      <c r="I1972" s="10">
        <v>76.58</v>
      </c>
      <c r="J1972" s="10">
        <v>76.31</v>
      </c>
      <c r="K1972" s="10">
        <v>76.05</v>
      </c>
      <c r="L1972" s="10">
        <v>75.790000000000006</v>
      </c>
      <c r="M1972" s="10">
        <v>75.510000000000005</v>
      </c>
      <c r="N1972" s="10">
        <v>76.650000000000006</v>
      </c>
      <c r="O1972" s="10">
        <v>75.540000000000006</v>
      </c>
      <c r="P1972" s="10">
        <v>74.67</v>
      </c>
      <c r="Q1972" s="10">
        <v>74.010000000000005</v>
      </c>
      <c r="R1972" s="10">
        <v>73.5</v>
      </c>
      <c r="S1972" s="10">
        <v>73.069999999999993</v>
      </c>
      <c r="T1972" s="10">
        <v>72.709999999999994</v>
      </c>
      <c r="U1972" s="10">
        <v>72.37</v>
      </c>
      <c r="V1972" s="10">
        <v>72.05</v>
      </c>
      <c r="W1972" s="10">
        <v>71.73</v>
      </c>
      <c r="X1972" s="10">
        <v>71.39</v>
      </c>
      <c r="Y1972" s="10">
        <v>71.09</v>
      </c>
      <c r="Z1972" s="11">
        <v>78.075000000000003</v>
      </c>
      <c r="AA1972" s="11">
        <v>78.206000000000003</v>
      </c>
      <c r="AB1972" s="11">
        <v>77.396000000000001</v>
      </c>
      <c r="AC1972" s="11">
        <v>76.852999999999994</v>
      </c>
      <c r="AD1972" s="11">
        <v>76.456999999999994</v>
      </c>
      <c r="AE1972" s="11">
        <v>76.183000000000007</v>
      </c>
      <c r="AF1972" s="11">
        <v>75.942999999999998</v>
      </c>
      <c r="AG1972" s="11">
        <v>75.697000000000003</v>
      </c>
      <c r="AH1972" s="11">
        <v>75.447999999999993</v>
      </c>
      <c r="AI1972" s="11">
        <v>75.207999999999998</v>
      </c>
      <c r="AJ1972" s="11">
        <v>74.966999999999999</v>
      </c>
      <c r="AK1972" s="11">
        <v>74.728999999999999</v>
      </c>
      <c r="AL1972" s="11"/>
    </row>
    <row r="1973" spans="1:38" x14ac:dyDescent="0.3">
      <c r="A1973" s="9">
        <f>DATE(2024, 8, 19)</f>
        <v>45523</v>
      </c>
      <c r="B1973" s="10">
        <v>77.66</v>
      </c>
      <c r="C1973" s="10">
        <v>77.099999999999994</v>
      </c>
      <c r="D1973" s="10">
        <v>76.680000000000007</v>
      </c>
      <c r="E1973" s="10">
        <v>76.319999999999993</v>
      </c>
      <c r="F1973" s="10">
        <v>76.010000000000005</v>
      </c>
      <c r="G1973" s="10">
        <v>75.75</v>
      </c>
      <c r="H1973" s="10">
        <v>75.5</v>
      </c>
      <c r="I1973" s="10">
        <v>75.260000000000005</v>
      </c>
      <c r="J1973" s="10">
        <v>75.03</v>
      </c>
      <c r="K1973" s="10">
        <v>74.81</v>
      </c>
      <c r="L1973" s="10">
        <v>74.59</v>
      </c>
      <c r="M1973" s="10">
        <v>74.349999999999994</v>
      </c>
      <c r="N1973" s="10">
        <v>74.37</v>
      </c>
      <c r="O1973" s="10">
        <v>73.66</v>
      </c>
      <c r="P1973" s="10">
        <v>72.989999999999995</v>
      </c>
      <c r="Q1973" s="10">
        <v>72.48</v>
      </c>
      <c r="R1973" s="10">
        <v>72.069999999999993</v>
      </c>
      <c r="S1973" s="10">
        <v>71.72</v>
      </c>
      <c r="T1973" s="10">
        <v>71.41</v>
      </c>
      <c r="U1973" s="10">
        <v>71.12</v>
      </c>
      <c r="V1973" s="10">
        <v>70.83</v>
      </c>
      <c r="W1973" s="10">
        <v>70.540000000000006</v>
      </c>
      <c r="X1973" s="10">
        <v>70.239999999999995</v>
      </c>
      <c r="Y1973" s="10">
        <v>69.97</v>
      </c>
      <c r="Z1973" s="11">
        <v>77.373999999999995</v>
      </c>
      <c r="AA1973" s="11">
        <v>76.543000000000006</v>
      </c>
      <c r="AB1973" s="11">
        <v>75.754000000000005</v>
      </c>
      <c r="AC1973" s="11">
        <v>75.275000000000006</v>
      </c>
      <c r="AD1973" s="11">
        <v>74.915000000000006</v>
      </c>
      <c r="AE1973" s="11">
        <v>74.686000000000007</v>
      </c>
      <c r="AF1973" s="11">
        <v>74.495000000000005</v>
      </c>
      <c r="AG1973" s="11">
        <v>74.313999999999993</v>
      </c>
      <c r="AH1973" s="11">
        <v>74.14</v>
      </c>
      <c r="AI1973" s="11">
        <v>73.956000000000003</v>
      </c>
      <c r="AJ1973" s="11">
        <v>73.766999999999996</v>
      </c>
      <c r="AK1973" s="11">
        <v>73.569999999999993</v>
      </c>
      <c r="AL1973" s="11"/>
    </row>
    <row r="1974" spans="1:38" x14ac:dyDescent="0.3">
      <c r="A1974" s="9">
        <f>DATE(2024, 8, 20)</f>
        <v>45524</v>
      </c>
      <c r="B1974" s="10">
        <v>77.2</v>
      </c>
      <c r="C1974" s="10">
        <v>76.58</v>
      </c>
      <c r="D1974" s="10">
        <v>76.11</v>
      </c>
      <c r="E1974" s="10">
        <v>75.72</v>
      </c>
      <c r="F1974" s="10">
        <v>75.39</v>
      </c>
      <c r="G1974" s="10">
        <v>75.12</v>
      </c>
      <c r="H1974" s="10">
        <v>74.87</v>
      </c>
      <c r="I1974" s="10">
        <v>74.63</v>
      </c>
      <c r="J1974" s="10">
        <v>74.400000000000006</v>
      </c>
      <c r="K1974" s="10">
        <v>74.17</v>
      </c>
      <c r="L1974" s="10">
        <v>73.95</v>
      </c>
      <c r="M1974" s="10">
        <v>73.709999999999994</v>
      </c>
      <c r="N1974" s="10">
        <v>74.040000000000006</v>
      </c>
      <c r="O1974" s="10">
        <v>73.17</v>
      </c>
      <c r="P1974" s="10">
        <v>72.45</v>
      </c>
      <c r="Q1974" s="10">
        <v>71.900000000000006</v>
      </c>
      <c r="R1974" s="10">
        <v>71.459999999999994</v>
      </c>
      <c r="S1974" s="10">
        <v>71.09</v>
      </c>
      <c r="T1974" s="10">
        <v>70.77</v>
      </c>
      <c r="U1974" s="10">
        <v>70.47</v>
      </c>
      <c r="V1974" s="10">
        <v>70.180000000000007</v>
      </c>
      <c r="W1974" s="10">
        <v>69.900000000000006</v>
      </c>
      <c r="X1974" s="10">
        <v>69.599999999999994</v>
      </c>
      <c r="Y1974" s="10">
        <v>69.33</v>
      </c>
      <c r="Z1974" s="11">
        <v>77.125</v>
      </c>
      <c r="AA1974" s="11">
        <v>76.078000000000003</v>
      </c>
      <c r="AB1974" s="11">
        <v>75.283000000000001</v>
      </c>
      <c r="AC1974" s="11">
        <v>74.784000000000006</v>
      </c>
      <c r="AD1974" s="11">
        <v>74.403999999999996</v>
      </c>
      <c r="AE1974" s="11">
        <v>74.159000000000006</v>
      </c>
      <c r="AF1974" s="11">
        <v>73.957999999999998</v>
      </c>
      <c r="AG1974" s="11">
        <v>73.759</v>
      </c>
      <c r="AH1974" s="11">
        <v>73.578999999999994</v>
      </c>
      <c r="AI1974" s="11">
        <v>73.39</v>
      </c>
      <c r="AJ1974" s="11">
        <v>73.198999999999998</v>
      </c>
      <c r="AK1974" s="11">
        <v>72.989999999999995</v>
      </c>
      <c r="AL1974" s="11"/>
    </row>
    <row r="1975" spans="1:38" x14ac:dyDescent="0.3">
      <c r="A1975" s="9">
        <f>DATE(2024, 8, 21)</f>
        <v>45525</v>
      </c>
      <c r="B1975" s="10">
        <v>76.05</v>
      </c>
      <c r="C1975" s="10">
        <v>75.5</v>
      </c>
      <c r="D1975" s="10">
        <v>75.08</v>
      </c>
      <c r="E1975" s="10">
        <v>74.72</v>
      </c>
      <c r="F1975" s="10">
        <v>74.42</v>
      </c>
      <c r="G1975" s="10">
        <v>74.180000000000007</v>
      </c>
      <c r="H1975" s="10">
        <v>73.95</v>
      </c>
      <c r="I1975" s="10">
        <v>73.739999999999995</v>
      </c>
      <c r="J1975" s="10">
        <v>73.53</v>
      </c>
      <c r="K1975" s="10">
        <v>73.319999999999993</v>
      </c>
      <c r="L1975" s="10">
        <v>73.12</v>
      </c>
      <c r="M1975" s="10">
        <v>72.900000000000006</v>
      </c>
      <c r="N1975" s="10">
        <v>71.930000000000007</v>
      </c>
      <c r="O1975" s="10">
        <v>71.3</v>
      </c>
      <c r="P1975" s="10">
        <v>70.81</v>
      </c>
      <c r="Q1975" s="10">
        <v>70.41</v>
      </c>
      <c r="R1975" s="10">
        <v>70.08</v>
      </c>
      <c r="S1975" s="10">
        <v>69.8</v>
      </c>
      <c r="T1975" s="10">
        <v>69.53</v>
      </c>
      <c r="U1975" s="10">
        <v>69.27</v>
      </c>
      <c r="V1975" s="10">
        <v>69.02</v>
      </c>
      <c r="W1975" s="10">
        <v>68.75</v>
      </c>
      <c r="X1975" s="10">
        <v>68.489999999999995</v>
      </c>
      <c r="Y1975" s="10">
        <v>68.260000000000005</v>
      </c>
      <c r="Z1975" s="11">
        <v>76.828000000000003</v>
      </c>
      <c r="AA1975" s="11">
        <v>75.075000000000003</v>
      </c>
      <c r="AB1975" s="11">
        <v>74.281000000000006</v>
      </c>
      <c r="AC1975" s="11">
        <v>73.811999999999998</v>
      </c>
      <c r="AD1975" s="11">
        <v>73.456999999999994</v>
      </c>
      <c r="AE1975" s="11">
        <v>73.239999999999995</v>
      </c>
      <c r="AF1975" s="11">
        <v>73.058999999999997</v>
      </c>
      <c r="AG1975" s="11">
        <v>72.876000000000005</v>
      </c>
      <c r="AH1975" s="11">
        <v>72.69</v>
      </c>
      <c r="AI1975" s="11">
        <v>72.501000000000005</v>
      </c>
      <c r="AJ1975" s="11">
        <v>72.31</v>
      </c>
      <c r="AK1975" s="11">
        <v>72.111000000000004</v>
      </c>
      <c r="AL1975" s="11"/>
    </row>
    <row r="1976" spans="1:38" x14ac:dyDescent="0.3">
      <c r="A1976" s="9">
        <f>DATE(2024, 8, 22)</f>
        <v>45526</v>
      </c>
      <c r="B1976" s="10">
        <v>77.22</v>
      </c>
      <c r="C1976" s="10">
        <v>76.55</v>
      </c>
      <c r="D1976" s="10">
        <v>76.02</v>
      </c>
      <c r="E1976" s="10">
        <v>75.58</v>
      </c>
      <c r="F1976" s="10">
        <v>75.25</v>
      </c>
      <c r="G1976" s="10">
        <v>74.98</v>
      </c>
      <c r="H1976" s="10">
        <v>74.73</v>
      </c>
      <c r="I1976" s="10">
        <v>74.5</v>
      </c>
      <c r="J1976" s="10">
        <v>74.28</v>
      </c>
      <c r="K1976" s="10">
        <v>74.06</v>
      </c>
      <c r="L1976" s="10">
        <v>73.83</v>
      </c>
      <c r="M1976" s="10">
        <v>73.59</v>
      </c>
      <c r="N1976" s="10">
        <v>73.010000000000005</v>
      </c>
      <c r="O1976" s="10">
        <v>72.28</v>
      </c>
      <c r="P1976" s="10">
        <v>71.680000000000007</v>
      </c>
      <c r="Q1976" s="10">
        <v>71.22</v>
      </c>
      <c r="R1976" s="10">
        <v>70.849999999999994</v>
      </c>
      <c r="S1976" s="10">
        <v>70.55</v>
      </c>
      <c r="T1976" s="10">
        <v>70.27</v>
      </c>
      <c r="U1976" s="10">
        <v>69.989999999999995</v>
      </c>
      <c r="V1976" s="10">
        <v>69.72</v>
      </c>
      <c r="W1976" s="10">
        <v>69.430000000000007</v>
      </c>
      <c r="X1976" s="10">
        <v>69.17</v>
      </c>
      <c r="Y1976" s="10">
        <v>68.91</v>
      </c>
      <c r="Z1976" s="11">
        <v>77.13</v>
      </c>
      <c r="AA1976" s="11">
        <v>76.155000000000001</v>
      </c>
      <c r="AB1976" s="11">
        <v>75.334999999999994</v>
      </c>
      <c r="AC1976" s="11">
        <v>74.805999999999997</v>
      </c>
      <c r="AD1976" s="11">
        <v>74.406000000000006</v>
      </c>
      <c r="AE1976" s="11">
        <v>74.138999999999996</v>
      </c>
      <c r="AF1976" s="11">
        <v>73.918999999999997</v>
      </c>
      <c r="AG1976" s="11">
        <v>73.7</v>
      </c>
      <c r="AH1976" s="11">
        <v>73.489999999999995</v>
      </c>
      <c r="AI1976" s="11">
        <v>73.27</v>
      </c>
      <c r="AJ1976" s="11">
        <v>73.049000000000007</v>
      </c>
      <c r="AK1976" s="11">
        <v>72.83</v>
      </c>
      <c r="AL1976" s="11"/>
    </row>
    <row r="1977" spans="1:38" x14ac:dyDescent="0.3">
      <c r="A1977" s="9">
        <f>DATE(2024, 8, 23)</f>
        <v>45527</v>
      </c>
      <c r="B1977" s="10">
        <v>79.02</v>
      </c>
      <c r="C1977" s="10">
        <v>78.150000000000006</v>
      </c>
      <c r="D1977" s="10">
        <v>77.540000000000006</v>
      </c>
      <c r="E1977" s="10">
        <v>77.06</v>
      </c>
      <c r="F1977" s="10">
        <v>76.7</v>
      </c>
      <c r="G1977" s="10">
        <v>76.41</v>
      </c>
      <c r="H1977" s="10">
        <v>76.14</v>
      </c>
      <c r="I1977" s="10">
        <v>75.88</v>
      </c>
      <c r="J1977" s="10">
        <v>75.63</v>
      </c>
      <c r="K1977" s="10">
        <v>75.39</v>
      </c>
      <c r="L1977" s="10">
        <v>75.14</v>
      </c>
      <c r="M1977" s="10">
        <v>74.88</v>
      </c>
      <c r="N1977" s="10">
        <v>74.83</v>
      </c>
      <c r="O1977" s="10">
        <v>73.930000000000007</v>
      </c>
      <c r="P1977" s="10">
        <v>73.25</v>
      </c>
      <c r="Q1977" s="10">
        <v>72.739999999999995</v>
      </c>
      <c r="R1977" s="10">
        <v>72.34</v>
      </c>
      <c r="S1977" s="10">
        <v>72</v>
      </c>
      <c r="T1977" s="10">
        <v>71.69</v>
      </c>
      <c r="U1977" s="10">
        <v>71.39</v>
      </c>
      <c r="V1977" s="10">
        <v>71.09</v>
      </c>
      <c r="W1977" s="10">
        <v>70.790000000000006</v>
      </c>
      <c r="X1977" s="10">
        <v>70.5</v>
      </c>
      <c r="Y1977" s="10">
        <v>70.23</v>
      </c>
      <c r="Z1977" s="11">
        <v>77.584000000000003</v>
      </c>
      <c r="AA1977" s="11">
        <v>77.801000000000002</v>
      </c>
      <c r="AB1977" s="11">
        <v>76.879000000000005</v>
      </c>
      <c r="AC1977" s="11">
        <v>76.302999999999997</v>
      </c>
      <c r="AD1977" s="11">
        <v>75.872</v>
      </c>
      <c r="AE1977" s="11">
        <v>75.561000000000007</v>
      </c>
      <c r="AF1977" s="11">
        <v>75.31</v>
      </c>
      <c r="AG1977" s="11">
        <v>75.061000000000007</v>
      </c>
      <c r="AH1977" s="11">
        <v>74.811999999999998</v>
      </c>
      <c r="AI1977" s="11">
        <v>74.572000000000003</v>
      </c>
      <c r="AJ1977" s="11">
        <v>74.317999999999998</v>
      </c>
      <c r="AK1977" s="11">
        <v>74.09</v>
      </c>
      <c r="AL1977" s="11"/>
    </row>
    <row r="1978" spans="1:38" x14ac:dyDescent="0.3">
      <c r="A1978" s="9">
        <f>DATE(2024, 8, 26)</f>
        <v>45530</v>
      </c>
      <c r="B1978" s="10">
        <v>81.430000000000007</v>
      </c>
      <c r="C1978" s="10">
        <v>80.36</v>
      </c>
      <c r="D1978" s="10">
        <v>79.510000000000005</v>
      </c>
      <c r="E1978" s="10">
        <v>78.87</v>
      </c>
      <c r="F1978" s="10">
        <v>78.400000000000006</v>
      </c>
      <c r="G1978" s="10">
        <v>78.040000000000006</v>
      </c>
      <c r="H1978" s="10">
        <v>77.709999999999994</v>
      </c>
      <c r="I1978" s="10">
        <v>77.41</v>
      </c>
      <c r="J1978" s="10">
        <v>77.12</v>
      </c>
      <c r="K1978" s="10">
        <v>76.83</v>
      </c>
      <c r="L1978" s="10">
        <v>76.540000000000006</v>
      </c>
      <c r="M1978" s="10">
        <v>76.23</v>
      </c>
      <c r="N1978" s="10">
        <v>77.42</v>
      </c>
      <c r="O1978" s="10">
        <v>76.17</v>
      </c>
      <c r="P1978" s="10">
        <v>75.209999999999994</v>
      </c>
      <c r="Q1978" s="10">
        <v>74.510000000000005</v>
      </c>
      <c r="R1978" s="10">
        <v>73.97</v>
      </c>
      <c r="S1978" s="10">
        <v>73.540000000000006</v>
      </c>
      <c r="T1978" s="10">
        <v>73.17</v>
      </c>
      <c r="U1978" s="10">
        <v>72.84</v>
      </c>
      <c r="V1978" s="10">
        <v>72.52</v>
      </c>
      <c r="W1978" s="10">
        <v>72.180000000000007</v>
      </c>
      <c r="X1978" s="10">
        <v>71.86</v>
      </c>
      <c r="Y1978" s="10">
        <v>71.55</v>
      </c>
      <c r="Z1978" s="11">
        <v>77.954999999999998</v>
      </c>
      <c r="AA1978" s="11">
        <v>79.685000000000002</v>
      </c>
      <c r="AB1978" s="11">
        <v>78.596999999999994</v>
      </c>
      <c r="AC1978" s="11">
        <v>77.947999999999993</v>
      </c>
      <c r="AD1978" s="11">
        <v>77.450999999999993</v>
      </c>
      <c r="AE1978" s="11">
        <v>77.094999999999999</v>
      </c>
      <c r="AF1978" s="11">
        <v>76.796000000000006</v>
      </c>
      <c r="AG1978" s="11">
        <v>76.506</v>
      </c>
      <c r="AH1978" s="11">
        <v>76.245999999999995</v>
      </c>
      <c r="AI1978" s="11">
        <v>75.977000000000004</v>
      </c>
      <c r="AJ1978" s="11">
        <v>75.715000000000003</v>
      </c>
      <c r="AK1978" s="11">
        <v>75.436999999999998</v>
      </c>
      <c r="AL1978" s="11"/>
    </row>
    <row r="1979" spans="1:38" x14ac:dyDescent="0.3">
      <c r="A1979" s="9">
        <f>DATE(2024, 8, 27)</f>
        <v>45531</v>
      </c>
      <c r="B1979" s="10">
        <v>79.55</v>
      </c>
      <c r="C1979" s="10">
        <v>78.66</v>
      </c>
      <c r="D1979" s="10">
        <v>77.92</v>
      </c>
      <c r="E1979" s="10">
        <v>77.36</v>
      </c>
      <c r="F1979" s="10">
        <v>76.959999999999994</v>
      </c>
      <c r="G1979" s="10">
        <v>76.66</v>
      </c>
      <c r="H1979" s="10">
        <v>76.38</v>
      </c>
      <c r="I1979" s="10">
        <v>76.11</v>
      </c>
      <c r="J1979" s="10">
        <v>75.849999999999994</v>
      </c>
      <c r="K1979" s="10">
        <v>75.599999999999994</v>
      </c>
      <c r="L1979" s="10">
        <v>75.349999999999994</v>
      </c>
      <c r="M1979" s="10">
        <v>75.08</v>
      </c>
      <c r="N1979" s="10">
        <v>75.53</v>
      </c>
      <c r="O1979" s="10">
        <v>74.459999999999994</v>
      </c>
      <c r="P1979" s="10">
        <v>73.62</v>
      </c>
      <c r="Q1979" s="10">
        <v>73.010000000000005</v>
      </c>
      <c r="R1979" s="10">
        <v>72.55</v>
      </c>
      <c r="S1979" s="10">
        <v>72.180000000000007</v>
      </c>
      <c r="T1979" s="10">
        <v>71.86</v>
      </c>
      <c r="U1979" s="10">
        <v>71.569999999999993</v>
      </c>
      <c r="V1979" s="10">
        <v>71.290000000000006</v>
      </c>
      <c r="W1979" s="10">
        <v>71</v>
      </c>
      <c r="X1979" s="10">
        <v>70.72</v>
      </c>
      <c r="Y1979" s="10">
        <v>70.45</v>
      </c>
      <c r="Z1979" s="11">
        <v>77.667000000000002</v>
      </c>
      <c r="AA1979" s="11">
        <v>77.941000000000003</v>
      </c>
      <c r="AB1979" s="11">
        <v>76.872</v>
      </c>
      <c r="AC1979" s="11">
        <v>76.266999999999996</v>
      </c>
      <c r="AD1979" s="11">
        <v>75.825999999999993</v>
      </c>
      <c r="AE1979" s="11">
        <v>75.534999999999997</v>
      </c>
      <c r="AF1979" s="11">
        <v>75.295000000000002</v>
      </c>
      <c r="AG1979" s="11">
        <v>75.054000000000002</v>
      </c>
      <c r="AH1979" s="11">
        <v>74.823999999999998</v>
      </c>
      <c r="AI1979" s="11">
        <v>74.593999999999994</v>
      </c>
      <c r="AJ1979" s="11">
        <v>74.367000000000004</v>
      </c>
      <c r="AK1979" s="11">
        <v>74.138999999999996</v>
      </c>
      <c r="AL1979" s="11"/>
    </row>
    <row r="1980" spans="1:38" x14ac:dyDescent="0.3">
      <c r="A1980" s="9">
        <f>DATE(2024, 8, 28)</f>
        <v>45532</v>
      </c>
      <c r="B1980" s="10">
        <v>78.650000000000006</v>
      </c>
      <c r="C1980" s="10">
        <v>77.58</v>
      </c>
      <c r="D1980" s="10">
        <v>76.8</v>
      </c>
      <c r="E1980" s="10">
        <v>76.239999999999995</v>
      </c>
      <c r="F1980" s="10">
        <v>75.849999999999994</v>
      </c>
      <c r="G1980" s="10">
        <v>75.569999999999993</v>
      </c>
      <c r="H1980" s="10">
        <v>75.31</v>
      </c>
      <c r="I1980" s="10">
        <v>75.06</v>
      </c>
      <c r="J1980" s="10">
        <v>74.819999999999993</v>
      </c>
      <c r="K1980" s="10">
        <v>74.59</v>
      </c>
      <c r="L1980" s="10">
        <v>74.36</v>
      </c>
      <c r="M1980" s="10">
        <v>74.12</v>
      </c>
      <c r="N1980" s="10">
        <v>74.52</v>
      </c>
      <c r="O1980" s="10">
        <v>73.44</v>
      </c>
      <c r="P1980" s="10">
        <v>72.59</v>
      </c>
      <c r="Q1980" s="10">
        <v>71.989999999999995</v>
      </c>
      <c r="R1980" s="10">
        <v>71.55</v>
      </c>
      <c r="S1980" s="10">
        <v>71.2</v>
      </c>
      <c r="T1980" s="10">
        <v>70.900000000000006</v>
      </c>
      <c r="U1980" s="10">
        <v>70.62</v>
      </c>
      <c r="V1980" s="10">
        <v>70.36</v>
      </c>
      <c r="W1980" s="10">
        <v>70.08</v>
      </c>
      <c r="X1980" s="10">
        <v>69.819999999999993</v>
      </c>
      <c r="Y1980" s="10">
        <v>69.58</v>
      </c>
      <c r="Z1980" s="11">
        <v>77.555000000000007</v>
      </c>
      <c r="AA1980" s="11">
        <v>76.957999999999998</v>
      </c>
      <c r="AB1980" s="11">
        <v>75.793999999999997</v>
      </c>
      <c r="AC1980" s="11">
        <v>75.171999999999997</v>
      </c>
      <c r="AD1980" s="11">
        <v>74.727999999999994</v>
      </c>
      <c r="AE1980" s="11">
        <v>74.438000000000002</v>
      </c>
      <c r="AF1980" s="11">
        <v>74.192999999999998</v>
      </c>
      <c r="AG1980" s="11">
        <v>73.959000000000003</v>
      </c>
      <c r="AH1980" s="11">
        <v>73.728999999999999</v>
      </c>
      <c r="AI1980" s="11">
        <v>73.5</v>
      </c>
      <c r="AJ1980" s="11">
        <v>73.278999999999996</v>
      </c>
      <c r="AK1980" s="11">
        <v>73.06</v>
      </c>
      <c r="AL1980" s="11"/>
    </row>
    <row r="1981" spans="1:38" x14ac:dyDescent="0.3">
      <c r="A1981" s="9">
        <f>DATE(2024, 8, 29)</f>
        <v>45533</v>
      </c>
      <c r="B1981" s="10">
        <v>79.94</v>
      </c>
      <c r="C1981" s="10">
        <v>78.819999999999993</v>
      </c>
      <c r="D1981" s="10">
        <v>77.98</v>
      </c>
      <c r="E1981" s="10">
        <v>77.38</v>
      </c>
      <c r="F1981" s="10">
        <v>76.959999999999994</v>
      </c>
      <c r="G1981" s="10">
        <v>76.66</v>
      </c>
      <c r="H1981" s="10">
        <v>76.38</v>
      </c>
      <c r="I1981" s="10">
        <v>76.11</v>
      </c>
      <c r="J1981" s="10">
        <v>75.849999999999994</v>
      </c>
      <c r="K1981" s="10">
        <v>75.59</v>
      </c>
      <c r="L1981" s="10">
        <v>75.34</v>
      </c>
      <c r="M1981" s="10">
        <v>75.08</v>
      </c>
      <c r="N1981" s="10">
        <v>75.91</v>
      </c>
      <c r="O1981" s="10">
        <v>74.67</v>
      </c>
      <c r="P1981" s="10">
        <v>73.73</v>
      </c>
      <c r="Q1981" s="10">
        <v>73.09</v>
      </c>
      <c r="R1981" s="10">
        <v>72.62</v>
      </c>
      <c r="S1981" s="10">
        <v>72.25</v>
      </c>
      <c r="T1981" s="10">
        <v>71.930000000000007</v>
      </c>
      <c r="U1981" s="10">
        <v>71.63</v>
      </c>
      <c r="V1981" s="10">
        <v>71.349999999999994</v>
      </c>
      <c r="W1981" s="10">
        <v>71.05</v>
      </c>
      <c r="X1981" s="10">
        <v>70.77</v>
      </c>
      <c r="Y1981" s="10">
        <v>70.5</v>
      </c>
      <c r="Z1981" s="11">
        <v>77.587000000000003</v>
      </c>
      <c r="AA1981" s="11">
        <v>78.069999999999993</v>
      </c>
      <c r="AB1981" s="11">
        <v>76.944000000000003</v>
      </c>
      <c r="AC1981" s="11">
        <v>76.3</v>
      </c>
      <c r="AD1981" s="11">
        <v>75.828999999999994</v>
      </c>
      <c r="AE1981" s="11">
        <v>75.516999999999996</v>
      </c>
      <c r="AF1981" s="11">
        <v>75.266999999999996</v>
      </c>
      <c r="AG1981" s="11">
        <v>75.028000000000006</v>
      </c>
      <c r="AH1981" s="11">
        <v>74.787999999999997</v>
      </c>
      <c r="AI1981" s="11">
        <v>74.549000000000007</v>
      </c>
      <c r="AJ1981" s="11">
        <v>74.308000000000007</v>
      </c>
      <c r="AK1981" s="11">
        <v>74.058999999999997</v>
      </c>
      <c r="AL1981" s="11"/>
    </row>
    <row r="1982" spans="1:38" x14ac:dyDescent="0.3">
      <c r="A1982" s="9">
        <f>DATE(2024, 8, 30)</f>
        <v>45534</v>
      </c>
      <c r="B1982" s="10">
        <v>78.8</v>
      </c>
      <c r="C1982" s="10">
        <v>76.930000000000007</v>
      </c>
      <c r="D1982" s="10">
        <v>76.239999999999995</v>
      </c>
      <c r="E1982" s="10">
        <v>75.72</v>
      </c>
      <c r="F1982" s="10">
        <v>75.38</v>
      </c>
      <c r="G1982" s="10">
        <v>75.13</v>
      </c>
      <c r="H1982" s="10">
        <v>74.89</v>
      </c>
      <c r="I1982" s="10">
        <v>74.66</v>
      </c>
      <c r="J1982" s="10">
        <v>74.430000000000007</v>
      </c>
      <c r="K1982" s="10">
        <v>74.209999999999994</v>
      </c>
      <c r="L1982" s="10">
        <v>73.989999999999995</v>
      </c>
      <c r="M1982" s="10">
        <v>73.760000000000005</v>
      </c>
      <c r="N1982" s="10">
        <v>73.55</v>
      </c>
      <c r="O1982" s="10">
        <v>72.650000000000006</v>
      </c>
      <c r="P1982" s="10">
        <v>71.89</v>
      </c>
      <c r="Q1982" s="10">
        <v>71.36</v>
      </c>
      <c r="R1982" s="10">
        <v>70.97</v>
      </c>
      <c r="S1982" s="10">
        <v>70.67</v>
      </c>
      <c r="T1982" s="10">
        <v>70.400000000000006</v>
      </c>
      <c r="U1982" s="10">
        <v>70.150000000000006</v>
      </c>
      <c r="V1982" s="10">
        <v>69.89</v>
      </c>
      <c r="W1982" s="10">
        <v>69.63</v>
      </c>
      <c r="X1982" s="10">
        <v>69.39</v>
      </c>
      <c r="Y1982" s="10">
        <v>69.150000000000006</v>
      </c>
      <c r="Z1982" s="11">
        <v>77.596000000000004</v>
      </c>
      <c r="AA1982" s="11">
        <v>76.266999999999996</v>
      </c>
      <c r="AB1982" s="11">
        <v>75.147000000000006</v>
      </c>
      <c r="AC1982" s="11">
        <v>74.527000000000001</v>
      </c>
      <c r="AD1982" s="11">
        <v>74.117000000000004</v>
      </c>
      <c r="AE1982" s="11">
        <v>73.846999999999994</v>
      </c>
      <c r="AF1982" s="11">
        <v>73.652000000000001</v>
      </c>
      <c r="AG1982" s="11">
        <v>73.459000000000003</v>
      </c>
      <c r="AH1982" s="11">
        <v>73.260000000000005</v>
      </c>
      <c r="AI1982" s="11">
        <v>73.069999999999993</v>
      </c>
      <c r="AJ1982" s="11">
        <v>72.872</v>
      </c>
      <c r="AK1982" s="11">
        <v>72.671000000000006</v>
      </c>
      <c r="AL1982" s="11"/>
    </row>
    <row r="1983" spans="1:38" x14ac:dyDescent="0.3">
      <c r="A1983" s="9">
        <f>DATE(2024, 9, 2)</f>
        <v>45537</v>
      </c>
      <c r="B1983" s="10">
        <v>77.52</v>
      </c>
      <c r="C1983" s="10">
        <v>76.73</v>
      </c>
      <c r="D1983" s="10">
        <v>76.16</v>
      </c>
      <c r="E1983" s="10">
        <v>75.78</v>
      </c>
      <c r="F1983" s="10">
        <v>75.510000000000005</v>
      </c>
      <c r="G1983" s="10">
        <v>75.260000000000005</v>
      </c>
      <c r="H1983" s="10">
        <v>75.02</v>
      </c>
      <c r="I1983" s="10">
        <v>74.790000000000006</v>
      </c>
      <c r="J1983" s="10">
        <v>74.569999999999993</v>
      </c>
      <c r="K1983" s="10">
        <v>74.349999999999994</v>
      </c>
      <c r="L1983" s="10">
        <v>74.12</v>
      </c>
      <c r="M1983" s="10">
        <v>73.900000000000006</v>
      </c>
      <c r="N1983" s="10">
        <v>73.55</v>
      </c>
      <c r="O1983" s="10">
        <v>72.650000000000006</v>
      </c>
      <c r="P1983" s="10">
        <v>71.89</v>
      </c>
      <c r="Q1983" s="10">
        <v>71.36</v>
      </c>
      <c r="R1983" s="10">
        <v>70.97</v>
      </c>
      <c r="S1983" s="10">
        <v>70.67</v>
      </c>
      <c r="T1983" s="10">
        <v>70.400000000000006</v>
      </c>
      <c r="U1983" s="10">
        <v>70.150000000000006</v>
      </c>
      <c r="V1983" s="10">
        <v>69.89</v>
      </c>
      <c r="W1983" s="10">
        <v>69.63</v>
      </c>
      <c r="X1983" s="10">
        <v>69.39</v>
      </c>
      <c r="Y1983" s="10">
        <v>69.150000000000006</v>
      </c>
      <c r="Z1983" s="11">
        <v>77.596000000000004</v>
      </c>
      <c r="AA1983" s="11">
        <v>76.956999999999994</v>
      </c>
      <c r="AB1983" s="11">
        <v>75.73</v>
      </c>
      <c r="AC1983" s="11">
        <v>75.046999999999997</v>
      </c>
      <c r="AD1983" s="11">
        <v>74.593999999999994</v>
      </c>
      <c r="AE1983" s="11">
        <v>74.278999999999996</v>
      </c>
      <c r="AF1983" s="11">
        <v>74.052999999999997</v>
      </c>
      <c r="AG1983" s="11">
        <v>73.834000000000003</v>
      </c>
      <c r="AH1983" s="11">
        <v>73.62</v>
      </c>
      <c r="AI1983" s="11">
        <v>73.415000000000006</v>
      </c>
      <c r="AJ1983" s="11">
        <v>73.213999999999999</v>
      </c>
      <c r="AK1983" s="11">
        <v>73</v>
      </c>
      <c r="AL1983" s="11"/>
    </row>
    <row r="1984" spans="1:38" x14ac:dyDescent="0.3">
      <c r="A1984" s="9">
        <f>DATE(2024, 9, 3)</f>
        <v>45538</v>
      </c>
      <c r="B1984" s="10">
        <v>73.75</v>
      </c>
      <c r="C1984" s="10">
        <v>73.3</v>
      </c>
      <c r="D1984" s="10">
        <v>72.91</v>
      </c>
      <c r="E1984" s="10">
        <v>72.61</v>
      </c>
      <c r="F1984" s="10">
        <v>72.400000000000006</v>
      </c>
      <c r="G1984" s="10">
        <v>72.209999999999994</v>
      </c>
      <c r="H1984" s="10">
        <v>72.03</v>
      </c>
      <c r="I1984" s="10">
        <v>71.88</v>
      </c>
      <c r="J1984" s="10">
        <v>71.72</v>
      </c>
      <c r="K1984" s="10">
        <v>71.569999999999993</v>
      </c>
      <c r="L1984" s="10">
        <v>71.41</v>
      </c>
      <c r="M1984" s="10">
        <v>71.260000000000005</v>
      </c>
      <c r="N1984" s="10">
        <v>70.34</v>
      </c>
      <c r="O1984" s="10">
        <v>69.59</v>
      </c>
      <c r="P1984" s="10">
        <v>69.040000000000006</v>
      </c>
      <c r="Q1984" s="10">
        <v>68.64</v>
      </c>
      <c r="R1984" s="10">
        <v>68.31</v>
      </c>
      <c r="S1984" s="10">
        <v>68.06</v>
      </c>
      <c r="T1984" s="10">
        <v>67.849999999999994</v>
      </c>
      <c r="U1984" s="10">
        <v>67.650000000000006</v>
      </c>
      <c r="V1984" s="10">
        <v>67.45</v>
      </c>
      <c r="W1984" s="10">
        <v>67.239999999999995</v>
      </c>
      <c r="X1984" s="10">
        <v>67.05</v>
      </c>
      <c r="Y1984" s="10">
        <v>66.88</v>
      </c>
      <c r="Z1984" s="11">
        <v>73.912000000000006</v>
      </c>
      <c r="AA1984" s="11">
        <v>72.332999999999998</v>
      </c>
      <c r="AB1984" s="11">
        <v>71.775999999999996</v>
      </c>
      <c r="AC1984" s="11">
        <v>71.400999999999996</v>
      </c>
      <c r="AD1984" s="11">
        <v>71.161000000000001</v>
      </c>
      <c r="AE1984" s="11">
        <v>71.006</v>
      </c>
      <c r="AF1984" s="11">
        <v>70.863</v>
      </c>
      <c r="AG1984" s="11">
        <v>70.731999999999999</v>
      </c>
      <c r="AH1984" s="11">
        <v>70.593000000000004</v>
      </c>
      <c r="AI1984" s="11">
        <v>70.462000000000003</v>
      </c>
      <c r="AJ1984" s="11">
        <v>70.322999999999993</v>
      </c>
      <c r="AK1984" s="11">
        <v>70.192999999999998</v>
      </c>
      <c r="AL1984" s="11"/>
    </row>
    <row r="1985" spans="1:38" x14ac:dyDescent="0.3">
      <c r="A1985" s="9">
        <f>DATE(2024, 9, 4)</f>
        <v>45539</v>
      </c>
      <c r="B1985" s="10">
        <v>72.7</v>
      </c>
      <c r="C1985" s="10">
        <v>72.28</v>
      </c>
      <c r="D1985" s="10">
        <v>71.930000000000007</v>
      </c>
      <c r="E1985" s="10">
        <v>71.66</v>
      </c>
      <c r="F1985" s="10">
        <v>71.489999999999995</v>
      </c>
      <c r="G1985" s="10">
        <v>71.34</v>
      </c>
      <c r="H1985" s="10">
        <v>71.209999999999994</v>
      </c>
      <c r="I1985" s="10">
        <v>71.099999999999994</v>
      </c>
      <c r="J1985" s="10">
        <v>70.989999999999995</v>
      </c>
      <c r="K1985" s="10">
        <v>70.87</v>
      </c>
      <c r="L1985" s="10">
        <v>70.75</v>
      </c>
      <c r="M1985" s="10">
        <v>70.64</v>
      </c>
      <c r="N1985" s="10">
        <v>69.2</v>
      </c>
      <c r="O1985" s="10">
        <v>68.52</v>
      </c>
      <c r="P1985" s="10">
        <v>68.06</v>
      </c>
      <c r="Q1985" s="10">
        <v>67.72</v>
      </c>
      <c r="R1985" s="10">
        <v>67.45</v>
      </c>
      <c r="S1985" s="10">
        <v>67.239999999999995</v>
      </c>
      <c r="T1985" s="10">
        <v>67.069999999999993</v>
      </c>
      <c r="U1985" s="10">
        <v>66.92</v>
      </c>
      <c r="V1985" s="10">
        <v>66.78</v>
      </c>
      <c r="W1985" s="10">
        <v>66.63</v>
      </c>
      <c r="X1985" s="10">
        <v>66.489999999999995</v>
      </c>
      <c r="Y1985" s="10">
        <v>66.349999999999994</v>
      </c>
      <c r="Z1985" s="11">
        <v>73.117000000000004</v>
      </c>
      <c r="AA1985" s="11">
        <v>71.42</v>
      </c>
      <c r="AB1985" s="11">
        <v>70.882000000000005</v>
      </c>
      <c r="AC1985" s="11">
        <v>70.519000000000005</v>
      </c>
      <c r="AD1985" s="11">
        <v>70.302999999999997</v>
      </c>
      <c r="AE1985" s="11">
        <v>70.174000000000007</v>
      </c>
      <c r="AF1985" s="11">
        <v>70.055000000000007</v>
      </c>
      <c r="AG1985" s="11">
        <v>69.954999999999998</v>
      </c>
      <c r="AH1985" s="11">
        <v>69.852999999999994</v>
      </c>
      <c r="AI1985" s="11">
        <v>69.763999999999996</v>
      </c>
      <c r="AJ1985" s="11">
        <v>69.674999999999997</v>
      </c>
      <c r="AK1985" s="11">
        <v>69.584999999999994</v>
      </c>
      <c r="AL1985" s="11"/>
    </row>
    <row r="1986" spans="1:38" x14ac:dyDescent="0.3">
      <c r="A1986" s="9">
        <f>DATE(2024, 9, 5)</f>
        <v>45540</v>
      </c>
      <c r="B1986" s="10">
        <v>72.69</v>
      </c>
      <c r="C1986" s="10">
        <v>72.33</v>
      </c>
      <c r="D1986" s="10">
        <v>72.040000000000006</v>
      </c>
      <c r="E1986" s="10">
        <v>71.84</v>
      </c>
      <c r="F1986" s="10">
        <v>71.72</v>
      </c>
      <c r="G1986" s="10">
        <v>71.62</v>
      </c>
      <c r="H1986" s="10">
        <v>71.53</v>
      </c>
      <c r="I1986" s="10">
        <v>71.45</v>
      </c>
      <c r="J1986" s="10">
        <v>71.37</v>
      </c>
      <c r="K1986" s="10">
        <v>71.28</v>
      </c>
      <c r="L1986" s="10">
        <v>71.180000000000007</v>
      </c>
      <c r="M1986" s="10">
        <v>71.09</v>
      </c>
      <c r="N1986" s="10">
        <v>69.150000000000006</v>
      </c>
      <c r="O1986" s="10">
        <v>68.5</v>
      </c>
      <c r="P1986" s="10">
        <v>68.08</v>
      </c>
      <c r="Q1986" s="10">
        <v>67.81</v>
      </c>
      <c r="R1986" s="10">
        <v>67.61</v>
      </c>
      <c r="S1986" s="10">
        <v>67.459999999999994</v>
      </c>
      <c r="T1986" s="10">
        <v>67.34</v>
      </c>
      <c r="U1986" s="10">
        <v>67.239999999999995</v>
      </c>
      <c r="V1986" s="10">
        <v>67.13</v>
      </c>
      <c r="W1986" s="10">
        <v>67.010000000000005</v>
      </c>
      <c r="X1986" s="10">
        <v>66.89</v>
      </c>
      <c r="Y1986" s="10">
        <v>66.77</v>
      </c>
      <c r="Z1986" s="11">
        <v>73.203000000000003</v>
      </c>
      <c r="AA1986" s="11">
        <v>71.587000000000003</v>
      </c>
      <c r="AB1986" s="11">
        <v>71.040000000000006</v>
      </c>
      <c r="AC1986" s="11">
        <v>70.697999999999993</v>
      </c>
      <c r="AD1986" s="11">
        <v>70.486000000000004</v>
      </c>
      <c r="AE1986" s="11">
        <v>70.376000000000005</v>
      </c>
      <c r="AF1986" s="11">
        <v>70.275999999999996</v>
      </c>
      <c r="AG1986" s="11">
        <v>70.195999999999998</v>
      </c>
      <c r="AH1986" s="11">
        <v>70.116</v>
      </c>
      <c r="AI1986" s="11">
        <v>70.034999999999997</v>
      </c>
      <c r="AJ1986" s="11">
        <v>69.945999999999998</v>
      </c>
      <c r="AK1986" s="11">
        <v>69.855999999999995</v>
      </c>
      <c r="AL1986" s="11"/>
    </row>
    <row r="1987" spans="1:38" x14ac:dyDescent="0.3">
      <c r="A1987" s="9">
        <f>DATE(2024, 9, 6)</f>
        <v>45541</v>
      </c>
      <c r="B1987" s="10">
        <v>71.06</v>
      </c>
      <c r="C1987" s="10">
        <v>70.709999999999994</v>
      </c>
      <c r="D1987" s="10">
        <v>70.45</v>
      </c>
      <c r="E1987" s="10">
        <v>70.290000000000006</v>
      </c>
      <c r="F1987" s="10">
        <v>70.23</v>
      </c>
      <c r="G1987" s="10">
        <v>70.19</v>
      </c>
      <c r="H1987" s="10">
        <v>70.16</v>
      </c>
      <c r="I1987" s="10">
        <v>70.14</v>
      </c>
      <c r="J1987" s="10">
        <v>70.099999999999994</v>
      </c>
      <c r="K1987" s="10">
        <v>70.05</v>
      </c>
      <c r="L1987" s="10">
        <v>69.98</v>
      </c>
      <c r="M1987" s="10">
        <v>69.92</v>
      </c>
      <c r="N1987" s="10">
        <v>67.67</v>
      </c>
      <c r="O1987" s="10">
        <v>66.98</v>
      </c>
      <c r="P1987" s="10">
        <v>66.52</v>
      </c>
      <c r="Q1987" s="10">
        <v>66.260000000000005</v>
      </c>
      <c r="R1987" s="10">
        <v>66.09</v>
      </c>
      <c r="S1987" s="10">
        <v>66</v>
      </c>
      <c r="T1987" s="10">
        <v>65.94</v>
      </c>
      <c r="U1987" s="10">
        <v>65.89</v>
      </c>
      <c r="V1987" s="10">
        <v>65.819999999999993</v>
      </c>
      <c r="W1987" s="10">
        <v>65.73</v>
      </c>
      <c r="X1987" s="10">
        <v>65.64</v>
      </c>
      <c r="Y1987" s="10">
        <v>65.55</v>
      </c>
      <c r="Z1987" s="11">
        <v>72.088999999999999</v>
      </c>
      <c r="AA1987" s="11">
        <v>70.094999999999999</v>
      </c>
      <c r="AB1987" s="11">
        <v>69.534000000000006</v>
      </c>
      <c r="AC1987" s="11">
        <v>69.230999999999995</v>
      </c>
      <c r="AD1987" s="11">
        <v>69.082999999999998</v>
      </c>
      <c r="AE1987" s="11">
        <v>69.019000000000005</v>
      </c>
      <c r="AF1987" s="11">
        <v>68.968999999999994</v>
      </c>
      <c r="AG1987" s="11">
        <v>68.918000000000006</v>
      </c>
      <c r="AH1987" s="11">
        <v>68.847999999999999</v>
      </c>
      <c r="AI1987" s="11">
        <v>68.777000000000001</v>
      </c>
      <c r="AJ1987" s="11">
        <v>68.710999999999999</v>
      </c>
      <c r="AK1987" s="11">
        <v>68.650999999999996</v>
      </c>
      <c r="AL1987" s="11"/>
    </row>
    <row r="1988" spans="1:38" x14ac:dyDescent="0.3">
      <c r="A1988" s="9">
        <f>DATE(2024, 9, 9)</f>
        <v>45544</v>
      </c>
      <c r="B1988" s="10">
        <v>71.84</v>
      </c>
      <c r="C1988" s="10">
        <v>71.36</v>
      </c>
      <c r="D1988" s="10">
        <v>71</v>
      </c>
      <c r="E1988" s="10">
        <v>70.790000000000006</v>
      </c>
      <c r="F1988" s="10">
        <v>70.680000000000007</v>
      </c>
      <c r="G1988" s="10">
        <v>70.59</v>
      </c>
      <c r="H1988" s="10">
        <v>70.53</v>
      </c>
      <c r="I1988" s="10">
        <v>70.48</v>
      </c>
      <c r="J1988" s="10">
        <v>70.400000000000006</v>
      </c>
      <c r="K1988" s="10">
        <v>70.319999999999993</v>
      </c>
      <c r="L1988" s="10">
        <v>70.239999999999995</v>
      </c>
      <c r="M1988" s="10">
        <v>70.16</v>
      </c>
      <c r="N1988" s="10">
        <v>68.709999999999994</v>
      </c>
      <c r="O1988" s="10">
        <v>67.91</v>
      </c>
      <c r="P1988" s="10">
        <v>67.31</v>
      </c>
      <c r="Q1988" s="10">
        <v>66.930000000000007</v>
      </c>
      <c r="R1988" s="10">
        <v>66.66</v>
      </c>
      <c r="S1988" s="10">
        <v>66.510000000000005</v>
      </c>
      <c r="T1988" s="10">
        <v>66.39</v>
      </c>
      <c r="U1988" s="10">
        <v>66.290000000000006</v>
      </c>
      <c r="V1988" s="10">
        <v>66.19</v>
      </c>
      <c r="W1988" s="10">
        <v>66.06</v>
      </c>
      <c r="X1988" s="10">
        <v>65.930000000000007</v>
      </c>
      <c r="Y1988" s="10">
        <v>65.81</v>
      </c>
      <c r="Z1988" s="11">
        <v>72.635000000000005</v>
      </c>
      <c r="AA1988" s="11">
        <v>70.733999999999995</v>
      </c>
      <c r="AB1988" s="11">
        <v>70.16</v>
      </c>
      <c r="AC1988" s="11">
        <v>69.795000000000002</v>
      </c>
      <c r="AD1988" s="11">
        <v>69.575999999999993</v>
      </c>
      <c r="AE1988" s="11">
        <v>69.456999999999994</v>
      </c>
      <c r="AF1988" s="11">
        <v>69.367999999999995</v>
      </c>
      <c r="AG1988" s="11">
        <v>69.286000000000001</v>
      </c>
      <c r="AH1988" s="11">
        <v>69.186000000000007</v>
      </c>
      <c r="AI1988" s="11">
        <v>69.096000000000004</v>
      </c>
      <c r="AJ1988" s="11">
        <v>69.016999999999996</v>
      </c>
      <c r="AK1988" s="11">
        <v>68.936000000000007</v>
      </c>
      <c r="AL1988" s="11"/>
    </row>
    <row r="1989" spans="1:38" x14ac:dyDescent="0.3">
      <c r="A1989" s="9">
        <f>DATE(2024, 9, 10)</f>
        <v>45545</v>
      </c>
      <c r="B1989" s="10">
        <v>69.19</v>
      </c>
      <c r="C1989" s="10">
        <v>68.83</v>
      </c>
      <c r="D1989" s="10">
        <v>68.540000000000006</v>
      </c>
      <c r="E1989" s="10">
        <v>68.400000000000006</v>
      </c>
      <c r="F1989" s="10">
        <v>68.34</v>
      </c>
      <c r="G1989" s="10">
        <v>68.3</v>
      </c>
      <c r="H1989" s="10">
        <v>68.28</v>
      </c>
      <c r="I1989" s="10">
        <v>68.27</v>
      </c>
      <c r="J1989" s="10">
        <v>68.239999999999995</v>
      </c>
      <c r="K1989" s="10">
        <v>68.2</v>
      </c>
      <c r="L1989" s="10">
        <v>68.150000000000006</v>
      </c>
      <c r="M1989" s="10">
        <v>68.11</v>
      </c>
      <c r="N1989" s="10">
        <v>65.75</v>
      </c>
      <c r="O1989" s="10">
        <v>65.14</v>
      </c>
      <c r="P1989" s="10">
        <v>64.69</v>
      </c>
      <c r="Q1989" s="10">
        <v>64.42</v>
      </c>
      <c r="R1989" s="10">
        <v>64.25</v>
      </c>
      <c r="S1989" s="10">
        <v>64.14</v>
      </c>
      <c r="T1989" s="10">
        <v>64.06</v>
      </c>
      <c r="U1989" s="10">
        <v>64.010000000000005</v>
      </c>
      <c r="V1989" s="10">
        <v>63.95</v>
      </c>
      <c r="W1989" s="10">
        <v>63.87</v>
      </c>
      <c r="X1989" s="10">
        <v>63.79</v>
      </c>
      <c r="Y1989" s="10">
        <v>63.71</v>
      </c>
      <c r="Z1989" s="11">
        <v>70.992000000000004</v>
      </c>
      <c r="AA1989" s="11">
        <v>68.326999999999998</v>
      </c>
      <c r="AB1989" s="11">
        <v>67.783000000000001</v>
      </c>
      <c r="AC1989" s="11">
        <v>67.459999999999994</v>
      </c>
      <c r="AD1989" s="11">
        <v>67.287999999999997</v>
      </c>
      <c r="AE1989" s="11">
        <v>67.218999999999994</v>
      </c>
      <c r="AF1989" s="11">
        <v>67.17</v>
      </c>
      <c r="AG1989" s="11">
        <v>67.129000000000005</v>
      </c>
      <c r="AH1989" s="11">
        <v>67.087999999999994</v>
      </c>
      <c r="AI1989" s="11">
        <v>67.037999999999997</v>
      </c>
      <c r="AJ1989" s="11">
        <v>66.998000000000005</v>
      </c>
      <c r="AK1989" s="11">
        <v>66.957999999999998</v>
      </c>
      <c r="AL1989" s="11"/>
    </row>
    <row r="1990" spans="1:38" x14ac:dyDescent="0.3">
      <c r="A1990" s="9">
        <f>DATE(2024, 9, 11)</f>
        <v>45546</v>
      </c>
      <c r="B1990" s="10">
        <v>70.61</v>
      </c>
      <c r="C1990" s="10">
        <v>70.17</v>
      </c>
      <c r="D1990" s="10">
        <v>69.81</v>
      </c>
      <c r="E1990" s="10">
        <v>69.650000000000006</v>
      </c>
      <c r="F1990" s="10">
        <v>69.56</v>
      </c>
      <c r="G1990" s="10">
        <v>69.5</v>
      </c>
      <c r="H1990" s="10">
        <v>69.45</v>
      </c>
      <c r="I1990" s="10">
        <v>69.42</v>
      </c>
      <c r="J1990" s="10">
        <v>69.37</v>
      </c>
      <c r="K1990" s="10">
        <v>69.31</v>
      </c>
      <c r="L1990" s="10">
        <v>69.239999999999995</v>
      </c>
      <c r="M1990" s="10">
        <v>69.180000000000007</v>
      </c>
      <c r="N1990" s="10">
        <v>67.31</v>
      </c>
      <c r="O1990" s="10">
        <v>66.599999999999994</v>
      </c>
      <c r="P1990" s="10">
        <v>66.08</v>
      </c>
      <c r="Q1990" s="10">
        <v>65.77</v>
      </c>
      <c r="R1990" s="10">
        <v>65.569999999999993</v>
      </c>
      <c r="S1990" s="10">
        <v>65.430000000000007</v>
      </c>
      <c r="T1990" s="10">
        <v>65.33</v>
      </c>
      <c r="U1990" s="10">
        <v>65.260000000000005</v>
      </c>
      <c r="V1990" s="10">
        <v>65.17</v>
      </c>
      <c r="W1990" s="10">
        <v>65.069999999999993</v>
      </c>
      <c r="X1990" s="10">
        <v>64.97</v>
      </c>
      <c r="Y1990" s="10">
        <v>64.87</v>
      </c>
      <c r="Z1990" s="11">
        <v>71.856999999999999</v>
      </c>
      <c r="AA1990" s="11">
        <v>69.614000000000004</v>
      </c>
      <c r="AB1990" s="11">
        <v>69.039000000000001</v>
      </c>
      <c r="AC1990" s="11">
        <v>68.703999999999994</v>
      </c>
      <c r="AD1990" s="11">
        <v>68.516999999999996</v>
      </c>
      <c r="AE1990" s="11">
        <v>68.438000000000002</v>
      </c>
      <c r="AF1990" s="11">
        <v>68.388999999999996</v>
      </c>
      <c r="AG1990" s="11">
        <v>68.347999999999999</v>
      </c>
      <c r="AH1990" s="11">
        <v>68.296999999999997</v>
      </c>
      <c r="AI1990" s="11">
        <v>68.236999999999995</v>
      </c>
      <c r="AJ1990" s="11">
        <v>68.167000000000002</v>
      </c>
      <c r="AK1990" s="11">
        <v>68.096999999999994</v>
      </c>
      <c r="AL1990" s="11"/>
    </row>
    <row r="1991" spans="1:38" x14ac:dyDescent="0.3">
      <c r="A1991" s="9">
        <f>DATE(2024, 9, 12)</f>
        <v>45547</v>
      </c>
      <c r="B1991" s="10">
        <v>71.97</v>
      </c>
      <c r="C1991" s="10">
        <v>71.430000000000007</v>
      </c>
      <c r="D1991" s="10">
        <v>71.05</v>
      </c>
      <c r="E1991" s="10">
        <v>70.849999999999994</v>
      </c>
      <c r="F1991" s="10">
        <v>70.760000000000005</v>
      </c>
      <c r="G1991" s="10">
        <v>70.7</v>
      </c>
      <c r="H1991" s="10">
        <v>70.66</v>
      </c>
      <c r="I1991" s="10">
        <v>70.62</v>
      </c>
      <c r="J1991" s="10">
        <v>70.569999999999993</v>
      </c>
      <c r="K1991" s="10">
        <v>70.5</v>
      </c>
      <c r="L1991" s="10">
        <v>70.42</v>
      </c>
      <c r="M1991" s="10">
        <v>70.34</v>
      </c>
      <c r="N1991" s="10">
        <v>68.97</v>
      </c>
      <c r="O1991" s="10">
        <v>68.150000000000006</v>
      </c>
      <c r="P1991" s="10">
        <v>67.53</v>
      </c>
      <c r="Q1991" s="10">
        <v>67.150000000000006</v>
      </c>
      <c r="R1991" s="10">
        <v>66.91</v>
      </c>
      <c r="S1991" s="10">
        <v>66.760000000000005</v>
      </c>
      <c r="T1991" s="10">
        <v>66.64</v>
      </c>
      <c r="U1991" s="10">
        <v>66.55</v>
      </c>
      <c r="V1991" s="10">
        <v>66.459999999999994</v>
      </c>
      <c r="W1991" s="10">
        <v>66.34</v>
      </c>
      <c r="X1991" s="10">
        <v>66.23</v>
      </c>
      <c r="Y1991" s="10">
        <v>66.11</v>
      </c>
      <c r="Z1991" s="11">
        <v>72.802000000000007</v>
      </c>
      <c r="AA1991" s="11">
        <v>71.018000000000001</v>
      </c>
      <c r="AB1991" s="11">
        <v>70.387</v>
      </c>
      <c r="AC1991" s="11">
        <v>70.010999999999996</v>
      </c>
      <c r="AD1991" s="11">
        <v>69.796999999999997</v>
      </c>
      <c r="AE1991" s="11">
        <v>69.695999999999998</v>
      </c>
      <c r="AF1991" s="11">
        <v>69.625</v>
      </c>
      <c r="AG1991" s="11">
        <v>69.578000000000003</v>
      </c>
      <c r="AH1991" s="11">
        <v>69.516999999999996</v>
      </c>
      <c r="AI1991" s="11">
        <v>69.445999999999998</v>
      </c>
      <c r="AJ1991" s="11">
        <v>69.367000000000004</v>
      </c>
      <c r="AK1991" s="11">
        <v>69.286000000000001</v>
      </c>
      <c r="AL1991" s="11"/>
    </row>
    <row r="1992" spans="1:38" x14ac:dyDescent="0.3">
      <c r="A1992" s="9">
        <f>DATE(2024, 9, 13)</f>
        <v>45548</v>
      </c>
      <c r="B1992" s="10">
        <v>71.61</v>
      </c>
      <c r="C1992" s="10">
        <v>71.05</v>
      </c>
      <c r="D1992" s="10">
        <v>70.64</v>
      </c>
      <c r="E1992" s="10">
        <v>70.42</v>
      </c>
      <c r="F1992" s="10">
        <v>70.31</v>
      </c>
      <c r="G1992" s="10">
        <v>70.239999999999995</v>
      </c>
      <c r="H1992" s="10">
        <v>70.19</v>
      </c>
      <c r="I1992" s="10">
        <v>70.16</v>
      </c>
      <c r="J1992" s="10">
        <v>70.11</v>
      </c>
      <c r="K1992" s="10">
        <v>70.040000000000006</v>
      </c>
      <c r="L1992" s="10">
        <v>69.959999999999994</v>
      </c>
      <c r="M1992" s="10">
        <v>69.88</v>
      </c>
      <c r="N1992" s="10">
        <v>68.650000000000006</v>
      </c>
      <c r="O1992" s="10">
        <v>67.75</v>
      </c>
      <c r="P1992" s="10">
        <v>67.09</v>
      </c>
      <c r="Q1992" s="10">
        <v>66.680000000000007</v>
      </c>
      <c r="R1992" s="10">
        <v>66.42</v>
      </c>
      <c r="S1992" s="10">
        <v>66.25</v>
      </c>
      <c r="T1992" s="10">
        <v>66.13</v>
      </c>
      <c r="U1992" s="10">
        <v>66.02</v>
      </c>
      <c r="V1992" s="10">
        <v>65.92</v>
      </c>
      <c r="W1992" s="10">
        <v>65.8</v>
      </c>
      <c r="X1992" s="10">
        <v>65.69</v>
      </c>
      <c r="Y1992" s="10">
        <v>65.569999999999993</v>
      </c>
      <c r="Z1992" s="11">
        <v>72.587999999999994</v>
      </c>
      <c r="AA1992" s="11">
        <v>70.631</v>
      </c>
      <c r="AB1992" s="11">
        <v>69.986000000000004</v>
      </c>
      <c r="AC1992" s="11">
        <v>69.56</v>
      </c>
      <c r="AD1992" s="11">
        <v>69.307000000000002</v>
      </c>
      <c r="AE1992" s="11">
        <v>69.210999999999999</v>
      </c>
      <c r="AF1992" s="11">
        <v>69.138999999999996</v>
      </c>
      <c r="AG1992" s="11">
        <v>69.087999999999994</v>
      </c>
      <c r="AH1992" s="11">
        <v>69.027000000000001</v>
      </c>
      <c r="AI1992" s="11">
        <v>68.965999999999994</v>
      </c>
      <c r="AJ1992" s="11">
        <v>68.897000000000006</v>
      </c>
      <c r="AK1992" s="11">
        <v>68.816000000000003</v>
      </c>
      <c r="AL1992" s="11"/>
    </row>
    <row r="1993" spans="1:38" x14ac:dyDescent="0.3">
      <c r="A1993" s="9">
        <f>DATE(2024, 9, 16)</f>
        <v>45551</v>
      </c>
      <c r="B1993" s="10">
        <v>72.75</v>
      </c>
      <c r="C1993" s="10">
        <v>72.150000000000006</v>
      </c>
      <c r="D1993" s="10">
        <v>71.75</v>
      </c>
      <c r="E1993" s="10">
        <v>71.53</v>
      </c>
      <c r="F1993" s="10">
        <v>71.41</v>
      </c>
      <c r="G1993" s="10">
        <v>71.33</v>
      </c>
      <c r="H1993" s="10">
        <v>71.260000000000005</v>
      </c>
      <c r="I1993" s="10">
        <v>71.2</v>
      </c>
      <c r="J1993" s="10">
        <v>71.12</v>
      </c>
      <c r="K1993" s="10">
        <v>71.03</v>
      </c>
      <c r="L1993" s="10">
        <v>70.92</v>
      </c>
      <c r="M1993" s="10">
        <v>70.81</v>
      </c>
      <c r="N1993" s="10">
        <v>70.09</v>
      </c>
      <c r="O1993" s="10">
        <v>69.02</v>
      </c>
      <c r="P1993" s="10">
        <v>68.290000000000006</v>
      </c>
      <c r="Q1993" s="10">
        <v>67.84</v>
      </c>
      <c r="R1993" s="10">
        <v>67.56</v>
      </c>
      <c r="S1993" s="10">
        <v>67.39</v>
      </c>
      <c r="T1993" s="10">
        <v>67.260000000000005</v>
      </c>
      <c r="U1993" s="10">
        <v>67.14</v>
      </c>
      <c r="V1993" s="10">
        <v>67</v>
      </c>
      <c r="W1993" s="10">
        <v>66.849999999999994</v>
      </c>
      <c r="X1993" s="10">
        <v>66.7</v>
      </c>
      <c r="Y1993" s="10">
        <v>66.56</v>
      </c>
      <c r="Z1993" s="11">
        <v>73.174999999999997</v>
      </c>
      <c r="AA1993" s="11">
        <v>71.763000000000005</v>
      </c>
      <c r="AB1993" s="11">
        <v>71.113</v>
      </c>
      <c r="AC1993" s="11">
        <v>70.694999999999993</v>
      </c>
      <c r="AD1993" s="11">
        <v>70.412000000000006</v>
      </c>
      <c r="AE1993" s="11">
        <v>70.292000000000002</v>
      </c>
      <c r="AF1993" s="11">
        <v>70.206999999999994</v>
      </c>
      <c r="AG1993" s="11">
        <v>70.129000000000005</v>
      </c>
      <c r="AH1993" s="11">
        <v>70.051000000000002</v>
      </c>
      <c r="AI1993" s="11">
        <v>69.97</v>
      </c>
      <c r="AJ1993" s="11">
        <v>69.885000000000005</v>
      </c>
      <c r="AK1993" s="11">
        <v>69.795000000000002</v>
      </c>
      <c r="AL1993" s="11"/>
    </row>
    <row r="1994" spans="1:38" x14ac:dyDescent="0.3">
      <c r="A1994" s="9">
        <f>DATE(2024, 9, 17)</f>
        <v>45552</v>
      </c>
      <c r="B1994" s="10">
        <v>73.7</v>
      </c>
      <c r="C1994" s="10">
        <v>73.010000000000005</v>
      </c>
      <c r="D1994" s="10">
        <v>72.59</v>
      </c>
      <c r="E1994" s="10">
        <v>72.349999999999994</v>
      </c>
      <c r="F1994" s="10">
        <v>72.209999999999994</v>
      </c>
      <c r="G1994" s="10">
        <v>72.099999999999994</v>
      </c>
      <c r="H1994" s="10">
        <v>72</v>
      </c>
      <c r="I1994" s="10">
        <v>71.91</v>
      </c>
      <c r="J1994" s="10">
        <v>71.81</v>
      </c>
      <c r="K1994" s="10">
        <v>71.7</v>
      </c>
      <c r="L1994" s="10">
        <v>71.59</v>
      </c>
      <c r="M1994" s="10">
        <v>71.48</v>
      </c>
      <c r="N1994" s="10">
        <v>71.19</v>
      </c>
      <c r="O1994" s="10">
        <v>69.959999999999994</v>
      </c>
      <c r="P1994" s="10">
        <v>69.17</v>
      </c>
      <c r="Q1994" s="10">
        <v>68.7</v>
      </c>
      <c r="R1994" s="10">
        <v>68.41</v>
      </c>
      <c r="S1994" s="10">
        <v>68.209999999999994</v>
      </c>
      <c r="T1994" s="10">
        <v>68.06</v>
      </c>
      <c r="U1994" s="10">
        <v>67.91</v>
      </c>
      <c r="V1994" s="10">
        <v>67.760000000000005</v>
      </c>
      <c r="W1994" s="10">
        <v>67.59</v>
      </c>
      <c r="X1994" s="10">
        <v>67.42</v>
      </c>
      <c r="Y1994" s="10">
        <v>67.27</v>
      </c>
      <c r="Z1994" s="11">
        <v>73.594999999999999</v>
      </c>
      <c r="AA1994" s="11">
        <v>72.641999999999996</v>
      </c>
      <c r="AB1994" s="11">
        <v>71.980999999999995</v>
      </c>
      <c r="AC1994" s="11">
        <v>71.561000000000007</v>
      </c>
      <c r="AD1994" s="11">
        <v>71.260999999999996</v>
      </c>
      <c r="AE1994" s="11">
        <v>71.111000000000004</v>
      </c>
      <c r="AF1994" s="11">
        <v>71.001000000000005</v>
      </c>
      <c r="AG1994" s="11">
        <v>70.91</v>
      </c>
      <c r="AH1994" s="11">
        <v>70.81</v>
      </c>
      <c r="AI1994" s="11">
        <v>70.7</v>
      </c>
      <c r="AJ1994" s="11">
        <v>70.59</v>
      </c>
      <c r="AK1994" s="11">
        <v>70.478999999999999</v>
      </c>
      <c r="AL1994" s="11"/>
    </row>
    <row r="1995" spans="1:38" x14ac:dyDescent="0.3">
      <c r="A1995" s="9">
        <f>DATE(2024, 9, 18)</f>
        <v>45553</v>
      </c>
      <c r="B1995" s="10">
        <v>73.650000000000006</v>
      </c>
      <c r="C1995" s="10">
        <v>72.88</v>
      </c>
      <c r="D1995" s="10">
        <v>72.42</v>
      </c>
      <c r="E1995" s="10">
        <v>72.16</v>
      </c>
      <c r="F1995" s="10">
        <v>72.02</v>
      </c>
      <c r="G1995" s="10">
        <v>71.92</v>
      </c>
      <c r="H1995" s="10">
        <v>71.84</v>
      </c>
      <c r="I1995" s="10">
        <v>71.760000000000005</v>
      </c>
      <c r="J1995" s="10">
        <v>71.67</v>
      </c>
      <c r="K1995" s="10">
        <v>71.569999999999993</v>
      </c>
      <c r="L1995" s="10">
        <v>71.459999999999994</v>
      </c>
      <c r="M1995" s="10">
        <v>71.349999999999994</v>
      </c>
      <c r="N1995" s="10">
        <v>70.91</v>
      </c>
      <c r="O1995" s="10">
        <v>69.88</v>
      </c>
      <c r="P1995" s="10">
        <v>69.08</v>
      </c>
      <c r="Q1995" s="10">
        <v>68.599999999999994</v>
      </c>
      <c r="R1995" s="10">
        <v>68.3</v>
      </c>
      <c r="S1995" s="10">
        <v>68.099999999999994</v>
      </c>
      <c r="T1995" s="10">
        <v>67.94</v>
      </c>
      <c r="U1995" s="10">
        <v>67.8</v>
      </c>
      <c r="V1995" s="10">
        <v>67.650000000000006</v>
      </c>
      <c r="W1995" s="10">
        <v>67.48</v>
      </c>
      <c r="X1995" s="10">
        <v>67.31</v>
      </c>
      <c r="Y1995" s="10">
        <v>67.150000000000006</v>
      </c>
      <c r="Z1995" s="11">
        <v>73.512</v>
      </c>
      <c r="AA1995" s="11">
        <v>72.53</v>
      </c>
      <c r="AB1995" s="11">
        <v>71.768000000000001</v>
      </c>
      <c r="AC1995" s="11">
        <v>71.356999999999999</v>
      </c>
      <c r="AD1995" s="11">
        <v>71.064999999999998</v>
      </c>
      <c r="AE1995" s="11">
        <v>70.915999999999997</v>
      </c>
      <c r="AF1995" s="11">
        <v>70.816000000000003</v>
      </c>
      <c r="AG1995" s="11">
        <v>70.736000000000004</v>
      </c>
      <c r="AH1995" s="11">
        <v>70.644999999999996</v>
      </c>
      <c r="AI1995" s="11">
        <v>70.545000000000002</v>
      </c>
      <c r="AJ1995" s="11">
        <v>70.444999999999993</v>
      </c>
      <c r="AK1995" s="11">
        <v>70.334000000000003</v>
      </c>
      <c r="AL1995" s="11"/>
    </row>
    <row r="1996" spans="1:38" x14ac:dyDescent="0.3">
      <c r="A1996" s="9">
        <f>DATE(2024, 9, 19)</f>
        <v>45554</v>
      </c>
      <c r="B1996" s="10">
        <v>74.88</v>
      </c>
      <c r="C1996" s="10">
        <v>74.010000000000005</v>
      </c>
      <c r="D1996" s="10">
        <v>73.48</v>
      </c>
      <c r="E1996" s="10">
        <v>73.16</v>
      </c>
      <c r="F1996" s="10">
        <v>72.97</v>
      </c>
      <c r="G1996" s="10">
        <v>72.83</v>
      </c>
      <c r="H1996" s="10">
        <v>72.709999999999994</v>
      </c>
      <c r="I1996" s="10">
        <v>72.59</v>
      </c>
      <c r="J1996" s="10">
        <v>72.459999999999994</v>
      </c>
      <c r="K1996" s="10">
        <v>72.33</v>
      </c>
      <c r="L1996" s="10">
        <v>72.19</v>
      </c>
      <c r="M1996" s="10">
        <v>72.05</v>
      </c>
      <c r="N1996" s="10">
        <v>71.95</v>
      </c>
      <c r="O1996" s="10">
        <v>71.16</v>
      </c>
      <c r="P1996" s="10">
        <v>70.260000000000005</v>
      </c>
      <c r="Q1996" s="10">
        <v>69.67</v>
      </c>
      <c r="R1996" s="10">
        <v>69.27</v>
      </c>
      <c r="S1996" s="10">
        <v>69.02</v>
      </c>
      <c r="T1996" s="10">
        <v>68.819999999999993</v>
      </c>
      <c r="U1996" s="10">
        <v>68.650000000000006</v>
      </c>
      <c r="V1996" s="10">
        <v>68.47</v>
      </c>
      <c r="W1996" s="10">
        <v>68.27</v>
      </c>
      <c r="X1996" s="10">
        <v>68.069999999999993</v>
      </c>
      <c r="Y1996" s="10">
        <v>67.89</v>
      </c>
      <c r="Z1996" s="11">
        <v>73.956000000000003</v>
      </c>
      <c r="AA1996" s="11">
        <v>73.731999999999999</v>
      </c>
      <c r="AB1996" s="11">
        <v>72.872</v>
      </c>
      <c r="AC1996" s="11">
        <v>72.402000000000001</v>
      </c>
      <c r="AD1996" s="11">
        <v>72.063999999999993</v>
      </c>
      <c r="AE1996" s="11">
        <v>71.864000000000004</v>
      </c>
      <c r="AF1996" s="11">
        <v>71.733999999999995</v>
      </c>
      <c r="AG1996" s="11">
        <v>71.614000000000004</v>
      </c>
      <c r="AH1996" s="11">
        <v>71.483999999999995</v>
      </c>
      <c r="AI1996" s="11">
        <v>71.352999999999994</v>
      </c>
      <c r="AJ1996" s="11">
        <v>71.213999999999999</v>
      </c>
      <c r="AK1996" s="11">
        <v>71.072999999999993</v>
      </c>
      <c r="AL1996" s="11"/>
    </row>
    <row r="1997" spans="1:38" x14ac:dyDescent="0.3">
      <c r="A1997" s="9">
        <f>DATE(2024, 9, 20)</f>
        <v>45555</v>
      </c>
      <c r="B1997" s="10">
        <v>74.489999999999995</v>
      </c>
      <c r="C1997" s="10">
        <v>73.69</v>
      </c>
      <c r="D1997" s="10">
        <v>73.19</v>
      </c>
      <c r="E1997" s="10">
        <v>72.88</v>
      </c>
      <c r="F1997" s="10">
        <v>72.69</v>
      </c>
      <c r="G1997" s="10">
        <v>72.56</v>
      </c>
      <c r="H1997" s="10">
        <v>72.45</v>
      </c>
      <c r="I1997" s="10">
        <v>72.349999999999994</v>
      </c>
      <c r="J1997" s="10">
        <v>72.239999999999995</v>
      </c>
      <c r="K1997" s="10">
        <v>72.12</v>
      </c>
      <c r="L1997" s="10">
        <v>72</v>
      </c>
      <c r="M1997" s="10">
        <v>71.87</v>
      </c>
      <c r="N1997" s="10">
        <v>71.92</v>
      </c>
      <c r="O1997" s="10">
        <v>71</v>
      </c>
      <c r="P1997" s="10">
        <v>70.099999999999994</v>
      </c>
      <c r="Q1997" s="10">
        <v>69.489999999999995</v>
      </c>
      <c r="R1997" s="10">
        <v>69.099999999999994</v>
      </c>
      <c r="S1997" s="10">
        <v>68.84</v>
      </c>
      <c r="T1997" s="10">
        <v>68.650000000000006</v>
      </c>
      <c r="U1997" s="10">
        <v>68.489999999999995</v>
      </c>
      <c r="V1997" s="10">
        <v>68.33</v>
      </c>
      <c r="W1997" s="10">
        <v>68.14</v>
      </c>
      <c r="X1997" s="10">
        <v>67.959999999999994</v>
      </c>
      <c r="Y1997" s="10">
        <v>67.790000000000006</v>
      </c>
      <c r="Z1997" s="11">
        <v>73.716999999999999</v>
      </c>
      <c r="AA1997" s="11">
        <v>73.153000000000006</v>
      </c>
      <c r="AB1997" s="11">
        <v>72.444999999999993</v>
      </c>
      <c r="AC1997" s="11">
        <v>72.031999999999996</v>
      </c>
      <c r="AD1997" s="11">
        <v>71.713999999999999</v>
      </c>
      <c r="AE1997" s="11">
        <v>71.534999999999997</v>
      </c>
      <c r="AF1997" s="11">
        <v>71.415000000000006</v>
      </c>
      <c r="AG1997" s="11">
        <v>71.314999999999998</v>
      </c>
      <c r="AH1997" s="11">
        <v>71.215000000000003</v>
      </c>
      <c r="AI1997" s="11">
        <v>71.093999999999994</v>
      </c>
      <c r="AJ1997" s="11">
        <v>70.977000000000004</v>
      </c>
      <c r="AK1997" s="11">
        <v>70.855999999999995</v>
      </c>
      <c r="AL1997" s="11"/>
    </row>
    <row r="1998" spans="1:38" x14ac:dyDescent="0.3">
      <c r="A1998" s="9">
        <f>DATE(2024, 9, 23)</f>
        <v>45558</v>
      </c>
      <c r="B1998" s="10">
        <v>73.900000000000006</v>
      </c>
      <c r="C1998" s="10">
        <v>73.209999999999994</v>
      </c>
      <c r="D1998" s="10">
        <v>72.78</v>
      </c>
      <c r="E1998" s="10">
        <v>72.5</v>
      </c>
      <c r="F1998" s="10">
        <v>72.34</v>
      </c>
      <c r="G1998" s="10">
        <v>72.239999999999995</v>
      </c>
      <c r="H1998" s="10">
        <v>72.16</v>
      </c>
      <c r="I1998" s="10">
        <v>72.08</v>
      </c>
      <c r="J1998" s="10">
        <v>71.989999999999995</v>
      </c>
      <c r="K1998" s="10">
        <v>71.89</v>
      </c>
      <c r="L1998" s="10">
        <v>71.78</v>
      </c>
      <c r="M1998" s="10">
        <v>71.67</v>
      </c>
      <c r="N1998" s="10">
        <v>70.37</v>
      </c>
      <c r="O1998" s="10">
        <v>69.61</v>
      </c>
      <c r="P1998" s="10">
        <v>69.099999999999994</v>
      </c>
      <c r="Q1998" s="10">
        <v>68.739999999999995</v>
      </c>
      <c r="R1998" s="10">
        <v>68.5</v>
      </c>
      <c r="S1998" s="10">
        <v>68.319999999999993</v>
      </c>
      <c r="T1998" s="10">
        <v>68.19</v>
      </c>
      <c r="U1998" s="10">
        <v>68.02</v>
      </c>
      <c r="V1998" s="10">
        <v>67.86</v>
      </c>
      <c r="W1998" s="10">
        <v>67.7</v>
      </c>
      <c r="X1998" s="10">
        <v>67.540000000000006</v>
      </c>
      <c r="Y1998" s="10">
        <v>67.39</v>
      </c>
      <c r="Z1998" s="11">
        <v>73.558000000000007</v>
      </c>
      <c r="AA1998" s="11">
        <v>72.671000000000006</v>
      </c>
      <c r="AB1998" s="11">
        <v>72.016999999999996</v>
      </c>
      <c r="AC1998" s="11">
        <v>71.644999999999996</v>
      </c>
      <c r="AD1998" s="11">
        <v>71.375</v>
      </c>
      <c r="AE1998" s="11">
        <v>71.245999999999995</v>
      </c>
      <c r="AF1998" s="11">
        <v>71.146000000000001</v>
      </c>
      <c r="AG1998" s="11">
        <v>71.066000000000003</v>
      </c>
      <c r="AH1998" s="11">
        <v>70.984999999999999</v>
      </c>
      <c r="AI1998" s="11">
        <v>70.885000000000005</v>
      </c>
      <c r="AJ1998" s="11">
        <v>70.775000000000006</v>
      </c>
      <c r="AK1998" s="11">
        <v>70.664000000000001</v>
      </c>
      <c r="AL1998" s="11"/>
    </row>
    <row r="1999" spans="1:38" x14ac:dyDescent="0.3">
      <c r="A1999" s="9">
        <f>DATE(2024, 9, 24)</f>
        <v>45559</v>
      </c>
      <c r="B1999" s="10">
        <v>75.17</v>
      </c>
      <c r="C1999" s="10">
        <v>74.47</v>
      </c>
      <c r="D1999" s="10">
        <v>74.03</v>
      </c>
      <c r="E1999" s="10">
        <v>73.739999999999995</v>
      </c>
      <c r="F1999" s="10">
        <v>73.56</v>
      </c>
      <c r="G1999" s="10">
        <v>73.44</v>
      </c>
      <c r="H1999" s="10">
        <v>73.34</v>
      </c>
      <c r="I1999" s="10">
        <v>73.23</v>
      </c>
      <c r="J1999" s="10">
        <v>73.12</v>
      </c>
      <c r="K1999" s="10">
        <v>73</v>
      </c>
      <c r="L1999" s="10">
        <v>72.88</v>
      </c>
      <c r="M1999" s="10">
        <v>72.75</v>
      </c>
      <c r="N1999" s="10">
        <v>71.56</v>
      </c>
      <c r="O1999" s="10">
        <v>70.84</v>
      </c>
      <c r="P1999" s="10">
        <v>70.33</v>
      </c>
      <c r="Q1999" s="10">
        <v>69.959999999999994</v>
      </c>
      <c r="R1999" s="10">
        <v>69.680000000000007</v>
      </c>
      <c r="S1999" s="10">
        <v>69.47</v>
      </c>
      <c r="T1999" s="10">
        <v>69.3</v>
      </c>
      <c r="U1999" s="10">
        <v>69.13</v>
      </c>
      <c r="V1999" s="10">
        <v>68.94</v>
      </c>
      <c r="W1999" s="10">
        <v>68.75</v>
      </c>
      <c r="X1999" s="10">
        <v>68.569999999999993</v>
      </c>
      <c r="Y1999" s="10">
        <v>68.41</v>
      </c>
      <c r="Z1999" s="11">
        <v>73.822000000000003</v>
      </c>
      <c r="AA1999" s="11">
        <v>73.941000000000003</v>
      </c>
      <c r="AB1999" s="11">
        <v>73.275999999999996</v>
      </c>
      <c r="AC1999" s="11">
        <v>72.878</v>
      </c>
      <c r="AD1999" s="11">
        <v>72.594999999999999</v>
      </c>
      <c r="AE1999" s="11">
        <v>72.447000000000003</v>
      </c>
      <c r="AF1999" s="11">
        <v>72.331000000000003</v>
      </c>
      <c r="AG1999" s="11">
        <v>72.224999999999994</v>
      </c>
      <c r="AH1999" s="11">
        <v>72.114999999999995</v>
      </c>
      <c r="AI1999" s="11">
        <v>71.994</v>
      </c>
      <c r="AJ1999" s="11">
        <v>71.876999999999995</v>
      </c>
      <c r="AK1999" s="11">
        <v>71.745999999999995</v>
      </c>
      <c r="AL1999" s="11"/>
    </row>
    <row r="2000" spans="1:38" x14ac:dyDescent="0.3">
      <c r="A2000" s="9">
        <f>DATE(2024, 9, 25)</f>
        <v>45560</v>
      </c>
      <c r="B2000" s="10">
        <v>73.459999999999994</v>
      </c>
      <c r="C2000" s="10">
        <v>72.900000000000006</v>
      </c>
      <c r="D2000" s="10">
        <v>72.569999999999993</v>
      </c>
      <c r="E2000" s="10">
        <v>72.37</v>
      </c>
      <c r="F2000" s="10">
        <v>72.25</v>
      </c>
      <c r="G2000" s="10">
        <v>72.180000000000007</v>
      </c>
      <c r="H2000" s="10">
        <v>72.12</v>
      </c>
      <c r="I2000" s="10">
        <v>72.05</v>
      </c>
      <c r="J2000" s="10">
        <v>71.97</v>
      </c>
      <c r="K2000" s="10">
        <v>71.87</v>
      </c>
      <c r="L2000" s="10">
        <v>71.77</v>
      </c>
      <c r="M2000" s="10">
        <v>71.66</v>
      </c>
      <c r="N2000" s="10">
        <v>69.69</v>
      </c>
      <c r="O2000" s="10">
        <v>69.13</v>
      </c>
      <c r="P2000" s="10">
        <v>68.77</v>
      </c>
      <c r="Q2000" s="10">
        <v>68.510000000000005</v>
      </c>
      <c r="R2000" s="10">
        <v>68.319999999999993</v>
      </c>
      <c r="S2000" s="10">
        <v>68.180000000000007</v>
      </c>
      <c r="T2000" s="10">
        <v>68.05</v>
      </c>
      <c r="U2000" s="10">
        <v>67.92</v>
      </c>
      <c r="V2000" s="10">
        <v>67.77</v>
      </c>
      <c r="W2000" s="10">
        <v>67.61</v>
      </c>
      <c r="X2000" s="10">
        <v>67.47</v>
      </c>
      <c r="Y2000" s="10">
        <v>67.319999999999993</v>
      </c>
      <c r="Z2000" s="11">
        <v>73.616</v>
      </c>
      <c r="AA2000" s="11">
        <v>72.447000000000003</v>
      </c>
      <c r="AB2000" s="11">
        <v>71.843000000000004</v>
      </c>
      <c r="AC2000" s="11">
        <v>71.486999999999995</v>
      </c>
      <c r="AD2000" s="11">
        <v>71.27</v>
      </c>
      <c r="AE2000" s="11">
        <v>71.180000000000007</v>
      </c>
      <c r="AF2000" s="11">
        <v>71.12</v>
      </c>
      <c r="AG2000" s="11">
        <v>71.06</v>
      </c>
      <c r="AH2000" s="11">
        <v>70.989999999999995</v>
      </c>
      <c r="AI2000" s="11">
        <v>70.900000000000006</v>
      </c>
      <c r="AJ2000" s="11">
        <v>70.8</v>
      </c>
      <c r="AK2000" s="11">
        <v>70.69</v>
      </c>
      <c r="AL2000" s="11"/>
    </row>
    <row r="2001" spans="1:38" x14ac:dyDescent="0.3">
      <c r="A2001" s="9">
        <f>DATE(2024, 9, 26)</f>
        <v>45561</v>
      </c>
      <c r="B2001" s="10">
        <v>71.599999999999994</v>
      </c>
      <c r="C2001" s="10">
        <v>71.09</v>
      </c>
      <c r="D2001" s="10">
        <v>70.78</v>
      </c>
      <c r="E2001" s="10">
        <v>70.62</v>
      </c>
      <c r="F2001" s="10">
        <v>70.55</v>
      </c>
      <c r="G2001" s="10">
        <v>70.53</v>
      </c>
      <c r="H2001" s="10">
        <v>70.52</v>
      </c>
      <c r="I2001" s="10">
        <v>70.510000000000005</v>
      </c>
      <c r="J2001" s="10">
        <v>70.48</v>
      </c>
      <c r="K2001" s="10">
        <v>70.45</v>
      </c>
      <c r="L2001" s="10">
        <v>70.400000000000006</v>
      </c>
      <c r="M2001" s="10">
        <v>70.349999999999994</v>
      </c>
      <c r="N2001" s="10">
        <v>67.67</v>
      </c>
      <c r="O2001" s="10">
        <v>67.19</v>
      </c>
      <c r="P2001" s="10">
        <v>66.89</v>
      </c>
      <c r="Q2001" s="10">
        <v>66.7</v>
      </c>
      <c r="R2001" s="10">
        <v>66.59</v>
      </c>
      <c r="S2001" s="10">
        <v>66.510000000000005</v>
      </c>
      <c r="T2001" s="10">
        <v>66.459999999999994</v>
      </c>
      <c r="U2001" s="10">
        <v>66.400000000000006</v>
      </c>
      <c r="V2001" s="10">
        <v>66.319999999999993</v>
      </c>
      <c r="W2001" s="10">
        <v>66.23</v>
      </c>
      <c r="X2001" s="10">
        <v>66.150000000000006</v>
      </c>
      <c r="Y2001" s="10">
        <v>66.08</v>
      </c>
      <c r="Z2001" s="11">
        <v>73.403999999999996</v>
      </c>
      <c r="AA2001" s="11">
        <v>70.570999999999998</v>
      </c>
      <c r="AB2001" s="11">
        <v>70.001999999999995</v>
      </c>
      <c r="AC2001" s="11">
        <v>69.694000000000003</v>
      </c>
      <c r="AD2001" s="11">
        <v>69.513999999999996</v>
      </c>
      <c r="AE2001" s="11">
        <v>69.453999999999994</v>
      </c>
      <c r="AF2001" s="11">
        <v>69.42</v>
      </c>
      <c r="AG2001" s="11">
        <v>69.394000000000005</v>
      </c>
      <c r="AH2001" s="11">
        <v>69.369</v>
      </c>
      <c r="AI2001" s="11">
        <v>69.337999999999994</v>
      </c>
      <c r="AJ2001" s="11">
        <v>69.287999999999997</v>
      </c>
      <c r="AK2001" s="11">
        <v>69.238</v>
      </c>
      <c r="AL2001" s="11"/>
    </row>
    <row r="2002" spans="1:38" x14ac:dyDescent="0.3">
      <c r="A2002" s="9">
        <f>DATE(2024, 9, 27)</f>
        <v>45562</v>
      </c>
      <c r="B2002" s="10">
        <v>71.98</v>
      </c>
      <c r="C2002" s="10">
        <v>71.540000000000006</v>
      </c>
      <c r="D2002" s="10">
        <v>71.209999999999994</v>
      </c>
      <c r="E2002" s="10">
        <v>71.010000000000005</v>
      </c>
      <c r="F2002" s="10">
        <v>70.900000000000006</v>
      </c>
      <c r="G2002" s="10">
        <v>70.84</v>
      </c>
      <c r="H2002" s="10">
        <v>70.81</v>
      </c>
      <c r="I2002" s="10">
        <v>70.77</v>
      </c>
      <c r="J2002" s="10">
        <v>70.72</v>
      </c>
      <c r="K2002" s="10">
        <v>70.67</v>
      </c>
      <c r="L2002" s="10">
        <v>70.61</v>
      </c>
      <c r="M2002" s="10">
        <v>70.55</v>
      </c>
      <c r="N2002" s="10">
        <v>68.180000000000007</v>
      </c>
      <c r="O2002" s="10">
        <v>67.67</v>
      </c>
      <c r="P2002" s="10">
        <v>67.34</v>
      </c>
      <c r="Q2002" s="10">
        <v>67.12</v>
      </c>
      <c r="R2002" s="10">
        <v>66.98</v>
      </c>
      <c r="S2002" s="10">
        <v>66.88</v>
      </c>
      <c r="T2002" s="10">
        <v>66.8</v>
      </c>
      <c r="U2002" s="10">
        <v>66.709999999999994</v>
      </c>
      <c r="V2002" s="10">
        <v>66.61</v>
      </c>
      <c r="W2002" s="10">
        <v>66.489999999999995</v>
      </c>
      <c r="X2002" s="10">
        <v>66.400000000000006</v>
      </c>
      <c r="Y2002" s="10">
        <v>66.31</v>
      </c>
      <c r="Z2002" s="11">
        <v>73.474999999999994</v>
      </c>
      <c r="AA2002" s="11">
        <v>71.209000000000003</v>
      </c>
      <c r="AB2002" s="11">
        <v>70.551000000000002</v>
      </c>
      <c r="AC2002" s="11">
        <v>70.174999999999997</v>
      </c>
      <c r="AD2002" s="11">
        <v>69.974999999999994</v>
      </c>
      <c r="AE2002" s="11">
        <v>69.875</v>
      </c>
      <c r="AF2002" s="11">
        <v>69.814999999999998</v>
      </c>
      <c r="AG2002" s="11">
        <v>69.778000000000006</v>
      </c>
      <c r="AH2002" s="11">
        <v>69.738</v>
      </c>
      <c r="AI2002" s="11">
        <v>69.686999999999998</v>
      </c>
      <c r="AJ2002" s="11">
        <v>69.626999999999995</v>
      </c>
      <c r="AK2002" s="11">
        <v>69.566999999999993</v>
      </c>
      <c r="AL2002" s="11"/>
    </row>
    <row r="2003" spans="1:38" x14ac:dyDescent="0.3">
      <c r="A2003" s="9">
        <f>DATE(2024, 9, 30)</f>
        <v>45565</v>
      </c>
      <c r="B2003" s="10">
        <v>71.77</v>
      </c>
      <c r="C2003" s="10">
        <v>71.7</v>
      </c>
      <c r="D2003" s="10">
        <v>71.459999999999994</v>
      </c>
      <c r="E2003" s="10">
        <v>71.28</v>
      </c>
      <c r="F2003" s="10">
        <v>71.180000000000007</v>
      </c>
      <c r="G2003" s="10">
        <v>71.12</v>
      </c>
      <c r="H2003" s="10">
        <v>71.08</v>
      </c>
      <c r="I2003" s="10">
        <v>71.040000000000006</v>
      </c>
      <c r="J2003" s="10">
        <v>70.98</v>
      </c>
      <c r="K2003" s="10">
        <v>70.930000000000007</v>
      </c>
      <c r="L2003" s="10">
        <v>70.87</v>
      </c>
      <c r="M2003" s="10">
        <v>70.81</v>
      </c>
      <c r="N2003" s="10">
        <v>68.17</v>
      </c>
      <c r="O2003" s="10">
        <v>67.77</v>
      </c>
      <c r="P2003" s="10">
        <v>67.5</v>
      </c>
      <c r="Q2003" s="10">
        <v>67.319999999999993</v>
      </c>
      <c r="R2003" s="10">
        <v>67.2</v>
      </c>
      <c r="S2003" s="10">
        <v>67.11</v>
      </c>
      <c r="T2003" s="10">
        <v>67.02</v>
      </c>
      <c r="U2003" s="10">
        <v>66.930000000000007</v>
      </c>
      <c r="V2003" s="10">
        <v>66.819999999999993</v>
      </c>
      <c r="W2003" s="10">
        <v>66.72</v>
      </c>
      <c r="X2003" s="10">
        <v>66.63</v>
      </c>
      <c r="Y2003" s="10">
        <v>66.540000000000006</v>
      </c>
      <c r="Z2003" s="11">
        <v>73.513999999999996</v>
      </c>
      <c r="AA2003" s="11">
        <v>71.38</v>
      </c>
      <c r="AB2003" s="11">
        <v>70.820999999999998</v>
      </c>
      <c r="AC2003" s="11">
        <v>70.42</v>
      </c>
      <c r="AD2003" s="11">
        <v>70.22</v>
      </c>
      <c r="AE2003" s="11">
        <v>70.111000000000004</v>
      </c>
      <c r="AF2003" s="11">
        <v>70.048000000000002</v>
      </c>
      <c r="AG2003" s="11">
        <v>69.997</v>
      </c>
      <c r="AH2003" s="11">
        <v>69.947999999999993</v>
      </c>
      <c r="AI2003" s="11">
        <v>69.897000000000006</v>
      </c>
      <c r="AJ2003" s="11">
        <v>69.837000000000003</v>
      </c>
      <c r="AK2003" s="11">
        <v>69.777000000000001</v>
      </c>
      <c r="AL2003" s="11"/>
    </row>
    <row r="2004" spans="1:38" x14ac:dyDescent="0.3">
      <c r="A2004" s="9">
        <f>DATE(2024, 10, 1)</f>
        <v>45566</v>
      </c>
      <c r="B2004" s="10">
        <v>73.56</v>
      </c>
      <c r="C2004" s="10">
        <v>73.209999999999994</v>
      </c>
      <c r="D2004" s="10">
        <v>72.959999999999994</v>
      </c>
      <c r="E2004" s="10">
        <v>72.790000000000006</v>
      </c>
      <c r="F2004" s="10">
        <v>72.680000000000007</v>
      </c>
      <c r="G2004" s="10">
        <v>72.58</v>
      </c>
      <c r="H2004" s="10">
        <v>72.489999999999995</v>
      </c>
      <c r="I2004" s="10">
        <v>72.41</v>
      </c>
      <c r="J2004" s="10">
        <v>72.319999999999993</v>
      </c>
      <c r="K2004" s="10">
        <v>72.23</v>
      </c>
      <c r="L2004" s="10">
        <v>72.150000000000006</v>
      </c>
      <c r="M2004" s="10">
        <v>72.06</v>
      </c>
      <c r="N2004" s="10">
        <v>69.83</v>
      </c>
      <c r="O2004" s="10">
        <v>69.39</v>
      </c>
      <c r="P2004" s="10">
        <v>69.05</v>
      </c>
      <c r="Q2004" s="10">
        <v>68.8</v>
      </c>
      <c r="R2004" s="10">
        <v>68.62</v>
      </c>
      <c r="S2004" s="10">
        <v>68.48</v>
      </c>
      <c r="T2004" s="10">
        <v>68.34</v>
      </c>
      <c r="U2004" s="10">
        <v>68.2</v>
      </c>
      <c r="V2004" s="10">
        <v>68.06</v>
      </c>
      <c r="W2004" s="10">
        <v>67.91</v>
      </c>
      <c r="X2004" s="10">
        <v>67.77</v>
      </c>
      <c r="Y2004" s="10">
        <v>67.64</v>
      </c>
      <c r="Z2004" s="11">
        <v>73.513999999999996</v>
      </c>
      <c r="AA2004" s="11">
        <v>73.36</v>
      </c>
      <c r="AB2004" s="11">
        <v>72.628</v>
      </c>
      <c r="AC2004" s="11">
        <v>72.168000000000006</v>
      </c>
      <c r="AD2004" s="11">
        <v>71.903000000000006</v>
      </c>
      <c r="AE2004" s="11">
        <v>71.742999999999995</v>
      </c>
      <c r="AF2004" s="11">
        <v>71.629000000000005</v>
      </c>
      <c r="AG2004" s="11">
        <v>71.528999999999996</v>
      </c>
      <c r="AH2004" s="11">
        <v>71.438999999999993</v>
      </c>
      <c r="AI2004" s="11">
        <v>71.338999999999999</v>
      </c>
      <c r="AJ2004" s="11">
        <v>71.245000000000005</v>
      </c>
      <c r="AK2004" s="11">
        <v>71.174000000000007</v>
      </c>
      <c r="AL2004" s="11"/>
    </row>
    <row r="2005" spans="1:38" x14ac:dyDescent="0.3">
      <c r="A2005" s="9">
        <f>DATE(2024, 10, 2)</f>
        <v>45567</v>
      </c>
      <c r="B2005" s="10">
        <v>73.900000000000006</v>
      </c>
      <c r="C2005" s="10">
        <v>73.540000000000006</v>
      </c>
      <c r="D2005" s="10">
        <v>73.260000000000005</v>
      </c>
      <c r="E2005" s="10">
        <v>73.06</v>
      </c>
      <c r="F2005" s="10">
        <v>72.92</v>
      </c>
      <c r="G2005" s="10">
        <v>72.8</v>
      </c>
      <c r="H2005" s="10">
        <v>72.680000000000007</v>
      </c>
      <c r="I2005" s="10">
        <v>72.58</v>
      </c>
      <c r="J2005" s="10">
        <v>72.48</v>
      </c>
      <c r="K2005" s="10">
        <v>72.37</v>
      </c>
      <c r="L2005" s="10">
        <v>72.27</v>
      </c>
      <c r="M2005" s="10">
        <v>72.17</v>
      </c>
      <c r="N2005" s="10">
        <v>70.099999999999994</v>
      </c>
      <c r="O2005" s="10">
        <v>69.69</v>
      </c>
      <c r="P2005" s="10">
        <v>69.36</v>
      </c>
      <c r="Q2005" s="10">
        <v>69.08</v>
      </c>
      <c r="R2005" s="10">
        <v>68.86</v>
      </c>
      <c r="S2005" s="10">
        <v>68.69</v>
      </c>
      <c r="T2005" s="10">
        <v>68.540000000000006</v>
      </c>
      <c r="U2005" s="10">
        <v>68.38</v>
      </c>
      <c r="V2005" s="10">
        <v>68.22</v>
      </c>
      <c r="W2005" s="10">
        <v>68.06</v>
      </c>
      <c r="X2005" s="10">
        <v>67.91</v>
      </c>
      <c r="Y2005" s="10">
        <v>67.77</v>
      </c>
      <c r="Z2005" s="11">
        <v>73.459000000000003</v>
      </c>
      <c r="AA2005" s="11">
        <v>72.804000000000002</v>
      </c>
      <c r="AB2005" s="11">
        <v>72.296999999999997</v>
      </c>
      <c r="AC2005" s="11">
        <v>72.034000000000006</v>
      </c>
      <c r="AD2005" s="11">
        <v>71.852999999999994</v>
      </c>
      <c r="AE2005" s="11">
        <v>71.733000000000004</v>
      </c>
      <c r="AF2005" s="11">
        <v>71.614999999999995</v>
      </c>
      <c r="AG2005" s="11">
        <v>71.515000000000001</v>
      </c>
      <c r="AH2005" s="11">
        <v>71.415000000000006</v>
      </c>
      <c r="AI2005" s="11">
        <v>71.316000000000003</v>
      </c>
      <c r="AJ2005" s="11">
        <v>71.224999999999994</v>
      </c>
      <c r="AK2005" s="11">
        <v>71.135999999999996</v>
      </c>
      <c r="AL2005" s="11"/>
    </row>
    <row r="2006" spans="1:38" x14ac:dyDescent="0.3">
      <c r="A2006" s="9">
        <f>DATE(2024, 10, 3)</f>
        <v>45568</v>
      </c>
      <c r="B2006" s="10">
        <v>77.62</v>
      </c>
      <c r="C2006" s="10">
        <v>77.11</v>
      </c>
      <c r="D2006" s="10">
        <v>76.7</v>
      </c>
      <c r="E2006" s="10">
        <v>76.38</v>
      </c>
      <c r="F2006" s="10">
        <v>76.14</v>
      </c>
      <c r="G2006" s="10">
        <v>75.930000000000007</v>
      </c>
      <c r="H2006" s="10">
        <v>75.73</v>
      </c>
      <c r="I2006" s="10">
        <v>75.540000000000006</v>
      </c>
      <c r="J2006" s="10">
        <v>75.349999999999994</v>
      </c>
      <c r="K2006" s="10">
        <v>75.17</v>
      </c>
      <c r="L2006" s="10">
        <v>74.989999999999995</v>
      </c>
      <c r="M2006" s="10">
        <v>74.81</v>
      </c>
      <c r="N2006" s="10">
        <v>73.709999999999994</v>
      </c>
      <c r="O2006" s="10">
        <v>73.17</v>
      </c>
      <c r="P2006" s="10">
        <v>72.73</v>
      </c>
      <c r="Q2006" s="10">
        <v>72.33</v>
      </c>
      <c r="R2006" s="10">
        <v>72</v>
      </c>
      <c r="S2006" s="10">
        <v>71.75</v>
      </c>
      <c r="T2006" s="10">
        <v>71.5</v>
      </c>
      <c r="U2006" s="10">
        <v>71.239999999999995</v>
      </c>
      <c r="V2006" s="10">
        <v>70.989999999999995</v>
      </c>
      <c r="W2006" s="10">
        <v>70.739999999999995</v>
      </c>
      <c r="X2006" s="10">
        <v>70.53</v>
      </c>
      <c r="Y2006" s="10">
        <v>70.31</v>
      </c>
      <c r="Z2006" s="11">
        <v>76.646000000000001</v>
      </c>
      <c r="AA2006" s="11">
        <v>76.221999999999994</v>
      </c>
      <c r="AB2006" s="11">
        <v>75.695999999999998</v>
      </c>
      <c r="AC2006" s="11">
        <v>75.355999999999995</v>
      </c>
      <c r="AD2006" s="11">
        <v>75.099999999999994</v>
      </c>
      <c r="AE2006" s="11">
        <v>74.902000000000001</v>
      </c>
      <c r="AF2006" s="11">
        <v>74.712999999999994</v>
      </c>
      <c r="AG2006" s="11">
        <v>74.543000000000006</v>
      </c>
      <c r="AH2006" s="11">
        <v>74.363</v>
      </c>
      <c r="AI2006" s="11">
        <v>74.191999999999993</v>
      </c>
      <c r="AJ2006" s="11">
        <v>74.010999999999996</v>
      </c>
      <c r="AK2006" s="11">
        <v>73.832999999999998</v>
      </c>
      <c r="AL2006" s="11"/>
    </row>
    <row r="2007" spans="1:38" x14ac:dyDescent="0.3">
      <c r="A2007" s="9">
        <f>DATE(2024, 10, 4)</f>
        <v>45569</v>
      </c>
      <c r="B2007" s="10">
        <v>78.05</v>
      </c>
      <c r="C2007" s="10">
        <v>77.430000000000007</v>
      </c>
      <c r="D2007" s="10">
        <v>76.89</v>
      </c>
      <c r="E2007" s="10">
        <v>76.47</v>
      </c>
      <c r="F2007" s="10">
        <v>76.14</v>
      </c>
      <c r="G2007" s="10">
        <v>75.86</v>
      </c>
      <c r="H2007" s="10">
        <v>75.599999999999994</v>
      </c>
      <c r="I2007" s="10">
        <v>75.37</v>
      </c>
      <c r="J2007" s="10">
        <v>75.150000000000006</v>
      </c>
      <c r="K2007" s="10">
        <v>74.94</v>
      </c>
      <c r="L2007" s="10">
        <v>74.739999999999995</v>
      </c>
      <c r="M2007" s="10">
        <v>74.56</v>
      </c>
      <c r="N2007" s="10">
        <v>74.38</v>
      </c>
      <c r="O2007" s="10">
        <v>73.680000000000007</v>
      </c>
      <c r="P2007" s="10">
        <v>73.099999999999994</v>
      </c>
      <c r="Q2007" s="10">
        <v>72.569999999999993</v>
      </c>
      <c r="R2007" s="10">
        <v>72.12</v>
      </c>
      <c r="S2007" s="10">
        <v>71.760000000000005</v>
      </c>
      <c r="T2007" s="10">
        <v>71.430000000000007</v>
      </c>
      <c r="U2007" s="10">
        <v>71.12</v>
      </c>
      <c r="V2007" s="10">
        <v>70.81</v>
      </c>
      <c r="W2007" s="10">
        <v>70.52</v>
      </c>
      <c r="X2007" s="10">
        <v>70.260000000000005</v>
      </c>
      <c r="Y2007" s="10">
        <v>70.03</v>
      </c>
      <c r="Z2007" s="11">
        <v>76.584000000000003</v>
      </c>
      <c r="AA2007" s="11">
        <v>76.081000000000003</v>
      </c>
      <c r="AB2007" s="11">
        <v>75.563999999999993</v>
      </c>
      <c r="AC2007" s="11">
        <v>75.2</v>
      </c>
      <c r="AD2007" s="11">
        <v>74.899000000000001</v>
      </c>
      <c r="AE2007" s="11">
        <v>74.668000000000006</v>
      </c>
      <c r="AF2007" s="11">
        <v>74.454999999999998</v>
      </c>
      <c r="AG2007" s="11">
        <v>74.275000000000006</v>
      </c>
      <c r="AH2007" s="11">
        <v>74.094999999999999</v>
      </c>
      <c r="AI2007" s="11">
        <v>73.900999999999996</v>
      </c>
      <c r="AJ2007" s="11">
        <v>73.710999999999999</v>
      </c>
      <c r="AK2007" s="11">
        <v>73.531999999999996</v>
      </c>
      <c r="AL2007" s="11"/>
    </row>
    <row r="2008" spans="1:38" x14ac:dyDescent="0.3">
      <c r="A2008" s="9">
        <f>DATE(2024, 10, 7)</f>
        <v>45572</v>
      </c>
      <c r="B2008" s="10">
        <v>80.930000000000007</v>
      </c>
      <c r="C2008" s="10">
        <v>80.349999999999994</v>
      </c>
      <c r="D2008" s="10">
        <v>79.819999999999993</v>
      </c>
      <c r="E2008" s="10">
        <v>79.37</v>
      </c>
      <c r="F2008" s="10">
        <v>78.98</v>
      </c>
      <c r="G2008" s="10">
        <v>78.63</v>
      </c>
      <c r="H2008" s="10">
        <v>78.3</v>
      </c>
      <c r="I2008" s="10">
        <v>77.989999999999995</v>
      </c>
      <c r="J2008" s="10">
        <v>77.69</v>
      </c>
      <c r="K2008" s="10">
        <v>77.39</v>
      </c>
      <c r="L2008" s="10">
        <v>77.11</v>
      </c>
      <c r="M2008" s="10">
        <v>76.849999999999994</v>
      </c>
      <c r="N2008" s="10">
        <v>77.14</v>
      </c>
      <c r="O2008" s="10">
        <v>76.47</v>
      </c>
      <c r="P2008" s="10">
        <v>75.88</v>
      </c>
      <c r="Q2008" s="10">
        <v>75.349999999999994</v>
      </c>
      <c r="R2008" s="10">
        <v>74.89</v>
      </c>
      <c r="S2008" s="10">
        <v>74.48</v>
      </c>
      <c r="T2008" s="10">
        <v>74.09</v>
      </c>
      <c r="U2008" s="10">
        <v>73.709999999999994</v>
      </c>
      <c r="V2008" s="10">
        <v>73.33</v>
      </c>
      <c r="W2008" s="10">
        <v>72.95</v>
      </c>
      <c r="X2008" s="10">
        <v>72.61</v>
      </c>
      <c r="Y2008" s="10">
        <v>72.290000000000006</v>
      </c>
      <c r="Z2008" s="11">
        <v>79.055999999999997</v>
      </c>
      <c r="AA2008" s="11">
        <v>79.185000000000002</v>
      </c>
      <c r="AB2008" s="11">
        <v>78.599000000000004</v>
      </c>
      <c r="AC2008" s="11">
        <v>78.162999999999997</v>
      </c>
      <c r="AD2008" s="11">
        <v>77.787999999999997</v>
      </c>
      <c r="AE2008" s="11">
        <v>77.489000000000004</v>
      </c>
      <c r="AF2008" s="11">
        <v>77.209999999999994</v>
      </c>
      <c r="AG2008" s="11">
        <v>76.930999999999997</v>
      </c>
      <c r="AH2008" s="11">
        <v>76.661000000000001</v>
      </c>
      <c r="AI2008" s="11">
        <v>76.388000000000005</v>
      </c>
      <c r="AJ2008" s="11">
        <v>76.108000000000004</v>
      </c>
      <c r="AK2008" s="11">
        <v>75.849000000000004</v>
      </c>
      <c r="AL2008" s="11"/>
    </row>
    <row r="2009" spans="1:38" x14ac:dyDescent="0.3">
      <c r="A2009" s="9">
        <f>DATE(2024, 10, 8)</f>
        <v>45573</v>
      </c>
      <c r="B2009" s="10">
        <v>77.180000000000007</v>
      </c>
      <c r="C2009" s="10">
        <v>76.790000000000006</v>
      </c>
      <c r="D2009" s="10">
        <v>76.42</v>
      </c>
      <c r="E2009" s="10">
        <v>76.14</v>
      </c>
      <c r="F2009" s="10">
        <v>75.92</v>
      </c>
      <c r="G2009" s="10">
        <v>75.73</v>
      </c>
      <c r="H2009" s="10">
        <v>75.55</v>
      </c>
      <c r="I2009" s="10">
        <v>75.38</v>
      </c>
      <c r="J2009" s="10">
        <v>75.209999999999994</v>
      </c>
      <c r="K2009" s="10">
        <v>75.03</v>
      </c>
      <c r="L2009" s="10">
        <v>74.86</v>
      </c>
      <c r="M2009" s="10">
        <v>74.69</v>
      </c>
      <c r="N2009" s="10">
        <v>73.569999999999993</v>
      </c>
      <c r="O2009" s="10">
        <v>72.98</v>
      </c>
      <c r="P2009" s="10">
        <v>72.540000000000006</v>
      </c>
      <c r="Q2009" s="10">
        <v>72.17</v>
      </c>
      <c r="R2009" s="10">
        <v>71.87</v>
      </c>
      <c r="S2009" s="10">
        <v>71.61</v>
      </c>
      <c r="T2009" s="10">
        <v>71.37</v>
      </c>
      <c r="U2009" s="10">
        <v>71.150000000000006</v>
      </c>
      <c r="V2009" s="10">
        <v>70.91</v>
      </c>
      <c r="W2009" s="10">
        <v>70.680000000000007</v>
      </c>
      <c r="X2009" s="10">
        <v>70.45</v>
      </c>
      <c r="Y2009" s="10">
        <v>70.239999999999995</v>
      </c>
      <c r="Z2009" s="11">
        <v>76.519000000000005</v>
      </c>
      <c r="AA2009" s="11">
        <v>75.820999999999998</v>
      </c>
      <c r="AB2009" s="11">
        <v>75.332999999999998</v>
      </c>
      <c r="AC2009" s="11">
        <v>75.021000000000001</v>
      </c>
      <c r="AD2009" s="11">
        <v>74.756</v>
      </c>
      <c r="AE2009" s="11">
        <v>74.596000000000004</v>
      </c>
      <c r="AF2009" s="11">
        <v>74.451999999999998</v>
      </c>
      <c r="AG2009" s="11">
        <v>74.307000000000002</v>
      </c>
      <c r="AH2009" s="11">
        <v>74.161000000000001</v>
      </c>
      <c r="AI2009" s="11">
        <v>74.003</v>
      </c>
      <c r="AJ2009" s="11">
        <v>73.852000000000004</v>
      </c>
      <c r="AK2009" s="11">
        <v>73.683000000000007</v>
      </c>
      <c r="AL2009" s="11"/>
    </row>
    <row r="2010" spans="1:38" x14ac:dyDescent="0.3">
      <c r="A2010" s="9">
        <f>DATE(2024, 10, 9)</f>
        <v>45574</v>
      </c>
      <c r="B2010" s="10">
        <v>76.58</v>
      </c>
      <c r="C2010" s="10">
        <v>76.13</v>
      </c>
      <c r="D2010" s="10">
        <v>75.73</v>
      </c>
      <c r="E2010" s="10">
        <v>75.42</v>
      </c>
      <c r="F2010" s="10">
        <v>75.17</v>
      </c>
      <c r="G2010" s="10">
        <v>74.97</v>
      </c>
      <c r="H2010" s="10">
        <v>74.78</v>
      </c>
      <c r="I2010" s="10">
        <v>74.599999999999994</v>
      </c>
      <c r="J2010" s="10">
        <v>74.42</v>
      </c>
      <c r="K2010" s="10">
        <v>74.239999999999995</v>
      </c>
      <c r="L2010" s="10">
        <v>74.069999999999993</v>
      </c>
      <c r="M2010" s="10">
        <v>73.900000000000006</v>
      </c>
      <c r="N2010" s="10">
        <v>73.239999999999995</v>
      </c>
      <c r="O2010" s="10">
        <v>72.59</v>
      </c>
      <c r="P2010" s="10">
        <v>72.069999999999993</v>
      </c>
      <c r="Q2010" s="10">
        <v>71.62</v>
      </c>
      <c r="R2010" s="10">
        <v>71.27</v>
      </c>
      <c r="S2010" s="10">
        <v>70.98</v>
      </c>
      <c r="T2010" s="10">
        <v>70.73</v>
      </c>
      <c r="U2010" s="10">
        <v>70.5</v>
      </c>
      <c r="V2010" s="10">
        <v>70.260000000000005</v>
      </c>
      <c r="W2010" s="10">
        <v>70.02</v>
      </c>
      <c r="X2010" s="10">
        <v>69.8</v>
      </c>
      <c r="Y2010" s="10">
        <v>69.599999999999994</v>
      </c>
      <c r="Z2010" s="11">
        <v>76.168000000000006</v>
      </c>
      <c r="AA2010" s="11">
        <v>75.191000000000003</v>
      </c>
      <c r="AB2010" s="11">
        <v>74.685000000000002</v>
      </c>
      <c r="AC2010" s="11">
        <v>74.322000000000003</v>
      </c>
      <c r="AD2010" s="11">
        <v>74.027000000000001</v>
      </c>
      <c r="AE2010" s="11">
        <v>73.852000000000004</v>
      </c>
      <c r="AF2010" s="11">
        <v>73.691000000000003</v>
      </c>
      <c r="AG2010" s="11">
        <v>73.552000000000007</v>
      </c>
      <c r="AH2010" s="11">
        <v>73.411000000000001</v>
      </c>
      <c r="AI2010" s="11">
        <v>73.263000000000005</v>
      </c>
      <c r="AJ2010" s="11">
        <v>73.102000000000004</v>
      </c>
      <c r="AK2010" s="11">
        <v>72.942999999999998</v>
      </c>
      <c r="AL2010" s="11"/>
    </row>
    <row r="2011" spans="1:38" x14ac:dyDescent="0.3">
      <c r="A2011" s="9">
        <f>DATE(2024, 10, 10)</f>
        <v>45575</v>
      </c>
      <c r="B2011" s="10">
        <v>79.400000000000006</v>
      </c>
      <c r="C2011" s="10">
        <v>78.86</v>
      </c>
      <c r="D2011" s="10">
        <v>78.349999999999994</v>
      </c>
      <c r="E2011" s="10">
        <v>77.94</v>
      </c>
      <c r="F2011" s="10">
        <v>77.58</v>
      </c>
      <c r="G2011" s="10">
        <v>77.27</v>
      </c>
      <c r="H2011" s="10">
        <v>76.97</v>
      </c>
      <c r="I2011" s="10">
        <v>76.69</v>
      </c>
      <c r="J2011" s="10">
        <v>76.41</v>
      </c>
      <c r="K2011" s="10">
        <v>76.14</v>
      </c>
      <c r="L2011" s="10">
        <v>75.87</v>
      </c>
      <c r="M2011" s="10">
        <v>75.63</v>
      </c>
      <c r="N2011" s="10">
        <v>75.849999999999994</v>
      </c>
      <c r="O2011" s="10">
        <v>75.11</v>
      </c>
      <c r="P2011" s="10">
        <v>74.53</v>
      </c>
      <c r="Q2011" s="10">
        <v>74.010000000000005</v>
      </c>
      <c r="R2011" s="10">
        <v>73.569999999999993</v>
      </c>
      <c r="S2011" s="10">
        <v>73.180000000000007</v>
      </c>
      <c r="T2011" s="10">
        <v>72.83</v>
      </c>
      <c r="U2011" s="10">
        <v>72.5</v>
      </c>
      <c r="V2011" s="10">
        <v>72.16</v>
      </c>
      <c r="W2011" s="10">
        <v>71.819999999999993</v>
      </c>
      <c r="X2011" s="10">
        <v>71.52</v>
      </c>
      <c r="Y2011" s="10">
        <v>71.23</v>
      </c>
      <c r="Z2011" s="11">
        <v>77.933000000000007</v>
      </c>
      <c r="AA2011" s="11">
        <v>77.745999999999995</v>
      </c>
      <c r="AB2011" s="11">
        <v>77.215999999999994</v>
      </c>
      <c r="AC2011" s="11">
        <v>76.804000000000002</v>
      </c>
      <c r="AD2011" s="11">
        <v>76.424999999999997</v>
      </c>
      <c r="AE2011" s="11">
        <v>76.156000000000006</v>
      </c>
      <c r="AF2011" s="11">
        <v>75.906999999999996</v>
      </c>
      <c r="AG2011" s="11">
        <v>75.677000000000007</v>
      </c>
      <c r="AH2011" s="11">
        <v>75.427000000000007</v>
      </c>
      <c r="AI2011" s="11">
        <v>75.168000000000006</v>
      </c>
      <c r="AJ2011" s="11">
        <v>74.909000000000006</v>
      </c>
      <c r="AK2011" s="11">
        <v>74.668999999999997</v>
      </c>
      <c r="AL2011" s="11"/>
    </row>
    <row r="2012" spans="1:38" x14ac:dyDescent="0.3">
      <c r="A2012" s="9">
        <f>DATE(2024, 10, 11)</f>
        <v>45576</v>
      </c>
      <c r="B2012" s="10">
        <v>79.040000000000006</v>
      </c>
      <c r="C2012" s="10">
        <v>78.599999999999994</v>
      </c>
      <c r="D2012" s="10">
        <v>78.150000000000006</v>
      </c>
      <c r="E2012" s="10">
        <v>77.78</v>
      </c>
      <c r="F2012" s="10">
        <v>77.459999999999994</v>
      </c>
      <c r="G2012" s="10">
        <v>77.17</v>
      </c>
      <c r="H2012" s="10">
        <v>76.89</v>
      </c>
      <c r="I2012" s="10">
        <v>76.63</v>
      </c>
      <c r="J2012" s="10">
        <v>76.37</v>
      </c>
      <c r="K2012" s="10">
        <v>76.12</v>
      </c>
      <c r="L2012" s="10">
        <v>75.87</v>
      </c>
      <c r="M2012" s="10">
        <v>75.64</v>
      </c>
      <c r="N2012" s="10">
        <v>75.56</v>
      </c>
      <c r="O2012" s="10">
        <v>74.849999999999994</v>
      </c>
      <c r="P2012" s="10">
        <v>74.31</v>
      </c>
      <c r="Q2012" s="10">
        <v>73.84</v>
      </c>
      <c r="R2012" s="10">
        <v>73.430000000000007</v>
      </c>
      <c r="S2012" s="10">
        <v>73.069999999999993</v>
      </c>
      <c r="T2012" s="10">
        <v>72.739999999999995</v>
      </c>
      <c r="U2012" s="10">
        <v>72.430000000000007</v>
      </c>
      <c r="V2012" s="10">
        <v>72.11</v>
      </c>
      <c r="W2012" s="10">
        <v>71.8</v>
      </c>
      <c r="X2012" s="10">
        <v>71.510000000000005</v>
      </c>
      <c r="Y2012" s="10">
        <v>71.23</v>
      </c>
      <c r="Z2012" s="11">
        <v>77.772999999999996</v>
      </c>
      <c r="AA2012" s="11">
        <v>77.528999999999996</v>
      </c>
      <c r="AB2012" s="11">
        <v>76.977000000000004</v>
      </c>
      <c r="AC2012" s="11">
        <v>76.575000000000003</v>
      </c>
      <c r="AD2012" s="11">
        <v>76.222999999999999</v>
      </c>
      <c r="AE2012" s="11">
        <v>75.966999999999999</v>
      </c>
      <c r="AF2012" s="11">
        <v>75.727999999999994</v>
      </c>
      <c r="AG2012" s="11">
        <v>75.498000000000005</v>
      </c>
      <c r="AH2012" s="11">
        <v>75.272000000000006</v>
      </c>
      <c r="AI2012" s="11">
        <v>75.049000000000007</v>
      </c>
      <c r="AJ2012" s="11">
        <v>74.828999999999994</v>
      </c>
      <c r="AK2012" s="11">
        <v>74.61</v>
      </c>
      <c r="AL2012" s="11"/>
    </row>
    <row r="2013" spans="1:38" x14ac:dyDescent="0.3">
      <c r="A2013" s="9">
        <f>DATE(2024, 10, 14)</f>
        <v>45579</v>
      </c>
      <c r="B2013" s="10">
        <v>77.459999999999994</v>
      </c>
      <c r="C2013" s="10">
        <v>77.09</v>
      </c>
      <c r="D2013" s="10">
        <v>76.72</v>
      </c>
      <c r="E2013" s="10">
        <v>76.42</v>
      </c>
      <c r="F2013" s="10">
        <v>76.17</v>
      </c>
      <c r="G2013" s="10">
        <v>75.930000000000007</v>
      </c>
      <c r="H2013" s="10">
        <v>75.709999999999994</v>
      </c>
      <c r="I2013" s="10">
        <v>75.5</v>
      </c>
      <c r="J2013" s="10">
        <v>75.290000000000006</v>
      </c>
      <c r="K2013" s="10">
        <v>75.08</v>
      </c>
      <c r="L2013" s="10">
        <v>74.87</v>
      </c>
      <c r="M2013" s="10">
        <v>74.680000000000007</v>
      </c>
      <c r="N2013" s="10">
        <v>73.83</v>
      </c>
      <c r="O2013" s="10">
        <v>73.239999999999995</v>
      </c>
      <c r="P2013" s="10">
        <v>72.81</v>
      </c>
      <c r="Q2013" s="10">
        <v>72.430000000000007</v>
      </c>
      <c r="R2013" s="10">
        <v>72.099999999999994</v>
      </c>
      <c r="S2013" s="10">
        <v>71.81</v>
      </c>
      <c r="T2013" s="10">
        <v>71.55</v>
      </c>
      <c r="U2013" s="10">
        <v>71.3</v>
      </c>
      <c r="V2013" s="10">
        <v>71.040000000000006</v>
      </c>
      <c r="W2013" s="10">
        <v>70.78</v>
      </c>
      <c r="X2013" s="10">
        <v>70.540000000000006</v>
      </c>
      <c r="Y2013" s="10">
        <v>70.319999999999993</v>
      </c>
      <c r="Z2013" s="11">
        <v>76.891999999999996</v>
      </c>
      <c r="AA2013" s="11">
        <v>76.117000000000004</v>
      </c>
      <c r="AB2013" s="11">
        <v>75.611999999999995</v>
      </c>
      <c r="AC2013" s="11">
        <v>75.241</v>
      </c>
      <c r="AD2013" s="11">
        <v>74.947999999999993</v>
      </c>
      <c r="AE2013" s="11">
        <v>74.754999999999995</v>
      </c>
      <c r="AF2013" s="11">
        <v>74.564999999999998</v>
      </c>
      <c r="AG2013" s="11">
        <v>74.400000000000006</v>
      </c>
      <c r="AH2013" s="11">
        <v>74.23</v>
      </c>
      <c r="AI2013" s="11">
        <v>74.061000000000007</v>
      </c>
      <c r="AJ2013" s="11">
        <v>73.881</v>
      </c>
      <c r="AK2013" s="11">
        <v>73.691999999999993</v>
      </c>
      <c r="AL2013" s="11"/>
    </row>
    <row r="2014" spans="1:38" x14ac:dyDescent="0.3">
      <c r="A2014" s="9">
        <f>DATE(2024, 10, 15)</f>
        <v>45580</v>
      </c>
      <c r="B2014" s="10">
        <v>74.25</v>
      </c>
      <c r="C2014" s="10">
        <v>73.88</v>
      </c>
      <c r="D2014" s="10">
        <v>73.55</v>
      </c>
      <c r="E2014" s="10">
        <v>73.3</v>
      </c>
      <c r="F2014" s="10">
        <v>73.09</v>
      </c>
      <c r="G2014" s="10">
        <v>72.92</v>
      </c>
      <c r="H2014" s="10">
        <v>72.75</v>
      </c>
      <c r="I2014" s="10">
        <v>72.599999999999994</v>
      </c>
      <c r="J2014" s="10">
        <v>72.459999999999994</v>
      </c>
      <c r="K2014" s="10">
        <v>72.31</v>
      </c>
      <c r="L2014" s="10">
        <v>72.17</v>
      </c>
      <c r="M2014" s="10">
        <v>72.040000000000006</v>
      </c>
      <c r="N2014" s="10">
        <v>70.58</v>
      </c>
      <c r="O2014" s="10">
        <v>70.010000000000005</v>
      </c>
      <c r="P2014" s="10">
        <v>69.64</v>
      </c>
      <c r="Q2014" s="10">
        <v>69.31</v>
      </c>
      <c r="R2014" s="10">
        <v>69.05</v>
      </c>
      <c r="S2014" s="10">
        <v>68.83</v>
      </c>
      <c r="T2014" s="10">
        <v>68.64</v>
      </c>
      <c r="U2014" s="10">
        <v>68.45</v>
      </c>
      <c r="V2014" s="10">
        <v>68.260000000000005</v>
      </c>
      <c r="W2014" s="10">
        <v>68.06</v>
      </c>
      <c r="X2014" s="10">
        <v>67.88</v>
      </c>
      <c r="Y2014" s="10">
        <v>67.72</v>
      </c>
      <c r="Z2014" s="11">
        <v>75.216999999999999</v>
      </c>
      <c r="AA2014" s="11">
        <v>72.974000000000004</v>
      </c>
      <c r="AB2014" s="11">
        <v>72.521000000000001</v>
      </c>
      <c r="AC2014" s="11">
        <v>72.200999999999993</v>
      </c>
      <c r="AD2014" s="11">
        <v>71.956999999999994</v>
      </c>
      <c r="AE2014" s="11">
        <v>71.822000000000003</v>
      </c>
      <c r="AF2014" s="11">
        <v>71.692999999999998</v>
      </c>
      <c r="AG2014" s="11">
        <v>71.573999999999998</v>
      </c>
      <c r="AH2014" s="11">
        <v>71.453000000000003</v>
      </c>
      <c r="AI2014" s="11">
        <v>71.323999999999998</v>
      </c>
      <c r="AJ2014" s="11">
        <v>71.194000000000003</v>
      </c>
      <c r="AK2014" s="11">
        <v>71.064999999999998</v>
      </c>
      <c r="AL2014" s="11"/>
    </row>
    <row r="2015" spans="1:38" x14ac:dyDescent="0.3">
      <c r="A2015" s="9">
        <f>DATE(2024, 10, 16)</f>
        <v>45581</v>
      </c>
      <c r="B2015" s="10">
        <v>74.22</v>
      </c>
      <c r="C2015" s="10">
        <v>73.790000000000006</v>
      </c>
      <c r="D2015" s="10">
        <v>73.400000000000006</v>
      </c>
      <c r="E2015" s="10">
        <v>73.12</v>
      </c>
      <c r="F2015" s="10">
        <v>72.89</v>
      </c>
      <c r="G2015" s="10">
        <v>72.69</v>
      </c>
      <c r="H2015" s="10">
        <v>72.510000000000005</v>
      </c>
      <c r="I2015" s="10">
        <v>72.34</v>
      </c>
      <c r="J2015" s="10">
        <v>72.17</v>
      </c>
      <c r="K2015" s="10">
        <v>72.010000000000005</v>
      </c>
      <c r="L2015" s="10">
        <v>71.849999999999994</v>
      </c>
      <c r="M2015" s="10">
        <v>71.7</v>
      </c>
      <c r="N2015" s="10">
        <v>70.39</v>
      </c>
      <c r="O2015" s="10">
        <v>69.819999999999993</v>
      </c>
      <c r="P2015" s="10">
        <v>69.430000000000007</v>
      </c>
      <c r="Q2015" s="10">
        <v>69.099999999999994</v>
      </c>
      <c r="R2015" s="10">
        <v>68.81</v>
      </c>
      <c r="S2015" s="10">
        <v>68.569999999999993</v>
      </c>
      <c r="T2015" s="10">
        <v>68.36</v>
      </c>
      <c r="U2015" s="10">
        <v>68.16</v>
      </c>
      <c r="V2015" s="10">
        <v>67.94</v>
      </c>
      <c r="W2015" s="10">
        <v>67.73</v>
      </c>
      <c r="X2015" s="10">
        <v>67.53</v>
      </c>
      <c r="Y2015" s="10">
        <v>67.349999999999994</v>
      </c>
      <c r="Z2015" s="11">
        <v>75.085999999999999</v>
      </c>
      <c r="AA2015" s="11">
        <v>72.760999999999996</v>
      </c>
      <c r="AB2015" s="11">
        <v>72.317999999999998</v>
      </c>
      <c r="AC2015" s="11">
        <v>71.97</v>
      </c>
      <c r="AD2015" s="11">
        <v>71.691000000000003</v>
      </c>
      <c r="AE2015" s="11">
        <v>71.540999999999997</v>
      </c>
      <c r="AF2015" s="11">
        <v>71.402000000000001</v>
      </c>
      <c r="AG2015" s="11">
        <v>71.272000000000006</v>
      </c>
      <c r="AH2015" s="11">
        <v>71.141999999999996</v>
      </c>
      <c r="AI2015" s="11">
        <v>71.013000000000005</v>
      </c>
      <c r="AJ2015" s="11">
        <v>70.863</v>
      </c>
      <c r="AK2015" s="11">
        <v>70.713999999999999</v>
      </c>
      <c r="AL2015" s="11"/>
    </row>
    <row r="2016" spans="1:38" x14ac:dyDescent="0.3">
      <c r="A2016" s="9">
        <f>DATE(2024, 10, 17)</f>
        <v>45582</v>
      </c>
      <c r="B2016" s="10">
        <v>74.45</v>
      </c>
      <c r="C2016" s="10">
        <v>73.98</v>
      </c>
      <c r="D2016" s="10">
        <v>73.59</v>
      </c>
      <c r="E2016" s="10">
        <v>73.31</v>
      </c>
      <c r="F2016" s="10">
        <v>73.09</v>
      </c>
      <c r="G2016" s="10">
        <v>72.91</v>
      </c>
      <c r="H2016" s="10">
        <v>72.75</v>
      </c>
      <c r="I2016" s="10">
        <v>72.599999999999994</v>
      </c>
      <c r="J2016" s="10">
        <v>72.44</v>
      </c>
      <c r="K2016" s="10">
        <v>72.290000000000006</v>
      </c>
      <c r="L2016" s="10">
        <v>72.150000000000006</v>
      </c>
      <c r="M2016" s="10">
        <v>72.010000000000005</v>
      </c>
      <c r="N2016" s="10">
        <v>70.67</v>
      </c>
      <c r="O2016" s="10">
        <v>70.09</v>
      </c>
      <c r="P2016" s="10">
        <v>69.64</v>
      </c>
      <c r="Q2016" s="10">
        <v>69.3</v>
      </c>
      <c r="R2016" s="10">
        <v>69.03</v>
      </c>
      <c r="S2016" s="10">
        <v>68.8</v>
      </c>
      <c r="T2016" s="10">
        <v>68.61</v>
      </c>
      <c r="U2016" s="10">
        <v>68.430000000000007</v>
      </c>
      <c r="V2016" s="10">
        <v>68.23</v>
      </c>
      <c r="W2016" s="10">
        <v>68.02</v>
      </c>
      <c r="X2016" s="10">
        <v>67.83</v>
      </c>
      <c r="Y2016" s="10">
        <v>67.650000000000006</v>
      </c>
      <c r="Z2016" s="11">
        <v>75.165999999999997</v>
      </c>
      <c r="AA2016" s="11">
        <v>72.92</v>
      </c>
      <c r="AB2016" s="11">
        <v>72.468999999999994</v>
      </c>
      <c r="AC2016" s="11">
        <v>72.134</v>
      </c>
      <c r="AD2016" s="11">
        <v>71.875</v>
      </c>
      <c r="AE2016" s="11">
        <v>71.725999999999999</v>
      </c>
      <c r="AF2016" s="11">
        <v>71.602999999999994</v>
      </c>
      <c r="AG2016" s="11">
        <v>71.492999999999995</v>
      </c>
      <c r="AH2016" s="11">
        <v>71.373000000000005</v>
      </c>
      <c r="AI2016" s="11">
        <v>71.254000000000005</v>
      </c>
      <c r="AJ2016" s="11">
        <v>71.132999999999996</v>
      </c>
      <c r="AK2016" s="11">
        <v>71.013999999999996</v>
      </c>
      <c r="AL2016" s="11"/>
    </row>
    <row r="2017" spans="1:38" x14ac:dyDescent="0.3">
      <c r="A2017" s="9">
        <f>DATE(2024, 10, 18)</f>
        <v>45583</v>
      </c>
      <c r="B2017" s="10">
        <v>73.06</v>
      </c>
      <c r="C2017" s="10">
        <v>72.680000000000007</v>
      </c>
      <c r="D2017" s="10">
        <v>72.34</v>
      </c>
      <c r="E2017" s="10">
        <v>72.11</v>
      </c>
      <c r="F2017" s="10">
        <v>71.930000000000007</v>
      </c>
      <c r="G2017" s="10">
        <v>71.790000000000006</v>
      </c>
      <c r="H2017" s="10">
        <v>71.67</v>
      </c>
      <c r="I2017" s="10">
        <v>71.56</v>
      </c>
      <c r="J2017" s="10">
        <v>71.44</v>
      </c>
      <c r="K2017" s="10">
        <v>71.319999999999993</v>
      </c>
      <c r="L2017" s="10">
        <v>71.19</v>
      </c>
      <c r="M2017" s="10">
        <v>71.08</v>
      </c>
      <c r="N2017" s="10">
        <v>69.22</v>
      </c>
      <c r="O2017" s="10">
        <v>68.69</v>
      </c>
      <c r="P2017" s="10">
        <v>68.290000000000006</v>
      </c>
      <c r="Q2017" s="10">
        <v>68</v>
      </c>
      <c r="R2017" s="10">
        <v>67.77</v>
      </c>
      <c r="S2017" s="10">
        <v>67.59</v>
      </c>
      <c r="T2017" s="10">
        <v>67.44</v>
      </c>
      <c r="U2017" s="10">
        <v>67.3</v>
      </c>
      <c r="V2017" s="10">
        <v>67.14</v>
      </c>
      <c r="W2017" s="10">
        <v>66.989999999999995</v>
      </c>
      <c r="X2017" s="10">
        <v>66.83</v>
      </c>
      <c r="Y2017" s="10">
        <v>66.69</v>
      </c>
      <c r="Z2017" s="11">
        <v>74.757000000000005</v>
      </c>
      <c r="AA2017" s="11">
        <v>71.679000000000002</v>
      </c>
      <c r="AB2017" s="11">
        <v>71.253</v>
      </c>
      <c r="AC2017" s="11">
        <v>70.921999999999997</v>
      </c>
      <c r="AD2017" s="11">
        <v>70.697999999999993</v>
      </c>
      <c r="AE2017" s="11">
        <v>70.593999999999994</v>
      </c>
      <c r="AF2017" s="11">
        <v>70.513000000000005</v>
      </c>
      <c r="AG2017" s="11">
        <v>70.44</v>
      </c>
      <c r="AH2017" s="11">
        <v>70.349000000000004</v>
      </c>
      <c r="AI2017" s="11">
        <v>70.263999999999996</v>
      </c>
      <c r="AJ2017" s="11">
        <v>70.165000000000006</v>
      </c>
      <c r="AK2017" s="11">
        <v>70.055000000000007</v>
      </c>
      <c r="AL2017" s="11"/>
    </row>
    <row r="2018" spans="1:38" x14ac:dyDescent="0.3">
      <c r="A2018" s="9">
        <f>DATE(2024, 10, 21)</f>
        <v>45586</v>
      </c>
      <c r="B2018" s="10">
        <v>74.290000000000006</v>
      </c>
      <c r="C2018" s="10">
        <v>73.92</v>
      </c>
      <c r="D2018" s="10">
        <v>73.55</v>
      </c>
      <c r="E2018" s="10">
        <v>73.28</v>
      </c>
      <c r="F2018" s="10">
        <v>73.069999999999993</v>
      </c>
      <c r="G2018" s="10">
        <v>72.900000000000006</v>
      </c>
      <c r="H2018" s="10">
        <v>72.75</v>
      </c>
      <c r="I2018" s="10">
        <v>72.61</v>
      </c>
      <c r="J2018" s="10">
        <v>72.459999999999994</v>
      </c>
      <c r="K2018" s="10">
        <v>72.31</v>
      </c>
      <c r="L2018" s="10">
        <v>72.16</v>
      </c>
      <c r="M2018" s="10">
        <v>72.02</v>
      </c>
      <c r="N2018" s="10">
        <v>70.56</v>
      </c>
      <c r="O2018" s="10">
        <v>70.040000000000006</v>
      </c>
      <c r="P2018" s="10">
        <v>69.599999999999994</v>
      </c>
      <c r="Q2018" s="10">
        <v>69.260000000000005</v>
      </c>
      <c r="R2018" s="10">
        <v>68.989999999999995</v>
      </c>
      <c r="S2018" s="10">
        <v>68.77</v>
      </c>
      <c r="T2018" s="10">
        <v>68.58</v>
      </c>
      <c r="U2018" s="10">
        <v>68.41</v>
      </c>
      <c r="V2018" s="10">
        <v>68.22</v>
      </c>
      <c r="W2018" s="10">
        <v>68.02</v>
      </c>
      <c r="X2018" s="10">
        <v>67.84</v>
      </c>
      <c r="Y2018" s="10">
        <v>67.67</v>
      </c>
      <c r="Z2018" s="11">
        <v>75.165999999999997</v>
      </c>
      <c r="AA2018" s="11">
        <v>72.808999999999997</v>
      </c>
      <c r="AB2018" s="11">
        <v>72.429000000000002</v>
      </c>
      <c r="AC2018" s="11">
        <v>72.069999999999993</v>
      </c>
      <c r="AD2018" s="11">
        <v>71.841999999999999</v>
      </c>
      <c r="AE2018" s="11">
        <v>71.722999999999999</v>
      </c>
      <c r="AF2018" s="11">
        <v>71.602999999999994</v>
      </c>
      <c r="AG2018" s="11">
        <v>71.483000000000004</v>
      </c>
      <c r="AH2018" s="11">
        <v>71.363</v>
      </c>
      <c r="AI2018" s="11">
        <v>71.233000000000004</v>
      </c>
      <c r="AJ2018" s="11">
        <v>71.093000000000004</v>
      </c>
      <c r="AK2018" s="11">
        <v>70.963999999999999</v>
      </c>
      <c r="AL2018" s="11"/>
    </row>
    <row r="2019" spans="1:38" x14ac:dyDescent="0.3">
      <c r="A2019" s="9">
        <f>DATE(2024, 10, 22)</f>
        <v>45587</v>
      </c>
      <c r="B2019" s="10">
        <v>76.040000000000006</v>
      </c>
      <c r="C2019" s="10">
        <v>75.62</v>
      </c>
      <c r="D2019" s="10">
        <v>75.180000000000007</v>
      </c>
      <c r="E2019" s="10">
        <v>74.86</v>
      </c>
      <c r="F2019" s="10">
        <v>74.599999999999994</v>
      </c>
      <c r="G2019" s="10">
        <v>74.400000000000006</v>
      </c>
      <c r="H2019" s="10">
        <v>74.22</v>
      </c>
      <c r="I2019" s="10">
        <v>74.040000000000006</v>
      </c>
      <c r="J2019" s="10">
        <v>73.849999999999994</v>
      </c>
      <c r="K2019" s="10">
        <v>73.67</v>
      </c>
      <c r="L2019" s="10">
        <v>73.48</v>
      </c>
      <c r="M2019" s="10">
        <v>73.31</v>
      </c>
      <c r="N2019" s="10">
        <v>72.09</v>
      </c>
      <c r="O2019" s="10">
        <v>71.739999999999995</v>
      </c>
      <c r="P2019" s="10">
        <v>71.31</v>
      </c>
      <c r="Q2019" s="10">
        <v>70.94</v>
      </c>
      <c r="R2019" s="10">
        <v>70.63</v>
      </c>
      <c r="S2019" s="10">
        <v>70.38</v>
      </c>
      <c r="T2019" s="10">
        <v>70.16</v>
      </c>
      <c r="U2019" s="10">
        <v>69.94</v>
      </c>
      <c r="V2019" s="10">
        <v>69.72</v>
      </c>
      <c r="W2019" s="10">
        <v>69.489999999999995</v>
      </c>
      <c r="X2019" s="10">
        <v>69.25</v>
      </c>
      <c r="Y2019" s="10">
        <v>69.05</v>
      </c>
      <c r="Z2019" s="11">
        <v>75.561999999999998</v>
      </c>
      <c r="AA2019" s="11">
        <v>74.319000000000003</v>
      </c>
      <c r="AB2019" s="11">
        <v>73.98</v>
      </c>
      <c r="AC2019" s="11">
        <v>73.608000000000004</v>
      </c>
      <c r="AD2019" s="11">
        <v>73.34</v>
      </c>
      <c r="AE2019" s="11">
        <v>73.191000000000003</v>
      </c>
      <c r="AF2019" s="11">
        <v>73.052999999999997</v>
      </c>
      <c r="AG2019" s="11">
        <v>72.906999999999996</v>
      </c>
      <c r="AH2019" s="11">
        <v>72.760999999999996</v>
      </c>
      <c r="AI2019" s="11">
        <v>72.611999999999995</v>
      </c>
      <c r="AJ2019" s="11">
        <v>72.441999999999993</v>
      </c>
      <c r="AK2019" s="11">
        <v>72.283000000000001</v>
      </c>
      <c r="AL2019" s="11"/>
    </row>
    <row r="2020" spans="1:38" x14ac:dyDescent="0.3">
      <c r="A2020" s="9">
        <f>DATE(2024, 10, 23)</f>
        <v>45588</v>
      </c>
      <c r="B2020" s="10">
        <v>74.959999999999994</v>
      </c>
      <c r="C2020" s="10">
        <v>74.56</v>
      </c>
      <c r="D2020" s="10">
        <v>74.16</v>
      </c>
      <c r="E2020" s="10">
        <v>73.88</v>
      </c>
      <c r="F2020" s="10">
        <v>73.66</v>
      </c>
      <c r="G2020" s="10">
        <v>73.489999999999995</v>
      </c>
      <c r="H2020" s="10">
        <v>73.33</v>
      </c>
      <c r="I2020" s="10">
        <v>73.17</v>
      </c>
      <c r="J2020" s="10">
        <v>73</v>
      </c>
      <c r="K2020" s="10">
        <v>72.81</v>
      </c>
      <c r="L2020" s="10">
        <v>72.63</v>
      </c>
      <c r="M2020" s="10">
        <v>72.459999999999994</v>
      </c>
      <c r="N2020" s="10">
        <v>70.77</v>
      </c>
      <c r="O2020" s="10">
        <v>70.37</v>
      </c>
      <c r="P2020" s="10">
        <v>70.02</v>
      </c>
      <c r="Q2020" s="10">
        <v>69.73</v>
      </c>
      <c r="R2020" s="10">
        <v>69.5</v>
      </c>
      <c r="S2020" s="10">
        <v>69.3</v>
      </c>
      <c r="T2020" s="10">
        <v>69.11</v>
      </c>
      <c r="U2020" s="10">
        <v>68.900000000000006</v>
      </c>
      <c r="V2020" s="10">
        <v>68.67</v>
      </c>
      <c r="W2020" s="10">
        <v>68.459999999999994</v>
      </c>
      <c r="X2020" s="10">
        <v>68.260000000000005</v>
      </c>
      <c r="Y2020" s="10">
        <v>68.09</v>
      </c>
      <c r="Z2020" s="11">
        <v>75.301000000000002</v>
      </c>
      <c r="AA2020" s="11">
        <v>73.116</v>
      </c>
      <c r="AB2020" s="11">
        <v>72.856999999999999</v>
      </c>
      <c r="AC2020" s="11">
        <v>72.486999999999995</v>
      </c>
      <c r="AD2020" s="11">
        <v>72.257000000000005</v>
      </c>
      <c r="AE2020" s="11">
        <v>72.138999999999996</v>
      </c>
      <c r="AF2020" s="11">
        <v>72.046999999999997</v>
      </c>
      <c r="AG2020" s="11">
        <v>71.936999999999998</v>
      </c>
      <c r="AH2020" s="11">
        <v>71.816000000000003</v>
      </c>
      <c r="AI2020" s="11">
        <v>71.671999999999997</v>
      </c>
      <c r="AJ2020" s="11">
        <v>71.522000000000006</v>
      </c>
      <c r="AK2020" s="11">
        <v>71.373000000000005</v>
      </c>
      <c r="AL2020" s="11"/>
    </row>
    <row r="2021" spans="1:38" x14ac:dyDescent="0.3">
      <c r="A2021" s="9">
        <f>DATE(2024, 10, 24)</f>
        <v>45589</v>
      </c>
      <c r="B2021" s="10">
        <v>74.38</v>
      </c>
      <c r="C2021" s="10">
        <v>74.03</v>
      </c>
      <c r="D2021" s="10">
        <v>73.66</v>
      </c>
      <c r="E2021" s="10">
        <v>73.39</v>
      </c>
      <c r="F2021" s="10">
        <v>73.19</v>
      </c>
      <c r="G2021" s="10">
        <v>73.03</v>
      </c>
      <c r="H2021" s="10">
        <v>72.900000000000006</v>
      </c>
      <c r="I2021" s="10">
        <v>72.760000000000005</v>
      </c>
      <c r="J2021" s="10">
        <v>72.61</v>
      </c>
      <c r="K2021" s="10">
        <v>72.45</v>
      </c>
      <c r="L2021" s="10">
        <v>72.290000000000006</v>
      </c>
      <c r="M2021" s="10">
        <v>72.13</v>
      </c>
      <c r="N2021" s="10">
        <v>70.19</v>
      </c>
      <c r="O2021" s="10">
        <v>69.84</v>
      </c>
      <c r="P2021" s="10">
        <v>69.52</v>
      </c>
      <c r="Q2021" s="10">
        <v>69.260000000000005</v>
      </c>
      <c r="R2021" s="10">
        <v>69.06</v>
      </c>
      <c r="S2021" s="10">
        <v>68.89</v>
      </c>
      <c r="T2021" s="10">
        <v>68.72</v>
      </c>
      <c r="U2021" s="10">
        <v>68.53</v>
      </c>
      <c r="V2021" s="10">
        <v>68.34</v>
      </c>
      <c r="W2021" s="10">
        <v>68.14</v>
      </c>
      <c r="X2021" s="10">
        <v>67.959999999999994</v>
      </c>
      <c r="Y2021" s="10">
        <v>67.81</v>
      </c>
      <c r="Z2021" s="11">
        <v>75.269000000000005</v>
      </c>
      <c r="AA2021" s="11">
        <v>72.751999999999995</v>
      </c>
      <c r="AB2021" s="11">
        <v>72.513999999999996</v>
      </c>
      <c r="AC2021" s="11">
        <v>72.081000000000003</v>
      </c>
      <c r="AD2021" s="11">
        <v>71.841999999999999</v>
      </c>
      <c r="AE2021" s="11">
        <v>71.724000000000004</v>
      </c>
      <c r="AF2021" s="11">
        <v>71.617999999999995</v>
      </c>
      <c r="AG2021" s="11">
        <v>71.513000000000005</v>
      </c>
      <c r="AH2021" s="11">
        <v>71.391999999999996</v>
      </c>
      <c r="AI2021" s="11">
        <v>71.263000000000005</v>
      </c>
      <c r="AJ2021" s="11">
        <v>71.132000000000005</v>
      </c>
      <c r="AK2021" s="11">
        <v>70.983999999999995</v>
      </c>
      <c r="AL2021" s="11"/>
    </row>
    <row r="2022" spans="1:38" x14ac:dyDescent="0.3">
      <c r="A2022" s="9">
        <f>DATE(2024, 10, 25)</f>
        <v>45590</v>
      </c>
      <c r="B2022" s="10">
        <v>76.05</v>
      </c>
      <c r="C2022" s="10">
        <v>75.63</v>
      </c>
      <c r="D2022" s="10">
        <v>75.209999999999994</v>
      </c>
      <c r="E2022" s="10">
        <v>74.900000000000006</v>
      </c>
      <c r="F2022" s="10">
        <v>74.67</v>
      </c>
      <c r="G2022" s="10">
        <v>74.489999999999995</v>
      </c>
      <c r="H2022" s="10">
        <v>74.319999999999993</v>
      </c>
      <c r="I2022" s="10">
        <v>74.14</v>
      </c>
      <c r="J2022" s="10">
        <v>73.95</v>
      </c>
      <c r="K2022" s="10">
        <v>73.760000000000005</v>
      </c>
      <c r="L2022" s="10">
        <v>73.55</v>
      </c>
      <c r="M2022" s="10">
        <v>73.37</v>
      </c>
      <c r="N2022" s="10">
        <v>71.78</v>
      </c>
      <c r="O2022" s="10">
        <v>71.349999999999994</v>
      </c>
      <c r="P2022" s="10">
        <v>70.98</v>
      </c>
      <c r="Q2022" s="10">
        <v>70.69</v>
      </c>
      <c r="R2022" s="10">
        <v>70.459999999999994</v>
      </c>
      <c r="S2022" s="10">
        <v>70.27</v>
      </c>
      <c r="T2022" s="10">
        <v>70.069999999999993</v>
      </c>
      <c r="U2022" s="10">
        <v>69.86</v>
      </c>
      <c r="V2022" s="10">
        <v>69.63</v>
      </c>
      <c r="W2022" s="10">
        <v>69.41</v>
      </c>
      <c r="X2022" s="10">
        <v>69.19</v>
      </c>
      <c r="Y2022" s="10">
        <v>69.010000000000005</v>
      </c>
      <c r="Z2022" s="11">
        <v>75.457999999999998</v>
      </c>
      <c r="AA2022" s="11">
        <v>74.305000000000007</v>
      </c>
      <c r="AB2022" s="11">
        <v>74.075000000000003</v>
      </c>
      <c r="AC2022" s="11">
        <v>73.614999999999995</v>
      </c>
      <c r="AD2022" s="11">
        <v>73.343999999999994</v>
      </c>
      <c r="AE2022" s="11">
        <v>73.171999999999997</v>
      </c>
      <c r="AF2022" s="11">
        <v>73.031000000000006</v>
      </c>
      <c r="AG2022" s="11">
        <v>72.881</v>
      </c>
      <c r="AH2022" s="11">
        <v>72.721000000000004</v>
      </c>
      <c r="AI2022" s="11">
        <v>72.551000000000002</v>
      </c>
      <c r="AJ2022" s="11">
        <v>72.370999999999995</v>
      </c>
      <c r="AK2022" s="11">
        <v>72.201999999999998</v>
      </c>
      <c r="AL2022" s="11"/>
    </row>
    <row r="2023" spans="1:38" x14ac:dyDescent="0.3">
      <c r="A2023" s="9">
        <f>DATE(2024, 10, 28)</f>
        <v>45593</v>
      </c>
      <c r="B2023" s="10">
        <v>71.42</v>
      </c>
      <c r="C2023" s="10">
        <v>71</v>
      </c>
      <c r="D2023" s="10">
        <v>70.66</v>
      </c>
      <c r="E2023" s="10">
        <v>70.45</v>
      </c>
      <c r="F2023" s="10">
        <v>70.33</v>
      </c>
      <c r="G2023" s="10">
        <v>70.25</v>
      </c>
      <c r="H2023" s="10">
        <v>70.19</v>
      </c>
      <c r="I2023" s="10">
        <v>70.12</v>
      </c>
      <c r="J2023" s="10">
        <v>70.03</v>
      </c>
      <c r="K2023" s="10">
        <v>69.92</v>
      </c>
      <c r="L2023" s="10">
        <v>69.81</v>
      </c>
      <c r="M2023" s="10">
        <v>69.7</v>
      </c>
      <c r="N2023" s="10">
        <v>67.38</v>
      </c>
      <c r="O2023" s="10">
        <v>66.98</v>
      </c>
      <c r="P2023" s="10">
        <v>66.67</v>
      </c>
      <c r="Q2023" s="10">
        <v>66.44</v>
      </c>
      <c r="R2023" s="10">
        <v>66.3</v>
      </c>
      <c r="S2023" s="10">
        <v>66.2</v>
      </c>
      <c r="T2023" s="10">
        <v>66.099999999999994</v>
      </c>
      <c r="U2023" s="10">
        <v>65.989999999999995</v>
      </c>
      <c r="V2023" s="10">
        <v>65.86</v>
      </c>
      <c r="W2023" s="10">
        <v>65.72</v>
      </c>
      <c r="X2023" s="10">
        <v>65.59</v>
      </c>
      <c r="Y2023" s="10">
        <v>65.489999999999995</v>
      </c>
      <c r="Z2023" s="11">
        <v>74.899000000000001</v>
      </c>
      <c r="AA2023" s="11">
        <v>69.900999999999996</v>
      </c>
      <c r="AB2023" s="11">
        <v>69.72</v>
      </c>
      <c r="AC2023" s="11">
        <v>69.325000000000003</v>
      </c>
      <c r="AD2023" s="11">
        <v>69.120999999999995</v>
      </c>
      <c r="AE2023" s="11">
        <v>69.037000000000006</v>
      </c>
      <c r="AF2023" s="11">
        <v>68.966999999999999</v>
      </c>
      <c r="AG2023" s="11">
        <v>68.897000000000006</v>
      </c>
      <c r="AH2023" s="11">
        <v>68.816000000000003</v>
      </c>
      <c r="AI2023" s="11">
        <v>68.754999999999995</v>
      </c>
      <c r="AJ2023" s="11">
        <v>68.665000000000006</v>
      </c>
      <c r="AK2023" s="11">
        <v>68.564999999999998</v>
      </c>
      <c r="AL2023" s="11"/>
    </row>
    <row r="2024" spans="1:38" x14ac:dyDescent="0.3">
      <c r="A2024" s="9">
        <f>DATE(2024, 10, 29)</f>
        <v>45594</v>
      </c>
      <c r="B2024" s="10">
        <v>71.12</v>
      </c>
      <c r="C2024" s="10">
        <v>70.73</v>
      </c>
      <c r="D2024" s="10">
        <v>70.39</v>
      </c>
      <c r="E2024" s="10">
        <v>70.19</v>
      </c>
      <c r="F2024" s="10">
        <v>70.08</v>
      </c>
      <c r="G2024" s="10">
        <v>70.03</v>
      </c>
      <c r="H2024" s="10">
        <v>69.989999999999995</v>
      </c>
      <c r="I2024" s="10">
        <v>69.92</v>
      </c>
      <c r="J2024" s="10">
        <v>69.84</v>
      </c>
      <c r="K2024" s="10">
        <v>69.75</v>
      </c>
      <c r="L2024" s="10">
        <v>69.650000000000006</v>
      </c>
      <c r="M2024" s="10">
        <v>69.56</v>
      </c>
      <c r="N2024" s="10">
        <v>67.209999999999994</v>
      </c>
      <c r="O2024" s="10">
        <v>66.81</v>
      </c>
      <c r="P2024" s="10">
        <v>66.489999999999995</v>
      </c>
      <c r="Q2024" s="10">
        <v>66.260000000000005</v>
      </c>
      <c r="R2024" s="10">
        <v>66.12</v>
      </c>
      <c r="S2024" s="10">
        <v>66.02</v>
      </c>
      <c r="T2024" s="10">
        <v>65.92</v>
      </c>
      <c r="U2024" s="10">
        <v>65.8</v>
      </c>
      <c r="V2024" s="10">
        <v>65.680000000000007</v>
      </c>
      <c r="W2024" s="10">
        <v>65.56</v>
      </c>
      <c r="X2024" s="10">
        <v>65.44</v>
      </c>
      <c r="Y2024" s="10">
        <v>65.34</v>
      </c>
      <c r="Z2024" s="11">
        <v>74.861999999999995</v>
      </c>
      <c r="AA2024" s="11">
        <v>69.67</v>
      </c>
      <c r="AB2024" s="11">
        <v>69.525999999999996</v>
      </c>
      <c r="AC2024" s="11">
        <v>69.078999999999994</v>
      </c>
      <c r="AD2024" s="11">
        <v>68.909000000000006</v>
      </c>
      <c r="AE2024" s="11">
        <v>68.837999999999994</v>
      </c>
      <c r="AF2024" s="11">
        <v>68.766999999999996</v>
      </c>
      <c r="AG2024" s="11">
        <v>68.686000000000007</v>
      </c>
      <c r="AH2024" s="11">
        <v>68.596000000000004</v>
      </c>
      <c r="AI2024" s="11">
        <v>68.525999999999996</v>
      </c>
      <c r="AJ2024" s="11">
        <v>68.456000000000003</v>
      </c>
      <c r="AK2024" s="11">
        <v>68.385999999999996</v>
      </c>
      <c r="AL2024" s="11"/>
    </row>
    <row r="2025" spans="1:38" x14ac:dyDescent="0.3">
      <c r="A2025" s="9">
        <f>DATE(2024, 10, 30)</f>
        <v>45595</v>
      </c>
      <c r="B2025" s="10">
        <v>72.55</v>
      </c>
      <c r="C2025" s="10">
        <v>72.16</v>
      </c>
      <c r="D2025" s="10">
        <v>71.790000000000006</v>
      </c>
      <c r="E2025" s="10">
        <v>71.55</v>
      </c>
      <c r="F2025" s="10">
        <v>71.400000000000006</v>
      </c>
      <c r="G2025" s="10">
        <v>71.31</v>
      </c>
      <c r="H2025" s="10">
        <v>71.22</v>
      </c>
      <c r="I2025" s="10">
        <v>71.13</v>
      </c>
      <c r="J2025" s="10">
        <v>71.02</v>
      </c>
      <c r="K2025" s="10">
        <v>70.91</v>
      </c>
      <c r="L2025" s="10">
        <v>70.790000000000006</v>
      </c>
      <c r="M2025" s="10">
        <v>70.67</v>
      </c>
      <c r="N2025" s="10">
        <v>68.61</v>
      </c>
      <c r="O2025" s="10">
        <v>68.180000000000007</v>
      </c>
      <c r="P2025" s="10">
        <v>67.819999999999993</v>
      </c>
      <c r="Q2025" s="10">
        <v>67.569999999999993</v>
      </c>
      <c r="R2025" s="10">
        <v>67.400000000000006</v>
      </c>
      <c r="S2025" s="10">
        <v>67.27</v>
      </c>
      <c r="T2025" s="10">
        <v>67.150000000000006</v>
      </c>
      <c r="U2025" s="10">
        <v>67.010000000000005</v>
      </c>
      <c r="V2025" s="10">
        <v>66.86</v>
      </c>
      <c r="W2025" s="10">
        <v>66.709999999999994</v>
      </c>
      <c r="X2025" s="10">
        <v>66.58</v>
      </c>
      <c r="Y2025" s="10">
        <v>66.459999999999994</v>
      </c>
      <c r="Z2025" s="11">
        <v>74.94</v>
      </c>
      <c r="AA2025" s="11">
        <v>71.028999999999996</v>
      </c>
      <c r="AB2025" s="11">
        <v>70.912000000000006</v>
      </c>
      <c r="AC2025" s="11">
        <v>70.445999999999998</v>
      </c>
      <c r="AD2025" s="11">
        <v>70.239999999999995</v>
      </c>
      <c r="AE2025" s="11">
        <v>70.138999999999996</v>
      </c>
      <c r="AF2025" s="11">
        <v>70.040999999999997</v>
      </c>
      <c r="AG2025" s="11">
        <v>69.944999999999993</v>
      </c>
      <c r="AH2025" s="11">
        <v>69.834999999999994</v>
      </c>
      <c r="AI2025" s="11">
        <v>69.734999999999999</v>
      </c>
      <c r="AJ2025" s="11">
        <v>69.634</v>
      </c>
      <c r="AK2025" s="11">
        <v>69.525000000000006</v>
      </c>
      <c r="AL2025" s="11"/>
    </row>
    <row r="2026" spans="1:38" x14ac:dyDescent="0.3">
      <c r="A2026" s="9">
        <f>DATE(2024, 10, 31)</f>
        <v>45596</v>
      </c>
      <c r="B2026" s="10">
        <v>73.16</v>
      </c>
      <c r="C2026" s="10">
        <v>72.81</v>
      </c>
      <c r="D2026" s="10">
        <v>72.45</v>
      </c>
      <c r="E2026" s="10">
        <v>72.2</v>
      </c>
      <c r="F2026" s="10">
        <v>72.040000000000006</v>
      </c>
      <c r="G2026" s="10">
        <v>71.92</v>
      </c>
      <c r="H2026" s="10">
        <v>71.8</v>
      </c>
      <c r="I2026" s="10">
        <v>71.67</v>
      </c>
      <c r="J2026" s="10">
        <v>71.53</v>
      </c>
      <c r="K2026" s="10">
        <v>71.38</v>
      </c>
      <c r="L2026" s="10">
        <v>71.22</v>
      </c>
      <c r="M2026" s="10">
        <v>71.08</v>
      </c>
      <c r="N2026" s="10">
        <v>69.260000000000005</v>
      </c>
      <c r="O2026" s="10">
        <v>68.81</v>
      </c>
      <c r="P2026" s="10">
        <v>68.45</v>
      </c>
      <c r="Q2026" s="10">
        <v>68.19</v>
      </c>
      <c r="R2026" s="10">
        <v>68.010000000000005</v>
      </c>
      <c r="S2026" s="10">
        <v>67.86</v>
      </c>
      <c r="T2026" s="10">
        <v>67.7</v>
      </c>
      <c r="U2026" s="10">
        <v>67.53</v>
      </c>
      <c r="V2026" s="10">
        <v>67.34</v>
      </c>
      <c r="W2026" s="10">
        <v>67.17</v>
      </c>
      <c r="X2026" s="10">
        <v>66.989999999999995</v>
      </c>
      <c r="Y2026" s="10">
        <v>66.84</v>
      </c>
      <c r="Z2026" s="11">
        <v>74.94</v>
      </c>
      <c r="AA2026" s="11">
        <v>71.692999999999998</v>
      </c>
      <c r="AB2026" s="11">
        <v>71.516000000000005</v>
      </c>
      <c r="AC2026" s="11">
        <v>71.093000000000004</v>
      </c>
      <c r="AD2026" s="11">
        <v>70.882000000000005</v>
      </c>
      <c r="AE2026" s="11">
        <v>70.763999999999996</v>
      </c>
      <c r="AF2026" s="11">
        <v>70.644000000000005</v>
      </c>
      <c r="AG2026" s="11">
        <v>70.513999999999996</v>
      </c>
      <c r="AH2026" s="11">
        <v>70.373000000000005</v>
      </c>
      <c r="AI2026" s="11">
        <v>70.233000000000004</v>
      </c>
      <c r="AJ2026" s="11">
        <v>70.082999999999998</v>
      </c>
      <c r="AK2026" s="11">
        <v>69.953999999999994</v>
      </c>
      <c r="AL2026" s="11"/>
    </row>
    <row r="2027" spans="1:38" x14ac:dyDescent="0.3">
      <c r="A2027" s="9">
        <f>DATE(2024, 11, 1)</f>
        <v>45597</v>
      </c>
      <c r="B2027" s="10">
        <v>73.099999999999994</v>
      </c>
      <c r="C2027" s="10">
        <v>72.73</v>
      </c>
      <c r="D2027" s="10">
        <v>72.489999999999995</v>
      </c>
      <c r="E2027" s="10">
        <v>72.33</v>
      </c>
      <c r="F2027" s="10">
        <v>72.209999999999994</v>
      </c>
      <c r="G2027" s="10">
        <v>72.08</v>
      </c>
      <c r="H2027" s="10">
        <v>71.95</v>
      </c>
      <c r="I2027" s="10">
        <v>71.8</v>
      </c>
      <c r="J2027" s="10">
        <v>71.650000000000006</v>
      </c>
      <c r="K2027" s="10">
        <v>71.489999999999995</v>
      </c>
      <c r="L2027" s="10">
        <v>71.34</v>
      </c>
      <c r="M2027" s="10">
        <v>71.2</v>
      </c>
      <c r="N2027" s="10">
        <v>69.489999999999995</v>
      </c>
      <c r="O2027" s="10">
        <v>69.08</v>
      </c>
      <c r="P2027" s="10">
        <v>68.760000000000005</v>
      </c>
      <c r="Q2027" s="10">
        <v>68.52</v>
      </c>
      <c r="R2027" s="10">
        <v>68.349999999999994</v>
      </c>
      <c r="S2027" s="10">
        <v>68.2</v>
      </c>
      <c r="T2027" s="10">
        <v>68.040000000000006</v>
      </c>
      <c r="U2027" s="10">
        <v>67.87</v>
      </c>
      <c r="V2027" s="10">
        <v>67.69</v>
      </c>
      <c r="W2027" s="10">
        <v>67.489999999999995</v>
      </c>
      <c r="X2027" s="10">
        <v>67.319999999999993</v>
      </c>
      <c r="Y2027" s="10">
        <v>67.150000000000006</v>
      </c>
      <c r="Z2027" s="11">
        <v>74.94</v>
      </c>
      <c r="AA2027" s="11">
        <v>72.206999999999994</v>
      </c>
      <c r="AB2027" s="11">
        <v>71.908000000000001</v>
      </c>
      <c r="AC2027" s="11">
        <v>71.436999999999998</v>
      </c>
      <c r="AD2027" s="11">
        <v>71.203999999999994</v>
      </c>
      <c r="AE2027" s="11">
        <v>71.073999999999998</v>
      </c>
      <c r="AF2027" s="11">
        <v>70.944000000000003</v>
      </c>
      <c r="AG2027" s="11">
        <v>70.802999999999997</v>
      </c>
      <c r="AH2027" s="11">
        <v>70.653000000000006</v>
      </c>
      <c r="AI2027" s="11">
        <v>70.503</v>
      </c>
      <c r="AJ2027" s="11">
        <v>70.343000000000004</v>
      </c>
      <c r="AK2027" s="11">
        <v>70.194000000000003</v>
      </c>
      <c r="AL2027" s="11"/>
    </row>
    <row r="2028" spans="1:38" x14ac:dyDescent="0.3">
      <c r="A2028" s="9">
        <f>DATE(2024, 11, 4)</f>
        <v>45600</v>
      </c>
      <c r="B2028" s="10">
        <v>75.08</v>
      </c>
      <c r="C2028" s="10">
        <v>74.66</v>
      </c>
      <c r="D2028" s="10">
        <v>74.349999999999994</v>
      </c>
      <c r="E2028" s="10">
        <v>74.11</v>
      </c>
      <c r="F2028" s="10">
        <v>73.91</v>
      </c>
      <c r="G2028" s="10">
        <v>73.709999999999994</v>
      </c>
      <c r="H2028" s="10">
        <v>73.5</v>
      </c>
      <c r="I2028" s="10">
        <v>73.290000000000006</v>
      </c>
      <c r="J2028" s="10">
        <v>73.06</v>
      </c>
      <c r="K2028" s="10">
        <v>72.83</v>
      </c>
      <c r="L2028" s="10">
        <v>72.61</v>
      </c>
      <c r="M2028" s="10">
        <v>72.41</v>
      </c>
      <c r="N2028" s="10">
        <v>71.47</v>
      </c>
      <c r="O2028" s="10">
        <v>71.03</v>
      </c>
      <c r="P2028" s="10">
        <v>70.66</v>
      </c>
      <c r="Q2028" s="10">
        <v>70.36</v>
      </c>
      <c r="R2028" s="10">
        <v>70.11</v>
      </c>
      <c r="S2028" s="10">
        <v>69.88</v>
      </c>
      <c r="T2028" s="10">
        <v>69.64</v>
      </c>
      <c r="U2028" s="10">
        <v>69.39</v>
      </c>
      <c r="V2028" s="10">
        <v>69.13</v>
      </c>
      <c r="W2028" s="10">
        <v>68.89</v>
      </c>
      <c r="X2028" s="10">
        <v>68.64</v>
      </c>
      <c r="Y2028" s="10">
        <v>68.42</v>
      </c>
      <c r="Z2028" s="11">
        <v>74.052999999999997</v>
      </c>
      <c r="AA2028" s="11">
        <v>73.915000000000006</v>
      </c>
      <c r="AB2028" s="11">
        <v>73.366</v>
      </c>
      <c r="AC2028" s="11">
        <v>73.052999999999997</v>
      </c>
      <c r="AD2028" s="11">
        <v>72.834999999999994</v>
      </c>
      <c r="AE2028" s="11">
        <v>72.63</v>
      </c>
      <c r="AF2028" s="11">
        <v>72.415000000000006</v>
      </c>
      <c r="AG2028" s="11">
        <v>72.188999999999993</v>
      </c>
      <c r="AH2028" s="11">
        <v>71.959999999999994</v>
      </c>
      <c r="AI2028" s="11">
        <v>71.739999999999995</v>
      </c>
      <c r="AJ2028" s="11">
        <v>71.540999999999997</v>
      </c>
      <c r="AK2028" s="11">
        <v>71.33</v>
      </c>
      <c r="AL2028" s="11"/>
    </row>
    <row r="2029" spans="1:38" x14ac:dyDescent="0.3">
      <c r="A2029" s="9">
        <f>DATE(2024, 11, 5)</f>
        <v>45601</v>
      </c>
      <c r="B2029" s="10">
        <v>75.53</v>
      </c>
      <c r="C2029" s="10">
        <v>75.14</v>
      </c>
      <c r="D2029" s="10">
        <v>74.819999999999993</v>
      </c>
      <c r="E2029" s="10">
        <v>74.569999999999993</v>
      </c>
      <c r="F2029" s="10">
        <v>74.36</v>
      </c>
      <c r="G2029" s="10">
        <v>74.150000000000006</v>
      </c>
      <c r="H2029" s="10">
        <v>73.94</v>
      </c>
      <c r="I2029" s="10">
        <v>73.7</v>
      </c>
      <c r="J2029" s="10">
        <v>73.459999999999994</v>
      </c>
      <c r="K2029" s="10">
        <v>73.22</v>
      </c>
      <c r="L2029" s="10">
        <v>72.98</v>
      </c>
      <c r="M2029" s="10">
        <v>72.760000000000005</v>
      </c>
      <c r="N2029" s="10">
        <v>71.989999999999995</v>
      </c>
      <c r="O2029" s="10">
        <v>71.56</v>
      </c>
      <c r="P2029" s="10">
        <v>71.180000000000007</v>
      </c>
      <c r="Q2029" s="10">
        <v>70.849999999999994</v>
      </c>
      <c r="R2029" s="10">
        <v>70.569999999999993</v>
      </c>
      <c r="S2029" s="10">
        <v>70.3</v>
      </c>
      <c r="T2029" s="10">
        <v>70.040000000000006</v>
      </c>
      <c r="U2029" s="10">
        <v>69.77</v>
      </c>
      <c r="V2029" s="10">
        <v>69.48</v>
      </c>
      <c r="W2029" s="10">
        <v>69.209999999999994</v>
      </c>
      <c r="X2029" s="10">
        <v>68.95</v>
      </c>
      <c r="Y2029" s="10">
        <v>68.7</v>
      </c>
      <c r="Z2029" s="11">
        <v>74.483000000000004</v>
      </c>
      <c r="AA2029" s="11">
        <v>74.465000000000003</v>
      </c>
      <c r="AB2029" s="11">
        <v>73.873999999999995</v>
      </c>
      <c r="AC2029" s="11">
        <v>73.555000000000007</v>
      </c>
      <c r="AD2029" s="11">
        <v>73.325000000000003</v>
      </c>
      <c r="AE2029" s="11">
        <v>73.105000000000004</v>
      </c>
      <c r="AF2029" s="11">
        <v>72.879000000000005</v>
      </c>
      <c r="AG2029" s="11">
        <v>72.649000000000001</v>
      </c>
      <c r="AH2029" s="11">
        <v>72.41</v>
      </c>
      <c r="AI2029" s="11">
        <v>72.168999999999997</v>
      </c>
      <c r="AJ2029" s="11">
        <v>71.930000000000007</v>
      </c>
      <c r="AK2029" s="11">
        <v>71.709999999999994</v>
      </c>
      <c r="AL2029" s="11"/>
    </row>
    <row r="2030" spans="1:38" x14ac:dyDescent="0.3">
      <c r="A2030" s="9">
        <f>DATE(2024, 11, 6)</f>
        <v>45602</v>
      </c>
      <c r="B2030" s="10">
        <v>74.92</v>
      </c>
      <c r="C2030" s="10">
        <v>74.569999999999993</v>
      </c>
      <c r="D2030" s="10">
        <v>74.290000000000006</v>
      </c>
      <c r="E2030" s="10">
        <v>74.069999999999993</v>
      </c>
      <c r="F2030" s="10">
        <v>73.900000000000006</v>
      </c>
      <c r="G2030" s="10">
        <v>73.73</v>
      </c>
      <c r="H2030" s="10">
        <v>73.540000000000006</v>
      </c>
      <c r="I2030" s="10">
        <v>73.349999999999994</v>
      </c>
      <c r="J2030" s="10">
        <v>73.13</v>
      </c>
      <c r="K2030" s="10">
        <v>72.92</v>
      </c>
      <c r="L2030" s="10">
        <v>72.709999999999994</v>
      </c>
      <c r="M2030" s="10">
        <v>72.5</v>
      </c>
      <c r="N2030" s="10">
        <v>71.69</v>
      </c>
      <c r="O2030" s="10">
        <v>71.239999999999995</v>
      </c>
      <c r="P2030" s="10">
        <v>70.84</v>
      </c>
      <c r="Q2030" s="10">
        <v>70.510000000000005</v>
      </c>
      <c r="R2030" s="10">
        <v>70.25</v>
      </c>
      <c r="S2030" s="10">
        <v>70.02</v>
      </c>
      <c r="T2030" s="10">
        <v>69.790000000000006</v>
      </c>
      <c r="U2030" s="10">
        <v>69.540000000000006</v>
      </c>
      <c r="V2030" s="10">
        <v>69.290000000000006</v>
      </c>
      <c r="W2030" s="10">
        <v>69.040000000000006</v>
      </c>
      <c r="X2030" s="10">
        <v>68.8</v>
      </c>
      <c r="Y2030" s="10">
        <v>68.58</v>
      </c>
      <c r="Z2030" s="11">
        <v>73.867999999999995</v>
      </c>
      <c r="AA2030" s="11">
        <v>73.783000000000001</v>
      </c>
      <c r="AB2030" s="11">
        <v>73.239000000000004</v>
      </c>
      <c r="AC2030" s="11">
        <v>72.941999999999993</v>
      </c>
      <c r="AD2030" s="11">
        <v>72.762</v>
      </c>
      <c r="AE2030" s="11">
        <v>72.590999999999994</v>
      </c>
      <c r="AF2030" s="11">
        <v>72.400999999999996</v>
      </c>
      <c r="AG2030" s="11">
        <v>72.209999999999994</v>
      </c>
      <c r="AH2030" s="11">
        <v>72.010999999999996</v>
      </c>
      <c r="AI2030" s="11">
        <v>71.81</v>
      </c>
      <c r="AJ2030" s="11">
        <v>71.599999999999994</v>
      </c>
      <c r="AK2030" s="11">
        <v>71.38</v>
      </c>
      <c r="AL2030" s="11"/>
    </row>
    <row r="2031" spans="1:38" x14ac:dyDescent="0.3">
      <c r="A2031" s="9">
        <f>DATE(2024, 11, 7)</f>
        <v>45603</v>
      </c>
      <c r="B2031" s="10">
        <v>75.63</v>
      </c>
      <c r="C2031" s="10">
        <v>75.260000000000005</v>
      </c>
      <c r="D2031" s="10">
        <v>74.959999999999994</v>
      </c>
      <c r="E2031" s="10">
        <v>74.72</v>
      </c>
      <c r="F2031" s="10">
        <v>74.53</v>
      </c>
      <c r="G2031" s="10">
        <v>74.34</v>
      </c>
      <c r="H2031" s="10">
        <v>74.14</v>
      </c>
      <c r="I2031" s="10">
        <v>73.930000000000007</v>
      </c>
      <c r="J2031" s="10">
        <v>73.709999999999994</v>
      </c>
      <c r="K2031" s="10">
        <v>73.48</v>
      </c>
      <c r="L2031" s="10">
        <v>73.260000000000005</v>
      </c>
      <c r="M2031" s="10">
        <v>73.05</v>
      </c>
      <c r="N2031" s="10">
        <v>72.36</v>
      </c>
      <c r="O2031" s="10">
        <v>71.959999999999994</v>
      </c>
      <c r="P2031" s="10">
        <v>71.569999999999993</v>
      </c>
      <c r="Q2031" s="10">
        <v>71.25</v>
      </c>
      <c r="R2031" s="10">
        <v>70.989999999999995</v>
      </c>
      <c r="S2031" s="10">
        <v>70.739999999999995</v>
      </c>
      <c r="T2031" s="10">
        <v>70.489999999999995</v>
      </c>
      <c r="U2031" s="10">
        <v>70.239999999999995</v>
      </c>
      <c r="V2031" s="10">
        <v>69.98</v>
      </c>
      <c r="W2031" s="10">
        <v>69.73</v>
      </c>
      <c r="X2031" s="10">
        <v>69.48</v>
      </c>
      <c r="Y2031" s="10">
        <v>69.25</v>
      </c>
      <c r="Z2031" s="11">
        <v>74.400999999999996</v>
      </c>
      <c r="AA2031" s="11">
        <v>74.406000000000006</v>
      </c>
      <c r="AB2031" s="11">
        <v>73.938999999999993</v>
      </c>
      <c r="AC2031" s="11">
        <v>73.641000000000005</v>
      </c>
      <c r="AD2031" s="11">
        <v>73.430999999999997</v>
      </c>
      <c r="AE2031" s="11">
        <v>73.234999999999999</v>
      </c>
      <c r="AF2031" s="11">
        <v>73.040000000000006</v>
      </c>
      <c r="AG2031" s="11">
        <v>72.83</v>
      </c>
      <c r="AH2031" s="11">
        <v>72.61</v>
      </c>
      <c r="AI2031" s="11">
        <v>72.37</v>
      </c>
      <c r="AJ2031" s="11">
        <v>72.150000000000006</v>
      </c>
      <c r="AK2031" s="11">
        <v>71.930000000000007</v>
      </c>
      <c r="AL2031" s="11"/>
    </row>
    <row r="2032" spans="1:38" x14ac:dyDescent="0.3">
      <c r="A2032" s="9">
        <f>DATE(2024, 11, 8)</f>
        <v>45604</v>
      </c>
      <c r="B2032" s="10">
        <v>73.87</v>
      </c>
      <c r="C2032" s="10">
        <v>73.61</v>
      </c>
      <c r="D2032" s="10">
        <v>73.39</v>
      </c>
      <c r="E2032" s="10">
        <v>73.209999999999994</v>
      </c>
      <c r="F2032" s="10">
        <v>73.08</v>
      </c>
      <c r="G2032" s="10">
        <v>72.959999999999994</v>
      </c>
      <c r="H2032" s="10">
        <v>72.819999999999993</v>
      </c>
      <c r="I2032" s="10">
        <v>72.67</v>
      </c>
      <c r="J2032" s="10">
        <v>72.5</v>
      </c>
      <c r="K2032" s="10">
        <v>72.319999999999993</v>
      </c>
      <c r="L2032" s="10">
        <v>72.14</v>
      </c>
      <c r="M2032" s="10">
        <v>71.97</v>
      </c>
      <c r="N2032" s="10">
        <v>70.38</v>
      </c>
      <c r="O2032" s="10">
        <v>70.11</v>
      </c>
      <c r="P2032" s="10">
        <v>69.849999999999994</v>
      </c>
      <c r="Q2032" s="10">
        <v>69.63</v>
      </c>
      <c r="R2032" s="10">
        <v>69.45</v>
      </c>
      <c r="S2032" s="10">
        <v>69.290000000000006</v>
      </c>
      <c r="T2032" s="10">
        <v>69.12</v>
      </c>
      <c r="U2032" s="10">
        <v>68.930000000000007</v>
      </c>
      <c r="V2032" s="10">
        <v>68.73</v>
      </c>
      <c r="W2032" s="10">
        <v>68.52</v>
      </c>
      <c r="X2032" s="10">
        <v>68.319999999999993</v>
      </c>
      <c r="Y2032" s="10">
        <v>68.13</v>
      </c>
      <c r="Z2032" s="11">
        <v>73.192999999999998</v>
      </c>
      <c r="AA2032" s="11">
        <v>72.677000000000007</v>
      </c>
      <c r="AB2032" s="11">
        <v>72.337000000000003</v>
      </c>
      <c r="AC2032" s="11">
        <v>72.075999999999993</v>
      </c>
      <c r="AD2032" s="11">
        <v>71.906000000000006</v>
      </c>
      <c r="AE2032" s="11">
        <v>71.775999999999996</v>
      </c>
      <c r="AF2032" s="11">
        <v>71.634</v>
      </c>
      <c r="AG2032" s="11">
        <v>71.486999999999995</v>
      </c>
      <c r="AH2032" s="11">
        <v>71.346999999999994</v>
      </c>
      <c r="AI2032" s="11">
        <v>71.176000000000002</v>
      </c>
      <c r="AJ2032" s="11">
        <v>71.022000000000006</v>
      </c>
      <c r="AK2032" s="11">
        <v>70.852000000000004</v>
      </c>
      <c r="AL2032" s="11"/>
    </row>
    <row r="2033" spans="1:38" x14ac:dyDescent="0.3">
      <c r="A2033" s="9">
        <f>DATE(2024, 11, 11)</f>
        <v>45607</v>
      </c>
      <c r="B2033" s="10">
        <v>71.83</v>
      </c>
      <c r="C2033" s="10">
        <v>71.650000000000006</v>
      </c>
      <c r="D2033" s="10">
        <v>71.489999999999995</v>
      </c>
      <c r="E2033" s="10">
        <v>71.38</v>
      </c>
      <c r="F2033" s="10">
        <v>71.3</v>
      </c>
      <c r="G2033" s="10">
        <v>71.22</v>
      </c>
      <c r="H2033" s="10">
        <v>71.12</v>
      </c>
      <c r="I2033" s="10">
        <v>71.010000000000005</v>
      </c>
      <c r="J2033" s="10">
        <v>70.88</v>
      </c>
      <c r="K2033" s="10">
        <v>70.739999999999995</v>
      </c>
      <c r="L2033" s="10">
        <v>70.61</v>
      </c>
      <c r="M2033" s="10">
        <v>70.48</v>
      </c>
      <c r="N2033" s="10">
        <v>68.040000000000006</v>
      </c>
      <c r="O2033" s="10">
        <v>67.92</v>
      </c>
      <c r="P2033" s="10">
        <v>67.75</v>
      </c>
      <c r="Q2033" s="10">
        <v>67.61</v>
      </c>
      <c r="R2033" s="10">
        <v>67.510000000000005</v>
      </c>
      <c r="S2033" s="10">
        <v>67.41</v>
      </c>
      <c r="T2033" s="10">
        <v>67.3</v>
      </c>
      <c r="U2033" s="10">
        <v>67.17</v>
      </c>
      <c r="V2033" s="10">
        <v>67.02</v>
      </c>
      <c r="W2033" s="10">
        <v>66.86</v>
      </c>
      <c r="X2033" s="10">
        <v>66.7</v>
      </c>
      <c r="Y2033" s="10">
        <v>66.55</v>
      </c>
      <c r="Z2033" s="11">
        <v>71.884</v>
      </c>
      <c r="AA2033" s="11">
        <v>70.674999999999997</v>
      </c>
      <c r="AB2033" s="11">
        <v>70.442999999999998</v>
      </c>
      <c r="AC2033" s="11">
        <v>70.256</v>
      </c>
      <c r="AD2033" s="11">
        <v>70.159000000000006</v>
      </c>
      <c r="AE2033" s="11">
        <v>70.078000000000003</v>
      </c>
      <c r="AF2033" s="11">
        <v>69.988</v>
      </c>
      <c r="AG2033" s="11">
        <v>69.884</v>
      </c>
      <c r="AH2033" s="11">
        <v>69.774000000000001</v>
      </c>
      <c r="AI2033" s="11">
        <v>69.623999999999995</v>
      </c>
      <c r="AJ2033" s="11">
        <v>69.483999999999995</v>
      </c>
      <c r="AK2033" s="11">
        <v>69.352999999999994</v>
      </c>
      <c r="AL2033" s="11"/>
    </row>
    <row r="2034" spans="1:38" x14ac:dyDescent="0.3">
      <c r="A2034" s="9">
        <f>DATE(2024, 11, 12)</f>
        <v>45608</v>
      </c>
      <c r="B2034" s="10">
        <v>71.89</v>
      </c>
      <c r="C2034" s="10">
        <v>71.650000000000006</v>
      </c>
      <c r="D2034" s="10">
        <v>71.45</v>
      </c>
      <c r="E2034" s="10">
        <v>71.31</v>
      </c>
      <c r="F2034" s="10">
        <v>71.209999999999994</v>
      </c>
      <c r="G2034" s="10">
        <v>71.11</v>
      </c>
      <c r="H2034" s="10">
        <v>71</v>
      </c>
      <c r="I2034" s="10">
        <v>70.88</v>
      </c>
      <c r="J2034" s="10">
        <v>70.739999999999995</v>
      </c>
      <c r="K2034" s="10">
        <v>70.599999999999994</v>
      </c>
      <c r="L2034" s="10">
        <v>70.459999999999994</v>
      </c>
      <c r="M2034" s="10">
        <v>70.33</v>
      </c>
      <c r="N2034" s="10">
        <v>68.12</v>
      </c>
      <c r="O2034" s="10">
        <v>67.97</v>
      </c>
      <c r="P2034" s="10">
        <v>67.77</v>
      </c>
      <c r="Q2034" s="10">
        <v>67.61</v>
      </c>
      <c r="R2034" s="10">
        <v>67.48</v>
      </c>
      <c r="S2034" s="10">
        <v>67.36</v>
      </c>
      <c r="T2034" s="10">
        <v>67.239999999999995</v>
      </c>
      <c r="U2034" s="10">
        <v>67.099999999999994</v>
      </c>
      <c r="V2034" s="10">
        <v>66.94</v>
      </c>
      <c r="W2034" s="10">
        <v>66.78</v>
      </c>
      <c r="X2034" s="10">
        <v>66.61</v>
      </c>
      <c r="Y2034" s="10">
        <v>66.459999999999994</v>
      </c>
      <c r="Z2034" s="11">
        <v>71.91</v>
      </c>
      <c r="AA2034" s="11">
        <v>70.751000000000005</v>
      </c>
      <c r="AB2034" s="11">
        <v>70.468000000000004</v>
      </c>
      <c r="AC2034" s="11">
        <v>70.257999999999996</v>
      </c>
      <c r="AD2034" s="11">
        <v>70.138000000000005</v>
      </c>
      <c r="AE2034" s="11">
        <v>70.034999999999997</v>
      </c>
      <c r="AF2034" s="11">
        <v>69.924999999999997</v>
      </c>
      <c r="AG2034" s="11">
        <v>69.813000000000002</v>
      </c>
      <c r="AH2034" s="11">
        <v>69.674000000000007</v>
      </c>
      <c r="AI2034" s="11">
        <v>69.543000000000006</v>
      </c>
      <c r="AJ2034" s="11">
        <v>69.414000000000001</v>
      </c>
      <c r="AK2034" s="11">
        <v>69.283000000000001</v>
      </c>
      <c r="AL2034" s="11"/>
    </row>
    <row r="2035" spans="1:38" x14ac:dyDescent="0.3">
      <c r="A2035" s="9">
        <f>DATE(2024, 11, 13)</f>
        <v>45609</v>
      </c>
      <c r="B2035" s="10">
        <v>72.28</v>
      </c>
      <c r="C2035" s="10">
        <v>71.98</v>
      </c>
      <c r="D2035" s="10">
        <v>71.739999999999995</v>
      </c>
      <c r="E2035" s="10">
        <v>71.569999999999993</v>
      </c>
      <c r="F2035" s="10">
        <v>71.44</v>
      </c>
      <c r="G2035" s="10">
        <v>71.319999999999993</v>
      </c>
      <c r="H2035" s="10">
        <v>71.19</v>
      </c>
      <c r="I2035" s="10">
        <v>71.040000000000006</v>
      </c>
      <c r="J2035" s="10">
        <v>70.89</v>
      </c>
      <c r="K2035" s="10">
        <v>70.73</v>
      </c>
      <c r="L2035" s="10">
        <v>70.569999999999993</v>
      </c>
      <c r="M2035" s="10">
        <v>70.430000000000007</v>
      </c>
      <c r="N2035" s="10">
        <v>68.430000000000007</v>
      </c>
      <c r="O2035" s="10">
        <v>68.260000000000005</v>
      </c>
      <c r="P2035" s="10">
        <v>68.010000000000005</v>
      </c>
      <c r="Q2035" s="10">
        <v>67.819999999999993</v>
      </c>
      <c r="R2035" s="10">
        <v>67.67</v>
      </c>
      <c r="S2035" s="10">
        <v>67.53</v>
      </c>
      <c r="T2035" s="10">
        <v>67.38</v>
      </c>
      <c r="U2035" s="10">
        <v>67.22</v>
      </c>
      <c r="V2035" s="10">
        <v>67.040000000000006</v>
      </c>
      <c r="W2035" s="10">
        <v>66.849999999999994</v>
      </c>
      <c r="X2035" s="10">
        <v>66.66</v>
      </c>
      <c r="Y2035" s="10">
        <v>66.510000000000005</v>
      </c>
      <c r="Z2035" s="11">
        <v>72.113</v>
      </c>
      <c r="AA2035" s="11">
        <v>71.137</v>
      </c>
      <c r="AB2035" s="11">
        <v>70.837000000000003</v>
      </c>
      <c r="AC2035" s="11">
        <v>70.608999999999995</v>
      </c>
      <c r="AD2035" s="11">
        <v>70.444000000000003</v>
      </c>
      <c r="AE2035" s="11">
        <v>70.313999999999993</v>
      </c>
      <c r="AF2035" s="11">
        <v>70.173000000000002</v>
      </c>
      <c r="AG2035" s="11">
        <v>70.033000000000001</v>
      </c>
      <c r="AH2035" s="11">
        <v>69.882999999999996</v>
      </c>
      <c r="AI2035" s="11">
        <v>69.721999999999994</v>
      </c>
      <c r="AJ2035" s="11">
        <v>69.573999999999998</v>
      </c>
      <c r="AK2035" s="11">
        <v>69.423000000000002</v>
      </c>
      <c r="AL2035" s="11"/>
    </row>
    <row r="2036" spans="1:38" x14ac:dyDescent="0.3">
      <c r="A2036" s="9">
        <f>DATE(2024, 11, 14)</f>
        <v>45610</v>
      </c>
      <c r="B2036" s="10">
        <v>72.56</v>
      </c>
      <c r="C2036" s="10">
        <v>72.239999999999995</v>
      </c>
      <c r="D2036" s="10">
        <v>71.989999999999995</v>
      </c>
      <c r="E2036" s="10">
        <v>71.81</v>
      </c>
      <c r="F2036" s="10">
        <v>71.66</v>
      </c>
      <c r="G2036" s="10">
        <v>71.52</v>
      </c>
      <c r="H2036" s="10">
        <v>71.37</v>
      </c>
      <c r="I2036" s="10">
        <v>71.22</v>
      </c>
      <c r="J2036" s="10">
        <v>71.05</v>
      </c>
      <c r="K2036" s="10">
        <v>70.88</v>
      </c>
      <c r="L2036" s="10">
        <v>70.709999999999994</v>
      </c>
      <c r="M2036" s="10">
        <v>70.55</v>
      </c>
      <c r="N2036" s="10">
        <v>68.7</v>
      </c>
      <c r="O2036" s="10">
        <v>68.53</v>
      </c>
      <c r="P2036" s="10">
        <v>68.260000000000005</v>
      </c>
      <c r="Q2036" s="10">
        <v>68.03</v>
      </c>
      <c r="R2036" s="10">
        <v>67.849999999999994</v>
      </c>
      <c r="S2036" s="10">
        <v>67.72</v>
      </c>
      <c r="T2036" s="10">
        <v>67.56</v>
      </c>
      <c r="U2036" s="10">
        <v>67.38</v>
      </c>
      <c r="V2036" s="10">
        <v>67.19</v>
      </c>
      <c r="W2036" s="10">
        <v>66.989999999999995</v>
      </c>
      <c r="X2036" s="10">
        <v>66.790000000000006</v>
      </c>
      <c r="Y2036" s="10">
        <v>66.61</v>
      </c>
      <c r="Z2036" s="11">
        <v>72.296000000000006</v>
      </c>
      <c r="AA2036" s="11">
        <v>71.415000000000006</v>
      </c>
      <c r="AB2036" s="11">
        <v>71.117000000000004</v>
      </c>
      <c r="AC2036" s="11">
        <v>70.846999999999994</v>
      </c>
      <c r="AD2036" s="11">
        <v>70.662999999999997</v>
      </c>
      <c r="AE2036" s="11">
        <v>70.531999999999996</v>
      </c>
      <c r="AF2036" s="11">
        <v>70.382999999999996</v>
      </c>
      <c r="AG2036" s="11">
        <v>70.231999999999999</v>
      </c>
      <c r="AH2036" s="11">
        <v>70.072999999999993</v>
      </c>
      <c r="AI2036" s="11">
        <v>69.902000000000001</v>
      </c>
      <c r="AJ2036" s="11">
        <v>69.742999999999995</v>
      </c>
      <c r="AK2036" s="11">
        <v>69.582999999999998</v>
      </c>
      <c r="AL2036" s="11"/>
    </row>
    <row r="2037" spans="1:38" x14ac:dyDescent="0.3">
      <c r="A2037" s="9">
        <f>DATE(2024, 11, 15)</f>
        <v>45611</v>
      </c>
      <c r="B2037" s="10">
        <v>71.040000000000006</v>
      </c>
      <c r="C2037" s="10">
        <v>70.78</v>
      </c>
      <c r="D2037" s="10">
        <v>70.569999999999993</v>
      </c>
      <c r="E2037" s="10">
        <v>70.430000000000007</v>
      </c>
      <c r="F2037" s="10">
        <v>70.31</v>
      </c>
      <c r="G2037" s="10">
        <v>70.19</v>
      </c>
      <c r="H2037" s="10">
        <v>70.06</v>
      </c>
      <c r="I2037" s="10">
        <v>69.92</v>
      </c>
      <c r="J2037" s="10">
        <v>69.77</v>
      </c>
      <c r="K2037" s="10">
        <v>69.62</v>
      </c>
      <c r="L2037" s="10">
        <v>69.47</v>
      </c>
      <c r="M2037" s="10">
        <v>69.34</v>
      </c>
      <c r="N2037" s="10">
        <v>67.02</v>
      </c>
      <c r="O2037" s="10">
        <v>66.92</v>
      </c>
      <c r="P2037" s="10">
        <v>66.72</v>
      </c>
      <c r="Q2037" s="10">
        <v>66.55</v>
      </c>
      <c r="R2037" s="10">
        <v>66.430000000000007</v>
      </c>
      <c r="S2037" s="10">
        <v>66.33</v>
      </c>
      <c r="T2037" s="10">
        <v>66.209999999999994</v>
      </c>
      <c r="U2037" s="10">
        <v>66.06</v>
      </c>
      <c r="V2037" s="10">
        <v>65.89</v>
      </c>
      <c r="W2037" s="10">
        <v>65.72</v>
      </c>
      <c r="X2037" s="10">
        <v>65.540000000000006</v>
      </c>
      <c r="Y2037" s="10">
        <v>65.38</v>
      </c>
      <c r="Z2037" s="11">
        <v>71.563000000000002</v>
      </c>
      <c r="AA2037" s="11">
        <v>69.944000000000003</v>
      </c>
      <c r="AB2037" s="11">
        <v>69.694000000000003</v>
      </c>
      <c r="AC2037" s="11">
        <v>69.444000000000003</v>
      </c>
      <c r="AD2037" s="11">
        <v>69.293999999999997</v>
      </c>
      <c r="AE2037" s="11">
        <v>69.174000000000007</v>
      </c>
      <c r="AF2037" s="11">
        <v>69.043999999999997</v>
      </c>
      <c r="AG2037" s="11">
        <v>68.903000000000006</v>
      </c>
      <c r="AH2037" s="11">
        <v>68.753</v>
      </c>
      <c r="AI2037" s="11">
        <v>68.602999999999994</v>
      </c>
      <c r="AJ2037" s="11">
        <v>68.453999999999994</v>
      </c>
      <c r="AK2037" s="11">
        <v>68.322999999999993</v>
      </c>
      <c r="AL2037" s="11"/>
    </row>
    <row r="2038" spans="1:38" x14ac:dyDescent="0.3">
      <c r="A2038" s="9">
        <f>DATE(2024, 11, 18)</f>
        <v>45614</v>
      </c>
      <c r="B2038" s="10">
        <v>73.3</v>
      </c>
      <c r="C2038" s="10">
        <v>73.010000000000005</v>
      </c>
      <c r="D2038" s="10">
        <v>72.77</v>
      </c>
      <c r="E2038" s="10">
        <v>72.599999999999994</v>
      </c>
      <c r="F2038" s="10">
        <v>72.45</v>
      </c>
      <c r="G2038" s="10">
        <v>72.3</v>
      </c>
      <c r="H2038" s="10">
        <v>72.150000000000006</v>
      </c>
      <c r="I2038" s="10">
        <v>71.98</v>
      </c>
      <c r="J2038" s="10">
        <v>71.8</v>
      </c>
      <c r="K2038" s="10">
        <v>71.61</v>
      </c>
      <c r="L2038" s="10">
        <v>71.430000000000007</v>
      </c>
      <c r="M2038" s="10">
        <v>71.27</v>
      </c>
      <c r="N2038" s="10">
        <v>69.16</v>
      </c>
      <c r="O2038" s="10">
        <v>69.17</v>
      </c>
      <c r="P2038" s="10">
        <v>68.989999999999995</v>
      </c>
      <c r="Q2038" s="10">
        <v>68.8</v>
      </c>
      <c r="R2038" s="10">
        <v>68.64</v>
      </c>
      <c r="S2038" s="10">
        <v>68.5</v>
      </c>
      <c r="T2038" s="10">
        <v>68.349999999999994</v>
      </c>
      <c r="U2038" s="10">
        <v>68.17</v>
      </c>
      <c r="V2038" s="10">
        <v>67.98</v>
      </c>
      <c r="W2038" s="10">
        <v>67.790000000000006</v>
      </c>
      <c r="X2038" s="10">
        <v>67.569999999999993</v>
      </c>
      <c r="Y2038" s="10">
        <v>67.37</v>
      </c>
      <c r="Z2038" s="11">
        <v>72.504999999999995</v>
      </c>
      <c r="AA2038" s="11">
        <v>72.069000000000003</v>
      </c>
      <c r="AB2038" s="11">
        <v>71.808999999999997</v>
      </c>
      <c r="AC2038" s="11">
        <v>71.58</v>
      </c>
      <c r="AD2038" s="11">
        <v>71.412999999999997</v>
      </c>
      <c r="AE2038" s="11">
        <v>71.278000000000006</v>
      </c>
      <c r="AF2038" s="11">
        <v>71.137</v>
      </c>
      <c r="AG2038" s="11">
        <v>70.971000000000004</v>
      </c>
      <c r="AH2038" s="11">
        <v>70.792000000000002</v>
      </c>
      <c r="AI2038" s="11">
        <v>70.600999999999999</v>
      </c>
      <c r="AJ2038" s="11">
        <v>70.423000000000002</v>
      </c>
      <c r="AK2038" s="11">
        <v>70.251999999999995</v>
      </c>
      <c r="AL2038" s="11"/>
    </row>
    <row r="2039" spans="1:38" x14ac:dyDescent="0.3">
      <c r="A2039" s="9">
        <f>DATE(2024, 11, 19)</f>
        <v>45615</v>
      </c>
      <c r="B2039" s="10">
        <v>73.31</v>
      </c>
      <c r="C2039" s="10">
        <v>72.989999999999995</v>
      </c>
      <c r="D2039" s="10">
        <v>72.760000000000005</v>
      </c>
      <c r="E2039" s="10">
        <v>72.59</v>
      </c>
      <c r="F2039" s="10">
        <v>72.459999999999994</v>
      </c>
      <c r="G2039" s="10">
        <v>72.33</v>
      </c>
      <c r="H2039" s="10">
        <v>72.2</v>
      </c>
      <c r="I2039" s="10">
        <v>72.040000000000006</v>
      </c>
      <c r="J2039" s="10">
        <v>71.87</v>
      </c>
      <c r="K2039" s="10">
        <v>71.7</v>
      </c>
      <c r="L2039" s="10">
        <v>71.540000000000006</v>
      </c>
      <c r="M2039" s="10">
        <v>71.39</v>
      </c>
      <c r="N2039" s="10">
        <v>69.39</v>
      </c>
      <c r="O2039" s="10">
        <v>69.239999999999995</v>
      </c>
      <c r="P2039" s="10">
        <v>69.02</v>
      </c>
      <c r="Q2039" s="10">
        <v>68.819999999999993</v>
      </c>
      <c r="R2039" s="10">
        <v>68.680000000000007</v>
      </c>
      <c r="S2039" s="10">
        <v>68.56</v>
      </c>
      <c r="T2039" s="10">
        <v>68.430000000000007</v>
      </c>
      <c r="U2039" s="10">
        <v>68.27</v>
      </c>
      <c r="V2039" s="10">
        <v>68.09</v>
      </c>
      <c r="W2039" s="10">
        <v>67.91</v>
      </c>
      <c r="X2039" s="10">
        <v>67.709999999999994</v>
      </c>
      <c r="Y2039" s="10">
        <v>67.53</v>
      </c>
      <c r="Z2039" s="11">
        <v>72.513999999999996</v>
      </c>
      <c r="AA2039" s="11">
        <v>72.117999999999995</v>
      </c>
      <c r="AB2039" s="11">
        <v>71.856999999999999</v>
      </c>
      <c r="AC2039" s="11">
        <v>71.608000000000004</v>
      </c>
      <c r="AD2039" s="11">
        <v>71.447999999999993</v>
      </c>
      <c r="AE2039" s="11">
        <v>71.323999999999998</v>
      </c>
      <c r="AF2039" s="11">
        <v>71.183000000000007</v>
      </c>
      <c r="AG2039" s="11">
        <v>71.022000000000006</v>
      </c>
      <c r="AH2039" s="11">
        <v>70.863</v>
      </c>
      <c r="AI2039" s="11">
        <v>70.691999999999993</v>
      </c>
      <c r="AJ2039" s="11">
        <v>70.533000000000001</v>
      </c>
      <c r="AK2039" s="11">
        <v>70.382999999999996</v>
      </c>
      <c r="AL2039" s="11"/>
    </row>
    <row r="2040" spans="1:38" x14ac:dyDescent="0.3">
      <c r="A2040" s="9">
        <f>DATE(2024, 11, 20)</f>
        <v>45616</v>
      </c>
      <c r="B2040" s="10">
        <v>72.81</v>
      </c>
      <c r="C2040" s="10">
        <v>72.489999999999995</v>
      </c>
      <c r="D2040" s="10">
        <v>72.260000000000005</v>
      </c>
      <c r="E2040" s="10">
        <v>72.099999999999994</v>
      </c>
      <c r="F2040" s="10">
        <v>71.97</v>
      </c>
      <c r="G2040" s="10">
        <v>71.849999999999994</v>
      </c>
      <c r="H2040" s="10">
        <v>71.709999999999994</v>
      </c>
      <c r="I2040" s="10">
        <v>71.569999999999993</v>
      </c>
      <c r="J2040" s="10">
        <v>71.41</v>
      </c>
      <c r="K2040" s="10">
        <v>71.239999999999995</v>
      </c>
      <c r="L2040" s="10">
        <v>71.069999999999993</v>
      </c>
      <c r="M2040" s="10">
        <v>70.92</v>
      </c>
      <c r="N2040" s="10">
        <v>68.87</v>
      </c>
      <c r="O2040" s="10">
        <v>68.75</v>
      </c>
      <c r="P2040" s="10">
        <v>68.52</v>
      </c>
      <c r="Q2040" s="10">
        <v>68.34</v>
      </c>
      <c r="R2040" s="10">
        <v>68.2</v>
      </c>
      <c r="S2040" s="10">
        <v>68.09</v>
      </c>
      <c r="T2040" s="10">
        <v>67.97</v>
      </c>
      <c r="U2040" s="10">
        <v>67.83</v>
      </c>
      <c r="V2040" s="10">
        <v>67.67</v>
      </c>
      <c r="W2040" s="10">
        <v>67.489999999999995</v>
      </c>
      <c r="X2040" s="10">
        <v>67.290000000000006</v>
      </c>
      <c r="Y2040" s="10">
        <v>67.13</v>
      </c>
      <c r="Z2040" s="11">
        <v>72.391000000000005</v>
      </c>
      <c r="AA2040" s="11">
        <v>71.652000000000001</v>
      </c>
      <c r="AB2040" s="11">
        <v>71.382999999999996</v>
      </c>
      <c r="AC2040" s="11">
        <v>71.132999999999996</v>
      </c>
      <c r="AD2040" s="11">
        <v>70.959000000000003</v>
      </c>
      <c r="AE2040" s="11">
        <v>70.822999999999993</v>
      </c>
      <c r="AF2040" s="11">
        <v>70.688000000000002</v>
      </c>
      <c r="AG2040" s="11">
        <v>70.537000000000006</v>
      </c>
      <c r="AH2040" s="11">
        <v>70.382999999999996</v>
      </c>
      <c r="AI2040" s="11">
        <v>70.224000000000004</v>
      </c>
      <c r="AJ2040" s="11">
        <v>70.06</v>
      </c>
      <c r="AK2040" s="11">
        <v>69.903000000000006</v>
      </c>
      <c r="AL2040" s="11"/>
    </row>
    <row r="2041" spans="1:38" x14ac:dyDescent="0.3">
      <c r="A2041" s="9">
        <f>DATE(2024, 11, 21)</f>
        <v>45617</v>
      </c>
      <c r="B2041" s="10">
        <v>74.23</v>
      </c>
      <c r="C2041" s="10">
        <v>73.77</v>
      </c>
      <c r="D2041" s="10">
        <v>73.44</v>
      </c>
      <c r="E2041" s="10">
        <v>73.19</v>
      </c>
      <c r="F2041" s="10">
        <v>73</v>
      </c>
      <c r="G2041" s="10">
        <v>72.819999999999993</v>
      </c>
      <c r="H2041" s="10">
        <v>72.63</v>
      </c>
      <c r="I2041" s="10">
        <v>72.430000000000007</v>
      </c>
      <c r="J2041" s="10">
        <v>72.22</v>
      </c>
      <c r="K2041" s="10">
        <v>72.010000000000005</v>
      </c>
      <c r="L2041" s="10">
        <v>71.81</v>
      </c>
      <c r="M2041" s="10">
        <v>71.63</v>
      </c>
      <c r="N2041" s="10">
        <v>70.099999999999994</v>
      </c>
      <c r="O2041" s="10">
        <v>69.77</v>
      </c>
      <c r="P2041" s="10">
        <v>69.47</v>
      </c>
      <c r="Q2041" s="10">
        <v>69.25</v>
      </c>
      <c r="R2041" s="10">
        <v>69.08</v>
      </c>
      <c r="S2041" s="10">
        <v>68.900000000000006</v>
      </c>
      <c r="T2041" s="10">
        <v>68.7</v>
      </c>
      <c r="U2041" s="10">
        <v>68.489999999999995</v>
      </c>
      <c r="V2041" s="10">
        <v>68.260000000000005</v>
      </c>
      <c r="W2041" s="10">
        <v>68.03</v>
      </c>
      <c r="X2041" s="10">
        <v>67.81</v>
      </c>
      <c r="Y2041" s="10">
        <v>67.61</v>
      </c>
      <c r="Z2041" s="11">
        <v>72.87</v>
      </c>
      <c r="AA2041" s="11">
        <v>73.088999999999999</v>
      </c>
      <c r="AB2041" s="11">
        <v>72.709000000000003</v>
      </c>
      <c r="AC2041" s="11">
        <v>72.320999999999998</v>
      </c>
      <c r="AD2041" s="11">
        <v>72.085999999999999</v>
      </c>
      <c r="AE2041" s="11">
        <v>71.893000000000001</v>
      </c>
      <c r="AF2041" s="11">
        <v>71.691000000000003</v>
      </c>
      <c r="AG2041" s="11">
        <v>71.48</v>
      </c>
      <c r="AH2041" s="11">
        <v>71.271000000000001</v>
      </c>
      <c r="AI2041" s="11">
        <v>71.06</v>
      </c>
      <c r="AJ2041" s="11">
        <v>70.861999999999995</v>
      </c>
      <c r="AK2041" s="11">
        <v>70.680999999999997</v>
      </c>
      <c r="AL2041" s="11"/>
    </row>
    <row r="2042" spans="1:38" x14ac:dyDescent="0.3">
      <c r="A2042" s="9">
        <f>DATE(2024, 11, 22)</f>
        <v>45618</v>
      </c>
      <c r="B2042" s="10">
        <v>75.17</v>
      </c>
      <c r="C2042" s="10">
        <v>74.63</v>
      </c>
      <c r="D2042" s="10">
        <v>74.23</v>
      </c>
      <c r="E2042" s="10">
        <v>73.959999999999994</v>
      </c>
      <c r="F2042" s="10">
        <v>73.75</v>
      </c>
      <c r="G2042" s="10">
        <v>73.55</v>
      </c>
      <c r="H2042" s="10">
        <v>73.349999999999994</v>
      </c>
      <c r="I2042" s="10">
        <v>73.13</v>
      </c>
      <c r="J2042" s="10">
        <v>72.91</v>
      </c>
      <c r="K2042" s="10">
        <v>72.69</v>
      </c>
      <c r="L2042" s="10">
        <v>72.48</v>
      </c>
      <c r="M2042" s="10">
        <v>72.28</v>
      </c>
      <c r="N2042" s="10">
        <v>71.239999999999995</v>
      </c>
      <c r="O2042" s="10">
        <v>70.77</v>
      </c>
      <c r="P2042" s="10">
        <v>70.400000000000006</v>
      </c>
      <c r="Q2042" s="10">
        <v>70.150000000000006</v>
      </c>
      <c r="R2042" s="10">
        <v>69.95</v>
      </c>
      <c r="S2042" s="10">
        <v>69.75</v>
      </c>
      <c r="T2042" s="10">
        <v>69.53</v>
      </c>
      <c r="U2042" s="10">
        <v>69.3</v>
      </c>
      <c r="V2042" s="10">
        <v>69.05</v>
      </c>
      <c r="W2042" s="10">
        <v>68.8</v>
      </c>
      <c r="X2042" s="10">
        <v>68.569999999999993</v>
      </c>
      <c r="Y2042" s="10">
        <v>68.34</v>
      </c>
      <c r="Z2042" s="11">
        <v>73.075999999999993</v>
      </c>
      <c r="AA2042" s="11">
        <v>73.852999999999994</v>
      </c>
      <c r="AB2042" s="11">
        <v>73.483000000000004</v>
      </c>
      <c r="AC2042" s="11">
        <v>73.08</v>
      </c>
      <c r="AD2042" s="11">
        <v>72.828000000000003</v>
      </c>
      <c r="AE2042" s="11">
        <v>72.634</v>
      </c>
      <c r="AF2042" s="11">
        <v>72.430000000000007</v>
      </c>
      <c r="AG2042" s="11">
        <v>72.209999999999994</v>
      </c>
      <c r="AH2042" s="11">
        <v>71.989999999999995</v>
      </c>
      <c r="AI2042" s="11">
        <v>71.77</v>
      </c>
      <c r="AJ2042" s="11">
        <v>71.561000000000007</v>
      </c>
      <c r="AK2042" s="11">
        <v>71.36</v>
      </c>
      <c r="AL2042" s="11"/>
    </row>
    <row r="2043" spans="1:38" x14ac:dyDescent="0.3">
      <c r="A2043" s="9">
        <f>DATE(2024, 11, 25)</f>
        <v>45621</v>
      </c>
      <c r="B2043" s="10">
        <v>73.010000000000005</v>
      </c>
      <c r="C2043" s="10">
        <v>72.48</v>
      </c>
      <c r="D2043" s="10">
        <v>72.14</v>
      </c>
      <c r="E2043" s="10">
        <v>71.92</v>
      </c>
      <c r="F2043" s="10">
        <v>71.760000000000005</v>
      </c>
      <c r="G2043" s="10">
        <v>71.599999999999994</v>
      </c>
      <c r="H2043" s="10">
        <v>71.44</v>
      </c>
      <c r="I2043" s="10">
        <v>71.260000000000005</v>
      </c>
      <c r="J2043" s="10">
        <v>71.069999999999993</v>
      </c>
      <c r="K2043" s="10">
        <v>70.88</v>
      </c>
      <c r="L2043" s="10">
        <v>70.7</v>
      </c>
      <c r="M2043" s="10">
        <v>70.540000000000006</v>
      </c>
      <c r="N2043" s="10">
        <v>68.94</v>
      </c>
      <c r="O2043" s="10">
        <v>68.58</v>
      </c>
      <c r="P2043" s="10">
        <v>68.31</v>
      </c>
      <c r="Q2043" s="10">
        <v>68.13</v>
      </c>
      <c r="R2043" s="10">
        <v>67.989999999999995</v>
      </c>
      <c r="S2043" s="10">
        <v>67.83</v>
      </c>
      <c r="T2043" s="10">
        <v>67.650000000000006</v>
      </c>
      <c r="U2043" s="10">
        <v>67.45</v>
      </c>
      <c r="V2043" s="10">
        <v>67.239999999999995</v>
      </c>
      <c r="W2043" s="10">
        <v>67.02</v>
      </c>
      <c r="X2043" s="10">
        <v>66.819999999999993</v>
      </c>
      <c r="Y2043" s="10">
        <v>66.62</v>
      </c>
      <c r="Z2043" s="11">
        <v>72.644000000000005</v>
      </c>
      <c r="AA2043" s="11">
        <v>71.825000000000003</v>
      </c>
      <c r="AB2043" s="11">
        <v>71.463999999999999</v>
      </c>
      <c r="AC2043" s="11">
        <v>71.061999999999998</v>
      </c>
      <c r="AD2043" s="11">
        <v>70.831999999999994</v>
      </c>
      <c r="AE2043" s="11">
        <v>70.652000000000001</v>
      </c>
      <c r="AF2043" s="11">
        <v>70.481999999999999</v>
      </c>
      <c r="AG2043" s="11">
        <v>70.290999999999997</v>
      </c>
      <c r="AH2043" s="11">
        <v>70.091999999999999</v>
      </c>
      <c r="AI2043" s="11">
        <v>69.900999999999996</v>
      </c>
      <c r="AJ2043" s="11">
        <v>69.722999999999999</v>
      </c>
      <c r="AK2043" s="11">
        <v>69.552000000000007</v>
      </c>
      <c r="AL2043" s="11"/>
    </row>
    <row r="2044" spans="1:38" x14ac:dyDescent="0.3">
      <c r="A2044" s="9">
        <f>DATE(2024, 11, 26)</f>
        <v>45622</v>
      </c>
      <c r="B2044" s="10">
        <v>72.81</v>
      </c>
      <c r="C2044" s="10">
        <v>72.319999999999993</v>
      </c>
      <c r="D2044" s="10">
        <v>72.010000000000005</v>
      </c>
      <c r="E2044" s="10">
        <v>71.790000000000006</v>
      </c>
      <c r="F2044" s="10">
        <v>71.63</v>
      </c>
      <c r="G2044" s="10">
        <v>71.48</v>
      </c>
      <c r="H2044" s="10">
        <v>71.33</v>
      </c>
      <c r="I2044" s="10">
        <v>71.16</v>
      </c>
      <c r="J2044" s="10">
        <v>70.98</v>
      </c>
      <c r="K2044" s="10">
        <v>70.81</v>
      </c>
      <c r="L2044" s="10">
        <v>70.650000000000006</v>
      </c>
      <c r="M2044" s="10">
        <v>70.52</v>
      </c>
      <c r="N2044" s="10">
        <v>68.77</v>
      </c>
      <c r="O2044" s="10">
        <v>68.44</v>
      </c>
      <c r="P2044" s="10">
        <v>68.2</v>
      </c>
      <c r="Q2044" s="10">
        <v>68.03</v>
      </c>
      <c r="R2044" s="10">
        <v>67.900000000000006</v>
      </c>
      <c r="S2044" s="10">
        <v>67.75</v>
      </c>
      <c r="T2044" s="10">
        <v>67.58</v>
      </c>
      <c r="U2044" s="10">
        <v>67.400000000000006</v>
      </c>
      <c r="V2044" s="10">
        <v>67.19</v>
      </c>
      <c r="W2044" s="10">
        <v>66.989999999999995</v>
      </c>
      <c r="X2044" s="10">
        <v>66.8</v>
      </c>
      <c r="Y2044" s="10">
        <v>66.64</v>
      </c>
      <c r="Z2044" s="11">
        <v>72.626000000000005</v>
      </c>
      <c r="AA2044" s="11">
        <v>71.718000000000004</v>
      </c>
      <c r="AB2044" s="11">
        <v>71.347999999999999</v>
      </c>
      <c r="AC2044" s="11">
        <v>70.944999999999993</v>
      </c>
      <c r="AD2044" s="11">
        <v>70.724999999999994</v>
      </c>
      <c r="AE2044" s="11">
        <v>70.575000000000003</v>
      </c>
      <c r="AF2044" s="11">
        <v>70.424999999999997</v>
      </c>
      <c r="AG2044" s="11">
        <v>70.245000000000005</v>
      </c>
      <c r="AH2044" s="11">
        <v>70.063000000000002</v>
      </c>
      <c r="AI2044" s="11">
        <v>69.891999999999996</v>
      </c>
      <c r="AJ2044" s="11">
        <v>69.733999999999995</v>
      </c>
      <c r="AK2044" s="11">
        <v>69.593000000000004</v>
      </c>
      <c r="AL2044" s="11"/>
    </row>
    <row r="2045" spans="1:38" x14ac:dyDescent="0.3">
      <c r="A2045" s="9">
        <f>DATE(2024, 11, 27)</f>
        <v>45623</v>
      </c>
      <c r="B2045" s="10">
        <v>72.83</v>
      </c>
      <c r="C2045" s="10">
        <v>72.3</v>
      </c>
      <c r="D2045" s="10">
        <v>71.930000000000007</v>
      </c>
      <c r="E2045" s="10">
        <v>71.67</v>
      </c>
      <c r="F2045" s="10">
        <v>71.48</v>
      </c>
      <c r="G2045" s="10">
        <v>71.31</v>
      </c>
      <c r="H2045" s="10">
        <v>71.14</v>
      </c>
      <c r="I2045" s="10">
        <v>70.959999999999994</v>
      </c>
      <c r="J2045" s="10">
        <v>70.77</v>
      </c>
      <c r="K2045" s="10">
        <v>70.59</v>
      </c>
      <c r="L2045" s="10">
        <v>70.44</v>
      </c>
      <c r="M2045" s="10">
        <v>70.3</v>
      </c>
      <c r="N2045" s="10">
        <v>68.72</v>
      </c>
      <c r="O2045" s="10">
        <v>68.349999999999994</v>
      </c>
      <c r="P2045" s="10">
        <v>68.069999999999993</v>
      </c>
      <c r="Q2045" s="10">
        <v>67.87</v>
      </c>
      <c r="R2045" s="10">
        <v>67.709999999999994</v>
      </c>
      <c r="S2045" s="10">
        <v>67.540000000000006</v>
      </c>
      <c r="T2045" s="10">
        <v>67.349999999999994</v>
      </c>
      <c r="U2045" s="10">
        <v>67.16</v>
      </c>
      <c r="V2045" s="10">
        <v>66.959999999999994</v>
      </c>
      <c r="W2045" s="10">
        <v>66.760000000000005</v>
      </c>
      <c r="X2045" s="10">
        <v>66.569999999999993</v>
      </c>
      <c r="Y2045" s="10">
        <v>66.41</v>
      </c>
      <c r="Z2045" s="11">
        <v>72.616</v>
      </c>
      <c r="AA2045" s="11">
        <v>71.734999999999999</v>
      </c>
      <c r="AB2045" s="11">
        <v>71.317999999999998</v>
      </c>
      <c r="AC2045" s="11">
        <v>70.911000000000001</v>
      </c>
      <c r="AD2045" s="11">
        <v>70.664000000000001</v>
      </c>
      <c r="AE2045" s="11">
        <v>70.474000000000004</v>
      </c>
      <c r="AF2045" s="11">
        <v>70.281000000000006</v>
      </c>
      <c r="AG2045" s="11">
        <v>70.081000000000003</v>
      </c>
      <c r="AH2045" s="11">
        <v>69.882000000000005</v>
      </c>
      <c r="AI2045" s="11">
        <v>69.692999999999998</v>
      </c>
      <c r="AJ2045" s="11">
        <v>69.524000000000001</v>
      </c>
      <c r="AK2045" s="11">
        <v>69.373000000000005</v>
      </c>
      <c r="AL2045" s="11"/>
    </row>
    <row r="2046" spans="1:38" x14ac:dyDescent="0.3">
      <c r="A2046" s="9">
        <f>DATE(2024, 11, 28)</f>
        <v>45624</v>
      </c>
      <c r="B2046" s="10">
        <v>73.28</v>
      </c>
      <c r="C2046" s="10">
        <v>72.78</v>
      </c>
      <c r="D2046" s="10">
        <v>72.41</v>
      </c>
      <c r="E2046" s="10">
        <v>72.150000000000006</v>
      </c>
      <c r="F2046" s="10">
        <v>71.959999999999994</v>
      </c>
      <c r="G2046" s="10">
        <v>71.8</v>
      </c>
      <c r="H2046" s="10">
        <v>71.63</v>
      </c>
      <c r="I2046" s="10">
        <v>71.45</v>
      </c>
      <c r="J2046" s="10">
        <v>71.260000000000005</v>
      </c>
      <c r="K2046" s="10">
        <v>71.069999999999993</v>
      </c>
      <c r="L2046" s="10">
        <v>70.900000000000006</v>
      </c>
      <c r="M2046" s="10">
        <v>70.760000000000005</v>
      </c>
      <c r="N2046" s="10">
        <v>68.72</v>
      </c>
      <c r="O2046" s="10">
        <v>68.349999999999994</v>
      </c>
      <c r="P2046" s="10">
        <v>68.069999999999993</v>
      </c>
      <c r="Q2046" s="10">
        <v>67.87</v>
      </c>
      <c r="R2046" s="10">
        <v>67.709999999999994</v>
      </c>
      <c r="S2046" s="10">
        <v>67.540000000000006</v>
      </c>
      <c r="T2046" s="10">
        <v>67.349999999999994</v>
      </c>
      <c r="U2046" s="10">
        <v>67.16</v>
      </c>
      <c r="V2046" s="10">
        <v>66.959999999999994</v>
      </c>
      <c r="W2046" s="10">
        <v>66.760000000000005</v>
      </c>
      <c r="X2046" s="10">
        <v>66.569999999999993</v>
      </c>
      <c r="Y2046" s="10">
        <v>66.41</v>
      </c>
      <c r="Z2046" s="11">
        <v>72.631</v>
      </c>
      <c r="AA2046" s="11">
        <v>72.284999999999997</v>
      </c>
      <c r="AB2046" s="11">
        <v>71.852999999999994</v>
      </c>
      <c r="AC2046" s="11">
        <v>71.421000000000006</v>
      </c>
      <c r="AD2046" s="11">
        <v>71.162000000000006</v>
      </c>
      <c r="AE2046" s="11">
        <v>70.962000000000003</v>
      </c>
      <c r="AF2046" s="11">
        <v>70.772000000000006</v>
      </c>
      <c r="AG2046" s="11">
        <v>70.570999999999998</v>
      </c>
      <c r="AH2046" s="11">
        <v>70.367000000000004</v>
      </c>
      <c r="AI2046" s="11">
        <v>70.162999999999997</v>
      </c>
      <c r="AJ2046" s="11">
        <v>69.978999999999999</v>
      </c>
      <c r="AK2046" s="11">
        <v>69.828000000000003</v>
      </c>
      <c r="AL2046" s="11"/>
    </row>
    <row r="2047" spans="1:38" x14ac:dyDescent="0.3">
      <c r="A2047" s="9">
        <f>DATE(2024, 11, 29)</f>
        <v>45625</v>
      </c>
      <c r="B2047" s="10">
        <v>72.94</v>
      </c>
      <c r="C2047" s="10">
        <v>71.84</v>
      </c>
      <c r="D2047" s="10">
        <v>71.5</v>
      </c>
      <c r="E2047" s="10">
        <v>71.260000000000005</v>
      </c>
      <c r="F2047" s="10">
        <v>71.08</v>
      </c>
      <c r="G2047" s="10">
        <v>70.930000000000007</v>
      </c>
      <c r="H2047" s="10">
        <v>70.77</v>
      </c>
      <c r="I2047" s="10">
        <v>70.599999999999994</v>
      </c>
      <c r="J2047" s="10">
        <v>70.42</v>
      </c>
      <c r="K2047" s="10">
        <v>70.25</v>
      </c>
      <c r="L2047" s="10">
        <v>70.09</v>
      </c>
      <c r="M2047" s="10">
        <v>69.95</v>
      </c>
      <c r="N2047" s="10">
        <v>68</v>
      </c>
      <c r="O2047" s="10">
        <v>67.72</v>
      </c>
      <c r="P2047" s="10">
        <v>67.48</v>
      </c>
      <c r="Q2047" s="10">
        <v>67.31</v>
      </c>
      <c r="R2047" s="10">
        <v>67.17</v>
      </c>
      <c r="S2047" s="10">
        <v>67.03</v>
      </c>
      <c r="T2047" s="10">
        <v>66.87</v>
      </c>
      <c r="U2047" s="10">
        <v>66.7</v>
      </c>
      <c r="V2047" s="10">
        <v>66.5</v>
      </c>
      <c r="W2047" s="10">
        <v>66.3</v>
      </c>
      <c r="X2047" s="10">
        <v>66.12</v>
      </c>
      <c r="Y2047" s="10">
        <v>65.95</v>
      </c>
      <c r="Z2047" s="11">
        <v>72.585999999999999</v>
      </c>
      <c r="AA2047" s="11">
        <v>71.322000000000003</v>
      </c>
      <c r="AB2047" s="11">
        <v>70.942999999999998</v>
      </c>
      <c r="AC2047" s="11">
        <v>70.524000000000001</v>
      </c>
      <c r="AD2047" s="11">
        <v>70.283000000000001</v>
      </c>
      <c r="AE2047" s="11">
        <v>70.102000000000004</v>
      </c>
      <c r="AF2047" s="11">
        <v>69.921999999999997</v>
      </c>
      <c r="AG2047" s="11">
        <v>69.721999999999994</v>
      </c>
      <c r="AH2047" s="11">
        <v>69.522000000000006</v>
      </c>
      <c r="AI2047" s="11">
        <v>69.331999999999994</v>
      </c>
      <c r="AJ2047" s="11">
        <v>69.17</v>
      </c>
      <c r="AK2047" s="11">
        <v>69.018000000000001</v>
      </c>
      <c r="AL2047" s="11"/>
    </row>
    <row r="2048" spans="1:38" x14ac:dyDescent="0.3">
      <c r="A2048" s="9">
        <f>DATE(2024, 12, 2)</f>
        <v>45628</v>
      </c>
      <c r="B2048" s="10">
        <v>71.83</v>
      </c>
      <c r="C2048" s="10">
        <v>71.540000000000006</v>
      </c>
      <c r="D2048" s="10">
        <v>71.31</v>
      </c>
      <c r="E2048" s="10">
        <v>71.14</v>
      </c>
      <c r="F2048" s="10">
        <v>70.989999999999995</v>
      </c>
      <c r="G2048" s="10">
        <v>70.84</v>
      </c>
      <c r="H2048" s="10">
        <v>70.67</v>
      </c>
      <c r="I2048" s="10">
        <v>70.5</v>
      </c>
      <c r="J2048" s="10">
        <v>70.33</v>
      </c>
      <c r="K2048" s="10">
        <v>70.17</v>
      </c>
      <c r="L2048" s="10">
        <v>70.03</v>
      </c>
      <c r="M2048" s="10">
        <v>69.86</v>
      </c>
      <c r="N2048" s="10">
        <v>68.099999999999994</v>
      </c>
      <c r="O2048" s="10">
        <v>67.84</v>
      </c>
      <c r="P2048" s="10">
        <v>67.599999999999994</v>
      </c>
      <c r="Q2048" s="10">
        <v>67.430000000000007</v>
      </c>
      <c r="R2048" s="10">
        <v>67.28</v>
      </c>
      <c r="S2048" s="10">
        <v>67.13</v>
      </c>
      <c r="T2048" s="10">
        <v>66.959999999999994</v>
      </c>
      <c r="U2048" s="10">
        <v>66.78</v>
      </c>
      <c r="V2048" s="10">
        <v>66.59</v>
      </c>
      <c r="W2048" s="10">
        <v>66.39</v>
      </c>
      <c r="X2048" s="10">
        <v>66.209999999999994</v>
      </c>
      <c r="Y2048" s="10">
        <v>66.040000000000006</v>
      </c>
      <c r="Z2048" s="11">
        <v>72.617999999999995</v>
      </c>
      <c r="AA2048" s="11">
        <v>71.394999999999996</v>
      </c>
      <c r="AB2048" s="11">
        <v>70.98</v>
      </c>
      <c r="AC2048" s="11">
        <v>70.546999999999997</v>
      </c>
      <c r="AD2048" s="11">
        <v>70.313000000000002</v>
      </c>
      <c r="AE2048" s="11">
        <v>70.132999999999996</v>
      </c>
      <c r="AF2048" s="11">
        <v>69.956000000000003</v>
      </c>
      <c r="AG2048" s="11">
        <v>69.768000000000001</v>
      </c>
      <c r="AH2048" s="11">
        <v>69.582999999999998</v>
      </c>
      <c r="AI2048" s="11">
        <v>69.391999999999996</v>
      </c>
      <c r="AJ2048" s="11">
        <v>69.224000000000004</v>
      </c>
      <c r="AK2048" s="11">
        <v>69.072999999999993</v>
      </c>
      <c r="AL2048" s="11"/>
    </row>
    <row r="2049" spans="1:38" x14ac:dyDescent="0.3">
      <c r="A2049" s="9">
        <f>DATE(2024, 12, 3)</f>
        <v>45629</v>
      </c>
      <c r="B2049" s="10">
        <v>73.62</v>
      </c>
      <c r="C2049" s="10">
        <v>73.2</v>
      </c>
      <c r="D2049" s="10">
        <v>72.91</v>
      </c>
      <c r="E2049" s="10">
        <v>72.680000000000007</v>
      </c>
      <c r="F2049" s="10">
        <v>72.489999999999995</v>
      </c>
      <c r="G2049" s="10">
        <v>72.31</v>
      </c>
      <c r="H2049" s="10">
        <v>72.099999999999994</v>
      </c>
      <c r="I2049" s="10">
        <v>71.91</v>
      </c>
      <c r="J2049" s="10">
        <v>71.709999999999994</v>
      </c>
      <c r="K2049" s="10">
        <v>71.53</v>
      </c>
      <c r="L2049" s="10">
        <v>71.37</v>
      </c>
      <c r="M2049" s="10">
        <v>71.180000000000007</v>
      </c>
      <c r="N2049" s="10">
        <v>69.94</v>
      </c>
      <c r="O2049" s="10">
        <v>69.540000000000006</v>
      </c>
      <c r="P2049" s="10">
        <v>69.239999999999995</v>
      </c>
      <c r="Q2049" s="10">
        <v>69</v>
      </c>
      <c r="R2049" s="10">
        <v>68.819999999999993</v>
      </c>
      <c r="S2049" s="10">
        <v>68.64</v>
      </c>
      <c r="T2049" s="10">
        <v>68.44</v>
      </c>
      <c r="U2049" s="10">
        <v>68.22</v>
      </c>
      <c r="V2049" s="10">
        <v>67.989999999999995</v>
      </c>
      <c r="W2049" s="10">
        <v>67.760000000000005</v>
      </c>
      <c r="X2049" s="10">
        <v>67.56</v>
      </c>
      <c r="Y2049" s="10">
        <v>67.37</v>
      </c>
      <c r="Z2049" s="11">
        <v>73.028000000000006</v>
      </c>
      <c r="AA2049" s="11">
        <v>72.727000000000004</v>
      </c>
      <c r="AB2049" s="11">
        <v>72.269000000000005</v>
      </c>
      <c r="AC2049" s="11">
        <v>71.980999999999995</v>
      </c>
      <c r="AD2049" s="11">
        <v>71.756</v>
      </c>
      <c r="AE2049" s="11">
        <v>71.55</v>
      </c>
      <c r="AF2049" s="11">
        <v>71.325999999999993</v>
      </c>
      <c r="AG2049" s="11">
        <v>71.105999999999995</v>
      </c>
      <c r="AH2049" s="11">
        <v>70.896000000000001</v>
      </c>
      <c r="AI2049" s="11">
        <v>70.692999999999998</v>
      </c>
      <c r="AJ2049" s="11">
        <v>70.512</v>
      </c>
      <c r="AK2049" s="11">
        <v>70.320999999999998</v>
      </c>
      <c r="AL2049" s="11"/>
    </row>
    <row r="2050" spans="1:38" x14ac:dyDescent="0.3">
      <c r="A2050" s="9">
        <f>DATE(2024, 12, 4)</f>
        <v>45630</v>
      </c>
      <c r="B2050" s="10">
        <v>72.31</v>
      </c>
      <c r="C2050" s="10">
        <v>71.930000000000007</v>
      </c>
      <c r="D2050" s="10">
        <v>71.66</v>
      </c>
      <c r="E2050" s="10">
        <v>71.459999999999994</v>
      </c>
      <c r="F2050" s="10">
        <v>71.28</v>
      </c>
      <c r="G2050" s="10">
        <v>71.11</v>
      </c>
      <c r="H2050" s="10">
        <v>70.92</v>
      </c>
      <c r="I2050" s="10">
        <v>70.73</v>
      </c>
      <c r="J2050" s="10">
        <v>70.540000000000006</v>
      </c>
      <c r="K2050" s="10">
        <v>70.38</v>
      </c>
      <c r="L2050" s="10">
        <v>70.23</v>
      </c>
      <c r="M2050" s="10">
        <v>70.06</v>
      </c>
      <c r="N2050" s="10">
        <v>68.540000000000006</v>
      </c>
      <c r="O2050" s="10">
        <v>68.19</v>
      </c>
      <c r="P2050" s="10">
        <v>67.95</v>
      </c>
      <c r="Q2050" s="10">
        <v>67.739999999999995</v>
      </c>
      <c r="R2050" s="10">
        <v>67.569999999999993</v>
      </c>
      <c r="S2050" s="10">
        <v>67.400000000000006</v>
      </c>
      <c r="T2050" s="10">
        <v>67.209999999999994</v>
      </c>
      <c r="U2050" s="10">
        <v>67</v>
      </c>
      <c r="V2050" s="10">
        <v>66.790000000000006</v>
      </c>
      <c r="W2050" s="10">
        <v>66.58</v>
      </c>
      <c r="X2050" s="10">
        <v>66.37</v>
      </c>
      <c r="Y2050" s="10">
        <v>66.19</v>
      </c>
      <c r="Z2050" s="11">
        <v>72.037999999999997</v>
      </c>
      <c r="AA2050" s="11">
        <v>71.546999999999997</v>
      </c>
      <c r="AB2050" s="11">
        <v>71.090999999999994</v>
      </c>
      <c r="AC2050" s="11">
        <v>70.811000000000007</v>
      </c>
      <c r="AD2050" s="11">
        <v>70.590999999999994</v>
      </c>
      <c r="AE2050" s="11">
        <v>70.370999999999995</v>
      </c>
      <c r="AF2050" s="11">
        <v>70.150999999999996</v>
      </c>
      <c r="AG2050" s="11">
        <v>69.930000000000007</v>
      </c>
      <c r="AH2050" s="11">
        <v>69.727000000000004</v>
      </c>
      <c r="AI2050" s="11">
        <v>69.543000000000006</v>
      </c>
      <c r="AJ2050" s="11">
        <v>69.373000000000005</v>
      </c>
      <c r="AK2050" s="11">
        <v>69.201999999999998</v>
      </c>
      <c r="AL2050" s="11"/>
    </row>
    <row r="2051" spans="1:38" x14ac:dyDescent="0.3">
      <c r="A2051" s="9">
        <f>DATE(2024, 12, 5)</f>
        <v>45631</v>
      </c>
      <c r="B2051" s="10">
        <v>72.09</v>
      </c>
      <c r="C2051" s="10">
        <v>71.680000000000007</v>
      </c>
      <c r="D2051" s="10">
        <v>71.39</v>
      </c>
      <c r="E2051" s="10">
        <v>71.180000000000007</v>
      </c>
      <c r="F2051" s="10">
        <v>71.02</v>
      </c>
      <c r="G2051" s="10">
        <v>70.849999999999994</v>
      </c>
      <c r="H2051" s="10">
        <v>70.67</v>
      </c>
      <c r="I2051" s="10">
        <v>70.489999999999995</v>
      </c>
      <c r="J2051" s="10">
        <v>70.31</v>
      </c>
      <c r="K2051" s="10">
        <v>70.14</v>
      </c>
      <c r="L2051" s="10">
        <v>70</v>
      </c>
      <c r="M2051" s="10">
        <v>69.83</v>
      </c>
      <c r="N2051" s="10">
        <v>68.3</v>
      </c>
      <c r="O2051" s="10">
        <v>67.959999999999994</v>
      </c>
      <c r="P2051" s="10">
        <v>67.72</v>
      </c>
      <c r="Q2051" s="10">
        <v>67.52</v>
      </c>
      <c r="R2051" s="10">
        <v>67.37</v>
      </c>
      <c r="S2051" s="10">
        <v>67.22</v>
      </c>
      <c r="T2051" s="10">
        <v>67.040000000000006</v>
      </c>
      <c r="U2051" s="10">
        <v>66.84</v>
      </c>
      <c r="V2051" s="10">
        <v>66.63</v>
      </c>
      <c r="W2051" s="10">
        <v>66.41</v>
      </c>
      <c r="X2051" s="10">
        <v>66.22</v>
      </c>
      <c r="Y2051" s="10">
        <v>66.03</v>
      </c>
      <c r="Z2051" s="11">
        <v>71.861000000000004</v>
      </c>
      <c r="AA2051" s="11">
        <v>71.290999999999997</v>
      </c>
      <c r="AB2051" s="11">
        <v>70.849999999999994</v>
      </c>
      <c r="AC2051" s="11">
        <v>70.557000000000002</v>
      </c>
      <c r="AD2051" s="11">
        <v>70.337000000000003</v>
      </c>
      <c r="AE2051" s="11">
        <v>70.114000000000004</v>
      </c>
      <c r="AF2051" s="11">
        <v>69.891000000000005</v>
      </c>
      <c r="AG2051" s="11">
        <v>69.682000000000002</v>
      </c>
      <c r="AH2051" s="11">
        <v>69.481999999999999</v>
      </c>
      <c r="AI2051" s="11">
        <v>69.293999999999997</v>
      </c>
      <c r="AJ2051" s="11">
        <v>69.113</v>
      </c>
      <c r="AK2051" s="11">
        <v>68.941999999999993</v>
      </c>
      <c r="AL2051" s="11"/>
    </row>
    <row r="2052" spans="1:38" x14ac:dyDescent="0.3">
      <c r="A2052" s="9">
        <f>DATE(2024, 12, 6)</f>
        <v>45632</v>
      </c>
      <c r="B2052" s="10">
        <v>71.12</v>
      </c>
      <c r="C2052" s="10">
        <v>70.8</v>
      </c>
      <c r="D2052" s="10">
        <v>70.569999999999993</v>
      </c>
      <c r="E2052" s="10">
        <v>70.42</v>
      </c>
      <c r="F2052" s="10">
        <v>70.3</v>
      </c>
      <c r="G2052" s="10">
        <v>70.17</v>
      </c>
      <c r="H2052" s="10">
        <v>70.03</v>
      </c>
      <c r="I2052" s="10">
        <v>69.88</v>
      </c>
      <c r="J2052" s="10">
        <v>69.73</v>
      </c>
      <c r="K2052" s="10">
        <v>69.599999999999994</v>
      </c>
      <c r="L2052" s="10">
        <v>69.489999999999995</v>
      </c>
      <c r="M2052" s="10">
        <v>69.349999999999994</v>
      </c>
      <c r="N2052" s="10">
        <v>67.2</v>
      </c>
      <c r="O2052" s="10">
        <v>66.98</v>
      </c>
      <c r="P2052" s="10">
        <v>66.819999999999993</v>
      </c>
      <c r="Q2052" s="10">
        <v>66.7</v>
      </c>
      <c r="R2052" s="10">
        <v>66.62</v>
      </c>
      <c r="S2052" s="10">
        <v>66.52</v>
      </c>
      <c r="T2052" s="10">
        <v>66.39</v>
      </c>
      <c r="U2052" s="10">
        <v>66.239999999999995</v>
      </c>
      <c r="V2052" s="10">
        <v>66.069999999999993</v>
      </c>
      <c r="W2052" s="10">
        <v>65.900000000000006</v>
      </c>
      <c r="X2052" s="10">
        <v>65.73</v>
      </c>
      <c r="Y2052" s="10">
        <v>65.569999999999993</v>
      </c>
      <c r="Z2052" s="11">
        <v>71.23</v>
      </c>
      <c r="AA2052" s="11">
        <v>70.534999999999997</v>
      </c>
      <c r="AB2052" s="11">
        <v>70.123999999999995</v>
      </c>
      <c r="AC2052" s="11">
        <v>69.864000000000004</v>
      </c>
      <c r="AD2052" s="11">
        <v>69.683999999999997</v>
      </c>
      <c r="AE2052" s="11">
        <v>69.504000000000005</v>
      </c>
      <c r="AF2052" s="11">
        <v>69.322999999999993</v>
      </c>
      <c r="AG2052" s="11">
        <v>69.143000000000001</v>
      </c>
      <c r="AH2052" s="11">
        <v>68.963999999999999</v>
      </c>
      <c r="AI2052" s="11">
        <v>68.805000000000007</v>
      </c>
      <c r="AJ2052" s="11">
        <v>68.674000000000007</v>
      </c>
      <c r="AK2052" s="11">
        <v>68.533000000000001</v>
      </c>
      <c r="AL2052" s="11"/>
    </row>
    <row r="2053" spans="1:38" x14ac:dyDescent="0.3">
      <c r="A2053" s="9">
        <f>DATE(2024, 12, 9)</f>
        <v>45635</v>
      </c>
      <c r="B2053" s="10">
        <v>72.14</v>
      </c>
      <c r="C2053" s="10">
        <v>71.84</v>
      </c>
      <c r="D2053" s="10">
        <v>71.599999999999994</v>
      </c>
      <c r="E2053" s="10">
        <v>71.44</v>
      </c>
      <c r="F2053" s="10">
        <v>71.31</v>
      </c>
      <c r="G2053" s="10">
        <v>71.17</v>
      </c>
      <c r="H2053" s="10">
        <v>71.010000000000005</v>
      </c>
      <c r="I2053" s="10">
        <v>70.849999999999994</v>
      </c>
      <c r="J2053" s="10">
        <v>70.680000000000007</v>
      </c>
      <c r="K2053" s="10">
        <v>70.53</v>
      </c>
      <c r="L2053" s="10">
        <v>70.400000000000006</v>
      </c>
      <c r="M2053" s="10">
        <v>70.25</v>
      </c>
      <c r="N2053" s="10">
        <v>68.37</v>
      </c>
      <c r="O2053" s="10">
        <v>68.09</v>
      </c>
      <c r="P2053" s="10">
        <v>67.900000000000006</v>
      </c>
      <c r="Q2053" s="10">
        <v>67.75</v>
      </c>
      <c r="R2053" s="10">
        <v>67.64</v>
      </c>
      <c r="S2053" s="10">
        <v>67.52</v>
      </c>
      <c r="T2053" s="10">
        <v>67.38</v>
      </c>
      <c r="U2053" s="10">
        <v>67.22</v>
      </c>
      <c r="V2053" s="10">
        <v>67.040000000000006</v>
      </c>
      <c r="W2053" s="10">
        <v>66.849999999999994</v>
      </c>
      <c r="X2053" s="10">
        <v>66.680000000000007</v>
      </c>
      <c r="Y2053" s="10">
        <v>66.510000000000005</v>
      </c>
      <c r="Z2053" s="11">
        <v>71.882999999999996</v>
      </c>
      <c r="AA2053" s="11">
        <v>71.472999999999999</v>
      </c>
      <c r="AB2053" s="11">
        <v>71.096999999999994</v>
      </c>
      <c r="AC2053" s="11">
        <v>70.834000000000003</v>
      </c>
      <c r="AD2053" s="11">
        <v>70.632999999999996</v>
      </c>
      <c r="AE2053" s="11">
        <v>70.442999999999998</v>
      </c>
      <c r="AF2053" s="11">
        <v>70.251999999999995</v>
      </c>
      <c r="AG2053" s="11">
        <v>70.058000000000007</v>
      </c>
      <c r="AH2053" s="11">
        <v>69.878</v>
      </c>
      <c r="AI2053" s="11">
        <v>69.703999999999994</v>
      </c>
      <c r="AJ2053" s="11">
        <v>69.543000000000006</v>
      </c>
      <c r="AK2053" s="11">
        <v>69.373000000000005</v>
      </c>
      <c r="AL2053" s="11"/>
    </row>
    <row r="2054" spans="1:38" x14ac:dyDescent="0.3">
      <c r="A2054" s="9">
        <f>DATE(2024, 12, 10)</f>
        <v>45636</v>
      </c>
      <c r="B2054" s="10">
        <v>72.19</v>
      </c>
      <c r="C2054" s="10">
        <v>71.900000000000006</v>
      </c>
      <c r="D2054" s="10">
        <v>71.66</v>
      </c>
      <c r="E2054" s="10">
        <v>71.5</v>
      </c>
      <c r="F2054" s="10">
        <v>71.36</v>
      </c>
      <c r="G2054" s="10">
        <v>71.22</v>
      </c>
      <c r="H2054" s="10">
        <v>71.05</v>
      </c>
      <c r="I2054" s="10">
        <v>70.88</v>
      </c>
      <c r="J2054" s="10">
        <v>70.709999999999994</v>
      </c>
      <c r="K2054" s="10">
        <v>70.55</v>
      </c>
      <c r="L2054" s="10">
        <v>70.41</v>
      </c>
      <c r="M2054" s="10">
        <v>70.25</v>
      </c>
      <c r="N2054" s="10">
        <v>68.59</v>
      </c>
      <c r="O2054" s="10">
        <v>68.27</v>
      </c>
      <c r="P2054" s="10">
        <v>68.05</v>
      </c>
      <c r="Q2054" s="10">
        <v>67.900000000000006</v>
      </c>
      <c r="R2054" s="10">
        <v>67.78</v>
      </c>
      <c r="S2054" s="10">
        <v>67.66</v>
      </c>
      <c r="T2054" s="10">
        <v>67.510000000000005</v>
      </c>
      <c r="U2054" s="10">
        <v>67.34</v>
      </c>
      <c r="V2054" s="10">
        <v>67.150000000000006</v>
      </c>
      <c r="W2054" s="10">
        <v>66.95</v>
      </c>
      <c r="X2054" s="10">
        <v>66.760000000000005</v>
      </c>
      <c r="Y2054" s="10">
        <v>66.58</v>
      </c>
      <c r="Z2054" s="11">
        <v>71.950999999999993</v>
      </c>
      <c r="AA2054" s="11">
        <v>71.561999999999998</v>
      </c>
      <c r="AB2054" s="11">
        <v>71.194000000000003</v>
      </c>
      <c r="AC2054" s="11">
        <v>70.942999999999998</v>
      </c>
      <c r="AD2054" s="11">
        <v>70.730999999999995</v>
      </c>
      <c r="AE2054" s="11">
        <v>70.540999999999997</v>
      </c>
      <c r="AF2054" s="11">
        <v>70.331000000000003</v>
      </c>
      <c r="AG2054" s="11">
        <v>70.123000000000005</v>
      </c>
      <c r="AH2054" s="11">
        <v>69.921999999999997</v>
      </c>
      <c r="AI2054" s="11">
        <v>69.744</v>
      </c>
      <c r="AJ2054" s="11">
        <v>69.572999999999993</v>
      </c>
      <c r="AK2054" s="11">
        <v>69.372</v>
      </c>
      <c r="AL2054" s="11"/>
    </row>
    <row r="2055" spans="1:38" x14ac:dyDescent="0.3">
      <c r="A2055" s="9">
        <f>DATE(2024, 12, 11)</f>
        <v>45637</v>
      </c>
      <c r="B2055" s="10">
        <v>73.52</v>
      </c>
      <c r="C2055" s="10">
        <v>73.14</v>
      </c>
      <c r="D2055" s="10">
        <v>72.81</v>
      </c>
      <c r="E2055" s="10">
        <v>72.569999999999993</v>
      </c>
      <c r="F2055" s="10">
        <v>72.37</v>
      </c>
      <c r="G2055" s="10">
        <v>72.17</v>
      </c>
      <c r="H2055" s="10">
        <v>71.959999999999994</v>
      </c>
      <c r="I2055" s="10">
        <v>71.739999999999995</v>
      </c>
      <c r="J2055" s="10">
        <v>71.53</v>
      </c>
      <c r="K2055" s="10">
        <v>71.33</v>
      </c>
      <c r="L2055" s="10">
        <v>71.150000000000006</v>
      </c>
      <c r="M2055" s="10">
        <v>70.95</v>
      </c>
      <c r="N2055" s="10">
        <v>70.290000000000006</v>
      </c>
      <c r="O2055" s="10">
        <v>69.87</v>
      </c>
      <c r="P2055" s="10">
        <v>69.52</v>
      </c>
      <c r="Q2055" s="10">
        <v>69.260000000000005</v>
      </c>
      <c r="R2055" s="10">
        <v>69.05</v>
      </c>
      <c r="S2055" s="10">
        <v>68.84</v>
      </c>
      <c r="T2055" s="10">
        <v>68.63</v>
      </c>
      <c r="U2055" s="10">
        <v>68.400000000000006</v>
      </c>
      <c r="V2055" s="10">
        <v>68.150000000000006</v>
      </c>
      <c r="W2055" s="10">
        <v>67.900000000000006</v>
      </c>
      <c r="X2055" s="10">
        <v>67.680000000000007</v>
      </c>
      <c r="Y2055" s="10">
        <v>67.459999999999994</v>
      </c>
      <c r="Z2055" s="11">
        <v>72.801000000000002</v>
      </c>
      <c r="AA2055" s="11">
        <v>72.828000000000003</v>
      </c>
      <c r="AB2055" s="11">
        <v>72.397000000000006</v>
      </c>
      <c r="AC2055" s="11">
        <v>72.061999999999998</v>
      </c>
      <c r="AD2055" s="11">
        <v>71.790000000000006</v>
      </c>
      <c r="AE2055" s="11">
        <v>71.540000000000006</v>
      </c>
      <c r="AF2055" s="11">
        <v>71.287000000000006</v>
      </c>
      <c r="AG2055" s="11">
        <v>71.037999999999997</v>
      </c>
      <c r="AH2055" s="11">
        <v>70.796999999999997</v>
      </c>
      <c r="AI2055" s="11">
        <v>70.558999999999997</v>
      </c>
      <c r="AJ2055" s="11">
        <v>70.340999999999994</v>
      </c>
      <c r="AK2055" s="11">
        <v>70.116</v>
      </c>
      <c r="AL2055" s="11"/>
    </row>
    <row r="2056" spans="1:38" x14ac:dyDescent="0.3">
      <c r="A2056" s="9">
        <f>DATE(2024, 12, 12)</f>
        <v>45638</v>
      </c>
      <c r="B2056" s="10">
        <v>73.41</v>
      </c>
      <c r="C2056" s="10">
        <v>73.08</v>
      </c>
      <c r="D2056" s="10">
        <v>72.790000000000006</v>
      </c>
      <c r="E2056" s="10">
        <v>72.58</v>
      </c>
      <c r="F2056" s="10">
        <v>72.39</v>
      </c>
      <c r="G2056" s="10">
        <v>72.2</v>
      </c>
      <c r="H2056" s="10">
        <v>72</v>
      </c>
      <c r="I2056" s="10">
        <v>71.790000000000006</v>
      </c>
      <c r="J2056" s="10">
        <v>71.58</v>
      </c>
      <c r="K2056" s="10">
        <v>71.39</v>
      </c>
      <c r="L2056" s="10">
        <v>71.22</v>
      </c>
      <c r="M2056" s="10">
        <v>71.03</v>
      </c>
      <c r="N2056" s="10">
        <v>70.02</v>
      </c>
      <c r="O2056" s="10">
        <v>69.66</v>
      </c>
      <c r="P2056" s="10">
        <v>69.349999999999994</v>
      </c>
      <c r="Q2056" s="10">
        <v>69.14</v>
      </c>
      <c r="R2056" s="10">
        <v>68.98</v>
      </c>
      <c r="S2056" s="10">
        <v>68.8</v>
      </c>
      <c r="T2056" s="10">
        <v>68.61</v>
      </c>
      <c r="U2056" s="10">
        <v>68.400000000000006</v>
      </c>
      <c r="V2056" s="10">
        <v>68.180000000000007</v>
      </c>
      <c r="W2056" s="10">
        <v>67.94</v>
      </c>
      <c r="X2056" s="10">
        <v>67.709999999999994</v>
      </c>
      <c r="Y2056" s="10">
        <v>67.510000000000005</v>
      </c>
      <c r="Z2056" s="11">
        <v>72.831999999999994</v>
      </c>
      <c r="AA2056" s="11">
        <v>72.846999999999994</v>
      </c>
      <c r="AB2056" s="11">
        <v>72.427000000000007</v>
      </c>
      <c r="AC2056" s="11">
        <v>72.105999999999995</v>
      </c>
      <c r="AD2056" s="11">
        <v>71.838999999999999</v>
      </c>
      <c r="AE2056" s="11">
        <v>71.596999999999994</v>
      </c>
      <c r="AF2056" s="11">
        <v>71.353999999999999</v>
      </c>
      <c r="AG2056" s="11">
        <v>71.111000000000004</v>
      </c>
      <c r="AH2056" s="11">
        <v>70.891000000000005</v>
      </c>
      <c r="AI2056" s="11">
        <v>70.691999999999993</v>
      </c>
      <c r="AJ2056" s="11">
        <v>70.492000000000004</v>
      </c>
      <c r="AK2056" s="11">
        <v>70.281000000000006</v>
      </c>
      <c r="AL2056" s="11"/>
    </row>
    <row r="2057" spans="1:38" x14ac:dyDescent="0.3">
      <c r="A2057" s="9">
        <f>DATE(2024, 12, 13)</f>
        <v>45639</v>
      </c>
      <c r="B2057" s="10">
        <v>74.489999999999995</v>
      </c>
      <c r="C2057" s="10">
        <v>74.09</v>
      </c>
      <c r="D2057" s="10">
        <v>73.75</v>
      </c>
      <c r="E2057" s="10">
        <v>73.48</v>
      </c>
      <c r="F2057" s="10">
        <v>73.25</v>
      </c>
      <c r="G2057" s="10">
        <v>73.02</v>
      </c>
      <c r="H2057" s="10">
        <v>72.78</v>
      </c>
      <c r="I2057" s="10">
        <v>72.540000000000006</v>
      </c>
      <c r="J2057" s="10">
        <v>72.31</v>
      </c>
      <c r="K2057" s="10">
        <v>72.09</v>
      </c>
      <c r="L2057" s="10">
        <v>71.89</v>
      </c>
      <c r="M2057" s="10">
        <v>71.67</v>
      </c>
      <c r="N2057" s="10">
        <v>71.290000000000006</v>
      </c>
      <c r="O2057" s="10">
        <v>70.819999999999993</v>
      </c>
      <c r="P2057" s="10">
        <v>70.39</v>
      </c>
      <c r="Q2057" s="10">
        <v>70.09</v>
      </c>
      <c r="R2057" s="10">
        <v>69.87</v>
      </c>
      <c r="S2057" s="10">
        <v>69.650000000000006</v>
      </c>
      <c r="T2057" s="10">
        <v>69.41</v>
      </c>
      <c r="U2057" s="10">
        <v>69.16</v>
      </c>
      <c r="V2057" s="10">
        <v>68.900000000000006</v>
      </c>
      <c r="W2057" s="10">
        <v>68.64</v>
      </c>
      <c r="X2057" s="10">
        <v>68.400000000000006</v>
      </c>
      <c r="Y2057" s="10">
        <v>68.16</v>
      </c>
      <c r="Z2057" s="11">
        <v>73.388000000000005</v>
      </c>
      <c r="AA2057" s="11">
        <v>73.869</v>
      </c>
      <c r="AB2057" s="11">
        <v>73.411000000000001</v>
      </c>
      <c r="AC2057" s="11">
        <v>73.049000000000007</v>
      </c>
      <c r="AD2057" s="11">
        <v>72.747</v>
      </c>
      <c r="AE2057" s="11">
        <v>72.474000000000004</v>
      </c>
      <c r="AF2057" s="11">
        <v>72.201999999999998</v>
      </c>
      <c r="AG2057" s="11">
        <v>71.930000000000007</v>
      </c>
      <c r="AH2057" s="11">
        <v>71.677000000000007</v>
      </c>
      <c r="AI2057" s="11">
        <v>71.441000000000003</v>
      </c>
      <c r="AJ2057" s="11">
        <v>71.209999999999994</v>
      </c>
      <c r="AK2057" s="11">
        <v>70.97</v>
      </c>
      <c r="AL2057" s="11"/>
    </row>
    <row r="2058" spans="1:38" x14ac:dyDescent="0.3">
      <c r="A2058" s="9">
        <f>DATE(2024, 12, 16)</f>
        <v>45642</v>
      </c>
      <c r="B2058" s="10">
        <v>73.91</v>
      </c>
      <c r="C2058" s="10">
        <v>73.52</v>
      </c>
      <c r="D2058" s="10">
        <v>73.2</v>
      </c>
      <c r="E2058" s="10">
        <v>72.930000000000007</v>
      </c>
      <c r="F2058" s="10">
        <v>72.7</v>
      </c>
      <c r="G2058" s="10">
        <v>72.47</v>
      </c>
      <c r="H2058" s="10">
        <v>72.25</v>
      </c>
      <c r="I2058" s="10">
        <v>72.02</v>
      </c>
      <c r="J2058" s="10">
        <v>71.8</v>
      </c>
      <c r="K2058" s="10">
        <v>71.599999999999994</v>
      </c>
      <c r="L2058" s="10">
        <v>71.42</v>
      </c>
      <c r="M2058" s="10">
        <v>71.22</v>
      </c>
      <c r="N2058" s="10">
        <v>70.709999999999994</v>
      </c>
      <c r="O2058" s="10">
        <v>70.290000000000006</v>
      </c>
      <c r="P2058" s="10">
        <v>69.88</v>
      </c>
      <c r="Q2058" s="10">
        <v>69.569999999999993</v>
      </c>
      <c r="R2058" s="10">
        <v>69.34</v>
      </c>
      <c r="S2058" s="10">
        <v>69.13</v>
      </c>
      <c r="T2058" s="10">
        <v>68.91</v>
      </c>
      <c r="U2058" s="10">
        <v>68.66</v>
      </c>
      <c r="V2058" s="10">
        <v>68.41</v>
      </c>
      <c r="W2058" s="10">
        <v>68.150000000000006</v>
      </c>
      <c r="X2058" s="10">
        <v>67.92</v>
      </c>
      <c r="Y2058" s="10">
        <v>67.709999999999994</v>
      </c>
      <c r="Z2058" s="11">
        <v>73.161000000000001</v>
      </c>
      <c r="AA2058" s="11">
        <v>73.405000000000001</v>
      </c>
      <c r="AB2058" s="11">
        <v>72.936999999999998</v>
      </c>
      <c r="AC2058" s="11">
        <v>72.569000000000003</v>
      </c>
      <c r="AD2058" s="11">
        <v>72.254999999999995</v>
      </c>
      <c r="AE2058" s="11">
        <v>71.971000000000004</v>
      </c>
      <c r="AF2058" s="11">
        <v>71.694000000000003</v>
      </c>
      <c r="AG2058" s="11">
        <v>71.433000000000007</v>
      </c>
      <c r="AH2058" s="11">
        <v>71.17</v>
      </c>
      <c r="AI2058" s="11">
        <v>70.941999999999993</v>
      </c>
      <c r="AJ2058" s="11">
        <v>70.730999999999995</v>
      </c>
      <c r="AK2058" s="11">
        <v>70.510000000000005</v>
      </c>
      <c r="AL2058" s="11"/>
    </row>
    <row r="2059" spans="1:38" x14ac:dyDescent="0.3">
      <c r="A2059" s="9">
        <f>DATE(2024, 12, 17)</f>
        <v>45643</v>
      </c>
      <c r="B2059" s="10">
        <v>73.19</v>
      </c>
      <c r="C2059" s="10">
        <v>72.849999999999994</v>
      </c>
      <c r="D2059" s="10">
        <v>72.56</v>
      </c>
      <c r="E2059" s="10">
        <v>72.31</v>
      </c>
      <c r="F2059" s="10">
        <v>72.09</v>
      </c>
      <c r="G2059" s="10">
        <v>71.87</v>
      </c>
      <c r="H2059" s="10">
        <v>71.650000000000006</v>
      </c>
      <c r="I2059" s="10">
        <v>71.430000000000007</v>
      </c>
      <c r="J2059" s="10">
        <v>71.209999999999994</v>
      </c>
      <c r="K2059" s="10">
        <v>71.010000000000005</v>
      </c>
      <c r="L2059" s="10">
        <v>70.819999999999993</v>
      </c>
      <c r="M2059" s="10">
        <v>70.61</v>
      </c>
      <c r="N2059" s="10">
        <v>70.08</v>
      </c>
      <c r="O2059" s="10">
        <v>69.650000000000006</v>
      </c>
      <c r="P2059" s="10">
        <v>69.260000000000005</v>
      </c>
      <c r="Q2059" s="10">
        <v>68.97</v>
      </c>
      <c r="R2059" s="10">
        <v>68.760000000000005</v>
      </c>
      <c r="S2059" s="10">
        <v>68.55</v>
      </c>
      <c r="T2059" s="10">
        <v>68.34</v>
      </c>
      <c r="U2059" s="10">
        <v>68.099999999999994</v>
      </c>
      <c r="V2059" s="10">
        <v>67.849999999999994</v>
      </c>
      <c r="W2059" s="10">
        <v>67.59</v>
      </c>
      <c r="X2059" s="10">
        <v>67.349999999999994</v>
      </c>
      <c r="Y2059" s="10">
        <v>67.13</v>
      </c>
      <c r="Z2059" s="11">
        <v>72.866</v>
      </c>
      <c r="AA2059" s="11">
        <v>72.747</v>
      </c>
      <c r="AB2059" s="11">
        <v>72.293000000000006</v>
      </c>
      <c r="AC2059" s="11">
        <v>71.915000000000006</v>
      </c>
      <c r="AD2059" s="11">
        <v>71.594999999999999</v>
      </c>
      <c r="AE2059" s="11">
        <v>71.3</v>
      </c>
      <c r="AF2059" s="11">
        <v>71.025000000000006</v>
      </c>
      <c r="AG2059" s="11">
        <v>70.760000000000005</v>
      </c>
      <c r="AH2059" s="11">
        <v>70.510000000000005</v>
      </c>
      <c r="AI2059" s="11">
        <v>70.290999999999997</v>
      </c>
      <c r="AJ2059" s="11">
        <v>70.100999999999999</v>
      </c>
      <c r="AK2059" s="11">
        <v>69.888999999999996</v>
      </c>
      <c r="AL2059" s="11"/>
    </row>
    <row r="2060" spans="1:38" x14ac:dyDescent="0.3">
      <c r="A2060" s="9">
        <f>DATE(2024, 12, 18)</f>
        <v>45644</v>
      </c>
      <c r="B2060" s="10">
        <v>73.39</v>
      </c>
      <c r="C2060" s="10">
        <v>73</v>
      </c>
      <c r="D2060" s="10">
        <v>72.67</v>
      </c>
      <c r="E2060" s="10">
        <v>72.39</v>
      </c>
      <c r="F2060" s="10">
        <v>72.13</v>
      </c>
      <c r="G2060" s="10">
        <v>71.89</v>
      </c>
      <c r="H2060" s="10">
        <v>71.64</v>
      </c>
      <c r="I2060" s="10">
        <v>71.39</v>
      </c>
      <c r="J2060" s="10">
        <v>71.16</v>
      </c>
      <c r="K2060" s="10">
        <v>70.930000000000007</v>
      </c>
      <c r="L2060" s="10">
        <v>70.72</v>
      </c>
      <c r="M2060" s="10">
        <v>70.489999999999995</v>
      </c>
      <c r="N2060" s="10">
        <v>70.58</v>
      </c>
      <c r="O2060" s="10">
        <v>70.02</v>
      </c>
      <c r="P2060" s="10">
        <v>69.569999999999993</v>
      </c>
      <c r="Q2060" s="10">
        <v>69.209999999999994</v>
      </c>
      <c r="R2060" s="10">
        <v>68.930000000000007</v>
      </c>
      <c r="S2060" s="10">
        <v>68.680000000000007</v>
      </c>
      <c r="T2060" s="10">
        <v>68.42</v>
      </c>
      <c r="U2060" s="10">
        <v>68.16</v>
      </c>
      <c r="V2060" s="10">
        <v>67.88</v>
      </c>
      <c r="W2060" s="10">
        <v>67.599999999999994</v>
      </c>
      <c r="X2060" s="10">
        <v>67.34</v>
      </c>
      <c r="Y2060" s="10">
        <v>67.11</v>
      </c>
      <c r="Z2060" s="11">
        <v>72.980999999999995</v>
      </c>
      <c r="AA2060" s="11">
        <v>72.885000000000005</v>
      </c>
      <c r="AB2060" s="11">
        <v>72.415999999999997</v>
      </c>
      <c r="AC2060" s="11">
        <v>72.018000000000001</v>
      </c>
      <c r="AD2060" s="11">
        <v>71.679000000000002</v>
      </c>
      <c r="AE2060" s="11">
        <v>71.369</v>
      </c>
      <c r="AF2060" s="11">
        <v>71.072999999999993</v>
      </c>
      <c r="AG2060" s="11">
        <v>70.790000000000006</v>
      </c>
      <c r="AH2060" s="11">
        <v>70.519000000000005</v>
      </c>
      <c r="AI2060" s="11">
        <v>70.27</v>
      </c>
      <c r="AJ2060" s="11">
        <v>70.02</v>
      </c>
      <c r="AK2060" s="11">
        <v>69.760000000000005</v>
      </c>
      <c r="AL2060" s="11"/>
    </row>
    <row r="2061" spans="1:38" x14ac:dyDescent="0.3">
      <c r="A2061" s="9">
        <f>DATE(2024, 12, 19)</f>
        <v>45645</v>
      </c>
      <c r="B2061" s="10">
        <v>72.88</v>
      </c>
      <c r="C2061" s="10">
        <v>72.45</v>
      </c>
      <c r="D2061" s="10">
        <v>72.08</v>
      </c>
      <c r="E2061" s="10">
        <v>71.78</v>
      </c>
      <c r="F2061" s="10">
        <v>71.5</v>
      </c>
      <c r="G2061" s="10">
        <v>71.239999999999995</v>
      </c>
      <c r="H2061" s="10">
        <v>70.98</v>
      </c>
      <c r="I2061" s="10">
        <v>70.72</v>
      </c>
      <c r="J2061" s="10">
        <v>70.47</v>
      </c>
      <c r="K2061" s="10">
        <v>70.239999999999995</v>
      </c>
      <c r="L2061" s="10">
        <v>70.03</v>
      </c>
      <c r="M2061" s="10">
        <v>69.81</v>
      </c>
      <c r="N2061" s="10">
        <v>69.91</v>
      </c>
      <c r="O2061" s="10">
        <v>69.38</v>
      </c>
      <c r="P2061" s="10">
        <v>68.95</v>
      </c>
      <c r="Q2061" s="10">
        <v>68.599999999999994</v>
      </c>
      <c r="R2061" s="10">
        <v>68.31</v>
      </c>
      <c r="S2061" s="10">
        <v>68.05</v>
      </c>
      <c r="T2061" s="10">
        <v>67.790000000000006</v>
      </c>
      <c r="U2061" s="10">
        <v>67.5</v>
      </c>
      <c r="V2061" s="10">
        <v>67.209999999999994</v>
      </c>
      <c r="W2061" s="10">
        <v>66.91</v>
      </c>
      <c r="X2061" s="10">
        <v>66.650000000000006</v>
      </c>
      <c r="Y2061" s="10">
        <v>66.39</v>
      </c>
      <c r="Z2061" s="11">
        <v>72.760999999999996</v>
      </c>
      <c r="AA2061" s="11">
        <v>72.353999999999999</v>
      </c>
      <c r="AB2061" s="11">
        <v>71.864999999999995</v>
      </c>
      <c r="AC2061" s="11">
        <v>71.447000000000003</v>
      </c>
      <c r="AD2061" s="11">
        <v>71.087999999999994</v>
      </c>
      <c r="AE2061" s="11">
        <v>70.757999999999996</v>
      </c>
      <c r="AF2061" s="11">
        <v>70.438000000000002</v>
      </c>
      <c r="AG2061" s="11">
        <v>70.129000000000005</v>
      </c>
      <c r="AH2061" s="11">
        <v>69.849000000000004</v>
      </c>
      <c r="AI2061" s="11">
        <v>69.599999999999994</v>
      </c>
      <c r="AJ2061" s="11">
        <v>69.349999999999994</v>
      </c>
      <c r="AK2061" s="11">
        <v>69.099999999999994</v>
      </c>
      <c r="AL2061" s="11"/>
    </row>
    <row r="2062" spans="1:38" x14ac:dyDescent="0.3">
      <c r="A2062" s="9">
        <f>DATE(2024, 12, 20)</f>
        <v>45646</v>
      </c>
      <c r="B2062" s="10">
        <v>72.94</v>
      </c>
      <c r="C2062" s="10">
        <v>72.56</v>
      </c>
      <c r="D2062" s="10">
        <v>72.180000000000007</v>
      </c>
      <c r="E2062" s="10">
        <v>71.87</v>
      </c>
      <c r="F2062" s="10">
        <v>71.599999999999994</v>
      </c>
      <c r="G2062" s="10">
        <v>71.34</v>
      </c>
      <c r="H2062" s="10">
        <v>71.08</v>
      </c>
      <c r="I2062" s="10">
        <v>70.83</v>
      </c>
      <c r="J2062" s="10">
        <v>70.59</v>
      </c>
      <c r="K2062" s="10">
        <v>70.36</v>
      </c>
      <c r="L2062" s="10">
        <v>70.16</v>
      </c>
      <c r="M2062" s="10">
        <v>69.94</v>
      </c>
      <c r="N2062" s="10">
        <v>69.459999999999994</v>
      </c>
      <c r="O2062" s="10">
        <v>69.02</v>
      </c>
      <c r="P2062" s="10">
        <v>68.66</v>
      </c>
      <c r="Q2062" s="10">
        <v>68.37</v>
      </c>
      <c r="R2062" s="10">
        <v>68.12</v>
      </c>
      <c r="S2062" s="10">
        <v>67.86</v>
      </c>
      <c r="T2062" s="10">
        <v>67.58</v>
      </c>
      <c r="U2062" s="10">
        <v>67.28</v>
      </c>
      <c r="V2062" s="10">
        <v>66.98</v>
      </c>
      <c r="W2062" s="10">
        <v>66.72</v>
      </c>
      <c r="X2062" s="10">
        <v>66.489999999999995</v>
      </c>
      <c r="Y2062" s="10">
        <v>66.239999999999995</v>
      </c>
      <c r="Z2062" s="11">
        <v>72.8</v>
      </c>
      <c r="AA2062" s="11">
        <v>72.513000000000005</v>
      </c>
      <c r="AB2062" s="11">
        <v>72.055000000000007</v>
      </c>
      <c r="AC2062" s="11">
        <v>71.606999999999999</v>
      </c>
      <c r="AD2062" s="11">
        <v>71.238</v>
      </c>
      <c r="AE2062" s="11">
        <v>70.908000000000001</v>
      </c>
      <c r="AF2062" s="11">
        <v>70.587999999999994</v>
      </c>
      <c r="AG2062" s="11">
        <v>70.290000000000006</v>
      </c>
      <c r="AH2062" s="11">
        <v>70.009</v>
      </c>
      <c r="AI2062" s="11">
        <v>69.760999999999996</v>
      </c>
      <c r="AJ2062" s="11">
        <v>69.540000000000006</v>
      </c>
      <c r="AK2062" s="11">
        <v>69.3</v>
      </c>
      <c r="AL2062" s="11"/>
    </row>
    <row r="2063" spans="1:38" x14ac:dyDescent="0.3">
      <c r="A2063" s="9">
        <f>DATE(2024, 12, 23)</f>
        <v>45649</v>
      </c>
      <c r="B2063" s="10">
        <v>72.63</v>
      </c>
      <c r="C2063" s="10">
        <v>72.319999999999993</v>
      </c>
      <c r="D2063" s="10">
        <v>71.989999999999995</v>
      </c>
      <c r="E2063" s="10">
        <v>71.7</v>
      </c>
      <c r="F2063" s="10">
        <v>71.44</v>
      </c>
      <c r="G2063" s="10">
        <v>71.2</v>
      </c>
      <c r="H2063" s="10">
        <v>70.959999999999994</v>
      </c>
      <c r="I2063" s="10">
        <v>70.72</v>
      </c>
      <c r="J2063" s="10">
        <v>70.489999999999995</v>
      </c>
      <c r="K2063" s="10">
        <v>70.27</v>
      </c>
      <c r="L2063" s="10">
        <v>70.069999999999993</v>
      </c>
      <c r="M2063" s="10">
        <v>69.86</v>
      </c>
      <c r="N2063" s="10">
        <v>69.239999999999995</v>
      </c>
      <c r="O2063" s="10">
        <v>68.81</v>
      </c>
      <c r="P2063" s="10">
        <v>68.47</v>
      </c>
      <c r="Q2063" s="10">
        <v>68.2</v>
      </c>
      <c r="R2063" s="10">
        <v>67.959999999999994</v>
      </c>
      <c r="S2063" s="10">
        <v>67.709999999999994</v>
      </c>
      <c r="T2063" s="10">
        <v>67.45</v>
      </c>
      <c r="U2063" s="10">
        <v>67.180000000000007</v>
      </c>
      <c r="V2063" s="10">
        <v>66.900000000000006</v>
      </c>
      <c r="W2063" s="10">
        <v>66.650000000000006</v>
      </c>
      <c r="X2063" s="10">
        <v>66.41</v>
      </c>
      <c r="Y2063" s="10">
        <v>66.17</v>
      </c>
      <c r="Z2063" s="11">
        <v>72.766999999999996</v>
      </c>
      <c r="AA2063" s="11">
        <v>72.317999999999998</v>
      </c>
      <c r="AB2063" s="11">
        <v>71.876000000000005</v>
      </c>
      <c r="AC2063" s="11">
        <v>71.436000000000007</v>
      </c>
      <c r="AD2063" s="11">
        <v>71.075999999999993</v>
      </c>
      <c r="AE2063" s="11">
        <v>70.763000000000005</v>
      </c>
      <c r="AF2063" s="11">
        <v>70.459000000000003</v>
      </c>
      <c r="AG2063" s="11">
        <v>70.174999999999997</v>
      </c>
      <c r="AH2063" s="11">
        <v>69.915000000000006</v>
      </c>
      <c r="AI2063" s="11">
        <v>69.671000000000006</v>
      </c>
      <c r="AJ2063" s="11">
        <v>69.430999999999997</v>
      </c>
      <c r="AK2063" s="11">
        <v>69.180999999999997</v>
      </c>
      <c r="AL2063" s="11"/>
    </row>
    <row r="2064" spans="1:38" x14ac:dyDescent="0.3">
      <c r="A2064" s="9">
        <f>DATE(2024, 12, 24)</f>
        <v>45650</v>
      </c>
      <c r="B2064" s="10">
        <v>73.58</v>
      </c>
      <c r="C2064" s="10">
        <v>73.17</v>
      </c>
      <c r="D2064" s="10">
        <v>72.77</v>
      </c>
      <c r="E2064" s="10">
        <v>72.44</v>
      </c>
      <c r="F2064" s="10">
        <v>72.150000000000006</v>
      </c>
      <c r="G2064" s="10">
        <v>71.89</v>
      </c>
      <c r="H2064" s="10">
        <v>71.63</v>
      </c>
      <c r="I2064" s="10">
        <v>71.37</v>
      </c>
      <c r="J2064" s="10">
        <v>71.13</v>
      </c>
      <c r="K2064" s="10">
        <v>70.900000000000006</v>
      </c>
      <c r="L2064" s="10">
        <v>70.69</v>
      </c>
      <c r="M2064" s="10">
        <v>70.47</v>
      </c>
      <c r="N2064" s="10">
        <v>70.099999999999994</v>
      </c>
      <c r="O2064" s="10">
        <v>69.64</v>
      </c>
      <c r="P2064" s="10">
        <v>69.27</v>
      </c>
      <c r="Q2064" s="10">
        <v>68.97</v>
      </c>
      <c r="R2064" s="10">
        <v>68.7</v>
      </c>
      <c r="S2064" s="10">
        <v>68.430000000000007</v>
      </c>
      <c r="T2064" s="10">
        <v>68.14</v>
      </c>
      <c r="U2064" s="10">
        <v>67.84</v>
      </c>
      <c r="V2064" s="10">
        <v>67.55</v>
      </c>
      <c r="W2064" s="10">
        <v>67.28</v>
      </c>
      <c r="X2064" s="10">
        <v>67.02</v>
      </c>
      <c r="Y2064" s="10">
        <v>66.77</v>
      </c>
      <c r="Z2064" s="11">
        <v>72.950999999999993</v>
      </c>
      <c r="AA2064" s="11">
        <v>73.156999999999996</v>
      </c>
      <c r="AB2064" s="11">
        <v>72.694000000000003</v>
      </c>
      <c r="AC2064" s="11">
        <v>72.227000000000004</v>
      </c>
      <c r="AD2064" s="11">
        <v>71.837999999999994</v>
      </c>
      <c r="AE2064" s="11">
        <v>71.507999999999996</v>
      </c>
      <c r="AF2064" s="11">
        <v>71.177999999999997</v>
      </c>
      <c r="AG2064" s="11">
        <v>70.89</v>
      </c>
      <c r="AH2064" s="11">
        <v>70.619</v>
      </c>
      <c r="AI2064" s="11">
        <v>70.358000000000004</v>
      </c>
      <c r="AJ2064" s="11">
        <v>70.11</v>
      </c>
      <c r="AK2064" s="11">
        <v>69.86</v>
      </c>
      <c r="AL2064" s="11"/>
    </row>
    <row r="2065" spans="1:38" x14ac:dyDescent="0.3">
      <c r="A2065" s="9">
        <f>DATE(2024, 12, 26)</f>
        <v>45652</v>
      </c>
      <c r="B2065" s="10">
        <v>73.260000000000005</v>
      </c>
      <c r="C2065" s="10">
        <v>72.849999999999994</v>
      </c>
      <c r="D2065" s="10">
        <v>72.430000000000007</v>
      </c>
      <c r="E2065" s="10">
        <v>72.09</v>
      </c>
      <c r="F2065" s="10">
        <v>71.8</v>
      </c>
      <c r="G2065" s="10">
        <v>71.53</v>
      </c>
      <c r="H2065" s="10">
        <v>71.27</v>
      </c>
      <c r="I2065" s="10">
        <v>71.02</v>
      </c>
      <c r="J2065" s="10">
        <v>70.78</v>
      </c>
      <c r="K2065" s="10">
        <v>70.55</v>
      </c>
      <c r="L2065" s="10">
        <v>70.34</v>
      </c>
      <c r="M2065" s="10">
        <v>70.12</v>
      </c>
      <c r="N2065" s="10">
        <v>69.62</v>
      </c>
      <c r="O2065" s="10">
        <v>69.23</v>
      </c>
      <c r="P2065" s="10">
        <v>68.91</v>
      </c>
      <c r="Q2065" s="10">
        <v>68.63</v>
      </c>
      <c r="R2065" s="10">
        <v>68.36</v>
      </c>
      <c r="S2065" s="10">
        <v>68.11</v>
      </c>
      <c r="T2065" s="10">
        <v>67.819999999999993</v>
      </c>
      <c r="U2065" s="10">
        <v>67.52</v>
      </c>
      <c r="V2065" s="10">
        <v>67.23</v>
      </c>
      <c r="W2065" s="10">
        <v>66.959999999999994</v>
      </c>
      <c r="X2065" s="10">
        <v>66.709999999999994</v>
      </c>
      <c r="Y2065" s="10">
        <v>66.459999999999994</v>
      </c>
      <c r="Z2065" s="11">
        <v>72.956999999999994</v>
      </c>
      <c r="AA2065" s="11">
        <v>72.866</v>
      </c>
      <c r="AB2065" s="11">
        <v>72.366</v>
      </c>
      <c r="AC2065" s="11">
        <v>71.885999999999996</v>
      </c>
      <c r="AD2065" s="11">
        <v>71.486999999999995</v>
      </c>
      <c r="AE2065" s="11">
        <v>71.144000000000005</v>
      </c>
      <c r="AF2065" s="11">
        <v>70.813000000000002</v>
      </c>
      <c r="AG2065" s="11">
        <v>70.52</v>
      </c>
      <c r="AH2065" s="11">
        <v>70.248999999999995</v>
      </c>
      <c r="AI2065" s="11">
        <v>69.989999999999995</v>
      </c>
      <c r="AJ2065" s="11">
        <v>69.73</v>
      </c>
      <c r="AK2065" s="11">
        <v>69.459999999999994</v>
      </c>
      <c r="AL2065" s="11"/>
    </row>
    <row r="2066" spans="1:38" x14ac:dyDescent="0.3">
      <c r="A2066" s="9">
        <f>DATE(2024, 12, 27)</f>
        <v>45653</v>
      </c>
      <c r="B2066" s="10">
        <v>74.17</v>
      </c>
      <c r="C2066" s="10">
        <v>73.790000000000006</v>
      </c>
      <c r="D2066" s="10">
        <v>73.31</v>
      </c>
      <c r="E2066" s="10">
        <v>72.930000000000007</v>
      </c>
      <c r="F2066" s="10">
        <v>72.61</v>
      </c>
      <c r="G2066" s="10">
        <v>72.3</v>
      </c>
      <c r="H2066" s="10">
        <v>71.989999999999995</v>
      </c>
      <c r="I2066" s="10">
        <v>71.7</v>
      </c>
      <c r="J2066" s="10">
        <v>71.41</v>
      </c>
      <c r="K2066" s="10">
        <v>71.14</v>
      </c>
      <c r="L2066" s="10">
        <v>70.89</v>
      </c>
      <c r="M2066" s="10">
        <v>70.63</v>
      </c>
      <c r="N2066" s="10">
        <v>70.599999999999994</v>
      </c>
      <c r="O2066" s="10">
        <v>70.180000000000007</v>
      </c>
      <c r="P2066" s="10">
        <v>69.81</v>
      </c>
      <c r="Q2066" s="10">
        <v>69.47</v>
      </c>
      <c r="R2066" s="10">
        <v>69.16</v>
      </c>
      <c r="S2066" s="10">
        <v>68.849999999999994</v>
      </c>
      <c r="T2066" s="10">
        <v>68.53</v>
      </c>
      <c r="U2066" s="10">
        <v>68.2</v>
      </c>
      <c r="V2066" s="10">
        <v>67.87</v>
      </c>
      <c r="W2066" s="10">
        <v>67.56</v>
      </c>
      <c r="X2066" s="10">
        <v>67.28</v>
      </c>
      <c r="Y2066" s="10">
        <v>66.97</v>
      </c>
      <c r="Z2066" s="11">
        <v>73.105000000000004</v>
      </c>
      <c r="AA2066" s="11">
        <v>73.778000000000006</v>
      </c>
      <c r="AB2066" s="11">
        <v>73.201999999999998</v>
      </c>
      <c r="AC2066" s="11">
        <v>72.682000000000002</v>
      </c>
      <c r="AD2066" s="11">
        <v>72.236999999999995</v>
      </c>
      <c r="AE2066" s="11">
        <v>71.855999999999995</v>
      </c>
      <c r="AF2066" s="11">
        <v>71.474999999999994</v>
      </c>
      <c r="AG2066" s="11">
        <v>71.137</v>
      </c>
      <c r="AH2066" s="11">
        <v>70.816999999999993</v>
      </c>
      <c r="AI2066" s="11">
        <v>70.519000000000005</v>
      </c>
      <c r="AJ2066" s="11">
        <v>70.239000000000004</v>
      </c>
      <c r="AK2066" s="11">
        <v>69.968999999999994</v>
      </c>
      <c r="AL2066" s="11"/>
    </row>
    <row r="2067" spans="1:38" x14ac:dyDescent="0.3">
      <c r="A2067" s="9">
        <f>DATE(2024, 12, 30)</f>
        <v>45656</v>
      </c>
      <c r="B2067" s="10">
        <v>74.39</v>
      </c>
      <c r="C2067" s="10">
        <v>73.989999999999995</v>
      </c>
      <c r="D2067" s="10">
        <v>73.569999999999993</v>
      </c>
      <c r="E2067" s="10">
        <v>73.22</v>
      </c>
      <c r="F2067" s="10">
        <v>72.91</v>
      </c>
      <c r="G2067" s="10">
        <v>72.61</v>
      </c>
      <c r="H2067" s="10">
        <v>72.3</v>
      </c>
      <c r="I2067" s="10">
        <v>72.010000000000005</v>
      </c>
      <c r="J2067" s="10">
        <v>71.72</v>
      </c>
      <c r="K2067" s="10">
        <v>71.459999999999994</v>
      </c>
      <c r="L2067" s="10">
        <v>71.209999999999994</v>
      </c>
      <c r="M2067" s="10">
        <v>70.959999999999994</v>
      </c>
      <c r="N2067" s="10">
        <v>70.989999999999995</v>
      </c>
      <c r="O2067" s="10">
        <v>70.53</v>
      </c>
      <c r="P2067" s="10">
        <v>70.16</v>
      </c>
      <c r="Q2067" s="10">
        <v>69.819999999999993</v>
      </c>
      <c r="R2067" s="10">
        <v>69.5</v>
      </c>
      <c r="S2067" s="10">
        <v>69.180000000000007</v>
      </c>
      <c r="T2067" s="10">
        <v>68.849999999999994</v>
      </c>
      <c r="U2067" s="10">
        <v>68.52</v>
      </c>
      <c r="V2067" s="10">
        <v>68.19</v>
      </c>
      <c r="W2067" s="10">
        <v>67.88</v>
      </c>
      <c r="X2067" s="10">
        <v>67.599999999999994</v>
      </c>
      <c r="Y2067" s="10">
        <v>67.3</v>
      </c>
      <c r="Z2067" s="11">
        <v>73.167000000000002</v>
      </c>
      <c r="AA2067" s="11">
        <v>74.037000000000006</v>
      </c>
      <c r="AB2067" s="11">
        <v>73.399000000000001</v>
      </c>
      <c r="AC2067" s="11">
        <v>72.885000000000005</v>
      </c>
      <c r="AD2067" s="11">
        <v>72.448999999999998</v>
      </c>
      <c r="AE2067" s="11">
        <v>72.084000000000003</v>
      </c>
      <c r="AF2067" s="11">
        <v>71.721000000000004</v>
      </c>
      <c r="AG2067" s="11">
        <v>71.376999999999995</v>
      </c>
      <c r="AH2067" s="11">
        <v>71.048000000000002</v>
      </c>
      <c r="AI2067" s="11">
        <v>70.739000000000004</v>
      </c>
      <c r="AJ2067" s="11">
        <v>70.459000000000003</v>
      </c>
      <c r="AK2067" s="11">
        <v>70.177999999999997</v>
      </c>
      <c r="AL2067" s="11"/>
    </row>
    <row r="2068" spans="1:38" x14ac:dyDescent="0.3">
      <c r="A2068" s="9">
        <f>DATE(2024, 12, 31)</f>
        <v>45657</v>
      </c>
      <c r="B2068" s="10">
        <v>74.64</v>
      </c>
      <c r="C2068" s="10">
        <v>74.239999999999995</v>
      </c>
      <c r="D2068" s="10">
        <v>73.88</v>
      </c>
      <c r="E2068" s="10">
        <v>73.56</v>
      </c>
      <c r="F2068" s="10">
        <v>73.25</v>
      </c>
      <c r="G2068" s="10">
        <v>72.94</v>
      </c>
      <c r="H2068" s="10">
        <v>72.63</v>
      </c>
      <c r="I2068" s="10">
        <v>72.34</v>
      </c>
      <c r="J2068" s="10">
        <v>72.069999999999993</v>
      </c>
      <c r="K2068" s="10">
        <v>71.81</v>
      </c>
      <c r="L2068" s="10">
        <v>71.540000000000006</v>
      </c>
      <c r="M2068" s="10">
        <v>71.290000000000006</v>
      </c>
      <c r="N2068" s="10">
        <v>71.72</v>
      </c>
      <c r="O2068" s="10">
        <v>71.25</v>
      </c>
      <c r="P2068" s="10">
        <v>70.86</v>
      </c>
      <c r="Q2068" s="10">
        <v>70.5</v>
      </c>
      <c r="R2068" s="10">
        <v>70.17</v>
      </c>
      <c r="S2068" s="10">
        <v>69.84</v>
      </c>
      <c r="T2068" s="10">
        <v>69.489999999999995</v>
      </c>
      <c r="U2068" s="10">
        <v>69.150000000000006</v>
      </c>
      <c r="V2068" s="10">
        <v>68.81</v>
      </c>
      <c r="W2068" s="10">
        <v>68.5</v>
      </c>
      <c r="X2068" s="10">
        <v>68.19</v>
      </c>
      <c r="Y2068" s="10">
        <v>67.88</v>
      </c>
      <c r="Z2068" s="11">
        <v>73.233999999999995</v>
      </c>
      <c r="AA2068" s="11">
        <v>74.8</v>
      </c>
      <c r="AB2068" s="11">
        <v>74.091999999999999</v>
      </c>
      <c r="AC2068" s="11">
        <v>73.540000000000006</v>
      </c>
      <c r="AD2068" s="11">
        <v>73.075999999999993</v>
      </c>
      <c r="AE2068" s="11">
        <v>72.697000000000003</v>
      </c>
      <c r="AF2068" s="11">
        <v>72.344999999999999</v>
      </c>
      <c r="AG2068" s="11">
        <v>71.997</v>
      </c>
      <c r="AH2068" s="11">
        <v>71.656999999999996</v>
      </c>
      <c r="AI2068" s="11">
        <v>71.346000000000004</v>
      </c>
      <c r="AJ2068" s="11">
        <v>71.058000000000007</v>
      </c>
      <c r="AK2068" s="11">
        <v>70.768000000000001</v>
      </c>
      <c r="AL2068" s="11"/>
    </row>
    <row r="2069" spans="1:38" x14ac:dyDescent="0.3">
      <c r="A2069" s="9">
        <f>DATE(2025, 1, 2)</f>
        <v>45659</v>
      </c>
      <c r="B2069" s="10">
        <v>75.930000000000007</v>
      </c>
      <c r="C2069" s="10">
        <v>75.44</v>
      </c>
      <c r="D2069" s="10">
        <v>75.010000000000005</v>
      </c>
      <c r="E2069" s="10">
        <v>74.64</v>
      </c>
      <c r="F2069" s="10">
        <v>74.27</v>
      </c>
      <c r="G2069" s="10">
        <v>73.900000000000006</v>
      </c>
      <c r="H2069" s="10">
        <v>73.55</v>
      </c>
      <c r="I2069" s="10">
        <v>73.22</v>
      </c>
      <c r="J2069" s="10">
        <v>72.900000000000006</v>
      </c>
      <c r="K2069" s="10">
        <v>72.61</v>
      </c>
      <c r="L2069" s="10">
        <v>72.319999999999993</v>
      </c>
      <c r="M2069" s="10">
        <v>72.040000000000006</v>
      </c>
      <c r="N2069" s="10">
        <v>73.13</v>
      </c>
      <c r="O2069" s="10">
        <v>72.5</v>
      </c>
      <c r="P2069" s="10">
        <v>72.010000000000005</v>
      </c>
      <c r="Q2069" s="10">
        <v>71.599999999999994</v>
      </c>
      <c r="R2069" s="10">
        <v>71.209999999999994</v>
      </c>
      <c r="S2069" s="10">
        <v>70.83</v>
      </c>
      <c r="T2069" s="10">
        <v>70.430000000000007</v>
      </c>
      <c r="U2069" s="10">
        <v>70.03</v>
      </c>
      <c r="V2069" s="10">
        <v>69.64</v>
      </c>
      <c r="W2069" s="10">
        <v>69.28</v>
      </c>
      <c r="X2069" s="10">
        <v>68.95</v>
      </c>
      <c r="Y2069" s="10">
        <v>68.61</v>
      </c>
      <c r="Z2069" s="11">
        <v>73.233999999999995</v>
      </c>
      <c r="AA2069" s="11">
        <v>76.23</v>
      </c>
      <c r="AB2069" s="11">
        <v>75.478999999999999</v>
      </c>
      <c r="AC2069" s="11">
        <v>74.841999999999999</v>
      </c>
      <c r="AD2069" s="11">
        <v>74.302000000000007</v>
      </c>
      <c r="AE2069" s="11">
        <v>73.832999999999998</v>
      </c>
      <c r="AF2069" s="11">
        <v>73.403000000000006</v>
      </c>
      <c r="AG2069" s="11">
        <v>73.006</v>
      </c>
      <c r="AH2069" s="11">
        <v>72.625</v>
      </c>
      <c r="AI2069" s="11">
        <v>72.266999999999996</v>
      </c>
      <c r="AJ2069" s="11">
        <v>71.936999999999998</v>
      </c>
      <c r="AK2069" s="11">
        <v>71.605999999999995</v>
      </c>
      <c r="AL2069" s="11"/>
    </row>
    <row r="2070" spans="1:38" x14ac:dyDescent="0.3">
      <c r="A2070" s="9">
        <f>DATE(2025, 1, 3)</f>
        <v>45660</v>
      </c>
      <c r="B2070" s="10">
        <v>76.510000000000005</v>
      </c>
      <c r="C2070" s="10">
        <v>75.930000000000007</v>
      </c>
      <c r="D2070" s="10">
        <v>75.47</v>
      </c>
      <c r="E2070" s="10">
        <v>75.069999999999993</v>
      </c>
      <c r="F2070" s="10">
        <v>74.69</v>
      </c>
      <c r="G2070" s="10">
        <v>74.319999999999993</v>
      </c>
      <c r="H2070" s="10">
        <v>73.959999999999994</v>
      </c>
      <c r="I2070" s="10">
        <v>73.61</v>
      </c>
      <c r="J2070" s="10">
        <v>73.28</v>
      </c>
      <c r="K2070" s="10">
        <v>72.97</v>
      </c>
      <c r="L2070" s="10">
        <v>72.650000000000006</v>
      </c>
      <c r="M2070" s="10">
        <v>72.349999999999994</v>
      </c>
      <c r="N2070" s="10">
        <v>73.959999999999994</v>
      </c>
      <c r="O2070" s="10">
        <v>73.209999999999994</v>
      </c>
      <c r="P2070" s="10">
        <v>72.650000000000006</v>
      </c>
      <c r="Q2070" s="10">
        <v>72.19</v>
      </c>
      <c r="R2070" s="10">
        <v>71.78</v>
      </c>
      <c r="S2070" s="10">
        <v>71.38</v>
      </c>
      <c r="T2070" s="10">
        <v>70.97</v>
      </c>
      <c r="U2070" s="10">
        <v>70.55</v>
      </c>
      <c r="V2070" s="10">
        <v>70.14</v>
      </c>
      <c r="W2070" s="10">
        <v>69.77</v>
      </c>
      <c r="X2070" s="10">
        <v>69.39</v>
      </c>
      <c r="Y2070" s="10">
        <v>69.02</v>
      </c>
      <c r="Z2070" s="11">
        <v>76.73</v>
      </c>
      <c r="AA2070" s="11">
        <v>75.947000000000003</v>
      </c>
      <c r="AB2070" s="11">
        <v>75.281000000000006</v>
      </c>
      <c r="AC2070" s="11">
        <v>74.715999999999994</v>
      </c>
      <c r="AD2070" s="11">
        <v>74.25</v>
      </c>
      <c r="AE2070" s="11">
        <v>73.819999999999993</v>
      </c>
      <c r="AF2070" s="11">
        <v>73.394999999999996</v>
      </c>
      <c r="AG2070" s="11">
        <v>72.994</v>
      </c>
      <c r="AH2070" s="11">
        <v>72.605999999999995</v>
      </c>
      <c r="AI2070" s="11">
        <v>72.245999999999995</v>
      </c>
      <c r="AJ2070" s="11">
        <v>71.905000000000001</v>
      </c>
      <c r="AK2070" s="11">
        <v>71.578000000000003</v>
      </c>
      <c r="AL2070" s="11"/>
    </row>
    <row r="2071" spans="1:38" x14ac:dyDescent="0.3">
      <c r="A2071" s="9">
        <f>DATE(2025, 1, 6)</f>
        <v>45663</v>
      </c>
      <c r="B2071" s="10">
        <v>76.3</v>
      </c>
      <c r="C2071" s="10">
        <v>75.709999999999994</v>
      </c>
      <c r="D2071" s="10">
        <v>75.239999999999995</v>
      </c>
      <c r="E2071" s="10">
        <v>74.86</v>
      </c>
      <c r="F2071" s="10">
        <v>74.510000000000005</v>
      </c>
      <c r="G2071" s="10">
        <v>74.16</v>
      </c>
      <c r="H2071" s="10">
        <v>73.819999999999993</v>
      </c>
      <c r="I2071" s="10">
        <v>73.489999999999995</v>
      </c>
      <c r="J2071" s="10">
        <v>73.180000000000007</v>
      </c>
      <c r="K2071" s="10">
        <v>72.89</v>
      </c>
      <c r="L2071" s="10">
        <v>72.599999999999994</v>
      </c>
      <c r="M2071" s="10">
        <v>72.319999999999993</v>
      </c>
      <c r="N2071" s="10">
        <v>73.56</v>
      </c>
      <c r="O2071" s="10">
        <v>72.92</v>
      </c>
      <c r="P2071" s="10">
        <v>72.400000000000006</v>
      </c>
      <c r="Q2071" s="10">
        <v>71.989999999999995</v>
      </c>
      <c r="R2071" s="10">
        <v>71.63</v>
      </c>
      <c r="S2071" s="10">
        <v>71.27</v>
      </c>
      <c r="T2071" s="10">
        <v>70.89</v>
      </c>
      <c r="U2071" s="10">
        <v>70.5</v>
      </c>
      <c r="V2071" s="10">
        <v>70.11</v>
      </c>
      <c r="W2071" s="10">
        <v>69.75</v>
      </c>
      <c r="X2071" s="10">
        <v>69.42</v>
      </c>
      <c r="Y2071" s="10">
        <v>69.08</v>
      </c>
      <c r="Z2071" s="11">
        <v>76.463999999999999</v>
      </c>
      <c r="AA2071" s="11">
        <v>75.679000000000002</v>
      </c>
      <c r="AB2071" s="11">
        <v>75.001999999999995</v>
      </c>
      <c r="AC2071" s="11">
        <v>74.442999999999998</v>
      </c>
      <c r="AD2071" s="11">
        <v>73.992000000000004</v>
      </c>
      <c r="AE2071" s="11">
        <v>73.581999999999994</v>
      </c>
      <c r="AF2071" s="11">
        <v>73.191000000000003</v>
      </c>
      <c r="AG2071" s="11">
        <v>72.83</v>
      </c>
      <c r="AH2071" s="11">
        <v>72.489000000000004</v>
      </c>
      <c r="AI2071" s="11">
        <v>72.167000000000002</v>
      </c>
      <c r="AJ2071" s="11">
        <v>71.846000000000004</v>
      </c>
      <c r="AK2071" s="11">
        <v>71.537999999999997</v>
      </c>
      <c r="AL2071" s="11"/>
    </row>
    <row r="2072" spans="1:38" x14ac:dyDescent="0.3">
      <c r="A2072" s="9">
        <f>DATE(2025, 1, 7)</f>
        <v>45664</v>
      </c>
      <c r="B2072" s="10">
        <v>77.05</v>
      </c>
      <c r="C2072" s="10">
        <v>76.400000000000006</v>
      </c>
      <c r="D2072" s="10">
        <v>75.87</v>
      </c>
      <c r="E2072" s="10">
        <v>75.45</v>
      </c>
      <c r="F2072" s="10">
        <v>75.06</v>
      </c>
      <c r="G2072" s="10">
        <v>74.67</v>
      </c>
      <c r="H2072" s="10">
        <v>74.3</v>
      </c>
      <c r="I2072" s="10">
        <v>73.94</v>
      </c>
      <c r="J2072" s="10">
        <v>73.599999999999994</v>
      </c>
      <c r="K2072" s="10">
        <v>73.28</v>
      </c>
      <c r="L2072" s="10">
        <v>72.959999999999994</v>
      </c>
      <c r="M2072" s="10">
        <v>72.67</v>
      </c>
      <c r="N2072" s="10">
        <v>74.25</v>
      </c>
      <c r="O2072" s="10">
        <v>73.569999999999993</v>
      </c>
      <c r="P2072" s="10">
        <v>73.010000000000005</v>
      </c>
      <c r="Q2072" s="10">
        <v>72.56</v>
      </c>
      <c r="R2072" s="10">
        <v>72.16</v>
      </c>
      <c r="S2072" s="10">
        <v>71.77</v>
      </c>
      <c r="T2072" s="10">
        <v>71.349999999999994</v>
      </c>
      <c r="U2072" s="10">
        <v>70.930000000000007</v>
      </c>
      <c r="V2072" s="10">
        <v>70.5</v>
      </c>
      <c r="W2072" s="10">
        <v>70.099999999999994</v>
      </c>
      <c r="X2072" s="10">
        <v>69.73</v>
      </c>
      <c r="Y2072" s="10">
        <v>69.349999999999994</v>
      </c>
      <c r="Z2072" s="11">
        <v>76.911000000000001</v>
      </c>
      <c r="AA2072" s="11">
        <v>76.241</v>
      </c>
      <c r="AB2072" s="11">
        <v>75.557000000000002</v>
      </c>
      <c r="AC2072" s="11">
        <v>74.980999999999995</v>
      </c>
      <c r="AD2072" s="11">
        <v>74.512</v>
      </c>
      <c r="AE2072" s="11">
        <v>74.072000000000003</v>
      </c>
      <c r="AF2072" s="11">
        <v>73.649000000000001</v>
      </c>
      <c r="AG2072" s="11">
        <v>73.254999999999995</v>
      </c>
      <c r="AH2072" s="11">
        <v>72.875</v>
      </c>
      <c r="AI2072" s="11">
        <v>72.516000000000005</v>
      </c>
      <c r="AJ2072" s="11">
        <v>72.165999999999997</v>
      </c>
      <c r="AK2072" s="11">
        <v>71.837000000000003</v>
      </c>
      <c r="AL2072" s="11"/>
    </row>
    <row r="2073" spans="1:38" x14ac:dyDescent="0.3">
      <c r="A2073" s="9">
        <f>DATE(2025, 1, 8)</f>
        <v>45665</v>
      </c>
      <c r="B2073" s="10">
        <v>76.16</v>
      </c>
      <c r="C2073" s="10">
        <v>75.58</v>
      </c>
      <c r="D2073" s="10">
        <v>75.11</v>
      </c>
      <c r="E2073" s="10">
        <v>74.72</v>
      </c>
      <c r="F2073" s="10">
        <v>74.36</v>
      </c>
      <c r="G2073" s="10">
        <v>74</v>
      </c>
      <c r="H2073" s="10">
        <v>73.650000000000006</v>
      </c>
      <c r="I2073" s="10">
        <v>73.31</v>
      </c>
      <c r="J2073" s="10">
        <v>72.989999999999995</v>
      </c>
      <c r="K2073" s="10">
        <v>72.69</v>
      </c>
      <c r="L2073" s="10">
        <v>72.400000000000006</v>
      </c>
      <c r="M2073" s="10">
        <v>72.12</v>
      </c>
      <c r="N2073" s="10">
        <v>73.319999999999993</v>
      </c>
      <c r="O2073" s="10">
        <v>72.67</v>
      </c>
      <c r="P2073" s="10">
        <v>72.16</v>
      </c>
      <c r="Q2073" s="10">
        <v>71.760000000000005</v>
      </c>
      <c r="R2073" s="10">
        <v>71.400000000000006</v>
      </c>
      <c r="S2073" s="10">
        <v>71.03</v>
      </c>
      <c r="T2073" s="10">
        <v>70.650000000000006</v>
      </c>
      <c r="U2073" s="10">
        <v>70.25</v>
      </c>
      <c r="V2073" s="10">
        <v>69.849999999999994</v>
      </c>
      <c r="W2073" s="10">
        <v>69.48</v>
      </c>
      <c r="X2073" s="10">
        <v>69.12</v>
      </c>
      <c r="Y2073" s="10">
        <v>68.77</v>
      </c>
      <c r="Z2073" s="11">
        <v>76.185000000000002</v>
      </c>
      <c r="AA2073" s="11">
        <v>75.325999999999993</v>
      </c>
      <c r="AB2073" s="11">
        <v>74.695999999999998</v>
      </c>
      <c r="AC2073" s="11">
        <v>74.174999999999997</v>
      </c>
      <c r="AD2073" s="11">
        <v>73.724000000000004</v>
      </c>
      <c r="AE2073" s="11">
        <v>73.293000000000006</v>
      </c>
      <c r="AF2073" s="11">
        <v>72.891999999999996</v>
      </c>
      <c r="AG2073" s="11">
        <v>72.531000000000006</v>
      </c>
      <c r="AH2073" s="11">
        <v>72.171999999999997</v>
      </c>
      <c r="AI2073" s="11">
        <v>71.850999999999999</v>
      </c>
      <c r="AJ2073" s="11">
        <v>71.551000000000002</v>
      </c>
      <c r="AK2073" s="11">
        <v>71.23</v>
      </c>
      <c r="AL2073" s="11"/>
    </row>
    <row r="2074" spans="1:38" x14ac:dyDescent="0.3">
      <c r="A2074" s="9">
        <f>DATE(2025, 1, 9)</f>
        <v>45666</v>
      </c>
      <c r="B2074" s="10">
        <v>76.92</v>
      </c>
      <c r="C2074" s="10">
        <v>76.25</v>
      </c>
      <c r="D2074" s="10">
        <v>75.709999999999994</v>
      </c>
      <c r="E2074" s="10">
        <v>75.260000000000005</v>
      </c>
      <c r="F2074" s="10">
        <v>74.849999999999994</v>
      </c>
      <c r="G2074" s="10">
        <v>74.459999999999994</v>
      </c>
      <c r="H2074" s="10">
        <v>74.069999999999993</v>
      </c>
      <c r="I2074" s="10">
        <v>73.709999999999994</v>
      </c>
      <c r="J2074" s="10">
        <v>73.36</v>
      </c>
      <c r="K2074" s="10">
        <v>73.03</v>
      </c>
      <c r="L2074" s="10">
        <v>72.709999999999994</v>
      </c>
      <c r="M2074" s="10">
        <v>72.41</v>
      </c>
      <c r="N2074" s="10">
        <v>73.92</v>
      </c>
      <c r="O2074" s="10">
        <v>73.239999999999995</v>
      </c>
      <c r="P2074" s="10">
        <v>72.7</v>
      </c>
      <c r="Q2074" s="10">
        <v>72.260000000000005</v>
      </c>
      <c r="R2074" s="10">
        <v>71.86</v>
      </c>
      <c r="S2074" s="10">
        <v>71.45</v>
      </c>
      <c r="T2074" s="10">
        <v>71.03</v>
      </c>
      <c r="U2074" s="10">
        <v>70.61</v>
      </c>
      <c r="V2074" s="10">
        <v>70.19</v>
      </c>
      <c r="W2074" s="10">
        <v>69.790000000000006</v>
      </c>
      <c r="X2074" s="10">
        <v>69.42</v>
      </c>
      <c r="Y2074" s="10">
        <v>69.05</v>
      </c>
      <c r="Z2074" s="11">
        <v>76.828000000000003</v>
      </c>
      <c r="AA2074" s="11">
        <v>76.119</v>
      </c>
      <c r="AB2074" s="11">
        <v>75.421999999999997</v>
      </c>
      <c r="AC2074" s="11">
        <v>74.83</v>
      </c>
      <c r="AD2074" s="11">
        <v>74.311999999999998</v>
      </c>
      <c r="AE2074" s="11">
        <v>73.850999999999999</v>
      </c>
      <c r="AF2074" s="11">
        <v>73.414000000000001</v>
      </c>
      <c r="AG2074" s="11">
        <v>73.028000000000006</v>
      </c>
      <c r="AH2074" s="11">
        <v>72.650000000000006</v>
      </c>
      <c r="AI2074" s="11">
        <v>72.281000000000006</v>
      </c>
      <c r="AJ2074" s="11">
        <v>71.92</v>
      </c>
      <c r="AK2074" s="11">
        <v>71.605999999999995</v>
      </c>
      <c r="AL2074" s="11"/>
    </row>
    <row r="2075" spans="1:38" x14ac:dyDescent="0.3">
      <c r="A2075" s="9">
        <f>DATE(2025, 1, 10)</f>
        <v>45667</v>
      </c>
      <c r="B2075" s="10">
        <v>79.760000000000005</v>
      </c>
      <c r="C2075" s="10">
        <v>78.849999999999994</v>
      </c>
      <c r="D2075" s="10">
        <v>78.06</v>
      </c>
      <c r="E2075" s="10">
        <v>77.37</v>
      </c>
      <c r="F2075" s="10">
        <v>76.75</v>
      </c>
      <c r="G2075" s="10">
        <v>76.17</v>
      </c>
      <c r="H2075" s="10">
        <v>75.64</v>
      </c>
      <c r="I2075" s="10">
        <v>75.14</v>
      </c>
      <c r="J2075" s="10">
        <v>74.69</v>
      </c>
      <c r="K2075" s="10">
        <v>74.27</v>
      </c>
      <c r="L2075" s="10">
        <v>73.87</v>
      </c>
      <c r="M2075" s="10">
        <v>73.5</v>
      </c>
      <c r="N2075" s="10">
        <v>76.569999999999993</v>
      </c>
      <c r="O2075" s="10">
        <v>75.75</v>
      </c>
      <c r="P2075" s="10">
        <v>75</v>
      </c>
      <c r="Q2075" s="10">
        <v>74.33</v>
      </c>
      <c r="R2075" s="10">
        <v>73.709999999999994</v>
      </c>
      <c r="S2075" s="10">
        <v>73.11</v>
      </c>
      <c r="T2075" s="10">
        <v>72.52</v>
      </c>
      <c r="U2075" s="10">
        <v>71.95</v>
      </c>
      <c r="V2075" s="10">
        <v>71.39</v>
      </c>
      <c r="W2075" s="10">
        <v>70.88</v>
      </c>
      <c r="X2075" s="10">
        <v>70.41</v>
      </c>
      <c r="Y2075" s="10">
        <v>69.959999999999994</v>
      </c>
      <c r="Z2075" s="11">
        <v>78.8</v>
      </c>
      <c r="AA2075" s="11">
        <v>78.950999999999993</v>
      </c>
      <c r="AB2075" s="11">
        <v>77.986000000000004</v>
      </c>
      <c r="AC2075" s="11">
        <v>77.141999999999996</v>
      </c>
      <c r="AD2075" s="11">
        <v>76.393000000000001</v>
      </c>
      <c r="AE2075" s="11">
        <v>75.724999999999994</v>
      </c>
      <c r="AF2075" s="11">
        <v>75.128</v>
      </c>
      <c r="AG2075" s="11">
        <v>74.588999999999999</v>
      </c>
      <c r="AH2075" s="11">
        <v>74.100999999999999</v>
      </c>
      <c r="AI2075" s="11">
        <v>73.662999999999997</v>
      </c>
      <c r="AJ2075" s="11">
        <v>73.231999999999999</v>
      </c>
      <c r="AK2075" s="11">
        <v>72.819999999999993</v>
      </c>
      <c r="AL2075" s="11"/>
    </row>
    <row r="2076" spans="1:38" x14ac:dyDescent="0.3">
      <c r="A2076" s="9">
        <f>DATE(2025, 1, 13)</f>
        <v>45670</v>
      </c>
      <c r="B2076" s="10">
        <v>81.010000000000005</v>
      </c>
      <c r="C2076" s="10">
        <v>79.650000000000006</v>
      </c>
      <c r="D2076" s="10">
        <v>78.52</v>
      </c>
      <c r="E2076" s="10">
        <v>77.59</v>
      </c>
      <c r="F2076" s="10">
        <v>76.8</v>
      </c>
      <c r="G2076" s="10">
        <v>76.11</v>
      </c>
      <c r="H2076" s="10">
        <v>75.48</v>
      </c>
      <c r="I2076" s="10">
        <v>74.91</v>
      </c>
      <c r="J2076" s="10">
        <v>74.400000000000006</v>
      </c>
      <c r="K2076" s="10">
        <v>73.94</v>
      </c>
      <c r="L2076" s="10">
        <v>73.52</v>
      </c>
      <c r="M2076" s="10">
        <v>73.13</v>
      </c>
      <c r="N2076" s="10">
        <v>78.819999999999993</v>
      </c>
      <c r="O2076" s="10">
        <v>77.3</v>
      </c>
      <c r="P2076" s="10">
        <v>75.900000000000006</v>
      </c>
      <c r="Q2076" s="10">
        <v>74.77</v>
      </c>
      <c r="R2076" s="10">
        <v>73.83</v>
      </c>
      <c r="S2076" s="10">
        <v>73</v>
      </c>
      <c r="T2076" s="10">
        <v>72.260000000000005</v>
      </c>
      <c r="U2076" s="10">
        <v>71.59</v>
      </c>
      <c r="V2076" s="10">
        <v>70.97</v>
      </c>
      <c r="W2076" s="10">
        <v>70.44</v>
      </c>
      <c r="X2076" s="10">
        <v>69.959999999999994</v>
      </c>
      <c r="Y2076" s="10">
        <v>69.5</v>
      </c>
      <c r="Z2076" s="11">
        <v>79.92</v>
      </c>
      <c r="AA2076" s="11">
        <v>80.114000000000004</v>
      </c>
      <c r="AB2076" s="11">
        <v>78.736000000000004</v>
      </c>
      <c r="AC2076" s="11">
        <v>77.549000000000007</v>
      </c>
      <c r="AD2076" s="11">
        <v>76.619</v>
      </c>
      <c r="AE2076" s="11">
        <v>75.825000000000003</v>
      </c>
      <c r="AF2076" s="11">
        <v>75.125</v>
      </c>
      <c r="AG2076" s="11">
        <v>74.510000000000005</v>
      </c>
      <c r="AH2076" s="11">
        <v>73.948999999999998</v>
      </c>
      <c r="AI2076" s="11">
        <v>73.477000000000004</v>
      </c>
      <c r="AJ2076" s="11">
        <v>73.025999999999996</v>
      </c>
      <c r="AK2076" s="11">
        <v>72.603999999999999</v>
      </c>
      <c r="AL2076" s="11"/>
    </row>
    <row r="2077" spans="1:38" x14ac:dyDescent="0.3">
      <c r="A2077" s="9">
        <f>DATE(2025, 1, 14)</f>
        <v>45671</v>
      </c>
      <c r="B2077" s="10">
        <v>79.92</v>
      </c>
      <c r="C2077" s="10">
        <v>78.88</v>
      </c>
      <c r="D2077" s="10">
        <v>77.930000000000007</v>
      </c>
      <c r="E2077" s="10">
        <v>77.13</v>
      </c>
      <c r="F2077" s="10">
        <v>76.459999999999994</v>
      </c>
      <c r="G2077" s="10">
        <v>75.88</v>
      </c>
      <c r="H2077" s="10">
        <v>75.34</v>
      </c>
      <c r="I2077" s="10">
        <v>74.849999999999994</v>
      </c>
      <c r="J2077" s="10">
        <v>74.400000000000006</v>
      </c>
      <c r="K2077" s="10">
        <v>73.989999999999995</v>
      </c>
      <c r="L2077" s="10">
        <v>73.599999999999994</v>
      </c>
      <c r="M2077" s="10">
        <v>73.260000000000005</v>
      </c>
      <c r="N2077" s="10">
        <v>77.5</v>
      </c>
      <c r="O2077" s="10">
        <v>76.37</v>
      </c>
      <c r="P2077" s="10">
        <v>75.25</v>
      </c>
      <c r="Q2077" s="10">
        <v>74.319999999999993</v>
      </c>
      <c r="R2077" s="10">
        <v>73.55</v>
      </c>
      <c r="S2077" s="10">
        <v>72.849999999999994</v>
      </c>
      <c r="T2077" s="10">
        <v>72.209999999999994</v>
      </c>
      <c r="U2077" s="10">
        <v>71.63</v>
      </c>
      <c r="V2077" s="10">
        <v>71.08</v>
      </c>
      <c r="W2077" s="10">
        <v>70.599999999999994</v>
      </c>
      <c r="X2077" s="10">
        <v>70.17</v>
      </c>
      <c r="Y2077" s="10">
        <v>69.760000000000005</v>
      </c>
      <c r="Z2077" s="11">
        <v>79.855000000000004</v>
      </c>
      <c r="AA2077" s="11">
        <v>79.488</v>
      </c>
      <c r="AB2077" s="11">
        <v>78.100999999999999</v>
      </c>
      <c r="AC2077" s="11">
        <v>76.962000000000003</v>
      </c>
      <c r="AD2077" s="11">
        <v>76.108000000000004</v>
      </c>
      <c r="AE2077" s="11">
        <v>75.388000000000005</v>
      </c>
      <c r="AF2077" s="11">
        <v>74.753</v>
      </c>
      <c r="AG2077" s="11">
        <v>74.231999999999999</v>
      </c>
      <c r="AH2077" s="11">
        <v>73.748000000000005</v>
      </c>
      <c r="AI2077" s="11">
        <v>73.302999999999997</v>
      </c>
      <c r="AJ2077" s="11">
        <v>72.893000000000001</v>
      </c>
      <c r="AK2077" s="11">
        <v>72.518000000000001</v>
      </c>
      <c r="AL2077" s="11"/>
    </row>
    <row r="2078" spans="1:38" x14ac:dyDescent="0.3">
      <c r="A2078" s="9">
        <f>DATE(2025, 1, 15)</f>
        <v>45672</v>
      </c>
      <c r="B2078" s="10">
        <v>82.03</v>
      </c>
      <c r="C2078" s="10">
        <v>80.66</v>
      </c>
      <c r="D2078" s="10">
        <v>79.48</v>
      </c>
      <c r="E2078" s="10">
        <v>78.5</v>
      </c>
      <c r="F2078" s="10">
        <v>77.69</v>
      </c>
      <c r="G2078" s="10">
        <v>76.98</v>
      </c>
      <c r="H2078" s="10">
        <v>76.34</v>
      </c>
      <c r="I2078" s="10">
        <v>75.760000000000005</v>
      </c>
      <c r="J2078" s="10">
        <v>75.239999999999995</v>
      </c>
      <c r="K2078" s="10">
        <v>74.760000000000005</v>
      </c>
      <c r="L2078" s="10">
        <v>74.33</v>
      </c>
      <c r="M2078" s="10">
        <v>73.930000000000007</v>
      </c>
      <c r="N2078" s="10">
        <v>80.040000000000006</v>
      </c>
      <c r="O2078" s="10">
        <v>78.709999999999994</v>
      </c>
      <c r="P2078" s="10">
        <v>77.239999999999995</v>
      </c>
      <c r="Q2078" s="10">
        <v>76.02</v>
      </c>
      <c r="R2078" s="10">
        <v>75.02</v>
      </c>
      <c r="S2078" s="10">
        <v>74.16</v>
      </c>
      <c r="T2078" s="10">
        <v>73.37</v>
      </c>
      <c r="U2078" s="10">
        <v>72.66</v>
      </c>
      <c r="V2078" s="10">
        <v>72.010000000000005</v>
      </c>
      <c r="W2078" s="10">
        <v>71.44</v>
      </c>
      <c r="X2078" s="10">
        <v>70.930000000000007</v>
      </c>
      <c r="Y2078" s="10">
        <v>70.459999999999994</v>
      </c>
      <c r="Z2078" s="11">
        <v>80.884</v>
      </c>
      <c r="AA2078" s="11">
        <v>81.313000000000002</v>
      </c>
      <c r="AB2078" s="11">
        <v>79.792000000000002</v>
      </c>
      <c r="AC2078" s="11">
        <v>78.528000000000006</v>
      </c>
      <c r="AD2078" s="11">
        <v>77.575000000000003</v>
      </c>
      <c r="AE2078" s="11">
        <v>76.772000000000006</v>
      </c>
      <c r="AF2078" s="11">
        <v>76.081999999999994</v>
      </c>
      <c r="AG2078" s="11">
        <v>75.492000000000004</v>
      </c>
      <c r="AH2078" s="11">
        <v>74.941999999999993</v>
      </c>
      <c r="AI2078" s="11">
        <v>74.438000000000002</v>
      </c>
      <c r="AJ2078" s="11">
        <v>73.992000000000004</v>
      </c>
      <c r="AK2078" s="11">
        <v>73.561999999999998</v>
      </c>
      <c r="AL2078" s="11"/>
    </row>
    <row r="2079" spans="1:38" x14ac:dyDescent="0.3">
      <c r="A2079" s="9">
        <f>DATE(2025, 1, 16)</f>
        <v>45673</v>
      </c>
      <c r="B2079" s="10">
        <v>81.290000000000006</v>
      </c>
      <c r="C2079" s="10">
        <v>79.91</v>
      </c>
      <c r="D2079" s="10">
        <v>78.72</v>
      </c>
      <c r="E2079" s="10">
        <v>77.739999999999995</v>
      </c>
      <c r="F2079" s="10">
        <v>76.94</v>
      </c>
      <c r="G2079" s="10">
        <v>76.239999999999995</v>
      </c>
      <c r="H2079" s="10">
        <v>75.61</v>
      </c>
      <c r="I2079" s="10">
        <v>75.040000000000006</v>
      </c>
      <c r="J2079" s="10">
        <v>74.510000000000005</v>
      </c>
      <c r="K2079" s="10">
        <v>74.040000000000006</v>
      </c>
      <c r="L2079" s="10">
        <v>73.61</v>
      </c>
      <c r="M2079" s="10">
        <v>73.23</v>
      </c>
      <c r="N2079" s="10">
        <v>78.680000000000007</v>
      </c>
      <c r="O2079" s="10">
        <v>77.849999999999994</v>
      </c>
      <c r="P2079" s="10">
        <v>76.459999999999994</v>
      </c>
      <c r="Q2079" s="10">
        <v>75.260000000000005</v>
      </c>
      <c r="R2079" s="10">
        <v>74.27</v>
      </c>
      <c r="S2079" s="10">
        <v>73.44</v>
      </c>
      <c r="T2079" s="10">
        <v>72.67</v>
      </c>
      <c r="U2079" s="10">
        <v>71.959999999999994</v>
      </c>
      <c r="V2079" s="10">
        <v>71.3</v>
      </c>
      <c r="W2079" s="10">
        <v>70.73</v>
      </c>
      <c r="X2079" s="10">
        <v>70.22</v>
      </c>
      <c r="Y2079" s="10">
        <v>69.760000000000005</v>
      </c>
      <c r="Z2079" s="11">
        <v>81.063000000000002</v>
      </c>
      <c r="AA2079" s="11">
        <v>80.984999999999999</v>
      </c>
      <c r="AB2079" s="11">
        <v>79.210999999999999</v>
      </c>
      <c r="AC2079" s="11">
        <v>77.846999999999994</v>
      </c>
      <c r="AD2079" s="11">
        <v>76.847999999999999</v>
      </c>
      <c r="AE2079" s="11">
        <v>76.055000000000007</v>
      </c>
      <c r="AF2079" s="11">
        <v>75.344999999999999</v>
      </c>
      <c r="AG2079" s="11">
        <v>74.745000000000005</v>
      </c>
      <c r="AH2079" s="11">
        <v>74.194000000000003</v>
      </c>
      <c r="AI2079" s="11">
        <v>73.700999999999993</v>
      </c>
      <c r="AJ2079" s="11">
        <v>73.251000000000005</v>
      </c>
      <c r="AK2079" s="11">
        <v>72.840999999999994</v>
      </c>
      <c r="AL2079" s="11"/>
    </row>
    <row r="2080" spans="1:38" x14ac:dyDescent="0.3">
      <c r="A2080" s="9">
        <f>DATE(2025, 1, 17)</f>
        <v>45674</v>
      </c>
      <c r="B2080" s="10">
        <v>80.790000000000006</v>
      </c>
      <c r="C2080" s="10">
        <v>79.569999999999993</v>
      </c>
      <c r="D2080" s="10">
        <v>78.430000000000007</v>
      </c>
      <c r="E2080" s="10">
        <v>77.45</v>
      </c>
      <c r="F2080" s="10">
        <v>76.66</v>
      </c>
      <c r="G2080" s="10">
        <v>75.98</v>
      </c>
      <c r="H2080" s="10">
        <v>75.349999999999994</v>
      </c>
      <c r="I2080" s="10">
        <v>74.790000000000006</v>
      </c>
      <c r="J2080" s="10">
        <v>74.260000000000005</v>
      </c>
      <c r="K2080" s="10">
        <v>73.8</v>
      </c>
      <c r="L2080" s="10">
        <v>73.38</v>
      </c>
      <c r="M2080" s="10">
        <v>73</v>
      </c>
      <c r="N2080" s="10">
        <v>77.88</v>
      </c>
      <c r="O2080" s="10">
        <v>77.39</v>
      </c>
      <c r="P2080" s="10">
        <v>76.16</v>
      </c>
      <c r="Q2080" s="10">
        <v>75.05</v>
      </c>
      <c r="R2080" s="10">
        <v>74.08</v>
      </c>
      <c r="S2080" s="10">
        <v>73.239999999999995</v>
      </c>
      <c r="T2080" s="10">
        <v>72.48</v>
      </c>
      <c r="U2080" s="10">
        <v>71.78</v>
      </c>
      <c r="V2080" s="10">
        <v>71.12</v>
      </c>
      <c r="W2080" s="10">
        <v>70.540000000000006</v>
      </c>
      <c r="X2080" s="10">
        <v>70.040000000000006</v>
      </c>
      <c r="Y2080" s="10">
        <v>69.59</v>
      </c>
      <c r="Z2080" s="11">
        <v>81.066999999999993</v>
      </c>
      <c r="AA2080" s="11">
        <v>80.781000000000006</v>
      </c>
      <c r="AB2080" s="11">
        <v>78.878</v>
      </c>
      <c r="AC2080" s="11">
        <v>77.534000000000006</v>
      </c>
      <c r="AD2080" s="11">
        <v>76.569999999999993</v>
      </c>
      <c r="AE2080" s="11">
        <v>75.796000000000006</v>
      </c>
      <c r="AF2080" s="11">
        <v>75.096000000000004</v>
      </c>
      <c r="AG2080" s="11">
        <v>74.504999999999995</v>
      </c>
      <c r="AH2080" s="11">
        <v>73.959000000000003</v>
      </c>
      <c r="AI2080" s="11">
        <v>73.451999999999998</v>
      </c>
      <c r="AJ2080" s="11">
        <v>73.001000000000005</v>
      </c>
      <c r="AK2080" s="11">
        <v>72.591999999999999</v>
      </c>
      <c r="AL2080" s="11"/>
    </row>
    <row r="2081" spans="1:38" x14ac:dyDescent="0.3">
      <c r="A2081" s="9">
        <f>DATE(2025, 1, 20)</f>
        <v>45677</v>
      </c>
      <c r="B2081" s="10">
        <v>80.150000000000006</v>
      </c>
      <c r="C2081" s="10">
        <v>79.099999999999994</v>
      </c>
      <c r="D2081" s="10">
        <v>78.13</v>
      </c>
      <c r="E2081" s="10">
        <v>77.260000000000005</v>
      </c>
      <c r="F2081" s="10">
        <v>76.540000000000006</v>
      </c>
      <c r="G2081" s="10">
        <v>75.91</v>
      </c>
      <c r="H2081" s="10">
        <v>75.33</v>
      </c>
      <c r="I2081" s="10">
        <v>74.81</v>
      </c>
      <c r="J2081" s="10">
        <v>74.33</v>
      </c>
      <c r="K2081" s="10">
        <v>73.900000000000006</v>
      </c>
      <c r="L2081" s="10">
        <v>73.510000000000005</v>
      </c>
      <c r="M2081" s="10">
        <v>73.16</v>
      </c>
      <c r="N2081" s="10">
        <v>77.88</v>
      </c>
      <c r="O2081" s="10">
        <v>77.39</v>
      </c>
      <c r="P2081" s="10">
        <v>76.16</v>
      </c>
      <c r="Q2081" s="10">
        <v>75.05</v>
      </c>
      <c r="R2081" s="10">
        <v>74.08</v>
      </c>
      <c r="S2081" s="10">
        <v>73.239999999999995</v>
      </c>
      <c r="T2081" s="10">
        <v>72.48</v>
      </c>
      <c r="U2081" s="10">
        <v>71.78</v>
      </c>
      <c r="V2081" s="10">
        <v>71.12</v>
      </c>
      <c r="W2081" s="10">
        <v>70.540000000000006</v>
      </c>
      <c r="X2081" s="10">
        <v>70.040000000000006</v>
      </c>
      <c r="Y2081" s="10">
        <v>69.59</v>
      </c>
      <c r="Z2081" s="11">
        <v>81.048000000000002</v>
      </c>
      <c r="AA2081" s="11">
        <v>80.632000000000005</v>
      </c>
      <c r="AB2081" s="11">
        <v>78.56</v>
      </c>
      <c r="AC2081" s="11">
        <v>77.281000000000006</v>
      </c>
      <c r="AD2081" s="11">
        <v>76.400999999999996</v>
      </c>
      <c r="AE2081" s="11">
        <v>75.671999999999997</v>
      </c>
      <c r="AF2081" s="11">
        <v>75.016999999999996</v>
      </c>
      <c r="AG2081" s="11">
        <v>74.456999999999994</v>
      </c>
      <c r="AH2081" s="11">
        <v>73.94</v>
      </c>
      <c r="AI2081" s="11">
        <v>73.472999999999999</v>
      </c>
      <c r="AJ2081" s="11">
        <v>73.052999999999997</v>
      </c>
      <c r="AK2081" s="11">
        <v>72.674000000000007</v>
      </c>
      <c r="AL2081" s="11"/>
    </row>
    <row r="2082" spans="1:38" x14ac:dyDescent="0.3">
      <c r="A2082" s="9">
        <f>DATE(2025, 1, 21)</f>
        <v>45678</v>
      </c>
      <c r="B2082" s="10">
        <v>79.290000000000006</v>
      </c>
      <c r="C2082" s="10">
        <v>78.400000000000006</v>
      </c>
      <c r="D2082" s="10">
        <v>77.58</v>
      </c>
      <c r="E2082" s="10">
        <v>76.81</v>
      </c>
      <c r="F2082" s="10">
        <v>76.16</v>
      </c>
      <c r="G2082" s="10">
        <v>75.58</v>
      </c>
      <c r="H2082" s="10">
        <v>75.040000000000006</v>
      </c>
      <c r="I2082" s="10">
        <v>74.540000000000006</v>
      </c>
      <c r="J2082" s="10">
        <v>74.069999999999993</v>
      </c>
      <c r="K2082" s="10">
        <v>73.650000000000006</v>
      </c>
      <c r="L2082" s="10">
        <v>73.260000000000005</v>
      </c>
      <c r="M2082" s="10">
        <v>72.91</v>
      </c>
      <c r="N2082" s="10">
        <v>75.89</v>
      </c>
      <c r="O2082" s="10">
        <v>75.83</v>
      </c>
      <c r="P2082" s="10">
        <v>75</v>
      </c>
      <c r="Q2082" s="10">
        <v>74.16</v>
      </c>
      <c r="R2082" s="10">
        <v>73.36</v>
      </c>
      <c r="S2082" s="10">
        <v>72.66</v>
      </c>
      <c r="T2082" s="10">
        <v>72</v>
      </c>
      <c r="U2082" s="10">
        <v>71.39</v>
      </c>
      <c r="V2082" s="10">
        <v>70.81</v>
      </c>
      <c r="W2082" s="10">
        <v>70.31</v>
      </c>
      <c r="X2082" s="10">
        <v>69.849999999999994</v>
      </c>
      <c r="Y2082" s="10">
        <v>69.430000000000007</v>
      </c>
      <c r="Z2082" s="11">
        <v>80.7</v>
      </c>
      <c r="AA2082" s="11">
        <v>79.826999999999998</v>
      </c>
      <c r="AB2082" s="11">
        <v>77.795000000000002</v>
      </c>
      <c r="AC2082" s="11">
        <v>76.676000000000002</v>
      </c>
      <c r="AD2082" s="11">
        <v>75.936000000000007</v>
      </c>
      <c r="AE2082" s="11">
        <v>75.283000000000001</v>
      </c>
      <c r="AF2082" s="11">
        <v>74.680999999999997</v>
      </c>
      <c r="AG2082" s="11">
        <v>74.144999999999996</v>
      </c>
      <c r="AH2082" s="11">
        <v>73.638000000000005</v>
      </c>
      <c r="AI2082" s="11">
        <v>73.177999999999997</v>
      </c>
      <c r="AJ2082" s="11">
        <v>72.748000000000005</v>
      </c>
      <c r="AK2082" s="11">
        <v>72.349000000000004</v>
      </c>
      <c r="AL2082" s="11"/>
    </row>
    <row r="2083" spans="1:38" x14ac:dyDescent="0.3">
      <c r="A2083" s="9">
        <f>DATE(2025, 1, 22)</f>
        <v>45679</v>
      </c>
      <c r="B2083" s="10">
        <v>79</v>
      </c>
      <c r="C2083" s="10">
        <v>78.150000000000006</v>
      </c>
      <c r="D2083" s="10">
        <v>77.37</v>
      </c>
      <c r="E2083" s="10">
        <v>76.67</v>
      </c>
      <c r="F2083" s="10">
        <v>76.069999999999993</v>
      </c>
      <c r="G2083" s="10">
        <v>75.53</v>
      </c>
      <c r="H2083" s="10">
        <v>75.03</v>
      </c>
      <c r="I2083" s="10">
        <v>74.56</v>
      </c>
      <c r="J2083" s="10">
        <v>74.12</v>
      </c>
      <c r="K2083" s="10">
        <v>73.709999999999994</v>
      </c>
      <c r="L2083" s="10">
        <v>73.33</v>
      </c>
      <c r="M2083" s="10">
        <v>72.98</v>
      </c>
      <c r="N2083" s="10">
        <v>75.44</v>
      </c>
      <c r="O2083" s="10">
        <v>74.69</v>
      </c>
      <c r="P2083" s="10">
        <v>73.98</v>
      </c>
      <c r="Q2083" s="10">
        <v>73.27</v>
      </c>
      <c r="R2083" s="10">
        <v>72.63</v>
      </c>
      <c r="S2083" s="10">
        <v>72.02</v>
      </c>
      <c r="T2083" s="10">
        <v>71.459999999999994</v>
      </c>
      <c r="U2083" s="10">
        <v>70.92</v>
      </c>
      <c r="V2083" s="10">
        <v>70.430000000000007</v>
      </c>
      <c r="W2083" s="10">
        <v>69.98</v>
      </c>
      <c r="X2083" s="10">
        <v>69.569999999999993</v>
      </c>
      <c r="Y2083" s="10">
        <v>69.2</v>
      </c>
      <c r="Z2083" s="11">
        <v>80.745999999999995</v>
      </c>
      <c r="AA2083" s="11">
        <v>79.781000000000006</v>
      </c>
      <c r="AB2083" s="11">
        <v>77.677000000000007</v>
      </c>
      <c r="AC2083" s="11">
        <v>76.602999999999994</v>
      </c>
      <c r="AD2083" s="11">
        <v>75.864999999999995</v>
      </c>
      <c r="AE2083" s="11">
        <v>75.225999999999999</v>
      </c>
      <c r="AF2083" s="11">
        <v>74.650000000000006</v>
      </c>
      <c r="AG2083" s="11">
        <v>74.168999999999997</v>
      </c>
      <c r="AH2083" s="11">
        <v>73.710999999999999</v>
      </c>
      <c r="AI2083" s="11">
        <v>73.272999999999996</v>
      </c>
      <c r="AJ2083" s="11">
        <v>72.873000000000005</v>
      </c>
      <c r="AK2083" s="11">
        <v>72.504000000000005</v>
      </c>
      <c r="AL2083" s="11"/>
    </row>
    <row r="2084" spans="1:38" x14ac:dyDescent="0.3">
      <c r="A2084" s="9">
        <f>DATE(2025, 1, 23)</f>
        <v>45680</v>
      </c>
      <c r="B2084" s="10">
        <v>78.290000000000006</v>
      </c>
      <c r="C2084" s="10">
        <v>77.56</v>
      </c>
      <c r="D2084" s="10">
        <v>76.91</v>
      </c>
      <c r="E2084" s="10">
        <v>76.290000000000006</v>
      </c>
      <c r="F2084" s="10">
        <v>75.75</v>
      </c>
      <c r="G2084" s="10">
        <v>75.260000000000005</v>
      </c>
      <c r="H2084" s="10">
        <v>74.790000000000006</v>
      </c>
      <c r="I2084" s="10">
        <v>74.36</v>
      </c>
      <c r="J2084" s="10">
        <v>73.95</v>
      </c>
      <c r="K2084" s="10">
        <v>73.56</v>
      </c>
      <c r="L2084" s="10">
        <v>73.19</v>
      </c>
      <c r="M2084" s="10">
        <v>72.86</v>
      </c>
      <c r="N2084" s="10">
        <v>74.62</v>
      </c>
      <c r="O2084" s="10">
        <v>74.02</v>
      </c>
      <c r="P2084" s="10">
        <v>73.44</v>
      </c>
      <c r="Q2084" s="10">
        <v>72.87</v>
      </c>
      <c r="R2084" s="10">
        <v>72.3</v>
      </c>
      <c r="S2084" s="10">
        <v>71.739999999999995</v>
      </c>
      <c r="T2084" s="10">
        <v>71.209999999999994</v>
      </c>
      <c r="U2084" s="10">
        <v>70.69</v>
      </c>
      <c r="V2084" s="10">
        <v>70.22</v>
      </c>
      <c r="W2084" s="10">
        <v>69.78</v>
      </c>
      <c r="X2084" s="10">
        <v>69.38</v>
      </c>
      <c r="Y2084" s="10">
        <v>69.02</v>
      </c>
      <c r="Z2084" s="11">
        <v>80.650999999999996</v>
      </c>
      <c r="AA2084" s="11">
        <v>79.647999999999996</v>
      </c>
      <c r="AB2084" s="11">
        <v>77.37</v>
      </c>
      <c r="AC2084" s="11">
        <v>76.378</v>
      </c>
      <c r="AD2084" s="11">
        <v>75.683999999999997</v>
      </c>
      <c r="AE2084" s="11">
        <v>75.073999999999998</v>
      </c>
      <c r="AF2084" s="11">
        <v>74.521000000000001</v>
      </c>
      <c r="AG2084" s="11">
        <v>74.05</v>
      </c>
      <c r="AH2084" s="11">
        <v>73.602000000000004</v>
      </c>
      <c r="AI2084" s="11">
        <v>73.183999999999997</v>
      </c>
      <c r="AJ2084" s="11">
        <v>72.784000000000006</v>
      </c>
      <c r="AK2084" s="11">
        <v>72.424999999999997</v>
      </c>
      <c r="AL2084" s="11"/>
    </row>
    <row r="2085" spans="1:38" x14ac:dyDescent="0.3">
      <c r="A2085" s="9">
        <f>DATE(2025, 1, 24)</f>
        <v>45681</v>
      </c>
      <c r="B2085" s="10">
        <v>78.5</v>
      </c>
      <c r="C2085" s="10">
        <v>77.55</v>
      </c>
      <c r="D2085" s="10">
        <v>76.790000000000006</v>
      </c>
      <c r="E2085" s="10">
        <v>76.13</v>
      </c>
      <c r="F2085" s="10">
        <v>75.56</v>
      </c>
      <c r="G2085" s="10">
        <v>75.05</v>
      </c>
      <c r="H2085" s="10">
        <v>74.569999999999993</v>
      </c>
      <c r="I2085" s="10">
        <v>74.12</v>
      </c>
      <c r="J2085" s="10">
        <v>73.7</v>
      </c>
      <c r="K2085" s="10">
        <v>73.31</v>
      </c>
      <c r="L2085" s="10">
        <v>72.94</v>
      </c>
      <c r="M2085" s="10">
        <v>72.61</v>
      </c>
      <c r="N2085" s="10">
        <v>74.66</v>
      </c>
      <c r="O2085" s="10">
        <v>73.959999999999994</v>
      </c>
      <c r="P2085" s="10">
        <v>73.31</v>
      </c>
      <c r="Q2085" s="10">
        <v>72.680000000000007</v>
      </c>
      <c r="R2085" s="10">
        <v>72.09</v>
      </c>
      <c r="S2085" s="10">
        <v>71.52</v>
      </c>
      <c r="T2085" s="10">
        <v>70.97</v>
      </c>
      <c r="U2085" s="10">
        <v>70.44</v>
      </c>
      <c r="V2085" s="10">
        <v>69.959999999999994</v>
      </c>
      <c r="W2085" s="10">
        <v>69.52</v>
      </c>
      <c r="X2085" s="10">
        <v>69.12</v>
      </c>
      <c r="Y2085" s="10">
        <v>68.760000000000005</v>
      </c>
      <c r="Z2085" s="11">
        <v>80.635000000000005</v>
      </c>
      <c r="AA2085" s="11">
        <v>79.706999999999994</v>
      </c>
      <c r="AB2085" s="11">
        <v>77.254000000000005</v>
      </c>
      <c r="AC2085" s="11">
        <v>76.257999999999996</v>
      </c>
      <c r="AD2085" s="11">
        <v>75.554000000000002</v>
      </c>
      <c r="AE2085" s="11">
        <v>74.912000000000006</v>
      </c>
      <c r="AF2085" s="11">
        <v>74.344999999999999</v>
      </c>
      <c r="AG2085" s="11">
        <v>73.855000000000004</v>
      </c>
      <c r="AH2085" s="11">
        <v>73.397000000000006</v>
      </c>
      <c r="AI2085" s="11">
        <v>72.974000000000004</v>
      </c>
      <c r="AJ2085" s="11">
        <v>72.584000000000003</v>
      </c>
      <c r="AK2085" s="11">
        <v>72.213999999999999</v>
      </c>
      <c r="AL2085" s="11"/>
    </row>
    <row r="2086" spans="1:38" x14ac:dyDescent="0.3">
      <c r="A2086" s="9">
        <f>DATE(2025, 1, 27)</f>
        <v>45684</v>
      </c>
      <c r="B2086" s="10">
        <v>77.08</v>
      </c>
      <c r="C2086" s="10">
        <v>76.180000000000007</v>
      </c>
      <c r="D2086" s="10">
        <v>75.42</v>
      </c>
      <c r="E2086" s="10">
        <v>74.760000000000005</v>
      </c>
      <c r="F2086" s="10">
        <v>74.209999999999994</v>
      </c>
      <c r="G2086" s="10">
        <v>73.73</v>
      </c>
      <c r="H2086" s="10">
        <v>73.28</v>
      </c>
      <c r="I2086" s="10">
        <v>72.86</v>
      </c>
      <c r="J2086" s="10">
        <v>72.47</v>
      </c>
      <c r="K2086" s="10">
        <v>72.12</v>
      </c>
      <c r="L2086" s="10">
        <v>71.790000000000006</v>
      </c>
      <c r="M2086" s="10">
        <v>71.489999999999995</v>
      </c>
      <c r="N2086" s="10">
        <v>73.17</v>
      </c>
      <c r="O2086" s="10">
        <v>72.5</v>
      </c>
      <c r="P2086" s="10">
        <v>71.87</v>
      </c>
      <c r="Q2086" s="10">
        <v>71.28</v>
      </c>
      <c r="R2086" s="10">
        <v>70.73</v>
      </c>
      <c r="S2086" s="10">
        <v>70.209999999999994</v>
      </c>
      <c r="T2086" s="10">
        <v>69.709999999999994</v>
      </c>
      <c r="U2086" s="10">
        <v>69.22</v>
      </c>
      <c r="V2086" s="10">
        <v>68.790000000000006</v>
      </c>
      <c r="W2086" s="10">
        <v>68.38</v>
      </c>
      <c r="X2086" s="10">
        <v>68.02</v>
      </c>
      <c r="Y2086" s="10">
        <v>67.69</v>
      </c>
      <c r="Z2086" s="11">
        <v>80.483999999999995</v>
      </c>
      <c r="AA2086" s="11">
        <v>78.611999999999995</v>
      </c>
      <c r="AB2086" s="11">
        <v>76.001999999999995</v>
      </c>
      <c r="AC2086" s="11">
        <v>74.951999999999998</v>
      </c>
      <c r="AD2086" s="11">
        <v>74.222999999999999</v>
      </c>
      <c r="AE2086" s="11">
        <v>73.563999999999993</v>
      </c>
      <c r="AF2086" s="11">
        <v>72.971999999999994</v>
      </c>
      <c r="AG2086" s="11">
        <v>72.491</v>
      </c>
      <c r="AH2086" s="11">
        <v>72.043999999999997</v>
      </c>
      <c r="AI2086" s="11">
        <v>71.665999999999997</v>
      </c>
      <c r="AJ2086" s="11">
        <v>71.314999999999998</v>
      </c>
      <c r="AK2086" s="11">
        <v>70.986000000000004</v>
      </c>
      <c r="AL2086" s="11"/>
    </row>
    <row r="2087" spans="1:38" x14ac:dyDescent="0.3">
      <c r="A2087" s="9">
        <f>DATE(2025, 1, 28)</f>
        <v>45685</v>
      </c>
      <c r="B2087" s="10">
        <v>77.489999999999995</v>
      </c>
      <c r="C2087" s="10">
        <v>76.489999999999995</v>
      </c>
      <c r="D2087" s="10">
        <v>75.599999999999994</v>
      </c>
      <c r="E2087" s="10">
        <v>74.83</v>
      </c>
      <c r="F2087" s="10">
        <v>74.19</v>
      </c>
      <c r="G2087" s="10">
        <v>73.650000000000006</v>
      </c>
      <c r="H2087" s="10">
        <v>73.16</v>
      </c>
      <c r="I2087" s="10">
        <v>72.709999999999994</v>
      </c>
      <c r="J2087" s="10">
        <v>72.3</v>
      </c>
      <c r="K2087" s="10">
        <v>71.930000000000007</v>
      </c>
      <c r="L2087" s="10">
        <v>71.58</v>
      </c>
      <c r="M2087" s="10">
        <v>71.260000000000005</v>
      </c>
      <c r="N2087" s="10">
        <v>73.77</v>
      </c>
      <c r="O2087" s="10">
        <v>72.94</v>
      </c>
      <c r="P2087" s="10">
        <v>72.14</v>
      </c>
      <c r="Q2087" s="10">
        <v>71.42</v>
      </c>
      <c r="R2087" s="10">
        <v>70.8</v>
      </c>
      <c r="S2087" s="10">
        <v>70.209999999999994</v>
      </c>
      <c r="T2087" s="10">
        <v>69.66</v>
      </c>
      <c r="U2087" s="10">
        <v>69.14</v>
      </c>
      <c r="V2087" s="10">
        <v>68.67</v>
      </c>
      <c r="W2087" s="10">
        <v>68.260000000000005</v>
      </c>
      <c r="X2087" s="10">
        <v>67.88</v>
      </c>
      <c r="Y2087" s="10">
        <v>67.540000000000006</v>
      </c>
      <c r="Z2087" s="11">
        <v>80.483999999999995</v>
      </c>
      <c r="AA2087" s="11">
        <v>78.685000000000002</v>
      </c>
      <c r="AB2087" s="11">
        <v>76.028999999999996</v>
      </c>
      <c r="AC2087" s="11">
        <v>74.953000000000003</v>
      </c>
      <c r="AD2087" s="11">
        <v>74.194999999999993</v>
      </c>
      <c r="AE2087" s="11">
        <v>73.506</v>
      </c>
      <c r="AF2087" s="11">
        <v>72.89</v>
      </c>
      <c r="AG2087" s="11">
        <v>72.38</v>
      </c>
      <c r="AH2087" s="11">
        <v>71.897999999999996</v>
      </c>
      <c r="AI2087" s="11">
        <v>71.5</v>
      </c>
      <c r="AJ2087" s="11">
        <v>71.129000000000005</v>
      </c>
      <c r="AK2087" s="11">
        <v>70.790000000000006</v>
      </c>
      <c r="AL2087" s="11"/>
    </row>
    <row r="2088" spans="1:38" x14ac:dyDescent="0.3">
      <c r="A2088" s="9">
        <f>DATE(2025, 1, 29)</f>
        <v>45686</v>
      </c>
      <c r="B2088" s="10">
        <v>76.58</v>
      </c>
      <c r="C2088" s="10">
        <v>75.61</v>
      </c>
      <c r="D2088" s="10">
        <v>74.8</v>
      </c>
      <c r="E2088" s="10">
        <v>74.099999999999994</v>
      </c>
      <c r="F2088" s="10">
        <v>73.540000000000006</v>
      </c>
      <c r="G2088" s="10">
        <v>73.05</v>
      </c>
      <c r="H2088" s="10">
        <v>72.61</v>
      </c>
      <c r="I2088" s="10">
        <v>72.19</v>
      </c>
      <c r="J2088" s="10">
        <v>71.8</v>
      </c>
      <c r="K2088" s="10">
        <v>71.44</v>
      </c>
      <c r="L2088" s="10">
        <v>71.11</v>
      </c>
      <c r="M2088" s="10">
        <v>70.81</v>
      </c>
      <c r="N2088" s="10">
        <v>72.62</v>
      </c>
      <c r="O2088" s="10">
        <v>71.98</v>
      </c>
      <c r="P2088" s="10">
        <v>71.319999999999993</v>
      </c>
      <c r="Q2088" s="10">
        <v>70.680000000000007</v>
      </c>
      <c r="R2088" s="10">
        <v>70.12</v>
      </c>
      <c r="S2088" s="10">
        <v>69.59</v>
      </c>
      <c r="T2088" s="10">
        <v>69.069999999999993</v>
      </c>
      <c r="U2088" s="10">
        <v>68.58</v>
      </c>
      <c r="V2088" s="10">
        <v>68.13</v>
      </c>
      <c r="W2088" s="10">
        <v>67.72</v>
      </c>
      <c r="X2088" s="10">
        <v>67.36</v>
      </c>
      <c r="Y2088" s="10">
        <v>67.03</v>
      </c>
      <c r="Z2088" s="11">
        <v>80.44</v>
      </c>
      <c r="AA2088" s="11">
        <v>77.790000000000006</v>
      </c>
      <c r="AB2088" s="11">
        <v>75.227000000000004</v>
      </c>
      <c r="AC2088" s="11">
        <v>74.213999999999999</v>
      </c>
      <c r="AD2088" s="11">
        <v>73.488</v>
      </c>
      <c r="AE2088" s="11">
        <v>72.841999999999999</v>
      </c>
      <c r="AF2088" s="11">
        <v>72.262</v>
      </c>
      <c r="AG2088" s="11">
        <v>71.781000000000006</v>
      </c>
      <c r="AH2088" s="11">
        <v>71.341999999999999</v>
      </c>
      <c r="AI2088" s="11">
        <v>70.960999999999999</v>
      </c>
      <c r="AJ2088" s="11">
        <v>70.61</v>
      </c>
      <c r="AK2088" s="11">
        <v>70.290999999999997</v>
      </c>
      <c r="AL2088" s="11"/>
    </row>
    <row r="2089" spans="1:38" x14ac:dyDescent="0.3">
      <c r="A2089" s="9">
        <f>DATE(2025, 1, 30)</f>
        <v>45687</v>
      </c>
      <c r="B2089" s="10">
        <v>76.87</v>
      </c>
      <c r="C2089" s="10">
        <v>75.89</v>
      </c>
      <c r="D2089" s="10">
        <v>75.12</v>
      </c>
      <c r="E2089" s="10">
        <v>74.44</v>
      </c>
      <c r="F2089" s="10">
        <v>73.87</v>
      </c>
      <c r="G2089" s="10">
        <v>73.37</v>
      </c>
      <c r="H2089" s="10">
        <v>72.91</v>
      </c>
      <c r="I2089" s="10">
        <v>72.47</v>
      </c>
      <c r="J2089" s="10">
        <v>72.06</v>
      </c>
      <c r="K2089" s="10">
        <v>71.67</v>
      </c>
      <c r="L2089" s="10">
        <v>71.319999999999993</v>
      </c>
      <c r="M2089" s="10">
        <v>71</v>
      </c>
      <c r="N2089" s="10">
        <v>72.73</v>
      </c>
      <c r="O2089" s="10">
        <v>72.180000000000007</v>
      </c>
      <c r="P2089" s="10">
        <v>71.61</v>
      </c>
      <c r="Q2089" s="10">
        <v>71</v>
      </c>
      <c r="R2089" s="10">
        <v>70.45</v>
      </c>
      <c r="S2089" s="10">
        <v>69.91</v>
      </c>
      <c r="T2089" s="10">
        <v>69.38</v>
      </c>
      <c r="U2089" s="10">
        <v>68.87</v>
      </c>
      <c r="V2089" s="10">
        <v>68.400000000000006</v>
      </c>
      <c r="W2089" s="10">
        <v>67.97</v>
      </c>
      <c r="X2089" s="10">
        <v>67.59</v>
      </c>
      <c r="Y2089" s="10">
        <v>67.25</v>
      </c>
      <c r="Z2089" s="11">
        <v>80.316999999999993</v>
      </c>
      <c r="AA2089" s="11">
        <v>78.039000000000001</v>
      </c>
      <c r="AB2089" s="11">
        <v>75.537999999999997</v>
      </c>
      <c r="AC2089" s="11">
        <v>74.540999999999997</v>
      </c>
      <c r="AD2089" s="11">
        <v>73.822000000000003</v>
      </c>
      <c r="AE2089" s="11">
        <v>73.183000000000007</v>
      </c>
      <c r="AF2089" s="11">
        <v>72.605999999999995</v>
      </c>
      <c r="AG2089" s="11">
        <v>72.114999999999995</v>
      </c>
      <c r="AH2089" s="11">
        <v>71.652000000000001</v>
      </c>
      <c r="AI2089" s="11">
        <v>71.231999999999999</v>
      </c>
      <c r="AJ2089" s="11">
        <v>70.858000000000004</v>
      </c>
      <c r="AK2089" s="11">
        <v>70.519000000000005</v>
      </c>
      <c r="AL2089" s="11"/>
    </row>
    <row r="2090" spans="1:38" x14ac:dyDescent="0.3">
      <c r="A2090" s="9">
        <f>DATE(2025, 1, 31)</f>
        <v>45688</v>
      </c>
      <c r="B2090" s="10">
        <v>76.760000000000005</v>
      </c>
      <c r="C2090" s="10">
        <v>75.67</v>
      </c>
      <c r="D2090" s="10">
        <v>74.92</v>
      </c>
      <c r="E2090" s="10">
        <v>74.239999999999995</v>
      </c>
      <c r="F2090" s="10">
        <v>73.67</v>
      </c>
      <c r="G2090" s="10">
        <v>73.17</v>
      </c>
      <c r="H2090" s="10">
        <v>72.709999999999994</v>
      </c>
      <c r="I2090" s="10">
        <v>72.27</v>
      </c>
      <c r="J2090" s="10">
        <v>71.86</v>
      </c>
      <c r="K2090" s="10">
        <v>71.48</v>
      </c>
      <c r="L2090" s="10">
        <v>71.13</v>
      </c>
      <c r="M2090" s="10">
        <v>70.819999999999993</v>
      </c>
      <c r="N2090" s="10">
        <v>72.53</v>
      </c>
      <c r="O2090" s="10">
        <v>71.98</v>
      </c>
      <c r="P2090" s="10">
        <v>71.38</v>
      </c>
      <c r="Q2090" s="10">
        <v>70.78</v>
      </c>
      <c r="R2090" s="10">
        <v>70.209999999999994</v>
      </c>
      <c r="S2090" s="10">
        <v>69.66</v>
      </c>
      <c r="T2090" s="10">
        <v>69.13</v>
      </c>
      <c r="U2090" s="10">
        <v>68.63</v>
      </c>
      <c r="V2090" s="10">
        <v>68.17</v>
      </c>
      <c r="W2090" s="10">
        <v>67.760000000000005</v>
      </c>
      <c r="X2090" s="10">
        <v>67.38</v>
      </c>
      <c r="Y2090" s="10">
        <v>67.05</v>
      </c>
      <c r="Z2090" s="11">
        <v>80.41</v>
      </c>
      <c r="AA2090" s="11">
        <v>77.902000000000001</v>
      </c>
      <c r="AB2090" s="11">
        <v>75.397999999999996</v>
      </c>
      <c r="AC2090" s="11">
        <v>74.399000000000001</v>
      </c>
      <c r="AD2090" s="11">
        <v>73.662000000000006</v>
      </c>
      <c r="AE2090" s="11">
        <v>73.022999999999996</v>
      </c>
      <c r="AF2090" s="11">
        <v>72.445999999999998</v>
      </c>
      <c r="AG2090" s="11">
        <v>71.95</v>
      </c>
      <c r="AH2090" s="11">
        <v>71.477999999999994</v>
      </c>
      <c r="AI2090" s="11">
        <v>71.06</v>
      </c>
      <c r="AJ2090" s="11">
        <v>70.680000000000007</v>
      </c>
      <c r="AK2090" s="11">
        <v>70.350999999999999</v>
      </c>
      <c r="AL2090" s="11"/>
    </row>
    <row r="2091" spans="1:38" x14ac:dyDescent="0.3">
      <c r="A2091" s="9">
        <f>DATE(2025, 2, 3)</f>
        <v>45691</v>
      </c>
      <c r="B2091" s="10">
        <v>75.959999999999994</v>
      </c>
      <c r="C2091" s="10">
        <v>75.14</v>
      </c>
      <c r="D2091" s="10">
        <v>74.41</v>
      </c>
      <c r="E2091" s="10">
        <v>73.790000000000006</v>
      </c>
      <c r="F2091" s="10">
        <v>73.260000000000005</v>
      </c>
      <c r="G2091" s="10">
        <v>72.77</v>
      </c>
      <c r="H2091" s="10">
        <v>72.31</v>
      </c>
      <c r="I2091" s="10">
        <v>71.87</v>
      </c>
      <c r="J2091" s="10">
        <v>71.47</v>
      </c>
      <c r="K2091" s="10">
        <v>71.11</v>
      </c>
      <c r="L2091" s="10">
        <v>70.790000000000006</v>
      </c>
      <c r="M2091" s="10">
        <v>70.52</v>
      </c>
      <c r="N2091" s="10">
        <v>73.16</v>
      </c>
      <c r="O2091" s="10">
        <v>72.39</v>
      </c>
      <c r="P2091" s="10">
        <v>71.64</v>
      </c>
      <c r="Q2091" s="10">
        <v>70.94</v>
      </c>
      <c r="R2091" s="10">
        <v>70.319999999999993</v>
      </c>
      <c r="S2091" s="10">
        <v>69.73</v>
      </c>
      <c r="T2091" s="10">
        <v>69.17</v>
      </c>
      <c r="U2091" s="10">
        <v>68.64</v>
      </c>
      <c r="V2091" s="10">
        <v>68.17</v>
      </c>
      <c r="W2091" s="10">
        <v>67.75</v>
      </c>
      <c r="X2091" s="10">
        <v>67.37</v>
      </c>
      <c r="Y2091" s="10">
        <v>67.03</v>
      </c>
      <c r="Z2091" s="11">
        <v>80.41</v>
      </c>
      <c r="AA2091" s="11">
        <v>78.042000000000002</v>
      </c>
      <c r="AB2091" s="11">
        <v>75.438000000000002</v>
      </c>
      <c r="AC2091" s="11">
        <v>74.477000000000004</v>
      </c>
      <c r="AD2091" s="11">
        <v>73.727999999999994</v>
      </c>
      <c r="AE2091" s="11">
        <v>73.052000000000007</v>
      </c>
      <c r="AF2091" s="11">
        <v>72.447000000000003</v>
      </c>
      <c r="AG2091" s="11">
        <v>71.923000000000002</v>
      </c>
      <c r="AH2091" s="11">
        <v>71.438999999999993</v>
      </c>
      <c r="AI2091" s="11">
        <v>70.998999999999995</v>
      </c>
      <c r="AJ2091" s="11">
        <v>70.608999999999995</v>
      </c>
      <c r="AK2091" s="11">
        <v>70.265000000000001</v>
      </c>
      <c r="AL2091" s="11"/>
    </row>
    <row r="2092" spans="1:38" x14ac:dyDescent="0.3">
      <c r="A2092" s="9">
        <f>DATE(2025, 2, 4)</f>
        <v>45692</v>
      </c>
      <c r="B2092" s="10">
        <v>76.2</v>
      </c>
      <c r="C2092" s="10">
        <v>75.56</v>
      </c>
      <c r="D2092" s="10">
        <v>74.92</v>
      </c>
      <c r="E2092" s="10">
        <v>74.33</v>
      </c>
      <c r="F2092" s="10">
        <v>73.8</v>
      </c>
      <c r="G2092" s="10">
        <v>73.319999999999993</v>
      </c>
      <c r="H2092" s="10">
        <v>72.87</v>
      </c>
      <c r="I2092" s="10">
        <v>72.44</v>
      </c>
      <c r="J2092" s="10">
        <v>72.05</v>
      </c>
      <c r="K2092" s="10">
        <v>71.69</v>
      </c>
      <c r="L2092" s="10">
        <v>71.37</v>
      </c>
      <c r="M2092" s="10">
        <v>71.099999999999994</v>
      </c>
      <c r="N2092" s="10">
        <v>72.7</v>
      </c>
      <c r="O2092" s="10">
        <v>72.34</v>
      </c>
      <c r="P2092" s="10">
        <v>71.87</v>
      </c>
      <c r="Q2092" s="10">
        <v>71.34</v>
      </c>
      <c r="R2092" s="10">
        <v>70.790000000000006</v>
      </c>
      <c r="S2092" s="10">
        <v>70.23</v>
      </c>
      <c r="T2092" s="10">
        <v>69.7</v>
      </c>
      <c r="U2092" s="10">
        <v>69.19</v>
      </c>
      <c r="V2092" s="10">
        <v>68.73</v>
      </c>
      <c r="W2092" s="10">
        <v>68.319999999999993</v>
      </c>
      <c r="X2092" s="10">
        <v>67.92</v>
      </c>
      <c r="Y2092" s="10">
        <v>67.58</v>
      </c>
      <c r="Z2092" s="11">
        <v>78.417000000000002</v>
      </c>
      <c r="AA2092" s="11">
        <v>75.864999999999995</v>
      </c>
      <c r="AB2092" s="11">
        <v>75.012</v>
      </c>
      <c r="AC2092" s="11">
        <v>74.251000000000005</v>
      </c>
      <c r="AD2092" s="11">
        <v>73.581000000000003</v>
      </c>
      <c r="AE2092" s="11">
        <v>72.974000000000004</v>
      </c>
      <c r="AF2092" s="11">
        <v>72.463999999999999</v>
      </c>
      <c r="AG2092" s="11">
        <v>71.992000000000004</v>
      </c>
      <c r="AH2092" s="11">
        <v>71.573999999999998</v>
      </c>
      <c r="AI2092" s="11">
        <v>71.194000000000003</v>
      </c>
      <c r="AJ2092" s="11">
        <v>70.849999999999994</v>
      </c>
      <c r="AK2092" s="11">
        <v>70.587999999999994</v>
      </c>
      <c r="AL2092" s="11"/>
    </row>
    <row r="2093" spans="1:38" x14ac:dyDescent="0.3">
      <c r="A2093" s="9">
        <f>DATE(2025, 2, 5)</f>
        <v>45693</v>
      </c>
      <c r="B2093" s="10">
        <v>74.61</v>
      </c>
      <c r="C2093" s="10">
        <v>74.09</v>
      </c>
      <c r="D2093" s="10">
        <v>73.540000000000006</v>
      </c>
      <c r="E2093" s="10">
        <v>73.02</v>
      </c>
      <c r="F2093" s="10">
        <v>72.540000000000006</v>
      </c>
      <c r="G2093" s="10">
        <v>72.099999999999994</v>
      </c>
      <c r="H2093" s="10">
        <v>71.69</v>
      </c>
      <c r="I2093" s="10">
        <v>71.319999999999993</v>
      </c>
      <c r="J2093" s="10">
        <v>70.98</v>
      </c>
      <c r="K2093" s="10">
        <v>70.66</v>
      </c>
      <c r="L2093" s="10">
        <v>70.37</v>
      </c>
      <c r="M2093" s="10">
        <v>70.13</v>
      </c>
      <c r="N2093" s="10">
        <v>71.03</v>
      </c>
      <c r="O2093" s="10">
        <v>70.739999999999995</v>
      </c>
      <c r="P2093" s="10">
        <v>70.34</v>
      </c>
      <c r="Q2093" s="10">
        <v>69.89</v>
      </c>
      <c r="R2093" s="10">
        <v>69.42</v>
      </c>
      <c r="S2093" s="10">
        <v>68.94</v>
      </c>
      <c r="T2093" s="10">
        <v>68.459999999999994</v>
      </c>
      <c r="U2093" s="10">
        <v>68</v>
      </c>
      <c r="V2093" s="10">
        <v>67.599999999999994</v>
      </c>
      <c r="W2093" s="10">
        <v>67.23</v>
      </c>
      <c r="X2093" s="10">
        <v>66.89</v>
      </c>
      <c r="Y2093" s="10">
        <v>66.59</v>
      </c>
      <c r="Z2093" s="11">
        <v>77.242000000000004</v>
      </c>
      <c r="AA2093" s="11">
        <v>74.504000000000005</v>
      </c>
      <c r="AB2093" s="11">
        <v>73.704999999999998</v>
      </c>
      <c r="AC2093" s="11">
        <v>72.988</v>
      </c>
      <c r="AD2093" s="11">
        <v>72.34</v>
      </c>
      <c r="AE2093" s="11">
        <v>71.769000000000005</v>
      </c>
      <c r="AF2093" s="11">
        <v>71.302000000000007</v>
      </c>
      <c r="AG2093" s="11">
        <v>70.885000000000005</v>
      </c>
      <c r="AH2093" s="11">
        <v>70.516000000000005</v>
      </c>
      <c r="AI2093" s="11">
        <v>70.176000000000002</v>
      </c>
      <c r="AJ2093" s="11">
        <v>69.867999999999995</v>
      </c>
      <c r="AK2093" s="11">
        <v>69.62</v>
      </c>
      <c r="AL2093" s="11"/>
    </row>
    <row r="2094" spans="1:38" x14ac:dyDescent="0.3">
      <c r="A2094" s="9">
        <f>DATE(2025, 2, 6)</f>
        <v>45694</v>
      </c>
      <c r="B2094" s="10">
        <v>74.290000000000006</v>
      </c>
      <c r="C2094" s="10">
        <v>73.84</v>
      </c>
      <c r="D2094" s="10">
        <v>73.39</v>
      </c>
      <c r="E2094" s="10">
        <v>72.95</v>
      </c>
      <c r="F2094" s="10">
        <v>72.52</v>
      </c>
      <c r="G2094" s="10">
        <v>72.11</v>
      </c>
      <c r="H2094" s="10">
        <v>71.739999999999995</v>
      </c>
      <c r="I2094" s="10">
        <v>71.39</v>
      </c>
      <c r="J2094" s="10">
        <v>71.08</v>
      </c>
      <c r="K2094" s="10">
        <v>70.78</v>
      </c>
      <c r="L2094" s="10">
        <v>70.5</v>
      </c>
      <c r="M2094" s="10">
        <v>70.27</v>
      </c>
      <c r="N2094" s="10">
        <v>70.61</v>
      </c>
      <c r="O2094" s="10">
        <v>70.37</v>
      </c>
      <c r="P2094" s="10">
        <v>70.069999999999993</v>
      </c>
      <c r="Q2094" s="10">
        <v>69.72</v>
      </c>
      <c r="R2094" s="10">
        <v>69.349999999999994</v>
      </c>
      <c r="S2094" s="10">
        <v>68.94</v>
      </c>
      <c r="T2094" s="10">
        <v>68.510000000000005</v>
      </c>
      <c r="U2094" s="10">
        <v>68.09</v>
      </c>
      <c r="V2094" s="10">
        <v>67.7</v>
      </c>
      <c r="W2094" s="10">
        <v>67.36</v>
      </c>
      <c r="X2094" s="10">
        <v>67.03</v>
      </c>
      <c r="Y2094" s="10">
        <v>66.739999999999995</v>
      </c>
      <c r="Z2094" s="11">
        <v>77.186000000000007</v>
      </c>
      <c r="AA2094" s="11">
        <v>74.36</v>
      </c>
      <c r="AB2094" s="11">
        <v>73.63</v>
      </c>
      <c r="AC2094" s="11">
        <v>72.98</v>
      </c>
      <c r="AD2094" s="11">
        <v>72.364999999999995</v>
      </c>
      <c r="AE2094" s="11">
        <v>71.823999999999998</v>
      </c>
      <c r="AF2094" s="11">
        <v>71.393000000000001</v>
      </c>
      <c r="AG2094" s="11">
        <v>71.006</v>
      </c>
      <c r="AH2094" s="11">
        <v>70.647000000000006</v>
      </c>
      <c r="AI2094" s="11">
        <v>70.325999999999993</v>
      </c>
      <c r="AJ2094" s="11">
        <v>70.019000000000005</v>
      </c>
      <c r="AK2094" s="11">
        <v>69.78</v>
      </c>
      <c r="AL2094" s="11"/>
    </row>
    <row r="2095" spans="1:38" x14ac:dyDescent="0.3">
      <c r="A2095" s="9">
        <f>DATE(2025, 2, 7)</f>
        <v>45695</v>
      </c>
      <c r="B2095" s="10">
        <v>74.66</v>
      </c>
      <c r="C2095" s="10">
        <v>74.260000000000005</v>
      </c>
      <c r="D2095" s="10">
        <v>73.83</v>
      </c>
      <c r="E2095" s="10">
        <v>73.41</v>
      </c>
      <c r="F2095" s="10">
        <v>72.989999999999995</v>
      </c>
      <c r="G2095" s="10">
        <v>72.569999999999993</v>
      </c>
      <c r="H2095" s="10">
        <v>72.19</v>
      </c>
      <c r="I2095" s="10">
        <v>71.84</v>
      </c>
      <c r="J2095" s="10">
        <v>71.510000000000005</v>
      </c>
      <c r="K2095" s="10">
        <v>71.2</v>
      </c>
      <c r="L2095" s="10">
        <v>70.91</v>
      </c>
      <c r="M2095" s="10">
        <v>70.67</v>
      </c>
      <c r="N2095" s="10">
        <v>71</v>
      </c>
      <c r="O2095" s="10">
        <v>70.739999999999995</v>
      </c>
      <c r="P2095" s="10">
        <v>70.42</v>
      </c>
      <c r="Q2095" s="10">
        <v>70.069999999999993</v>
      </c>
      <c r="R2095" s="10">
        <v>69.7</v>
      </c>
      <c r="S2095" s="10">
        <v>69.290000000000006</v>
      </c>
      <c r="T2095" s="10">
        <v>68.86</v>
      </c>
      <c r="U2095" s="10">
        <v>68.44</v>
      </c>
      <c r="V2095" s="10">
        <v>68.05</v>
      </c>
      <c r="W2095" s="10">
        <v>67.7</v>
      </c>
      <c r="X2095" s="10">
        <v>67.38</v>
      </c>
      <c r="Y2095" s="10">
        <v>67.069999999999993</v>
      </c>
      <c r="Z2095" s="11">
        <v>77.527000000000001</v>
      </c>
      <c r="AA2095" s="11">
        <v>74.86</v>
      </c>
      <c r="AB2095" s="11">
        <v>74.186999999999998</v>
      </c>
      <c r="AC2095" s="11">
        <v>73.540000000000006</v>
      </c>
      <c r="AD2095" s="11">
        <v>72.918999999999997</v>
      </c>
      <c r="AE2095" s="11">
        <v>72.376000000000005</v>
      </c>
      <c r="AF2095" s="11">
        <v>71.936000000000007</v>
      </c>
      <c r="AG2095" s="11">
        <v>71.546000000000006</v>
      </c>
      <c r="AH2095" s="11">
        <v>71.185000000000002</v>
      </c>
      <c r="AI2095" s="11">
        <v>70.843999999999994</v>
      </c>
      <c r="AJ2095" s="11">
        <v>70.525999999999996</v>
      </c>
      <c r="AK2095" s="11">
        <v>70.248000000000005</v>
      </c>
      <c r="AL2095" s="11"/>
    </row>
    <row r="2096" spans="1:38" x14ac:dyDescent="0.3">
      <c r="A2096" s="9">
        <f>DATE(2025, 2, 10)</f>
        <v>45698</v>
      </c>
      <c r="B2096" s="10">
        <v>75.87</v>
      </c>
      <c r="C2096" s="10">
        <v>75.430000000000007</v>
      </c>
      <c r="D2096" s="10">
        <v>74.959999999999994</v>
      </c>
      <c r="E2096" s="10">
        <v>74.489999999999995</v>
      </c>
      <c r="F2096" s="10">
        <v>74.02</v>
      </c>
      <c r="G2096" s="10">
        <v>73.56</v>
      </c>
      <c r="H2096" s="10">
        <v>73.12</v>
      </c>
      <c r="I2096" s="10">
        <v>72.709999999999994</v>
      </c>
      <c r="J2096" s="10">
        <v>72.33</v>
      </c>
      <c r="K2096" s="10">
        <v>71.98</v>
      </c>
      <c r="L2096" s="10">
        <v>71.67</v>
      </c>
      <c r="M2096" s="10">
        <v>71.39</v>
      </c>
      <c r="N2096" s="10">
        <v>72.319999999999993</v>
      </c>
      <c r="O2096" s="10">
        <v>72.010000000000005</v>
      </c>
      <c r="P2096" s="10">
        <v>71.650000000000006</v>
      </c>
      <c r="Q2096" s="10">
        <v>71.260000000000005</v>
      </c>
      <c r="R2096" s="10">
        <v>70.849999999999994</v>
      </c>
      <c r="S2096" s="10">
        <v>70.400000000000006</v>
      </c>
      <c r="T2096" s="10">
        <v>69.91</v>
      </c>
      <c r="U2096" s="10">
        <v>69.430000000000007</v>
      </c>
      <c r="V2096" s="10">
        <v>69</v>
      </c>
      <c r="W2096" s="10">
        <v>68.599999999999994</v>
      </c>
      <c r="X2096" s="10">
        <v>68.22</v>
      </c>
      <c r="Y2096" s="10">
        <v>67.89</v>
      </c>
      <c r="Z2096" s="11">
        <v>78.25</v>
      </c>
      <c r="AA2096" s="11">
        <v>75.847999999999999</v>
      </c>
      <c r="AB2096" s="11">
        <v>75.168000000000006</v>
      </c>
      <c r="AC2096" s="11">
        <v>74.504000000000005</v>
      </c>
      <c r="AD2096" s="11">
        <v>73.847999999999999</v>
      </c>
      <c r="AE2096" s="11">
        <v>73.283000000000001</v>
      </c>
      <c r="AF2096" s="11">
        <v>72.805000000000007</v>
      </c>
      <c r="AG2096" s="11">
        <v>72.358000000000004</v>
      </c>
      <c r="AH2096" s="11">
        <v>71.954999999999998</v>
      </c>
      <c r="AI2096" s="11">
        <v>71.584999999999994</v>
      </c>
      <c r="AJ2096" s="11">
        <v>71.234999999999999</v>
      </c>
      <c r="AK2096" s="11">
        <v>70.948999999999998</v>
      </c>
      <c r="AL2096" s="11"/>
    </row>
    <row r="2097" spans="1:38" x14ac:dyDescent="0.3">
      <c r="A2097" s="9">
        <f>DATE(2025, 2, 11)</f>
        <v>45699</v>
      </c>
      <c r="B2097" s="10">
        <v>77</v>
      </c>
      <c r="C2097" s="10">
        <v>76.62</v>
      </c>
      <c r="D2097" s="10">
        <v>76.150000000000006</v>
      </c>
      <c r="E2097" s="10">
        <v>75.67</v>
      </c>
      <c r="F2097" s="10">
        <v>75.180000000000007</v>
      </c>
      <c r="G2097" s="10">
        <v>74.69</v>
      </c>
      <c r="H2097" s="10">
        <v>74.239999999999995</v>
      </c>
      <c r="I2097" s="10">
        <v>73.819999999999993</v>
      </c>
      <c r="J2097" s="10">
        <v>73.44</v>
      </c>
      <c r="K2097" s="10">
        <v>73.09</v>
      </c>
      <c r="L2097" s="10">
        <v>72.760000000000005</v>
      </c>
      <c r="M2097" s="10">
        <v>72.47</v>
      </c>
      <c r="N2097" s="10">
        <v>73.319999999999993</v>
      </c>
      <c r="O2097" s="10">
        <v>73.08</v>
      </c>
      <c r="P2097" s="10">
        <v>72.760000000000005</v>
      </c>
      <c r="Q2097" s="10">
        <v>72.39</v>
      </c>
      <c r="R2097" s="10">
        <v>71.98</v>
      </c>
      <c r="S2097" s="10">
        <v>71.52</v>
      </c>
      <c r="T2097" s="10">
        <v>71.02</v>
      </c>
      <c r="U2097" s="10">
        <v>70.53</v>
      </c>
      <c r="V2097" s="10">
        <v>70.08</v>
      </c>
      <c r="W2097" s="10">
        <v>69.67</v>
      </c>
      <c r="X2097" s="10">
        <v>69.290000000000006</v>
      </c>
      <c r="Y2097" s="10">
        <v>68.94</v>
      </c>
      <c r="Z2097" s="11">
        <v>79.070999999999998</v>
      </c>
      <c r="AA2097" s="11">
        <v>76.947999999999993</v>
      </c>
      <c r="AB2097" s="11">
        <v>76.277000000000001</v>
      </c>
      <c r="AC2097" s="11">
        <v>75.596999999999994</v>
      </c>
      <c r="AD2097" s="11">
        <v>74.912999999999997</v>
      </c>
      <c r="AE2097" s="11">
        <v>74.320999999999998</v>
      </c>
      <c r="AF2097" s="11">
        <v>73.819999999999993</v>
      </c>
      <c r="AG2097" s="11">
        <v>73.363</v>
      </c>
      <c r="AH2097" s="11">
        <v>72.965000000000003</v>
      </c>
      <c r="AI2097" s="11">
        <v>72.584999999999994</v>
      </c>
      <c r="AJ2097" s="11">
        <v>72.224999999999994</v>
      </c>
      <c r="AK2097" s="11">
        <v>71.908000000000001</v>
      </c>
      <c r="AL2097" s="11"/>
    </row>
    <row r="2098" spans="1:38" x14ac:dyDescent="0.3">
      <c r="A2098" s="9">
        <f>DATE(2025, 2, 12)</f>
        <v>45700</v>
      </c>
      <c r="B2098" s="10">
        <v>75.180000000000007</v>
      </c>
      <c r="C2098" s="10">
        <v>74.87</v>
      </c>
      <c r="D2098" s="10">
        <v>74.489999999999995</v>
      </c>
      <c r="E2098" s="10">
        <v>74.08</v>
      </c>
      <c r="F2098" s="10">
        <v>73.650000000000006</v>
      </c>
      <c r="G2098" s="10">
        <v>73.209999999999994</v>
      </c>
      <c r="H2098" s="10">
        <v>72.8</v>
      </c>
      <c r="I2098" s="10">
        <v>72.430000000000007</v>
      </c>
      <c r="J2098" s="10">
        <v>72.08</v>
      </c>
      <c r="K2098" s="10">
        <v>71.75</v>
      </c>
      <c r="L2098" s="10">
        <v>71.459999999999994</v>
      </c>
      <c r="M2098" s="10">
        <v>71.209999999999994</v>
      </c>
      <c r="N2098" s="10">
        <v>71.37</v>
      </c>
      <c r="O2098" s="10">
        <v>71.239999999999995</v>
      </c>
      <c r="P2098" s="10">
        <v>71.02</v>
      </c>
      <c r="Q2098" s="10">
        <v>70.73</v>
      </c>
      <c r="R2098" s="10">
        <v>70.39</v>
      </c>
      <c r="S2098" s="10">
        <v>69.98</v>
      </c>
      <c r="T2098" s="10">
        <v>69.53</v>
      </c>
      <c r="U2098" s="10">
        <v>69.09</v>
      </c>
      <c r="V2098" s="10">
        <v>68.69</v>
      </c>
      <c r="W2098" s="10">
        <v>68.319999999999993</v>
      </c>
      <c r="X2098" s="10">
        <v>67.97</v>
      </c>
      <c r="Y2098" s="10">
        <v>67.680000000000007</v>
      </c>
      <c r="Z2098" s="11">
        <v>77.944000000000003</v>
      </c>
      <c r="AA2098" s="11">
        <v>75.081999999999994</v>
      </c>
      <c r="AB2098" s="11">
        <v>74.510000000000005</v>
      </c>
      <c r="AC2098" s="11">
        <v>73.933999999999997</v>
      </c>
      <c r="AD2098" s="11">
        <v>73.344999999999999</v>
      </c>
      <c r="AE2098" s="11">
        <v>72.811999999999998</v>
      </c>
      <c r="AF2098" s="11">
        <v>72.361999999999995</v>
      </c>
      <c r="AG2098" s="11">
        <v>71.953999999999994</v>
      </c>
      <c r="AH2098" s="11">
        <v>71.575999999999993</v>
      </c>
      <c r="AI2098" s="11">
        <v>71.215999999999994</v>
      </c>
      <c r="AJ2098" s="11">
        <v>70.887</v>
      </c>
      <c r="AK2098" s="11">
        <v>70.63</v>
      </c>
      <c r="AL2098" s="11"/>
    </row>
    <row r="2099" spans="1:38" x14ac:dyDescent="0.3">
      <c r="A2099" s="9">
        <f>DATE(2025, 2, 13)</f>
        <v>45701</v>
      </c>
      <c r="B2099" s="10">
        <v>75.02</v>
      </c>
      <c r="C2099" s="10">
        <v>74.66</v>
      </c>
      <c r="D2099" s="10">
        <v>74.25</v>
      </c>
      <c r="E2099" s="10">
        <v>73.83</v>
      </c>
      <c r="F2099" s="10">
        <v>73.41</v>
      </c>
      <c r="G2099" s="10">
        <v>72.98</v>
      </c>
      <c r="H2099" s="10">
        <v>72.58</v>
      </c>
      <c r="I2099" s="10">
        <v>72.22</v>
      </c>
      <c r="J2099" s="10">
        <v>71.88</v>
      </c>
      <c r="K2099" s="10">
        <v>71.55</v>
      </c>
      <c r="L2099" s="10">
        <v>71.260000000000005</v>
      </c>
      <c r="M2099" s="10">
        <v>71.010000000000005</v>
      </c>
      <c r="N2099" s="10">
        <v>71.290000000000006</v>
      </c>
      <c r="O2099" s="10">
        <v>71.14</v>
      </c>
      <c r="P2099" s="10">
        <v>70.88</v>
      </c>
      <c r="Q2099" s="10">
        <v>70.569999999999993</v>
      </c>
      <c r="R2099" s="10">
        <v>70.209999999999994</v>
      </c>
      <c r="S2099" s="10">
        <v>69.8</v>
      </c>
      <c r="T2099" s="10">
        <v>69.37</v>
      </c>
      <c r="U2099" s="10">
        <v>68.94</v>
      </c>
      <c r="V2099" s="10">
        <v>68.55</v>
      </c>
      <c r="W2099" s="10">
        <v>68.19</v>
      </c>
      <c r="X2099" s="10">
        <v>67.849999999999994</v>
      </c>
      <c r="Y2099" s="10">
        <v>67.540000000000006</v>
      </c>
      <c r="Z2099" s="11">
        <v>77.682000000000002</v>
      </c>
      <c r="AA2099" s="11">
        <v>74.69</v>
      </c>
      <c r="AB2099" s="11">
        <v>74.14</v>
      </c>
      <c r="AC2099" s="11">
        <v>73.61</v>
      </c>
      <c r="AD2099" s="11">
        <v>73.066999999999993</v>
      </c>
      <c r="AE2099" s="11">
        <v>72.557000000000002</v>
      </c>
      <c r="AF2099" s="11">
        <v>72.126999999999995</v>
      </c>
      <c r="AG2099" s="11">
        <v>71.728999999999999</v>
      </c>
      <c r="AH2099" s="11">
        <v>71.36</v>
      </c>
      <c r="AI2099" s="11">
        <v>71</v>
      </c>
      <c r="AJ2099" s="11">
        <v>70.671000000000006</v>
      </c>
      <c r="AK2099" s="11">
        <v>70.403000000000006</v>
      </c>
      <c r="AL2099" s="11"/>
    </row>
    <row r="2100" spans="1:38" x14ac:dyDescent="0.3">
      <c r="A2100" s="9">
        <f>DATE(2025, 2, 14)</f>
        <v>45702</v>
      </c>
      <c r="B2100" s="10">
        <v>74.739999999999995</v>
      </c>
      <c r="C2100" s="10">
        <v>74.459999999999994</v>
      </c>
      <c r="D2100" s="10">
        <v>74.09</v>
      </c>
      <c r="E2100" s="10">
        <v>73.7</v>
      </c>
      <c r="F2100" s="10">
        <v>73.31</v>
      </c>
      <c r="G2100" s="10">
        <v>72.91</v>
      </c>
      <c r="H2100" s="10">
        <v>72.53</v>
      </c>
      <c r="I2100" s="10">
        <v>72.180000000000007</v>
      </c>
      <c r="J2100" s="10">
        <v>71.87</v>
      </c>
      <c r="K2100" s="10">
        <v>71.56</v>
      </c>
      <c r="L2100" s="10">
        <v>71.28</v>
      </c>
      <c r="M2100" s="10">
        <v>71.040000000000006</v>
      </c>
      <c r="N2100" s="10">
        <v>70.739999999999995</v>
      </c>
      <c r="O2100" s="10">
        <v>70.709999999999994</v>
      </c>
      <c r="P2100" s="10">
        <v>70.56</v>
      </c>
      <c r="Q2100" s="10">
        <v>70.34</v>
      </c>
      <c r="R2100" s="10">
        <v>70.03</v>
      </c>
      <c r="S2100" s="10">
        <v>69.650000000000006</v>
      </c>
      <c r="T2100" s="10">
        <v>69.25</v>
      </c>
      <c r="U2100" s="10">
        <v>68.849999999999994</v>
      </c>
      <c r="V2100" s="10">
        <v>68.489999999999995</v>
      </c>
      <c r="W2100" s="10">
        <v>68.150000000000006</v>
      </c>
      <c r="X2100" s="10">
        <v>67.83</v>
      </c>
      <c r="Y2100" s="10">
        <v>67.540000000000006</v>
      </c>
      <c r="Z2100" s="11">
        <v>77.620999999999995</v>
      </c>
      <c r="AA2100" s="11">
        <v>74.721999999999994</v>
      </c>
      <c r="AB2100" s="11">
        <v>74.141000000000005</v>
      </c>
      <c r="AC2100" s="11">
        <v>73.572000000000003</v>
      </c>
      <c r="AD2100" s="11">
        <v>73.027000000000001</v>
      </c>
      <c r="AE2100" s="11">
        <v>72.513000000000005</v>
      </c>
      <c r="AF2100" s="11">
        <v>72.099999999999994</v>
      </c>
      <c r="AG2100" s="11">
        <v>71.736999999999995</v>
      </c>
      <c r="AH2100" s="11">
        <v>71.408000000000001</v>
      </c>
      <c r="AI2100" s="11">
        <v>71.067999999999998</v>
      </c>
      <c r="AJ2100" s="11">
        <v>70.745000000000005</v>
      </c>
      <c r="AK2100" s="11">
        <v>70.501999999999995</v>
      </c>
      <c r="AL2100" s="11"/>
    </row>
    <row r="2101" spans="1:38" x14ac:dyDescent="0.3">
      <c r="A2101" s="9">
        <f>DATE(2025, 2, 17)</f>
        <v>45705</v>
      </c>
      <c r="B2101" s="10">
        <v>75.22</v>
      </c>
      <c r="C2101" s="10">
        <v>74.930000000000007</v>
      </c>
      <c r="D2101" s="10">
        <v>74.55</v>
      </c>
      <c r="E2101" s="10">
        <v>74.150000000000006</v>
      </c>
      <c r="F2101" s="10">
        <v>73.739999999999995</v>
      </c>
      <c r="G2101" s="10">
        <v>73.319999999999993</v>
      </c>
      <c r="H2101" s="10">
        <v>72.92</v>
      </c>
      <c r="I2101" s="10">
        <v>72.55</v>
      </c>
      <c r="J2101" s="10">
        <v>72.209999999999994</v>
      </c>
      <c r="K2101" s="10">
        <v>71.89</v>
      </c>
      <c r="L2101" s="10">
        <v>71.599999999999994</v>
      </c>
      <c r="M2101" s="10">
        <v>71.349999999999994</v>
      </c>
      <c r="N2101" s="10">
        <v>70.739999999999995</v>
      </c>
      <c r="O2101" s="10">
        <v>70.709999999999994</v>
      </c>
      <c r="P2101" s="10">
        <v>70.56</v>
      </c>
      <c r="Q2101" s="10">
        <v>70.34</v>
      </c>
      <c r="R2101" s="10">
        <v>70.03</v>
      </c>
      <c r="S2101" s="10">
        <v>69.650000000000006</v>
      </c>
      <c r="T2101" s="10">
        <v>69.25</v>
      </c>
      <c r="U2101" s="10">
        <v>68.849999999999994</v>
      </c>
      <c r="V2101" s="10">
        <v>68.489999999999995</v>
      </c>
      <c r="W2101" s="10">
        <v>68.150000000000006</v>
      </c>
      <c r="X2101" s="10">
        <v>67.83</v>
      </c>
      <c r="Y2101" s="10">
        <v>67.540000000000006</v>
      </c>
      <c r="Z2101" s="11">
        <v>77.853999999999999</v>
      </c>
      <c r="AA2101" s="11">
        <v>75.212000000000003</v>
      </c>
      <c r="AB2101" s="11">
        <v>74.668999999999997</v>
      </c>
      <c r="AC2101" s="11">
        <v>74.119</v>
      </c>
      <c r="AD2101" s="11">
        <v>73.569000000000003</v>
      </c>
      <c r="AE2101" s="11">
        <v>73.034000000000006</v>
      </c>
      <c r="AF2101" s="11">
        <v>72.591999999999999</v>
      </c>
      <c r="AG2101" s="11">
        <v>72.185000000000002</v>
      </c>
      <c r="AH2101" s="11">
        <v>71.816000000000003</v>
      </c>
      <c r="AI2101" s="11">
        <v>71.465999999999994</v>
      </c>
      <c r="AJ2101" s="11">
        <v>71.137</v>
      </c>
      <c r="AK2101" s="11">
        <v>70.88</v>
      </c>
      <c r="AL2101" s="11"/>
    </row>
    <row r="2102" spans="1:38" x14ac:dyDescent="0.3">
      <c r="A2102" s="9">
        <f>DATE(2025, 2, 18)</f>
        <v>45706</v>
      </c>
      <c r="B2102" s="10">
        <v>75.84</v>
      </c>
      <c r="C2102" s="10">
        <v>75.430000000000007</v>
      </c>
      <c r="D2102" s="10">
        <v>74.989999999999995</v>
      </c>
      <c r="E2102" s="10">
        <v>74.56</v>
      </c>
      <c r="F2102" s="10">
        <v>74.11</v>
      </c>
      <c r="G2102" s="10">
        <v>73.66</v>
      </c>
      <c r="H2102" s="10">
        <v>73.23</v>
      </c>
      <c r="I2102" s="10">
        <v>72.84</v>
      </c>
      <c r="J2102" s="10">
        <v>72.47</v>
      </c>
      <c r="K2102" s="10">
        <v>72.14</v>
      </c>
      <c r="L2102" s="10">
        <v>71.83</v>
      </c>
      <c r="M2102" s="10">
        <v>71.56</v>
      </c>
      <c r="N2102" s="10">
        <v>71.849999999999994</v>
      </c>
      <c r="O2102" s="10">
        <v>71.83</v>
      </c>
      <c r="P2102" s="10">
        <v>71.58</v>
      </c>
      <c r="Q2102" s="10">
        <v>71.260000000000005</v>
      </c>
      <c r="R2102" s="10">
        <v>70.87</v>
      </c>
      <c r="S2102" s="10">
        <v>70.430000000000007</v>
      </c>
      <c r="T2102" s="10">
        <v>69.97</v>
      </c>
      <c r="U2102" s="10">
        <v>69.5</v>
      </c>
      <c r="V2102" s="10">
        <v>69.08</v>
      </c>
      <c r="W2102" s="10">
        <v>68.7</v>
      </c>
      <c r="X2102" s="10">
        <v>68.349999999999994</v>
      </c>
      <c r="Y2102" s="10">
        <v>68.040000000000006</v>
      </c>
      <c r="Z2102" s="11">
        <v>78.116</v>
      </c>
      <c r="AA2102" s="11">
        <v>75.828999999999994</v>
      </c>
      <c r="AB2102" s="11">
        <v>75.245000000000005</v>
      </c>
      <c r="AC2102" s="11">
        <v>74.664000000000001</v>
      </c>
      <c r="AD2102" s="11">
        <v>74.064999999999998</v>
      </c>
      <c r="AE2102" s="11">
        <v>73.495999999999995</v>
      </c>
      <c r="AF2102" s="11">
        <v>73.016000000000005</v>
      </c>
      <c r="AG2102" s="11">
        <v>72.567999999999998</v>
      </c>
      <c r="AH2102" s="11">
        <v>72.171000000000006</v>
      </c>
      <c r="AI2102" s="11">
        <v>71.790000000000006</v>
      </c>
      <c r="AJ2102" s="11">
        <v>71.45</v>
      </c>
      <c r="AK2102" s="11">
        <v>71.176000000000002</v>
      </c>
      <c r="AL2102" s="11"/>
    </row>
    <row r="2103" spans="1:38" x14ac:dyDescent="0.3">
      <c r="A2103" s="9">
        <f>DATE(2025, 2, 19)</f>
        <v>45707</v>
      </c>
      <c r="B2103" s="10">
        <v>76.040000000000006</v>
      </c>
      <c r="C2103" s="10">
        <v>75.67</v>
      </c>
      <c r="D2103" s="10">
        <v>75.239999999999995</v>
      </c>
      <c r="E2103" s="10">
        <v>74.8</v>
      </c>
      <c r="F2103" s="10">
        <v>74.349999999999994</v>
      </c>
      <c r="G2103" s="10">
        <v>73.900000000000006</v>
      </c>
      <c r="H2103" s="10">
        <v>73.48</v>
      </c>
      <c r="I2103" s="10">
        <v>73.09</v>
      </c>
      <c r="J2103" s="10">
        <v>72.73</v>
      </c>
      <c r="K2103" s="10">
        <v>72.39</v>
      </c>
      <c r="L2103" s="10">
        <v>72.069999999999993</v>
      </c>
      <c r="M2103" s="10">
        <v>71.8</v>
      </c>
      <c r="N2103" s="10">
        <v>72.25</v>
      </c>
      <c r="O2103" s="10">
        <v>72.099999999999994</v>
      </c>
      <c r="P2103" s="10">
        <v>71.849999999999994</v>
      </c>
      <c r="Q2103" s="10">
        <v>71.510000000000005</v>
      </c>
      <c r="R2103" s="10">
        <v>71.12</v>
      </c>
      <c r="S2103" s="10">
        <v>70.680000000000007</v>
      </c>
      <c r="T2103" s="10">
        <v>70.209999999999994</v>
      </c>
      <c r="U2103" s="10">
        <v>69.75</v>
      </c>
      <c r="V2103" s="10">
        <v>69.34</v>
      </c>
      <c r="W2103" s="10">
        <v>68.97</v>
      </c>
      <c r="X2103" s="10">
        <v>68.61</v>
      </c>
      <c r="Y2103" s="10">
        <v>68.27</v>
      </c>
      <c r="Z2103" s="11">
        <v>78.391999999999996</v>
      </c>
      <c r="AA2103" s="11">
        <v>76.317999999999998</v>
      </c>
      <c r="AB2103" s="11">
        <v>75.629000000000005</v>
      </c>
      <c r="AC2103" s="11">
        <v>74.968999999999994</v>
      </c>
      <c r="AD2103" s="11">
        <v>74.349000000000004</v>
      </c>
      <c r="AE2103" s="11">
        <v>73.777000000000001</v>
      </c>
      <c r="AF2103" s="11">
        <v>73.286000000000001</v>
      </c>
      <c r="AG2103" s="11">
        <v>72.838999999999999</v>
      </c>
      <c r="AH2103" s="11">
        <v>72.454999999999998</v>
      </c>
      <c r="AI2103" s="11">
        <v>72.093999999999994</v>
      </c>
      <c r="AJ2103" s="11">
        <v>71.745000000000005</v>
      </c>
      <c r="AK2103" s="11">
        <v>71.472999999999999</v>
      </c>
      <c r="AL2103" s="11"/>
    </row>
    <row r="2104" spans="1:38" x14ac:dyDescent="0.3">
      <c r="A2104" s="9">
        <f>DATE(2025, 2, 20)</f>
        <v>45708</v>
      </c>
      <c r="B2104" s="10">
        <v>76.48</v>
      </c>
      <c r="C2104" s="10">
        <v>76.05</v>
      </c>
      <c r="D2104" s="10">
        <v>75.61</v>
      </c>
      <c r="E2104" s="10">
        <v>75.19</v>
      </c>
      <c r="F2104" s="10">
        <v>74.75</v>
      </c>
      <c r="G2104" s="10">
        <v>74.3</v>
      </c>
      <c r="H2104" s="10">
        <v>73.87</v>
      </c>
      <c r="I2104" s="10">
        <v>73.47</v>
      </c>
      <c r="J2104" s="10">
        <v>73.11</v>
      </c>
      <c r="K2104" s="10">
        <v>72.77</v>
      </c>
      <c r="L2104" s="10">
        <v>72.45</v>
      </c>
      <c r="M2104" s="10">
        <v>72.17</v>
      </c>
      <c r="N2104" s="10">
        <v>72.569999999999993</v>
      </c>
      <c r="O2104" s="10">
        <v>72.48</v>
      </c>
      <c r="P2104" s="10">
        <v>72.290000000000006</v>
      </c>
      <c r="Q2104" s="10">
        <v>71.97</v>
      </c>
      <c r="R2104" s="10">
        <v>71.569999999999993</v>
      </c>
      <c r="S2104" s="10">
        <v>71.12</v>
      </c>
      <c r="T2104" s="10">
        <v>70.650000000000006</v>
      </c>
      <c r="U2104" s="10">
        <v>70.180000000000007</v>
      </c>
      <c r="V2104" s="10">
        <v>69.760000000000005</v>
      </c>
      <c r="W2104" s="10">
        <v>69.38</v>
      </c>
      <c r="X2104" s="10">
        <v>69.02</v>
      </c>
      <c r="Y2104" s="10">
        <v>68.7</v>
      </c>
      <c r="Z2104" s="11">
        <v>78.477999999999994</v>
      </c>
      <c r="AA2104" s="11">
        <v>76.745000000000005</v>
      </c>
      <c r="AB2104" s="11">
        <v>75.989999999999995</v>
      </c>
      <c r="AC2104" s="11">
        <v>75.325000000000003</v>
      </c>
      <c r="AD2104" s="11">
        <v>74.709000000000003</v>
      </c>
      <c r="AE2104" s="11">
        <v>74.128</v>
      </c>
      <c r="AF2104" s="11">
        <v>73.641999999999996</v>
      </c>
      <c r="AG2104" s="11">
        <v>73.194000000000003</v>
      </c>
      <c r="AH2104" s="11">
        <v>72.784999999999997</v>
      </c>
      <c r="AI2104" s="11">
        <v>72.403999999999996</v>
      </c>
      <c r="AJ2104" s="11">
        <v>72.034999999999997</v>
      </c>
      <c r="AK2104" s="11">
        <v>71.738</v>
      </c>
      <c r="AL2104" s="11"/>
    </row>
    <row r="2105" spans="1:38" x14ac:dyDescent="0.3">
      <c r="A2105" s="9">
        <f>DATE(2025, 2, 21)</f>
        <v>45709</v>
      </c>
      <c r="B2105" s="10">
        <v>74.430000000000007</v>
      </c>
      <c r="C2105" s="10">
        <v>74.05</v>
      </c>
      <c r="D2105" s="10">
        <v>73.680000000000007</v>
      </c>
      <c r="E2105" s="10">
        <v>73.3</v>
      </c>
      <c r="F2105" s="10">
        <v>72.91</v>
      </c>
      <c r="G2105" s="10">
        <v>72.510000000000005</v>
      </c>
      <c r="H2105" s="10">
        <v>72.13</v>
      </c>
      <c r="I2105" s="10">
        <v>71.78</v>
      </c>
      <c r="J2105" s="10">
        <v>71.459999999999994</v>
      </c>
      <c r="K2105" s="10">
        <v>71.16</v>
      </c>
      <c r="L2105" s="10">
        <v>70.88</v>
      </c>
      <c r="M2105" s="10">
        <v>70.64</v>
      </c>
      <c r="N2105" s="10">
        <v>70.400000000000006</v>
      </c>
      <c r="O2105" s="10">
        <v>70.22</v>
      </c>
      <c r="P2105" s="10">
        <v>69.95</v>
      </c>
      <c r="Q2105" s="10">
        <v>69.61</v>
      </c>
      <c r="R2105" s="10">
        <v>69.2</v>
      </c>
      <c r="S2105" s="10">
        <v>68.78</v>
      </c>
      <c r="T2105" s="10">
        <v>68.36</v>
      </c>
      <c r="U2105" s="10">
        <v>67.989999999999995</v>
      </c>
      <c r="V2105" s="10">
        <v>67.66</v>
      </c>
      <c r="W2105" s="10">
        <v>67.34</v>
      </c>
      <c r="X2105" s="10">
        <v>67.069999999999993</v>
      </c>
      <c r="Y2105" s="10">
        <v>66.83</v>
      </c>
      <c r="Z2105" s="11">
        <v>77.960999999999999</v>
      </c>
      <c r="AA2105" s="11">
        <v>74.790000000000006</v>
      </c>
      <c r="AB2105" s="11">
        <v>74.087000000000003</v>
      </c>
      <c r="AC2105" s="11">
        <v>73.436999999999998</v>
      </c>
      <c r="AD2105" s="11">
        <v>72.832999999999998</v>
      </c>
      <c r="AE2105" s="11">
        <v>72.298000000000002</v>
      </c>
      <c r="AF2105" s="11">
        <v>71.858000000000004</v>
      </c>
      <c r="AG2105" s="11">
        <v>71.457999999999998</v>
      </c>
      <c r="AH2105" s="11">
        <v>71.091999999999999</v>
      </c>
      <c r="AI2105" s="11">
        <v>70.751999999999995</v>
      </c>
      <c r="AJ2105" s="11">
        <v>70.438000000000002</v>
      </c>
      <c r="AK2105" s="11">
        <v>70.19</v>
      </c>
      <c r="AL2105" s="11"/>
    </row>
    <row r="2106" spans="1:38" x14ac:dyDescent="0.3">
      <c r="A2106" s="9">
        <f>DATE(2025, 2, 24)</f>
        <v>45712</v>
      </c>
      <c r="B2106" s="10">
        <v>74.78</v>
      </c>
      <c r="C2106" s="10">
        <v>74.31</v>
      </c>
      <c r="D2106" s="10">
        <v>73.89</v>
      </c>
      <c r="E2106" s="10">
        <v>73.489999999999995</v>
      </c>
      <c r="F2106" s="10">
        <v>73.069999999999993</v>
      </c>
      <c r="G2106" s="10">
        <v>72.66</v>
      </c>
      <c r="H2106" s="10">
        <v>72.260000000000005</v>
      </c>
      <c r="I2106" s="10">
        <v>71.900000000000006</v>
      </c>
      <c r="J2106" s="10">
        <v>71.56</v>
      </c>
      <c r="K2106" s="10">
        <v>71.25</v>
      </c>
      <c r="L2106" s="10">
        <v>70.959999999999994</v>
      </c>
      <c r="M2106" s="10">
        <v>70.72</v>
      </c>
      <c r="N2106" s="10">
        <v>70.7</v>
      </c>
      <c r="O2106" s="10">
        <v>70.45</v>
      </c>
      <c r="P2106" s="10">
        <v>70.13</v>
      </c>
      <c r="Q2106" s="10">
        <v>69.760000000000005</v>
      </c>
      <c r="R2106" s="10">
        <v>69.34</v>
      </c>
      <c r="S2106" s="10">
        <v>68.900000000000006</v>
      </c>
      <c r="T2106" s="10">
        <v>68.47</v>
      </c>
      <c r="U2106" s="10">
        <v>68.09</v>
      </c>
      <c r="V2106" s="10">
        <v>67.75</v>
      </c>
      <c r="W2106" s="10">
        <v>67.44</v>
      </c>
      <c r="X2106" s="10">
        <v>67.150000000000006</v>
      </c>
      <c r="Y2106" s="10">
        <v>66.900000000000006</v>
      </c>
      <c r="Z2106" s="11">
        <v>78.003</v>
      </c>
      <c r="AA2106" s="11">
        <v>74.962000000000003</v>
      </c>
      <c r="AB2106" s="11">
        <v>74.320999999999998</v>
      </c>
      <c r="AC2106" s="11">
        <v>73.671000000000006</v>
      </c>
      <c r="AD2106" s="11">
        <v>73.042000000000002</v>
      </c>
      <c r="AE2106" s="11">
        <v>72.491</v>
      </c>
      <c r="AF2106" s="11">
        <v>72.022999999999996</v>
      </c>
      <c r="AG2106" s="11">
        <v>71.605000000000004</v>
      </c>
      <c r="AH2106" s="11">
        <v>71.227000000000004</v>
      </c>
      <c r="AI2106" s="11">
        <v>70.876000000000005</v>
      </c>
      <c r="AJ2106" s="11">
        <v>70.558000000000007</v>
      </c>
      <c r="AK2106" s="11">
        <v>70.3</v>
      </c>
      <c r="AL2106" s="11"/>
    </row>
    <row r="2107" spans="1:38" x14ac:dyDescent="0.3">
      <c r="A2107" s="9">
        <f>DATE(2025, 2, 25)</f>
        <v>45713</v>
      </c>
      <c r="B2107" s="10">
        <v>73.02</v>
      </c>
      <c r="C2107" s="10">
        <v>72.5</v>
      </c>
      <c r="D2107" s="10">
        <v>72.09</v>
      </c>
      <c r="E2107" s="10">
        <v>71.709999999999994</v>
      </c>
      <c r="F2107" s="10">
        <v>71.319999999999993</v>
      </c>
      <c r="G2107" s="10">
        <v>70.94</v>
      </c>
      <c r="H2107" s="10">
        <v>70.569999999999993</v>
      </c>
      <c r="I2107" s="10">
        <v>70.23</v>
      </c>
      <c r="J2107" s="10">
        <v>69.930000000000007</v>
      </c>
      <c r="K2107" s="10">
        <v>69.66</v>
      </c>
      <c r="L2107" s="10">
        <v>69.42</v>
      </c>
      <c r="M2107" s="10">
        <v>69.209999999999994</v>
      </c>
      <c r="N2107" s="10">
        <v>68.930000000000007</v>
      </c>
      <c r="O2107" s="10">
        <v>68.69</v>
      </c>
      <c r="P2107" s="10">
        <v>68.39</v>
      </c>
      <c r="Q2107" s="10">
        <v>68.040000000000006</v>
      </c>
      <c r="R2107" s="10">
        <v>67.650000000000006</v>
      </c>
      <c r="S2107" s="10">
        <v>67.23</v>
      </c>
      <c r="T2107" s="10">
        <v>66.819999999999993</v>
      </c>
      <c r="U2107" s="10">
        <v>66.48</v>
      </c>
      <c r="V2107" s="10">
        <v>66.17</v>
      </c>
      <c r="W2107" s="10">
        <v>65.88</v>
      </c>
      <c r="X2107" s="10">
        <v>65.650000000000006</v>
      </c>
      <c r="Y2107" s="10">
        <v>65.44</v>
      </c>
      <c r="Z2107" s="11">
        <v>77.78</v>
      </c>
      <c r="AA2107" s="11">
        <v>73.31</v>
      </c>
      <c r="AB2107" s="11">
        <v>72.685000000000002</v>
      </c>
      <c r="AC2107" s="11">
        <v>72.021000000000001</v>
      </c>
      <c r="AD2107" s="11">
        <v>71.391999999999996</v>
      </c>
      <c r="AE2107" s="11">
        <v>70.832999999999998</v>
      </c>
      <c r="AF2107" s="11">
        <v>70.388000000000005</v>
      </c>
      <c r="AG2107" s="11">
        <v>69.989999999999995</v>
      </c>
      <c r="AH2107" s="11">
        <v>69.647000000000006</v>
      </c>
      <c r="AI2107" s="11">
        <v>69.326999999999998</v>
      </c>
      <c r="AJ2107" s="11">
        <v>69.021000000000001</v>
      </c>
      <c r="AK2107" s="11">
        <v>68.790999999999997</v>
      </c>
      <c r="AL2107" s="11"/>
    </row>
    <row r="2108" spans="1:38" x14ac:dyDescent="0.3">
      <c r="A2108" s="9">
        <f>DATE(2025, 2, 26)</f>
        <v>45714</v>
      </c>
      <c r="B2108" s="10">
        <v>72.53</v>
      </c>
      <c r="C2108" s="10">
        <v>72.069999999999993</v>
      </c>
      <c r="D2108" s="10">
        <v>71.61</v>
      </c>
      <c r="E2108" s="10">
        <v>71.19</v>
      </c>
      <c r="F2108" s="10">
        <v>70.78</v>
      </c>
      <c r="G2108" s="10">
        <v>70.37</v>
      </c>
      <c r="H2108" s="10">
        <v>69.989999999999995</v>
      </c>
      <c r="I2108" s="10">
        <v>69.650000000000006</v>
      </c>
      <c r="J2108" s="10">
        <v>69.34</v>
      </c>
      <c r="K2108" s="10">
        <v>69.069999999999993</v>
      </c>
      <c r="L2108" s="10">
        <v>68.84</v>
      </c>
      <c r="M2108" s="10">
        <v>68.650000000000006</v>
      </c>
      <c r="N2108" s="10">
        <v>68.62</v>
      </c>
      <c r="O2108" s="10">
        <v>68.3</v>
      </c>
      <c r="P2108" s="10">
        <v>67.95</v>
      </c>
      <c r="Q2108" s="10">
        <v>67.56</v>
      </c>
      <c r="R2108" s="10">
        <v>67.14</v>
      </c>
      <c r="S2108" s="10">
        <v>66.7</v>
      </c>
      <c r="T2108" s="10">
        <v>66.28</v>
      </c>
      <c r="U2108" s="10">
        <v>65.92</v>
      </c>
      <c r="V2108" s="10">
        <v>65.61</v>
      </c>
      <c r="W2108" s="10">
        <v>65.33</v>
      </c>
      <c r="X2108" s="10">
        <v>65.09</v>
      </c>
      <c r="Y2108" s="10">
        <v>64.89</v>
      </c>
      <c r="Z2108" s="11">
        <v>77.778999999999996</v>
      </c>
      <c r="AA2108" s="11">
        <v>72.988</v>
      </c>
      <c r="AB2108" s="11">
        <v>72.3</v>
      </c>
      <c r="AC2108" s="11">
        <v>71.600999999999999</v>
      </c>
      <c r="AD2108" s="11">
        <v>70.92</v>
      </c>
      <c r="AE2108" s="11">
        <v>70.322999999999993</v>
      </c>
      <c r="AF2108" s="11">
        <v>69.853999999999999</v>
      </c>
      <c r="AG2108" s="11">
        <v>69.436000000000007</v>
      </c>
      <c r="AH2108" s="11">
        <v>69.075999999999993</v>
      </c>
      <c r="AI2108" s="11">
        <v>68.757000000000005</v>
      </c>
      <c r="AJ2108" s="11">
        <v>68.475999999999999</v>
      </c>
      <c r="AK2108" s="11">
        <v>68.242000000000004</v>
      </c>
      <c r="AL2108" s="11"/>
    </row>
    <row r="2109" spans="1:38" x14ac:dyDescent="0.3">
      <c r="A2109" s="9">
        <f>DATE(2025, 2, 27)</f>
        <v>45715</v>
      </c>
      <c r="B2109" s="10">
        <v>74.040000000000006</v>
      </c>
      <c r="C2109" s="10">
        <v>73.569999999999993</v>
      </c>
      <c r="D2109" s="10">
        <v>73.06</v>
      </c>
      <c r="E2109" s="10">
        <v>72.569999999999993</v>
      </c>
      <c r="F2109" s="10">
        <v>72.09</v>
      </c>
      <c r="G2109" s="10">
        <v>71.62</v>
      </c>
      <c r="H2109" s="10">
        <v>71.19</v>
      </c>
      <c r="I2109" s="10">
        <v>70.8</v>
      </c>
      <c r="J2109" s="10">
        <v>70.459999999999994</v>
      </c>
      <c r="K2109" s="10">
        <v>70.150000000000006</v>
      </c>
      <c r="L2109" s="10">
        <v>69.88</v>
      </c>
      <c r="M2109" s="10">
        <v>69.650000000000006</v>
      </c>
      <c r="N2109" s="10">
        <v>70.349999999999994</v>
      </c>
      <c r="O2109" s="10">
        <v>69.95</v>
      </c>
      <c r="P2109" s="10">
        <v>69.5</v>
      </c>
      <c r="Q2109" s="10">
        <v>69.02</v>
      </c>
      <c r="R2109" s="10">
        <v>68.510000000000005</v>
      </c>
      <c r="S2109" s="10">
        <v>67.989999999999995</v>
      </c>
      <c r="T2109" s="10">
        <v>67.5</v>
      </c>
      <c r="U2109" s="10">
        <v>67.08</v>
      </c>
      <c r="V2109" s="10">
        <v>66.709999999999994</v>
      </c>
      <c r="W2109" s="10">
        <v>66.38</v>
      </c>
      <c r="X2109" s="10">
        <v>66.099999999999994</v>
      </c>
      <c r="Y2109" s="10">
        <v>65.86</v>
      </c>
      <c r="Z2109" s="11">
        <v>77.888999999999996</v>
      </c>
      <c r="AA2109" s="11">
        <v>74.522999999999996</v>
      </c>
      <c r="AB2109" s="11">
        <v>73.8</v>
      </c>
      <c r="AC2109" s="11">
        <v>73.040000000000006</v>
      </c>
      <c r="AD2109" s="11">
        <v>72.313000000000002</v>
      </c>
      <c r="AE2109" s="11">
        <v>71.661000000000001</v>
      </c>
      <c r="AF2109" s="11">
        <v>71.141000000000005</v>
      </c>
      <c r="AG2109" s="11">
        <v>70.665000000000006</v>
      </c>
      <c r="AH2109" s="11">
        <v>70.257000000000005</v>
      </c>
      <c r="AI2109" s="11">
        <v>69.887</v>
      </c>
      <c r="AJ2109" s="11">
        <v>69.569000000000003</v>
      </c>
      <c r="AK2109" s="11">
        <v>69.319999999999993</v>
      </c>
      <c r="AL2109" s="11"/>
    </row>
    <row r="2110" spans="1:38" x14ac:dyDescent="0.3">
      <c r="A2110" s="9">
        <f>DATE(2025, 2, 28)</f>
        <v>45716</v>
      </c>
      <c r="B2110" s="10">
        <v>73.180000000000007</v>
      </c>
      <c r="C2110" s="10">
        <v>72.81</v>
      </c>
      <c r="D2110" s="10">
        <v>72.28</v>
      </c>
      <c r="E2110" s="10">
        <v>71.790000000000006</v>
      </c>
      <c r="F2110" s="10">
        <v>71.3</v>
      </c>
      <c r="G2110" s="10">
        <v>70.849999999999994</v>
      </c>
      <c r="H2110" s="10">
        <v>70.430000000000007</v>
      </c>
      <c r="I2110" s="10">
        <v>70.05</v>
      </c>
      <c r="J2110" s="10">
        <v>69.72</v>
      </c>
      <c r="K2110" s="10">
        <v>69.430000000000007</v>
      </c>
      <c r="L2110" s="10">
        <v>69.17</v>
      </c>
      <c r="M2110" s="10">
        <v>68.95</v>
      </c>
      <c r="N2110" s="10">
        <v>69.760000000000005</v>
      </c>
      <c r="O2110" s="10">
        <v>69.34</v>
      </c>
      <c r="P2110" s="10">
        <v>68.87</v>
      </c>
      <c r="Q2110" s="10">
        <v>68.38</v>
      </c>
      <c r="R2110" s="10">
        <v>67.86</v>
      </c>
      <c r="S2110" s="10">
        <v>67.34</v>
      </c>
      <c r="T2110" s="10">
        <v>66.849999999999994</v>
      </c>
      <c r="U2110" s="10">
        <v>66.430000000000007</v>
      </c>
      <c r="V2110" s="10">
        <v>66.06</v>
      </c>
      <c r="W2110" s="10">
        <v>65.73</v>
      </c>
      <c r="X2110" s="10">
        <v>65.45</v>
      </c>
      <c r="Y2110" s="10">
        <v>65.23</v>
      </c>
      <c r="Z2110" s="11">
        <v>77.92</v>
      </c>
      <c r="AA2110" s="11">
        <v>73.605000000000004</v>
      </c>
      <c r="AB2110" s="11">
        <v>72.918999999999997</v>
      </c>
      <c r="AC2110" s="11">
        <v>72.197999999999993</v>
      </c>
      <c r="AD2110" s="11">
        <v>71.488</v>
      </c>
      <c r="AE2110" s="11">
        <v>70.846000000000004</v>
      </c>
      <c r="AF2110" s="11">
        <v>70.326999999999998</v>
      </c>
      <c r="AG2110" s="11">
        <v>69.869</v>
      </c>
      <c r="AH2110" s="11">
        <v>69.477000000000004</v>
      </c>
      <c r="AI2110" s="11">
        <v>69.117000000000004</v>
      </c>
      <c r="AJ2110" s="11">
        <v>68.81</v>
      </c>
      <c r="AK2110" s="11">
        <v>68.555000000000007</v>
      </c>
      <c r="AL2110" s="11"/>
    </row>
    <row r="2111" spans="1:38" x14ac:dyDescent="0.3">
      <c r="A2111" s="9">
        <f>DATE(2025, 3, 3)</f>
        <v>45719</v>
      </c>
      <c r="B2111" s="10">
        <v>71.62</v>
      </c>
      <c r="C2111" s="10">
        <v>71.16</v>
      </c>
      <c r="D2111" s="10">
        <v>70.760000000000005</v>
      </c>
      <c r="E2111" s="10">
        <v>70.36</v>
      </c>
      <c r="F2111" s="10">
        <v>69.98</v>
      </c>
      <c r="G2111" s="10">
        <v>69.63</v>
      </c>
      <c r="H2111" s="10">
        <v>69.31</v>
      </c>
      <c r="I2111" s="10">
        <v>69.02</v>
      </c>
      <c r="J2111" s="10">
        <v>68.77</v>
      </c>
      <c r="K2111" s="10">
        <v>68.540000000000006</v>
      </c>
      <c r="L2111" s="10">
        <v>68.349999999999994</v>
      </c>
      <c r="M2111" s="10">
        <v>68.19</v>
      </c>
      <c r="N2111" s="10">
        <v>68.37</v>
      </c>
      <c r="O2111" s="10">
        <v>68.06</v>
      </c>
      <c r="P2111" s="10">
        <v>67.680000000000007</v>
      </c>
      <c r="Q2111" s="10">
        <v>67.28</v>
      </c>
      <c r="R2111" s="10">
        <v>66.849999999999994</v>
      </c>
      <c r="S2111" s="10">
        <v>66.42</v>
      </c>
      <c r="T2111" s="10">
        <v>66</v>
      </c>
      <c r="U2111" s="10">
        <v>65.63</v>
      </c>
      <c r="V2111" s="10">
        <v>65.319999999999993</v>
      </c>
      <c r="W2111" s="10">
        <v>65.03</v>
      </c>
      <c r="X2111" s="10">
        <v>64.8</v>
      </c>
      <c r="Y2111" s="10">
        <v>64.599999999999994</v>
      </c>
      <c r="Z2111" s="11">
        <v>77.92</v>
      </c>
      <c r="AA2111" s="11">
        <v>72.031999999999996</v>
      </c>
      <c r="AB2111" s="11">
        <v>71.468000000000004</v>
      </c>
      <c r="AC2111" s="11">
        <v>70.867999999999995</v>
      </c>
      <c r="AD2111" s="11">
        <v>70.287999999999997</v>
      </c>
      <c r="AE2111" s="11">
        <v>69.753</v>
      </c>
      <c r="AF2111" s="11">
        <v>69.322999999999993</v>
      </c>
      <c r="AG2111" s="11">
        <v>68.94</v>
      </c>
      <c r="AH2111" s="11">
        <v>68.602000000000004</v>
      </c>
      <c r="AI2111" s="11">
        <v>68.31</v>
      </c>
      <c r="AJ2111" s="11">
        <v>68.058999999999997</v>
      </c>
      <c r="AK2111" s="11">
        <v>67.872</v>
      </c>
      <c r="AL2111" s="11"/>
    </row>
    <row r="2112" spans="1:38" x14ac:dyDescent="0.3">
      <c r="A2112" s="9">
        <f>DATE(2025, 3, 4)</f>
        <v>45720</v>
      </c>
      <c r="B2112" s="10">
        <v>71.040000000000006</v>
      </c>
      <c r="C2112" s="10">
        <v>70.56</v>
      </c>
      <c r="D2112" s="10">
        <v>70.16</v>
      </c>
      <c r="E2112" s="10">
        <v>69.78</v>
      </c>
      <c r="F2112" s="10">
        <v>69.430000000000007</v>
      </c>
      <c r="G2112" s="10">
        <v>69.12</v>
      </c>
      <c r="H2112" s="10">
        <v>68.84</v>
      </c>
      <c r="I2112" s="10">
        <v>68.599999999999994</v>
      </c>
      <c r="J2112" s="10">
        <v>68.38</v>
      </c>
      <c r="K2112" s="10">
        <v>68.19</v>
      </c>
      <c r="L2112" s="10">
        <v>68.040000000000006</v>
      </c>
      <c r="M2112" s="10">
        <v>67.900000000000006</v>
      </c>
      <c r="N2112" s="10">
        <v>68.260000000000005</v>
      </c>
      <c r="O2112" s="10">
        <v>67.7</v>
      </c>
      <c r="P2112" s="10">
        <v>67.2</v>
      </c>
      <c r="Q2112" s="10">
        <v>66.75</v>
      </c>
      <c r="R2112" s="10">
        <v>66.33</v>
      </c>
      <c r="S2112" s="10">
        <v>65.930000000000007</v>
      </c>
      <c r="T2112" s="10">
        <v>65.56</v>
      </c>
      <c r="U2112" s="10">
        <v>65.239999999999995</v>
      </c>
      <c r="V2112" s="10">
        <v>64.959999999999994</v>
      </c>
      <c r="W2112" s="10">
        <v>64.709999999999994</v>
      </c>
      <c r="X2112" s="10">
        <v>64.510000000000005</v>
      </c>
      <c r="Y2112" s="10">
        <v>64.349999999999994</v>
      </c>
      <c r="Z2112" s="11">
        <v>71.284000000000006</v>
      </c>
      <c r="AA2112" s="11">
        <v>70.811000000000007</v>
      </c>
      <c r="AB2112" s="11">
        <v>70.281000000000006</v>
      </c>
      <c r="AC2112" s="11">
        <v>69.777000000000001</v>
      </c>
      <c r="AD2112" s="11">
        <v>69.307000000000002</v>
      </c>
      <c r="AE2112" s="11">
        <v>68.915999999999997</v>
      </c>
      <c r="AF2112" s="11">
        <v>68.558000000000007</v>
      </c>
      <c r="AG2112" s="11">
        <v>68.265000000000001</v>
      </c>
      <c r="AH2112" s="11">
        <v>68.004999999999995</v>
      </c>
      <c r="AI2112" s="11">
        <v>67.771000000000001</v>
      </c>
      <c r="AJ2112" s="11">
        <v>67.613</v>
      </c>
      <c r="AK2112" s="11">
        <v>67.454999999999998</v>
      </c>
      <c r="AL2112" s="11"/>
    </row>
    <row r="2113" spans="1:38" x14ac:dyDescent="0.3">
      <c r="A2113" s="9">
        <f>DATE(2025, 3, 5)</f>
        <v>45721</v>
      </c>
      <c r="B2113" s="10">
        <v>69.3</v>
      </c>
      <c r="C2113" s="10">
        <v>68.900000000000006</v>
      </c>
      <c r="D2113" s="10">
        <v>68.56</v>
      </c>
      <c r="E2113" s="10">
        <v>68.22</v>
      </c>
      <c r="F2113" s="10">
        <v>67.900000000000006</v>
      </c>
      <c r="G2113" s="10">
        <v>67.62</v>
      </c>
      <c r="H2113" s="10">
        <v>67.38</v>
      </c>
      <c r="I2113" s="10">
        <v>67.180000000000007</v>
      </c>
      <c r="J2113" s="10">
        <v>67</v>
      </c>
      <c r="K2113" s="10">
        <v>66.84</v>
      </c>
      <c r="L2113" s="10">
        <v>66.7</v>
      </c>
      <c r="M2113" s="10">
        <v>66.58</v>
      </c>
      <c r="N2113" s="10">
        <v>66.31</v>
      </c>
      <c r="O2113" s="10">
        <v>65.91</v>
      </c>
      <c r="P2113" s="10">
        <v>65.52</v>
      </c>
      <c r="Q2113" s="10">
        <v>65.150000000000006</v>
      </c>
      <c r="R2113" s="10">
        <v>64.790000000000006</v>
      </c>
      <c r="S2113" s="10">
        <v>64.44</v>
      </c>
      <c r="T2113" s="10">
        <v>64.11</v>
      </c>
      <c r="U2113" s="10">
        <v>63.83</v>
      </c>
      <c r="V2113" s="10">
        <v>63.58</v>
      </c>
      <c r="W2113" s="10">
        <v>63.36</v>
      </c>
      <c r="X2113" s="10">
        <v>63.18</v>
      </c>
      <c r="Y2113" s="10">
        <v>63.05</v>
      </c>
      <c r="Z2113" s="11">
        <v>70.263999999999996</v>
      </c>
      <c r="AA2113" s="11">
        <v>69.459999999999994</v>
      </c>
      <c r="AB2113" s="11">
        <v>68.86</v>
      </c>
      <c r="AC2113" s="11">
        <v>68.33</v>
      </c>
      <c r="AD2113" s="11">
        <v>67.855999999999995</v>
      </c>
      <c r="AE2113" s="11">
        <v>67.475999999999999</v>
      </c>
      <c r="AF2113" s="11">
        <v>67.146000000000001</v>
      </c>
      <c r="AG2113" s="11">
        <v>66.885999999999996</v>
      </c>
      <c r="AH2113" s="11">
        <v>66.646000000000001</v>
      </c>
      <c r="AI2113" s="11">
        <v>66.436000000000007</v>
      </c>
      <c r="AJ2113" s="11">
        <v>66.274000000000001</v>
      </c>
      <c r="AK2113" s="11">
        <v>66.135999999999996</v>
      </c>
      <c r="AL2113" s="11"/>
    </row>
    <row r="2114" spans="1:38" x14ac:dyDescent="0.3">
      <c r="A2114" s="9">
        <f>DATE(2025, 3, 6)</f>
        <v>45722</v>
      </c>
      <c r="B2114" s="10">
        <v>69.459999999999994</v>
      </c>
      <c r="C2114" s="10">
        <v>68.98</v>
      </c>
      <c r="D2114" s="10">
        <v>68.58</v>
      </c>
      <c r="E2114" s="10">
        <v>68.2</v>
      </c>
      <c r="F2114" s="10">
        <v>67.849999999999994</v>
      </c>
      <c r="G2114" s="10">
        <v>67.55</v>
      </c>
      <c r="H2114" s="10">
        <v>67.290000000000006</v>
      </c>
      <c r="I2114" s="10">
        <v>67.069999999999993</v>
      </c>
      <c r="J2114" s="10">
        <v>66.87</v>
      </c>
      <c r="K2114" s="10">
        <v>66.69</v>
      </c>
      <c r="L2114" s="10">
        <v>66.55</v>
      </c>
      <c r="M2114" s="10">
        <v>66.430000000000007</v>
      </c>
      <c r="N2114" s="10">
        <v>66.36</v>
      </c>
      <c r="O2114" s="10">
        <v>66</v>
      </c>
      <c r="P2114" s="10">
        <v>65.59</v>
      </c>
      <c r="Q2114" s="10">
        <v>65.19</v>
      </c>
      <c r="R2114" s="10">
        <v>64.790000000000006</v>
      </c>
      <c r="S2114" s="10">
        <v>64.41</v>
      </c>
      <c r="T2114" s="10">
        <v>64.06</v>
      </c>
      <c r="U2114" s="10">
        <v>63.75</v>
      </c>
      <c r="V2114" s="10">
        <v>63.5</v>
      </c>
      <c r="W2114" s="10">
        <v>63.27</v>
      </c>
      <c r="X2114" s="10">
        <v>63.08</v>
      </c>
      <c r="Y2114" s="10">
        <v>62.93</v>
      </c>
      <c r="Z2114" s="11">
        <v>70.5</v>
      </c>
      <c r="AA2114" s="11">
        <v>69.741</v>
      </c>
      <c r="AB2114" s="11">
        <v>69.051000000000002</v>
      </c>
      <c r="AC2114" s="11">
        <v>68.411000000000001</v>
      </c>
      <c r="AD2114" s="11">
        <v>67.861000000000004</v>
      </c>
      <c r="AE2114" s="11">
        <v>67.441000000000003</v>
      </c>
      <c r="AF2114" s="11">
        <v>67.081000000000003</v>
      </c>
      <c r="AG2114" s="11">
        <v>66.792000000000002</v>
      </c>
      <c r="AH2114" s="11">
        <v>66.542000000000002</v>
      </c>
      <c r="AI2114" s="11">
        <v>66.316999999999993</v>
      </c>
      <c r="AJ2114" s="11">
        <v>66.134</v>
      </c>
      <c r="AK2114" s="11">
        <v>65.989999999999995</v>
      </c>
      <c r="AL2114" s="11"/>
    </row>
    <row r="2115" spans="1:38" x14ac:dyDescent="0.3">
      <c r="A2115" s="9">
        <f>DATE(2025, 3, 7)</f>
        <v>45723</v>
      </c>
      <c r="B2115" s="10">
        <v>70.36</v>
      </c>
      <c r="C2115" s="10">
        <v>69.88</v>
      </c>
      <c r="D2115" s="10">
        <v>69.45</v>
      </c>
      <c r="E2115" s="10">
        <v>69.05</v>
      </c>
      <c r="F2115" s="10">
        <v>68.69</v>
      </c>
      <c r="G2115" s="10">
        <v>68.37</v>
      </c>
      <c r="H2115" s="10">
        <v>68.099999999999994</v>
      </c>
      <c r="I2115" s="10">
        <v>67.88</v>
      </c>
      <c r="J2115" s="10">
        <v>67.680000000000007</v>
      </c>
      <c r="K2115" s="10">
        <v>67.5</v>
      </c>
      <c r="L2115" s="10">
        <v>67.349999999999994</v>
      </c>
      <c r="M2115" s="10">
        <v>67.22</v>
      </c>
      <c r="N2115" s="10">
        <v>67.040000000000006</v>
      </c>
      <c r="O2115" s="10">
        <v>66.75</v>
      </c>
      <c r="P2115" s="10">
        <v>66.36</v>
      </c>
      <c r="Q2115" s="10">
        <v>65.959999999999994</v>
      </c>
      <c r="R2115" s="10">
        <v>65.55</v>
      </c>
      <c r="S2115" s="10">
        <v>65.16</v>
      </c>
      <c r="T2115" s="10">
        <v>64.790000000000006</v>
      </c>
      <c r="U2115" s="10">
        <v>64.48</v>
      </c>
      <c r="V2115" s="10">
        <v>64.22</v>
      </c>
      <c r="W2115" s="10">
        <v>63.98</v>
      </c>
      <c r="X2115" s="10">
        <v>63.79</v>
      </c>
      <c r="Y2115" s="10">
        <v>63.63</v>
      </c>
      <c r="Z2115" s="11">
        <v>71.278999999999996</v>
      </c>
      <c r="AA2115" s="11">
        <v>70.712000000000003</v>
      </c>
      <c r="AB2115" s="11">
        <v>69.941999999999993</v>
      </c>
      <c r="AC2115" s="11">
        <v>69.259</v>
      </c>
      <c r="AD2115" s="11">
        <v>68.671999999999997</v>
      </c>
      <c r="AE2115" s="11">
        <v>68.231999999999999</v>
      </c>
      <c r="AF2115" s="11">
        <v>67.852000000000004</v>
      </c>
      <c r="AG2115" s="11">
        <v>67.552000000000007</v>
      </c>
      <c r="AH2115" s="11">
        <v>67.302000000000007</v>
      </c>
      <c r="AI2115" s="11">
        <v>67.072999999999993</v>
      </c>
      <c r="AJ2115" s="11">
        <v>66.884</v>
      </c>
      <c r="AK2115" s="11">
        <v>66.765000000000001</v>
      </c>
      <c r="AL2115" s="11"/>
    </row>
    <row r="2116" spans="1:38" x14ac:dyDescent="0.3">
      <c r="A2116" s="9">
        <f>DATE(2025, 3, 10)</f>
        <v>45726</v>
      </c>
      <c r="B2116" s="10">
        <v>69.28</v>
      </c>
      <c r="C2116" s="10">
        <v>68.790000000000006</v>
      </c>
      <c r="D2116" s="10">
        <v>68.33</v>
      </c>
      <c r="E2116" s="10">
        <v>67.91</v>
      </c>
      <c r="F2116" s="10">
        <v>67.540000000000006</v>
      </c>
      <c r="G2116" s="10">
        <v>67.209999999999994</v>
      </c>
      <c r="H2116" s="10">
        <v>66.94</v>
      </c>
      <c r="I2116" s="10">
        <v>66.709999999999994</v>
      </c>
      <c r="J2116" s="10">
        <v>66.5</v>
      </c>
      <c r="K2116" s="10">
        <v>66.319999999999993</v>
      </c>
      <c r="L2116" s="10">
        <v>66.180000000000007</v>
      </c>
      <c r="M2116" s="10">
        <v>66.069999999999993</v>
      </c>
      <c r="N2116" s="10">
        <v>66.03</v>
      </c>
      <c r="O2116" s="10">
        <v>65.680000000000007</v>
      </c>
      <c r="P2116" s="10">
        <v>65.27</v>
      </c>
      <c r="Q2116" s="10">
        <v>64.849999999999994</v>
      </c>
      <c r="R2116" s="10">
        <v>64.44</v>
      </c>
      <c r="S2116" s="10">
        <v>64.040000000000006</v>
      </c>
      <c r="T2116" s="10">
        <v>63.67</v>
      </c>
      <c r="U2116" s="10">
        <v>63.36</v>
      </c>
      <c r="V2116" s="10">
        <v>63.09</v>
      </c>
      <c r="W2116" s="10">
        <v>62.85</v>
      </c>
      <c r="X2116" s="10">
        <v>62.66</v>
      </c>
      <c r="Y2116" s="10">
        <v>62.52</v>
      </c>
      <c r="Z2116" s="11">
        <v>70.587999999999994</v>
      </c>
      <c r="AA2116" s="11">
        <v>69.763000000000005</v>
      </c>
      <c r="AB2116" s="11">
        <v>68.974000000000004</v>
      </c>
      <c r="AC2116" s="11">
        <v>68.293999999999997</v>
      </c>
      <c r="AD2116" s="11">
        <v>67.694000000000003</v>
      </c>
      <c r="AE2116" s="11">
        <v>67.244</v>
      </c>
      <c r="AF2116" s="11">
        <v>66.838999999999999</v>
      </c>
      <c r="AG2116" s="11">
        <v>66.5</v>
      </c>
      <c r="AH2116" s="11">
        <v>66.2</v>
      </c>
      <c r="AI2116" s="11">
        <v>65.926000000000002</v>
      </c>
      <c r="AJ2116" s="11">
        <v>65.736999999999995</v>
      </c>
      <c r="AK2116" s="11">
        <v>65.617999999999995</v>
      </c>
      <c r="AL2116" s="11"/>
    </row>
    <row r="2117" spans="1:38" x14ac:dyDescent="0.3">
      <c r="A2117" s="9">
        <f>DATE(2025, 3, 11)</f>
        <v>45727</v>
      </c>
      <c r="B2117" s="10">
        <v>69.56</v>
      </c>
      <c r="C2117" s="10">
        <v>69.05</v>
      </c>
      <c r="D2117" s="10">
        <v>68.569999999999993</v>
      </c>
      <c r="E2117" s="10">
        <v>68.13</v>
      </c>
      <c r="F2117" s="10">
        <v>67.739999999999995</v>
      </c>
      <c r="G2117" s="10">
        <v>67.41</v>
      </c>
      <c r="H2117" s="10">
        <v>67.13</v>
      </c>
      <c r="I2117" s="10">
        <v>66.900000000000006</v>
      </c>
      <c r="J2117" s="10">
        <v>66.69</v>
      </c>
      <c r="K2117" s="10">
        <v>66.5</v>
      </c>
      <c r="L2117" s="10">
        <v>66.349999999999994</v>
      </c>
      <c r="M2117" s="10">
        <v>66.22</v>
      </c>
      <c r="N2117" s="10">
        <v>66.25</v>
      </c>
      <c r="O2117" s="10">
        <v>65.930000000000007</v>
      </c>
      <c r="P2117" s="10">
        <v>65.53</v>
      </c>
      <c r="Q2117" s="10">
        <v>65.11</v>
      </c>
      <c r="R2117" s="10">
        <v>64.69</v>
      </c>
      <c r="S2117" s="10">
        <v>64.27</v>
      </c>
      <c r="T2117" s="10">
        <v>63.88</v>
      </c>
      <c r="U2117" s="10">
        <v>63.55</v>
      </c>
      <c r="V2117" s="10">
        <v>63.27</v>
      </c>
      <c r="W2117" s="10">
        <v>63.02</v>
      </c>
      <c r="X2117" s="10">
        <v>62.81</v>
      </c>
      <c r="Y2117" s="10">
        <v>62.66</v>
      </c>
      <c r="Z2117" s="11">
        <v>70.683000000000007</v>
      </c>
      <c r="AA2117" s="11">
        <v>69.927000000000007</v>
      </c>
      <c r="AB2117" s="11">
        <v>69.167000000000002</v>
      </c>
      <c r="AC2117" s="11">
        <v>68.480999999999995</v>
      </c>
      <c r="AD2117" s="11">
        <v>67.881</v>
      </c>
      <c r="AE2117" s="11">
        <v>67.432000000000002</v>
      </c>
      <c r="AF2117" s="11">
        <v>67.034999999999997</v>
      </c>
      <c r="AG2117" s="11">
        <v>66.69</v>
      </c>
      <c r="AH2117" s="11">
        <v>66.38</v>
      </c>
      <c r="AI2117" s="11">
        <v>66.094999999999999</v>
      </c>
      <c r="AJ2117" s="11">
        <v>65.914000000000001</v>
      </c>
      <c r="AK2117" s="11">
        <v>65.784999999999997</v>
      </c>
      <c r="AL2117" s="11"/>
    </row>
    <row r="2118" spans="1:38" x14ac:dyDescent="0.3">
      <c r="A2118" s="9">
        <f>DATE(2025, 3, 12)</f>
        <v>45728</v>
      </c>
      <c r="B2118" s="10">
        <v>70.95</v>
      </c>
      <c r="C2118" s="10">
        <v>70.45</v>
      </c>
      <c r="D2118" s="10">
        <v>69.959999999999994</v>
      </c>
      <c r="E2118" s="10">
        <v>69.52</v>
      </c>
      <c r="F2118" s="10">
        <v>69.11</v>
      </c>
      <c r="G2118" s="10">
        <v>68.75</v>
      </c>
      <c r="H2118" s="10">
        <v>68.45</v>
      </c>
      <c r="I2118" s="10">
        <v>68.2</v>
      </c>
      <c r="J2118" s="10">
        <v>67.97</v>
      </c>
      <c r="K2118" s="10">
        <v>67.77</v>
      </c>
      <c r="L2118" s="10">
        <v>67.599999999999994</v>
      </c>
      <c r="M2118" s="10">
        <v>67.459999999999994</v>
      </c>
      <c r="N2118" s="10">
        <v>67.680000000000007</v>
      </c>
      <c r="O2118" s="10">
        <v>67.38</v>
      </c>
      <c r="P2118" s="10">
        <v>66.97</v>
      </c>
      <c r="Q2118" s="10">
        <v>66.52</v>
      </c>
      <c r="R2118" s="10">
        <v>66.06</v>
      </c>
      <c r="S2118" s="10">
        <v>65.61</v>
      </c>
      <c r="T2118" s="10">
        <v>65.19</v>
      </c>
      <c r="U2118" s="10">
        <v>64.84</v>
      </c>
      <c r="V2118" s="10">
        <v>64.540000000000006</v>
      </c>
      <c r="W2118" s="10">
        <v>64.28</v>
      </c>
      <c r="X2118" s="10">
        <v>64.069999999999993</v>
      </c>
      <c r="Y2118" s="10">
        <v>63.9</v>
      </c>
      <c r="Z2118" s="11">
        <v>71.527000000000001</v>
      </c>
      <c r="AA2118" s="11">
        <v>71.284999999999997</v>
      </c>
      <c r="AB2118" s="11">
        <v>70.498000000000005</v>
      </c>
      <c r="AC2118" s="11">
        <v>69.8</v>
      </c>
      <c r="AD2118" s="11">
        <v>69.201999999999998</v>
      </c>
      <c r="AE2118" s="11">
        <v>68.745999999999995</v>
      </c>
      <c r="AF2118" s="11">
        <v>68.340999999999994</v>
      </c>
      <c r="AG2118" s="11">
        <v>67.989999999999995</v>
      </c>
      <c r="AH2118" s="11">
        <v>67.659000000000006</v>
      </c>
      <c r="AI2118" s="11">
        <v>67.356999999999999</v>
      </c>
      <c r="AJ2118" s="11">
        <v>67.183000000000007</v>
      </c>
      <c r="AK2118" s="11">
        <v>67.024000000000001</v>
      </c>
      <c r="AL2118" s="11"/>
    </row>
    <row r="2119" spans="1:38" x14ac:dyDescent="0.3">
      <c r="A2119" s="9">
        <f>DATE(2025, 3, 13)</f>
        <v>45729</v>
      </c>
      <c r="B2119" s="10">
        <v>69.88</v>
      </c>
      <c r="C2119" s="10">
        <v>69.400000000000006</v>
      </c>
      <c r="D2119" s="10">
        <v>68.94</v>
      </c>
      <c r="E2119" s="10">
        <v>68.52</v>
      </c>
      <c r="F2119" s="10">
        <v>68.14</v>
      </c>
      <c r="G2119" s="10">
        <v>67.81</v>
      </c>
      <c r="H2119" s="10">
        <v>67.540000000000006</v>
      </c>
      <c r="I2119" s="10">
        <v>67.31</v>
      </c>
      <c r="J2119" s="10">
        <v>67.099999999999994</v>
      </c>
      <c r="K2119" s="10">
        <v>66.92</v>
      </c>
      <c r="L2119" s="10">
        <v>66.77</v>
      </c>
      <c r="M2119" s="10">
        <v>66.650000000000006</v>
      </c>
      <c r="N2119" s="10">
        <v>66.55</v>
      </c>
      <c r="O2119" s="10">
        <v>66.27</v>
      </c>
      <c r="P2119" s="10">
        <v>65.89</v>
      </c>
      <c r="Q2119" s="10">
        <v>65.48</v>
      </c>
      <c r="R2119" s="10">
        <v>65.06</v>
      </c>
      <c r="S2119" s="10">
        <v>64.64</v>
      </c>
      <c r="T2119" s="10">
        <v>64.25</v>
      </c>
      <c r="U2119" s="10">
        <v>63.93</v>
      </c>
      <c r="V2119" s="10">
        <v>63.66</v>
      </c>
      <c r="W2119" s="10">
        <v>63.42</v>
      </c>
      <c r="X2119" s="10">
        <v>63.23</v>
      </c>
      <c r="Y2119" s="10">
        <v>63.09</v>
      </c>
      <c r="Z2119" s="11">
        <v>71.001000000000005</v>
      </c>
      <c r="AA2119" s="11">
        <v>70.307000000000002</v>
      </c>
      <c r="AB2119" s="11">
        <v>69.516000000000005</v>
      </c>
      <c r="AC2119" s="11">
        <v>68.826999999999998</v>
      </c>
      <c r="AD2119" s="11">
        <v>68.260999999999996</v>
      </c>
      <c r="AE2119" s="11">
        <v>67.811999999999998</v>
      </c>
      <c r="AF2119" s="11">
        <v>67.42</v>
      </c>
      <c r="AG2119" s="11">
        <v>67.066000000000003</v>
      </c>
      <c r="AH2119" s="11">
        <v>66.756</v>
      </c>
      <c r="AI2119" s="11">
        <v>66.465999999999994</v>
      </c>
      <c r="AJ2119" s="11">
        <v>66.293999999999997</v>
      </c>
      <c r="AK2119" s="11">
        <v>66.146000000000001</v>
      </c>
      <c r="AL2119" s="11"/>
    </row>
    <row r="2120" spans="1:38" x14ac:dyDescent="0.3">
      <c r="A2120" s="9">
        <f>DATE(2025, 3, 14)</f>
        <v>45730</v>
      </c>
      <c r="B2120" s="10">
        <v>70.58</v>
      </c>
      <c r="C2120" s="10">
        <v>70.06</v>
      </c>
      <c r="D2120" s="10">
        <v>69.55</v>
      </c>
      <c r="E2120" s="10">
        <v>69.099999999999994</v>
      </c>
      <c r="F2120" s="10">
        <v>68.69</v>
      </c>
      <c r="G2120" s="10">
        <v>68.34</v>
      </c>
      <c r="H2120" s="10">
        <v>68.05</v>
      </c>
      <c r="I2120" s="10">
        <v>67.81</v>
      </c>
      <c r="J2120" s="10">
        <v>67.58</v>
      </c>
      <c r="K2120" s="10">
        <v>67.38</v>
      </c>
      <c r="L2120" s="10">
        <v>67.22</v>
      </c>
      <c r="M2120" s="10">
        <v>67.09</v>
      </c>
      <c r="N2120" s="10">
        <v>67.180000000000007</v>
      </c>
      <c r="O2120" s="10">
        <v>66.91</v>
      </c>
      <c r="P2120" s="10">
        <v>66.52</v>
      </c>
      <c r="Q2120" s="10">
        <v>66.08</v>
      </c>
      <c r="R2120" s="10">
        <v>65.62</v>
      </c>
      <c r="S2120" s="10">
        <v>65.180000000000007</v>
      </c>
      <c r="T2120" s="10">
        <v>64.78</v>
      </c>
      <c r="U2120" s="10">
        <v>64.45</v>
      </c>
      <c r="V2120" s="10">
        <v>64.17</v>
      </c>
      <c r="W2120" s="10">
        <v>63.93</v>
      </c>
      <c r="X2120" s="10">
        <v>63.73</v>
      </c>
      <c r="Y2120" s="10">
        <v>63.58</v>
      </c>
      <c r="Z2120" s="11">
        <v>71.451999999999998</v>
      </c>
      <c r="AA2120" s="11">
        <v>71.117999999999995</v>
      </c>
      <c r="AB2120" s="11">
        <v>70.23</v>
      </c>
      <c r="AC2120" s="11">
        <v>69.477999999999994</v>
      </c>
      <c r="AD2120" s="11">
        <v>68.856999999999999</v>
      </c>
      <c r="AE2120" s="11">
        <v>68.382999999999996</v>
      </c>
      <c r="AF2120" s="11">
        <v>67.965999999999994</v>
      </c>
      <c r="AG2120" s="11">
        <v>67.614999999999995</v>
      </c>
      <c r="AH2120" s="11">
        <v>67.281999999999996</v>
      </c>
      <c r="AI2120" s="11">
        <v>66.966999999999999</v>
      </c>
      <c r="AJ2120" s="11">
        <v>66.784000000000006</v>
      </c>
      <c r="AK2120" s="11">
        <v>66.635999999999996</v>
      </c>
      <c r="AL2120" s="11"/>
    </row>
    <row r="2121" spans="1:38" x14ac:dyDescent="0.3">
      <c r="A2121" s="9">
        <f>DATE(2025, 3, 17)</f>
        <v>45733</v>
      </c>
      <c r="B2121" s="10">
        <v>71.069999999999993</v>
      </c>
      <c r="C2121" s="10">
        <v>70.599999999999994</v>
      </c>
      <c r="D2121" s="10">
        <v>70.12</v>
      </c>
      <c r="E2121" s="10">
        <v>69.67</v>
      </c>
      <c r="F2121" s="10">
        <v>69.25</v>
      </c>
      <c r="G2121" s="10">
        <v>68.89</v>
      </c>
      <c r="H2121" s="10">
        <v>68.58</v>
      </c>
      <c r="I2121" s="10">
        <v>68.33</v>
      </c>
      <c r="J2121" s="10">
        <v>68.09</v>
      </c>
      <c r="K2121" s="10">
        <v>67.88</v>
      </c>
      <c r="L2121" s="10">
        <v>67.709999999999994</v>
      </c>
      <c r="M2121" s="10">
        <v>67.569999999999993</v>
      </c>
      <c r="N2121" s="10">
        <v>67.58</v>
      </c>
      <c r="O2121" s="10">
        <v>67.37</v>
      </c>
      <c r="P2121" s="10">
        <v>67.03</v>
      </c>
      <c r="Q2121" s="10">
        <v>66.63</v>
      </c>
      <c r="R2121" s="10">
        <v>66.17</v>
      </c>
      <c r="S2121" s="10">
        <v>65.72</v>
      </c>
      <c r="T2121" s="10">
        <v>65.319999999999993</v>
      </c>
      <c r="U2121" s="10">
        <v>64.989999999999995</v>
      </c>
      <c r="V2121" s="10">
        <v>64.7</v>
      </c>
      <c r="W2121" s="10">
        <v>64.44</v>
      </c>
      <c r="X2121" s="10">
        <v>64.23</v>
      </c>
      <c r="Y2121" s="10">
        <v>64.06</v>
      </c>
      <c r="Z2121" s="11">
        <v>71.792000000000002</v>
      </c>
      <c r="AA2121" s="11">
        <v>71.760000000000005</v>
      </c>
      <c r="AB2121" s="11">
        <v>70.87</v>
      </c>
      <c r="AC2121" s="11">
        <v>70.11</v>
      </c>
      <c r="AD2121" s="11">
        <v>69.474000000000004</v>
      </c>
      <c r="AE2121" s="11">
        <v>68.984999999999999</v>
      </c>
      <c r="AF2121" s="11">
        <v>68.554000000000002</v>
      </c>
      <c r="AG2121" s="11">
        <v>68.185000000000002</v>
      </c>
      <c r="AH2121" s="11">
        <v>67.83</v>
      </c>
      <c r="AI2121" s="11">
        <v>67.518000000000001</v>
      </c>
      <c r="AJ2121" s="11">
        <v>67.307000000000002</v>
      </c>
      <c r="AK2121" s="11">
        <v>67.134</v>
      </c>
      <c r="AL2121" s="11"/>
    </row>
    <row r="2122" spans="1:38" x14ac:dyDescent="0.3">
      <c r="A2122" s="9">
        <f>DATE(2025, 3, 18)</f>
        <v>45734</v>
      </c>
      <c r="B2122" s="10">
        <v>70.56</v>
      </c>
      <c r="C2122" s="10">
        <v>70.12</v>
      </c>
      <c r="D2122" s="10">
        <v>69.7</v>
      </c>
      <c r="E2122" s="10">
        <v>69.27</v>
      </c>
      <c r="F2122" s="10">
        <v>68.87</v>
      </c>
      <c r="G2122" s="10">
        <v>68.52</v>
      </c>
      <c r="H2122" s="10">
        <v>68.239999999999995</v>
      </c>
      <c r="I2122" s="10">
        <v>68</v>
      </c>
      <c r="J2122" s="10">
        <v>67.78</v>
      </c>
      <c r="K2122" s="10">
        <v>67.59</v>
      </c>
      <c r="L2122" s="10">
        <v>67.44</v>
      </c>
      <c r="M2122" s="10">
        <v>67.31</v>
      </c>
      <c r="N2122" s="10">
        <v>66.900000000000006</v>
      </c>
      <c r="O2122" s="10">
        <v>66.75</v>
      </c>
      <c r="P2122" s="10">
        <v>66.48</v>
      </c>
      <c r="Q2122" s="10">
        <v>66.13</v>
      </c>
      <c r="R2122" s="10">
        <v>65.72</v>
      </c>
      <c r="S2122" s="10">
        <v>65.3</v>
      </c>
      <c r="T2122" s="10">
        <v>64.92</v>
      </c>
      <c r="U2122" s="10">
        <v>64.599999999999994</v>
      </c>
      <c r="V2122" s="10">
        <v>64.34</v>
      </c>
      <c r="W2122" s="10">
        <v>64.11</v>
      </c>
      <c r="X2122" s="10">
        <v>63.91</v>
      </c>
      <c r="Y2122" s="10">
        <v>63.76</v>
      </c>
      <c r="Z2122" s="11">
        <v>71.650999999999996</v>
      </c>
      <c r="AA2122" s="11">
        <v>71.320999999999998</v>
      </c>
      <c r="AB2122" s="11">
        <v>70.480999999999995</v>
      </c>
      <c r="AC2122" s="11">
        <v>69.760999999999996</v>
      </c>
      <c r="AD2122" s="11">
        <v>69.16</v>
      </c>
      <c r="AE2122" s="11">
        <v>68.698999999999998</v>
      </c>
      <c r="AF2122" s="11">
        <v>68.278999999999996</v>
      </c>
      <c r="AG2122" s="11">
        <v>67.926000000000002</v>
      </c>
      <c r="AH2122" s="11">
        <v>67.594999999999999</v>
      </c>
      <c r="AI2122" s="11">
        <v>67.278000000000006</v>
      </c>
      <c r="AJ2122" s="11">
        <v>67.073999999999998</v>
      </c>
      <c r="AK2122" s="11">
        <v>66.906000000000006</v>
      </c>
      <c r="AL2122" s="11"/>
    </row>
    <row r="2123" spans="1:38" x14ac:dyDescent="0.3">
      <c r="A2123" s="9">
        <f>DATE(2025, 3, 19)</f>
        <v>45735</v>
      </c>
      <c r="B2123" s="10">
        <v>70.78</v>
      </c>
      <c r="C2123" s="10">
        <v>70.319999999999993</v>
      </c>
      <c r="D2123" s="10">
        <v>69.87</v>
      </c>
      <c r="E2123" s="10">
        <v>69.430000000000007</v>
      </c>
      <c r="F2123" s="10">
        <v>69.02</v>
      </c>
      <c r="G2123" s="10">
        <v>68.66</v>
      </c>
      <c r="H2123" s="10">
        <v>68.37</v>
      </c>
      <c r="I2123" s="10">
        <v>68.13</v>
      </c>
      <c r="J2123" s="10">
        <v>67.91</v>
      </c>
      <c r="K2123" s="10">
        <v>67.709999999999994</v>
      </c>
      <c r="L2123" s="10">
        <v>67.55</v>
      </c>
      <c r="M2123" s="10">
        <v>67.42</v>
      </c>
      <c r="N2123" s="10">
        <v>67.16</v>
      </c>
      <c r="O2123" s="10">
        <v>66.91</v>
      </c>
      <c r="P2123" s="10">
        <v>66.62</v>
      </c>
      <c r="Q2123" s="10">
        <v>66.260000000000005</v>
      </c>
      <c r="R2123" s="10">
        <v>65.83</v>
      </c>
      <c r="S2123" s="10">
        <v>65.400000000000006</v>
      </c>
      <c r="T2123" s="10">
        <v>65.010000000000005</v>
      </c>
      <c r="U2123" s="10">
        <v>64.69</v>
      </c>
      <c r="V2123" s="10">
        <v>64.42</v>
      </c>
      <c r="W2123" s="10">
        <v>64.17</v>
      </c>
      <c r="X2123" s="10">
        <v>63.98</v>
      </c>
      <c r="Y2123" s="10">
        <v>63.83</v>
      </c>
      <c r="Z2123" s="11">
        <v>71.83</v>
      </c>
      <c r="AA2123" s="11">
        <v>71.683999999999997</v>
      </c>
      <c r="AB2123" s="11">
        <v>70.885000000000005</v>
      </c>
      <c r="AC2123" s="11">
        <v>70.174999999999997</v>
      </c>
      <c r="AD2123" s="11">
        <v>69.569000000000003</v>
      </c>
      <c r="AE2123" s="11">
        <v>69.075999999999993</v>
      </c>
      <c r="AF2123" s="11">
        <v>68.638999999999996</v>
      </c>
      <c r="AG2123" s="11">
        <v>68.260000000000005</v>
      </c>
      <c r="AH2123" s="11">
        <v>67.91</v>
      </c>
      <c r="AI2123" s="11">
        <v>67.584000000000003</v>
      </c>
      <c r="AJ2123" s="11">
        <v>67.343999999999994</v>
      </c>
      <c r="AK2123" s="11">
        <v>67.165999999999997</v>
      </c>
      <c r="AL2123" s="11"/>
    </row>
    <row r="2124" spans="1:38" x14ac:dyDescent="0.3">
      <c r="A2124" s="9">
        <f>DATE(2025, 3, 20)</f>
        <v>45736</v>
      </c>
      <c r="B2124" s="10">
        <v>72</v>
      </c>
      <c r="C2124" s="10">
        <v>71.47</v>
      </c>
      <c r="D2124" s="10">
        <v>70.959999999999994</v>
      </c>
      <c r="E2124" s="10">
        <v>70.47</v>
      </c>
      <c r="F2124" s="10">
        <v>70.02</v>
      </c>
      <c r="G2124" s="10">
        <v>69.63</v>
      </c>
      <c r="H2124" s="10">
        <v>69.3</v>
      </c>
      <c r="I2124" s="10">
        <v>69.03</v>
      </c>
      <c r="J2124" s="10">
        <v>68.78</v>
      </c>
      <c r="K2124" s="10">
        <v>68.56</v>
      </c>
      <c r="L2124" s="10">
        <v>68.38</v>
      </c>
      <c r="M2124" s="10">
        <v>68.23</v>
      </c>
      <c r="N2124" s="10">
        <v>68.260000000000005</v>
      </c>
      <c r="O2124" s="10">
        <v>68.069999999999993</v>
      </c>
      <c r="P2124" s="10">
        <v>67.7</v>
      </c>
      <c r="Q2124" s="10">
        <v>67.290000000000006</v>
      </c>
      <c r="R2124" s="10">
        <v>66.83</v>
      </c>
      <c r="S2124" s="10">
        <v>66.37</v>
      </c>
      <c r="T2124" s="10">
        <v>65.95</v>
      </c>
      <c r="U2124" s="10">
        <v>65.59</v>
      </c>
      <c r="V2124" s="10">
        <v>65.290000000000006</v>
      </c>
      <c r="W2124" s="10">
        <v>65.02</v>
      </c>
      <c r="X2124" s="10">
        <v>64.8</v>
      </c>
      <c r="Y2124" s="10">
        <v>64.63</v>
      </c>
      <c r="Z2124" s="11">
        <v>72.316999999999993</v>
      </c>
      <c r="AA2124" s="11">
        <v>73.275999999999996</v>
      </c>
      <c r="AB2124" s="11">
        <v>72.328000000000003</v>
      </c>
      <c r="AC2124" s="11">
        <v>71.459000000000003</v>
      </c>
      <c r="AD2124" s="11">
        <v>70.753</v>
      </c>
      <c r="AE2124" s="11">
        <v>70.218999999999994</v>
      </c>
      <c r="AF2124" s="11">
        <v>69.748000000000005</v>
      </c>
      <c r="AG2124" s="11">
        <v>69.33</v>
      </c>
      <c r="AH2124" s="11">
        <v>68.936000000000007</v>
      </c>
      <c r="AI2124" s="11">
        <v>68.563999999999993</v>
      </c>
      <c r="AJ2124" s="11">
        <v>68.293000000000006</v>
      </c>
      <c r="AK2124" s="11">
        <v>68.073999999999998</v>
      </c>
      <c r="AL2124" s="11"/>
    </row>
    <row r="2125" spans="1:38" x14ac:dyDescent="0.3">
      <c r="A2125" s="9">
        <f>DATE(2025, 3, 21)</f>
        <v>45737</v>
      </c>
      <c r="B2125" s="10">
        <v>72.16</v>
      </c>
      <c r="C2125" s="10">
        <v>71.61</v>
      </c>
      <c r="D2125" s="10">
        <v>71.08</v>
      </c>
      <c r="E2125" s="10">
        <v>70.569999999999993</v>
      </c>
      <c r="F2125" s="10">
        <v>70.099999999999994</v>
      </c>
      <c r="G2125" s="10">
        <v>69.69</v>
      </c>
      <c r="H2125" s="10">
        <v>69.34</v>
      </c>
      <c r="I2125" s="10">
        <v>69.05</v>
      </c>
      <c r="J2125" s="10">
        <v>68.78</v>
      </c>
      <c r="K2125" s="10">
        <v>68.540000000000006</v>
      </c>
      <c r="L2125" s="10">
        <v>68.349999999999994</v>
      </c>
      <c r="M2125" s="10">
        <v>68.19</v>
      </c>
      <c r="N2125" s="10">
        <v>68.28</v>
      </c>
      <c r="O2125" s="10">
        <v>67.89</v>
      </c>
      <c r="P2125" s="10">
        <v>67.459999999999994</v>
      </c>
      <c r="Q2125" s="10">
        <v>66.98</v>
      </c>
      <c r="R2125" s="10">
        <v>66.5</v>
      </c>
      <c r="S2125" s="10">
        <v>66.040000000000006</v>
      </c>
      <c r="T2125" s="10">
        <v>65.67</v>
      </c>
      <c r="U2125" s="10">
        <v>65.33</v>
      </c>
      <c r="V2125" s="10">
        <v>65.040000000000006</v>
      </c>
      <c r="W2125" s="10">
        <v>64.81</v>
      </c>
      <c r="X2125" s="10">
        <v>64.62</v>
      </c>
      <c r="Y2125" s="10">
        <v>64.459999999999994</v>
      </c>
      <c r="Z2125" s="11">
        <v>72.266999999999996</v>
      </c>
      <c r="AA2125" s="11">
        <v>73.11</v>
      </c>
      <c r="AB2125" s="11">
        <v>72.287000000000006</v>
      </c>
      <c r="AC2125" s="11">
        <v>71.438000000000002</v>
      </c>
      <c r="AD2125" s="11">
        <v>70.747</v>
      </c>
      <c r="AE2125" s="11">
        <v>70.207999999999998</v>
      </c>
      <c r="AF2125" s="11">
        <v>69.742000000000004</v>
      </c>
      <c r="AG2125" s="11">
        <v>69.322999999999993</v>
      </c>
      <c r="AH2125" s="11">
        <v>68.923000000000002</v>
      </c>
      <c r="AI2125" s="11">
        <v>68.555000000000007</v>
      </c>
      <c r="AJ2125" s="11">
        <v>68.262</v>
      </c>
      <c r="AK2125" s="11">
        <v>68.034000000000006</v>
      </c>
      <c r="AL2125" s="11"/>
    </row>
    <row r="2126" spans="1:38" x14ac:dyDescent="0.3">
      <c r="A2126" s="9">
        <f>DATE(2025, 3, 24)</f>
        <v>45740</v>
      </c>
      <c r="B2126" s="10">
        <v>73</v>
      </c>
      <c r="C2126" s="10">
        <v>72.37</v>
      </c>
      <c r="D2126" s="10">
        <v>71.8</v>
      </c>
      <c r="E2126" s="10">
        <v>71.27</v>
      </c>
      <c r="F2126" s="10">
        <v>70.760000000000005</v>
      </c>
      <c r="G2126" s="10">
        <v>70.31</v>
      </c>
      <c r="H2126" s="10">
        <v>69.930000000000007</v>
      </c>
      <c r="I2126" s="10">
        <v>69.61</v>
      </c>
      <c r="J2126" s="10">
        <v>69.319999999999993</v>
      </c>
      <c r="K2126" s="10">
        <v>69.06</v>
      </c>
      <c r="L2126" s="10">
        <v>68.849999999999994</v>
      </c>
      <c r="M2126" s="10">
        <v>68.67</v>
      </c>
      <c r="N2126" s="10">
        <v>69.11</v>
      </c>
      <c r="O2126" s="10">
        <v>68.66</v>
      </c>
      <c r="P2126" s="10">
        <v>68.209999999999994</v>
      </c>
      <c r="Q2126" s="10">
        <v>67.72</v>
      </c>
      <c r="R2126" s="10">
        <v>67.19</v>
      </c>
      <c r="S2126" s="10">
        <v>66.7</v>
      </c>
      <c r="T2126" s="10">
        <v>66.28</v>
      </c>
      <c r="U2126" s="10">
        <v>65.91</v>
      </c>
      <c r="V2126" s="10">
        <v>65.59</v>
      </c>
      <c r="W2126" s="10">
        <v>65.33</v>
      </c>
      <c r="X2126" s="10">
        <v>65.12</v>
      </c>
      <c r="Y2126" s="10">
        <v>64.95</v>
      </c>
      <c r="Z2126" s="11">
        <v>72.388999999999996</v>
      </c>
      <c r="AA2126" s="11">
        <v>73.813999999999993</v>
      </c>
      <c r="AB2126" s="11">
        <v>73.016000000000005</v>
      </c>
      <c r="AC2126" s="11">
        <v>72.155000000000001</v>
      </c>
      <c r="AD2126" s="11">
        <v>71.436999999999998</v>
      </c>
      <c r="AE2126" s="11">
        <v>70.858999999999995</v>
      </c>
      <c r="AF2126" s="11">
        <v>70.349999999999994</v>
      </c>
      <c r="AG2126" s="11">
        <v>69.91</v>
      </c>
      <c r="AH2126" s="11">
        <v>69.497</v>
      </c>
      <c r="AI2126" s="11">
        <v>69.103999999999999</v>
      </c>
      <c r="AJ2126" s="11">
        <v>68.801000000000002</v>
      </c>
      <c r="AK2126" s="11">
        <v>68.552999999999997</v>
      </c>
      <c r="AL2126" s="11"/>
    </row>
    <row r="2127" spans="1:38" x14ac:dyDescent="0.3">
      <c r="A2127" s="9">
        <f>DATE(2025, 3, 25)</f>
        <v>45741</v>
      </c>
      <c r="B2127" s="10">
        <v>73.02</v>
      </c>
      <c r="C2127" s="10">
        <v>72.39</v>
      </c>
      <c r="D2127" s="10">
        <v>71.819999999999993</v>
      </c>
      <c r="E2127" s="10">
        <v>71.290000000000006</v>
      </c>
      <c r="F2127" s="10">
        <v>70.77</v>
      </c>
      <c r="G2127" s="10">
        <v>70.31</v>
      </c>
      <c r="H2127" s="10">
        <v>69.930000000000007</v>
      </c>
      <c r="I2127" s="10">
        <v>69.61</v>
      </c>
      <c r="J2127" s="10">
        <v>69.319999999999993</v>
      </c>
      <c r="K2127" s="10">
        <v>69.06</v>
      </c>
      <c r="L2127" s="10">
        <v>68.849999999999994</v>
      </c>
      <c r="M2127" s="10">
        <v>68.67</v>
      </c>
      <c r="N2127" s="10">
        <v>69</v>
      </c>
      <c r="O2127" s="10">
        <v>68.599999999999994</v>
      </c>
      <c r="P2127" s="10">
        <v>68.17</v>
      </c>
      <c r="Q2127" s="10">
        <v>67.680000000000007</v>
      </c>
      <c r="R2127" s="10">
        <v>67.17</v>
      </c>
      <c r="S2127" s="10">
        <v>66.680000000000007</v>
      </c>
      <c r="T2127" s="10">
        <v>66.27</v>
      </c>
      <c r="U2127" s="10">
        <v>65.91</v>
      </c>
      <c r="V2127" s="10">
        <v>65.59</v>
      </c>
      <c r="W2127" s="10">
        <v>65.34</v>
      </c>
      <c r="X2127" s="10">
        <v>65.13</v>
      </c>
      <c r="Y2127" s="10">
        <v>64.959999999999994</v>
      </c>
      <c r="Z2127" s="11">
        <v>72.394999999999996</v>
      </c>
      <c r="AA2127" s="11">
        <v>73.795000000000002</v>
      </c>
      <c r="AB2127" s="11">
        <v>73.036000000000001</v>
      </c>
      <c r="AC2127" s="11">
        <v>72.174999999999997</v>
      </c>
      <c r="AD2127" s="11">
        <v>71.453000000000003</v>
      </c>
      <c r="AE2127" s="11">
        <v>70.861999999999995</v>
      </c>
      <c r="AF2127" s="11">
        <v>70.341999999999999</v>
      </c>
      <c r="AG2127" s="11">
        <v>69.918999999999997</v>
      </c>
      <c r="AH2127" s="11">
        <v>69.516999999999996</v>
      </c>
      <c r="AI2127" s="11">
        <v>69.138000000000005</v>
      </c>
      <c r="AJ2127" s="11">
        <v>68.825999999999993</v>
      </c>
      <c r="AK2127" s="11">
        <v>68.563000000000002</v>
      </c>
      <c r="AL2127" s="11"/>
    </row>
    <row r="2128" spans="1:38" x14ac:dyDescent="0.3">
      <c r="A2128" s="9">
        <f>DATE(2025, 3, 26)</f>
        <v>45742</v>
      </c>
      <c r="B2128" s="10">
        <v>73.790000000000006</v>
      </c>
      <c r="C2128" s="10">
        <v>73.06</v>
      </c>
      <c r="D2128" s="10">
        <v>72.44</v>
      </c>
      <c r="E2128" s="10">
        <v>71.86</v>
      </c>
      <c r="F2128" s="10">
        <v>71.33</v>
      </c>
      <c r="G2128" s="10">
        <v>70.849999999999994</v>
      </c>
      <c r="H2128" s="10">
        <v>70.45</v>
      </c>
      <c r="I2128" s="10">
        <v>70.11</v>
      </c>
      <c r="J2128" s="10">
        <v>69.81</v>
      </c>
      <c r="K2128" s="10">
        <v>69.53</v>
      </c>
      <c r="L2128" s="10">
        <v>69.31</v>
      </c>
      <c r="M2128" s="10">
        <v>69.12</v>
      </c>
      <c r="N2128" s="10">
        <v>69.650000000000006</v>
      </c>
      <c r="O2128" s="10">
        <v>69.209999999999994</v>
      </c>
      <c r="P2128" s="10">
        <v>68.73</v>
      </c>
      <c r="Q2128" s="10">
        <v>68.2</v>
      </c>
      <c r="R2128" s="10">
        <v>67.680000000000007</v>
      </c>
      <c r="S2128" s="10">
        <v>67.17</v>
      </c>
      <c r="T2128" s="10">
        <v>66.75</v>
      </c>
      <c r="U2128" s="10">
        <v>66.36</v>
      </c>
      <c r="V2128" s="10">
        <v>66.03</v>
      </c>
      <c r="W2128" s="10">
        <v>65.760000000000005</v>
      </c>
      <c r="X2128" s="10">
        <v>65.540000000000006</v>
      </c>
      <c r="Y2128" s="10">
        <v>65.36</v>
      </c>
      <c r="Z2128" s="11">
        <v>72.474000000000004</v>
      </c>
      <c r="AA2128" s="11">
        <v>74.340999999999994</v>
      </c>
      <c r="AB2128" s="11">
        <v>73.561999999999998</v>
      </c>
      <c r="AC2128" s="11">
        <v>72.683000000000007</v>
      </c>
      <c r="AD2128" s="11">
        <v>71.962000000000003</v>
      </c>
      <c r="AE2128" s="11">
        <v>71.340999999999994</v>
      </c>
      <c r="AF2128" s="11">
        <v>70.801000000000002</v>
      </c>
      <c r="AG2128" s="11">
        <v>70.355000000000004</v>
      </c>
      <c r="AH2128" s="11">
        <v>69.944000000000003</v>
      </c>
      <c r="AI2128" s="11">
        <v>69.548000000000002</v>
      </c>
      <c r="AJ2128" s="11">
        <v>69.241</v>
      </c>
      <c r="AK2128" s="11">
        <v>68.983000000000004</v>
      </c>
      <c r="AL2128" s="11"/>
    </row>
    <row r="2129" spans="1:38" x14ac:dyDescent="0.3">
      <c r="A2129" s="9">
        <f>DATE(2025, 3, 27)</f>
        <v>45743</v>
      </c>
      <c r="B2129" s="10">
        <v>74.03</v>
      </c>
      <c r="C2129" s="10">
        <v>73.34</v>
      </c>
      <c r="D2129" s="10">
        <v>72.680000000000007</v>
      </c>
      <c r="E2129" s="10">
        <v>72.09</v>
      </c>
      <c r="F2129" s="10">
        <v>71.56</v>
      </c>
      <c r="G2129" s="10">
        <v>71.099999999999994</v>
      </c>
      <c r="H2129" s="10">
        <v>70.709999999999994</v>
      </c>
      <c r="I2129" s="10">
        <v>70.39</v>
      </c>
      <c r="J2129" s="10">
        <v>70.09</v>
      </c>
      <c r="K2129" s="10">
        <v>69.819999999999993</v>
      </c>
      <c r="L2129" s="10">
        <v>69.599999999999994</v>
      </c>
      <c r="M2129" s="10">
        <v>69.42</v>
      </c>
      <c r="N2129" s="10">
        <v>69.92</v>
      </c>
      <c r="O2129" s="10">
        <v>69.489999999999995</v>
      </c>
      <c r="P2129" s="10">
        <v>69</v>
      </c>
      <c r="Q2129" s="10">
        <v>68.47</v>
      </c>
      <c r="R2129" s="10">
        <v>67.95</v>
      </c>
      <c r="S2129" s="10">
        <v>67.45</v>
      </c>
      <c r="T2129" s="10">
        <v>67.040000000000006</v>
      </c>
      <c r="U2129" s="10">
        <v>66.66</v>
      </c>
      <c r="V2129" s="10">
        <v>66.34</v>
      </c>
      <c r="W2129" s="10">
        <v>66.069999999999993</v>
      </c>
      <c r="X2129" s="10">
        <v>65.849999999999994</v>
      </c>
      <c r="Y2129" s="10">
        <v>65.67</v>
      </c>
      <c r="Z2129" s="11">
        <v>72.468999999999994</v>
      </c>
      <c r="AA2129" s="11">
        <v>74.629000000000005</v>
      </c>
      <c r="AB2129" s="11">
        <v>73.855999999999995</v>
      </c>
      <c r="AC2129" s="11">
        <v>72.947999999999993</v>
      </c>
      <c r="AD2129" s="11">
        <v>72.195999999999998</v>
      </c>
      <c r="AE2129" s="11">
        <v>71.585999999999999</v>
      </c>
      <c r="AF2129" s="11">
        <v>71.064999999999998</v>
      </c>
      <c r="AG2129" s="11">
        <v>70.632999999999996</v>
      </c>
      <c r="AH2129" s="11">
        <v>70.251999999999995</v>
      </c>
      <c r="AI2129" s="11">
        <v>69.875</v>
      </c>
      <c r="AJ2129" s="11">
        <v>69.591999999999999</v>
      </c>
      <c r="AK2129" s="11">
        <v>69.343000000000004</v>
      </c>
      <c r="AL2129" s="11"/>
    </row>
    <row r="2130" spans="1:38" x14ac:dyDescent="0.3">
      <c r="A2130" s="9">
        <f>DATE(2025, 3, 28)</f>
        <v>45744</v>
      </c>
      <c r="B2130" s="10">
        <v>73.63</v>
      </c>
      <c r="C2130" s="10">
        <v>72.760000000000005</v>
      </c>
      <c r="D2130" s="10">
        <v>72.02</v>
      </c>
      <c r="E2130" s="10">
        <v>71.38</v>
      </c>
      <c r="F2130" s="10">
        <v>70.819999999999993</v>
      </c>
      <c r="G2130" s="10">
        <v>70.349999999999994</v>
      </c>
      <c r="H2130" s="10">
        <v>69.95</v>
      </c>
      <c r="I2130" s="10">
        <v>69.62</v>
      </c>
      <c r="J2130" s="10">
        <v>69.31</v>
      </c>
      <c r="K2130" s="10">
        <v>69.040000000000006</v>
      </c>
      <c r="L2130" s="10">
        <v>68.819999999999993</v>
      </c>
      <c r="M2130" s="10">
        <v>68.63</v>
      </c>
      <c r="N2130" s="10">
        <v>69.36</v>
      </c>
      <c r="O2130" s="10">
        <v>68.900000000000006</v>
      </c>
      <c r="P2130" s="10">
        <v>68.349999999999994</v>
      </c>
      <c r="Q2130" s="10">
        <v>67.78</v>
      </c>
      <c r="R2130" s="10">
        <v>67.23</v>
      </c>
      <c r="S2130" s="10">
        <v>66.72</v>
      </c>
      <c r="T2130" s="10">
        <v>66.290000000000006</v>
      </c>
      <c r="U2130" s="10">
        <v>65.92</v>
      </c>
      <c r="V2130" s="10">
        <v>65.59</v>
      </c>
      <c r="W2130" s="10">
        <v>65.319999999999993</v>
      </c>
      <c r="X2130" s="10">
        <v>65.099999999999994</v>
      </c>
      <c r="Y2130" s="10">
        <v>64.930000000000007</v>
      </c>
      <c r="Z2130" s="11">
        <v>72.488</v>
      </c>
      <c r="AA2130" s="11">
        <v>73.989999999999995</v>
      </c>
      <c r="AB2130" s="11">
        <v>73.281000000000006</v>
      </c>
      <c r="AC2130" s="11">
        <v>72.308000000000007</v>
      </c>
      <c r="AD2130" s="11">
        <v>71.488</v>
      </c>
      <c r="AE2130" s="11">
        <v>70.852999999999994</v>
      </c>
      <c r="AF2130" s="11">
        <v>70.314999999999998</v>
      </c>
      <c r="AG2130" s="11">
        <v>69.876999999999995</v>
      </c>
      <c r="AH2130" s="11">
        <v>69.466999999999999</v>
      </c>
      <c r="AI2130" s="11">
        <v>69.069999999999993</v>
      </c>
      <c r="AJ2130" s="11">
        <v>68.790999999999997</v>
      </c>
      <c r="AK2130" s="11">
        <v>68.543000000000006</v>
      </c>
      <c r="AL2130" s="11"/>
    </row>
    <row r="2131" spans="1:38" x14ac:dyDescent="0.3">
      <c r="A2131" s="9">
        <f>DATE(2025, 3, 31)</f>
        <v>45747</v>
      </c>
      <c r="B2131" s="10">
        <v>74.739999999999995</v>
      </c>
      <c r="C2131" s="10">
        <v>74.77</v>
      </c>
      <c r="D2131" s="10">
        <v>73.97</v>
      </c>
      <c r="E2131" s="10">
        <v>73.25</v>
      </c>
      <c r="F2131" s="10">
        <v>72.599999999999994</v>
      </c>
      <c r="G2131" s="10">
        <v>72.040000000000006</v>
      </c>
      <c r="H2131" s="10">
        <v>71.55</v>
      </c>
      <c r="I2131" s="10">
        <v>71.14</v>
      </c>
      <c r="J2131" s="10">
        <v>70.77</v>
      </c>
      <c r="K2131" s="10">
        <v>70.44</v>
      </c>
      <c r="L2131" s="10">
        <v>70.16</v>
      </c>
      <c r="M2131" s="10">
        <v>69.92</v>
      </c>
      <c r="N2131" s="10">
        <v>71.48</v>
      </c>
      <c r="O2131" s="10">
        <v>70.95</v>
      </c>
      <c r="P2131" s="10">
        <v>70.319999999999993</v>
      </c>
      <c r="Q2131" s="10">
        <v>69.650000000000006</v>
      </c>
      <c r="R2131" s="10">
        <v>68.989999999999995</v>
      </c>
      <c r="S2131" s="10">
        <v>68.39</v>
      </c>
      <c r="T2131" s="10">
        <v>67.88</v>
      </c>
      <c r="U2131" s="10">
        <v>67.42</v>
      </c>
      <c r="V2131" s="10">
        <v>67.02</v>
      </c>
      <c r="W2131" s="10">
        <v>66.680000000000007</v>
      </c>
      <c r="X2131" s="10">
        <v>66.400000000000006</v>
      </c>
      <c r="Y2131" s="10">
        <v>66.16</v>
      </c>
      <c r="Z2131" s="11">
        <v>72.488</v>
      </c>
      <c r="AA2131" s="11">
        <v>76.031999999999996</v>
      </c>
      <c r="AB2131" s="11">
        <v>75.206999999999994</v>
      </c>
      <c r="AC2131" s="11">
        <v>74.186999999999998</v>
      </c>
      <c r="AD2131" s="11">
        <v>73.298000000000002</v>
      </c>
      <c r="AE2131" s="11">
        <v>72.572999999999993</v>
      </c>
      <c r="AF2131" s="11">
        <v>71.956999999999994</v>
      </c>
      <c r="AG2131" s="11">
        <v>71.435000000000002</v>
      </c>
      <c r="AH2131" s="11">
        <v>70.963999999999999</v>
      </c>
      <c r="AI2131" s="11">
        <v>70.504999999999995</v>
      </c>
      <c r="AJ2131" s="11">
        <v>70.150000000000006</v>
      </c>
      <c r="AK2131" s="11">
        <v>69.850999999999999</v>
      </c>
      <c r="AL2131" s="11"/>
    </row>
    <row r="2132" spans="1:38" x14ac:dyDescent="0.3">
      <c r="A2132" s="9">
        <f>DATE(2025, 4, 1)</f>
        <v>45748</v>
      </c>
      <c r="B2132" s="10">
        <v>74.489999999999995</v>
      </c>
      <c r="C2132" s="10">
        <v>73.75</v>
      </c>
      <c r="D2132" s="10">
        <v>73.08</v>
      </c>
      <c r="E2132" s="10">
        <v>72.489999999999995</v>
      </c>
      <c r="F2132" s="10">
        <v>71.98</v>
      </c>
      <c r="G2132" s="10">
        <v>71.540000000000006</v>
      </c>
      <c r="H2132" s="10">
        <v>71.17</v>
      </c>
      <c r="I2132" s="10">
        <v>70.83</v>
      </c>
      <c r="J2132" s="10">
        <v>70.510000000000005</v>
      </c>
      <c r="K2132" s="10">
        <v>70.25</v>
      </c>
      <c r="L2132" s="10">
        <v>70.03</v>
      </c>
      <c r="M2132" s="10">
        <v>69.84</v>
      </c>
      <c r="N2132" s="10">
        <v>71.2</v>
      </c>
      <c r="O2132" s="10">
        <v>70.739999999999995</v>
      </c>
      <c r="P2132" s="10">
        <v>70.180000000000007</v>
      </c>
      <c r="Q2132" s="10">
        <v>69.58</v>
      </c>
      <c r="R2132" s="10">
        <v>68.97</v>
      </c>
      <c r="S2132" s="10">
        <v>68.400000000000006</v>
      </c>
      <c r="T2132" s="10">
        <v>67.91</v>
      </c>
      <c r="U2132" s="10">
        <v>67.489999999999995</v>
      </c>
      <c r="V2132" s="10">
        <v>67.12</v>
      </c>
      <c r="W2132" s="10">
        <v>66.8</v>
      </c>
      <c r="X2132" s="10">
        <v>66.53</v>
      </c>
      <c r="Y2132" s="10">
        <v>66.31</v>
      </c>
      <c r="Z2132" s="11">
        <v>72.488</v>
      </c>
      <c r="AA2132" s="11">
        <v>76.096999999999994</v>
      </c>
      <c r="AB2132" s="11">
        <v>75.213999999999999</v>
      </c>
      <c r="AC2132" s="11">
        <v>74.201999999999998</v>
      </c>
      <c r="AD2132" s="11">
        <v>73.328999999999994</v>
      </c>
      <c r="AE2132" s="11">
        <v>72.620999999999995</v>
      </c>
      <c r="AF2132" s="11">
        <v>72.016999999999996</v>
      </c>
      <c r="AG2132" s="11">
        <v>71.522999999999996</v>
      </c>
      <c r="AH2132" s="11">
        <v>71.072000000000003</v>
      </c>
      <c r="AI2132" s="11">
        <v>70.649000000000001</v>
      </c>
      <c r="AJ2132" s="11">
        <v>70.319999999999993</v>
      </c>
      <c r="AK2132" s="11">
        <v>70.031000000000006</v>
      </c>
      <c r="AL2132" s="11"/>
    </row>
    <row r="2133" spans="1:38" x14ac:dyDescent="0.3">
      <c r="A2133" s="9">
        <f>DATE(2025, 4, 2)</f>
        <v>45749</v>
      </c>
      <c r="B2133" s="10">
        <v>74.95</v>
      </c>
      <c r="C2133" s="10">
        <v>74.14</v>
      </c>
      <c r="D2133" s="10">
        <v>73.41</v>
      </c>
      <c r="E2133" s="10">
        <v>72.790000000000006</v>
      </c>
      <c r="F2133" s="10">
        <v>72.260000000000005</v>
      </c>
      <c r="G2133" s="10">
        <v>71.81</v>
      </c>
      <c r="H2133" s="10">
        <v>71.42</v>
      </c>
      <c r="I2133" s="10">
        <v>71.069999999999993</v>
      </c>
      <c r="J2133" s="10">
        <v>70.75</v>
      </c>
      <c r="K2133" s="10">
        <v>70.48</v>
      </c>
      <c r="L2133" s="10">
        <v>70.239999999999995</v>
      </c>
      <c r="M2133" s="10">
        <v>70.05</v>
      </c>
      <c r="N2133" s="10">
        <v>71.709999999999994</v>
      </c>
      <c r="O2133" s="10">
        <v>71.23</v>
      </c>
      <c r="P2133" s="10">
        <v>70.61</v>
      </c>
      <c r="Q2133" s="10">
        <v>69.959999999999994</v>
      </c>
      <c r="R2133" s="10">
        <v>69.31</v>
      </c>
      <c r="S2133" s="10">
        <v>68.72</v>
      </c>
      <c r="T2133" s="10">
        <v>68.2</v>
      </c>
      <c r="U2133" s="10">
        <v>67.75</v>
      </c>
      <c r="V2133" s="10">
        <v>67.36</v>
      </c>
      <c r="W2133" s="10">
        <v>67.02</v>
      </c>
      <c r="X2133" s="10">
        <v>66.739999999999995</v>
      </c>
      <c r="Y2133" s="10">
        <v>66.510000000000005</v>
      </c>
      <c r="Z2133" s="11">
        <v>76.617999999999995</v>
      </c>
      <c r="AA2133" s="11">
        <v>75.558000000000007</v>
      </c>
      <c r="AB2133" s="11">
        <v>74.524000000000001</v>
      </c>
      <c r="AC2133" s="11">
        <v>73.631</v>
      </c>
      <c r="AD2133" s="11">
        <v>72.899000000000001</v>
      </c>
      <c r="AE2133" s="11">
        <v>72.287999999999997</v>
      </c>
      <c r="AF2133" s="11">
        <v>71.784000000000006</v>
      </c>
      <c r="AG2133" s="11">
        <v>71.334000000000003</v>
      </c>
      <c r="AH2133" s="11">
        <v>70.906999999999996</v>
      </c>
      <c r="AI2133" s="11">
        <v>70.561000000000007</v>
      </c>
      <c r="AJ2133" s="11">
        <v>70.253</v>
      </c>
      <c r="AK2133" s="11">
        <v>69.989000000000004</v>
      </c>
      <c r="AL2133" s="11"/>
    </row>
    <row r="2134" spans="1:38" x14ac:dyDescent="0.3">
      <c r="A2134" s="9">
        <f>DATE(2025, 4, 3)</f>
        <v>45750</v>
      </c>
      <c r="B2134" s="10">
        <v>70.14</v>
      </c>
      <c r="C2134" s="10">
        <v>69.42</v>
      </c>
      <c r="D2134" s="10">
        <v>68.8</v>
      </c>
      <c r="E2134" s="10">
        <v>68.3</v>
      </c>
      <c r="F2134" s="10">
        <v>67.91</v>
      </c>
      <c r="G2134" s="10">
        <v>67.599999999999994</v>
      </c>
      <c r="H2134" s="10">
        <v>67.34</v>
      </c>
      <c r="I2134" s="10">
        <v>67.12</v>
      </c>
      <c r="J2134" s="10">
        <v>66.91</v>
      </c>
      <c r="K2134" s="10">
        <v>66.760000000000005</v>
      </c>
      <c r="L2134" s="10">
        <v>66.64</v>
      </c>
      <c r="M2134" s="10">
        <v>66.55</v>
      </c>
      <c r="N2134" s="10">
        <v>66.95</v>
      </c>
      <c r="O2134" s="10">
        <v>66.47</v>
      </c>
      <c r="P2134" s="10">
        <v>65.92</v>
      </c>
      <c r="Q2134" s="10">
        <v>65.38</v>
      </c>
      <c r="R2134" s="10">
        <v>64.86</v>
      </c>
      <c r="S2134" s="10">
        <v>64.400000000000006</v>
      </c>
      <c r="T2134" s="10">
        <v>64.03</v>
      </c>
      <c r="U2134" s="10">
        <v>63.71</v>
      </c>
      <c r="V2134" s="10">
        <v>63.44</v>
      </c>
      <c r="W2134" s="10">
        <v>63.23</v>
      </c>
      <c r="X2134" s="10">
        <v>63.07</v>
      </c>
      <c r="Y2134" s="10">
        <v>62.94</v>
      </c>
      <c r="Z2134" s="11">
        <v>72.703999999999994</v>
      </c>
      <c r="AA2134" s="11">
        <v>70.900000000000006</v>
      </c>
      <c r="AB2134" s="11">
        <v>69.968000000000004</v>
      </c>
      <c r="AC2134" s="11">
        <v>69.183000000000007</v>
      </c>
      <c r="AD2134" s="11">
        <v>68.552000000000007</v>
      </c>
      <c r="AE2134" s="11">
        <v>68.052000000000007</v>
      </c>
      <c r="AF2134" s="11">
        <v>67.662000000000006</v>
      </c>
      <c r="AG2134" s="11">
        <v>67.325999999999993</v>
      </c>
      <c r="AH2134" s="11">
        <v>67.025000000000006</v>
      </c>
      <c r="AI2134" s="11">
        <v>66.781999999999996</v>
      </c>
      <c r="AJ2134" s="11">
        <v>66.573999999999998</v>
      </c>
      <c r="AK2134" s="11">
        <v>66.405000000000001</v>
      </c>
      <c r="AL2134" s="11"/>
    </row>
    <row r="2135" spans="1:38" x14ac:dyDescent="0.3">
      <c r="A2135" s="9">
        <f>DATE(2025, 4, 4)</f>
        <v>45751</v>
      </c>
      <c r="B2135" s="10">
        <v>65.58</v>
      </c>
      <c r="C2135" s="10">
        <v>64.95</v>
      </c>
      <c r="D2135" s="10">
        <v>64.47</v>
      </c>
      <c r="E2135" s="10">
        <v>64.11</v>
      </c>
      <c r="F2135" s="10">
        <v>63.86</v>
      </c>
      <c r="G2135" s="10">
        <v>63.69</v>
      </c>
      <c r="H2135" s="10">
        <v>63.57</v>
      </c>
      <c r="I2135" s="10">
        <v>63.46</v>
      </c>
      <c r="J2135" s="10">
        <v>63.37</v>
      </c>
      <c r="K2135" s="10">
        <v>63.29</v>
      </c>
      <c r="L2135" s="10">
        <v>63.24</v>
      </c>
      <c r="M2135" s="10">
        <v>63.23</v>
      </c>
      <c r="N2135" s="10">
        <v>61.99</v>
      </c>
      <c r="O2135" s="10">
        <v>61.65</v>
      </c>
      <c r="P2135" s="10">
        <v>61.26</v>
      </c>
      <c r="Q2135" s="10">
        <v>60.87</v>
      </c>
      <c r="R2135" s="10">
        <v>60.5</v>
      </c>
      <c r="S2135" s="10">
        <v>60.2</v>
      </c>
      <c r="T2135" s="10">
        <v>59.98</v>
      </c>
      <c r="U2135" s="10">
        <v>59.82</v>
      </c>
      <c r="V2135" s="10">
        <v>59.67</v>
      </c>
      <c r="W2135" s="10">
        <v>59.56</v>
      </c>
      <c r="X2135" s="10">
        <v>59.5</v>
      </c>
      <c r="Y2135" s="10">
        <v>59.46</v>
      </c>
      <c r="Z2135" s="11">
        <v>69.125</v>
      </c>
      <c r="AA2135" s="11">
        <v>66.578000000000003</v>
      </c>
      <c r="AB2135" s="11">
        <v>65.710999999999999</v>
      </c>
      <c r="AC2135" s="11">
        <v>65.043999999999997</v>
      </c>
      <c r="AD2135" s="11">
        <v>64.546999999999997</v>
      </c>
      <c r="AE2135" s="11">
        <v>64.180000000000007</v>
      </c>
      <c r="AF2135" s="11">
        <v>63.91</v>
      </c>
      <c r="AG2135" s="11">
        <v>63.691000000000003</v>
      </c>
      <c r="AH2135" s="11">
        <v>63.493000000000002</v>
      </c>
      <c r="AI2135" s="11">
        <v>63.326999999999998</v>
      </c>
      <c r="AJ2135" s="11">
        <v>63.189</v>
      </c>
      <c r="AK2135" s="11">
        <v>63.093000000000004</v>
      </c>
      <c r="AL2135" s="11"/>
    </row>
    <row r="2136" spans="1:38" x14ac:dyDescent="0.3">
      <c r="A2136" s="9">
        <f>DATE(2025, 4, 7)</f>
        <v>45754</v>
      </c>
      <c r="B2136" s="10">
        <v>64.209999999999994</v>
      </c>
      <c r="C2136" s="10">
        <v>63.82</v>
      </c>
      <c r="D2136" s="10">
        <v>63.53</v>
      </c>
      <c r="E2136" s="10">
        <v>63.31</v>
      </c>
      <c r="F2136" s="10">
        <v>63.19</v>
      </c>
      <c r="G2136" s="10">
        <v>63.12</v>
      </c>
      <c r="H2136" s="10">
        <v>63.1</v>
      </c>
      <c r="I2136" s="10">
        <v>63.07</v>
      </c>
      <c r="J2136" s="10">
        <v>63.04</v>
      </c>
      <c r="K2136" s="10">
        <v>63.03</v>
      </c>
      <c r="L2136" s="10">
        <v>63.02</v>
      </c>
      <c r="M2136" s="10">
        <v>63.03</v>
      </c>
      <c r="N2136" s="10">
        <v>60.7</v>
      </c>
      <c r="O2136" s="10">
        <v>60.44</v>
      </c>
      <c r="P2136" s="10">
        <v>60.16</v>
      </c>
      <c r="Q2136" s="10">
        <v>59.89</v>
      </c>
      <c r="R2136" s="10">
        <v>59.65</v>
      </c>
      <c r="S2136" s="10">
        <v>59.49</v>
      </c>
      <c r="T2136" s="10">
        <v>59.4</v>
      </c>
      <c r="U2136" s="10">
        <v>59.35</v>
      </c>
      <c r="V2136" s="10">
        <v>59.28</v>
      </c>
      <c r="W2136" s="10">
        <v>59.24</v>
      </c>
      <c r="X2136" s="10">
        <v>59.22</v>
      </c>
      <c r="Y2136" s="10">
        <v>59.22</v>
      </c>
      <c r="Z2136" s="11">
        <v>67.150000000000006</v>
      </c>
      <c r="AA2136" s="11">
        <v>64.644999999999996</v>
      </c>
      <c r="AB2136" s="11">
        <v>64.191999999999993</v>
      </c>
      <c r="AC2136" s="11">
        <v>63.865000000000002</v>
      </c>
      <c r="AD2136" s="11">
        <v>63.645000000000003</v>
      </c>
      <c r="AE2136" s="11">
        <v>63.448999999999998</v>
      </c>
      <c r="AF2136" s="11">
        <v>63.279000000000003</v>
      </c>
      <c r="AG2136" s="11">
        <v>63.119</v>
      </c>
      <c r="AH2136" s="11">
        <v>62.959000000000003</v>
      </c>
      <c r="AI2136" s="11">
        <v>62.84</v>
      </c>
      <c r="AJ2136" s="11">
        <v>62.811</v>
      </c>
      <c r="AK2136" s="11">
        <v>62.786000000000001</v>
      </c>
      <c r="AL2136" s="11"/>
    </row>
    <row r="2137" spans="1:38" x14ac:dyDescent="0.3">
      <c r="A2137" s="9">
        <f>DATE(2025, 4, 8)</f>
        <v>45755</v>
      </c>
      <c r="B2137" s="10">
        <v>62.82</v>
      </c>
      <c r="C2137" s="10">
        <v>62.34</v>
      </c>
      <c r="D2137" s="10">
        <v>61.96</v>
      </c>
      <c r="E2137" s="10">
        <v>61.69</v>
      </c>
      <c r="F2137" s="10">
        <v>61.54</v>
      </c>
      <c r="G2137" s="10">
        <v>61.47</v>
      </c>
      <c r="H2137" s="10">
        <v>61.44</v>
      </c>
      <c r="I2137" s="10">
        <v>61.42</v>
      </c>
      <c r="J2137" s="10">
        <v>61.41</v>
      </c>
      <c r="K2137" s="10">
        <v>61.42</v>
      </c>
      <c r="L2137" s="10">
        <v>61.44</v>
      </c>
      <c r="M2137" s="10">
        <v>61.48</v>
      </c>
      <c r="N2137" s="10">
        <v>59.58</v>
      </c>
      <c r="O2137" s="10">
        <v>59.1</v>
      </c>
      <c r="P2137" s="10">
        <v>58.66</v>
      </c>
      <c r="Q2137" s="10">
        <v>58.3</v>
      </c>
      <c r="R2137" s="10">
        <v>58.02</v>
      </c>
      <c r="S2137" s="10">
        <v>57.85</v>
      </c>
      <c r="T2137" s="10">
        <v>57.76</v>
      </c>
      <c r="U2137" s="10">
        <v>57.72</v>
      </c>
      <c r="V2137" s="10">
        <v>57.68</v>
      </c>
      <c r="W2137" s="10">
        <v>57.66</v>
      </c>
      <c r="X2137" s="10">
        <v>57.66</v>
      </c>
      <c r="Y2137" s="10">
        <v>57.68</v>
      </c>
      <c r="Z2137" s="11">
        <v>66.072999999999993</v>
      </c>
      <c r="AA2137" s="11">
        <v>63.206000000000003</v>
      </c>
      <c r="AB2137" s="11">
        <v>62.646000000000001</v>
      </c>
      <c r="AC2137" s="11">
        <v>62.226999999999997</v>
      </c>
      <c r="AD2137" s="11">
        <v>61.930999999999997</v>
      </c>
      <c r="AE2137" s="11">
        <v>61.697000000000003</v>
      </c>
      <c r="AF2137" s="11">
        <v>61.515999999999998</v>
      </c>
      <c r="AG2137" s="11">
        <v>61.375999999999998</v>
      </c>
      <c r="AH2137" s="11">
        <v>61.241</v>
      </c>
      <c r="AI2137" s="11">
        <v>61.180999999999997</v>
      </c>
      <c r="AJ2137" s="11">
        <v>61.142000000000003</v>
      </c>
      <c r="AK2137" s="11">
        <v>61.143000000000001</v>
      </c>
      <c r="AL2137" s="11"/>
    </row>
    <row r="2138" spans="1:38" x14ac:dyDescent="0.3">
      <c r="A2138" s="9">
        <f>DATE(2025, 4, 9)</f>
        <v>45756</v>
      </c>
      <c r="B2138" s="10">
        <v>65.48</v>
      </c>
      <c r="C2138" s="10">
        <v>64.88</v>
      </c>
      <c r="D2138" s="10">
        <v>64.39</v>
      </c>
      <c r="E2138" s="10">
        <v>64</v>
      </c>
      <c r="F2138" s="10">
        <v>63.73</v>
      </c>
      <c r="G2138" s="10">
        <v>63.52</v>
      </c>
      <c r="H2138" s="10">
        <v>63.36</v>
      </c>
      <c r="I2138" s="10">
        <v>63.24</v>
      </c>
      <c r="J2138" s="10">
        <v>63.17</v>
      </c>
      <c r="K2138" s="10">
        <v>63.15</v>
      </c>
      <c r="L2138" s="10">
        <v>63.15</v>
      </c>
      <c r="M2138" s="10">
        <v>63.19</v>
      </c>
      <c r="N2138" s="10">
        <v>62.35</v>
      </c>
      <c r="O2138" s="10">
        <v>61.82</v>
      </c>
      <c r="P2138" s="10">
        <v>61.28</v>
      </c>
      <c r="Q2138" s="10">
        <v>60.81</v>
      </c>
      <c r="R2138" s="10">
        <v>60.4</v>
      </c>
      <c r="S2138" s="10">
        <v>60.09</v>
      </c>
      <c r="T2138" s="10">
        <v>59.89</v>
      </c>
      <c r="U2138" s="10">
        <v>59.74</v>
      </c>
      <c r="V2138" s="10">
        <v>59.63</v>
      </c>
      <c r="W2138" s="10">
        <v>59.55</v>
      </c>
      <c r="X2138" s="10">
        <v>59.51</v>
      </c>
      <c r="Y2138" s="10">
        <v>59.52</v>
      </c>
      <c r="Z2138" s="11">
        <v>67.650999999999996</v>
      </c>
      <c r="AA2138" s="11">
        <v>65.822999999999993</v>
      </c>
      <c r="AB2138" s="11">
        <v>65.126000000000005</v>
      </c>
      <c r="AC2138" s="11">
        <v>64.540000000000006</v>
      </c>
      <c r="AD2138" s="11">
        <v>64.099000000000004</v>
      </c>
      <c r="AE2138" s="11">
        <v>63.703000000000003</v>
      </c>
      <c r="AF2138" s="11">
        <v>63.384999999999998</v>
      </c>
      <c r="AG2138" s="11">
        <v>63.146999999999998</v>
      </c>
      <c r="AH2138" s="11">
        <v>62.945999999999998</v>
      </c>
      <c r="AI2138" s="11">
        <v>62.92</v>
      </c>
      <c r="AJ2138" s="11">
        <v>62.892000000000003</v>
      </c>
      <c r="AK2138" s="11">
        <v>62.902999999999999</v>
      </c>
      <c r="AL2138" s="11"/>
    </row>
    <row r="2139" spans="1:38" x14ac:dyDescent="0.3">
      <c r="A2139" s="9">
        <f>DATE(2025, 4, 10)</f>
        <v>45757</v>
      </c>
      <c r="B2139" s="10">
        <v>63.33</v>
      </c>
      <c r="C2139" s="10">
        <v>62.78</v>
      </c>
      <c r="D2139" s="10">
        <v>62.36</v>
      </c>
      <c r="E2139" s="10">
        <v>62.08</v>
      </c>
      <c r="F2139" s="10">
        <v>61.93</v>
      </c>
      <c r="G2139" s="10">
        <v>61.85</v>
      </c>
      <c r="H2139" s="10">
        <v>61.8</v>
      </c>
      <c r="I2139" s="10">
        <v>61.79</v>
      </c>
      <c r="J2139" s="10">
        <v>61.8</v>
      </c>
      <c r="K2139" s="10">
        <v>61.84</v>
      </c>
      <c r="L2139" s="10">
        <v>61.89</v>
      </c>
      <c r="M2139" s="10">
        <v>61.97</v>
      </c>
      <c r="N2139" s="10">
        <v>60.07</v>
      </c>
      <c r="O2139" s="10">
        <v>59.63</v>
      </c>
      <c r="P2139" s="10">
        <v>59.18</v>
      </c>
      <c r="Q2139" s="10">
        <v>58.8</v>
      </c>
      <c r="R2139" s="10">
        <v>58.49</v>
      </c>
      <c r="S2139" s="10">
        <v>58.29</v>
      </c>
      <c r="T2139" s="10">
        <v>58.19</v>
      </c>
      <c r="U2139" s="10">
        <v>58.16</v>
      </c>
      <c r="V2139" s="10">
        <v>58.13</v>
      </c>
      <c r="W2139" s="10">
        <v>58.14</v>
      </c>
      <c r="X2139" s="10">
        <v>58.17</v>
      </c>
      <c r="Y2139" s="10">
        <v>58.24</v>
      </c>
      <c r="Z2139" s="11">
        <v>66.551000000000002</v>
      </c>
      <c r="AA2139" s="11">
        <v>63.972999999999999</v>
      </c>
      <c r="AB2139" s="11">
        <v>63.259</v>
      </c>
      <c r="AC2139" s="11">
        <v>62.709000000000003</v>
      </c>
      <c r="AD2139" s="11">
        <v>62.348999999999997</v>
      </c>
      <c r="AE2139" s="11">
        <v>62.081000000000003</v>
      </c>
      <c r="AF2139" s="11">
        <v>61.893000000000001</v>
      </c>
      <c r="AG2139" s="11">
        <v>61.749000000000002</v>
      </c>
      <c r="AH2139" s="11">
        <v>61.637</v>
      </c>
      <c r="AI2139" s="11">
        <v>61.615000000000002</v>
      </c>
      <c r="AJ2139" s="11">
        <v>61.674999999999997</v>
      </c>
      <c r="AK2139" s="11">
        <v>61.723999999999997</v>
      </c>
      <c r="AL2139" s="11"/>
    </row>
    <row r="2140" spans="1:38" x14ac:dyDescent="0.3">
      <c r="A2140" s="9">
        <f>DATE(2025, 4, 11)</f>
        <v>45758</v>
      </c>
      <c r="B2140" s="10">
        <v>64.760000000000005</v>
      </c>
      <c r="C2140" s="10">
        <v>64.010000000000005</v>
      </c>
      <c r="D2140" s="10">
        <v>63.42</v>
      </c>
      <c r="E2140" s="10">
        <v>63.02</v>
      </c>
      <c r="F2140" s="10">
        <v>62.77</v>
      </c>
      <c r="G2140" s="10">
        <v>62.61</v>
      </c>
      <c r="H2140" s="10">
        <v>62.5</v>
      </c>
      <c r="I2140" s="10">
        <v>62.44</v>
      </c>
      <c r="J2140" s="10">
        <v>62.41</v>
      </c>
      <c r="K2140" s="10">
        <v>62.43</v>
      </c>
      <c r="L2140" s="10">
        <v>62.46</v>
      </c>
      <c r="M2140" s="10">
        <v>62.52</v>
      </c>
      <c r="N2140" s="10">
        <v>61.5</v>
      </c>
      <c r="O2140" s="10">
        <v>60.9</v>
      </c>
      <c r="P2140" s="10">
        <v>60.34</v>
      </c>
      <c r="Q2140" s="10">
        <v>59.84</v>
      </c>
      <c r="R2140" s="10">
        <v>59.42</v>
      </c>
      <c r="S2140" s="10">
        <v>59.11</v>
      </c>
      <c r="T2140" s="10">
        <v>58.92</v>
      </c>
      <c r="U2140" s="10">
        <v>58.82</v>
      </c>
      <c r="V2140" s="10">
        <v>58.75</v>
      </c>
      <c r="W2140" s="10">
        <v>58.72</v>
      </c>
      <c r="X2140" s="10">
        <v>58.72</v>
      </c>
      <c r="Y2140" s="10">
        <v>58.74</v>
      </c>
      <c r="Z2140" s="11">
        <v>67.153999999999996</v>
      </c>
      <c r="AA2140" s="11">
        <v>65.162999999999997</v>
      </c>
      <c r="AB2140" s="11">
        <v>64.381</v>
      </c>
      <c r="AC2140" s="11">
        <v>63.738999999999997</v>
      </c>
      <c r="AD2140" s="11">
        <v>63.271999999999998</v>
      </c>
      <c r="AE2140" s="11">
        <v>62.936</v>
      </c>
      <c r="AF2140" s="11">
        <v>62.685000000000002</v>
      </c>
      <c r="AG2140" s="11">
        <v>62.494999999999997</v>
      </c>
      <c r="AH2140" s="11">
        <v>62.354999999999997</v>
      </c>
      <c r="AI2140" s="11">
        <v>62.311999999999998</v>
      </c>
      <c r="AJ2140" s="11">
        <v>62.344000000000001</v>
      </c>
      <c r="AK2140" s="11">
        <v>62.363</v>
      </c>
      <c r="AL2140" s="11"/>
    </row>
    <row r="2141" spans="1:38" x14ac:dyDescent="0.3">
      <c r="A2141" s="9">
        <f>DATE(2025, 4, 14)</f>
        <v>45761</v>
      </c>
      <c r="B2141" s="10">
        <v>64.88</v>
      </c>
      <c r="C2141" s="10">
        <v>64.22</v>
      </c>
      <c r="D2141" s="10">
        <v>63.7</v>
      </c>
      <c r="E2141" s="10">
        <v>63.34</v>
      </c>
      <c r="F2141" s="10">
        <v>63.12</v>
      </c>
      <c r="G2141" s="10">
        <v>63</v>
      </c>
      <c r="H2141" s="10">
        <v>62.92</v>
      </c>
      <c r="I2141" s="10">
        <v>62.87</v>
      </c>
      <c r="J2141" s="10">
        <v>62.86</v>
      </c>
      <c r="K2141" s="10">
        <v>62.89</v>
      </c>
      <c r="L2141" s="10">
        <v>62.94</v>
      </c>
      <c r="M2141" s="10">
        <v>63.01</v>
      </c>
      <c r="N2141" s="10">
        <v>61.53</v>
      </c>
      <c r="O2141" s="10">
        <v>61.05</v>
      </c>
      <c r="P2141" s="10">
        <v>60.59</v>
      </c>
      <c r="Q2141" s="10">
        <v>60.16</v>
      </c>
      <c r="R2141" s="10">
        <v>59.79</v>
      </c>
      <c r="S2141" s="10">
        <v>59.53</v>
      </c>
      <c r="T2141" s="10">
        <v>59.37</v>
      </c>
      <c r="U2141" s="10">
        <v>59.29</v>
      </c>
      <c r="V2141" s="10">
        <v>59.24</v>
      </c>
      <c r="W2141" s="10">
        <v>59.22</v>
      </c>
      <c r="X2141" s="10">
        <v>59.24</v>
      </c>
      <c r="Y2141" s="10">
        <v>59.28</v>
      </c>
      <c r="Z2141" s="11">
        <v>67.298000000000002</v>
      </c>
      <c r="AA2141" s="11">
        <v>65.326999999999998</v>
      </c>
      <c r="AB2141" s="11">
        <v>64.608000000000004</v>
      </c>
      <c r="AC2141" s="11">
        <v>63.994999999999997</v>
      </c>
      <c r="AD2141" s="11">
        <v>63.561</v>
      </c>
      <c r="AE2141" s="11">
        <v>63.25</v>
      </c>
      <c r="AF2141" s="11">
        <v>63.03</v>
      </c>
      <c r="AG2141" s="11">
        <v>62.87</v>
      </c>
      <c r="AH2141" s="11">
        <v>62.76</v>
      </c>
      <c r="AI2141" s="11">
        <v>62.759</v>
      </c>
      <c r="AJ2141" s="11">
        <v>62.777000000000001</v>
      </c>
      <c r="AK2141" s="11">
        <v>62.817</v>
      </c>
      <c r="AL2141" s="11"/>
    </row>
    <row r="2142" spans="1:38" x14ac:dyDescent="0.3">
      <c r="A2142" s="9">
        <f>DATE(2025, 4, 15)</f>
        <v>45762</v>
      </c>
      <c r="B2142" s="10">
        <v>64.67</v>
      </c>
      <c r="C2142" s="10">
        <v>63.88</v>
      </c>
      <c r="D2142" s="10">
        <v>63.31</v>
      </c>
      <c r="E2142" s="10">
        <v>62.92</v>
      </c>
      <c r="F2142" s="10">
        <v>62.68</v>
      </c>
      <c r="G2142" s="10">
        <v>62.55</v>
      </c>
      <c r="H2142" s="10">
        <v>62.46</v>
      </c>
      <c r="I2142" s="10">
        <v>62.41</v>
      </c>
      <c r="J2142" s="10">
        <v>62.4</v>
      </c>
      <c r="K2142" s="10">
        <v>62.43</v>
      </c>
      <c r="L2142" s="10">
        <v>62.48</v>
      </c>
      <c r="M2142" s="10">
        <v>62.56</v>
      </c>
      <c r="N2142" s="10">
        <v>61.33</v>
      </c>
      <c r="O2142" s="10">
        <v>60.75</v>
      </c>
      <c r="P2142" s="10">
        <v>60.22</v>
      </c>
      <c r="Q2142" s="10">
        <v>59.74</v>
      </c>
      <c r="R2142" s="10">
        <v>59.34</v>
      </c>
      <c r="S2142" s="10">
        <v>59.06</v>
      </c>
      <c r="T2142" s="10">
        <v>58.9</v>
      </c>
      <c r="U2142" s="10">
        <v>58.8</v>
      </c>
      <c r="V2142" s="10">
        <v>58.74</v>
      </c>
      <c r="W2142" s="10">
        <v>58.73</v>
      </c>
      <c r="X2142" s="10">
        <v>58.74</v>
      </c>
      <c r="Y2142" s="10">
        <v>58.78</v>
      </c>
      <c r="Z2142" s="11">
        <v>67.274000000000001</v>
      </c>
      <c r="AA2142" s="11">
        <v>65.179000000000002</v>
      </c>
      <c r="AB2142" s="11">
        <v>64.358999999999995</v>
      </c>
      <c r="AC2142" s="11">
        <v>63.7</v>
      </c>
      <c r="AD2142" s="11">
        <v>63.234000000000002</v>
      </c>
      <c r="AE2142" s="11">
        <v>62.914000000000001</v>
      </c>
      <c r="AF2142" s="11">
        <v>62.692999999999998</v>
      </c>
      <c r="AG2142" s="11">
        <v>62.523000000000003</v>
      </c>
      <c r="AH2142" s="11">
        <v>62.393000000000001</v>
      </c>
      <c r="AI2142" s="11">
        <v>62.365000000000002</v>
      </c>
      <c r="AJ2142" s="11">
        <v>62.387</v>
      </c>
      <c r="AK2142" s="11">
        <v>62.442</v>
      </c>
      <c r="AL2142" s="11"/>
    </row>
    <row r="2143" spans="1:38" x14ac:dyDescent="0.3">
      <c r="A2143" s="9">
        <f>DATE(2025, 4, 16)</f>
        <v>45763</v>
      </c>
      <c r="B2143" s="10">
        <v>65.849999999999994</v>
      </c>
      <c r="C2143" s="10">
        <v>64.959999999999994</v>
      </c>
      <c r="D2143" s="10">
        <v>64.319999999999993</v>
      </c>
      <c r="E2143" s="10">
        <v>63.85</v>
      </c>
      <c r="F2143" s="10">
        <v>63.54</v>
      </c>
      <c r="G2143" s="10">
        <v>63.35</v>
      </c>
      <c r="H2143" s="10">
        <v>63.22</v>
      </c>
      <c r="I2143" s="10">
        <v>63.13</v>
      </c>
      <c r="J2143" s="10">
        <v>63.08</v>
      </c>
      <c r="K2143" s="10">
        <v>63.09</v>
      </c>
      <c r="L2143" s="10">
        <v>63.12</v>
      </c>
      <c r="M2143" s="10">
        <v>63.18</v>
      </c>
      <c r="N2143" s="10">
        <v>62.47</v>
      </c>
      <c r="O2143" s="10">
        <v>61.83</v>
      </c>
      <c r="P2143" s="10">
        <v>61.24</v>
      </c>
      <c r="Q2143" s="10">
        <v>60.69</v>
      </c>
      <c r="R2143" s="10">
        <v>60.22</v>
      </c>
      <c r="S2143" s="10">
        <v>59.86</v>
      </c>
      <c r="T2143" s="10">
        <v>59.64</v>
      </c>
      <c r="U2143" s="10">
        <v>59.5</v>
      </c>
      <c r="V2143" s="10">
        <v>59.39</v>
      </c>
      <c r="W2143" s="10">
        <v>59.33</v>
      </c>
      <c r="X2143" s="10">
        <v>59.32</v>
      </c>
      <c r="Y2143" s="10">
        <v>59.35</v>
      </c>
      <c r="Z2143" s="11">
        <v>67.921999999999997</v>
      </c>
      <c r="AA2143" s="11">
        <v>66.522999999999996</v>
      </c>
      <c r="AB2143" s="11">
        <v>65.545000000000002</v>
      </c>
      <c r="AC2143" s="11">
        <v>64.772999999999996</v>
      </c>
      <c r="AD2143" s="11">
        <v>64.206999999999994</v>
      </c>
      <c r="AE2143" s="11">
        <v>63.823999999999998</v>
      </c>
      <c r="AF2143" s="11">
        <v>63.536000000000001</v>
      </c>
      <c r="AG2143" s="11">
        <v>63.308</v>
      </c>
      <c r="AH2143" s="11">
        <v>63.128</v>
      </c>
      <c r="AI2143" s="11">
        <v>63.081000000000003</v>
      </c>
      <c r="AJ2143" s="11">
        <v>63.082999999999998</v>
      </c>
      <c r="AK2143" s="11">
        <v>63.11</v>
      </c>
      <c r="AL2143" s="11"/>
    </row>
    <row r="2144" spans="1:38" x14ac:dyDescent="0.3">
      <c r="A2144" s="9">
        <f>DATE(2025, 4, 17)</f>
        <v>45764</v>
      </c>
      <c r="B2144" s="10">
        <v>67.959999999999994</v>
      </c>
      <c r="C2144" s="10">
        <v>67</v>
      </c>
      <c r="D2144" s="10">
        <v>66.33</v>
      </c>
      <c r="E2144" s="10">
        <v>65.849999999999994</v>
      </c>
      <c r="F2144" s="10">
        <v>65.510000000000005</v>
      </c>
      <c r="G2144" s="10">
        <v>65.28</v>
      </c>
      <c r="H2144" s="10">
        <v>65.11</v>
      </c>
      <c r="I2144" s="10">
        <v>64.97</v>
      </c>
      <c r="J2144" s="10">
        <v>64.89</v>
      </c>
      <c r="K2144" s="10">
        <v>64.87</v>
      </c>
      <c r="L2144" s="10">
        <v>64.86</v>
      </c>
      <c r="M2144" s="10">
        <v>64.89</v>
      </c>
      <c r="N2144" s="10">
        <v>64.680000000000007</v>
      </c>
      <c r="O2144" s="10">
        <v>64.010000000000005</v>
      </c>
      <c r="P2144" s="10">
        <v>63.34</v>
      </c>
      <c r="Q2144" s="10">
        <v>62.74</v>
      </c>
      <c r="R2144" s="10">
        <v>62.22</v>
      </c>
      <c r="S2144" s="10">
        <v>61.82</v>
      </c>
      <c r="T2144" s="10">
        <v>61.55</v>
      </c>
      <c r="U2144" s="10">
        <v>61.35</v>
      </c>
      <c r="V2144" s="10">
        <v>61.2</v>
      </c>
      <c r="W2144" s="10">
        <v>61.11</v>
      </c>
      <c r="X2144" s="10">
        <v>61.06</v>
      </c>
      <c r="Y2144" s="10">
        <v>61.04</v>
      </c>
      <c r="Z2144" s="11">
        <v>68.760999999999996</v>
      </c>
      <c r="AA2144" s="11">
        <v>68.59</v>
      </c>
      <c r="AB2144" s="11">
        <v>67.531999999999996</v>
      </c>
      <c r="AC2144" s="11">
        <v>66.77</v>
      </c>
      <c r="AD2144" s="11">
        <v>66.188999999999993</v>
      </c>
      <c r="AE2144" s="11">
        <v>65.769000000000005</v>
      </c>
      <c r="AF2144" s="11">
        <v>65.441000000000003</v>
      </c>
      <c r="AG2144" s="11">
        <v>65.182000000000002</v>
      </c>
      <c r="AH2144" s="11">
        <v>64.974000000000004</v>
      </c>
      <c r="AI2144" s="11">
        <v>64.89</v>
      </c>
      <c r="AJ2144" s="11">
        <v>64.846999999999994</v>
      </c>
      <c r="AK2144" s="11">
        <v>64.846999999999994</v>
      </c>
      <c r="AL2144" s="11"/>
    </row>
    <row r="2145" spans="1:38" x14ac:dyDescent="0.3">
      <c r="A2145" s="9">
        <f>DATE(2025, 4, 21)</f>
        <v>45768</v>
      </c>
      <c r="B2145" s="10">
        <v>66.260000000000005</v>
      </c>
      <c r="C2145" s="10">
        <v>65.3</v>
      </c>
      <c r="D2145" s="10">
        <v>64.63</v>
      </c>
      <c r="E2145" s="10">
        <v>64.17</v>
      </c>
      <c r="F2145" s="10">
        <v>63.86</v>
      </c>
      <c r="G2145" s="10">
        <v>63.65</v>
      </c>
      <c r="H2145" s="10">
        <v>63.5</v>
      </c>
      <c r="I2145" s="10">
        <v>63.39</v>
      </c>
      <c r="J2145" s="10">
        <v>63.34</v>
      </c>
      <c r="K2145" s="10">
        <v>63.35</v>
      </c>
      <c r="L2145" s="10">
        <v>63.38</v>
      </c>
      <c r="M2145" s="10">
        <v>63.44</v>
      </c>
      <c r="N2145" s="10">
        <v>63.08</v>
      </c>
      <c r="O2145" s="10">
        <v>62.41</v>
      </c>
      <c r="P2145" s="10">
        <v>61.68</v>
      </c>
      <c r="Q2145" s="10">
        <v>61.04</v>
      </c>
      <c r="R2145" s="10">
        <v>60.51</v>
      </c>
      <c r="S2145" s="10">
        <v>60.14</v>
      </c>
      <c r="T2145" s="10">
        <v>59.9</v>
      </c>
      <c r="U2145" s="10">
        <v>59.73</v>
      </c>
      <c r="V2145" s="10">
        <v>59.61</v>
      </c>
      <c r="W2145" s="10">
        <v>59.54</v>
      </c>
      <c r="X2145" s="10">
        <v>59.52</v>
      </c>
      <c r="Y2145" s="10">
        <v>59.54</v>
      </c>
      <c r="Z2145" s="11">
        <v>68.146000000000001</v>
      </c>
      <c r="AA2145" s="11">
        <v>66.91</v>
      </c>
      <c r="AB2145" s="11">
        <v>65.843000000000004</v>
      </c>
      <c r="AC2145" s="11">
        <v>65.072000000000003</v>
      </c>
      <c r="AD2145" s="11">
        <v>64.5</v>
      </c>
      <c r="AE2145" s="11">
        <v>64.093000000000004</v>
      </c>
      <c r="AF2145" s="11">
        <v>63.784999999999997</v>
      </c>
      <c r="AG2145" s="11">
        <v>63.564</v>
      </c>
      <c r="AH2145" s="11">
        <v>63.401000000000003</v>
      </c>
      <c r="AI2145" s="11">
        <v>63.351999999999997</v>
      </c>
      <c r="AJ2145" s="11">
        <v>63.347999999999999</v>
      </c>
      <c r="AK2145" s="11">
        <v>63.383000000000003</v>
      </c>
      <c r="AL2145" s="11"/>
    </row>
    <row r="2146" spans="1:38" x14ac:dyDescent="0.3">
      <c r="A2146" s="9">
        <f>DATE(2025, 4, 22)</f>
        <v>45769</v>
      </c>
      <c r="B2146" s="10">
        <v>67.44</v>
      </c>
      <c r="C2146" s="10">
        <v>66.48</v>
      </c>
      <c r="D2146" s="10">
        <v>65.790000000000006</v>
      </c>
      <c r="E2146" s="10">
        <v>65.28</v>
      </c>
      <c r="F2146" s="10">
        <v>64.95</v>
      </c>
      <c r="G2146" s="10">
        <v>64.72</v>
      </c>
      <c r="H2146" s="10">
        <v>64.56</v>
      </c>
      <c r="I2146" s="10">
        <v>64.44</v>
      </c>
      <c r="J2146" s="10">
        <v>64.37</v>
      </c>
      <c r="K2146" s="10">
        <v>64.36</v>
      </c>
      <c r="L2146" s="10">
        <v>64.38</v>
      </c>
      <c r="M2146" s="10">
        <v>64.430000000000007</v>
      </c>
      <c r="N2146" s="10">
        <v>64.31</v>
      </c>
      <c r="O2146" s="10">
        <v>63.67</v>
      </c>
      <c r="P2146" s="10">
        <v>62.94</v>
      </c>
      <c r="Q2146" s="10">
        <v>62.28</v>
      </c>
      <c r="R2146" s="10">
        <v>61.74</v>
      </c>
      <c r="S2146" s="10">
        <v>61.34</v>
      </c>
      <c r="T2146" s="10">
        <v>61.07</v>
      </c>
      <c r="U2146" s="10">
        <v>60.89</v>
      </c>
      <c r="V2146" s="10">
        <v>60.74</v>
      </c>
      <c r="W2146" s="10">
        <v>60.64</v>
      </c>
      <c r="X2146" s="10">
        <v>60.6</v>
      </c>
      <c r="Y2146" s="10">
        <v>60.61</v>
      </c>
      <c r="Z2146" s="11">
        <v>68.414000000000001</v>
      </c>
      <c r="AA2146" s="11">
        <v>67.968999999999994</v>
      </c>
      <c r="AB2146" s="11">
        <v>66.879000000000005</v>
      </c>
      <c r="AC2146" s="11">
        <v>66.108999999999995</v>
      </c>
      <c r="AD2146" s="11">
        <v>65.552999999999997</v>
      </c>
      <c r="AE2146" s="11">
        <v>65.153000000000006</v>
      </c>
      <c r="AF2146" s="11">
        <v>64.847999999999999</v>
      </c>
      <c r="AG2146" s="11">
        <v>64.628</v>
      </c>
      <c r="AH2146" s="11">
        <v>64.447999999999993</v>
      </c>
      <c r="AI2146" s="11">
        <v>64.397999999999996</v>
      </c>
      <c r="AJ2146" s="11">
        <v>64.378</v>
      </c>
      <c r="AK2146" s="11">
        <v>64.391999999999996</v>
      </c>
      <c r="AL2146" s="11"/>
    </row>
    <row r="2147" spans="1:38" x14ac:dyDescent="0.3">
      <c r="A2147" s="9">
        <f>DATE(2025, 4, 23)</f>
        <v>45770</v>
      </c>
      <c r="B2147" s="10">
        <v>66.12</v>
      </c>
      <c r="C2147" s="10">
        <v>65.180000000000007</v>
      </c>
      <c r="D2147" s="10">
        <v>64.569999999999993</v>
      </c>
      <c r="E2147" s="10">
        <v>64.13</v>
      </c>
      <c r="F2147" s="10">
        <v>63.84</v>
      </c>
      <c r="G2147" s="10">
        <v>63.67</v>
      </c>
      <c r="H2147" s="10">
        <v>63.56</v>
      </c>
      <c r="I2147" s="10">
        <v>63.48</v>
      </c>
      <c r="J2147" s="10">
        <v>63.46</v>
      </c>
      <c r="K2147" s="10">
        <v>63.5</v>
      </c>
      <c r="L2147" s="10">
        <v>63.56</v>
      </c>
      <c r="M2147" s="10">
        <v>63.65</v>
      </c>
      <c r="N2147" s="10">
        <v>62.27</v>
      </c>
      <c r="O2147" s="10">
        <v>61.63</v>
      </c>
      <c r="P2147" s="10">
        <v>61.04</v>
      </c>
      <c r="Q2147" s="10">
        <v>60.57</v>
      </c>
      <c r="R2147" s="10">
        <v>60.23</v>
      </c>
      <c r="S2147" s="10">
        <v>60.01</v>
      </c>
      <c r="T2147" s="10">
        <v>59.85</v>
      </c>
      <c r="U2147" s="10">
        <v>59.76</v>
      </c>
      <c r="V2147" s="10">
        <v>59.73</v>
      </c>
      <c r="W2147" s="10">
        <v>59.74</v>
      </c>
      <c r="X2147" s="10">
        <v>59.8</v>
      </c>
      <c r="Y2147" s="10">
        <v>59.9</v>
      </c>
      <c r="Z2147" s="11">
        <v>68.05</v>
      </c>
      <c r="AA2147" s="11">
        <v>66.421999999999997</v>
      </c>
      <c r="AB2147" s="11">
        <v>65.539000000000001</v>
      </c>
      <c r="AC2147" s="11">
        <v>64.899000000000001</v>
      </c>
      <c r="AD2147" s="11">
        <v>64.441999999999993</v>
      </c>
      <c r="AE2147" s="11">
        <v>64.108999999999995</v>
      </c>
      <c r="AF2147" s="11">
        <v>63.869</v>
      </c>
      <c r="AG2147" s="11">
        <v>63.701000000000001</v>
      </c>
      <c r="AH2147" s="11">
        <v>63.591000000000001</v>
      </c>
      <c r="AI2147" s="11">
        <v>63.570999999999998</v>
      </c>
      <c r="AJ2147" s="11">
        <v>63.587000000000003</v>
      </c>
      <c r="AK2147" s="11">
        <v>63.631999999999998</v>
      </c>
      <c r="AL2147" s="11"/>
    </row>
    <row r="2148" spans="1:38" x14ac:dyDescent="0.3">
      <c r="A2148" s="9">
        <f>DATE(2025, 4, 24)</f>
        <v>45771</v>
      </c>
      <c r="B2148" s="10">
        <v>66.55</v>
      </c>
      <c r="C2148" s="10">
        <v>65.650000000000006</v>
      </c>
      <c r="D2148" s="10">
        <v>65.099999999999994</v>
      </c>
      <c r="E2148" s="10">
        <v>64.709999999999994</v>
      </c>
      <c r="F2148" s="10">
        <v>64.45</v>
      </c>
      <c r="G2148" s="10">
        <v>64.290000000000006</v>
      </c>
      <c r="H2148" s="10">
        <v>64.17</v>
      </c>
      <c r="I2148" s="10">
        <v>64.099999999999994</v>
      </c>
      <c r="J2148" s="10">
        <v>64.08</v>
      </c>
      <c r="K2148" s="10">
        <v>64.12</v>
      </c>
      <c r="L2148" s="10">
        <v>64.180000000000007</v>
      </c>
      <c r="M2148" s="10">
        <v>64.27</v>
      </c>
      <c r="N2148" s="10">
        <v>62.79</v>
      </c>
      <c r="O2148" s="10">
        <v>62.14</v>
      </c>
      <c r="P2148" s="10">
        <v>61.57</v>
      </c>
      <c r="Q2148" s="10">
        <v>61.12</v>
      </c>
      <c r="R2148" s="10">
        <v>60.8</v>
      </c>
      <c r="S2148" s="10">
        <v>60.59</v>
      </c>
      <c r="T2148" s="10">
        <v>60.44</v>
      </c>
      <c r="U2148" s="10">
        <v>60.34</v>
      </c>
      <c r="V2148" s="10">
        <v>60.3</v>
      </c>
      <c r="W2148" s="10">
        <v>60.31</v>
      </c>
      <c r="X2148" s="10">
        <v>60.36</v>
      </c>
      <c r="Y2148" s="10">
        <v>60.45</v>
      </c>
      <c r="Z2148" s="11">
        <v>68.162999999999997</v>
      </c>
      <c r="AA2148" s="11">
        <v>66.745000000000005</v>
      </c>
      <c r="AB2148" s="11">
        <v>65.834999999999994</v>
      </c>
      <c r="AC2148" s="11">
        <v>65.265000000000001</v>
      </c>
      <c r="AD2148" s="11">
        <v>64.875</v>
      </c>
      <c r="AE2148" s="11">
        <v>64.584999999999994</v>
      </c>
      <c r="AF2148" s="11">
        <v>64.375</v>
      </c>
      <c r="AG2148" s="11">
        <v>64.227000000000004</v>
      </c>
      <c r="AH2148" s="11">
        <v>64.134</v>
      </c>
      <c r="AI2148" s="11">
        <v>64.143000000000001</v>
      </c>
      <c r="AJ2148" s="11">
        <v>64.185000000000002</v>
      </c>
      <c r="AK2148" s="11">
        <v>64.254999999999995</v>
      </c>
      <c r="AL2148" s="11"/>
    </row>
    <row r="2149" spans="1:38" x14ac:dyDescent="0.3">
      <c r="A2149" s="9">
        <f>DATE(2025, 4, 25)</f>
        <v>45772</v>
      </c>
      <c r="B2149" s="10">
        <v>66.87</v>
      </c>
      <c r="C2149" s="10">
        <v>65.8</v>
      </c>
      <c r="D2149" s="10">
        <v>65.239999999999995</v>
      </c>
      <c r="E2149" s="10">
        <v>64.86</v>
      </c>
      <c r="F2149" s="10">
        <v>64.63</v>
      </c>
      <c r="G2149" s="10">
        <v>64.489999999999995</v>
      </c>
      <c r="H2149" s="10">
        <v>64.400000000000006</v>
      </c>
      <c r="I2149" s="10">
        <v>64.33</v>
      </c>
      <c r="J2149" s="10">
        <v>64.319999999999993</v>
      </c>
      <c r="K2149" s="10">
        <v>64.36</v>
      </c>
      <c r="L2149" s="10">
        <v>64.42</v>
      </c>
      <c r="M2149" s="10">
        <v>64.510000000000005</v>
      </c>
      <c r="N2149" s="10">
        <v>63.02</v>
      </c>
      <c r="O2149" s="10">
        <v>62.33</v>
      </c>
      <c r="P2149" s="10">
        <v>61.74</v>
      </c>
      <c r="Q2149" s="10">
        <v>61.28</v>
      </c>
      <c r="R2149" s="10">
        <v>60.97</v>
      </c>
      <c r="S2149" s="10">
        <v>60.78</v>
      </c>
      <c r="T2149" s="10">
        <v>60.65</v>
      </c>
      <c r="U2149" s="10">
        <v>60.55</v>
      </c>
      <c r="V2149" s="10">
        <v>60.52</v>
      </c>
      <c r="W2149" s="10">
        <v>60.53</v>
      </c>
      <c r="X2149" s="10">
        <v>60.59</v>
      </c>
      <c r="Y2149" s="10">
        <v>60.67</v>
      </c>
      <c r="Z2149" s="11">
        <v>68.144999999999996</v>
      </c>
      <c r="AA2149" s="11">
        <v>66.674999999999997</v>
      </c>
      <c r="AB2149" s="11">
        <v>65.831999999999994</v>
      </c>
      <c r="AC2149" s="11">
        <v>65.307000000000002</v>
      </c>
      <c r="AD2149" s="11">
        <v>64.986999999999995</v>
      </c>
      <c r="AE2149" s="11">
        <v>64.757000000000005</v>
      </c>
      <c r="AF2149" s="11">
        <v>64.578000000000003</v>
      </c>
      <c r="AG2149" s="11">
        <v>64.44</v>
      </c>
      <c r="AH2149" s="11">
        <v>64.353999999999999</v>
      </c>
      <c r="AI2149" s="11">
        <v>64.373000000000005</v>
      </c>
      <c r="AJ2149" s="11">
        <v>64.415000000000006</v>
      </c>
      <c r="AK2149" s="11">
        <v>64.484999999999999</v>
      </c>
      <c r="AL2149" s="11"/>
    </row>
    <row r="2150" spans="1:38" x14ac:dyDescent="0.3">
      <c r="A2150" s="9">
        <f>DATE(2025, 4, 28)</f>
        <v>45775</v>
      </c>
      <c r="B2150" s="10">
        <v>65.86</v>
      </c>
      <c r="C2150" s="10">
        <v>64.790000000000006</v>
      </c>
      <c r="D2150" s="10">
        <v>64.31</v>
      </c>
      <c r="E2150" s="10">
        <v>64.010000000000005</v>
      </c>
      <c r="F2150" s="10">
        <v>63.84</v>
      </c>
      <c r="G2150" s="10">
        <v>63.76</v>
      </c>
      <c r="H2150" s="10">
        <v>63.7</v>
      </c>
      <c r="I2150" s="10">
        <v>63.68</v>
      </c>
      <c r="J2150" s="10">
        <v>63.7</v>
      </c>
      <c r="K2150" s="10">
        <v>63.75</v>
      </c>
      <c r="L2150" s="10">
        <v>63.83</v>
      </c>
      <c r="M2150" s="10">
        <v>63.94</v>
      </c>
      <c r="N2150" s="10">
        <v>62.05</v>
      </c>
      <c r="O2150" s="10">
        <v>61.37</v>
      </c>
      <c r="P2150" s="10">
        <v>60.82</v>
      </c>
      <c r="Q2150" s="10">
        <v>60.43</v>
      </c>
      <c r="R2150" s="10">
        <v>60.16</v>
      </c>
      <c r="S2150" s="10">
        <v>60.01</v>
      </c>
      <c r="T2150" s="10">
        <v>59.93</v>
      </c>
      <c r="U2150" s="10">
        <v>59.87</v>
      </c>
      <c r="V2150" s="10">
        <v>59.87</v>
      </c>
      <c r="W2150" s="10">
        <v>59.91</v>
      </c>
      <c r="X2150" s="10">
        <v>59.98</v>
      </c>
      <c r="Y2150" s="10">
        <v>60.1</v>
      </c>
      <c r="Z2150" s="11">
        <v>68.058000000000007</v>
      </c>
      <c r="AA2150" s="11">
        <v>65.546000000000006</v>
      </c>
      <c r="AB2150" s="11">
        <v>64.745999999999995</v>
      </c>
      <c r="AC2150" s="11">
        <v>64.275999999999996</v>
      </c>
      <c r="AD2150" s="11">
        <v>64.016000000000005</v>
      </c>
      <c r="AE2150" s="11">
        <v>63.856999999999999</v>
      </c>
      <c r="AF2150" s="11">
        <v>63.747</v>
      </c>
      <c r="AG2150" s="11">
        <v>63.682000000000002</v>
      </c>
      <c r="AH2150" s="11">
        <v>63.637</v>
      </c>
      <c r="AI2150" s="11">
        <v>63.676000000000002</v>
      </c>
      <c r="AJ2150" s="11">
        <v>63.746000000000002</v>
      </c>
      <c r="AK2150" s="11">
        <v>63.854999999999997</v>
      </c>
      <c r="AL2150" s="11"/>
    </row>
    <row r="2151" spans="1:38" x14ac:dyDescent="0.3">
      <c r="A2151" s="9">
        <f>DATE(2025, 4, 29)</f>
        <v>45776</v>
      </c>
      <c r="B2151" s="10">
        <v>64.25</v>
      </c>
      <c r="C2151" s="10">
        <v>63.28</v>
      </c>
      <c r="D2151" s="10">
        <v>62.91</v>
      </c>
      <c r="E2151" s="10">
        <v>62.69</v>
      </c>
      <c r="F2151" s="10">
        <v>62.59</v>
      </c>
      <c r="G2151" s="10">
        <v>62.56</v>
      </c>
      <c r="H2151" s="10">
        <v>62.57</v>
      </c>
      <c r="I2151" s="10">
        <v>62.61</v>
      </c>
      <c r="J2151" s="10">
        <v>62.67</v>
      </c>
      <c r="K2151" s="10">
        <v>62.77</v>
      </c>
      <c r="L2151" s="10">
        <v>62.89</v>
      </c>
      <c r="M2151" s="10">
        <v>63.02</v>
      </c>
      <c r="N2151" s="10">
        <v>60.42</v>
      </c>
      <c r="O2151" s="10">
        <v>59.84</v>
      </c>
      <c r="P2151" s="10">
        <v>59.4</v>
      </c>
      <c r="Q2151" s="10">
        <v>59.09</v>
      </c>
      <c r="R2151" s="10">
        <v>58.89</v>
      </c>
      <c r="S2151" s="10">
        <v>58.81</v>
      </c>
      <c r="T2151" s="10">
        <v>58.8</v>
      </c>
      <c r="U2151" s="10">
        <v>58.81</v>
      </c>
      <c r="V2151" s="10">
        <v>58.86</v>
      </c>
      <c r="W2151" s="10">
        <v>58.95</v>
      </c>
      <c r="X2151" s="10">
        <v>59.06</v>
      </c>
      <c r="Y2151" s="10">
        <v>59.2</v>
      </c>
      <c r="Z2151" s="11">
        <v>67.787999999999997</v>
      </c>
      <c r="AA2151" s="11">
        <v>63.71</v>
      </c>
      <c r="AB2151" s="11">
        <v>63.12</v>
      </c>
      <c r="AC2151" s="11">
        <v>62.805999999999997</v>
      </c>
      <c r="AD2151" s="11">
        <v>62.694000000000003</v>
      </c>
      <c r="AE2151" s="11">
        <v>62.625</v>
      </c>
      <c r="AF2151" s="11">
        <v>62.601999999999997</v>
      </c>
      <c r="AG2151" s="11">
        <v>62.607999999999997</v>
      </c>
      <c r="AH2151" s="11">
        <v>62.637999999999998</v>
      </c>
      <c r="AI2151" s="11">
        <v>62.698</v>
      </c>
      <c r="AJ2151" s="11">
        <v>62.807000000000002</v>
      </c>
      <c r="AK2151" s="11">
        <v>62.911000000000001</v>
      </c>
      <c r="AL2151" s="11"/>
    </row>
    <row r="2152" spans="1:38" x14ac:dyDescent="0.3">
      <c r="A2152" s="9">
        <f>DATE(2025, 4, 30)</f>
        <v>45777</v>
      </c>
      <c r="B2152" s="10">
        <v>63.12</v>
      </c>
      <c r="C2152" s="10">
        <v>61.06</v>
      </c>
      <c r="D2152" s="10">
        <v>60.67</v>
      </c>
      <c r="E2152" s="10">
        <v>60.43</v>
      </c>
      <c r="F2152" s="10">
        <v>60.32</v>
      </c>
      <c r="G2152" s="10">
        <v>60.31</v>
      </c>
      <c r="H2152" s="10">
        <v>60.32</v>
      </c>
      <c r="I2152" s="10">
        <v>60.38</v>
      </c>
      <c r="J2152" s="10">
        <v>60.47</v>
      </c>
      <c r="K2152" s="10">
        <v>60.59</v>
      </c>
      <c r="L2152" s="10">
        <v>60.73</v>
      </c>
      <c r="M2152" s="10">
        <v>60.88</v>
      </c>
      <c r="N2152" s="10">
        <v>58.21</v>
      </c>
      <c r="O2152" s="10">
        <v>57.62</v>
      </c>
      <c r="P2152" s="10">
        <v>57.19</v>
      </c>
      <c r="Q2152" s="10">
        <v>56.88</v>
      </c>
      <c r="R2152" s="10">
        <v>56.68</v>
      </c>
      <c r="S2152" s="10">
        <v>56.6</v>
      </c>
      <c r="T2152" s="10">
        <v>56.6</v>
      </c>
      <c r="U2152" s="10">
        <v>56.64</v>
      </c>
      <c r="V2152" s="10">
        <v>56.71</v>
      </c>
      <c r="W2152" s="10">
        <v>56.81</v>
      </c>
      <c r="X2152" s="10">
        <v>56.95</v>
      </c>
      <c r="Y2152" s="10">
        <v>57.11</v>
      </c>
      <c r="Z2152" s="11">
        <v>67.738</v>
      </c>
      <c r="AA2152" s="11">
        <v>61.374000000000002</v>
      </c>
      <c r="AB2152" s="11">
        <v>60.673999999999999</v>
      </c>
      <c r="AC2152" s="11">
        <v>60.35</v>
      </c>
      <c r="AD2152" s="11">
        <v>60.258000000000003</v>
      </c>
      <c r="AE2152" s="11">
        <v>60.213000000000001</v>
      </c>
      <c r="AF2152" s="11">
        <v>60.210999999999999</v>
      </c>
      <c r="AG2152" s="11">
        <v>60.244999999999997</v>
      </c>
      <c r="AH2152" s="11">
        <v>60.311</v>
      </c>
      <c r="AI2152" s="11">
        <v>60.406999999999996</v>
      </c>
      <c r="AJ2152" s="11">
        <v>60.558</v>
      </c>
      <c r="AK2152" s="11">
        <v>60.716999999999999</v>
      </c>
      <c r="AL2152" s="11"/>
    </row>
    <row r="2153" spans="1:38" x14ac:dyDescent="0.3">
      <c r="A2153" s="9">
        <f>DATE(2025, 5, 1)</f>
        <v>45778</v>
      </c>
      <c r="B2153" s="10">
        <v>62.13</v>
      </c>
      <c r="C2153" s="10">
        <v>61.72</v>
      </c>
      <c r="D2153" s="10">
        <v>61.43</v>
      </c>
      <c r="E2153" s="10">
        <v>61.27</v>
      </c>
      <c r="F2153" s="10">
        <v>61.22</v>
      </c>
      <c r="G2153" s="10">
        <v>61.22</v>
      </c>
      <c r="H2153" s="10">
        <v>61.26</v>
      </c>
      <c r="I2153" s="10">
        <v>61.33</v>
      </c>
      <c r="J2153" s="10">
        <v>61.44</v>
      </c>
      <c r="K2153" s="10">
        <v>61.55</v>
      </c>
      <c r="L2153" s="10">
        <v>61.69</v>
      </c>
      <c r="M2153" s="10">
        <v>61.83</v>
      </c>
      <c r="N2153" s="10">
        <v>59.24</v>
      </c>
      <c r="O2153" s="10">
        <v>58.68</v>
      </c>
      <c r="P2153" s="10">
        <v>58.24</v>
      </c>
      <c r="Q2153" s="10">
        <v>57.9</v>
      </c>
      <c r="R2153" s="10">
        <v>57.67</v>
      </c>
      <c r="S2153" s="10">
        <v>57.56</v>
      </c>
      <c r="T2153" s="10">
        <v>57.54</v>
      </c>
      <c r="U2153" s="10">
        <v>57.56</v>
      </c>
      <c r="V2153" s="10">
        <v>57.62</v>
      </c>
      <c r="W2153" s="10">
        <v>57.71</v>
      </c>
      <c r="X2153" s="10">
        <v>57.82</v>
      </c>
      <c r="Y2153" s="10">
        <v>57.97</v>
      </c>
      <c r="Z2153" s="11">
        <v>67.738</v>
      </c>
      <c r="AA2153" s="11">
        <v>62.301000000000002</v>
      </c>
      <c r="AB2153" s="11">
        <v>61.593000000000004</v>
      </c>
      <c r="AC2153" s="11">
        <v>61.253</v>
      </c>
      <c r="AD2153" s="11">
        <v>61.082999999999998</v>
      </c>
      <c r="AE2153" s="11">
        <v>61.003</v>
      </c>
      <c r="AF2153" s="11">
        <v>60.965000000000003</v>
      </c>
      <c r="AG2153" s="11">
        <v>60.982999999999997</v>
      </c>
      <c r="AH2153" s="11">
        <v>61.039000000000001</v>
      </c>
      <c r="AI2153" s="11">
        <v>61.139000000000003</v>
      </c>
      <c r="AJ2153" s="11">
        <v>61.244</v>
      </c>
      <c r="AK2153" s="11">
        <v>61.363</v>
      </c>
      <c r="AL2153" s="11"/>
    </row>
    <row r="2154" spans="1:38" x14ac:dyDescent="0.3">
      <c r="A2154" s="9">
        <f>DATE(2025, 5, 2)</f>
        <v>45779</v>
      </c>
      <c r="B2154" s="10">
        <v>61.29</v>
      </c>
      <c r="C2154" s="10">
        <v>60.93</v>
      </c>
      <c r="D2154" s="10">
        <v>60.7</v>
      </c>
      <c r="E2154" s="10">
        <v>60.6</v>
      </c>
      <c r="F2154" s="10">
        <v>60.62</v>
      </c>
      <c r="G2154" s="10">
        <v>60.68</v>
      </c>
      <c r="H2154" s="10">
        <v>60.78</v>
      </c>
      <c r="I2154" s="10">
        <v>60.91</v>
      </c>
      <c r="J2154" s="10">
        <v>61.06</v>
      </c>
      <c r="K2154" s="10">
        <v>61.21</v>
      </c>
      <c r="L2154" s="10">
        <v>61.37</v>
      </c>
      <c r="M2154" s="10">
        <v>61.53</v>
      </c>
      <c r="N2154" s="10">
        <v>58.29</v>
      </c>
      <c r="O2154" s="10">
        <v>57.83</v>
      </c>
      <c r="P2154" s="10">
        <v>57.48</v>
      </c>
      <c r="Q2154" s="10">
        <v>57.21</v>
      </c>
      <c r="R2154" s="10">
        <v>57.05</v>
      </c>
      <c r="S2154" s="10">
        <v>57</v>
      </c>
      <c r="T2154" s="10">
        <v>57.04</v>
      </c>
      <c r="U2154" s="10">
        <v>57.11</v>
      </c>
      <c r="V2154" s="10">
        <v>57.21</v>
      </c>
      <c r="W2154" s="10">
        <v>57.34</v>
      </c>
      <c r="X2154" s="10">
        <v>57.49</v>
      </c>
      <c r="Y2154" s="10">
        <v>57.66</v>
      </c>
      <c r="Z2154" s="11">
        <v>61.05</v>
      </c>
      <c r="AA2154" s="11">
        <v>60.488999999999997</v>
      </c>
      <c r="AB2154" s="11">
        <v>60.231000000000002</v>
      </c>
      <c r="AC2154" s="11">
        <v>60.110999999999997</v>
      </c>
      <c r="AD2154" s="11">
        <v>60.091000000000001</v>
      </c>
      <c r="AE2154" s="11">
        <v>60.112000000000002</v>
      </c>
      <c r="AF2154" s="11">
        <v>60.192</v>
      </c>
      <c r="AG2154" s="11">
        <v>60.292000000000002</v>
      </c>
      <c r="AH2154" s="11">
        <v>60.442</v>
      </c>
      <c r="AI2154" s="11">
        <v>60.612000000000002</v>
      </c>
      <c r="AJ2154" s="11">
        <v>60.780999999999999</v>
      </c>
      <c r="AK2154" s="11">
        <v>60.945</v>
      </c>
      <c r="AL2154" s="11"/>
    </row>
    <row r="2155" spans="1:38" x14ac:dyDescent="0.3">
      <c r="A2155" s="9">
        <f>DATE(2025, 5, 5)</f>
        <v>45782</v>
      </c>
      <c r="B2155" s="10">
        <v>60.23</v>
      </c>
      <c r="C2155" s="10">
        <v>59.89</v>
      </c>
      <c r="D2155" s="10">
        <v>59.7</v>
      </c>
      <c r="E2155" s="10">
        <v>59.65</v>
      </c>
      <c r="F2155" s="10">
        <v>59.73</v>
      </c>
      <c r="G2155" s="10">
        <v>59.86</v>
      </c>
      <c r="H2155" s="10">
        <v>60.01</v>
      </c>
      <c r="I2155" s="10">
        <v>60.18</v>
      </c>
      <c r="J2155" s="10">
        <v>60.35</v>
      </c>
      <c r="K2155" s="10">
        <v>60.52</v>
      </c>
      <c r="L2155" s="10">
        <v>60.69</v>
      </c>
      <c r="M2155" s="10">
        <v>60.85</v>
      </c>
      <c r="N2155" s="10">
        <v>57.13</v>
      </c>
      <c r="O2155" s="10">
        <v>56.75</v>
      </c>
      <c r="P2155" s="10">
        <v>56.46</v>
      </c>
      <c r="Q2155" s="10">
        <v>56.24</v>
      </c>
      <c r="R2155" s="10">
        <v>56.15</v>
      </c>
      <c r="S2155" s="10">
        <v>56.18</v>
      </c>
      <c r="T2155" s="10">
        <v>56.28</v>
      </c>
      <c r="U2155" s="10">
        <v>56.4</v>
      </c>
      <c r="V2155" s="10">
        <v>56.54</v>
      </c>
      <c r="W2155" s="10">
        <v>56.69</v>
      </c>
      <c r="X2155" s="10">
        <v>56.86</v>
      </c>
      <c r="Y2155" s="10">
        <v>57.04</v>
      </c>
      <c r="Z2155" s="11">
        <v>59.98</v>
      </c>
      <c r="AA2155" s="11">
        <v>59.290999999999997</v>
      </c>
      <c r="AB2155" s="11">
        <v>59.058</v>
      </c>
      <c r="AC2155" s="11">
        <v>58.968000000000004</v>
      </c>
      <c r="AD2155" s="11">
        <v>58.997999999999998</v>
      </c>
      <c r="AE2155" s="11">
        <v>59.073999999999998</v>
      </c>
      <c r="AF2155" s="11">
        <v>59.204000000000001</v>
      </c>
      <c r="AG2155" s="11">
        <v>59.363999999999997</v>
      </c>
      <c r="AH2155" s="11">
        <v>59.546999999999997</v>
      </c>
      <c r="AI2155" s="11">
        <v>59.737000000000002</v>
      </c>
      <c r="AJ2155" s="11">
        <v>59.921999999999997</v>
      </c>
      <c r="AK2155" s="11">
        <v>60.095999999999997</v>
      </c>
      <c r="AL2155" s="11"/>
    </row>
    <row r="2156" spans="1:38" x14ac:dyDescent="0.3">
      <c r="A2156" s="9">
        <f>DATE(2025, 5, 6)</f>
        <v>45783</v>
      </c>
      <c r="B2156" s="10">
        <v>62.15</v>
      </c>
      <c r="C2156" s="10">
        <v>61.75</v>
      </c>
      <c r="D2156" s="10">
        <v>61.48</v>
      </c>
      <c r="E2156" s="10">
        <v>61.37</v>
      </c>
      <c r="F2156" s="10">
        <v>61.4</v>
      </c>
      <c r="G2156" s="10">
        <v>61.48</v>
      </c>
      <c r="H2156" s="10">
        <v>61.6</v>
      </c>
      <c r="I2156" s="10">
        <v>61.74</v>
      </c>
      <c r="J2156" s="10">
        <v>61.9</v>
      </c>
      <c r="K2156" s="10">
        <v>62.06</v>
      </c>
      <c r="L2156" s="10">
        <v>62.22</v>
      </c>
      <c r="M2156" s="10">
        <v>62.37</v>
      </c>
      <c r="N2156" s="10">
        <v>59.09</v>
      </c>
      <c r="O2156" s="10">
        <v>58.68</v>
      </c>
      <c r="P2156" s="10">
        <v>58.3</v>
      </c>
      <c r="Q2156" s="10">
        <v>58.02</v>
      </c>
      <c r="R2156" s="10">
        <v>57.88</v>
      </c>
      <c r="S2156" s="10">
        <v>57.87</v>
      </c>
      <c r="T2156" s="10">
        <v>57.95</v>
      </c>
      <c r="U2156" s="10">
        <v>58.05</v>
      </c>
      <c r="V2156" s="10">
        <v>58.18</v>
      </c>
      <c r="W2156" s="10">
        <v>58.32</v>
      </c>
      <c r="X2156" s="10">
        <v>58.48</v>
      </c>
      <c r="Y2156" s="10">
        <v>58.65</v>
      </c>
      <c r="Z2156" s="11">
        <v>62.209000000000003</v>
      </c>
      <c r="AA2156" s="11">
        <v>61.627000000000002</v>
      </c>
      <c r="AB2156" s="11">
        <v>61.22</v>
      </c>
      <c r="AC2156" s="11">
        <v>61.036000000000001</v>
      </c>
      <c r="AD2156" s="11">
        <v>60.996000000000002</v>
      </c>
      <c r="AE2156" s="11">
        <v>61.015999999999998</v>
      </c>
      <c r="AF2156" s="11">
        <v>61.085999999999999</v>
      </c>
      <c r="AG2156" s="11">
        <v>61.186</v>
      </c>
      <c r="AH2156" s="11">
        <v>61.347999999999999</v>
      </c>
      <c r="AI2156" s="11">
        <v>61.527999999999999</v>
      </c>
      <c r="AJ2156" s="11">
        <v>61.707000000000001</v>
      </c>
      <c r="AK2156" s="11">
        <v>61.856000000000002</v>
      </c>
      <c r="AL2156" s="11"/>
    </row>
    <row r="2157" spans="1:38" x14ac:dyDescent="0.3">
      <c r="A2157" s="9">
        <f>DATE(2025, 5, 7)</f>
        <v>45784</v>
      </c>
      <c r="B2157" s="10">
        <v>61.12</v>
      </c>
      <c r="C2157" s="10">
        <v>60.79</v>
      </c>
      <c r="D2157" s="10">
        <v>60.52</v>
      </c>
      <c r="E2157" s="10">
        <v>60.4</v>
      </c>
      <c r="F2157" s="10">
        <v>60.42</v>
      </c>
      <c r="G2157" s="10">
        <v>60.5</v>
      </c>
      <c r="H2157" s="10">
        <v>60.61</v>
      </c>
      <c r="I2157" s="10">
        <v>60.75</v>
      </c>
      <c r="J2157" s="10">
        <v>60.91</v>
      </c>
      <c r="K2157" s="10">
        <v>61.08</v>
      </c>
      <c r="L2157" s="10">
        <v>61.26</v>
      </c>
      <c r="M2157" s="10">
        <v>61.43</v>
      </c>
      <c r="N2157" s="10">
        <v>58.07</v>
      </c>
      <c r="O2157" s="10">
        <v>57.7</v>
      </c>
      <c r="P2157" s="10">
        <v>57.34</v>
      </c>
      <c r="Q2157" s="10">
        <v>57.05</v>
      </c>
      <c r="R2157" s="10">
        <v>56.9</v>
      </c>
      <c r="S2157" s="10">
        <v>56.88</v>
      </c>
      <c r="T2157" s="10">
        <v>56.94</v>
      </c>
      <c r="U2157" s="10">
        <v>57.05</v>
      </c>
      <c r="V2157" s="10">
        <v>57.19</v>
      </c>
      <c r="W2157" s="10">
        <v>57.35</v>
      </c>
      <c r="X2157" s="10">
        <v>57.53</v>
      </c>
      <c r="Y2157" s="10">
        <v>57.72</v>
      </c>
      <c r="Z2157" s="11">
        <v>61.582999999999998</v>
      </c>
      <c r="AA2157" s="11">
        <v>60.756999999999998</v>
      </c>
      <c r="AB2157" s="11">
        <v>60.326999999999998</v>
      </c>
      <c r="AC2157" s="11">
        <v>60.127000000000002</v>
      </c>
      <c r="AD2157" s="11">
        <v>60.070999999999998</v>
      </c>
      <c r="AE2157" s="11">
        <v>60.091000000000001</v>
      </c>
      <c r="AF2157" s="11">
        <v>60.152000000000001</v>
      </c>
      <c r="AG2157" s="11">
        <v>60.262</v>
      </c>
      <c r="AH2157" s="11">
        <v>60.414999999999999</v>
      </c>
      <c r="AI2157" s="11">
        <v>60.585999999999999</v>
      </c>
      <c r="AJ2157" s="11">
        <v>60.765000000000001</v>
      </c>
      <c r="AK2157" s="11">
        <v>60.930999999999997</v>
      </c>
      <c r="AL2157" s="11"/>
    </row>
    <row r="2158" spans="1:38" x14ac:dyDescent="0.3">
      <c r="A2158" s="9">
        <f>DATE(2025, 5, 8)</f>
        <v>45785</v>
      </c>
      <c r="B2158" s="10">
        <v>62.84</v>
      </c>
      <c r="C2158" s="10">
        <v>62.45</v>
      </c>
      <c r="D2158" s="10">
        <v>62.12</v>
      </c>
      <c r="E2158" s="10">
        <v>61.95</v>
      </c>
      <c r="F2158" s="10">
        <v>61.9</v>
      </c>
      <c r="G2158" s="10">
        <v>61.9</v>
      </c>
      <c r="H2158" s="10">
        <v>61.96</v>
      </c>
      <c r="I2158" s="10">
        <v>62.05</v>
      </c>
      <c r="J2158" s="10">
        <v>62.17</v>
      </c>
      <c r="K2158" s="10">
        <v>62.3</v>
      </c>
      <c r="L2158" s="10">
        <v>62.46</v>
      </c>
      <c r="M2158" s="10">
        <v>62.61</v>
      </c>
      <c r="N2158" s="10">
        <v>59.91</v>
      </c>
      <c r="O2158" s="10">
        <v>59.52</v>
      </c>
      <c r="P2158" s="10">
        <v>59.09</v>
      </c>
      <c r="Q2158" s="10">
        <v>58.72</v>
      </c>
      <c r="R2158" s="10">
        <v>58.48</v>
      </c>
      <c r="S2158" s="10">
        <v>58.4</v>
      </c>
      <c r="T2158" s="10">
        <v>58.39</v>
      </c>
      <c r="U2158" s="10">
        <v>58.44</v>
      </c>
      <c r="V2158" s="10">
        <v>58.52</v>
      </c>
      <c r="W2158" s="10">
        <v>58.64</v>
      </c>
      <c r="X2158" s="10">
        <v>58.78</v>
      </c>
      <c r="Y2158" s="10">
        <v>58.95</v>
      </c>
      <c r="Z2158" s="11">
        <v>63.01</v>
      </c>
      <c r="AA2158" s="11">
        <v>62.56</v>
      </c>
      <c r="AB2158" s="11">
        <v>62.061</v>
      </c>
      <c r="AC2158" s="11">
        <v>61.81</v>
      </c>
      <c r="AD2158" s="11">
        <v>61.69</v>
      </c>
      <c r="AE2158" s="11">
        <v>61.649000000000001</v>
      </c>
      <c r="AF2158" s="11">
        <v>61.668999999999997</v>
      </c>
      <c r="AG2158" s="11">
        <v>61.716999999999999</v>
      </c>
      <c r="AH2158" s="11">
        <v>61.802</v>
      </c>
      <c r="AI2158" s="11">
        <v>61.938000000000002</v>
      </c>
      <c r="AJ2158" s="11">
        <v>62.106999999999999</v>
      </c>
      <c r="AK2158" s="11">
        <v>62.225999999999999</v>
      </c>
      <c r="AL2158" s="11"/>
    </row>
    <row r="2159" spans="1:38" x14ac:dyDescent="0.3">
      <c r="A2159" s="9">
        <f>DATE(2025, 5, 9)</f>
        <v>45786</v>
      </c>
      <c r="B2159" s="10">
        <v>63.91</v>
      </c>
      <c r="C2159" s="10">
        <v>63.43</v>
      </c>
      <c r="D2159" s="10">
        <v>63.02</v>
      </c>
      <c r="E2159" s="10">
        <v>62.78</v>
      </c>
      <c r="F2159" s="10">
        <v>62.68</v>
      </c>
      <c r="G2159" s="10">
        <v>62.63</v>
      </c>
      <c r="H2159" s="10">
        <v>62.64</v>
      </c>
      <c r="I2159" s="10">
        <v>62.7</v>
      </c>
      <c r="J2159" s="10">
        <v>62.78</v>
      </c>
      <c r="K2159" s="10">
        <v>62.89</v>
      </c>
      <c r="L2159" s="10">
        <v>63.02</v>
      </c>
      <c r="M2159" s="10">
        <v>63.16</v>
      </c>
      <c r="N2159" s="10">
        <v>61.02</v>
      </c>
      <c r="O2159" s="10">
        <v>60.58</v>
      </c>
      <c r="P2159" s="10">
        <v>60.07</v>
      </c>
      <c r="Q2159" s="10">
        <v>59.62</v>
      </c>
      <c r="R2159" s="10">
        <v>59.31</v>
      </c>
      <c r="S2159" s="10">
        <v>59.16</v>
      </c>
      <c r="T2159" s="10">
        <v>59.1</v>
      </c>
      <c r="U2159" s="10">
        <v>59.11</v>
      </c>
      <c r="V2159" s="10">
        <v>59.14</v>
      </c>
      <c r="W2159" s="10">
        <v>59.24</v>
      </c>
      <c r="X2159" s="10">
        <v>59.37</v>
      </c>
      <c r="Y2159" s="10">
        <v>59.51</v>
      </c>
      <c r="Z2159" s="11">
        <v>63.715000000000003</v>
      </c>
      <c r="AA2159" s="11">
        <v>63.613</v>
      </c>
      <c r="AB2159" s="11">
        <v>63.088000000000001</v>
      </c>
      <c r="AC2159" s="11">
        <v>62.765000000000001</v>
      </c>
      <c r="AD2159" s="11">
        <v>62.567999999999998</v>
      </c>
      <c r="AE2159" s="11">
        <v>62.478000000000002</v>
      </c>
      <c r="AF2159" s="11">
        <v>62.448</v>
      </c>
      <c r="AG2159" s="11">
        <v>62.454000000000001</v>
      </c>
      <c r="AH2159" s="11">
        <v>62.512</v>
      </c>
      <c r="AI2159" s="11">
        <v>62.624000000000002</v>
      </c>
      <c r="AJ2159" s="11">
        <v>62.753</v>
      </c>
      <c r="AK2159" s="11">
        <v>62.85</v>
      </c>
      <c r="AL2159" s="11"/>
    </row>
    <row r="2160" spans="1:38" x14ac:dyDescent="0.3">
      <c r="A2160" s="9">
        <f>DATE(2025, 5, 12)</f>
        <v>45789</v>
      </c>
      <c r="B2160" s="10">
        <v>64.959999999999994</v>
      </c>
      <c r="C2160" s="10">
        <v>64.55</v>
      </c>
      <c r="D2160" s="10">
        <v>64.180000000000007</v>
      </c>
      <c r="E2160" s="10">
        <v>63.95</v>
      </c>
      <c r="F2160" s="10">
        <v>63.85</v>
      </c>
      <c r="G2160" s="10">
        <v>63.8</v>
      </c>
      <c r="H2160" s="10">
        <v>63.81</v>
      </c>
      <c r="I2160" s="10">
        <v>63.87</v>
      </c>
      <c r="J2160" s="10">
        <v>63.95</v>
      </c>
      <c r="K2160" s="10">
        <v>64.05</v>
      </c>
      <c r="L2160" s="10">
        <v>64.17</v>
      </c>
      <c r="M2160" s="10">
        <v>64.3</v>
      </c>
      <c r="N2160" s="10">
        <v>61.95</v>
      </c>
      <c r="O2160" s="10">
        <v>61.56</v>
      </c>
      <c r="P2160" s="10">
        <v>61.11</v>
      </c>
      <c r="Q2160" s="10">
        <v>60.7</v>
      </c>
      <c r="R2160" s="10">
        <v>60.41</v>
      </c>
      <c r="S2160" s="10">
        <v>60.26</v>
      </c>
      <c r="T2160" s="10">
        <v>60.2</v>
      </c>
      <c r="U2160" s="10">
        <v>60.21</v>
      </c>
      <c r="V2160" s="10">
        <v>60.26</v>
      </c>
      <c r="W2160" s="10">
        <v>60.34</v>
      </c>
      <c r="X2160" s="10">
        <v>60.45</v>
      </c>
      <c r="Y2160" s="10">
        <v>60.59</v>
      </c>
      <c r="Z2160" s="11">
        <v>64.445999999999998</v>
      </c>
      <c r="AA2160" s="11">
        <v>64.656999999999996</v>
      </c>
      <c r="AB2160" s="11">
        <v>64.16</v>
      </c>
      <c r="AC2160" s="11">
        <v>63.86</v>
      </c>
      <c r="AD2160" s="11">
        <v>63.66</v>
      </c>
      <c r="AE2160" s="11">
        <v>63.57</v>
      </c>
      <c r="AF2160" s="11">
        <v>63.548000000000002</v>
      </c>
      <c r="AG2160" s="11">
        <v>63.563000000000002</v>
      </c>
      <c r="AH2160" s="11">
        <v>63.604999999999997</v>
      </c>
      <c r="AI2160" s="11">
        <v>63.716000000000001</v>
      </c>
      <c r="AJ2160" s="11">
        <v>63.843000000000004</v>
      </c>
      <c r="AK2160" s="11">
        <v>63.929000000000002</v>
      </c>
      <c r="AL2160" s="11"/>
    </row>
    <row r="2161" spans="1:38" x14ac:dyDescent="0.3">
      <c r="A2161" s="9">
        <f>DATE(2025, 5, 13)</f>
        <v>45790</v>
      </c>
      <c r="B2161" s="10">
        <v>66.63</v>
      </c>
      <c r="C2161" s="10">
        <v>66.13</v>
      </c>
      <c r="D2161" s="10">
        <v>65.680000000000007</v>
      </c>
      <c r="E2161" s="10">
        <v>65.36</v>
      </c>
      <c r="F2161" s="10">
        <v>65.180000000000007</v>
      </c>
      <c r="G2161" s="10">
        <v>65.08</v>
      </c>
      <c r="H2161" s="10">
        <v>65.040000000000006</v>
      </c>
      <c r="I2161" s="10">
        <v>65.05</v>
      </c>
      <c r="J2161" s="10">
        <v>65.099999999999994</v>
      </c>
      <c r="K2161" s="10">
        <v>65.16</v>
      </c>
      <c r="L2161" s="10">
        <v>65.25</v>
      </c>
      <c r="M2161" s="10">
        <v>65.349999999999994</v>
      </c>
      <c r="N2161" s="10">
        <v>63.67</v>
      </c>
      <c r="O2161" s="10">
        <v>63.25</v>
      </c>
      <c r="P2161" s="10">
        <v>62.74</v>
      </c>
      <c r="Q2161" s="10">
        <v>62.25</v>
      </c>
      <c r="R2161" s="10">
        <v>61.87</v>
      </c>
      <c r="S2161" s="10">
        <v>61.64</v>
      </c>
      <c r="T2161" s="10">
        <v>61.52</v>
      </c>
      <c r="U2161" s="10">
        <v>61.48</v>
      </c>
      <c r="V2161" s="10">
        <v>61.48</v>
      </c>
      <c r="W2161" s="10">
        <v>61.52</v>
      </c>
      <c r="X2161" s="10">
        <v>61.59</v>
      </c>
      <c r="Y2161" s="10">
        <v>61.7</v>
      </c>
      <c r="Z2161" s="11">
        <v>65.293000000000006</v>
      </c>
      <c r="AA2161" s="11">
        <v>65.974000000000004</v>
      </c>
      <c r="AB2161" s="11">
        <v>65.474000000000004</v>
      </c>
      <c r="AC2161" s="11">
        <v>65.134</v>
      </c>
      <c r="AD2161" s="11">
        <v>64.897999999999996</v>
      </c>
      <c r="AE2161" s="11">
        <v>64.771000000000001</v>
      </c>
      <c r="AF2161" s="11">
        <v>64.706000000000003</v>
      </c>
      <c r="AG2161" s="11">
        <v>64.691000000000003</v>
      </c>
      <c r="AH2161" s="11">
        <v>64.736000000000004</v>
      </c>
      <c r="AI2161" s="11">
        <v>64.792000000000002</v>
      </c>
      <c r="AJ2161" s="11">
        <v>64.879000000000005</v>
      </c>
      <c r="AK2161" s="11">
        <v>64.959999999999994</v>
      </c>
      <c r="AL2161" s="11"/>
    </row>
    <row r="2162" spans="1:38" x14ac:dyDescent="0.3">
      <c r="A2162" s="9">
        <f>DATE(2025, 5, 14)</f>
        <v>45791</v>
      </c>
      <c r="B2162" s="10">
        <v>66.09</v>
      </c>
      <c r="C2162" s="10">
        <v>65.58</v>
      </c>
      <c r="D2162" s="10">
        <v>65.14</v>
      </c>
      <c r="E2162" s="10">
        <v>64.84</v>
      </c>
      <c r="F2162" s="10">
        <v>64.680000000000007</v>
      </c>
      <c r="G2162" s="10">
        <v>64.599999999999994</v>
      </c>
      <c r="H2162" s="10">
        <v>64.59</v>
      </c>
      <c r="I2162" s="10">
        <v>64.62</v>
      </c>
      <c r="J2162" s="10">
        <v>64.680000000000007</v>
      </c>
      <c r="K2162" s="10">
        <v>64.75</v>
      </c>
      <c r="L2162" s="10">
        <v>64.83</v>
      </c>
      <c r="M2162" s="10">
        <v>64.92</v>
      </c>
      <c r="N2162" s="10">
        <v>63.15</v>
      </c>
      <c r="O2162" s="10">
        <v>62.68</v>
      </c>
      <c r="P2162" s="10">
        <v>62.14</v>
      </c>
      <c r="Q2162" s="10">
        <v>61.65</v>
      </c>
      <c r="R2162" s="10">
        <v>61.28</v>
      </c>
      <c r="S2162" s="10">
        <v>61.08</v>
      </c>
      <c r="T2162" s="10">
        <v>60.98</v>
      </c>
      <c r="U2162" s="10">
        <v>60.95</v>
      </c>
      <c r="V2162" s="10">
        <v>60.97</v>
      </c>
      <c r="W2162" s="10">
        <v>61.02</v>
      </c>
      <c r="X2162" s="10">
        <v>61.1</v>
      </c>
      <c r="Y2162" s="10">
        <v>61.2</v>
      </c>
      <c r="Z2162" s="11">
        <v>64.606999999999999</v>
      </c>
      <c r="AA2162" s="11">
        <v>65.031999999999996</v>
      </c>
      <c r="AB2162" s="11">
        <v>64.671999999999997</v>
      </c>
      <c r="AC2162" s="11">
        <v>64.402000000000001</v>
      </c>
      <c r="AD2162" s="11">
        <v>64.215999999999994</v>
      </c>
      <c r="AE2162" s="11">
        <v>64.153999999999996</v>
      </c>
      <c r="AF2162" s="11">
        <v>64.162000000000006</v>
      </c>
      <c r="AG2162" s="11">
        <v>64.201999999999998</v>
      </c>
      <c r="AH2162" s="11">
        <v>64.275000000000006</v>
      </c>
      <c r="AI2162" s="11">
        <v>64.326999999999998</v>
      </c>
      <c r="AJ2162" s="11">
        <v>64.399000000000001</v>
      </c>
      <c r="AK2162" s="11">
        <v>64.497</v>
      </c>
      <c r="AL2162" s="11"/>
    </row>
    <row r="2163" spans="1:38" x14ac:dyDescent="0.3">
      <c r="A2163" s="9">
        <f>DATE(2025, 5, 15)</f>
        <v>45792</v>
      </c>
      <c r="B2163" s="10">
        <v>64.53</v>
      </c>
      <c r="C2163" s="10">
        <v>64.06</v>
      </c>
      <c r="D2163" s="10">
        <v>63.67</v>
      </c>
      <c r="E2163" s="10">
        <v>63.43</v>
      </c>
      <c r="F2163" s="10">
        <v>63.33</v>
      </c>
      <c r="G2163" s="10">
        <v>63.32</v>
      </c>
      <c r="H2163" s="10">
        <v>63.37</v>
      </c>
      <c r="I2163" s="10">
        <v>63.45</v>
      </c>
      <c r="J2163" s="10">
        <v>63.55</v>
      </c>
      <c r="K2163" s="10">
        <v>63.66</v>
      </c>
      <c r="L2163" s="10">
        <v>63.79</v>
      </c>
      <c r="M2163" s="10">
        <v>63.91</v>
      </c>
      <c r="N2163" s="10">
        <v>61.62</v>
      </c>
      <c r="O2163" s="10">
        <v>61.15</v>
      </c>
      <c r="P2163" s="10">
        <v>60.66</v>
      </c>
      <c r="Q2163" s="10">
        <v>60.21</v>
      </c>
      <c r="R2163" s="10">
        <v>59.89</v>
      </c>
      <c r="S2163" s="10">
        <v>59.74</v>
      </c>
      <c r="T2163" s="10">
        <v>59.71</v>
      </c>
      <c r="U2163" s="10">
        <v>59.75</v>
      </c>
      <c r="V2163" s="10">
        <v>59.83</v>
      </c>
      <c r="W2163" s="10">
        <v>59.93</v>
      </c>
      <c r="X2163" s="10">
        <v>60.05</v>
      </c>
      <c r="Y2163" s="10">
        <v>60.18</v>
      </c>
      <c r="Z2163" s="11">
        <v>63.737000000000002</v>
      </c>
      <c r="AA2163" s="11">
        <v>63.378</v>
      </c>
      <c r="AB2163" s="11">
        <v>63.094999999999999</v>
      </c>
      <c r="AC2163" s="11">
        <v>62.917999999999999</v>
      </c>
      <c r="AD2163" s="11">
        <v>62.825000000000003</v>
      </c>
      <c r="AE2163" s="11">
        <v>62.822000000000003</v>
      </c>
      <c r="AF2163" s="11">
        <v>62.878999999999998</v>
      </c>
      <c r="AG2163" s="11">
        <v>62.962000000000003</v>
      </c>
      <c r="AH2163" s="11">
        <v>63.04</v>
      </c>
      <c r="AI2163" s="11">
        <v>63.142000000000003</v>
      </c>
      <c r="AJ2163" s="11">
        <v>63.265000000000001</v>
      </c>
      <c r="AK2163" s="11">
        <v>63.384</v>
      </c>
      <c r="AL2163" s="11"/>
    </row>
    <row r="2164" spans="1:38" x14ac:dyDescent="0.3">
      <c r="A2164" s="9">
        <f>DATE(2025, 5, 16)</f>
        <v>45793</v>
      </c>
      <c r="B2164" s="10">
        <v>65.41</v>
      </c>
      <c r="C2164" s="10">
        <v>64.78</v>
      </c>
      <c r="D2164" s="10">
        <v>64.290000000000006</v>
      </c>
      <c r="E2164" s="10">
        <v>63.94</v>
      </c>
      <c r="F2164" s="10">
        <v>63.77</v>
      </c>
      <c r="G2164" s="10">
        <v>63.7</v>
      </c>
      <c r="H2164" s="10">
        <v>63.71</v>
      </c>
      <c r="I2164" s="10">
        <v>63.75</v>
      </c>
      <c r="J2164" s="10">
        <v>63.82</v>
      </c>
      <c r="K2164" s="10">
        <v>63.9</v>
      </c>
      <c r="L2164" s="10">
        <v>64</v>
      </c>
      <c r="M2164" s="10">
        <v>64.09</v>
      </c>
      <c r="N2164" s="10">
        <v>62.49</v>
      </c>
      <c r="O2164" s="10">
        <v>61.97</v>
      </c>
      <c r="P2164" s="10">
        <v>61.4</v>
      </c>
      <c r="Q2164" s="10">
        <v>60.87</v>
      </c>
      <c r="R2164" s="10">
        <v>60.46</v>
      </c>
      <c r="S2164" s="10">
        <v>60.24</v>
      </c>
      <c r="T2164" s="10">
        <v>60.15</v>
      </c>
      <c r="U2164" s="10">
        <v>60.14</v>
      </c>
      <c r="V2164" s="10">
        <v>60.18</v>
      </c>
      <c r="W2164" s="10">
        <v>60.25</v>
      </c>
      <c r="X2164" s="10">
        <v>60.34</v>
      </c>
      <c r="Y2164" s="10">
        <v>60.45</v>
      </c>
      <c r="Z2164" s="11">
        <v>64.021000000000001</v>
      </c>
      <c r="AA2164" s="11">
        <v>64.072000000000003</v>
      </c>
      <c r="AB2164" s="11">
        <v>63.712000000000003</v>
      </c>
      <c r="AC2164" s="11">
        <v>63.442</v>
      </c>
      <c r="AD2164" s="11">
        <v>63.271999999999998</v>
      </c>
      <c r="AE2164" s="11">
        <v>63.192</v>
      </c>
      <c r="AF2164" s="11">
        <v>63.192</v>
      </c>
      <c r="AG2164" s="11">
        <v>63.241</v>
      </c>
      <c r="AH2164" s="11">
        <v>63.308999999999997</v>
      </c>
      <c r="AI2164" s="11">
        <v>63.39</v>
      </c>
      <c r="AJ2164" s="11">
        <v>63.488999999999997</v>
      </c>
      <c r="AK2164" s="11">
        <v>63.567</v>
      </c>
      <c r="AL2164" s="11"/>
    </row>
    <row r="2165" spans="1:38" x14ac:dyDescent="0.3">
      <c r="A2165" s="9">
        <f>DATE(2025, 5, 19)</f>
        <v>45796</v>
      </c>
      <c r="B2165" s="10">
        <v>65.540000000000006</v>
      </c>
      <c r="C2165" s="10">
        <v>64.8</v>
      </c>
      <c r="D2165" s="10">
        <v>64.239999999999995</v>
      </c>
      <c r="E2165" s="10">
        <v>63.84</v>
      </c>
      <c r="F2165" s="10">
        <v>63.63</v>
      </c>
      <c r="G2165" s="10">
        <v>63.54</v>
      </c>
      <c r="H2165" s="10">
        <v>63.54</v>
      </c>
      <c r="I2165" s="10">
        <v>63.58</v>
      </c>
      <c r="J2165" s="10">
        <v>63.64</v>
      </c>
      <c r="K2165" s="10">
        <v>63.71</v>
      </c>
      <c r="L2165" s="10">
        <v>63.8</v>
      </c>
      <c r="M2165" s="10">
        <v>63.87</v>
      </c>
      <c r="N2165" s="10">
        <v>62.69</v>
      </c>
      <c r="O2165" s="10">
        <v>62.14</v>
      </c>
      <c r="P2165" s="10">
        <v>61.49</v>
      </c>
      <c r="Q2165" s="10">
        <v>60.89</v>
      </c>
      <c r="R2165" s="10">
        <v>60.43</v>
      </c>
      <c r="S2165" s="10">
        <v>60.16</v>
      </c>
      <c r="T2165" s="10">
        <v>60.05</v>
      </c>
      <c r="U2165" s="10">
        <v>60.03</v>
      </c>
      <c r="V2165" s="10">
        <v>60.06</v>
      </c>
      <c r="W2165" s="10">
        <v>60.12</v>
      </c>
      <c r="X2165" s="10">
        <v>60.2</v>
      </c>
      <c r="Y2165" s="10">
        <v>60.28</v>
      </c>
      <c r="Z2165" s="11">
        <v>63.972000000000001</v>
      </c>
      <c r="AA2165" s="11">
        <v>64.153000000000006</v>
      </c>
      <c r="AB2165" s="11">
        <v>63.707999999999998</v>
      </c>
      <c r="AC2165" s="11">
        <v>63.368000000000002</v>
      </c>
      <c r="AD2165" s="11">
        <v>63.118000000000002</v>
      </c>
      <c r="AE2165" s="11">
        <v>63.012999999999998</v>
      </c>
      <c r="AF2165" s="11">
        <v>62.997</v>
      </c>
      <c r="AG2165" s="11">
        <v>63.036999999999999</v>
      </c>
      <c r="AH2165" s="11">
        <v>63.097999999999999</v>
      </c>
      <c r="AI2165" s="11">
        <v>63.174999999999997</v>
      </c>
      <c r="AJ2165" s="11">
        <v>63.262999999999998</v>
      </c>
      <c r="AK2165" s="11">
        <v>63.332000000000001</v>
      </c>
      <c r="AL2165" s="11"/>
    </row>
    <row r="2166" spans="1:38" x14ac:dyDescent="0.3">
      <c r="A2166" s="9">
        <f>DATE(2025, 5, 20)</f>
        <v>45797</v>
      </c>
      <c r="B2166" s="10">
        <v>65.38</v>
      </c>
      <c r="C2166" s="10">
        <v>64.760000000000005</v>
      </c>
      <c r="D2166" s="10">
        <v>64.260000000000005</v>
      </c>
      <c r="E2166" s="10">
        <v>63.91</v>
      </c>
      <c r="F2166" s="10">
        <v>63.75</v>
      </c>
      <c r="G2166" s="10">
        <v>63.71</v>
      </c>
      <c r="H2166" s="10">
        <v>63.74</v>
      </c>
      <c r="I2166" s="10">
        <v>63.79</v>
      </c>
      <c r="J2166" s="10">
        <v>63.86</v>
      </c>
      <c r="K2166" s="10">
        <v>63.94</v>
      </c>
      <c r="L2166" s="10">
        <v>64.03</v>
      </c>
      <c r="M2166" s="10">
        <v>64.11</v>
      </c>
      <c r="N2166" s="10">
        <v>62.56</v>
      </c>
      <c r="O2166" s="10">
        <v>62.03</v>
      </c>
      <c r="P2166" s="10">
        <v>61.44</v>
      </c>
      <c r="Q2166" s="10">
        <v>60.89</v>
      </c>
      <c r="R2166" s="10">
        <v>60.5</v>
      </c>
      <c r="S2166" s="10">
        <v>60.29</v>
      </c>
      <c r="T2166" s="10">
        <v>60.21</v>
      </c>
      <c r="U2166" s="10">
        <v>60.22</v>
      </c>
      <c r="V2166" s="10">
        <v>60.27</v>
      </c>
      <c r="W2166" s="10">
        <v>60.34</v>
      </c>
      <c r="X2166" s="10">
        <v>60.42</v>
      </c>
      <c r="Y2166" s="10">
        <v>60.51</v>
      </c>
      <c r="Z2166" s="11">
        <v>64.046000000000006</v>
      </c>
      <c r="AA2166" s="11">
        <v>64.236000000000004</v>
      </c>
      <c r="AB2166" s="11">
        <v>63.776000000000003</v>
      </c>
      <c r="AC2166" s="11">
        <v>63.466000000000001</v>
      </c>
      <c r="AD2166" s="11">
        <v>63.262999999999998</v>
      </c>
      <c r="AE2166" s="11">
        <v>63.183</v>
      </c>
      <c r="AF2166" s="11">
        <v>63.183</v>
      </c>
      <c r="AG2166" s="11">
        <v>63.225999999999999</v>
      </c>
      <c r="AH2166" s="11">
        <v>63.293999999999997</v>
      </c>
      <c r="AI2166" s="11">
        <v>63.375</v>
      </c>
      <c r="AJ2166" s="11">
        <v>63.463999999999999</v>
      </c>
      <c r="AK2166" s="11">
        <v>63.542000000000002</v>
      </c>
      <c r="AL2166" s="11"/>
    </row>
    <row r="2167" spans="1:38" x14ac:dyDescent="0.3">
      <c r="A2167" s="9">
        <f>DATE(2025, 5, 21)</f>
        <v>45798</v>
      </c>
      <c r="B2167" s="10">
        <v>64.91</v>
      </c>
      <c r="C2167" s="10">
        <v>64.38</v>
      </c>
      <c r="D2167" s="10">
        <v>63.89</v>
      </c>
      <c r="E2167" s="10">
        <v>63.55</v>
      </c>
      <c r="F2167" s="10">
        <v>63.41</v>
      </c>
      <c r="G2167" s="10">
        <v>63.4</v>
      </c>
      <c r="H2167" s="10">
        <v>63.45</v>
      </c>
      <c r="I2167" s="10">
        <v>63.53</v>
      </c>
      <c r="J2167" s="10">
        <v>63.62</v>
      </c>
      <c r="K2167" s="10">
        <v>63.7</v>
      </c>
      <c r="L2167" s="10">
        <v>63.8</v>
      </c>
      <c r="M2167" s="10">
        <v>63.89</v>
      </c>
      <c r="N2167" s="10">
        <v>61.57</v>
      </c>
      <c r="O2167" s="10">
        <v>61.03</v>
      </c>
      <c r="P2167" s="10">
        <v>60.52</v>
      </c>
      <c r="Q2167" s="10">
        <v>60.15</v>
      </c>
      <c r="R2167" s="10">
        <v>59.96</v>
      </c>
      <c r="S2167" s="10">
        <v>59.9</v>
      </c>
      <c r="T2167" s="10">
        <v>59.92</v>
      </c>
      <c r="U2167" s="10">
        <v>59.98</v>
      </c>
      <c r="V2167" s="10">
        <v>60.06</v>
      </c>
      <c r="W2167" s="10">
        <v>60.15</v>
      </c>
      <c r="X2167" s="10">
        <v>60.25</v>
      </c>
      <c r="Y2167" s="10">
        <v>60.34</v>
      </c>
      <c r="Z2167" s="11">
        <v>63.927999999999997</v>
      </c>
      <c r="AA2167" s="11">
        <v>63.747</v>
      </c>
      <c r="AB2167" s="11">
        <v>63.34</v>
      </c>
      <c r="AC2167" s="11">
        <v>63.040999999999997</v>
      </c>
      <c r="AD2167" s="11">
        <v>62.86</v>
      </c>
      <c r="AE2167" s="11">
        <v>62.792999999999999</v>
      </c>
      <c r="AF2167" s="11">
        <v>62.798000000000002</v>
      </c>
      <c r="AG2167" s="11">
        <v>62.857999999999997</v>
      </c>
      <c r="AH2167" s="11">
        <v>62.963999999999999</v>
      </c>
      <c r="AI2167" s="11">
        <v>63.055</v>
      </c>
      <c r="AJ2167" s="11">
        <v>63.154000000000003</v>
      </c>
      <c r="AK2167" s="11">
        <v>63.241999999999997</v>
      </c>
      <c r="AL2167" s="11"/>
    </row>
    <row r="2168" spans="1:38" x14ac:dyDescent="0.3">
      <c r="A2168" s="9">
        <f>DATE(2025, 5, 22)</f>
        <v>45799</v>
      </c>
      <c r="B2168" s="10">
        <v>64.44</v>
      </c>
      <c r="C2168" s="10">
        <v>63.92</v>
      </c>
      <c r="D2168" s="10">
        <v>63.43</v>
      </c>
      <c r="E2168" s="10">
        <v>63.08</v>
      </c>
      <c r="F2168" s="10">
        <v>62.94</v>
      </c>
      <c r="G2168" s="10">
        <v>62.94</v>
      </c>
      <c r="H2168" s="10">
        <v>63.01</v>
      </c>
      <c r="I2168" s="10">
        <v>63.1</v>
      </c>
      <c r="J2168" s="10">
        <v>63.2</v>
      </c>
      <c r="K2168" s="10">
        <v>63.3</v>
      </c>
      <c r="L2168" s="10">
        <v>63.4</v>
      </c>
      <c r="M2168" s="10">
        <v>63.49</v>
      </c>
      <c r="N2168" s="10">
        <v>61.2</v>
      </c>
      <c r="O2168" s="10">
        <v>60.64</v>
      </c>
      <c r="P2168" s="10">
        <v>60.12</v>
      </c>
      <c r="Q2168" s="10">
        <v>59.73</v>
      </c>
      <c r="R2168" s="10">
        <v>59.53</v>
      </c>
      <c r="S2168" s="10">
        <v>59.48</v>
      </c>
      <c r="T2168" s="10">
        <v>59.5</v>
      </c>
      <c r="U2168" s="10">
        <v>59.57</v>
      </c>
      <c r="V2168" s="10">
        <v>59.67</v>
      </c>
      <c r="W2168" s="10">
        <v>59.77</v>
      </c>
      <c r="X2168" s="10">
        <v>59.89</v>
      </c>
      <c r="Y2168" s="10">
        <v>59.98</v>
      </c>
      <c r="Z2168" s="11">
        <v>63.682000000000002</v>
      </c>
      <c r="AA2168" s="11">
        <v>63.017000000000003</v>
      </c>
      <c r="AB2168" s="11">
        <v>62.667000000000002</v>
      </c>
      <c r="AC2168" s="11">
        <v>62.396999999999998</v>
      </c>
      <c r="AD2168" s="11">
        <v>62.27</v>
      </c>
      <c r="AE2168" s="11">
        <v>62.23</v>
      </c>
      <c r="AF2168" s="11">
        <v>62.27</v>
      </c>
      <c r="AG2168" s="11">
        <v>62.338999999999999</v>
      </c>
      <c r="AH2168" s="11">
        <v>62.445</v>
      </c>
      <c r="AI2168" s="11">
        <v>62.56</v>
      </c>
      <c r="AJ2168" s="11">
        <v>62.664000000000001</v>
      </c>
      <c r="AK2168" s="11">
        <v>62.743000000000002</v>
      </c>
      <c r="AL2168" s="11"/>
    </row>
    <row r="2169" spans="1:38" x14ac:dyDescent="0.3">
      <c r="A2169" s="9">
        <f>DATE(2025, 5, 23)</f>
        <v>45800</v>
      </c>
      <c r="B2169" s="10">
        <v>64.78</v>
      </c>
      <c r="C2169" s="10">
        <v>64.209999999999994</v>
      </c>
      <c r="D2169" s="10">
        <v>63.67</v>
      </c>
      <c r="E2169" s="10">
        <v>63.29</v>
      </c>
      <c r="F2169" s="10">
        <v>63.14</v>
      </c>
      <c r="G2169" s="10">
        <v>63.15</v>
      </c>
      <c r="H2169" s="10">
        <v>63.24</v>
      </c>
      <c r="I2169" s="10">
        <v>63.34</v>
      </c>
      <c r="J2169" s="10">
        <v>63.44</v>
      </c>
      <c r="K2169" s="10">
        <v>63.53</v>
      </c>
      <c r="L2169" s="10">
        <v>63.62</v>
      </c>
      <c r="M2169" s="10">
        <v>63.71</v>
      </c>
      <c r="N2169" s="10">
        <v>61.53</v>
      </c>
      <c r="O2169" s="10">
        <v>60.93</v>
      </c>
      <c r="P2169" s="10">
        <v>60.39</v>
      </c>
      <c r="Q2169" s="10">
        <v>59.97</v>
      </c>
      <c r="R2169" s="10">
        <v>59.76</v>
      </c>
      <c r="S2169" s="10">
        <v>59.69</v>
      </c>
      <c r="T2169" s="10">
        <v>59.72</v>
      </c>
      <c r="U2169" s="10">
        <v>59.8</v>
      </c>
      <c r="V2169" s="10">
        <v>59.89</v>
      </c>
      <c r="W2169" s="10">
        <v>59.99</v>
      </c>
      <c r="X2169" s="10">
        <v>60.09</v>
      </c>
      <c r="Y2169" s="10">
        <v>60.19</v>
      </c>
      <c r="Z2169" s="11">
        <v>63.670999999999999</v>
      </c>
      <c r="AA2169" s="11">
        <v>63.109000000000002</v>
      </c>
      <c r="AB2169" s="11">
        <v>62.762999999999998</v>
      </c>
      <c r="AC2169" s="11">
        <v>62.493000000000002</v>
      </c>
      <c r="AD2169" s="11">
        <v>62.36</v>
      </c>
      <c r="AE2169" s="11">
        <v>62.34</v>
      </c>
      <c r="AF2169" s="11">
        <v>62.4</v>
      </c>
      <c r="AG2169" s="11">
        <v>62.499000000000002</v>
      </c>
      <c r="AH2169" s="11">
        <v>62.598999999999997</v>
      </c>
      <c r="AI2169" s="11">
        <v>62.704999999999998</v>
      </c>
      <c r="AJ2169" s="11">
        <v>62.793999999999997</v>
      </c>
      <c r="AK2169" s="11">
        <v>62.881999999999998</v>
      </c>
      <c r="AL2169" s="11"/>
    </row>
    <row r="2170" spans="1:38" x14ac:dyDescent="0.3">
      <c r="A2170" s="9">
        <f>DATE(2025, 5, 26)</f>
        <v>45803</v>
      </c>
      <c r="B2170" s="10">
        <v>64.739999999999995</v>
      </c>
      <c r="C2170" s="10">
        <v>64.12</v>
      </c>
      <c r="D2170" s="10">
        <v>63.55</v>
      </c>
      <c r="E2170" s="10">
        <v>63.15</v>
      </c>
      <c r="F2170" s="10">
        <v>63</v>
      </c>
      <c r="G2170" s="10">
        <v>63.03</v>
      </c>
      <c r="H2170" s="10">
        <v>63.13</v>
      </c>
      <c r="I2170" s="10">
        <v>63.23</v>
      </c>
      <c r="J2170" s="10">
        <v>63.34</v>
      </c>
      <c r="K2170" s="10">
        <v>63.43</v>
      </c>
      <c r="L2170" s="10">
        <v>63.53</v>
      </c>
      <c r="M2170" s="10">
        <v>63.61</v>
      </c>
      <c r="N2170" s="10">
        <v>61.53</v>
      </c>
      <c r="O2170" s="10">
        <v>60.93</v>
      </c>
      <c r="P2170" s="10">
        <v>60.39</v>
      </c>
      <c r="Q2170" s="10">
        <v>59.97</v>
      </c>
      <c r="R2170" s="10">
        <v>59.76</v>
      </c>
      <c r="S2170" s="10">
        <v>59.69</v>
      </c>
      <c r="T2170" s="10">
        <v>59.72</v>
      </c>
      <c r="U2170" s="10">
        <v>59.8</v>
      </c>
      <c r="V2170" s="10">
        <v>59.89</v>
      </c>
      <c r="W2170" s="10">
        <v>59.99</v>
      </c>
      <c r="X2170" s="10">
        <v>60.09</v>
      </c>
      <c r="Y2170" s="10">
        <v>60.19</v>
      </c>
      <c r="Z2170" s="11">
        <v>63.619</v>
      </c>
      <c r="AA2170" s="11">
        <v>62.883000000000003</v>
      </c>
      <c r="AB2170" s="11">
        <v>62.512999999999998</v>
      </c>
      <c r="AC2170" s="11">
        <v>62.258000000000003</v>
      </c>
      <c r="AD2170" s="11">
        <v>62.121000000000002</v>
      </c>
      <c r="AE2170" s="11">
        <v>62.110999999999997</v>
      </c>
      <c r="AF2170" s="11">
        <v>62.170999999999999</v>
      </c>
      <c r="AG2170" s="11">
        <v>62.26</v>
      </c>
      <c r="AH2170" s="11">
        <v>62.389000000000003</v>
      </c>
      <c r="AI2170" s="11">
        <v>62.5</v>
      </c>
      <c r="AJ2170" s="11">
        <v>62.609000000000002</v>
      </c>
      <c r="AK2170" s="11">
        <v>62.722000000000001</v>
      </c>
      <c r="AL2170" s="11"/>
    </row>
    <row r="2171" spans="1:38" x14ac:dyDescent="0.3">
      <c r="A2171" s="9">
        <f>DATE(2025, 5, 27)</f>
        <v>45804</v>
      </c>
      <c r="B2171" s="10">
        <v>64.09</v>
      </c>
      <c r="C2171" s="10">
        <v>63.57</v>
      </c>
      <c r="D2171" s="10">
        <v>63.03</v>
      </c>
      <c r="E2171" s="10">
        <v>62.66</v>
      </c>
      <c r="F2171" s="10">
        <v>62.54</v>
      </c>
      <c r="G2171" s="10">
        <v>62.58</v>
      </c>
      <c r="H2171" s="10">
        <v>62.69</v>
      </c>
      <c r="I2171" s="10">
        <v>62.81</v>
      </c>
      <c r="J2171" s="10">
        <v>62.93</v>
      </c>
      <c r="K2171" s="10">
        <v>63.04</v>
      </c>
      <c r="L2171" s="10">
        <v>63.14</v>
      </c>
      <c r="M2171" s="10">
        <v>63.23</v>
      </c>
      <c r="N2171" s="10">
        <v>60.89</v>
      </c>
      <c r="O2171" s="10">
        <v>60.33</v>
      </c>
      <c r="P2171" s="10">
        <v>59.83</v>
      </c>
      <c r="Q2171" s="10">
        <v>59.44</v>
      </c>
      <c r="R2171" s="10">
        <v>59.23</v>
      </c>
      <c r="S2171" s="10">
        <v>59.18</v>
      </c>
      <c r="T2171" s="10">
        <v>59.21</v>
      </c>
      <c r="U2171" s="10">
        <v>59.3</v>
      </c>
      <c r="V2171" s="10">
        <v>59.41</v>
      </c>
      <c r="W2171" s="10">
        <v>59.52</v>
      </c>
      <c r="X2171" s="10">
        <v>59.63</v>
      </c>
      <c r="Y2171" s="10">
        <v>59.73</v>
      </c>
      <c r="Z2171" s="11">
        <v>63.604999999999997</v>
      </c>
      <c r="AA2171" s="11">
        <v>62.488999999999997</v>
      </c>
      <c r="AB2171" s="11">
        <v>62.168999999999997</v>
      </c>
      <c r="AC2171" s="11">
        <v>61.868000000000002</v>
      </c>
      <c r="AD2171" s="11">
        <v>61.737000000000002</v>
      </c>
      <c r="AE2171" s="11">
        <v>61.731999999999999</v>
      </c>
      <c r="AF2171" s="11">
        <v>61.790999999999997</v>
      </c>
      <c r="AG2171" s="11">
        <v>61.896000000000001</v>
      </c>
      <c r="AH2171" s="11">
        <v>62.015000000000001</v>
      </c>
      <c r="AI2171" s="11">
        <v>62.134999999999998</v>
      </c>
      <c r="AJ2171" s="11">
        <v>62.274000000000001</v>
      </c>
      <c r="AK2171" s="11">
        <v>62.377000000000002</v>
      </c>
      <c r="AL2171" s="11"/>
    </row>
    <row r="2172" spans="1:38" x14ac:dyDescent="0.3">
      <c r="A2172" s="9">
        <f>DATE(2025, 5, 28)</f>
        <v>45805</v>
      </c>
      <c r="B2172" s="10">
        <v>64.900000000000006</v>
      </c>
      <c r="C2172" s="10">
        <v>64.319999999999993</v>
      </c>
      <c r="D2172" s="10">
        <v>63.73</v>
      </c>
      <c r="E2172" s="10">
        <v>63.32</v>
      </c>
      <c r="F2172" s="10">
        <v>63.15</v>
      </c>
      <c r="G2172" s="10">
        <v>63.15</v>
      </c>
      <c r="H2172" s="10">
        <v>63.23</v>
      </c>
      <c r="I2172" s="10">
        <v>63.32</v>
      </c>
      <c r="J2172" s="10">
        <v>63.42</v>
      </c>
      <c r="K2172" s="10">
        <v>63.51</v>
      </c>
      <c r="L2172" s="10">
        <v>63.61</v>
      </c>
      <c r="M2172" s="10">
        <v>63.69</v>
      </c>
      <c r="N2172" s="10">
        <v>61.84</v>
      </c>
      <c r="O2172" s="10">
        <v>61.2</v>
      </c>
      <c r="P2172" s="10">
        <v>60.62</v>
      </c>
      <c r="Q2172" s="10">
        <v>60.15</v>
      </c>
      <c r="R2172" s="10">
        <v>59.91</v>
      </c>
      <c r="S2172" s="10">
        <v>59.8</v>
      </c>
      <c r="T2172" s="10">
        <v>59.81</v>
      </c>
      <c r="U2172" s="10">
        <v>59.85</v>
      </c>
      <c r="V2172" s="10">
        <v>59.95</v>
      </c>
      <c r="W2172" s="10">
        <v>60.05</v>
      </c>
      <c r="X2172" s="10">
        <v>60.16</v>
      </c>
      <c r="Y2172" s="10">
        <v>60.24</v>
      </c>
      <c r="Z2172" s="11">
        <v>63.701000000000001</v>
      </c>
      <c r="AA2172" s="11">
        <v>63.292000000000002</v>
      </c>
      <c r="AB2172" s="11">
        <v>63.002000000000002</v>
      </c>
      <c r="AC2172" s="11">
        <v>62.631999999999998</v>
      </c>
      <c r="AD2172" s="11">
        <v>62.45</v>
      </c>
      <c r="AE2172" s="11">
        <v>62.395000000000003</v>
      </c>
      <c r="AF2172" s="11">
        <v>62.424999999999997</v>
      </c>
      <c r="AG2172" s="11">
        <v>62.488999999999997</v>
      </c>
      <c r="AH2172" s="11">
        <v>62.584000000000003</v>
      </c>
      <c r="AI2172" s="11">
        <v>62.685000000000002</v>
      </c>
      <c r="AJ2172" s="11">
        <v>62.793999999999997</v>
      </c>
      <c r="AK2172" s="11">
        <v>62.887</v>
      </c>
      <c r="AL2172" s="11"/>
    </row>
    <row r="2173" spans="1:38" x14ac:dyDescent="0.3">
      <c r="A2173" s="9">
        <f>DATE(2025, 5, 29)</f>
        <v>45806</v>
      </c>
      <c r="B2173" s="10">
        <v>64.150000000000006</v>
      </c>
      <c r="C2173" s="10">
        <v>63.35</v>
      </c>
      <c r="D2173" s="10">
        <v>62.72</v>
      </c>
      <c r="E2173" s="10">
        <v>62.29</v>
      </c>
      <c r="F2173" s="10">
        <v>62.11</v>
      </c>
      <c r="G2173" s="10">
        <v>62.1</v>
      </c>
      <c r="H2173" s="10">
        <v>62.18</v>
      </c>
      <c r="I2173" s="10">
        <v>62.28</v>
      </c>
      <c r="J2173" s="10">
        <v>62.39</v>
      </c>
      <c r="K2173" s="10">
        <v>62.49</v>
      </c>
      <c r="L2173" s="10">
        <v>62.6</v>
      </c>
      <c r="M2173" s="10">
        <v>62.69</v>
      </c>
      <c r="N2173" s="10">
        <v>60.94</v>
      </c>
      <c r="O2173" s="10">
        <v>60.2</v>
      </c>
      <c r="P2173" s="10">
        <v>59.57</v>
      </c>
      <c r="Q2173" s="10">
        <v>59.09</v>
      </c>
      <c r="R2173" s="10">
        <v>58.85</v>
      </c>
      <c r="S2173" s="10">
        <v>58.73</v>
      </c>
      <c r="T2173" s="10">
        <v>58.75</v>
      </c>
      <c r="U2173" s="10">
        <v>58.81</v>
      </c>
      <c r="V2173" s="10">
        <v>58.89</v>
      </c>
      <c r="W2173" s="10">
        <v>59.01</v>
      </c>
      <c r="X2173" s="10">
        <v>59.13</v>
      </c>
      <c r="Y2173" s="10">
        <v>59.23</v>
      </c>
      <c r="Z2173" s="11">
        <v>63.704999999999998</v>
      </c>
      <c r="AA2173" s="11">
        <v>62.305</v>
      </c>
      <c r="AB2173" s="11">
        <v>61.991</v>
      </c>
      <c r="AC2173" s="11">
        <v>61.591000000000001</v>
      </c>
      <c r="AD2173" s="11">
        <v>61.381999999999998</v>
      </c>
      <c r="AE2173" s="11">
        <v>61.332999999999998</v>
      </c>
      <c r="AF2173" s="11">
        <v>61.375</v>
      </c>
      <c r="AG2173" s="11">
        <v>61.46</v>
      </c>
      <c r="AH2173" s="11">
        <v>61.585000000000001</v>
      </c>
      <c r="AI2173" s="11">
        <v>61.695999999999998</v>
      </c>
      <c r="AJ2173" s="11">
        <v>61.819000000000003</v>
      </c>
      <c r="AK2173" s="11">
        <v>61.911999999999999</v>
      </c>
      <c r="AL2173" s="11"/>
    </row>
    <row r="2174" spans="1:38" x14ac:dyDescent="0.3">
      <c r="A2174" s="9">
        <f>DATE(2025, 5, 30)</f>
        <v>45807</v>
      </c>
      <c r="B2174" s="10">
        <v>63.9</v>
      </c>
      <c r="C2174" s="10">
        <v>62.78</v>
      </c>
      <c r="D2174" s="10">
        <v>62.05</v>
      </c>
      <c r="E2174" s="10">
        <v>61.57</v>
      </c>
      <c r="F2174" s="10">
        <v>61.4</v>
      </c>
      <c r="G2174" s="10">
        <v>61.41</v>
      </c>
      <c r="H2174" s="10">
        <v>61.51</v>
      </c>
      <c r="I2174" s="10">
        <v>61.64</v>
      </c>
      <c r="J2174" s="10">
        <v>61.77</v>
      </c>
      <c r="K2174" s="10">
        <v>61.89</v>
      </c>
      <c r="L2174" s="10">
        <v>62.01</v>
      </c>
      <c r="M2174" s="10">
        <v>62.12</v>
      </c>
      <c r="N2174" s="10">
        <v>60.79</v>
      </c>
      <c r="O2174" s="10">
        <v>59.79</v>
      </c>
      <c r="P2174" s="10">
        <v>59</v>
      </c>
      <c r="Q2174" s="10">
        <v>58.46</v>
      </c>
      <c r="R2174" s="10">
        <v>58.2</v>
      </c>
      <c r="S2174" s="10">
        <v>58.12</v>
      </c>
      <c r="T2174" s="10">
        <v>58.14</v>
      </c>
      <c r="U2174" s="10">
        <v>58.23</v>
      </c>
      <c r="V2174" s="10">
        <v>58.36</v>
      </c>
      <c r="W2174" s="10">
        <v>58.5</v>
      </c>
      <c r="X2174" s="10">
        <v>58.64</v>
      </c>
      <c r="Y2174" s="10">
        <v>58.76</v>
      </c>
      <c r="Z2174" s="11">
        <v>63.732999999999997</v>
      </c>
      <c r="AA2174" s="11">
        <v>61.595999999999997</v>
      </c>
      <c r="AB2174" s="11">
        <v>61.274000000000001</v>
      </c>
      <c r="AC2174" s="11">
        <v>60.822000000000003</v>
      </c>
      <c r="AD2174" s="11">
        <v>60.606999999999999</v>
      </c>
      <c r="AE2174" s="11">
        <v>60.539000000000001</v>
      </c>
      <c r="AF2174" s="11">
        <v>60.597000000000001</v>
      </c>
      <c r="AG2174" s="11">
        <v>60.707000000000001</v>
      </c>
      <c r="AH2174" s="11">
        <v>60.856000000000002</v>
      </c>
      <c r="AI2174" s="11">
        <v>60.996000000000002</v>
      </c>
      <c r="AJ2174" s="11">
        <v>61.145000000000003</v>
      </c>
      <c r="AK2174" s="11">
        <v>61.244</v>
      </c>
      <c r="AL2174" s="11"/>
    </row>
    <row r="2175" spans="1:38" x14ac:dyDescent="0.3">
      <c r="A2175" s="9">
        <f>DATE(2025, 6, 2)</f>
        <v>45810</v>
      </c>
      <c r="B2175" s="10">
        <v>64.63</v>
      </c>
      <c r="C2175" s="10">
        <v>63.87</v>
      </c>
      <c r="D2175" s="10">
        <v>63.32</v>
      </c>
      <c r="E2175" s="10">
        <v>63.03</v>
      </c>
      <c r="F2175" s="10">
        <v>62.94</v>
      </c>
      <c r="G2175" s="10">
        <v>62.96</v>
      </c>
      <c r="H2175" s="10">
        <v>63.03</v>
      </c>
      <c r="I2175" s="10">
        <v>63.12</v>
      </c>
      <c r="J2175" s="10">
        <v>63.2</v>
      </c>
      <c r="K2175" s="10">
        <v>63.29</v>
      </c>
      <c r="L2175" s="10">
        <v>63.36</v>
      </c>
      <c r="M2175" s="10">
        <v>63.41</v>
      </c>
      <c r="N2175" s="10">
        <v>62.52</v>
      </c>
      <c r="O2175" s="10">
        <v>61.54</v>
      </c>
      <c r="P2175" s="10">
        <v>60.72</v>
      </c>
      <c r="Q2175" s="10">
        <v>60.12</v>
      </c>
      <c r="R2175" s="10">
        <v>59.77</v>
      </c>
      <c r="S2175" s="10">
        <v>59.6</v>
      </c>
      <c r="T2175" s="10">
        <v>59.56</v>
      </c>
      <c r="U2175" s="10">
        <v>59.6</v>
      </c>
      <c r="V2175" s="10">
        <v>59.67</v>
      </c>
      <c r="W2175" s="10">
        <v>59.76</v>
      </c>
      <c r="X2175" s="10">
        <v>59.86</v>
      </c>
      <c r="Y2175" s="10">
        <v>59.96</v>
      </c>
      <c r="Z2175" s="11">
        <v>63.732999999999997</v>
      </c>
      <c r="AA2175" s="11">
        <v>63.899000000000001</v>
      </c>
      <c r="AB2175" s="11">
        <v>63.345999999999997</v>
      </c>
      <c r="AC2175" s="11">
        <v>62.765999999999998</v>
      </c>
      <c r="AD2175" s="11">
        <v>62.396000000000001</v>
      </c>
      <c r="AE2175" s="11">
        <v>62.197000000000003</v>
      </c>
      <c r="AF2175" s="11">
        <v>62.143999999999998</v>
      </c>
      <c r="AG2175" s="11">
        <v>62.164000000000001</v>
      </c>
      <c r="AH2175" s="11">
        <v>62.253999999999998</v>
      </c>
      <c r="AI2175" s="11">
        <v>62.344999999999999</v>
      </c>
      <c r="AJ2175" s="11">
        <v>62.453000000000003</v>
      </c>
      <c r="AK2175" s="11">
        <v>62.542000000000002</v>
      </c>
      <c r="AL2175" s="11"/>
    </row>
    <row r="2176" spans="1:38" x14ac:dyDescent="0.3">
      <c r="A2176" s="9">
        <f>DATE(2025, 6, 3)</f>
        <v>45811</v>
      </c>
      <c r="B2176" s="10">
        <v>65.63</v>
      </c>
      <c r="C2176" s="10">
        <v>64.94</v>
      </c>
      <c r="D2176" s="10">
        <v>64.42</v>
      </c>
      <c r="E2176" s="10">
        <v>64.14</v>
      </c>
      <c r="F2176" s="10">
        <v>64.040000000000006</v>
      </c>
      <c r="G2176" s="10">
        <v>64.05</v>
      </c>
      <c r="H2176" s="10">
        <v>64.099999999999994</v>
      </c>
      <c r="I2176" s="10">
        <v>64.16</v>
      </c>
      <c r="J2176" s="10">
        <v>64.22</v>
      </c>
      <c r="K2176" s="10">
        <v>64.290000000000006</v>
      </c>
      <c r="L2176" s="10">
        <v>64.36</v>
      </c>
      <c r="M2176" s="10">
        <v>64.400000000000006</v>
      </c>
      <c r="N2176" s="10">
        <v>63.41</v>
      </c>
      <c r="O2176" s="10">
        <v>62.48</v>
      </c>
      <c r="P2176" s="10">
        <v>61.74</v>
      </c>
      <c r="Q2176" s="10">
        <v>61.17</v>
      </c>
      <c r="R2176" s="10">
        <v>60.82</v>
      </c>
      <c r="S2176" s="10">
        <v>60.64</v>
      </c>
      <c r="T2176" s="10">
        <v>60.6</v>
      </c>
      <c r="U2176" s="10">
        <v>60.62</v>
      </c>
      <c r="V2176" s="10">
        <v>60.69</v>
      </c>
      <c r="W2176" s="10">
        <v>60.77</v>
      </c>
      <c r="X2176" s="10">
        <v>60.85</v>
      </c>
      <c r="Y2176" s="10">
        <v>60.92</v>
      </c>
      <c r="Z2176" s="11">
        <v>64.900999999999996</v>
      </c>
      <c r="AA2176" s="11">
        <v>64.406999999999996</v>
      </c>
      <c r="AB2176" s="11">
        <v>63.856999999999999</v>
      </c>
      <c r="AC2176" s="11">
        <v>63.494999999999997</v>
      </c>
      <c r="AD2176" s="11">
        <v>63.31</v>
      </c>
      <c r="AE2176" s="11">
        <v>63.259</v>
      </c>
      <c r="AF2176" s="11">
        <v>63.277999999999999</v>
      </c>
      <c r="AG2176" s="11">
        <v>63.343000000000004</v>
      </c>
      <c r="AH2176" s="11">
        <v>63.414000000000001</v>
      </c>
      <c r="AI2176" s="11">
        <v>63.482999999999997</v>
      </c>
      <c r="AJ2176" s="11">
        <v>63.561999999999998</v>
      </c>
      <c r="AK2176" s="11">
        <v>63.612000000000002</v>
      </c>
      <c r="AL2176" s="11"/>
    </row>
    <row r="2177" spans="1:38" x14ac:dyDescent="0.3">
      <c r="A2177" s="9">
        <f>DATE(2025, 6, 4)</f>
        <v>45812</v>
      </c>
      <c r="B2177" s="10">
        <v>64.86</v>
      </c>
      <c r="C2177" s="10">
        <v>64.22</v>
      </c>
      <c r="D2177" s="10">
        <v>63.73</v>
      </c>
      <c r="E2177" s="10">
        <v>63.46</v>
      </c>
      <c r="F2177" s="10">
        <v>63.37</v>
      </c>
      <c r="G2177" s="10">
        <v>63.39</v>
      </c>
      <c r="H2177" s="10">
        <v>63.45</v>
      </c>
      <c r="I2177" s="10">
        <v>63.53</v>
      </c>
      <c r="J2177" s="10">
        <v>63.61</v>
      </c>
      <c r="K2177" s="10">
        <v>63.68</v>
      </c>
      <c r="L2177" s="10">
        <v>63.76</v>
      </c>
      <c r="M2177" s="10">
        <v>63.8</v>
      </c>
      <c r="N2177" s="10">
        <v>62.85</v>
      </c>
      <c r="O2177" s="10">
        <v>61.89</v>
      </c>
      <c r="P2177" s="10">
        <v>61.11</v>
      </c>
      <c r="Q2177" s="10">
        <v>60.53</v>
      </c>
      <c r="R2177" s="10">
        <v>60.19</v>
      </c>
      <c r="S2177" s="10">
        <v>60.02</v>
      </c>
      <c r="T2177" s="10">
        <v>59.99</v>
      </c>
      <c r="U2177" s="10">
        <v>60.02</v>
      </c>
      <c r="V2177" s="10">
        <v>60.08</v>
      </c>
      <c r="W2177" s="10">
        <v>60.16</v>
      </c>
      <c r="X2177" s="10">
        <v>60.24</v>
      </c>
      <c r="Y2177" s="10">
        <v>60.31</v>
      </c>
      <c r="Z2177" s="11">
        <v>64.040000000000006</v>
      </c>
      <c r="AA2177" s="11">
        <v>63.719000000000001</v>
      </c>
      <c r="AB2177" s="11">
        <v>63.146999999999998</v>
      </c>
      <c r="AC2177" s="11">
        <v>62.789000000000001</v>
      </c>
      <c r="AD2177" s="11">
        <v>62.606000000000002</v>
      </c>
      <c r="AE2177" s="11">
        <v>62.563000000000002</v>
      </c>
      <c r="AF2177" s="11">
        <v>62.587000000000003</v>
      </c>
      <c r="AG2177" s="11">
        <v>62.673999999999999</v>
      </c>
      <c r="AH2177" s="11">
        <v>62.774000000000001</v>
      </c>
      <c r="AI2177" s="11">
        <v>62.863999999999997</v>
      </c>
      <c r="AJ2177" s="11">
        <v>62.951999999999998</v>
      </c>
      <c r="AK2177" s="11">
        <v>63.002000000000002</v>
      </c>
      <c r="AL2177" s="11"/>
    </row>
    <row r="2178" spans="1:38" x14ac:dyDescent="0.3">
      <c r="A2178" s="9">
        <f>DATE(2025, 6, 5)</f>
        <v>45813</v>
      </c>
      <c r="B2178" s="10">
        <v>65.34</v>
      </c>
      <c r="C2178" s="10">
        <v>64.75</v>
      </c>
      <c r="D2178" s="10">
        <v>64.260000000000005</v>
      </c>
      <c r="E2178" s="10">
        <v>63.98</v>
      </c>
      <c r="F2178" s="10">
        <v>63.86</v>
      </c>
      <c r="G2178" s="10">
        <v>63.87</v>
      </c>
      <c r="H2178" s="10">
        <v>63.91</v>
      </c>
      <c r="I2178" s="10">
        <v>63.97</v>
      </c>
      <c r="J2178" s="10">
        <v>64.040000000000006</v>
      </c>
      <c r="K2178" s="10">
        <v>64.099999999999994</v>
      </c>
      <c r="L2178" s="10">
        <v>64.16</v>
      </c>
      <c r="M2178" s="10">
        <v>64.19</v>
      </c>
      <c r="N2178" s="10">
        <v>63.37</v>
      </c>
      <c r="O2178" s="10">
        <v>62.48</v>
      </c>
      <c r="P2178" s="10">
        <v>61.69</v>
      </c>
      <c r="Q2178" s="10">
        <v>61.09</v>
      </c>
      <c r="R2178" s="10">
        <v>60.73</v>
      </c>
      <c r="S2178" s="10">
        <v>60.54</v>
      </c>
      <c r="T2178" s="10">
        <v>60.47</v>
      </c>
      <c r="U2178" s="10">
        <v>60.48</v>
      </c>
      <c r="V2178" s="10">
        <v>60.53</v>
      </c>
      <c r="W2178" s="10">
        <v>60.59</v>
      </c>
      <c r="X2178" s="10">
        <v>60.66</v>
      </c>
      <c r="Y2178" s="10">
        <v>60.73</v>
      </c>
      <c r="Z2178" s="11">
        <v>64.567999999999998</v>
      </c>
      <c r="AA2178" s="11">
        <v>64.358999999999995</v>
      </c>
      <c r="AB2178" s="11">
        <v>63.738999999999997</v>
      </c>
      <c r="AC2178" s="11">
        <v>63.378999999999998</v>
      </c>
      <c r="AD2178" s="11">
        <v>63.168999999999997</v>
      </c>
      <c r="AE2178" s="11">
        <v>63.091999999999999</v>
      </c>
      <c r="AF2178" s="11">
        <v>63.103000000000002</v>
      </c>
      <c r="AG2178" s="11">
        <v>63.162999999999997</v>
      </c>
      <c r="AH2178" s="11">
        <v>63.243000000000002</v>
      </c>
      <c r="AI2178" s="11">
        <v>63.332999999999998</v>
      </c>
      <c r="AJ2178" s="11">
        <v>63.390999999999998</v>
      </c>
      <c r="AK2178" s="11">
        <v>63.411000000000001</v>
      </c>
      <c r="AL2178" s="11"/>
    </row>
    <row r="2179" spans="1:38" x14ac:dyDescent="0.3">
      <c r="A2179" s="9">
        <f>DATE(2025, 6, 6)</f>
        <v>45814</v>
      </c>
      <c r="B2179" s="10">
        <v>66.47</v>
      </c>
      <c r="C2179" s="10">
        <v>65.73</v>
      </c>
      <c r="D2179" s="10">
        <v>65.150000000000006</v>
      </c>
      <c r="E2179" s="10">
        <v>64.790000000000006</v>
      </c>
      <c r="F2179" s="10">
        <v>64.62</v>
      </c>
      <c r="G2179" s="10">
        <v>64.58</v>
      </c>
      <c r="H2179" s="10">
        <v>64.61</v>
      </c>
      <c r="I2179" s="10">
        <v>64.66</v>
      </c>
      <c r="J2179" s="10">
        <v>64.709999999999994</v>
      </c>
      <c r="K2179" s="10">
        <v>64.77</v>
      </c>
      <c r="L2179" s="10">
        <v>64.81</v>
      </c>
      <c r="M2179" s="10">
        <v>64.83</v>
      </c>
      <c r="N2179" s="10">
        <v>64.58</v>
      </c>
      <c r="O2179" s="10">
        <v>63.63</v>
      </c>
      <c r="P2179" s="10">
        <v>62.73</v>
      </c>
      <c r="Q2179" s="10">
        <v>62.03</v>
      </c>
      <c r="R2179" s="10">
        <v>61.59</v>
      </c>
      <c r="S2179" s="10">
        <v>61.33</v>
      </c>
      <c r="T2179" s="10">
        <v>61.22</v>
      </c>
      <c r="U2179" s="10">
        <v>61.2</v>
      </c>
      <c r="V2179" s="10">
        <v>61.21</v>
      </c>
      <c r="W2179" s="10">
        <v>61.25</v>
      </c>
      <c r="X2179" s="10">
        <v>61.31</v>
      </c>
      <c r="Y2179" s="10">
        <v>61.37</v>
      </c>
      <c r="Z2179" s="11">
        <v>65.525000000000006</v>
      </c>
      <c r="AA2179" s="11">
        <v>65.484999999999999</v>
      </c>
      <c r="AB2179" s="11">
        <v>64.757999999999996</v>
      </c>
      <c r="AC2179" s="11">
        <v>64.286000000000001</v>
      </c>
      <c r="AD2179" s="11">
        <v>63.973999999999997</v>
      </c>
      <c r="AE2179" s="11">
        <v>63.823</v>
      </c>
      <c r="AF2179" s="11">
        <v>63.783000000000001</v>
      </c>
      <c r="AG2179" s="11">
        <v>63.832999999999998</v>
      </c>
      <c r="AH2179" s="11">
        <v>63.902999999999999</v>
      </c>
      <c r="AI2179" s="11">
        <v>63.991999999999997</v>
      </c>
      <c r="AJ2179" s="11">
        <v>64.025999999999996</v>
      </c>
      <c r="AK2179" s="11">
        <v>64.046000000000006</v>
      </c>
      <c r="AL2179" s="11"/>
    </row>
    <row r="2180" spans="1:38" x14ac:dyDescent="0.3">
      <c r="A2180" s="9">
        <f>DATE(2025, 6, 9)</f>
        <v>45817</v>
      </c>
      <c r="B2180" s="10">
        <v>67.040000000000006</v>
      </c>
      <c r="C2180" s="10">
        <v>66.27</v>
      </c>
      <c r="D2180" s="10">
        <v>65.650000000000006</v>
      </c>
      <c r="E2180" s="10">
        <v>65.239999999999995</v>
      </c>
      <c r="F2180" s="10">
        <v>65.02</v>
      </c>
      <c r="G2180" s="10">
        <v>64.97</v>
      </c>
      <c r="H2180" s="10">
        <v>64.98</v>
      </c>
      <c r="I2180" s="10">
        <v>65.010000000000005</v>
      </c>
      <c r="J2180" s="10">
        <v>65.05</v>
      </c>
      <c r="K2180" s="10">
        <v>65.099999999999994</v>
      </c>
      <c r="L2180" s="10">
        <v>65.14</v>
      </c>
      <c r="M2180" s="10">
        <v>65.14</v>
      </c>
      <c r="N2180" s="10">
        <v>65.290000000000006</v>
      </c>
      <c r="O2180" s="10">
        <v>64.22</v>
      </c>
      <c r="P2180" s="10">
        <v>63.23</v>
      </c>
      <c r="Q2180" s="10">
        <v>62.48</v>
      </c>
      <c r="R2180" s="10">
        <v>62</v>
      </c>
      <c r="S2180" s="10">
        <v>61.73</v>
      </c>
      <c r="T2180" s="10">
        <v>61.6</v>
      </c>
      <c r="U2180" s="10">
        <v>61.56</v>
      </c>
      <c r="V2180" s="10">
        <v>61.57</v>
      </c>
      <c r="W2180" s="10">
        <v>61.61</v>
      </c>
      <c r="X2180" s="10">
        <v>61.66</v>
      </c>
      <c r="Y2180" s="10">
        <v>61.7</v>
      </c>
      <c r="Z2180" s="11">
        <v>65.951999999999998</v>
      </c>
      <c r="AA2180" s="11">
        <v>66.103999999999999</v>
      </c>
      <c r="AB2180" s="11">
        <v>65.328999999999994</v>
      </c>
      <c r="AC2180" s="11">
        <v>64.789000000000001</v>
      </c>
      <c r="AD2180" s="11">
        <v>64.44</v>
      </c>
      <c r="AE2180" s="11">
        <v>64.272999999999996</v>
      </c>
      <c r="AF2180" s="11">
        <v>64.213999999999999</v>
      </c>
      <c r="AG2180" s="11">
        <v>64.231999999999999</v>
      </c>
      <c r="AH2180" s="11">
        <v>64.283000000000001</v>
      </c>
      <c r="AI2180" s="11">
        <v>64.337000000000003</v>
      </c>
      <c r="AJ2180" s="11">
        <v>64.382999999999996</v>
      </c>
      <c r="AK2180" s="11">
        <v>64.391000000000005</v>
      </c>
      <c r="AL2180" s="11"/>
    </row>
    <row r="2181" spans="1:38" x14ac:dyDescent="0.3">
      <c r="A2181" s="9">
        <f>DATE(2025, 6, 10)</f>
        <v>45818</v>
      </c>
      <c r="B2181" s="10">
        <v>66.87</v>
      </c>
      <c r="C2181" s="10">
        <v>66.13</v>
      </c>
      <c r="D2181" s="10">
        <v>65.5</v>
      </c>
      <c r="E2181" s="10">
        <v>65.08</v>
      </c>
      <c r="F2181" s="10">
        <v>64.86</v>
      </c>
      <c r="G2181" s="10">
        <v>64.8</v>
      </c>
      <c r="H2181" s="10">
        <v>64.81</v>
      </c>
      <c r="I2181" s="10">
        <v>64.849999999999994</v>
      </c>
      <c r="J2181" s="10">
        <v>64.89</v>
      </c>
      <c r="K2181" s="10">
        <v>64.94</v>
      </c>
      <c r="L2181" s="10">
        <v>64.98</v>
      </c>
      <c r="M2181" s="10">
        <v>64.989999999999995</v>
      </c>
      <c r="N2181" s="10">
        <v>64.98</v>
      </c>
      <c r="O2181" s="10">
        <v>63.91</v>
      </c>
      <c r="P2181" s="10">
        <v>62.94</v>
      </c>
      <c r="Q2181" s="10">
        <v>62.21</v>
      </c>
      <c r="R2181" s="10">
        <v>61.76</v>
      </c>
      <c r="S2181" s="10">
        <v>61.52</v>
      </c>
      <c r="T2181" s="10">
        <v>61.4</v>
      </c>
      <c r="U2181" s="10">
        <v>61.37</v>
      </c>
      <c r="V2181" s="10">
        <v>61.37</v>
      </c>
      <c r="W2181" s="10">
        <v>61.42</v>
      </c>
      <c r="X2181" s="10">
        <v>61.47</v>
      </c>
      <c r="Y2181" s="10">
        <v>61.51</v>
      </c>
      <c r="Z2181" s="11">
        <v>65.972999999999999</v>
      </c>
      <c r="AA2181" s="11">
        <v>66.052999999999997</v>
      </c>
      <c r="AB2181" s="11">
        <v>65.233000000000004</v>
      </c>
      <c r="AC2181" s="11">
        <v>64.662999999999997</v>
      </c>
      <c r="AD2181" s="11">
        <v>64.322999999999993</v>
      </c>
      <c r="AE2181" s="11">
        <v>64.177000000000007</v>
      </c>
      <c r="AF2181" s="11">
        <v>64.132999999999996</v>
      </c>
      <c r="AG2181" s="11">
        <v>64.156999999999996</v>
      </c>
      <c r="AH2181" s="11">
        <v>64.203000000000003</v>
      </c>
      <c r="AI2181" s="11">
        <v>64.262</v>
      </c>
      <c r="AJ2181" s="11">
        <v>64.325000000000003</v>
      </c>
      <c r="AK2181" s="11">
        <v>64.335999999999999</v>
      </c>
      <c r="AL2181" s="11"/>
    </row>
    <row r="2182" spans="1:38" x14ac:dyDescent="0.3">
      <c r="A2182" s="9">
        <f>DATE(2025, 6, 11)</f>
        <v>45819</v>
      </c>
      <c r="B2182" s="10">
        <v>69.77</v>
      </c>
      <c r="C2182" s="10">
        <v>68.92</v>
      </c>
      <c r="D2182" s="10">
        <v>68.13</v>
      </c>
      <c r="E2182" s="10">
        <v>67.55</v>
      </c>
      <c r="F2182" s="10">
        <v>67.17</v>
      </c>
      <c r="G2182" s="10">
        <v>66.98</v>
      </c>
      <c r="H2182" s="10">
        <v>66.87</v>
      </c>
      <c r="I2182" s="10">
        <v>66.8</v>
      </c>
      <c r="J2182" s="10">
        <v>66.75</v>
      </c>
      <c r="K2182" s="10">
        <v>66.709999999999994</v>
      </c>
      <c r="L2182" s="10">
        <v>66.680000000000007</v>
      </c>
      <c r="M2182" s="10">
        <v>66.63</v>
      </c>
      <c r="N2182" s="10">
        <v>68.150000000000006</v>
      </c>
      <c r="O2182" s="10">
        <v>66.900000000000006</v>
      </c>
      <c r="P2182" s="10">
        <v>65.72</v>
      </c>
      <c r="Q2182" s="10">
        <v>64.790000000000006</v>
      </c>
      <c r="R2182" s="10">
        <v>64.16</v>
      </c>
      <c r="S2182" s="10">
        <v>63.76</v>
      </c>
      <c r="T2182" s="10">
        <v>63.52</v>
      </c>
      <c r="U2182" s="10">
        <v>63.38</v>
      </c>
      <c r="V2182" s="10">
        <v>63.3</v>
      </c>
      <c r="W2182" s="10">
        <v>63.25</v>
      </c>
      <c r="X2182" s="10">
        <v>63.22</v>
      </c>
      <c r="Y2182" s="10">
        <v>63.2</v>
      </c>
      <c r="Z2182" s="11">
        <v>67.67</v>
      </c>
      <c r="AA2182" s="11">
        <v>68.787000000000006</v>
      </c>
      <c r="AB2182" s="11">
        <v>67.832999999999998</v>
      </c>
      <c r="AC2182" s="11">
        <v>67.114000000000004</v>
      </c>
      <c r="AD2182" s="11">
        <v>66.647000000000006</v>
      </c>
      <c r="AE2182" s="11">
        <v>66.384</v>
      </c>
      <c r="AF2182" s="11">
        <v>66.231999999999999</v>
      </c>
      <c r="AG2182" s="11">
        <v>66.168000000000006</v>
      </c>
      <c r="AH2182" s="11">
        <v>66.117999999999995</v>
      </c>
      <c r="AI2182" s="11">
        <v>66.078999999999994</v>
      </c>
      <c r="AJ2182" s="11">
        <v>66.048000000000002</v>
      </c>
      <c r="AK2182" s="11">
        <v>65.998999999999995</v>
      </c>
      <c r="AL2182" s="11"/>
    </row>
    <row r="2183" spans="1:38" x14ac:dyDescent="0.3">
      <c r="A2183" s="9">
        <f>DATE(2025, 6, 12)</f>
        <v>45820</v>
      </c>
      <c r="B2183" s="10">
        <v>69.36</v>
      </c>
      <c r="C2183" s="10">
        <v>68.44</v>
      </c>
      <c r="D2183" s="10">
        <v>67.67</v>
      </c>
      <c r="E2183" s="10">
        <v>67.13</v>
      </c>
      <c r="F2183" s="10">
        <v>66.8</v>
      </c>
      <c r="G2183" s="10">
        <v>66.63</v>
      </c>
      <c r="H2183" s="10">
        <v>66.55</v>
      </c>
      <c r="I2183" s="10">
        <v>66.5</v>
      </c>
      <c r="J2183" s="10">
        <v>66.45</v>
      </c>
      <c r="K2183" s="10">
        <v>66.42</v>
      </c>
      <c r="L2183" s="10">
        <v>66.39</v>
      </c>
      <c r="M2183" s="10">
        <v>66.33</v>
      </c>
      <c r="N2183" s="10">
        <v>68.040000000000006</v>
      </c>
      <c r="O2183" s="10">
        <v>66.64</v>
      </c>
      <c r="P2183" s="10">
        <v>65.38</v>
      </c>
      <c r="Q2183" s="10">
        <v>64.42</v>
      </c>
      <c r="R2183" s="10">
        <v>63.81</v>
      </c>
      <c r="S2183" s="10">
        <v>63.44</v>
      </c>
      <c r="T2183" s="10">
        <v>63.22</v>
      </c>
      <c r="U2183" s="10">
        <v>63.1</v>
      </c>
      <c r="V2183" s="10">
        <v>63.02</v>
      </c>
      <c r="W2183" s="10">
        <v>62.97</v>
      </c>
      <c r="X2183" s="10">
        <v>62.93</v>
      </c>
      <c r="Y2183" s="10">
        <v>62.89</v>
      </c>
      <c r="Z2183" s="11">
        <v>67.403999999999996</v>
      </c>
      <c r="AA2183" s="11">
        <v>68.337000000000003</v>
      </c>
      <c r="AB2183" s="11">
        <v>67.424000000000007</v>
      </c>
      <c r="AC2183" s="11">
        <v>66.754999999999995</v>
      </c>
      <c r="AD2183" s="11">
        <v>66.317999999999998</v>
      </c>
      <c r="AE2183" s="11">
        <v>66.085999999999999</v>
      </c>
      <c r="AF2183" s="11">
        <v>65.965000000000003</v>
      </c>
      <c r="AG2183" s="11">
        <v>65.918000000000006</v>
      </c>
      <c r="AH2183" s="11">
        <v>65.888999999999996</v>
      </c>
      <c r="AI2183" s="11">
        <v>65.849000000000004</v>
      </c>
      <c r="AJ2183" s="11">
        <v>65.826999999999998</v>
      </c>
      <c r="AK2183" s="11">
        <v>65.769000000000005</v>
      </c>
      <c r="AL2183" s="11"/>
    </row>
    <row r="2184" spans="1:38" x14ac:dyDescent="0.3">
      <c r="A2184" s="9">
        <f>DATE(2025, 6, 13)</f>
        <v>45821</v>
      </c>
      <c r="B2184" s="10">
        <v>74.23</v>
      </c>
      <c r="C2184" s="10">
        <v>72.8</v>
      </c>
      <c r="D2184" s="10">
        <v>71.69</v>
      </c>
      <c r="E2184" s="10">
        <v>70.849999999999994</v>
      </c>
      <c r="F2184" s="10">
        <v>70.22</v>
      </c>
      <c r="G2184" s="10">
        <v>69.77</v>
      </c>
      <c r="H2184" s="10">
        <v>69.41</v>
      </c>
      <c r="I2184" s="10">
        <v>69.12</v>
      </c>
      <c r="J2184" s="10">
        <v>68.88</v>
      </c>
      <c r="K2184" s="10">
        <v>68.680000000000007</v>
      </c>
      <c r="L2184" s="10">
        <v>68.52</v>
      </c>
      <c r="M2184" s="10">
        <v>68.349999999999994</v>
      </c>
      <c r="N2184" s="10">
        <v>72.98</v>
      </c>
      <c r="O2184" s="10">
        <v>71.290000000000006</v>
      </c>
      <c r="P2184" s="10">
        <v>69.56</v>
      </c>
      <c r="Q2184" s="10">
        <v>68.17</v>
      </c>
      <c r="R2184" s="10">
        <v>67.22</v>
      </c>
      <c r="S2184" s="10">
        <v>66.53</v>
      </c>
      <c r="T2184" s="10">
        <v>66.02</v>
      </c>
      <c r="U2184" s="10">
        <v>65.64</v>
      </c>
      <c r="V2184" s="10">
        <v>65.319999999999993</v>
      </c>
      <c r="W2184" s="10">
        <v>65.08</v>
      </c>
      <c r="X2184" s="10">
        <v>64.89</v>
      </c>
      <c r="Y2184" s="10">
        <v>64.709999999999994</v>
      </c>
      <c r="Z2184" s="11">
        <v>70.028999999999996</v>
      </c>
      <c r="AA2184" s="11">
        <v>72.650999999999996</v>
      </c>
      <c r="AB2184" s="11">
        <v>71.400000000000006</v>
      </c>
      <c r="AC2184" s="11">
        <v>70.533000000000001</v>
      </c>
      <c r="AD2184" s="11">
        <v>69.843000000000004</v>
      </c>
      <c r="AE2184" s="11">
        <v>69.331000000000003</v>
      </c>
      <c r="AF2184" s="11">
        <v>68.942999999999998</v>
      </c>
      <c r="AG2184" s="11">
        <v>68.677999999999997</v>
      </c>
      <c r="AH2184" s="11">
        <v>68.478999999999999</v>
      </c>
      <c r="AI2184" s="11">
        <v>68.313000000000002</v>
      </c>
      <c r="AJ2184" s="11">
        <v>68.162000000000006</v>
      </c>
      <c r="AK2184" s="11">
        <v>68.004000000000005</v>
      </c>
      <c r="AL2184" s="11"/>
    </row>
    <row r="2185" spans="1:38" x14ac:dyDescent="0.3">
      <c r="A2185" s="9">
        <f>DATE(2025, 6, 16)</f>
        <v>45824</v>
      </c>
      <c r="B2185" s="10">
        <v>73.23</v>
      </c>
      <c r="C2185" s="10">
        <v>71.989999999999995</v>
      </c>
      <c r="D2185" s="10">
        <v>71.040000000000006</v>
      </c>
      <c r="E2185" s="10">
        <v>70.39</v>
      </c>
      <c r="F2185" s="10">
        <v>69.930000000000007</v>
      </c>
      <c r="G2185" s="10">
        <v>69.63</v>
      </c>
      <c r="H2185" s="10">
        <v>69.400000000000006</v>
      </c>
      <c r="I2185" s="10">
        <v>69.2</v>
      </c>
      <c r="J2185" s="10">
        <v>69.040000000000006</v>
      </c>
      <c r="K2185" s="10">
        <v>68.900000000000006</v>
      </c>
      <c r="L2185" s="10">
        <v>68.760000000000005</v>
      </c>
      <c r="M2185" s="10">
        <v>68.62</v>
      </c>
      <c r="N2185" s="10">
        <v>71.77</v>
      </c>
      <c r="O2185" s="10">
        <v>70.25</v>
      </c>
      <c r="P2185" s="10">
        <v>68.72</v>
      </c>
      <c r="Q2185" s="10">
        <v>67.56</v>
      </c>
      <c r="R2185" s="10">
        <v>66.84</v>
      </c>
      <c r="S2185" s="10">
        <v>66.34</v>
      </c>
      <c r="T2185" s="10">
        <v>66</v>
      </c>
      <c r="U2185" s="10">
        <v>65.75</v>
      </c>
      <c r="V2185" s="10">
        <v>65.55</v>
      </c>
      <c r="W2185" s="10">
        <v>65.39</v>
      </c>
      <c r="X2185" s="10">
        <v>65.239999999999995</v>
      </c>
      <c r="Y2185" s="10">
        <v>65.09</v>
      </c>
      <c r="Z2185" s="11">
        <v>69.391999999999996</v>
      </c>
      <c r="AA2185" s="11">
        <v>71.522999999999996</v>
      </c>
      <c r="AB2185" s="11">
        <v>70.525999999999996</v>
      </c>
      <c r="AC2185" s="11">
        <v>69.849999999999994</v>
      </c>
      <c r="AD2185" s="11">
        <v>69.358000000000004</v>
      </c>
      <c r="AE2185" s="11">
        <v>69.043000000000006</v>
      </c>
      <c r="AF2185" s="11">
        <v>68.805999999999997</v>
      </c>
      <c r="AG2185" s="11">
        <v>68.641999999999996</v>
      </c>
      <c r="AH2185" s="11">
        <v>68.503</v>
      </c>
      <c r="AI2185" s="11">
        <v>68.403999999999996</v>
      </c>
      <c r="AJ2185" s="11">
        <v>68.293000000000006</v>
      </c>
      <c r="AK2185" s="11">
        <v>68.174999999999997</v>
      </c>
      <c r="AL2185" s="11"/>
    </row>
    <row r="2186" spans="1:38" x14ac:dyDescent="0.3">
      <c r="A2186" s="9">
        <f>DATE(2025, 6, 17)</f>
        <v>45825</v>
      </c>
      <c r="B2186" s="10">
        <v>76.45</v>
      </c>
      <c r="C2186" s="10">
        <v>74.900000000000006</v>
      </c>
      <c r="D2186" s="10">
        <v>73.680000000000007</v>
      </c>
      <c r="E2186" s="10">
        <v>72.819999999999993</v>
      </c>
      <c r="F2186" s="10">
        <v>72.19</v>
      </c>
      <c r="G2186" s="10">
        <v>71.739999999999995</v>
      </c>
      <c r="H2186" s="10">
        <v>71.38</v>
      </c>
      <c r="I2186" s="10">
        <v>71.069999999999993</v>
      </c>
      <c r="J2186" s="10">
        <v>70.819999999999993</v>
      </c>
      <c r="K2186" s="10">
        <v>70.61</v>
      </c>
      <c r="L2186" s="10">
        <v>70.42</v>
      </c>
      <c r="M2186" s="10">
        <v>70.239999999999995</v>
      </c>
      <c r="N2186" s="10">
        <v>74.84</v>
      </c>
      <c r="O2186" s="10">
        <v>73.27</v>
      </c>
      <c r="P2186" s="10">
        <v>71.569999999999993</v>
      </c>
      <c r="Q2186" s="10">
        <v>70.150000000000006</v>
      </c>
      <c r="R2186" s="10">
        <v>69.19</v>
      </c>
      <c r="S2186" s="10">
        <v>68.52</v>
      </c>
      <c r="T2186" s="10">
        <v>68.02</v>
      </c>
      <c r="U2186" s="10">
        <v>67.64</v>
      </c>
      <c r="V2186" s="10">
        <v>67.33</v>
      </c>
      <c r="W2186" s="10">
        <v>67.069999999999993</v>
      </c>
      <c r="X2186" s="10">
        <v>66.849999999999994</v>
      </c>
      <c r="Y2186" s="10">
        <v>66.64</v>
      </c>
      <c r="Z2186" s="11">
        <v>70.811999999999998</v>
      </c>
      <c r="AA2186" s="11">
        <v>74.575000000000003</v>
      </c>
      <c r="AB2186" s="11">
        <v>73.299000000000007</v>
      </c>
      <c r="AC2186" s="11">
        <v>72.400999999999996</v>
      </c>
      <c r="AD2186" s="11">
        <v>71.77</v>
      </c>
      <c r="AE2186" s="11">
        <v>71.331999999999994</v>
      </c>
      <c r="AF2186" s="11">
        <v>71.001999999999995</v>
      </c>
      <c r="AG2186" s="11">
        <v>70.745000000000005</v>
      </c>
      <c r="AH2186" s="11">
        <v>70.52</v>
      </c>
      <c r="AI2186" s="11">
        <v>70.340999999999994</v>
      </c>
      <c r="AJ2186" s="11">
        <v>70.161000000000001</v>
      </c>
      <c r="AK2186" s="11">
        <v>70.001999999999995</v>
      </c>
      <c r="AL2186" s="11"/>
    </row>
    <row r="2187" spans="1:38" x14ac:dyDescent="0.3">
      <c r="A2187" s="9">
        <f>DATE(2025, 6, 18)</f>
        <v>45826</v>
      </c>
      <c r="B2187" s="10">
        <v>76.7</v>
      </c>
      <c r="C2187" s="10">
        <v>75.14</v>
      </c>
      <c r="D2187" s="10">
        <v>73.900000000000006</v>
      </c>
      <c r="E2187" s="10">
        <v>73.010000000000005</v>
      </c>
      <c r="F2187" s="10">
        <v>72.34</v>
      </c>
      <c r="G2187" s="10">
        <v>71.86</v>
      </c>
      <c r="H2187" s="10">
        <v>71.459999999999994</v>
      </c>
      <c r="I2187" s="10">
        <v>71.11</v>
      </c>
      <c r="J2187" s="10">
        <v>70.81</v>
      </c>
      <c r="K2187" s="10">
        <v>70.56</v>
      </c>
      <c r="L2187" s="10">
        <v>70.319999999999993</v>
      </c>
      <c r="M2187" s="10">
        <v>70.11</v>
      </c>
      <c r="N2187" s="10">
        <v>75.14</v>
      </c>
      <c r="O2187" s="10">
        <v>73.5</v>
      </c>
      <c r="P2187" s="10">
        <v>71.760000000000005</v>
      </c>
      <c r="Q2187" s="10">
        <v>70.319999999999993</v>
      </c>
      <c r="R2187" s="10">
        <v>69.34</v>
      </c>
      <c r="S2187" s="10">
        <v>68.62</v>
      </c>
      <c r="T2187" s="10">
        <v>68.08</v>
      </c>
      <c r="U2187" s="10">
        <v>67.66</v>
      </c>
      <c r="V2187" s="10">
        <v>67.319999999999993</v>
      </c>
      <c r="W2187" s="10">
        <v>67.02</v>
      </c>
      <c r="X2187" s="10">
        <v>66.760000000000005</v>
      </c>
      <c r="Y2187" s="10">
        <v>66.510000000000005</v>
      </c>
      <c r="Z2187" s="11">
        <v>71.037000000000006</v>
      </c>
      <c r="AA2187" s="11">
        <v>74.903000000000006</v>
      </c>
      <c r="AB2187" s="11">
        <v>73.488</v>
      </c>
      <c r="AC2187" s="11">
        <v>72.58</v>
      </c>
      <c r="AD2187" s="11">
        <v>71.914000000000001</v>
      </c>
      <c r="AE2187" s="11">
        <v>71.44</v>
      </c>
      <c r="AF2187" s="11">
        <v>71.067999999999998</v>
      </c>
      <c r="AG2187" s="11">
        <v>70.775999999999996</v>
      </c>
      <c r="AH2187" s="11">
        <v>70.498000000000005</v>
      </c>
      <c r="AI2187" s="11">
        <v>70.269000000000005</v>
      </c>
      <c r="AJ2187" s="11">
        <v>70.09</v>
      </c>
      <c r="AK2187" s="11">
        <v>69.902000000000001</v>
      </c>
      <c r="AL2187" s="11"/>
    </row>
    <row r="2188" spans="1:38" x14ac:dyDescent="0.3">
      <c r="A2188" s="9">
        <f>DATE(2025, 6, 19)</f>
        <v>45827</v>
      </c>
      <c r="B2188" s="10">
        <v>78.849999999999994</v>
      </c>
      <c r="C2188" s="10">
        <v>77.08</v>
      </c>
      <c r="D2188" s="10">
        <v>75.58</v>
      </c>
      <c r="E2188" s="10">
        <v>74.48</v>
      </c>
      <c r="F2188" s="10">
        <v>73.67</v>
      </c>
      <c r="G2188" s="10">
        <v>73.099999999999994</v>
      </c>
      <c r="H2188" s="10">
        <v>72.63</v>
      </c>
      <c r="I2188" s="10">
        <v>72.23</v>
      </c>
      <c r="J2188" s="10">
        <v>71.88</v>
      </c>
      <c r="K2188" s="10">
        <v>71.58</v>
      </c>
      <c r="L2188" s="10">
        <v>71.3</v>
      </c>
      <c r="M2188" s="10">
        <v>71.05</v>
      </c>
      <c r="N2188" s="10">
        <v>75.14</v>
      </c>
      <c r="O2188" s="10">
        <v>73.5</v>
      </c>
      <c r="P2188" s="10">
        <v>71.760000000000005</v>
      </c>
      <c r="Q2188" s="10">
        <v>70.319999999999993</v>
      </c>
      <c r="R2188" s="10">
        <v>69.34</v>
      </c>
      <c r="S2188" s="10">
        <v>68.62</v>
      </c>
      <c r="T2188" s="10">
        <v>68.08</v>
      </c>
      <c r="U2188" s="10">
        <v>67.66</v>
      </c>
      <c r="V2188" s="10">
        <v>67.319999999999993</v>
      </c>
      <c r="W2188" s="10">
        <v>67.02</v>
      </c>
      <c r="X2188" s="10">
        <v>66.760000000000005</v>
      </c>
      <c r="Y2188" s="10">
        <v>66.510000000000005</v>
      </c>
      <c r="Z2188" s="11">
        <v>71.834000000000003</v>
      </c>
      <c r="AA2188" s="11">
        <v>76.814999999999998</v>
      </c>
      <c r="AB2188" s="11">
        <v>75.09</v>
      </c>
      <c r="AC2188" s="11">
        <v>74.055000000000007</v>
      </c>
      <c r="AD2188" s="11">
        <v>73.284000000000006</v>
      </c>
      <c r="AE2188" s="11">
        <v>72.721999999999994</v>
      </c>
      <c r="AF2188" s="11">
        <v>72.263000000000005</v>
      </c>
      <c r="AG2188" s="11">
        <v>71.903000000000006</v>
      </c>
      <c r="AH2188" s="11">
        <v>71.584999999999994</v>
      </c>
      <c r="AI2188" s="11">
        <v>71.307000000000002</v>
      </c>
      <c r="AJ2188" s="11">
        <v>71.078000000000003</v>
      </c>
      <c r="AK2188" s="11">
        <v>70.86</v>
      </c>
      <c r="AL2188" s="11"/>
    </row>
    <row r="2189" spans="1:38" x14ac:dyDescent="0.3">
      <c r="A2189" s="9">
        <f>DATE(2025, 6, 20)</f>
        <v>45828</v>
      </c>
      <c r="B2189" s="10">
        <v>77.010000000000005</v>
      </c>
      <c r="C2189" s="10">
        <v>75.48</v>
      </c>
      <c r="D2189" s="10">
        <v>74.03</v>
      </c>
      <c r="E2189" s="10">
        <v>72.98</v>
      </c>
      <c r="F2189" s="10">
        <v>72.27</v>
      </c>
      <c r="G2189" s="10">
        <v>71.8</v>
      </c>
      <c r="H2189" s="10">
        <v>71.44</v>
      </c>
      <c r="I2189" s="10">
        <v>71.150000000000006</v>
      </c>
      <c r="J2189" s="10">
        <v>70.900000000000006</v>
      </c>
      <c r="K2189" s="10">
        <v>70.69</v>
      </c>
      <c r="L2189" s="10">
        <v>70.489999999999995</v>
      </c>
      <c r="M2189" s="10">
        <v>70.290000000000006</v>
      </c>
      <c r="N2189" s="10">
        <v>74.930000000000007</v>
      </c>
      <c r="O2189" s="10">
        <v>73.84</v>
      </c>
      <c r="P2189" s="10">
        <v>72.010000000000005</v>
      </c>
      <c r="Q2189" s="10">
        <v>70.489999999999995</v>
      </c>
      <c r="R2189" s="10">
        <v>69.38</v>
      </c>
      <c r="S2189" s="10">
        <v>68.599999999999994</v>
      </c>
      <c r="T2189" s="10">
        <v>68.05</v>
      </c>
      <c r="U2189" s="10">
        <v>67.650000000000006</v>
      </c>
      <c r="V2189" s="10">
        <v>67.36</v>
      </c>
      <c r="W2189" s="10">
        <v>67.12</v>
      </c>
      <c r="X2189" s="10">
        <v>66.900000000000006</v>
      </c>
      <c r="Y2189" s="10">
        <v>66.69</v>
      </c>
      <c r="Z2189" s="11">
        <v>71.298000000000002</v>
      </c>
      <c r="AA2189" s="11">
        <v>75.177000000000007</v>
      </c>
      <c r="AB2189" s="11">
        <v>73.552999999999997</v>
      </c>
      <c r="AC2189" s="11">
        <v>72.575000000000003</v>
      </c>
      <c r="AD2189" s="11">
        <v>71.88</v>
      </c>
      <c r="AE2189" s="11">
        <v>71.421999999999997</v>
      </c>
      <c r="AF2189" s="11">
        <v>71.058999999999997</v>
      </c>
      <c r="AG2189" s="11">
        <v>70.798000000000002</v>
      </c>
      <c r="AH2189" s="11">
        <v>70.56</v>
      </c>
      <c r="AI2189" s="11">
        <v>70.361000000000004</v>
      </c>
      <c r="AJ2189" s="11">
        <v>70.2</v>
      </c>
      <c r="AK2189" s="11">
        <v>70.033000000000001</v>
      </c>
      <c r="AL2189" s="11"/>
    </row>
    <row r="2190" spans="1:38" x14ac:dyDescent="0.3">
      <c r="A2190" s="9">
        <f>DATE(2025, 6, 23)</f>
        <v>45831</v>
      </c>
      <c r="B2190" s="10">
        <v>71.48</v>
      </c>
      <c r="C2190" s="10">
        <v>70.52</v>
      </c>
      <c r="D2190" s="10">
        <v>69.599999999999994</v>
      </c>
      <c r="E2190" s="10">
        <v>69.03</v>
      </c>
      <c r="F2190" s="10">
        <v>68.69</v>
      </c>
      <c r="G2190" s="10">
        <v>68.5</v>
      </c>
      <c r="H2190" s="10">
        <v>68.37</v>
      </c>
      <c r="I2190" s="10">
        <v>68.27</v>
      </c>
      <c r="J2190" s="10">
        <v>68.180000000000007</v>
      </c>
      <c r="K2190" s="10">
        <v>68.09</v>
      </c>
      <c r="L2190" s="10">
        <v>67.989999999999995</v>
      </c>
      <c r="M2190" s="10">
        <v>67.88</v>
      </c>
      <c r="N2190" s="10">
        <v>68.510000000000005</v>
      </c>
      <c r="O2190" s="10">
        <v>67.27</v>
      </c>
      <c r="P2190" s="10">
        <v>66.28</v>
      </c>
      <c r="Q2190" s="10">
        <v>65.64</v>
      </c>
      <c r="R2190" s="10">
        <v>65.23</v>
      </c>
      <c r="S2190" s="10">
        <v>64.97</v>
      </c>
      <c r="T2190" s="10">
        <v>64.8</v>
      </c>
      <c r="U2190" s="10">
        <v>64.680000000000007</v>
      </c>
      <c r="V2190" s="10">
        <v>64.569999999999993</v>
      </c>
      <c r="W2190" s="10">
        <v>64.48</v>
      </c>
      <c r="X2190" s="10">
        <v>64.36</v>
      </c>
      <c r="Y2190" s="10">
        <v>64.22</v>
      </c>
      <c r="Z2190" s="11">
        <v>69.864999999999995</v>
      </c>
      <c r="AA2190" s="11">
        <v>70.16</v>
      </c>
      <c r="AB2190" s="11">
        <v>68.923000000000002</v>
      </c>
      <c r="AC2190" s="11">
        <v>68.44</v>
      </c>
      <c r="AD2190" s="11">
        <v>68.180000000000007</v>
      </c>
      <c r="AE2190" s="11">
        <v>68.031999999999996</v>
      </c>
      <c r="AF2190" s="11">
        <v>67.918999999999997</v>
      </c>
      <c r="AG2190" s="11">
        <v>67.855999999999995</v>
      </c>
      <c r="AH2190" s="11">
        <v>67.796000000000006</v>
      </c>
      <c r="AI2190" s="11">
        <v>67.734999999999999</v>
      </c>
      <c r="AJ2190" s="11">
        <v>67.655000000000001</v>
      </c>
      <c r="AK2190" s="11">
        <v>67.566000000000003</v>
      </c>
      <c r="AL2190" s="11"/>
    </row>
    <row r="2191" spans="1:38" x14ac:dyDescent="0.3">
      <c r="A2191" s="9">
        <f>DATE(2025, 6, 24)</f>
        <v>45832</v>
      </c>
      <c r="B2191" s="10">
        <v>67.14</v>
      </c>
      <c r="C2191" s="10">
        <v>66.17</v>
      </c>
      <c r="D2191" s="10">
        <v>65.36</v>
      </c>
      <c r="E2191" s="10">
        <v>64.930000000000007</v>
      </c>
      <c r="F2191" s="10">
        <v>64.75</v>
      </c>
      <c r="G2191" s="10">
        <v>64.739999999999995</v>
      </c>
      <c r="H2191" s="10">
        <v>64.77</v>
      </c>
      <c r="I2191" s="10">
        <v>64.83</v>
      </c>
      <c r="J2191" s="10">
        <v>64.89</v>
      </c>
      <c r="K2191" s="10">
        <v>64.95</v>
      </c>
      <c r="L2191" s="10">
        <v>65.010000000000005</v>
      </c>
      <c r="M2191" s="10">
        <v>65.040000000000006</v>
      </c>
      <c r="N2191" s="10">
        <v>64.37</v>
      </c>
      <c r="O2191" s="10">
        <v>63.15</v>
      </c>
      <c r="P2191" s="10">
        <v>62.22</v>
      </c>
      <c r="Q2191" s="10">
        <v>61.67</v>
      </c>
      <c r="R2191" s="10">
        <v>61.4</v>
      </c>
      <c r="S2191" s="10">
        <v>61.3</v>
      </c>
      <c r="T2191" s="10">
        <v>61.28</v>
      </c>
      <c r="U2191" s="10">
        <v>61.31</v>
      </c>
      <c r="V2191" s="10">
        <v>61.37</v>
      </c>
      <c r="W2191" s="10">
        <v>61.44</v>
      </c>
      <c r="X2191" s="10">
        <v>61.5</v>
      </c>
      <c r="Y2191" s="10">
        <v>61.52</v>
      </c>
      <c r="Z2191" s="11">
        <v>69.768000000000001</v>
      </c>
      <c r="AA2191" s="11">
        <v>66.194999999999993</v>
      </c>
      <c r="AB2191" s="11">
        <v>64.915000000000006</v>
      </c>
      <c r="AC2191" s="11">
        <v>64.478999999999999</v>
      </c>
      <c r="AD2191" s="11">
        <v>64.3</v>
      </c>
      <c r="AE2191" s="11">
        <v>64.221999999999994</v>
      </c>
      <c r="AF2191" s="11">
        <v>64.209999999999994</v>
      </c>
      <c r="AG2191" s="11">
        <v>64.268000000000001</v>
      </c>
      <c r="AH2191" s="11">
        <v>64.328000000000003</v>
      </c>
      <c r="AI2191" s="11">
        <v>64.388000000000005</v>
      </c>
      <c r="AJ2191" s="11">
        <v>64.456000000000003</v>
      </c>
      <c r="AK2191" s="11">
        <v>64.501999999999995</v>
      </c>
      <c r="AL2191" s="11"/>
    </row>
    <row r="2192" spans="1:38" x14ac:dyDescent="0.3">
      <c r="A2192" s="9">
        <f>DATE(2025, 6, 25)</f>
        <v>45833</v>
      </c>
      <c r="B2192" s="10">
        <v>67.680000000000007</v>
      </c>
      <c r="C2192" s="10">
        <v>66.430000000000007</v>
      </c>
      <c r="D2192" s="10">
        <v>65.48</v>
      </c>
      <c r="E2192" s="10">
        <v>64.900000000000006</v>
      </c>
      <c r="F2192" s="10">
        <v>64.58</v>
      </c>
      <c r="G2192" s="10">
        <v>64.47</v>
      </c>
      <c r="H2192" s="10">
        <v>64.44</v>
      </c>
      <c r="I2192" s="10">
        <v>64.459999999999994</v>
      </c>
      <c r="J2192" s="10">
        <v>64.5</v>
      </c>
      <c r="K2192" s="10">
        <v>64.55</v>
      </c>
      <c r="L2192" s="10">
        <v>64.599999999999994</v>
      </c>
      <c r="M2192" s="10">
        <v>64.63</v>
      </c>
      <c r="N2192" s="10">
        <v>64.92</v>
      </c>
      <c r="O2192" s="10">
        <v>63.46</v>
      </c>
      <c r="P2192" s="10">
        <v>62.35</v>
      </c>
      <c r="Q2192" s="10">
        <v>61.65</v>
      </c>
      <c r="R2192" s="10">
        <v>61.24</v>
      </c>
      <c r="S2192" s="10">
        <v>61.05</v>
      </c>
      <c r="T2192" s="10">
        <v>60.98</v>
      </c>
      <c r="U2192" s="10">
        <v>60.97</v>
      </c>
      <c r="V2192" s="10">
        <v>61</v>
      </c>
      <c r="W2192" s="10">
        <v>61.05</v>
      </c>
      <c r="X2192" s="10">
        <v>61.09</v>
      </c>
      <c r="Y2192" s="10">
        <v>61.11</v>
      </c>
      <c r="Z2192" s="11">
        <v>69.155000000000001</v>
      </c>
      <c r="AA2192" s="11">
        <v>66.73</v>
      </c>
      <c r="AB2192" s="11">
        <v>65.191999999999993</v>
      </c>
      <c r="AC2192" s="11">
        <v>64.569999999999993</v>
      </c>
      <c r="AD2192" s="11">
        <v>64.222999999999999</v>
      </c>
      <c r="AE2192" s="11">
        <v>64.061000000000007</v>
      </c>
      <c r="AF2192" s="11">
        <v>63.98</v>
      </c>
      <c r="AG2192" s="11">
        <v>63.987000000000002</v>
      </c>
      <c r="AH2192" s="11">
        <v>64.033000000000001</v>
      </c>
      <c r="AI2192" s="11">
        <v>64.091999999999999</v>
      </c>
      <c r="AJ2192" s="11">
        <v>64.150999999999996</v>
      </c>
      <c r="AK2192" s="11">
        <v>64.191000000000003</v>
      </c>
      <c r="AL2192" s="11"/>
    </row>
    <row r="2193" spans="1:38" x14ac:dyDescent="0.3">
      <c r="A2193" s="9">
        <f>DATE(2025, 6, 26)</f>
        <v>45834</v>
      </c>
      <c r="B2193" s="10">
        <v>67.73</v>
      </c>
      <c r="C2193" s="10">
        <v>66.69</v>
      </c>
      <c r="D2193" s="10">
        <v>65.81</v>
      </c>
      <c r="E2193" s="10">
        <v>65.25</v>
      </c>
      <c r="F2193" s="10">
        <v>64.95</v>
      </c>
      <c r="G2193" s="10">
        <v>64.86</v>
      </c>
      <c r="H2193" s="10">
        <v>64.849999999999994</v>
      </c>
      <c r="I2193" s="10">
        <v>64.86</v>
      </c>
      <c r="J2193" s="10">
        <v>64.900000000000006</v>
      </c>
      <c r="K2193" s="10">
        <v>64.94</v>
      </c>
      <c r="L2193" s="10">
        <v>64.97</v>
      </c>
      <c r="M2193" s="10">
        <v>64.98</v>
      </c>
      <c r="N2193" s="10">
        <v>65.239999999999995</v>
      </c>
      <c r="O2193" s="10">
        <v>63.82</v>
      </c>
      <c r="P2193" s="10">
        <v>62.72</v>
      </c>
      <c r="Q2193" s="10">
        <v>62.04</v>
      </c>
      <c r="R2193" s="10">
        <v>61.65</v>
      </c>
      <c r="S2193" s="10">
        <v>61.48</v>
      </c>
      <c r="T2193" s="10">
        <v>61.42</v>
      </c>
      <c r="U2193" s="10">
        <v>61.4</v>
      </c>
      <c r="V2193" s="10">
        <v>61.41</v>
      </c>
      <c r="W2193" s="10">
        <v>61.45</v>
      </c>
      <c r="X2193" s="10">
        <v>61.49</v>
      </c>
      <c r="Y2193" s="10">
        <v>61.5</v>
      </c>
      <c r="Z2193" s="11">
        <v>69.162999999999997</v>
      </c>
      <c r="AA2193" s="11">
        <v>67.137</v>
      </c>
      <c r="AB2193" s="11">
        <v>65.631</v>
      </c>
      <c r="AC2193" s="11">
        <v>65.016000000000005</v>
      </c>
      <c r="AD2193" s="11">
        <v>64.686000000000007</v>
      </c>
      <c r="AE2193" s="11">
        <v>64.525999999999996</v>
      </c>
      <c r="AF2193" s="11">
        <v>64.445999999999998</v>
      </c>
      <c r="AG2193" s="11">
        <v>64.432000000000002</v>
      </c>
      <c r="AH2193" s="11">
        <v>64.451999999999998</v>
      </c>
      <c r="AI2193" s="11">
        <v>64.491</v>
      </c>
      <c r="AJ2193" s="11">
        <v>64.53</v>
      </c>
      <c r="AK2193" s="11">
        <v>64.551000000000002</v>
      </c>
      <c r="AL2193" s="11"/>
    </row>
    <row r="2194" spans="1:38" x14ac:dyDescent="0.3">
      <c r="A2194" s="9">
        <f>DATE(2025, 6, 27)</f>
        <v>45835</v>
      </c>
      <c r="B2194" s="10">
        <v>67.77</v>
      </c>
      <c r="C2194" s="10">
        <v>66.8</v>
      </c>
      <c r="D2194" s="10">
        <v>65.92</v>
      </c>
      <c r="E2194" s="10">
        <v>65.319999999999993</v>
      </c>
      <c r="F2194" s="10">
        <v>64.98</v>
      </c>
      <c r="G2194" s="10">
        <v>64.849999999999994</v>
      </c>
      <c r="H2194" s="10">
        <v>64.8</v>
      </c>
      <c r="I2194" s="10">
        <v>64.790000000000006</v>
      </c>
      <c r="J2194" s="10">
        <v>64.8</v>
      </c>
      <c r="K2194" s="10">
        <v>64.819999999999993</v>
      </c>
      <c r="L2194" s="10">
        <v>64.84</v>
      </c>
      <c r="M2194" s="10">
        <v>64.849999999999994</v>
      </c>
      <c r="N2194" s="10">
        <v>65.52</v>
      </c>
      <c r="O2194" s="10">
        <v>64.069999999999993</v>
      </c>
      <c r="P2194" s="10">
        <v>62.9</v>
      </c>
      <c r="Q2194" s="10">
        <v>62.17</v>
      </c>
      <c r="R2194" s="10">
        <v>61.74</v>
      </c>
      <c r="S2194" s="10">
        <v>61.52</v>
      </c>
      <c r="T2194" s="10">
        <v>61.42</v>
      </c>
      <c r="U2194" s="10">
        <v>61.38</v>
      </c>
      <c r="V2194" s="10">
        <v>61.38</v>
      </c>
      <c r="W2194" s="10">
        <v>61.39</v>
      </c>
      <c r="X2194" s="10">
        <v>61.41</v>
      </c>
      <c r="Y2194" s="10">
        <v>61.4</v>
      </c>
      <c r="Z2194" s="11">
        <v>69.227000000000004</v>
      </c>
      <c r="AA2194" s="11">
        <v>67.322999999999993</v>
      </c>
      <c r="AB2194" s="11">
        <v>65.762</v>
      </c>
      <c r="AC2194" s="11">
        <v>65.061999999999998</v>
      </c>
      <c r="AD2194" s="11">
        <v>64.650999999999996</v>
      </c>
      <c r="AE2194" s="11">
        <v>64.430999999999997</v>
      </c>
      <c r="AF2194" s="11">
        <v>64.31</v>
      </c>
      <c r="AG2194" s="11">
        <v>64.290000000000006</v>
      </c>
      <c r="AH2194" s="11">
        <v>64.322000000000003</v>
      </c>
      <c r="AI2194" s="11">
        <v>64.361000000000004</v>
      </c>
      <c r="AJ2194" s="11">
        <v>64.39</v>
      </c>
      <c r="AK2194" s="11">
        <v>64.41</v>
      </c>
      <c r="AL2194" s="11"/>
    </row>
    <row r="2195" spans="1:38" x14ac:dyDescent="0.3">
      <c r="A2195" s="9">
        <f>DATE(2025, 6, 30)</f>
        <v>45838</v>
      </c>
      <c r="B2195" s="10">
        <v>67.61</v>
      </c>
      <c r="C2195" s="10">
        <v>66.739999999999995</v>
      </c>
      <c r="D2195" s="10">
        <v>65.86</v>
      </c>
      <c r="E2195" s="10">
        <v>65.25</v>
      </c>
      <c r="F2195" s="10">
        <v>64.91</v>
      </c>
      <c r="G2195" s="10">
        <v>64.77</v>
      </c>
      <c r="H2195" s="10">
        <v>64.72</v>
      </c>
      <c r="I2195" s="10">
        <v>64.7</v>
      </c>
      <c r="J2195" s="10">
        <v>64.709999999999994</v>
      </c>
      <c r="K2195" s="10">
        <v>64.73</v>
      </c>
      <c r="L2195" s="10">
        <v>64.739999999999995</v>
      </c>
      <c r="M2195" s="10">
        <v>64.739999999999995</v>
      </c>
      <c r="N2195" s="10">
        <v>65.11</v>
      </c>
      <c r="O2195" s="10">
        <v>63.85</v>
      </c>
      <c r="P2195" s="10">
        <v>62.76</v>
      </c>
      <c r="Q2195" s="10">
        <v>62.06</v>
      </c>
      <c r="R2195" s="10">
        <v>61.65</v>
      </c>
      <c r="S2195" s="10">
        <v>61.44</v>
      </c>
      <c r="T2195" s="10">
        <v>61.35</v>
      </c>
      <c r="U2195" s="10">
        <v>61.31</v>
      </c>
      <c r="V2195" s="10">
        <v>61.31</v>
      </c>
      <c r="W2195" s="10">
        <v>61.32</v>
      </c>
      <c r="X2195" s="10">
        <v>61.34</v>
      </c>
      <c r="Y2195" s="10">
        <v>61.31</v>
      </c>
      <c r="Z2195" s="11">
        <v>69.268000000000001</v>
      </c>
      <c r="AA2195" s="11">
        <v>67.498000000000005</v>
      </c>
      <c r="AB2195" s="11">
        <v>65.896000000000001</v>
      </c>
      <c r="AC2195" s="11">
        <v>65.105000000000004</v>
      </c>
      <c r="AD2195" s="11">
        <v>64.623999999999995</v>
      </c>
      <c r="AE2195" s="11">
        <v>64.363</v>
      </c>
      <c r="AF2195" s="11">
        <v>64.221999999999994</v>
      </c>
      <c r="AG2195" s="11">
        <v>64.192999999999998</v>
      </c>
      <c r="AH2195" s="11">
        <v>64.210999999999999</v>
      </c>
      <c r="AI2195" s="11">
        <v>64.241</v>
      </c>
      <c r="AJ2195" s="11">
        <v>64.260000000000005</v>
      </c>
      <c r="AK2195" s="11">
        <v>64.260000000000005</v>
      </c>
      <c r="AL2195" s="11"/>
    </row>
    <row r="2196" spans="1:38" x14ac:dyDescent="0.3">
      <c r="A2196" s="9">
        <f>DATE(2025, 7, 1)</f>
        <v>45839</v>
      </c>
      <c r="B2196" s="10">
        <v>67.11</v>
      </c>
      <c r="C2196" s="10">
        <v>66.23</v>
      </c>
      <c r="D2196" s="10">
        <v>65.61</v>
      </c>
      <c r="E2196" s="10">
        <v>65.239999999999995</v>
      </c>
      <c r="F2196" s="10">
        <v>65.069999999999993</v>
      </c>
      <c r="G2196" s="10">
        <v>64.98</v>
      </c>
      <c r="H2196" s="10">
        <v>64.94</v>
      </c>
      <c r="I2196" s="10">
        <v>64.930000000000007</v>
      </c>
      <c r="J2196" s="10">
        <v>64.930000000000007</v>
      </c>
      <c r="K2196" s="10">
        <v>64.94</v>
      </c>
      <c r="L2196" s="10">
        <v>64.930000000000007</v>
      </c>
      <c r="M2196" s="10">
        <v>64.94</v>
      </c>
      <c r="N2196" s="10">
        <v>65.45</v>
      </c>
      <c r="O2196" s="10">
        <v>64.150000000000006</v>
      </c>
      <c r="P2196" s="10">
        <v>63.07</v>
      </c>
      <c r="Q2196" s="10">
        <v>62.37</v>
      </c>
      <c r="R2196" s="10">
        <v>61.95</v>
      </c>
      <c r="S2196" s="10">
        <v>61.72</v>
      </c>
      <c r="T2196" s="10">
        <v>61.6</v>
      </c>
      <c r="U2196" s="10">
        <v>61.54</v>
      </c>
      <c r="V2196" s="10">
        <v>61.51</v>
      </c>
      <c r="W2196" s="10">
        <v>61.51</v>
      </c>
      <c r="X2196" s="10">
        <v>61.52</v>
      </c>
      <c r="Y2196" s="10">
        <v>61.5</v>
      </c>
      <c r="Z2196" s="11">
        <v>69.268000000000001</v>
      </c>
      <c r="AA2196" s="11">
        <v>68.254999999999995</v>
      </c>
      <c r="AB2196" s="11">
        <v>66.430000000000007</v>
      </c>
      <c r="AC2196" s="11">
        <v>65.563000000000002</v>
      </c>
      <c r="AD2196" s="11">
        <v>65.02</v>
      </c>
      <c r="AE2196" s="11">
        <v>64.688999999999993</v>
      </c>
      <c r="AF2196" s="11">
        <v>64.488</v>
      </c>
      <c r="AG2196" s="11">
        <v>64.427999999999997</v>
      </c>
      <c r="AH2196" s="11">
        <v>64.427999999999997</v>
      </c>
      <c r="AI2196" s="11">
        <v>64.445999999999998</v>
      </c>
      <c r="AJ2196" s="11">
        <v>64.459999999999994</v>
      </c>
      <c r="AK2196" s="11">
        <v>64.454999999999998</v>
      </c>
      <c r="AL2196" s="11"/>
    </row>
    <row r="2197" spans="1:38" x14ac:dyDescent="0.3">
      <c r="A2197" s="9">
        <f>DATE(2025, 7, 2)</f>
        <v>45840</v>
      </c>
      <c r="B2197" s="10">
        <v>69.11</v>
      </c>
      <c r="C2197" s="10">
        <v>67.94</v>
      </c>
      <c r="D2197" s="10">
        <v>67.09</v>
      </c>
      <c r="E2197" s="10">
        <v>66.55</v>
      </c>
      <c r="F2197" s="10">
        <v>66.260000000000005</v>
      </c>
      <c r="G2197" s="10">
        <v>66.08</v>
      </c>
      <c r="H2197" s="10">
        <v>65.959999999999994</v>
      </c>
      <c r="I2197" s="10">
        <v>65.87</v>
      </c>
      <c r="J2197" s="10">
        <v>65.81</v>
      </c>
      <c r="K2197" s="10">
        <v>65.760000000000005</v>
      </c>
      <c r="L2197" s="10">
        <v>65.709999999999994</v>
      </c>
      <c r="M2197" s="10">
        <v>65.67</v>
      </c>
      <c r="N2197" s="10">
        <v>67.45</v>
      </c>
      <c r="O2197" s="10">
        <v>66.010000000000005</v>
      </c>
      <c r="P2197" s="10">
        <v>64.73</v>
      </c>
      <c r="Q2197" s="10">
        <v>63.83</v>
      </c>
      <c r="R2197" s="10">
        <v>63.24</v>
      </c>
      <c r="S2197" s="10">
        <v>62.9</v>
      </c>
      <c r="T2197" s="10">
        <v>62.69</v>
      </c>
      <c r="U2197" s="10">
        <v>62.54</v>
      </c>
      <c r="V2197" s="10">
        <v>62.44</v>
      </c>
      <c r="W2197" s="10">
        <v>62.37</v>
      </c>
      <c r="X2197" s="10">
        <v>62.32</v>
      </c>
      <c r="Y2197" s="10">
        <v>62.25</v>
      </c>
      <c r="Z2197" s="11">
        <v>69.712999999999994</v>
      </c>
      <c r="AA2197" s="11">
        <v>67.94</v>
      </c>
      <c r="AB2197" s="11">
        <v>66.905000000000001</v>
      </c>
      <c r="AC2197" s="11">
        <v>66.277000000000001</v>
      </c>
      <c r="AD2197" s="11">
        <v>65.876999999999995</v>
      </c>
      <c r="AE2197" s="11">
        <v>65.593999999999994</v>
      </c>
      <c r="AF2197" s="11">
        <v>65.456000000000003</v>
      </c>
      <c r="AG2197" s="11">
        <v>65.367000000000004</v>
      </c>
      <c r="AH2197" s="11">
        <v>65.317999999999998</v>
      </c>
      <c r="AI2197" s="11">
        <v>65.287999999999997</v>
      </c>
      <c r="AJ2197" s="11">
        <v>65.248000000000005</v>
      </c>
      <c r="AK2197" s="11">
        <v>65.218999999999994</v>
      </c>
      <c r="AL2197" s="11"/>
    </row>
    <row r="2198" spans="1:38" x14ac:dyDescent="0.3">
      <c r="A2198" s="9">
        <f>DATE(2025, 7, 3)</f>
        <v>45841</v>
      </c>
      <c r="B2198" s="10">
        <v>68.8</v>
      </c>
      <c r="C2198" s="10">
        <v>67.680000000000007</v>
      </c>
      <c r="D2198" s="10">
        <v>66.88</v>
      </c>
      <c r="E2198" s="10">
        <v>66.349999999999994</v>
      </c>
      <c r="F2198" s="10">
        <v>66.08</v>
      </c>
      <c r="G2198" s="10">
        <v>65.92</v>
      </c>
      <c r="H2198" s="10">
        <v>65.819999999999993</v>
      </c>
      <c r="I2198" s="10">
        <v>65.75</v>
      </c>
      <c r="J2198" s="10">
        <v>65.7</v>
      </c>
      <c r="K2198" s="10">
        <v>65.66</v>
      </c>
      <c r="L2198" s="10">
        <v>65.62</v>
      </c>
      <c r="M2198" s="10">
        <v>65.59</v>
      </c>
      <c r="N2198" s="10">
        <v>67</v>
      </c>
      <c r="O2198" s="10">
        <v>65.62</v>
      </c>
      <c r="P2198" s="10">
        <v>64.400000000000006</v>
      </c>
      <c r="Q2198" s="10">
        <v>63.56</v>
      </c>
      <c r="R2198" s="10">
        <v>63</v>
      </c>
      <c r="S2198" s="10">
        <v>62.68</v>
      </c>
      <c r="T2198" s="10">
        <v>62.48</v>
      </c>
      <c r="U2198" s="10">
        <v>62.36</v>
      </c>
      <c r="V2198" s="10">
        <v>62.29</v>
      </c>
      <c r="W2198" s="10">
        <v>62.23</v>
      </c>
      <c r="X2198" s="10">
        <v>62.18</v>
      </c>
      <c r="Y2198" s="10">
        <v>62.11</v>
      </c>
      <c r="Z2198" s="11">
        <v>69.703000000000003</v>
      </c>
      <c r="AA2198" s="11">
        <v>67.721999999999994</v>
      </c>
      <c r="AB2198" s="11">
        <v>66.751999999999995</v>
      </c>
      <c r="AC2198" s="11">
        <v>66.117999999999995</v>
      </c>
      <c r="AD2198" s="11">
        <v>65.727999999999994</v>
      </c>
      <c r="AE2198" s="11">
        <v>65.456999999999994</v>
      </c>
      <c r="AF2198" s="11">
        <v>65.337000000000003</v>
      </c>
      <c r="AG2198" s="11">
        <v>65.268000000000001</v>
      </c>
      <c r="AH2198" s="11">
        <v>65.233000000000004</v>
      </c>
      <c r="AI2198" s="11">
        <v>65.197999999999993</v>
      </c>
      <c r="AJ2198" s="11">
        <v>65.168999999999997</v>
      </c>
      <c r="AK2198" s="11">
        <v>65.150000000000006</v>
      </c>
      <c r="AL2198" s="11"/>
    </row>
    <row r="2199" spans="1:38" x14ac:dyDescent="0.3">
      <c r="A2199" s="9">
        <f>DATE(2025, 7, 4)</f>
        <v>45842</v>
      </c>
      <c r="B2199" s="10">
        <v>68.3</v>
      </c>
      <c r="C2199" s="10">
        <v>67.22</v>
      </c>
      <c r="D2199" s="10">
        <v>66.459999999999994</v>
      </c>
      <c r="E2199" s="10">
        <v>65.989999999999995</v>
      </c>
      <c r="F2199" s="10">
        <v>65.75</v>
      </c>
      <c r="G2199" s="10">
        <v>65.62</v>
      </c>
      <c r="H2199" s="10">
        <v>65.540000000000006</v>
      </c>
      <c r="I2199" s="10">
        <v>65.489999999999995</v>
      </c>
      <c r="J2199" s="10">
        <v>65.45</v>
      </c>
      <c r="K2199" s="10">
        <v>65.42</v>
      </c>
      <c r="L2199" s="10">
        <v>65.39</v>
      </c>
      <c r="M2199" s="10">
        <v>65.37</v>
      </c>
      <c r="N2199" s="10">
        <v>67</v>
      </c>
      <c r="O2199" s="10">
        <v>65.62</v>
      </c>
      <c r="P2199" s="10">
        <v>64.400000000000006</v>
      </c>
      <c r="Q2199" s="10">
        <v>63.56</v>
      </c>
      <c r="R2199" s="10">
        <v>63</v>
      </c>
      <c r="S2199" s="10">
        <v>62.68</v>
      </c>
      <c r="T2199" s="10">
        <v>62.48</v>
      </c>
      <c r="U2199" s="10">
        <v>62.36</v>
      </c>
      <c r="V2199" s="10">
        <v>62.29</v>
      </c>
      <c r="W2199" s="10">
        <v>62.23</v>
      </c>
      <c r="X2199" s="10">
        <v>62.18</v>
      </c>
      <c r="Y2199" s="10">
        <v>62.11</v>
      </c>
      <c r="Z2199" s="11">
        <v>69.301000000000002</v>
      </c>
      <c r="AA2199" s="11">
        <v>67.369</v>
      </c>
      <c r="AB2199" s="11">
        <v>66.448999999999998</v>
      </c>
      <c r="AC2199" s="11">
        <v>65.83</v>
      </c>
      <c r="AD2199" s="11">
        <v>65.45</v>
      </c>
      <c r="AE2199" s="11">
        <v>65.2</v>
      </c>
      <c r="AF2199" s="11">
        <v>65.099999999999994</v>
      </c>
      <c r="AG2199" s="11">
        <v>65.05</v>
      </c>
      <c r="AH2199" s="11">
        <v>65.03</v>
      </c>
      <c r="AI2199" s="11">
        <v>64.994</v>
      </c>
      <c r="AJ2199" s="11">
        <v>64.963999999999999</v>
      </c>
      <c r="AK2199" s="11">
        <v>64.944999999999993</v>
      </c>
      <c r="AL2199" s="11"/>
    </row>
    <row r="2200" spans="1:38" x14ac:dyDescent="0.3">
      <c r="A2200" s="9">
        <f>DATE(2025, 7, 7)</f>
        <v>45845</v>
      </c>
      <c r="B2200" s="10">
        <v>69.58</v>
      </c>
      <c r="C2200" s="10">
        <v>68.430000000000007</v>
      </c>
      <c r="D2200" s="10">
        <v>67.58</v>
      </c>
      <c r="E2200" s="10">
        <v>67</v>
      </c>
      <c r="F2200" s="10">
        <v>66.67</v>
      </c>
      <c r="G2200" s="10">
        <v>66.47</v>
      </c>
      <c r="H2200" s="10">
        <v>66.34</v>
      </c>
      <c r="I2200" s="10">
        <v>66.25</v>
      </c>
      <c r="J2200" s="10">
        <v>66.2</v>
      </c>
      <c r="K2200" s="10">
        <v>66.16</v>
      </c>
      <c r="L2200" s="10">
        <v>66.12</v>
      </c>
      <c r="M2200" s="10">
        <v>66.099999999999994</v>
      </c>
      <c r="N2200" s="10">
        <v>67.930000000000007</v>
      </c>
      <c r="O2200" s="10">
        <v>66.489999999999995</v>
      </c>
      <c r="P2200" s="10">
        <v>65.2</v>
      </c>
      <c r="Q2200" s="10">
        <v>64.31</v>
      </c>
      <c r="R2200" s="10">
        <v>63.7</v>
      </c>
      <c r="S2200" s="10">
        <v>63.33</v>
      </c>
      <c r="T2200" s="10">
        <v>63.09</v>
      </c>
      <c r="U2200" s="10">
        <v>62.95</v>
      </c>
      <c r="V2200" s="10">
        <v>62.84</v>
      </c>
      <c r="W2200" s="10">
        <v>62.78</v>
      </c>
      <c r="X2200" s="10">
        <v>62.74</v>
      </c>
      <c r="Y2200" s="10">
        <v>62.69</v>
      </c>
      <c r="Z2200" s="11">
        <v>70.349999999999994</v>
      </c>
      <c r="AA2200" s="11">
        <v>68.775000000000006</v>
      </c>
      <c r="AB2200" s="11">
        <v>67.745000000000005</v>
      </c>
      <c r="AC2200" s="11">
        <v>66.977999999999994</v>
      </c>
      <c r="AD2200" s="11">
        <v>66.432000000000002</v>
      </c>
      <c r="AE2200" s="11">
        <v>66.084999999999994</v>
      </c>
      <c r="AF2200" s="11">
        <v>65.942999999999998</v>
      </c>
      <c r="AG2200" s="11">
        <v>65.873000000000005</v>
      </c>
      <c r="AH2200" s="11">
        <v>65.847999999999999</v>
      </c>
      <c r="AI2200" s="11">
        <v>65.798000000000002</v>
      </c>
      <c r="AJ2200" s="11">
        <v>65.739000000000004</v>
      </c>
      <c r="AK2200" s="11">
        <v>65.704999999999998</v>
      </c>
      <c r="AL2200" s="11"/>
    </row>
    <row r="2201" spans="1:38" x14ac:dyDescent="0.3">
      <c r="A2201" s="9">
        <f>DATE(2025, 7, 8)</f>
        <v>45846</v>
      </c>
      <c r="B2201" s="10">
        <v>70.150000000000006</v>
      </c>
      <c r="C2201" s="10">
        <v>68.98</v>
      </c>
      <c r="D2201" s="10">
        <v>68.13</v>
      </c>
      <c r="E2201" s="10">
        <v>67.56</v>
      </c>
      <c r="F2201" s="10">
        <v>67.23</v>
      </c>
      <c r="G2201" s="10">
        <v>67.040000000000006</v>
      </c>
      <c r="H2201" s="10">
        <v>66.91</v>
      </c>
      <c r="I2201" s="10">
        <v>66.83</v>
      </c>
      <c r="J2201" s="10">
        <v>66.78</v>
      </c>
      <c r="K2201" s="10">
        <v>66.739999999999995</v>
      </c>
      <c r="L2201" s="10">
        <v>66.709999999999994</v>
      </c>
      <c r="M2201" s="10">
        <v>66.69</v>
      </c>
      <c r="N2201" s="10">
        <v>68.33</v>
      </c>
      <c r="O2201" s="10">
        <v>66.98</v>
      </c>
      <c r="P2201" s="10">
        <v>65.7</v>
      </c>
      <c r="Q2201" s="10">
        <v>64.819999999999993</v>
      </c>
      <c r="R2201" s="10">
        <v>64.22</v>
      </c>
      <c r="S2201" s="10">
        <v>63.87</v>
      </c>
      <c r="T2201" s="10">
        <v>63.64</v>
      </c>
      <c r="U2201" s="10">
        <v>63.5</v>
      </c>
      <c r="V2201" s="10">
        <v>63.4</v>
      </c>
      <c r="W2201" s="10">
        <v>63.34</v>
      </c>
      <c r="X2201" s="10">
        <v>63.31</v>
      </c>
      <c r="Y2201" s="10">
        <v>63.26</v>
      </c>
      <c r="Z2201" s="11">
        <v>70.555000000000007</v>
      </c>
      <c r="AA2201" s="11">
        <v>69.206999999999994</v>
      </c>
      <c r="AB2201" s="11">
        <v>68.195999999999998</v>
      </c>
      <c r="AC2201" s="11">
        <v>67.445999999999998</v>
      </c>
      <c r="AD2201" s="11">
        <v>66.915999999999997</v>
      </c>
      <c r="AE2201" s="11">
        <v>66.575999999999993</v>
      </c>
      <c r="AF2201" s="11">
        <v>66.424999999999997</v>
      </c>
      <c r="AG2201" s="11">
        <v>66.364999999999995</v>
      </c>
      <c r="AH2201" s="11">
        <v>66.337999999999994</v>
      </c>
      <c r="AI2201" s="11">
        <v>66.308999999999997</v>
      </c>
      <c r="AJ2201" s="11">
        <v>66.278999999999996</v>
      </c>
      <c r="AK2201" s="11">
        <v>66.260000000000005</v>
      </c>
      <c r="AL2201" s="11"/>
    </row>
    <row r="2202" spans="1:38" x14ac:dyDescent="0.3">
      <c r="A2202" s="9">
        <f>DATE(2025, 7, 9)</f>
        <v>45847</v>
      </c>
      <c r="B2202" s="10">
        <v>70.19</v>
      </c>
      <c r="C2202" s="10">
        <v>68.97</v>
      </c>
      <c r="D2202" s="10">
        <v>68.05</v>
      </c>
      <c r="E2202" s="10">
        <v>67.41</v>
      </c>
      <c r="F2202" s="10">
        <v>67.05</v>
      </c>
      <c r="G2202" s="10">
        <v>66.84</v>
      </c>
      <c r="H2202" s="10">
        <v>66.709999999999994</v>
      </c>
      <c r="I2202" s="10">
        <v>66.64</v>
      </c>
      <c r="J2202" s="10">
        <v>66.59</v>
      </c>
      <c r="K2202" s="10">
        <v>66.55</v>
      </c>
      <c r="L2202" s="10">
        <v>66.52</v>
      </c>
      <c r="M2202" s="10">
        <v>66.5</v>
      </c>
      <c r="N2202" s="10">
        <v>68.38</v>
      </c>
      <c r="O2202" s="10">
        <v>66.97</v>
      </c>
      <c r="P2202" s="10">
        <v>65.64</v>
      </c>
      <c r="Q2202" s="10">
        <v>64.709999999999994</v>
      </c>
      <c r="R2202" s="10">
        <v>64.069999999999993</v>
      </c>
      <c r="S2202" s="10">
        <v>63.69</v>
      </c>
      <c r="T2202" s="10">
        <v>63.45</v>
      </c>
      <c r="U2202" s="10">
        <v>63.3</v>
      </c>
      <c r="V2202" s="10">
        <v>63.2</v>
      </c>
      <c r="W2202" s="10">
        <v>63.14</v>
      </c>
      <c r="X2202" s="10">
        <v>63.11</v>
      </c>
      <c r="Y2202" s="10">
        <v>63.06</v>
      </c>
      <c r="Z2202" s="11">
        <v>70.734999999999999</v>
      </c>
      <c r="AA2202" s="11">
        <v>69.355999999999995</v>
      </c>
      <c r="AB2202" s="11">
        <v>68.260999999999996</v>
      </c>
      <c r="AC2202" s="11">
        <v>67.444000000000003</v>
      </c>
      <c r="AD2202" s="11">
        <v>66.87</v>
      </c>
      <c r="AE2202" s="11">
        <v>66.498999999999995</v>
      </c>
      <c r="AF2202" s="11">
        <v>66.317999999999998</v>
      </c>
      <c r="AG2202" s="11">
        <v>66.248000000000005</v>
      </c>
      <c r="AH2202" s="11">
        <v>66.227999999999994</v>
      </c>
      <c r="AI2202" s="11">
        <v>66.197999999999993</v>
      </c>
      <c r="AJ2202" s="11">
        <v>66.158000000000001</v>
      </c>
      <c r="AK2202" s="11">
        <v>66.099999999999994</v>
      </c>
      <c r="AL2202" s="11"/>
    </row>
    <row r="2203" spans="1:38" x14ac:dyDescent="0.3">
      <c r="A2203" s="9">
        <f>DATE(2025, 7, 10)</f>
        <v>45848</v>
      </c>
      <c r="B2203" s="10">
        <v>68.64</v>
      </c>
      <c r="C2203" s="10">
        <v>67.56</v>
      </c>
      <c r="D2203" s="10">
        <v>66.77</v>
      </c>
      <c r="E2203" s="10">
        <v>66.260000000000005</v>
      </c>
      <c r="F2203" s="10">
        <v>66</v>
      </c>
      <c r="G2203" s="10">
        <v>65.87</v>
      </c>
      <c r="H2203" s="10">
        <v>65.8</v>
      </c>
      <c r="I2203" s="10">
        <v>65.77</v>
      </c>
      <c r="J2203" s="10">
        <v>65.760000000000005</v>
      </c>
      <c r="K2203" s="10">
        <v>65.75</v>
      </c>
      <c r="L2203" s="10">
        <v>65.73</v>
      </c>
      <c r="M2203" s="10">
        <v>65.73</v>
      </c>
      <c r="N2203" s="10">
        <v>66.569999999999993</v>
      </c>
      <c r="O2203" s="10">
        <v>65.38</v>
      </c>
      <c r="P2203" s="10">
        <v>64.239999999999995</v>
      </c>
      <c r="Q2203" s="10">
        <v>63.46</v>
      </c>
      <c r="R2203" s="10">
        <v>62.94</v>
      </c>
      <c r="S2203" s="10">
        <v>62.67</v>
      </c>
      <c r="T2203" s="10">
        <v>62.51</v>
      </c>
      <c r="U2203" s="10">
        <v>62.42</v>
      </c>
      <c r="V2203" s="10">
        <v>62.37</v>
      </c>
      <c r="W2203" s="10">
        <v>62.34</v>
      </c>
      <c r="X2203" s="10">
        <v>62.31</v>
      </c>
      <c r="Y2203" s="10">
        <v>62.28</v>
      </c>
      <c r="Z2203" s="11">
        <v>69.843000000000004</v>
      </c>
      <c r="AA2203" s="11">
        <v>67.984999999999999</v>
      </c>
      <c r="AB2203" s="11">
        <v>66.935000000000002</v>
      </c>
      <c r="AC2203" s="11">
        <v>66.183999999999997</v>
      </c>
      <c r="AD2203" s="11">
        <v>65.691999999999993</v>
      </c>
      <c r="AE2203" s="11">
        <v>65.391999999999996</v>
      </c>
      <c r="AF2203" s="11">
        <v>65.274000000000001</v>
      </c>
      <c r="AG2203" s="11">
        <v>65.254000000000005</v>
      </c>
      <c r="AH2203" s="11">
        <v>65.263999999999996</v>
      </c>
      <c r="AI2203" s="11">
        <v>65.254000000000005</v>
      </c>
      <c r="AJ2203" s="11">
        <v>65.239999999999995</v>
      </c>
      <c r="AK2203" s="11">
        <v>65.23</v>
      </c>
      <c r="AL2203" s="11"/>
    </row>
    <row r="2204" spans="1:38" x14ac:dyDescent="0.3">
      <c r="A2204" s="9">
        <f>DATE(2025, 7, 11)</f>
        <v>45849</v>
      </c>
      <c r="B2204" s="10">
        <v>70.36</v>
      </c>
      <c r="C2204" s="10">
        <v>69.16</v>
      </c>
      <c r="D2204" s="10">
        <v>68.290000000000006</v>
      </c>
      <c r="E2204" s="10">
        <v>67.72</v>
      </c>
      <c r="F2204" s="10">
        <v>67.400000000000006</v>
      </c>
      <c r="G2204" s="10">
        <v>67.209999999999994</v>
      </c>
      <c r="H2204" s="10">
        <v>67.09</v>
      </c>
      <c r="I2204" s="10">
        <v>67.010000000000005</v>
      </c>
      <c r="J2204" s="10">
        <v>66.959999999999994</v>
      </c>
      <c r="K2204" s="10">
        <v>66.92</v>
      </c>
      <c r="L2204" s="10">
        <v>66.88</v>
      </c>
      <c r="M2204" s="10">
        <v>66.849999999999994</v>
      </c>
      <c r="N2204" s="10">
        <v>68.45</v>
      </c>
      <c r="O2204" s="10">
        <v>67.040000000000006</v>
      </c>
      <c r="P2204" s="10">
        <v>65.77</v>
      </c>
      <c r="Q2204" s="10">
        <v>64.900000000000006</v>
      </c>
      <c r="R2204" s="10">
        <v>64.319999999999993</v>
      </c>
      <c r="S2204" s="10">
        <v>63.98</v>
      </c>
      <c r="T2204" s="10">
        <v>63.76</v>
      </c>
      <c r="U2204" s="10">
        <v>63.63</v>
      </c>
      <c r="V2204" s="10">
        <v>63.54</v>
      </c>
      <c r="W2204" s="10">
        <v>63.47</v>
      </c>
      <c r="X2204" s="10">
        <v>63.42</v>
      </c>
      <c r="Y2204" s="10">
        <v>63.37</v>
      </c>
      <c r="Z2204" s="11">
        <v>70.731999999999999</v>
      </c>
      <c r="AA2204" s="11">
        <v>69.409000000000006</v>
      </c>
      <c r="AB2204" s="11">
        <v>68.343999999999994</v>
      </c>
      <c r="AC2204" s="11">
        <v>67.558999999999997</v>
      </c>
      <c r="AD2204" s="11">
        <v>67.024000000000001</v>
      </c>
      <c r="AE2204" s="11">
        <v>66.703999999999994</v>
      </c>
      <c r="AF2204" s="11">
        <v>66.554000000000002</v>
      </c>
      <c r="AG2204" s="11">
        <v>66.483000000000004</v>
      </c>
      <c r="AH2204" s="11">
        <v>66.442999999999998</v>
      </c>
      <c r="AI2204" s="11">
        <v>66.403000000000006</v>
      </c>
      <c r="AJ2204" s="11">
        <v>66.369</v>
      </c>
      <c r="AK2204" s="11">
        <v>66.344999999999999</v>
      </c>
      <c r="AL2204" s="11"/>
    </row>
    <row r="2205" spans="1:38" x14ac:dyDescent="0.3">
      <c r="A2205" s="9">
        <f>DATE(2025, 7, 14)</f>
        <v>45852</v>
      </c>
      <c r="B2205" s="10">
        <v>69.209999999999994</v>
      </c>
      <c r="C2205" s="10">
        <v>68.23</v>
      </c>
      <c r="D2205" s="10">
        <v>67.540000000000006</v>
      </c>
      <c r="E2205" s="10">
        <v>67.099999999999994</v>
      </c>
      <c r="F2205" s="10">
        <v>66.849999999999994</v>
      </c>
      <c r="G2205" s="10">
        <v>66.72</v>
      </c>
      <c r="H2205" s="10">
        <v>66.64</v>
      </c>
      <c r="I2205" s="10">
        <v>66.59</v>
      </c>
      <c r="J2205" s="10">
        <v>66.569999999999993</v>
      </c>
      <c r="K2205" s="10">
        <v>66.55</v>
      </c>
      <c r="L2205" s="10">
        <v>66.52</v>
      </c>
      <c r="M2205" s="10">
        <v>66.510000000000005</v>
      </c>
      <c r="N2205" s="10">
        <v>66.98</v>
      </c>
      <c r="O2205" s="10">
        <v>65.81</v>
      </c>
      <c r="P2205" s="10">
        <v>64.78</v>
      </c>
      <c r="Q2205" s="10">
        <v>64.099999999999994</v>
      </c>
      <c r="R2205" s="10">
        <v>63.65</v>
      </c>
      <c r="S2205" s="10">
        <v>63.41</v>
      </c>
      <c r="T2205" s="10">
        <v>63.26</v>
      </c>
      <c r="U2205" s="10">
        <v>63.17</v>
      </c>
      <c r="V2205" s="10">
        <v>63.1</v>
      </c>
      <c r="W2205" s="10">
        <v>63.06</v>
      </c>
      <c r="X2205" s="10">
        <v>63.03</v>
      </c>
      <c r="Y2205" s="10">
        <v>62.98</v>
      </c>
      <c r="Z2205" s="11">
        <v>70.337000000000003</v>
      </c>
      <c r="AA2205" s="11">
        <v>68.61</v>
      </c>
      <c r="AB2205" s="11">
        <v>67.599999999999994</v>
      </c>
      <c r="AC2205" s="11">
        <v>66.900000000000006</v>
      </c>
      <c r="AD2205" s="11">
        <v>66.47</v>
      </c>
      <c r="AE2205" s="11">
        <v>66.22</v>
      </c>
      <c r="AF2205" s="11">
        <v>66.11</v>
      </c>
      <c r="AG2205" s="11">
        <v>66.063999999999993</v>
      </c>
      <c r="AH2205" s="11">
        <v>66.054000000000002</v>
      </c>
      <c r="AI2205" s="11">
        <v>66.043999999999997</v>
      </c>
      <c r="AJ2205" s="11">
        <v>66.02</v>
      </c>
      <c r="AK2205" s="11">
        <v>66.015000000000001</v>
      </c>
      <c r="AL2205" s="11"/>
    </row>
    <row r="2206" spans="1:38" x14ac:dyDescent="0.3">
      <c r="A2206" s="9">
        <f>DATE(2025, 7, 15)</f>
        <v>45853</v>
      </c>
      <c r="B2206" s="10">
        <v>68.709999999999994</v>
      </c>
      <c r="C2206" s="10">
        <v>67.78</v>
      </c>
      <c r="D2206" s="10">
        <v>67.12</v>
      </c>
      <c r="E2206" s="10">
        <v>66.7</v>
      </c>
      <c r="F2206" s="10">
        <v>66.459999999999994</v>
      </c>
      <c r="G2206" s="10">
        <v>66.33</v>
      </c>
      <c r="H2206" s="10">
        <v>66.25</v>
      </c>
      <c r="I2206" s="10">
        <v>66.2</v>
      </c>
      <c r="J2206" s="10">
        <v>66.17</v>
      </c>
      <c r="K2206" s="10">
        <v>66.14</v>
      </c>
      <c r="L2206" s="10">
        <v>66.099999999999994</v>
      </c>
      <c r="M2206" s="10">
        <v>66.08</v>
      </c>
      <c r="N2206" s="10">
        <v>66.52</v>
      </c>
      <c r="O2206" s="10">
        <v>65.37</v>
      </c>
      <c r="P2206" s="10">
        <v>64.37</v>
      </c>
      <c r="Q2206" s="10">
        <v>63.71</v>
      </c>
      <c r="R2206" s="10">
        <v>63.27</v>
      </c>
      <c r="S2206" s="10">
        <v>63.03</v>
      </c>
      <c r="T2206" s="10">
        <v>62.89</v>
      </c>
      <c r="U2206" s="10">
        <v>62.8</v>
      </c>
      <c r="V2206" s="10">
        <v>62.74</v>
      </c>
      <c r="W2206" s="10">
        <v>62.69</v>
      </c>
      <c r="X2206" s="10">
        <v>62.66</v>
      </c>
      <c r="Y2206" s="10">
        <v>62.62</v>
      </c>
      <c r="Z2206" s="11">
        <v>70.063000000000002</v>
      </c>
      <c r="AA2206" s="11">
        <v>68.02</v>
      </c>
      <c r="AB2206" s="11">
        <v>67.120999999999995</v>
      </c>
      <c r="AC2206" s="11">
        <v>66.44</v>
      </c>
      <c r="AD2206" s="11">
        <v>66.02</v>
      </c>
      <c r="AE2206" s="11">
        <v>65.78</v>
      </c>
      <c r="AF2206" s="11">
        <v>65.67</v>
      </c>
      <c r="AG2206" s="11">
        <v>65.619</v>
      </c>
      <c r="AH2206" s="11">
        <v>65.608999999999995</v>
      </c>
      <c r="AI2206" s="11">
        <v>65.582999999999998</v>
      </c>
      <c r="AJ2206" s="11">
        <v>65.549000000000007</v>
      </c>
      <c r="AK2206" s="11">
        <v>65.534999999999997</v>
      </c>
      <c r="AL2206" s="11"/>
    </row>
    <row r="2207" spans="1:38" x14ac:dyDescent="0.3">
      <c r="A2207" s="9">
        <f>DATE(2025, 7, 16)</f>
        <v>45854</v>
      </c>
      <c r="B2207" s="10">
        <v>68.52</v>
      </c>
      <c r="C2207" s="10">
        <v>67.55</v>
      </c>
      <c r="D2207" s="10">
        <v>66.900000000000006</v>
      </c>
      <c r="E2207" s="10">
        <v>66.489999999999995</v>
      </c>
      <c r="F2207" s="10">
        <v>66.25</v>
      </c>
      <c r="G2207" s="10">
        <v>66.11</v>
      </c>
      <c r="H2207" s="10">
        <v>66.03</v>
      </c>
      <c r="I2207" s="10">
        <v>65.989999999999995</v>
      </c>
      <c r="J2207" s="10">
        <v>65.97</v>
      </c>
      <c r="K2207" s="10">
        <v>65.95</v>
      </c>
      <c r="L2207" s="10">
        <v>65.92</v>
      </c>
      <c r="M2207" s="10">
        <v>65.900000000000006</v>
      </c>
      <c r="N2207" s="10">
        <v>66.38</v>
      </c>
      <c r="O2207" s="10">
        <v>65.19</v>
      </c>
      <c r="P2207" s="10">
        <v>64.19</v>
      </c>
      <c r="Q2207" s="10">
        <v>63.53</v>
      </c>
      <c r="R2207" s="10">
        <v>63.09</v>
      </c>
      <c r="S2207" s="10">
        <v>62.85</v>
      </c>
      <c r="T2207" s="10">
        <v>62.7</v>
      </c>
      <c r="U2207" s="10">
        <v>62.61</v>
      </c>
      <c r="V2207" s="10">
        <v>62.56</v>
      </c>
      <c r="W2207" s="10">
        <v>62.52</v>
      </c>
      <c r="X2207" s="10">
        <v>62.48</v>
      </c>
      <c r="Y2207" s="10">
        <v>62.44</v>
      </c>
      <c r="Z2207" s="11">
        <v>69.866</v>
      </c>
      <c r="AA2207" s="11">
        <v>67.709000000000003</v>
      </c>
      <c r="AB2207" s="11">
        <v>66.924999999999997</v>
      </c>
      <c r="AC2207" s="11">
        <v>66.209999999999994</v>
      </c>
      <c r="AD2207" s="11">
        <v>65.777000000000001</v>
      </c>
      <c r="AE2207" s="11">
        <v>65.534000000000006</v>
      </c>
      <c r="AF2207" s="11">
        <v>65.427999999999997</v>
      </c>
      <c r="AG2207" s="11">
        <v>65.399000000000001</v>
      </c>
      <c r="AH2207" s="11">
        <v>65.399000000000001</v>
      </c>
      <c r="AI2207" s="11">
        <v>65.379000000000005</v>
      </c>
      <c r="AJ2207" s="11">
        <v>65.349000000000004</v>
      </c>
      <c r="AK2207" s="11">
        <v>65.33</v>
      </c>
      <c r="AL2207" s="11"/>
    </row>
    <row r="2208" spans="1:38" x14ac:dyDescent="0.3">
      <c r="A2208" s="9">
        <f>DATE(2025, 7, 17)</f>
        <v>45855</v>
      </c>
      <c r="B2208" s="10">
        <v>69.52</v>
      </c>
      <c r="C2208" s="10">
        <v>68.52</v>
      </c>
      <c r="D2208" s="10">
        <v>67.84</v>
      </c>
      <c r="E2208" s="10">
        <v>67.36</v>
      </c>
      <c r="F2208" s="10">
        <v>67.069999999999993</v>
      </c>
      <c r="G2208" s="10">
        <v>66.88</v>
      </c>
      <c r="H2208" s="10">
        <v>66.760000000000005</v>
      </c>
      <c r="I2208" s="10">
        <v>66.69</v>
      </c>
      <c r="J2208" s="10">
        <v>66.66</v>
      </c>
      <c r="K2208" s="10">
        <v>66.63</v>
      </c>
      <c r="L2208" s="10">
        <v>66.59</v>
      </c>
      <c r="M2208" s="10">
        <v>66.56</v>
      </c>
      <c r="N2208" s="10">
        <v>67.540000000000006</v>
      </c>
      <c r="O2208" s="10">
        <v>66.23</v>
      </c>
      <c r="P2208" s="10">
        <v>65.150000000000006</v>
      </c>
      <c r="Q2208" s="10">
        <v>64.430000000000007</v>
      </c>
      <c r="R2208" s="10">
        <v>63.94</v>
      </c>
      <c r="S2208" s="10">
        <v>63.64</v>
      </c>
      <c r="T2208" s="10">
        <v>63.44</v>
      </c>
      <c r="U2208" s="10">
        <v>63.31</v>
      </c>
      <c r="V2208" s="10">
        <v>63.23</v>
      </c>
      <c r="W2208" s="10">
        <v>63.17</v>
      </c>
      <c r="X2208" s="10">
        <v>63.12</v>
      </c>
      <c r="Y2208" s="10">
        <v>63.06</v>
      </c>
      <c r="Z2208" s="11">
        <v>70.284000000000006</v>
      </c>
      <c r="AA2208" s="11">
        <v>68.587999999999994</v>
      </c>
      <c r="AB2208" s="11">
        <v>67.840999999999994</v>
      </c>
      <c r="AC2208" s="11">
        <v>67.111000000000004</v>
      </c>
      <c r="AD2208" s="11">
        <v>66.620999999999995</v>
      </c>
      <c r="AE2208" s="11">
        <v>66.328999999999994</v>
      </c>
      <c r="AF2208" s="11">
        <v>66.186999999999998</v>
      </c>
      <c r="AG2208" s="11">
        <v>66.129000000000005</v>
      </c>
      <c r="AH2208" s="11">
        <v>66.108999999999995</v>
      </c>
      <c r="AI2208" s="11">
        <v>66.087999999999994</v>
      </c>
      <c r="AJ2208" s="11">
        <v>66.049000000000007</v>
      </c>
      <c r="AK2208" s="11">
        <v>66.02</v>
      </c>
      <c r="AL2208" s="11"/>
    </row>
    <row r="2209" spans="1:38" x14ac:dyDescent="0.3">
      <c r="A2209" s="9">
        <f>DATE(2025, 7, 18)</f>
        <v>45856</v>
      </c>
      <c r="B2209" s="10">
        <v>69.28</v>
      </c>
      <c r="C2209" s="10">
        <v>68.400000000000006</v>
      </c>
      <c r="D2209" s="10">
        <v>67.77</v>
      </c>
      <c r="E2209" s="10">
        <v>67.33</v>
      </c>
      <c r="F2209" s="10">
        <v>67.05</v>
      </c>
      <c r="G2209" s="10">
        <v>66.87</v>
      </c>
      <c r="H2209" s="10">
        <v>66.75</v>
      </c>
      <c r="I2209" s="10">
        <v>66.69</v>
      </c>
      <c r="J2209" s="10">
        <v>66.66</v>
      </c>
      <c r="K2209" s="10">
        <v>66.63</v>
      </c>
      <c r="L2209" s="10">
        <v>66.59</v>
      </c>
      <c r="M2209" s="10">
        <v>66.56</v>
      </c>
      <c r="N2209" s="10">
        <v>67.34</v>
      </c>
      <c r="O2209" s="10">
        <v>66.05</v>
      </c>
      <c r="P2209" s="10">
        <v>65.03</v>
      </c>
      <c r="Q2209" s="10">
        <v>64.37</v>
      </c>
      <c r="R2209" s="10">
        <v>63.93</v>
      </c>
      <c r="S2209" s="10">
        <v>63.65</v>
      </c>
      <c r="T2209" s="10">
        <v>63.46</v>
      </c>
      <c r="U2209" s="10">
        <v>63.34</v>
      </c>
      <c r="V2209" s="10">
        <v>63.26</v>
      </c>
      <c r="W2209" s="10">
        <v>63.21</v>
      </c>
      <c r="X2209" s="10">
        <v>63.17</v>
      </c>
      <c r="Y2209" s="10">
        <v>63.12</v>
      </c>
      <c r="Z2209" s="11">
        <v>70.337999999999994</v>
      </c>
      <c r="AA2209" s="11">
        <v>68.704999999999998</v>
      </c>
      <c r="AB2209" s="11">
        <v>68.010000000000005</v>
      </c>
      <c r="AC2209" s="11">
        <v>67.257999999999996</v>
      </c>
      <c r="AD2209" s="11">
        <v>66.745999999999995</v>
      </c>
      <c r="AE2209" s="11">
        <v>66.448999999999998</v>
      </c>
      <c r="AF2209" s="11">
        <v>66.307000000000002</v>
      </c>
      <c r="AG2209" s="11">
        <v>66.239000000000004</v>
      </c>
      <c r="AH2209" s="11">
        <v>66.218999999999994</v>
      </c>
      <c r="AI2209" s="11">
        <v>66.197999999999993</v>
      </c>
      <c r="AJ2209" s="11">
        <v>66.168999999999997</v>
      </c>
      <c r="AK2209" s="11">
        <v>66.150000000000006</v>
      </c>
      <c r="AL2209" s="11"/>
    </row>
    <row r="2210" spans="1:38" x14ac:dyDescent="0.3">
      <c r="A2210" s="9">
        <f>DATE(2025, 7, 21)</f>
        <v>45859</v>
      </c>
      <c r="B2210" s="10">
        <v>69.209999999999994</v>
      </c>
      <c r="C2210" s="10">
        <v>68.38</v>
      </c>
      <c r="D2210" s="10">
        <v>67.819999999999993</v>
      </c>
      <c r="E2210" s="10">
        <v>67.41</v>
      </c>
      <c r="F2210" s="10">
        <v>67.16</v>
      </c>
      <c r="G2210" s="10">
        <v>66.989999999999995</v>
      </c>
      <c r="H2210" s="10">
        <v>66.88</v>
      </c>
      <c r="I2210" s="10">
        <v>66.81</v>
      </c>
      <c r="J2210" s="10">
        <v>66.760000000000005</v>
      </c>
      <c r="K2210" s="10">
        <v>66.709999999999994</v>
      </c>
      <c r="L2210" s="10">
        <v>66.650000000000006</v>
      </c>
      <c r="M2210" s="10">
        <v>66.61</v>
      </c>
      <c r="N2210" s="10">
        <v>67.2</v>
      </c>
      <c r="O2210" s="10">
        <v>65.95</v>
      </c>
      <c r="P2210" s="10">
        <v>65.02</v>
      </c>
      <c r="Q2210" s="10">
        <v>64.42</v>
      </c>
      <c r="R2210" s="10">
        <v>63.99</v>
      </c>
      <c r="S2210" s="10">
        <v>63.75</v>
      </c>
      <c r="T2210" s="10">
        <v>63.56</v>
      </c>
      <c r="U2210" s="10">
        <v>63.44</v>
      </c>
      <c r="V2210" s="10">
        <v>63.35</v>
      </c>
      <c r="W2210" s="10">
        <v>63.29</v>
      </c>
      <c r="X2210" s="10">
        <v>63.21</v>
      </c>
      <c r="Y2210" s="10">
        <v>63.13</v>
      </c>
      <c r="Z2210" s="11">
        <v>70.400999999999996</v>
      </c>
      <c r="AA2210" s="11">
        <v>68.722999999999999</v>
      </c>
      <c r="AB2210" s="11">
        <v>68.070999999999998</v>
      </c>
      <c r="AC2210" s="11">
        <v>67.328000000000003</v>
      </c>
      <c r="AD2210" s="11">
        <v>66.819000000000003</v>
      </c>
      <c r="AE2210" s="11">
        <v>66.536000000000001</v>
      </c>
      <c r="AF2210" s="11">
        <v>66.403000000000006</v>
      </c>
      <c r="AG2210" s="11">
        <v>66.323999999999998</v>
      </c>
      <c r="AH2210" s="11">
        <v>66.275999999999996</v>
      </c>
      <c r="AI2210" s="11">
        <v>66.257000000000005</v>
      </c>
      <c r="AJ2210" s="11">
        <v>66.207999999999998</v>
      </c>
      <c r="AK2210" s="11">
        <v>66.179000000000002</v>
      </c>
      <c r="AL2210" s="11"/>
    </row>
    <row r="2211" spans="1:38" x14ac:dyDescent="0.3">
      <c r="A2211" s="9">
        <f>DATE(2025, 7, 22)</f>
        <v>45860</v>
      </c>
      <c r="B2211" s="10">
        <v>68.59</v>
      </c>
      <c r="C2211" s="10">
        <v>67.77</v>
      </c>
      <c r="D2211" s="10">
        <v>67.25</v>
      </c>
      <c r="E2211" s="10">
        <v>66.88</v>
      </c>
      <c r="F2211" s="10">
        <v>66.66</v>
      </c>
      <c r="G2211" s="10">
        <v>66.52</v>
      </c>
      <c r="H2211" s="10">
        <v>66.430000000000007</v>
      </c>
      <c r="I2211" s="10">
        <v>66.37</v>
      </c>
      <c r="J2211" s="10">
        <v>66.34</v>
      </c>
      <c r="K2211" s="10">
        <v>66.3</v>
      </c>
      <c r="L2211" s="10">
        <v>66.25</v>
      </c>
      <c r="M2211" s="10">
        <v>66.209999999999994</v>
      </c>
      <c r="N2211" s="10">
        <v>66.209999999999994</v>
      </c>
      <c r="O2211" s="10">
        <v>65.31</v>
      </c>
      <c r="P2211" s="10">
        <v>64.459999999999994</v>
      </c>
      <c r="Q2211" s="10">
        <v>63.89</v>
      </c>
      <c r="R2211" s="10">
        <v>63.49</v>
      </c>
      <c r="S2211" s="10">
        <v>63.26</v>
      </c>
      <c r="T2211" s="10">
        <v>63.1</v>
      </c>
      <c r="U2211" s="10">
        <v>63</v>
      </c>
      <c r="V2211" s="10">
        <v>62.94</v>
      </c>
      <c r="W2211" s="10">
        <v>62.9</v>
      </c>
      <c r="X2211" s="10">
        <v>62.85</v>
      </c>
      <c r="Y2211" s="10">
        <v>62.79</v>
      </c>
      <c r="Z2211" s="11">
        <v>70.254000000000005</v>
      </c>
      <c r="AA2211" s="11">
        <v>68.290999999999997</v>
      </c>
      <c r="AB2211" s="11">
        <v>67.632999999999996</v>
      </c>
      <c r="AC2211" s="11">
        <v>66.900000000000006</v>
      </c>
      <c r="AD2211" s="11">
        <v>66.41</v>
      </c>
      <c r="AE2211" s="11">
        <v>66.13</v>
      </c>
      <c r="AF2211" s="11">
        <v>66</v>
      </c>
      <c r="AG2211" s="11">
        <v>65.932000000000002</v>
      </c>
      <c r="AH2211" s="11">
        <v>65.903000000000006</v>
      </c>
      <c r="AI2211" s="11">
        <v>65.873000000000005</v>
      </c>
      <c r="AJ2211" s="11">
        <v>65.832999999999998</v>
      </c>
      <c r="AK2211" s="11">
        <v>65.793999999999997</v>
      </c>
      <c r="AL2211" s="11"/>
    </row>
    <row r="2212" spans="1:38" x14ac:dyDescent="0.3">
      <c r="A2212" s="9">
        <f>DATE(2025, 7, 23)</f>
        <v>45861</v>
      </c>
      <c r="B2212" s="10">
        <v>68.510000000000005</v>
      </c>
      <c r="C2212" s="10">
        <v>67.83</v>
      </c>
      <c r="D2212" s="10">
        <v>67.349999999999994</v>
      </c>
      <c r="E2212" s="10">
        <v>67.010000000000005</v>
      </c>
      <c r="F2212" s="10">
        <v>66.81</v>
      </c>
      <c r="G2212" s="10">
        <v>66.680000000000007</v>
      </c>
      <c r="H2212" s="10">
        <v>66.59</v>
      </c>
      <c r="I2212" s="10">
        <v>66.52</v>
      </c>
      <c r="J2212" s="10">
        <v>66.48</v>
      </c>
      <c r="K2212" s="10">
        <v>66.44</v>
      </c>
      <c r="L2212" s="10">
        <v>66.38</v>
      </c>
      <c r="M2212" s="10">
        <v>66.33</v>
      </c>
      <c r="N2212" s="10">
        <v>65.25</v>
      </c>
      <c r="O2212" s="10">
        <v>64.489999999999995</v>
      </c>
      <c r="P2212" s="10">
        <v>63.96</v>
      </c>
      <c r="Q2212" s="10">
        <v>63.59</v>
      </c>
      <c r="R2212" s="10">
        <v>63.37</v>
      </c>
      <c r="S2212" s="10">
        <v>63.22</v>
      </c>
      <c r="T2212" s="10">
        <v>63.13</v>
      </c>
      <c r="U2212" s="10">
        <v>63.06</v>
      </c>
      <c r="V2212" s="10">
        <v>63.01</v>
      </c>
      <c r="W2212" s="10">
        <v>62.96</v>
      </c>
      <c r="X2212" s="10">
        <v>62.9</v>
      </c>
      <c r="Y2212" s="10">
        <v>62.83</v>
      </c>
      <c r="Z2212" s="11">
        <v>70.328000000000003</v>
      </c>
      <c r="AA2212" s="11">
        <v>68.631</v>
      </c>
      <c r="AB2212" s="11">
        <v>67.850999999999999</v>
      </c>
      <c r="AC2212" s="11">
        <v>67.100999999999999</v>
      </c>
      <c r="AD2212" s="11">
        <v>66.623999999999995</v>
      </c>
      <c r="AE2212" s="11">
        <v>66.341999999999999</v>
      </c>
      <c r="AF2212" s="11">
        <v>66.212000000000003</v>
      </c>
      <c r="AG2212" s="11">
        <v>66.132999999999996</v>
      </c>
      <c r="AH2212" s="11">
        <v>66.093000000000004</v>
      </c>
      <c r="AI2212" s="11">
        <v>66.057000000000002</v>
      </c>
      <c r="AJ2212" s="11">
        <v>65.998000000000005</v>
      </c>
      <c r="AK2212" s="11">
        <v>65.948999999999998</v>
      </c>
      <c r="AL2212" s="11"/>
    </row>
    <row r="2213" spans="1:38" x14ac:dyDescent="0.3">
      <c r="A2213" s="9">
        <f>DATE(2025, 7, 24)</f>
        <v>45862</v>
      </c>
      <c r="B2213" s="10">
        <v>69.180000000000007</v>
      </c>
      <c r="C2213" s="10">
        <v>68.36</v>
      </c>
      <c r="D2213" s="10">
        <v>67.77</v>
      </c>
      <c r="E2213" s="10">
        <v>67.37</v>
      </c>
      <c r="F2213" s="10">
        <v>67.13</v>
      </c>
      <c r="G2213" s="10">
        <v>66.98</v>
      </c>
      <c r="H2213" s="10">
        <v>66.89</v>
      </c>
      <c r="I2213" s="10">
        <v>66.819999999999993</v>
      </c>
      <c r="J2213" s="10">
        <v>66.790000000000006</v>
      </c>
      <c r="K2213" s="10">
        <v>66.75</v>
      </c>
      <c r="L2213" s="10">
        <v>66.69</v>
      </c>
      <c r="M2213" s="10">
        <v>66.64</v>
      </c>
      <c r="N2213" s="10">
        <v>66.03</v>
      </c>
      <c r="O2213" s="10">
        <v>65.13</v>
      </c>
      <c r="P2213" s="10">
        <v>64.48</v>
      </c>
      <c r="Q2213" s="10">
        <v>64.03</v>
      </c>
      <c r="R2213" s="10">
        <v>63.76</v>
      </c>
      <c r="S2213" s="10">
        <v>63.59</v>
      </c>
      <c r="T2213" s="10">
        <v>63.49</v>
      </c>
      <c r="U2213" s="10">
        <v>63.42</v>
      </c>
      <c r="V2213" s="10">
        <v>63.38</v>
      </c>
      <c r="W2213" s="10">
        <v>63.32</v>
      </c>
      <c r="X2213" s="10">
        <v>63.24</v>
      </c>
      <c r="Y2213" s="10">
        <v>63.17</v>
      </c>
      <c r="Z2213" s="11">
        <v>70.497</v>
      </c>
      <c r="AA2213" s="11">
        <v>69.421000000000006</v>
      </c>
      <c r="AB2213" s="11">
        <v>68.432000000000002</v>
      </c>
      <c r="AC2213" s="11">
        <v>67.581000000000003</v>
      </c>
      <c r="AD2213" s="11">
        <v>67.040000000000006</v>
      </c>
      <c r="AE2213" s="11">
        <v>66.721999999999994</v>
      </c>
      <c r="AF2213" s="11">
        <v>66.585999999999999</v>
      </c>
      <c r="AG2213" s="11">
        <v>66.534999999999997</v>
      </c>
      <c r="AH2213" s="11">
        <v>66.515000000000001</v>
      </c>
      <c r="AI2213" s="11">
        <v>66.495000000000005</v>
      </c>
      <c r="AJ2213" s="11">
        <v>66.403000000000006</v>
      </c>
      <c r="AK2213" s="11">
        <v>66.317999999999998</v>
      </c>
      <c r="AL2213" s="11"/>
    </row>
    <row r="2214" spans="1:38" x14ac:dyDescent="0.3">
      <c r="A2214" s="9">
        <f>DATE(2025, 7, 25)</f>
        <v>45863</v>
      </c>
      <c r="B2214" s="10">
        <v>68.44</v>
      </c>
      <c r="C2214" s="10">
        <v>67.66</v>
      </c>
      <c r="D2214" s="10">
        <v>67.05</v>
      </c>
      <c r="E2214" s="10">
        <v>66.650000000000006</v>
      </c>
      <c r="F2214" s="10">
        <v>66.430000000000007</v>
      </c>
      <c r="G2214" s="10">
        <v>66.3</v>
      </c>
      <c r="H2214" s="10">
        <v>66.23</v>
      </c>
      <c r="I2214" s="10">
        <v>66.180000000000007</v>
      </c>
      <c r="J2214" s="10">
        <v>66.16</v>
      </c>
      <c r="K2214" s="10">
        <v>66.13</v>
      </c>
      <c r="L2214" s="10">
        <v>66.08</v>
      </c>
      <c r="M2214" s="10">
        <v>66.040000000000006</v>
      </c>
      <c r="N2214" s="10">
        <v>65.16</v>
      </c>
      <c r="O2214" s="10">
        <v>64.34</v>
      </c>
      <c r="P2214" s="10">
        <v>63.75</v>
      </c>
      <c r="Q2214" s="10">
        <v>63.32</v>
      </c>
      <c r="R2214" s="10">
        <v>63.08</v>
      </c>
      <c r="S2214" s="10">
        <v>62.92</v>
      </c>
      <c r="T2214" s="10">
        <v>62.83</v>
      </c>
      <c r="U2214" s="10">
        <v>62.78</v>
      </c>
      <c r="V2214" s="10">
        <v>62.75</v>
      </c>
      <c r="W2214" s="10">
        <v>62.72</v>
      </c>
      <c r="X2214" s="10">
        <v>62.66</v>
      </c>
      <c r="Y2214" s="10">
        <v>62.6</v>
      </c>
      <c r="Z2214" s="11">
        <v>70.405000000000001</v>
      </c>
      <c r="AA2214" s="11">
        <v>68.801000000000002</v>
      </c>
      <c r="AB2214" s="11">
        <v>67.84</v>
      </c>
      <c r="AC2214" s="11">
        <v>66.98</v>
      </c>
      <c r="AD2214" s="11">
        <v>66.438999999999993</v>
      </c>
      <c r="AE2214" s="11">
        <v>66.099000000000004</v>
      </c>
      <c r="AF2214" s="11">
        <v>65.948999999999998</v>
      </c>
      <c r="AG2214" s="11">
        <v>65.878</v>
      </c>
      <c r="AH2214" s="11">
        <v>65.847999999999999</v>
      </c>
      <c r="AI2214" s="11">
        <v>65.837999999999994</v>
      </c>
      <c r="AJ2214" s="11">
        <v>65.778000000000006</v>
      </c>
      <c r="AK2214" s="11">
        <v>65.728999999999999</v>
      </c>
      <c r="AL2214" s="11"/>
    </row>
    <row r="2215" spans="1:38" x14ac:dyDescent="0.3">
      <c r="A2215" s="9">
        <f>DATE(2025, 7, 28)</f>
        <v>45866</v>
      </c>
      <c r="B2215" s="10">
        <v>70.040000000000006</v>
      </c>
      <c r="C2215" s="10">
        <v>69.319999999999993</v>
      </c>
      <c r="D2215" s="10">
        <v>68.69</v>
      </c>
      <c r="E2215" s="10">
        <v>68.22</v>
      </c>
      <c r="F2215" s="10">
        <v>67.94</v>
      </c>
      <c r="G2215" s="10">
        <v>67.75</v>
      </c>
      <c r="H2215" s="10">
        <v>67.62</v>
      </c>
      <c r="I2215" s="10">
        <v>67.53</v>
      </c>
      <c r="J2215" s="10">
        <v>67.47</v>
      </c>
      <c r="K2215" s="10">
        <v>67.41</v>
      </c>
      <c r="L2215" s="10">
        <v>67.33</v>
      </c>
      <c r="M2215" s="10">
        <v>67.260000000000005</v>
      </c>
      <c r="N2215" s="10">
        <v>66.709999999999994</v>
      </c>
      <c r="O2215" s="10">
        <v>65.91</v>
      </c>
      <c r="P2215" s="10">
        <v>65.290000000000006</v>
      </c>
      <c r="Q2215" s="10">
        <v>64.83</v>
      </c>
      <c r="R2215" s="10">
        <v>64.53</v>
      </c>
      <c r="S2215" s="10">
        <v>64.319999999999993</v>
      </c>
      <c r="T2215" s="10">
        <v>64.180000000000007</v>
      </c>
      <c r="U2215" s="10">
        <v>64.08</v>
      </c>
      <c r="V2215" s="10">
        <v>64.03</v>
      </c>
      <c r="W2215" s="10">
        <v>63.96</v>
      </c>
      <c r="X2215" s="10">
        <v>63.87</v>
      </c>
      <c r="Y2215" s="10">
        <v>63.78</v>
      </c>
      <c r="Z2215" s="11">
        <v>70.650000000000006</v>
      </c>
      <c r="AA2215" s="11">
        <v>70.378</v>
      </c>
      <c r="AB2215" s="11">
        <v>69.358999999999995</v>
      </c>
      <c r="AC2215" s="11">
        <v>68.468999999999994</v>
      </c>
      <c r="AD2215" s="11">
        <v>67.864000000000004</v>
      </c>
      <c r="AE2215" s="11">
        <v>67.471000000000004</v>
      </c>
      <c r="AF2215" s="11">
        <v>67.275999999999996</v>
      </c>
      <c r="AG2215" s="11">
        <v>67.167000000000002</v>
      </c>
      <c r="AH2215" s="11">
        <v>67.111999999999995</v>
      </c>
      <c r="AI2215" s="11">
        <v>67.051000000000002</v>
      </c>
      <c r="AJ2215" s="11">
        <v>66.966999999999999</v>
      </c>
      <c r="AK2215" s="11">
        <v>66.897999999999996</v>
      </c>
      <c r="AL2215" s="11"/>
    </row>
    <row r="2216" spans="1:38" x14ac:dyDescent="0.3">
      <c r="A2216" s="9">
        <f>DATE(2025, 7, 29)</f>
        <v>45867</v>
      </c>
      <c r="B2216" s="10">
        <v>72.510000000000005</v>
      </c>
      <c r="C2216" s="10">
        <v>71.680000000000007</v>
      </c>
      <c r="D2216" s="10">
        <v>70.95</v>
      </c>
      <c r="E2216" s="10">
        <v>70.38</v>
      </c>
      <c r="F2216" s="10">
        <v>69.98</v>
      </c>
      <c r="G2216" s="10">
        <v>69.69</v>
      </c>
      <c r="H2216" s="10">
        <v>69.45</v>
      </c>
      <c r="I2216" s="10">
        <v>69.260000000000005</v>
      </c>
      <c r="J2216" s="10">
        <v>69.09</v>
      </c>
      <c r="K2216" s="10">
        <v>68.930000000000007</v>
      </c>
      <c r="L2216" s="10">
        <v>68.760000000000005</v>
      </c>
      <c r="M2216" s="10">
        <v>68.61</v>
      </c>
      <c r="N2216" s="10">
        <v>69.209999999999994</v>
      </c>
      <c r="O2216" s="10">
        <v>68.28</v>
      </c>
      <c r="P2216" s="10">
        <v>67.53</v>
      </c>
      <c r="Q2216" s="10">
        <v>66.959999999999994</v>
      </c>
      <c r="R2216" s="10">
        <v>66.56</v>
      </c>
      <c r="S2216" s="10">
        <v>66.239999999999995</v>
      </c>
      <c r="T2216" s="10">
        <v>66</v>
      </c>
      <c r="U2216" s="10">
        <v>65.790000000000006</v>
      </c>
      <c r="V2216" s="10">
        <v>65.62</v>
      </c>
      <c r="W2216" s="10">
        <v>65.45</v>
      </c>
      <c r="X2216" s="10">
        <v>65.27</v>
      </c>
      <c r="Y2216" s="10">
        <v>65.099999999999994</v>
      </c>
      <c r="Z2216" s="11">
        <v>70.861999999999995</v>
      </c>
      <c r="AA2216" s="11">
        <v>72.855000000000004</v>
      </c>
      <c r="AB2216" s="11">
        <v>71.751000000000005</v>
      </c>
      <c r="AC2216" s="11">
        <v>70.691000000000003</v>
      </c>
      <c r="AD2216" s="11">
        <v>69.936000000000007</v>
      </c>
      <c r="AE2216" s="11">
        <v>69.438000000000002</v>
      </c>
      <c r="AF2216" s="11">
        <v>69.132000000000005</v>
      </c>
      <c r="AG2216" s="11">
        <v>68.921999999999997</v>
      </c>
      <c r="AH2216" s="11">
        <v>68.753</v>
      </c>
      <c r="AI2216" s="11">
        <v>68.581999999999994</v>
      </c>
      <c r="AJ2216" s="11">
        <v>68.408000000000001</v>
      </c>
      <c r="AK2216" s="11">
        <v>68.260000000000005</v>
      </c>
      <c r="AL2216" s="11"/>
    </row>
    <row r="2217" spans="1:38" x14ac:dyDescent="0.3">
      <c r="A2217" s="9">
        <f>DATE(2025, 7, 30)</f>
        <v>45868</v>
      </c>
      <c r="B2217" s="10">
        <v>73.239999999999995</v>
      </c>
      <c r="C2217" s="10">
        <v>72.47</v>
      </c>
      <c r="D2217" s="10">
        <v>71.61</v>
      </c>
      <c r="E2217" s="10">
        <v>70.91</v>
      </c>
      <c r="F2217" s="10">
        <v>70.430000000000007</v>
      </c>
      <c r="G2217" s="10">
        <v>70.09</v>
      </c>
      <c r="H2217" s="10">
        <v>69.83</v>
      </c>
      <c r="I2217" s="10">
        <v>69.62</v>
      </c>
      <c r="J2217" s="10">
        <v>69.430000000000007</v>
      </c>
      <c r="K2217" s="10">
        <v>69.239999999999995</v>
      </c>
      <c r="L2217" s="10">
        <v>69.05</v>
      </c>
      <c r="M2217" s="10">
        <v>68.88</v>
      </c>
      <c r="N2217" s="10">
        <v>70</v>
      </c>
      <c r="O2217" s="10">
        <v>68.930000000000007</v>
      </c>
      <c r="P2217" s="10">
        <v>68.06</v>
      </c>
      <c r="Q2217" s="10">
        <v>67.349999999999994</v>
      </c>
      <c r="R2217" s="10">
        <v>66.849999999999994</v>
      </c>
      <c r="S2217" s="10">
        <v>66.5</v>
      </c>
      <c r="T2217" s="10">
        <v>66.239999999999995</v>
      </c>
      <c r="U2217" s="10">
        <v>66.02</v>
      </c>
      <c r="V2217" s="10">
        <v>65.81</v>
      </c>
      <c r="W2217" s="10">
        <v>65.61</v>
      </c>
      <c r="X2217" s="10">
        <v>65.400000000000006</v>
      </c>
      <c r="Y2217" s="10">
        <v>65.2</v>
      </c>
      <c r="Z2217" s="11">
        <v>70.864000000000004</v>
      </c>
      <c r="AA2217" s="11">
        <v>73.960999999999999</v>
      </c>
      <c r="AB2217" s="11">
        <v>72.557000000000002</v>
      </c>
      <c r="AC2217" s="11">
        <v>71.343000000000004</v>
      </c>
      <c r="AD2217" s="11">
        <v>70.471999999999994</v>
      </c>
      <c r="AE2217" s="11">
        <v>69.903000000000006</v>
      </c>
      <c r="AF2217" s="11">
        <v>69.572999999999993</v>
      </c>
      <c r="AG2217" s="11">
        <v>69.334000000000003</v>
      </c>
      <c r="AH2217" s="11">
        <v>69.135000000000005</v>
      </c>
      <c r="AI2217" s="11">
        <v>68.936000000000007</v>
      </c>
      <c r="AJ2217" s="11">
        <v>68.742000000000004</v>
      </c>
      <c r="AK2217" s="11">
        <v>68.572999999999993</v>
      </c>
      <c r="AL2217" s="11"/>
    </row>
    <row r="2218" spans="1:38" x14ac:dyDescent="0.3">
      <c r="A2218" s="9">
        <f>DATE(2025, 7, 31)</f>
        <v>45869</v>
      </c>
      <c r="B2218" s="10">
        <v>72.53</v>
      </c>
      <c r="C2218" s="10">
        <v>71.7</v>
      </c>
      <c r="D2218" s="10">
        <v>70.8</v>
      </c>
      <c r="E2218" s="10">
        <v>70.09</v>
      </c>
      <c r="F2218" s="10">
        <v>69.62</v>
      </c>
      <c r="G2218" s="10">
        <v>69.290000000000006</v>
      </c>
      <c r="H2218" s="10">
        <v>69.05</v>
      </c>
      <c r="I2218" s="10">
        <v>68.86</v>
      </c>
      <c r="J2218" s="10">
        <v>68.69</v>
      </c>
      <c r="K2218" s="10">
        <v>68.53</v>
      </c>
      <c r="L2218" s="10">
        <v>68.36</v>
      </c>
      <c r="M2218" s="10">
        <v>68.2</v>
      </c>
      <c r="N2218" s="10">
        <v>69.260000000000005</v>
      </c>
      <c r="O2218" s="10">
        <v>68.2</v>
      </c>
      <c r="P2218" s="10">
        <v>67.319999999999993</v>
      </c>
      <c r="Q2218" s="10">
        <v>66.599999999999994</v>
      </c>
      <c r="R2218" s="10">
        <v>66.11</v>
      </c>
      <c r="S2218" s="10">
        <v>65.77</v>
      </c>
      <c r="T2218" s="10">
        <v>65.53</v>
      </c>
      <c r="U2218" s="10">
        <v>65.33</v>
      </c>
      <c r="V2218" s="10">
        <v>65.14</v>
      </c>
      <c r="W2218" s="10">
        <v>64.95</v>
      </c>
      <c r="X2218" s="10">
        <v>64.760000000000005</v>
      </c>
      <c r="Y2218" s="10">
        <v>64.58</v>
      </c>
      <c r="Z2218" s="11">
        <v>70.866</v>
      </c>
      <c r="AA2218" s="11">
        <v>73.206999999999994</v>
      </c>
      <c r="AB2218" s="11">
        <v>71.718000000000004</v>
      </c>
      <c r="AC2218" s="11">
        <v>70.518000000000001</v>
      </c>
      <c r="AD2218" s="11">
        <v>69.674000000000007</v>
      </c>
      <c r="AE2218" s="11">
        <v>69.125</v>
      </c>
      <c r="AF2218" s="11">
        <v>68.798000000000002</v>
      </c>
      <c r="AG2218" s="11">
        <v>68.56</v>
      </c>
      <c r="AH2218" s="11">
        <v>68.373000000000005</v>
      </c>
      <c r="AI2218" s="11">
        <v>68.206999999999994</v>
      </c>
      <c r="AJ2218" s="11">
        <v>68.031999999999996</v>
      </c>
      <c r="AK2218" s="11">
        <v>67.873999999999995</v>
      </c>
      <c r="AL2218" s="11"/>
    </row>
    <row r="2219" spans="1:38" x14ac:dyDescent="0.3">
      <c r="A2219" s="9">
        <f>DATE(2025, 8, 1)</f>
        <v>45870</v>
      </c>
      <c r="B2219" s="10">
        <v>69.67</v>
      </c>
      <c r="C2219" s="10">
        <v>68.760000000000005</v>
      </c>
      <c r="D2219" s="10">
        <v>68.040000000000006</v>
      </c>
      <c r="E2219" s="10">
        <v>67.58</v>
      </c>
      <c r="F2219" s="10">
        <v>67.290000000000006</v>
      </c>
      <c r="G2219" s="10">
        <v>67.09</v>
      </c>
      <c r="H2219" s="10">
        <v>66.930000000000007</v>
      </c>
      <c r="I2219" s="10">
        <v>66.8</v>
      </c>
      <c r="J2219" s="10">
        <v>66.680000000000007</v>
      </c>
      <c r="K2219" s="10">
        <v>66.56</v>
      </c>
      <c r="L2219" s="10">
        <v>66.45</v>
      </c>
      <c r="M2219" s="10">
        <v>66.349999999999994</v>
      </c>
      <c r="N2219" s="10">
        <v>67.33</v>
      </c>
      <c r="O2219" s="10">
        <v>66.2</v>
      </c>
      <c r="P2219" s="10">
        <v>65.28</v>
      </c>
      <c r="Q2219" s="10">
        <v>64.569999999999993</v>
      </c>
      <c r="R2219" s="10">
        <v>64.099999999999994</v>
      </c>
      <c r="S2219" s="10">
        <v>63.79</v>
      </c>
      <c r="T2219" s="10">
        <v>63.58</v>
      </c>
      <c r="U2219" s="10">
        <v>63.41</v>
      </c>
      <c r="V2219" s="10">
        <v>63.27</v>
      </c>
      <c r="W2219" s="10">
        <v>63.13</v>
      </c>
      <c r="X2219" s="10">
        <v>62.98</v>
      </c>
      <c r="Y2219" s="10">
        <v>62.85</v>
      </c>
      <c r="Z2219" s="11">
        <v>70.866</v>
      </c>
      <c r="AA2219" s="11">
        <v>71.358999999999995</v>
      </c>
      <c r="AB2219" s="11">
        <v>69.698999999999998</v>
      </c>
      <c r="AC2219" s="11">
        <v>68.462000000000003</v>
      </c>
      <c r="AD2219" s="11">
        <v>67.632000000000005</v>
      </c>
      <c r="AE2219" s="11">
        <v>67.122</v>
      </c>
      <c r="AF2219" s="11">
        <v>66.831999999999994</v>
      </c>
      <c r="AG2219" s="11">
        <v>66.614000000000004</v>
      </c>
      <c r="AH2219" s="11">
        <v>66.454999999999998</v>
      </c>
      <c r="AI2219" s="11">
        <v>66.334000000000003</v>
      </c>
      <c r="AJ2219" s="11">
        <v>66.215000000000003</v>
      </c>
      <c r="AK2219" s="11">
        <v>66.105000000000004</v>
      </c>
      <c r="AL2219" s="11"/>
    </row>
    <row r="2220" spans="1:38" x14ac:dyDescent="0.3">
      <c r="A2220" s="9">
        <f>DATE(2025, 8, 4)</f>
        <v>45873</v>
      </c>
      <c r="B2220" s="10">
        <v>68.760000000000005</v>
      </c>
      <c r="C2220" s="10">
        <v>68.010000000000005</v>
      </c>
      <c r="D2220" s="10">
        <v>67.45</v>
      </c>
      <c r="E2220" s="10">
        <v>67.099999999999994</v>
      </c>
      <c r="F2220" s="10">
        <v>66.87</v>
      </c>
      <c r="G2220" s="10">
        <v>66.73</v>
      </c>
      <c r="H2220" s="10">
        <v>66.61</v>
      </c>
      <c r="I2220" s="10">
        <v>66.510000000000005</v>
      </c>
      <c r="J2220" s="10">
        <v>66.400000000000006</v>
      </c>
      <c r="K2220" s="10">
        <v>66.290000000000006</v>
      </c>
      <c r="L2220" s="10">
        <v>66.19</v>
      </c>
      <c r="M2220" s="10">
        <v>66.099999999999994</v>
      </c>
      <c r="N2220" s="10">
        <v>66.290000000000006</v>
      </c>
      <c r="O2220" s="10">
        <v>65.3</v>
      </c>
      <c r="P2220" s="10">
        <v>64.55</v>
      </c>
      <c r="Q2220" s="10">
        <v>63.99</v>
      </c>
      <c r="R2220" s="10">
        <v>63.63</v>
      </c>
      <c r="S2220" s="10">
        <v>63.4</v>
      </c>
      <c r="T2220" s="10">
        <v>63.25</v>
      </c>
      <c r="U2220" s="10">
        <v>63.12</v>
      </c>
      <c r="V2220" s="10">
        <v>63.01</v>
      </c>
      <c r="W2220" s="10">
        <v>62.88</v>
      </c>
      <c r="X2220" s="10">
        <v>62.75</v>
      </c>
      <c r="Y2220" s="10">
        <v>62.62</v>
      </c>
      <c r="Z2220" s="11">
        <v>70.608999999999995</v>
      </c>
      <c r="AA2220" s="11">
        <v>68.814999999999998</v>
      </c>
      <c r="AB2220" s="11">
        <v>67.775000000000006</v>
      </c>
      <c r="AC2220" s="11">
        <v>67.058999999999997</v>
      </c>
      <c r="AD2220" s="11">
        <v>66.626999999999995</v>
      </c>
      <c r="AE2220" s="11">
        <v>66.394999999999996</v>
      </c>
      <c r="AF2220" s="11">
        <v>66.224999999999994</v>
      </c>
      <c r="AG2220" s="11">
        <v>66.105000000000004</v>
      </c>
      <c r="AH2220" s="11">
        <v>65.984999999999999</v>
      </c>
      <c r="AI2220" s="11">
        <v>65.875</v>
      </c>
      <c r="AJ2220" s="11">
        <v>65.775999999999996</v>
      </c>
      <c r="AK2220" s="11">
        <v>65.716999999999999</v>
      </c>
      <c r="AL2220" s="11"/>
    </row>
    <row r="2221" spans="1:38" x14ac:dyDescent="0.3">
      <c r="A2221" s="9">
        <f>DATE(2025, 8, 5)</f>
        <v>45874</v>
      </c>
      <c r="B2221" s="10">
        <v>67.64</v>
      </c>
      <c r="C2221" s="10">
        <v>66.97</v>
      </c>
      <c r="D2221" s="10">
        <v>66.489999999999995</v>
      </c>
      <c r="E2221" s="10">
        <v>66.19</v>
      </c>
      <c r="F2221" s="10">
        <v>66.010000000000005</v>
      </c>
      <c r="G2221" s="10">
        <v>65.900000000000006</v>
      </c>
      <c r="H2221" s="10">
        <v>65.81</v>
      </c>
      <c r="I2221" s="10">
        <v>65.73</v>
      </c>
      <c r="J2221" s="10">
        <v>65.650000000000006</v>
      </c>
      <c r="K2221" s="10">
        <v>65.56</v>
      </c>
      <c r="L2221" s="10">
        <v>65.47</v>
      </c>
      <c r="M2221" s="10">
        <v>65.400000000000006</v>
      </c>
      <c r="N2221" s="10">
        <v>65.16</v>
      </c>
      <c r="O2221" s="10">
        <v>64.2</v>
      </c>
      <c r="P2221" s="10">
        <v>63.52</v>
      </c>
      <c r="Q2221" s="10">
        <v>63.02</v>
      </c>
      <c r="R2221" s="10">
        <v>62.73</v>
      </c>
      <c r="S2221" s="10">
        <v>62.54</v>
      </c>
      <c r="T2221" s="10">
        <v>62.42</v>
      </c>
      <c r="U2221" s="10">
        <v>62.32</v>
      </c>
      <c r="V2221" s="10">
        <v>62.23</v>
      </c>
      <c r="W2221" s="10">
        <v>62.14</v>
      </c>
      <c r="X2221" s="10">
        <v>62.04</v>
      </c>
      <c r="Y2221" s="10">
        <v>61.94</v>
      </c>
      <c r="Z2221" s="11">
        <v>69.596000000000004</v>
      </c>
      <c r="AA2221" s="11">
        <v>67.587999999999994</v>
      </c>
      <c r="AB2221" s="11">
        <v>66.747</v>
      </c>
      <c r="AC2221" s="11">
        <v>66.105999999999995</v>
      </c>
      <c r="AD2221" s="11">
        <v>65.73</v>
      </c>
      <c r="AE2221" s="11">
        <v>65.539000000000001</v>
      </c>
      <c r="AF2221" s="11">
        <v>65.409000000000006</v>
      </c>
      <c r="AG2221" s="11">
        <v>65.308999999999997</v>
      </c>
      <c r="AH2221" s="11">
        <v>65.218000000000004</v>
      </c>
      <c r="AI2221" s="11">
        <v>65.126000000000005</v>
      </c>
      <c r="AJ2221" s="11">
        <v>65.034000000000006</v>
      </c>
      <c r="AK2221" s="11">
        <v>65.003</v>
      </c>
      <c r="AL2221" s="11"/>
    </row>
    <row r="2222" spans="1:38" x14ac:dyDescent="0.3">
      <c r="A2222" s="9">
        <f>DATE(2025, 8, 6)</f>
        <v>45875</v>
      </c>
      <c r="B2222" s="10">
        <v>66.89</v>
      </c>
      <c r="C2222" s="10">
        <v>66.27</v>
      </c>
      <c r="D2222" s="10">
        <v>65.819999999999993</v>
      </c>
      <c r="E2222" s="10">
        <v>65.55</v>
      </c>
      <c r="F2222" s="10">
        <v>65.39</v>
      </c>
      <c r="G2222" s="10">
        <v>65.3</v>
      </c>
      <c r="H2222" s="10">
        <v>65.23</v>
      </c>
      <c r="I2222" s="10">
        <v>65.17</v>
      </c>
      <c r="J2222" s="10">
        <v>65.099999999999994</v>
      </c>
      <c r="K2222" s="10">
        <v>65.02</v>
      </c>
      <c r="L2222" s="10">
        <v>64.94</v>
      </c>
      <c r="M2222" s="10">
        <v>64.88</v>
      </c>
      <c r="N2222" s="10">
        <v>64.349999999999994</v>
      </c>
      <c r="O2222" s="10">
        <v>63.41</v>
      </c>
      <c r="P2222" s="10">
        <v>62.79</v>
      </c>
      <c r="Q2222" s="10">
        <v>62.34</v>
      </c>
      <c r="R2222" s="10">
        <v>62.08</v>
      </c>
      <c r="S2222" s="10">
        <v>61.93</v>
      </c>
      <c r="T2222" s="10">
        <v>61.84</v>
      </c>
      <c r="U2222" s="10">
        <v>61.76</v>
      </c>
      <c r="V2222" s="10">
        <v>61.69</v>
      </c>
      <c r="W2222" s="10">
        <v>61.61</v>
      </c>
      <c r="X2222" s="10">
        <v>61.52</v>
      </c>
      <c r="Y2222" s="10">
        <v>61.43</v>
      </c>
      <c r="Z2222" s="11">
        <v>69.367999999999995</v>
      </c>
      <c r="AA2222" s="11">
        <v>67.16</v>
      </c>
      <c r="AB2222" s="11">
        <v>66.230999999999995</v>
      </c>
      <c r="AC2222" s="11">
        <v>65.56</v>
      </c>
      <c r="AD2222" s="11">
        <v>65.177000000000007</v>
      </c>
      <c r="AE2222" s="11">
        <v>64.986999999999995</v>
      </c>
      <c r="AF2222" s="11">
        <v>64.855999999999995</v>
      </c>
      <c r="AG2222" s="11">
        <v>64.754999999999995</v>
      </c>
      <c r="AH2222" s="11">
        <v>64.674000000000007</v>
      </c>
      <c r="AI2222" s="11">
        <v>64.590999999999994</v>
      </c>
      <c r="AJ2222" s="11">
        <v>64.507000000000005</v>
      </c>
      <c r="AK2222" s="11">
        <v>64.447999999999993</v>
      </c>
      <c r="AL2222" s="11"/>
    </row>
    <row r="2223" spans="1:38" x14ac:dyDescent="0.3">
      <c r="A2223" s="9">
        <f>DATE(2025, 8, 7)</f>
        <v>45876</v>
      </c>
      <c r="B2223" s="10">
        <v>66.430000000000007</v>
      </c>
      <c r="C2223" s="10">
        <v>65.900000000000006</v>
      </c>
      <c r="D2223" s="10">
        <v>65.53</v>
      </c>
      <c r="E2223" s="10">
        <v>65.319999999999993</v>
      </c>
      <c r="F2223" s="10">
        <v>65.209999999999994</v>
      </c>
      <c r="G2223" s="10">
        <v>65.150000000000006</v>
      </c>
      <c r="H2223" s="10">
        <v>65.099999999999994</v>
      </c>
      <c r="I2223" s="10">
        <v>65.05</v>
      </c>
      <c r="J2223" s="10">
        <v>65</v>
      </c>
      <c r="K2223" s="10">
        <v>64.94</v>
      </c>
      <c r="L2223" s="10">
        <v>64.88</v>
      </c>
      <c r="M2223" s="10">
        <v>64.84</v>
      </c>
      <c r="N2223" s="10">
        <v>63.88</v>
      </c>
      <c r="O2223" s="10">
        <v>63.04</v>
      </c>
      <c r="P2223" s="10">
        <v>62.5</v>
      </c>
      <c r="Q2223" s="10">
        <v>62.13</v>
      </c>
      <c r="R2223" s="10">
        <v>61.94</v>
      </c>
      <c r="S2223" s="10">
        <v>61.82</v>
      </c>
      <c r="T2223" s="10">
        <v>61.74</v>
      </c>
      <c r="U2223" s="10">
        <v>61.68</v>
      </c>
      <c r="V2223" s="10">
        <v>61.62</v>
      </c>
      <c r="W2223" s="10">
        <v>61.56</v>
      </c>
      <c r="X2223" s="10">
        <v>61.49</v>
      </c>
      <c r="Y2223" s="10">
        <v>61.42</v>
      </c>
      <c r="Z2223" s="11">
        <v>69.138999999999996</v>
      </c>
      <c r="AA2223" s="11">
        <v>66.863</v>
      </c>
      <c r="AB2223" s="11">
        <v>66.055999999999997</v>
      </c>
      <c r="AC2223" s="11">
        <v>65.405000000000001</v>
      </c>
      <c r="AD2223" s="11">
        <v>65.045000000000002</v>
      </c>
      <c r="AE2223" s="11">
        <v>64.881</v>
      </c>
      <c r="AF2223" s="11">
        <v>64.757999999999996</v>
      </c>
      <c r="AG2223" s="11">
        <v>64.658000000000001</v>
      </c>
      <c r="AH2223" s="11">
        <v>64.587000000000003</v>
      </c>
      <c r="AI2223" s="11">
        <v>64.531999999999996</v>
      </c>
      <c r="AJ2223" s="11">
        <v>64.468000000000004</v>
      </c>
      <c r="AK2223" s="11">
        <v>64.429000000000002</v>
      </c>
      <c r="AL2223" s="11"/>
    </row>
    <row r="2224" spans="1:38" x14ac:dyDescent="0.3">
      <c r="A2224" s="9">
        <f>DATE(2025, 8, 8)</f>
        <v>45877</v>
      </c>
      <c r="B2224" s="10">
        <v>66.59</v>
      </c>
      <c r="C2224" s="10">
        <v>65.92</v>
      </c>
      <c r="D2224" s="10">
        <v>65.489999999999995</v>
      </c>
      <c r="E2224" s="10">
        <v>65.27</v>
      </c>
      <c r="F2224" s="10">
        <v>65.150000000000006</v>
      </c>
      <c r="G2224" s="10">
        <v>65.08</v>
      </c>
      <c r="H2224" s="10">
        <v>65.02</v>
      </c>
      <c r="I2224" s="10">
        <v>64.97</v>
      </c>
      <c r="J2224" s="10">
        <v>64.92</v>
      </c>
      <c r="K2224" s="10">
        <v>64.86</v>
      </c>
      <c r="L2224" s="10">
        <v>64.8</v>
      </c>
      <c r="M2224" s="10">
        <v>64.75</v>
      </c>
      <c r="N2224" s="10">
        <v>63.88</v>
      </c>
      <c r="O2224" s="10">
        <v>63</v>
      </c>
      <c r="P2224" s="10">
        <v>62.39</v>
      </c>
      <c r="Q2224" s="10">
        <v>62</v>
      </c>
      <c r="R2224" s="10">
        <v>61.79</v>
      </c>
      <c r="S2224" s="10">
        <v>61.68</v>
      </c>
      <c r="T2224" s="10">
        <v>61.61</v>
      </c>
      <c r="U2224" s="10">
        <v>61.55</v>
      </c>
      <c r="V2224" s="10">
        <v>61.49</v>
      </c>
      <c r="W2224" s="10">
        <v>61.42</v>
      </c>
      <c r="X2224" s="10">
        <v>61.33</v>
      </c>
      <c r="Y2224" s="10">
        <v>61.25</v>
      </c>
      <c r="Z2224" s="11">
        <v>68.948999999999998</v>
      </c>
      <c r="AA2224" s="11">
        <v>66.602999999999994</v>
      </c>
      <c r="AB2224" s="11">
        <v>65.875</v>
      </c>
      <c r="AC2224" s="11">
        <v>65.234999999999999</v>
      </c>
      <c r="AD2224" s="11">
        <v>64.887</v>
      </c>
      <c r="AE2224" s="11">
        <v>64.716999999999999</v>
      </c>
      <c r="AF2224" s="11">
        <v>64.587999999999994</v>
      </c>
      <c r="AG2224" s="11">
        <v>64.497</v>
      </c>
      <c r="AH2224" s="11">
        <v>64.415999999999997</v>
      </c>
      <c r="AI2224" s="11">
        <v>64.366</v>
      </c>
      <c r="AJ2224" s="11">
        <v>64.308000000000007</v>
      </c>
      <c r="AK2224" s="11">
        <v>64.269000000000005</v>
      </c>
      <c r="AL2224" s="11"/>
    </row>
    <row r="2225" spans="1:38" x14ac:dyDescent="0.3">
      <c r="A2225" s="9">
        <f>DATE(2025, 8, 11)</f>
        <v>45880</v>
      </c>
      <c r="B2225" s="10">
        <v>66.63</v>
      </c>
      <c r="C2225" s="10">
        <v>66.06</v>
      </c>
      <c r="D2225" s="10">
        <v>65.69</v>
      </c>
      <c r="E2225" s="10">
        <v>65.5</v>
      </c>
      <c r="F2225" s="10">
        <v>65.400000000000006</v>
      </c>
      <c r="G2225" s="10">
        <v>65.34</v>
      </c>
      <c r="H2225" s="10">
        <v>65.290000000000006</v>
      </c>
      <c r="I2225" s="10">
        <v>65.25</v>
      </c>
      <c r="J2225" s="10">
        <v>65.2</v>
      </c>
      <c r="K2225" s="10">
        <v>65.14</v>
      </c>
      <c r="L2225" s="10">
        <v>65.09</v>
      </c>
      <c r="M2225" s="10">
        <v>65.040000000000006</v>
      </c>
      <c r="N2225" s="10">
        <v>63.96</v>
      </c>
      <c r="O2225" s="10">
        <v>63.09</v>
      </c>
      <c r="P2225" s="10">
        <v>62.51</v>
      </c>
      <c r="Q2225" s="10">
        <v>62.15</v>
      </c>
      <c r="R2225" s="10">
        <v>61.98</v>
      </c>
      <c r="S2225" s="10">
        <v>61.89</v>
      </c>
      <c r="T2225" s="10">
        <v>61.83</v>
      </c>
      <c r="U2225" s="10">
        <v>61.79</v>
      </c>
      <c r="V2225" s="10">
        <v>61.74</v>
      </c>
      <c r="W2225" s="10">
        <v>61.68</v>
      </c>
      <c r="X2225" s="10">
        <v>61.61</v>
      </c>
      <c r="Y2225" s="10">
        <v>61.53</v>
      </c>
      <c r="Z2225" s="11">
        <v>69.055999999999997</v>
      </c>
      <c r="AA2225" s="11">
        <v>66.882999999999996</v>
      </c>
      <c r="AB2225" s="11">
        <v>66.162000000000006</v>
      </c>
      <c r="AC2225" s="11">
        <v>65.542000000000002</v>
      </c>
      <c r="AD2225" s="11">
        <v>65.191999999999993</v>
      </c>
      <c r="AE2225" s="11">
        <v>65.022000000000006</v>
      </c>
      <c r="AF2225" s="11">
        <v>64.902000000000001</v>
      </c>
      <c r="AG2225" s="11">
        <v>64.811999999999998</v>
      </c>
      <c r="AH2225" s="11">
        <v>64.747</v>
      </c>
      <c r="AI2225" s="11">
        <v>64.692999999999998</v>
      </c>
      <c r="AJ2225" s="11">
        <v>64.647999999999996</v>
      </c>
      <c r="AK2225" s="11">
        <v>64.597999999999999</v>
      </c>
      <c r="AL2225" s="11"/>
    </row>
    <row r="2226" spans="1:38" x14ac:dyDescent="0.3">
      <c r="A2226" s="9">
        <f>DATE(2025, 8, 12)</f>
        <v>45881</v>
      </c>
      <c r="B2226" s="10">
        <v>66.12</v>
      </c>
      <c r="C2226" s="10">
        <v>65.62</v>
      </c>
      <c r="D2226" s="10">
        <v>65.28</v>
      </c>
      <c r="E2226" s="10">
        <v>65.11</v>
      </c>
      <c r="F2226" s="10">
        <v>65.03</v>
      </c>
      <c r="G2226" s="10">
        <v>64.989999999999995</v>
      </c>
      <c r="H2226" s="10">
        <v>64.959999999999994</v>
      </c>
      <c r="I2226" s="10">
        <v>64.94</v>
      </c>
      <c r="J2226" s="10">
        <v>64.92</v>
      </c>
      <c r="K2226" s="10">
        <v>64.88</v>
      </c>
      <c r="L2226" s="10">
        <v>64.84</v>
      </c>
      <c r="M2226" s="10">
        <v>64.81</v>
      </c>
      <c r="N2226" s="10">
        <v>63.17</v>
      </c>
      <c r="O2226" s="10">
        <v>62.48</v>
      </c>
      <c r="P2226" s="10">
        <v>62.01</v>
      </c>
      <c r="Q2226" s="10">
        <v>61.7</v>
      </c>
      <c r="R2226" s="10">
        <v>61.56</v>
      </c>
      <c r="S2226" s="10">
        <v>61.49</v>
      </c>
      <c r="T2226" s="10">
        <v>61.45</v>
      </c>
      <c r="U2226" s="10">
        <v>61.43</v>
      </c>
      <c r="V2226" s="10">
        <v>61.41</v>
      </c>
      <c r="W2226" s="10">
        <v>61.38</v>
      </c>
      <c r="X2226" s="10">
        <v>61.35</v>
      </c>
      <c r="Y2226" s="10">
        <v>61.3</v>
      </c>
      <c r="Z2226" s="11">
        <v>68.67</v>
      </c>
      <c r="AA2226" s="11">
        <v>66.355000000000004</v>
      </c>
      <c r="AB2226" s="11">
        <v>65.662999999999997</v>
      </c>
      <c r="AC2226" s="11">
        <v>65.082999999999998</v>
      </c>
      <c r="AD2226" s="11">
        <v>64.763000000000005</v>
      </c>
      <c r="AE2226" s="11">
        <v>64.619</v>
      </c>
      <c r="AF2226" s="11">
        <v>64.519000000000005</v>
      </c>
      <c r="AG2226" s="11">
        <v>64.459000000000003</v>
      </c>
      <c r="AH2226" s="11">
        <v>64.427999999999997</v>
      </c>
      <c r="AI2226" s="11">
        <v>64.378</v>
      </c>
      <c r="AJ2226" s="11">
        <v>64.328999999999994</v>
      </c>
      <c r="AK2226" s="11">
        <v>64.299000000000007</v>
      </c>
      <c r="AL2226" s="11"/>
    </row>
    <row r="2227" spans="1:38" x14ac:dyDescent="0.3">
      <c r="A2227" s="9">
        <f>DATE(2025, 8, 13)</f>
        <v>45882</v>
      </c>
      <c r="B2227" s="10">
        <v>65.63</v>
      </c>
      <c r="C2227" s="10">
        <v>65.150000000000006</v>
      </c>
      <c r="D2227" s="10">
        <v>64.819999999999993</v>
      </c>
      <c r="E2227" s="10">
        <v>64.66</v>
      </c>
      <c r="F2227" s="10">
        <v>64.599999999999994</v>
      </c>
      <c r="G2227" s="10">
        <v>64.58</v>
      </c>
      <c r="H2227" s="10">
        <v>64.58</v>
      </c>
      <c r="I2227" s="10">
        <v>64.59</v>
      </c>
      <c r="J2227" s="10">
        <v>64.599999999999994</v>
      </c>
      <c r="K2227" s="10">
        <v>64.59</v>
      </c>
      <c r="L2227" s="10">
        <v>64.58</v>
      </c>
      <c r="M2227" s="10">
        <v>64.56</v>
      </c>
      <c r="N2227" s="10">
        <v>62.65</v>
      </c>
      <c r="O2227" s="10">
        <v>61.93</v>
      </c>
      <c r="P2227" s="10">
        <v>61.47</v>
      </c>
      <c r="Q2227" s="10">
        <v>61.18</v>
      </c>
      <c r="R2227" s="10">
        <v>61.05</v>
      </c>
      <c r="S2227" s="10">
        <v>61.01</v>
      </c>
      <c r="T2227" s="10">
        <v>61.01</v>
      </c>
      <c r="U2227" s="10">
        <v>61.02</v>
      </c>
      <c r="V2227" s="10">
        <v>61.03</v>
      </c>
      <c r="W2227" s="10">
        <v>61.03</v>
      </c>
      <c r="X2227" s="10">
        <v>61.01</v>
      </c>
      <c r="Y2227" s="10">
        <v>60.98</v>
      </c>
      <c r="Z2227" s="11">
        <v>68.355999999999995</v>
      </c>
      <c r="AA2227" s="11">
        <v>65.894999999999996</v>
      </c>
      <c r="AB2227" s="11">
        <v>65.204999999999998</v>
      </c>
      <c r="AC2227" s="11">
        <v>64.665000000000006</v>
      </c>
      <c r="AD2227" s="11">
        <v>64.376000000000005</v>
      </c>
      <c r="AE2227" s="11">
        <v>64.260000000000005</v>
      </c>
      <c r="AF2227" s="11">
        <v>64.191000000000003</v>
      </c>
      <c r="AG2227" s="11">
        <v>64.16</v>
      </c>
      <c r="AH2227" s="11">
        <v>64.150000000000006</v>
      </c>
      <c r="AI2227" s="11">
        <v>64.13</v>
      </c>
      <c r="AJ2227" s="11">
        <v>64.108999999999995</v>
      </c>
      <c r="AK2227" s="11">
        <v>64.08</v>
      </c>
      <c r="AL2227" s="11"/>
    </row>
    <row r="2228" spans="1:38" x14ac:dyDescent="0.3">
      <c r="A2228" s="9">
        <f>DATE(2025, 8, 14)</f>
        <v>45883</v>
      </c>
      <c r="B2228" s="10">
        <v>66.84</v>
      </c>
      <c r="C2228" s="10">
        <v>66.16</v>
      </c>
      <c r="D2228" s="10">
        <v>65.69</v>
      </c>
      <c r="E2228" s="10">
        <v>65.430000000000007</v>
      </c>
      <c r="F2228" s="10">
        <v>65.290000000000006</v>
      </c>
      <c r="G2228" s="10">
        <v>65.209999999999994</v>
      </c>
      <c r="H2228" s="10">
        <v>65.17</v>
      </c>
      <c r="I2228" s="10">
        <v>65.150000000000006</v>
      </c>
      <c r="J2228" s="10">
        <v>65.13</v>
      </c>
      <c r="K2228" s="10">
        <v>65.099999999999994</v>
      </c>
      <c r="L2228" s="10">
        <v>65.069999999999993</v>
      </c>
      <c r="M2228" s="10">
        <v>65.040000000000006</v>
      </c>
      <c r="N2228" s="10">
        <v>63.96</v>
      </c>
      <c r="O2228" s="10">
        <v>63.03</v>
      </c>
      <c r="P2228" s="10">
        <v>62.42</v>
      </c>
      <c r="Q2228" s="10">
        <v>62.01</v>
      </c>
      <c r="R2228" s="10">
        <v>61.79</v>
      </c>
      <c r="S2228" s="10">
        <v>61.67</v>
      </c>
      <c r="T2228" s="10">
        <v>61.62</v>
      </c>
      <c r="U2228" s="10">
        <v>61.6</v>
      </c>
      <c r="V2228" s="10">
        <v>61.59</v>
      </c>
      <c r="W2228" s="10">
        <v>61.57</v>
      </c>
      <c r="X2228" s="10">
        <v>61.53</v>
      </c>
      <c r="Y2228" s="10">
        <v>61.49</v>
      </c>
      <c r="Z2228" s="11">
        <v>69.055999999999997</v>
      </c>
      <c r="AA2228" s="11">
        <v>67.179000000000002</v>
      </c>
      <c r="AB2228" s="11">
        <v>66.263999999999996</v>
      </c>
      <c r="AC2228" s="11">
        <v>65.542000000000002</v>
      </c>
      <c r="AD2228" s="11">
        <v>65.153000000000006</v>
      </c>
      <c r="AE2228" s="11">
        <v>64.947999999999993</v>
      </c>
      <c r="AF2228" s="11">
        <v>64.808999999999997</v>
      </c>
      <c r="AG2228" s="11">
        <v>64.728999999999999</v>
      </c>
      <c r="AH2228" s="11">
        <v>64.682000000000002</v>
      </c>
      <c r="AI2228" s="11">
        <v>64.641999999999996</v>
      </c>
      <c r="AJ2228" s="11">
        <v>64.602000000000004</v>
      </c>
      <c r="AK2228" s="11">
        <v>64.563000000000002</v>
      </c>
      <c r="AL2228" s="11"/>
    </row>
    <row r="2229" spans="1:38" x14ac:dyDescent="0.3">
      <c r="A2229" s="9">
        <f>DATE(2025, 8, 15)</f>
        <v>45884</v>
      </c>
      <c r="B2229" s="10">
        <v>65.849999999999994</v>
      </c>
      <c r="C2229" s="10">
        <v>65.3</v>
      </c>
      <c r="D2229" s="10">
        <v>64.91</v>
      </c>
      <c r="E2229" s="10">
        <v>64.7</v>
      </c>
      <c r="F2229" s="10">
        <v>64.599999999999994</v>
      </c>
      <c r="G2229" s="10">
        <v>64.56</v>
      </c>
      <c r="H2229" s="10">
        <v>64.55</v>
      </c>
      <c r="I2229" s="10">
        <v>64.56</v>
      </c>
      <c r="J2229" s="10">
        <v>64.58</v>
      </c>
      <c r="K2229" s="10">
        <v>64.58</v>
      </c>
      <c r="L2229" s="10">
        <v>64.58</v>
      </c>
      <c r="M2229" s="10">
        <v>64.58</v>
      </c>
      <c r="N2229" s="10">
        <v>62.8</v>
      </c>
      <c r="O2229" s="10">
        <v>61.98</v>
      </c>
      <c r="P2229" s="10">
        <v>61.47</v>
      </c>
      <c r="Q2229" s="10">
        <v>61.15</v>
      </c>
      <c r="R2229" s="10">
        <v>61</v>
      </c>
      <c r="S2229" s="10">
        <v>60.93</v>
      </c>
      <c r="T2229" s="10">
        <v>60.93</v>
      </c>
      <c r="U2229" s="10">
        <v>60.94</v>
      </c>
      <c r="V2229" s="10">
        <v>60.97</v>
      </c>
      <c r="W2229" s="10">
        <v>60.98</v>
      </c>
      <c r="X2229" s="10">
        <v>60.97</v>
      </c>
      <c r="Y2229" s="10">
        <v>60.96</v>
      </c>
      <c r="Z2229" s="11">
        <v>68.566999999999993</v>
      </c>
      <c r="AA2229" s="11">
        <v>66.367000000000004</v>
      </c>
      <c r="AB2229" s="11">
        <v>65.516000000000005</v>
      </c>
      <c r="AC2229" s="11">
        <v>64.84</v>
      </c>
      <c r="AD2229" s="11">
        <v>64.475999999999999</v>
      </c>
      <c r="AE2229" s="11">
        <v>64.31</v>
      </c>
      <c r="AF2229" s="11">
        <v>64.198999999999998</v>
      </c>
      <c r="AG2229" s="11">
        <v>64.138000000000005</v>
      </c>
      <c r="AH2229" s="11">
        <v>64.128</v>
      </c>
      <c r="AI2229" s="11">
        <v>64.117999999999995</v>
      </c>
      <c r="AJ2229" s="11">
        <v>64.108000000000004</v>
      </c>
      <c r="AK2229" s="11">
        <v>64.097999999999999</v>
      </c>
      <c r="AL2229" s="11"/>
    </row>
    <row r="2230" spans="1:38" x14ac:dyDescent="0.3">
      <c r="A2230" s="9">
        <f>DATE(2025, 8, 18)</f>
        <v>45887</v>
      </c>
      <c r="B2230" s="10">
        <v>66.599999999999994</v>
      </c>
      <c r="C2230" s="10">
        <v>66.010000000000005</v>
      </c>
      <c r="D2230" s="10">
        <v>65.569999999999993</v>
      </c>
      <c r="E2230" s="10">
        <v>65.33</v>
      </c>
      <c r="F2230" s="10">
        <v>65.19</v>
      </c>
      <c r="G2230" s="10">
        <v>65.13</v>
      </c>
      <c r="H2230" s="10">
        <v>65.099999999999994</v>
      </c>
      <c r="I2230" s="10">
        <v>65.09</v>
      </c>
      <c r="J2230" s="10">
        <v>65.099999999999994</v>
      </c>
      <c r="K2230" s="10">
        <v>65.09</v>
      </c>
      <c r="L2230" s="10">
        <v>65.08</v>
      </c>
      <c r="M2230" s="10">
        <v>65.069999999999993</v>
      </c>
      <c r="N2230" s="10">
        <v>63.42</v>
      </c>
      <c r="O2230" s="10">
        <v>62.7</v>
      </c>
      <c r="P2230" s="10">
        <v>62.16</v>
      </c>
      <c r="Q2230" s="10">
        <v>61.8</v>
      </c>
      <c r="R2230" s="10">
        <v>61.6</v>
      </c>
      <c r="S2230" s="10">
        <v>61.5</v>
      </c>
      <c r="T2230" s="10">
        <v>61.47</v>
      </c>
      <c r="U2230" s="10">
        <v>61.47</v>
      </c>
      <c r="V2230" s="10">
        <v>61.48</v>
      </c>
      <c r="W2230" s="10">
        <v>61.48</v>
      </c>
      <c r="X2230" s="10">
        <v>61.47</v>
      </c>
      <c r="Y2230" s="10">
        <v>61.44</v>
      </c>
      <c r="Z2230" s="11">
        <v>68.885000000000005</v>
      </c>
      <c r="AA2230" s="11">
        <v>67.16</v>
      </c>
      <c r="AB2230" s="11">
        <v>66.209999999999994</v>
      </c>
      <c r="AC2230" s="11">
        <v>65.52</v>
      </c>
      <c r="AD2230" s="11">
        <v>65.12</v>
      </c>
      <c r="AE2230" s="11">
        <v>64.918999999999997</v>
      </c>
      <c r="AF2230" s="11">
        <v>64.77</v>
      </c>
      <c r="AG2230" s="11">
        <v>64.680000000000007</v>
      </c>
      <c r="AH2230" s="11">
        <v>64.64</v>
      </c>
      <c r="AI2230" s="11">
        <v>64.625</v>
      </c>
      <c r="AJ2230" s="11">
        <v>64.608000000000004</v>
      </c>
      <c r="AK2230" s="11">
        <v>64.587999999999994</v>
      </c>
      <c r="AL2230" s="11"/>
    </row>
    <row r="2231" spans="1:38" x14ac:dyDescent="0.3">
      <c r="A2231" s="9">
        <f>DATE(2025, 8, 19)</f>
        <v>45888</v>
      </c>
      <c r="B2231" s="10">
        <v>65.790000000000006</v>
      </c>
      <c r="C2231" s="10">
        <v>65.3</v>
      </c>
      <c r="D2231" s="10">
        <v>64.91</v>
      </c>
      <c r="E2231" s="10">
        <v>64.709999999999994</v>
      </c>
      <c r="F2231" s="10">
        <v>64.62</v>
      </c>
      <c r="G2231" s="10">
        <v>64.59</v>
      </c>
      <c r="H2231" s="10">
        <v>64.58</v>
      </c>
      <c r="I2231" s="10">
        <v>64.58</v>
      </c>
      <c r="J2231" s="10">
        <v>64.59</v>
      </c>
      <c r="K2231" s="10">
        <v>64.59</v>
      </c>
      <c r="L2231" s="10">
        <v>64.58</v>
      </c>
      <c r="M2231" s="10">
        <v>64.569999999999993</v>
      </c>
      <c r="N2231" s="10">
        <v>62.35</v>
      </c>
      <c r="O2231" s="10">
        <v>61.77</v>
      </c>
      <c r="P2231" s="10">
        <v>61.34</v>
      </c>
      <c r="Q2231" s="10">
        <v>61.05</v>
      </c>
      <c r="R2231" s="10">
        <v>60.91</v>
      </c>
      <c r="S2231" s="10">
        <v>60.85</v>
      </c>
      <c r="T2231" s="10">
        <v>60.85</v>
      </c>
      <c r="U2231" s="10">
        <v>60.87</v>
      </c>
      <c r="V2231" s="10">
        <v>60.88</v>
      </c>
      <c r="W2231" s="10">
        <v>60.89</v>
      </c>
      <c r="X2231" s="10">
        <v>60.88</v>
      </c>
      <c r="Y2231" s="10">
        <v>60.86</v>
      </c>
      <c r="Z2231" s="11">
        <v>68.59</v>
      </c>
      <c r="AA2231" s="11">
        <v>66.522000000000006</v>
      </c>
      <c r="AB2231" s="11">
        <v>65.581999999999994</v>
      </c>
      <c r="AC2231" s="11">
        <v>64.926000000000002</v>
      </c>
      <c r="AD2231" s="11">
        <v>64.569000000000003</v>
      </c>
      <c r="AE2231" s="11">
        <v>64.402000000000001</v>
      </c>
      <c r="AF2231" s="11">
        <v>64.28</v>
      </c>
      <c r="AG2231" s="11">
        <v>64.2</v>
      </c>
      <c r="AH2231" s="11">
        <v>64.16</v>
      </c>
      <c r="AI2231" s="11">
        <v>64.149000000000001</v>
      </c>
      <c r="AJ2231" s="11">
        <v>64.129000000000005</v>
      </c>
      <c r="AK2231" s="11">
        <v>64.108000000000004</v>
      </c>
      <c r="AL2231" s="11"/>
    </row>
    <row r="2232" spans="1:38" x14ac:dyDescent="0.3">
      <c r="A2232" s="9">
        <f>DATE(2025, 8, 20)</f>
        <v>45889</v>
      </c>
      <c r="B2232" s="10">
        <v>66.84</v>
      </c>
      <c r="C2232" s="10">
        <v>66.31</v>
      </c>
      <c r="D2232" s="10">
        <v>65.89</v>
      </c>
      <c r="E2232" s="10">
        <v>65.67</v>
      </c>
      <c r="F2232" s="10">
        <v>65.55</v>
      </c>
      <c r="G2232" s="10">
        <v>65.5</v>
      </c>
      <c r="H2232" s="10">
        <v>65.47</v>
      </c>
      <c r="I2232" s="10">
        <v>65.45</v>
      </c>
      <c r="J2232" s="10">
        <v>65.430000000000007</v>
      </c>
      <c r="K2232" s="10">
        <v>65.400000000000006</v>
      </c>
      <c r="L2232" s="10">
        <v>65.37</v>
      </c>
      <c r="M2232" s="10">
        <v>65.33</v>
      </c>
      <c r="N2232" s="10">
        <v>63.21</v>
      </c>
      <c r="O2232" s="10">
        <v>62.71</v>
      </c>
      <c r="P2232" s="10">
        <v>62.32</v>
      </c>
      <c r="Q2232" s="10">
        <v>62.03</v>
      </c>
      <c r="R2232" s="10">
        <v>61.87</v>
      </c>
      <c r="S2232" s="10">
        <v>61.8</v>
      </c>
      <c r="T2232" s="10">
        <v>61.77</v>
      </c>
      <c r="U2232" s="10">
        <v>61.76</v>
      </c>
      <c r="V2232" s="10">
        <v>61.76</v>
      </c>
      <c r="W2232" s="10">
        <v>61.74</v>
      </c>
      <c r="X2232" s="10">
        <v>61.71</v>
      </c>
      <c r="Y2232" s="10">
        <v>61.67</v>
      </c>
      <c r="Z2232" s="11">
        <v>69.186999999999998</v>
      </c>
      <c r="AA2232" s="11">
        <v>67.900999999999996</v>
      </c>
      <c r="AB2232" s="11">
        <v>66.760000000000005</v>
      </c>
      <c r="AC2232" s="11">
        <v>66.03</v>
      </c>
      <c r="AD2232" s="11">
        <v>65.644999999999996</v>
      </c>
      <c r="AE2232" s="11">
        <v>65.448999999999998</v>
      </c>
      <c r="AF2232" s="11">
        <v>65.308999999999997</v>
      </c>
      <c r="AG2232" s="11">
        <v>65.209000000000003</v>
      </c>
      <c r="AH2232" s="11">
        <v>65.129000000000005</v>
      </c>
      <c r="AI2232" s="11">
        <v>65.049000000000007</v>
      </c>
      <c r="AJ2232" s="11">
        <v>65.007999999999996</v>
      </c>
      <c r="AK2232" s="11">
        <v>64.938999999999993</v>
      </c>
      <c r="AL2232" s="11"/>
    </row>
    <row r="2233" spans="1:38" x14ac:dyDescent="0.3">
      <c r="A2233" s="9">
        <f>DATE(2025, 8, 21)</f>
        <v>45890</v>
      </c>
      <c r="B2233" s="10">
        <v>67.67</v>
      </c>
      <c r="C2233" s="10">
        <v>67.12</v>
      </c>
      <c r="D2233" s="10">
        <v>66.66</v>
      </c>
      <c r="E2233" s="10">
        <v>66.39</v>
      </c>
      <c r="F2233" s="10">
        <v>66.25</v>
      </c>
      <c r="G2233" s="10">
        <v>66.19</v>
      </c>
      <c r="H2233" s="10">
        <v>66.150000000000006</v>
      </c>
      <c r="I2233" s="10">
        <v>66.11</v>
      </c>
      <c r="J2233" s="10">
        <v>66.08</v>
      </c>
      <c r="K2233" s="10">
        <v>66.040000000000006</v>
      </c>
      <c r="L2233" s="10">
        <v>65.989999999999995</v>
      </c>
      <c r="M2233" s="10">
        <v>65.94</v>
      </c>
      <c r="N2233" s="10">
        <v>63.52</v>
      </c>
      <c r="O2233" s="10">
        <v>63.11</v>
      </c>
      <c r="P2233" s="10">
        <v>62.78</v>
      </c>
      <c r="Q2233" s="10">
        <v>62.59</v>
      </c>
      <c r="R2233" s="10">
        <v>62.49</v>
      </c>
      <c r="S2233" s="10">
        <v>62.44</v>
      </c>
      <c r="T2233" s="10">
        <v>62.41</v>
      </c>
      <c r="U2233" s="10">
        <v>62.38</v>
      </c>
      <c r="V2233" s="10">
        <v>62.36</v>
      </c>
      <c r="W2233" s="10">
        <v>62.31</v>
      </c>
      <c r="X2233" s="10">
        <v>62.26</v>
      </c>
      <c r="Y2233" s="10">
        <v>62.24</v>
      </c>
      <c r="Z2233" s="11">
        <v>69.450999999999993</v>
      </c>
      <c r="AA2233" s="11">
        <v>68.754999999999995</v>
      </c>
      <c r="AB2233" s="11">
        <v>67.528000000000006</v>
      </c>
      <c r="AC2233" s="11">
        <v>66.745000000000005</v>
      </c>
      <c r="AD2233" s="11">
        <v>66.314999999999998</v>
      </c>
      <c r="AE2233" s="11">
        <v>66.105000000000004</v>
      </c>
      <c r="AF2233" s="11">
        <v>65.965000000000003</v>
      </c>
      <c r="AG2233" s="11">
        <v>65.844999999999999</v>
      </c>
      <c r="AH2233" s="11">
        <v>65.772999999999996</v>
      </c>
      <c r="AI2233" s="11">
        <v>65.688000000000002</v>
      </c>
      <c r="AJ2233" s="11">
        <v>65.628</v>
      </c>
      <c r="AK2233" s="11">
        <v>65.558999999999997</v>
      </c>
      <c r="AL2233" s="11"/>
    </row>
    <row r="2234" spans="1:38" x14ac:dyDescent="0.3">
      <c r="A2234" s="9">
        <f>DATE(2025, 8, 22)</f>
        <v>45891</v>
      </c>
      <c r="B2234" s="10">
        <v>67.73</v>
      </c>
      <c r="C2234" s="10">
        <v>67.22</v>
      </c>
      <c r="D2234" s="10">
        <v>66.77</v>
      </c>
      <c r="E2234" s="10">
        <v>66.5</v>
      </c>
      <c r="F2234" s="10">
        <v>66.349999999999994</v>
      </c>
      <c r="G2234" s="10">
        <v>66.290000000000006</v>
      </c>
      <c r="H2234" s="10">
        <v>66.239999999999995</v>
      </c>
      <c r="I2234" s="10">
        <v>66.19</v>
      </c>
      <c r="J2234" s="10">
        <v>66.150000000000006</v>
      </c>
      <c r="K2234" s="10">
        <v>66.09</v>
      </c>
      <c r="L2234" s="10">
        <v>66.040000000000006</v>
      </c>
      <c r="M2234" s="10">
        <v>66</v>
      </c>
      <c r="N2234" s="10">
        <v>63.66</v>
      </c>
      <c r="O2234" s="10">
        <v>63.23</v>
      </c>
      <c r="P2234" s="10">
        <v>62.9</v>
      </c>
      <c r="Q2234" s="10">
        <v>62.71</v>
      </c>
      <c r="R2234" s="10">
        <v>62.6</v>
      </c>
      <c r="S2234" s="10">
        <v>62.54</v>
      </c>
      <c r="T2234" s="10">
        <v>62.5</v>
      </c>
      <c r="U2234" s="10">
        <v>62.47</v>
      </c>
      <c r="V2234" s="10">
        <v>62.44</v>
      </c>
      <c r="W2234" s="10">
        <v>62.38</v>
      </c>
      <c r="X2234" s="10">
        <v>62.32</v>
      </c>
      <c r="Y2234" s="10">
        <v>62.28</v>
      </c>
      <c r="Z2234" s="11">
        <v>69.488</v>
      </c>
      <c r="AA2234" s="11">
        <v>69.06</v>
      </c>
      <c r="AB2234" s="11">
        <v>67.778000000000006</v>
      </c>
      <c r="AC2234" s="11">
        <v>66.930000000000007</v>
      </c>
      <c r="AD2234" s="11">
        <v>66.462000000000003</v>
      </c>
      <c r="AE2234" s="11">
        <v>66.209999999999994</v>
      </c>
      <c r="AF2234" s="11">
        <v>66.034999999999997</v>
      </c>
      <c r="AG2234" s="11">
        <v>65.905000000000001</v>
      </c>
      <c r="AH2234" s="11">
        <v>65.807000000000002</v>
      </c>
      <c r="AI2234" s="11">
        <v>65.738</v>
      </c>
      <c r="AJ2234" s="11">
        <v>65.677999999999997</v>
      </c>
      <c r="AK2234" s="11">
        <v>65.619</v>
      </c>
      <c r="AL2234" s="11"/>
    </row>
    <row r="2235" spans="1:38" x14ac:dyDescent="0.3">
      <c r="A2235" s="9">
        <f>DATE(2025, 8, 25)</f>
        <v>45894</v>
      </c>
      <c r="B2235" s="10">
        <v>68.8</v>
      </c>
      <c r="C2235" s="10">
        <v>68.22</v>
      </c>
      <c r="D2235" s="10">
        <v>67.739999999999995</v>
      </c>
      <c r="E2235" s="10">
        <v>67.45</v>
      </c>
      <c r="F2235" s="10">
        <v>67.27</v>
      </c>
      <c r="G2235" s="10">
        <v>67.180000000000007</v>
      </c>
      <c r="H2235" s="10">
        <v>67.099999999999994</v>
      </c>
      <c r="I2235" s="10">
        <v>67.03</v>
      </c>
      <c r="J2235" s="10">
        <v>66.95</v>
      </c>
      <c r="K2235" s="10">
        <v>66.87</v>
      </c>
      <c r="L2235" s="10">
        <v>66.790000000000006</v>
      </c>
      <c r="M2235" s="10">
        <v>66.72</v>
      </c>
      <c r="N2235" s="10">
        <v>64.8</v>
      </c>
      <c r="O2235" s="10">
        <v>64.31</v>
      </c>
      <c r="P2235" s="10">
        <v>63.92</v>
      </c>
      <c r="Q2235" s="10">
        <v>63.68</v>
      </c>
      <c r="R2235" s="10">
        <v>63.53</v>
      </c>
      <c r="S2235" s="10">
        <v>63.44</v>
      </c>
      <c r="T2235" s="10">
        <v>63.37</v>
      </c>
      <c r="U2235" s="10">
        <v>63.31</v>
      </c>
      <c r="V2235" s="10">
        <v>63.25</v>
      </c>
      <c r="W2235" s="10">
        <v>63.16</v>
      </c>
      <c r="X2235" s="10">
        <v>63.08</v>
      </c>
      <c r="Y2235" s="10">
        <v>63.02</v>
      </c>
      <c r="Z2235" s="11">
        <v>69.641999999999996</v>
      </c>
      <c r="AA2235" s="11">
        <v>70.018000000000001</v>
      </c>
      <c r="AB2235" s="11">
        <v>68.697000000000003</v>
      </c>
      <c r="AC2235" s="11">
        <v>67.831999999999994</v>
      </c>
      <c r="AD2235" s="11">
        <v>67.305999999999997</v>
      </c>
      <c r="AE2235" s="11">
        <v>67.025999999999996</v>
      </c>
      <c r="AF2235" s="11">
        <v>66.835999999999999</v>
      </c>
      <c r="AG2235" s="11">
        <v>66.677000000000007</v>
      </c>
      <c r="AH2235" s="11">
        <v>66.537999999999997</v>
      </c>
      <c r="AI2235" s="11">
        <v>66.456000000000003</v>
      </c>
      <c r="AJ2235" s="11">
        <v>66.397000000000006</v>
      </c>
      <c r="AK2235" s="11">
        <v>66.317999999999998</v>
      </c>
      <c r="AL2235" s="11"/>
    </row>
    <row r="2236" spans="1:38" x14ac:dyDescent="0.3">
      <c r="A2236" s="9">
        <f>DATE(2025, 8, 26)</f>
        <v>45895</v>
      </c>
      <c r="B2236" s="10">
        <v>67.22</v>
      </c>
      <c r="C2236" s="10">
        <v>66.7</v>
      </c>
      <c r="D2236" s="10">
        <v>66.27</v>
      </c>
      <c r="E2236" s="10">
        <v>66.010000000000005</v>
      </c>
      <c r="F2236" s="10">
        <v>65.86</v>
      </c>
      <c r="G2236" s="10">
        <v>65.8</v>
      </c>
      <c r="H2236" s="10">
        <v>65.760000000000005</v>
      </c>
      <c r="I2236" s="10">
        <v>65.73</v>
      </c>
      <c r="J2236" s="10">
        <v>65.7</v>
      </c>
      <c r="K2236" s="10">
        <v>65.650000000000006</v>
      </c>
      <c r="L2236" s="10">
        <v>65.599999999999994</v>
      </c>
      <c r="M2236" s="10">
        <v>65.56</v>
      </c>
      <c r="N2236" s="10">
        <v>63.25</v>
      </c>
      <c r="O2236" s="10">
        <v>62.8</v>
      </c>
      <c r="P2236" s="10">
        <v>62.46</v>
      </c>
      <c r="Q2236" s="10">
        <v>62.25</v>
      </c>
      <c r="R2236" s="10">
        <v>62.12</v>
      </c>
      <c r="S2236" s="10">
        <v>62.06</v>
      </c>
      <c r="T2236" s="10">
        <v>62.03</v>
      </c>
      <c r="U2236" s="10">
        <v>62</v>
      </c>
      <c r="V2236" s="10">
        <v>61.97</v>
      </c>
      <c r="W2236" s="10">
        <v>61.92</v>
      </c>
      <c r="X2236" s="10">
        <v>61.86</v>
      </c>
      <c r="Y2236" s="10">
        <v>61.82</v>
      </c>
      <c r="Z2236" s="11">
        <v>69.308999999999997</v>
      </c>
      <c r="AA2236" s="11">
        <v>68.766999999999996</v>
      </c>
      <c r="AB2236" s="11">
        <v>67.307000000000002</v>
      </c>
      <c r="AC2236" s="11">
        <v>66.433000000000007</v>
      </c>
      <c r="AD2236" s="11">
        <v>65.923000000000002</v>
      </c>
      <c r="AE2236" s="11">
        <v>65.683000000000007</v>
      </c>
      <c r="AF2236" s="11">
        <v>65.537000000000006</v>
      </c>
      <c r="AG2236" s="11">
        <v>65.436999999999998</v>
      </c>
      <c r="AH2236" s="11">
        <v>65.349999999999994</v>
      </c>
      <c r="AI2236" s="11">
        <v>65.263000000000005</v>
      </c>
      <c r="AJ2236" s="11">
        <v>65.212999999999994</v>
      </c>
      <c r="AK2236" s="11">
        <v>65.174000000000007</v>
      </c>
      <c r="AL2236" s="11"/>
    </row>
    <row r="2237" spans="1:38" x14ac:dyDescent="0.3">
      <c r="A2237" s="9">
        <f>DATE(2025, 8, 27)</f>
        <v>45896</v>
      </c>
      <c r="B2237" s="10">
        <v>68.05</v>
      </c>
      <c r="C2237" s="10">
        <v>67.44</v>
      </c>
      <c r="D2237" s="10">
        <v>66.89</v>
      </c>
      <c r="E2237" s="10">
        <v>66.540000000000006</v>
      </c>
      <c r="F2237" s="10">
        <v>66.319999999999993</v>
      </c>
      <c r="G2237" s="10">
        <v>66.22</v>
      </c>
      <c r="H2237" s="10">
        <v>66.150000000000006</v>
      </c>
      <c r="I2237" s="10">
        <v>66.099999999999994</v>
      </c>
      <c r="J2237" s="10">
        <v>66.05</v>
      </c>
      <c r="K2237" s="10">
        <v>65.989999999999995</v>
      </c>
      <c r="L2237" s="10">
        <v>65.930000000000007</v>
      </c>
      <c r="M2237" s="10">
        <v>65.89</v>
      </c>
      <c r="N2237" s="10">
        <v>64.150000000000006</v>
      </c>
      <c r="O2237" s="10">
        <v>63.59</v>
      </c>
      <c r="P2237" s="10">
        <v>63.13</v>
      </c>
      <c r="Q2237" s="10">
        <v>62.84</v>
      </c>
      <c r="R2237" s="10">
        <v>62.65</v>
      </c>
      <c r="S2237" s="10">
        <v>62.54</v>
      </c>
      <c r="T2237" s="10">
        <v>62.47</v>
      </c>
      <c r="U2237" s="10">
        <v>62.41</v>
      </c>
      <c r="V2237" s="10">
        <v>62.35</v>
      </c>
      <c r="W2237" s="10">
        <v>62.27</v>
      </c>
      <c r="X2237" s="10">
        <v>62.21</v>
      </c>
      <c r="Y2237" s="10">
        <v>62.16</v>
      </c>
      <c r="Z2237" s="11">
        <v>69.459000000000003</v>
      </c>
      <c r="AA2237" s="11">
        <v>69.63</v>
      </c>
      <c r="AB2237" s="11">
        <v>67.97</v>
      </c>
      <c r="AC2237" s="11">
        <v>66.97</v>
      </c>
      <c r="AD2237" s="11">
        <v>66.381</v>
      </c>
      <c r="AE2237" s="11">
        <v>66.090999999999994</v>
      </c>
      <c r="AF2237" s="11">
        <v>65.912000000000006</v>
      </c>
      <c r="AG2237" s="11">
        <v>65.802000000000007</v>
      </c>
      <c r="AH2237" s="11">
        <v>65.715000000000003</v>
      </c>
      <c r="AI2237" s="11">
        <v>65.602000000000004</v>
      </c>
      <c r="AJ2237" s="11">
        <v>65.507999999999996</v>
      </c>
      <c r="AK2237" s="11">
        <v>65.478999999999999</v>
      </c>
      <c r="AL2237" s="11"/>
    </row>
    <row r="2238" spans="1:38" x14ac:dyDescent="0.3">
      <c r="A2238" s="9">
        <f>DATE(2025, 8, 28)</f>
        <v>45897</v>
      </c>
      <c r="B2238" s="10">
        <v>68.62</v>
      </c>
      <c r="C2238" s="10">
        <v>67.98</v>
      </c>
      <c r="D2238" s="10">
        <v>67.42</v>
      </c>
      <c r="E2238" s="10">
        <v>67.06</v>
      </c>
      <c r="F2238" s="10">
        <v>66.84</v>
      </c>
      <c r="G2238" s="10">
        <v>66.739999999999995</v>
      </c>
      <c r="H2238" s="10">
        <v>66.67</v>
      </c>
      <c r="I2238" s="10">
        <v>66.61</v>
      </c>
      <c r="J2238" s="10">
        <v>66.55</v>
      </c>
      <c r="K2238" s="10">
        <v>66.47</v>
      </c>
      <c r="L2238" s="10">
        <v>66.400000000000006</v>
      </c>
      <c r="M2238" s="10">
        <v>66.349999999999994</v>
      </c>
      <c r="N2238" s="10">
        <v>64.599999999999994</v>
      </c>
      <c r="O2238" s="10">
        <v>64.069999999999993</v>
      </c>
      <c r="P2238" s="10">
        <v>63.61</v>
      </c>
      <c r="Q2238" s="10">
        <v>63.32</v>
      </c>
      <c r="R2238" s="10">
        <v>63.13</v>
      </c>
      <c r="S2238" s="10">
        <v>63.02</v>
      </c>
      <c r="T2238" s="10">
        <v>62.94</v>
      </c>
      <c r="U2238" s="10">
        <v>62.87</v>
      </c>
      <c r="V2238" s="10">
        <v>62.81</v>
      </c>
      <c r="W2238" s="10">
        <v>62.73</v>
      </c>
      <c r="X2238" s="10">
        <v>62.65</v>
      </c>
      <c r="Y2238" s="10">
        <v>62.59</v>
      </c>
      <c r="Z2238" s="11">
        <v>69.421000000000006</v>
      </c>
      <c r="AA2238" s="11">
        <v>70.012</v>
      </c>
      <c r="AB2238" s="11">
        <v>68.331000000000003</v>
      </c>
      <c r="AC2238" s="11">
        <v>67.381</v>
      </c>
      <c r="AD2238" s="11">
        <v>66.816000000000003</v>
      </c>
      <c r="AE2238" s="11">
        <v>66.536000000000001</v>
      </c>
      <c r="AF2238" s="11">
        <v>66.355999999999995</v>
      </c>
      <c r="AG2238" s="11">
        <v>66.236000000000004</v>
      </c>
      <c r="AH2238" s="11">
        <v>66.153000000000006</v>
      </c>
      <c r="AI2238" s="11">
        <v>66.075000000000003</v>
      </c>
      <c r="AJ2238" s="11">
        <v>65.977999999999994</v>
      </c>
      <c r="AK2238" s="11">
        <v>65.908000000000001</v>
      </c>
      <c r="AL2238" s="11"/>
    </row>
    <row r="2239" spans="1:38" x14ac:dyDescent="0.3">
      <c r="A2239" s="9">
        <f>DATE(2025, 8, 29)</f>
        <v>45898</v>
      </c>
      <c r="B2239" s="10">
        <v>68.12</v>
      </c>
      <c r="C2239" s="10">
        <v>67.48</v>
      </c>
      <c r="D2239" s="10">
        <v>66.89</v>
      </c>
      <c r="E2239" s="10">
        <v>66.5</v>
      </c>
      <c r="F2239" s="10">
        <v>66.27</v>
      </c>
      <c r="G2239" s="10">
        <v>66.16</v>
      </c>
      <c r="H2239" s="10">
        <v>66.09</v>
      </c>
      <c r="I2239" s="10">
        <v>66.040000000000006</v>
      </c>
      <c r="J2239" s="10">
        <v>65.989999999999995</v>
      </c>
      <c r="K2239" s="10">
        <v>65.92</v>
      </c>
      <c r="L2239" s="10">
        <v>65.86</v>
      </c>
      <c r="M2239" s="10">
        <v>65.81</v>
      </c>
      <c r="N2239" s="10">
        <v>64.010000000000005</v>
      </c>
      <c r="O2239" s="10">
        <v>63.46</v>
      </c>
      <c r="P2239" s="10">
        <v>62.99</v>
      </c>
      <c r="Q2239" s="10">
        <v>62.7</v>
      </c>
      <c r="R2239" s="10">
        <v>62.51</v>
      </c>
      <c r="S2239" s="10">
        <v>62.4</v>
      </c>
      <c r="T2239" s="10">
        <v>62.33</v>
      </c>
      <c r="U2239" s="10">
        <v>62.28</v>
      </c>
      <c r="V2239" s="10">
        <v>62.23</v>
      </c>
      <c r="W2239" s="10">
        <v>62.15</v>
      </c>
      <c r="X2239" s="10">
        <v>62.08</v>
      </c>
      <c r="Y2239" s="10">
        <v>62.04</v>
      </c>
      <c r="Z2239" s="11">
        <v>69.385000000000005</v>
      </c>
      <c r="AA2239" s="11">
        <v>69.843000000000004</v>
      </c>
      <c r="AB2239" s="11">
        <v>67.988</v>
      </c>
      <c r="AC2239" s="11">
        <v>66.891000000000005</v>
      </c>
      <c r="AD2239" s="11">
        <v>66.260000000000005</v>
      </c>
      <c r="AE2239" s="11">
        <v>65.966999999999999</v>
      </c>
      <c r="AF2239" s="11">
        <v>65.787999999999997</v>
      </c>
      <c r="AG2239" s="11">
        <v>65.677999999999997</v>
      </c>
      <c r="AH2239" s="11">
        <v>65.587000000000003</v>
      </c>
      <c r="AI2239" s="11">
        <v>65.497</v>
      </c>
      <c r="AJ2239" s="11">
        <v>65.418000000000006</v>
      </c>
      <c r="AK2239" s="11">
        <v>65.358999999999995</v>
      </c>
      <c r="AL2239" s="11"/>
    </row>
    <row r="2240" spans="1:38" x14ac:dyDescent="0.3">
      <c r="A2240" s="9">
        <f>DATE(2025, 9, 1)</f>
        <v>45901</v>
      </c>
      <c r="B2240" s="10">
        <v>68.150000000000006</v>
      </c>
      <c r="C2240" s="10">
        <v>67.52</v>
      </c>
      <c r="D2240" s="10">
        <v>67.08</v>
      </c>
      <c r="E2240" s="10">
        <v>66.819999999999993</v>
      </c>
      <c r="F2240" s="10">
        <v>66.680000000000007</v>
      </c>
      <c r="G2240" s="10">
        <v>66.599999999999994</v>
      </c>
      <c r="H2240" s="10">
        <v>66.540000000000006</v>
      </c>
      <c r="I2240" s="10">
        <v>66.489999999999995</v>
      </c>
      <c r="J2240" s="10">
        <v>66.42</v>
      </c>
      <c r="K2240" s="10">
        <v>66.36</v>
      </c>
      <c r="L2240" s="10">
        <v>66.319999999999993</v>
      </c>
      <c r="M2240" s="10">
        <v>66.290000000000006</v>
      </c>
      <c r="N2240" s="10">
        <v>64.010000000000005</v>
      </c>
      <c r="O2240" s="10">
        <v>63.46</v>
      </c>
      <c r="P2240" s="10">
        <v>62.99</v>
      </c>
      <c r="Q2240" s="10">
        <v>62.7</v>
      </c>
      <c r="R2240" s="10">
        <v>62.51</v>
      </c>
      <c r="S2240" s="10">
        <v>62.4</v>
      </c>
      <c r="T2240" s="10">
        <v>62.33</v>
      </c>
      <c r="U2240" s="10">
        <v>62.28</v>
      </c>
      <c r="V2240" s="10">
        <v>62.23</v>
      </c>
      <c r="W2240" s="10">
        <v>62.15</v>
      </c>
      <c r="X2240" s="10">
        <v>62.08</v>
      </c>
      <c r="Y2240" s="10">
        <v>62.04</v>
      </c>
      <c r="Z2240" s="11">
        <v>69.385000000000005</v>
      </c>
      <c r="AA2240" s="11">
        <v>70.741</v>
      </c>
      <c r="AB2240" s="11">
        <v>68.831000000000003</v>
      </c>
      <c r="AC2240" s="11">
        <v>67.661000000000001</v>
      </c>
      <c r="AD2240" s="11">
        <v>66.941000000000003</v>
      </c>
      <c r="AE2240" s="11">
        <v>66.600999999999999</v>
      </c>
      <c r="AF2240" s="11">
        <v>66.391999999999996</v>
      </c>
      <c r="AG2240" s="11">
        <v>66.262</v>
      </c>
      <c r="AH2240" s="11">
        <v>66.165000000000006</v>
      </c>
      <c r="AI2240" s="11">
        <v>66.055000000000007</v>
      </c>
      <c r="AJ2240" s="11">
        <v>65.975999999999999</v>
      </c>
      <c r="AK2240" s="11">
        <v>65.923000000000002</v>
      </c>
      <c r="AL2240" s="11"/>
    </row>
    <row r="2241" spans="1:38" x14ac:dyDescent="0.3">
      <c r="A2241" s="9">
        <f>DATE(2025, 9, 2)</f>
        <v>45902</v>
      </c>
      <c r="B2241" s="10">
        <v>69.14</v>
      </c>
      <c r="C2241" s="10">
        <v>68.59</v>
      </c>
      <c r="D2241" s="10">
        <v>68.17</v>
      </c>
      <c r="E2241" s="10">
        <v>67.900000000000006</v>
      </c>
      <c r="F2241" s="10">
        <v>67.739999999999995</v>
      </c>
      <c r="G2241" s="10">
        <v>67.650000000000006</v>
      </c>
      <c r="H2241" s="10">
        <v>67.58</v>
      </c>
      <c r="I2241" s="10">
        <v>67.52</v>
      </c>
      <c r="J2241" s="10">
        <v>67.45</v>
      </c>
      <c r="K2241" s="10">
        <v>67.38</v>
      </c>
      <c r="L2241" s="10">
        <v>67.33</v>
      </c>
      <c r="M2241" s="10">
        <v>67.290000000000006</v>
      </c>
      <c r="N2241" s="10">
        <v>65.59</v>
      </c>
      <c r="O2241" s="10">
        <v>65.08</v>
      </c>
      <c r="P2241" s="10">
        <v>64.64</v>
      </c>
      <c r="Q2241" s="10">
        <v>64.34</v>
      </c>
      <c r="R2241" s="10">
        <v>64.13</v>
      </c>
      <c r="S2241" s="10">
        <v>64</v>
      </c>
      <c r="T2241" s="10">
        <v>63.91</v>
      </c>
      <c r="U2241" s="10">
        <v>63.84</v>
      </c>
      <c r="V2241" s="10">
        <v>63.78</v>
      </c>
      <c r="W2241" s="10">
        <v>63.7</v>
      </c>
      <c r="X2241" s="10">
        <v>63.6</v>
      </c>
      <c r="Y2241" s="10">
        <v>63.55</v>
      </c>
      <c r="Z2241" s="11">
        <v>71.421999999999997</v>
      </c>
      <c r="AA2241" s="11">
        <v>69.552000000000007</v>
      </c>
      <c r="AB2241" s="11">
        <v>68.552999999999997</v>
      </c>
      <c r="AC2241" s="11">
        <v>67.903000000000006</v>
      </c>
      <c r="AD2241" s="11">
        <v>67.572999999999993</v>
      </c>
      <c r="AE2241" s="11">
        <v>67.363</v>
      </c>
      <c r="AF2241" s="11">
        <v>67.227000000000004</v>
      </c>
      <c r="AG2241" s="11">
        <v>67.137</v>
      </c>
      <c r="AH2241" s="11">
        <v>67.057000000000002</v>
      </c>
      <c r="AI2241" s="11">
        <v>66.977999999999994</v>
      </c>
      <c r="AJ2241" s="11">
        <v>66.918000000000006</v>
      </c>
      <c r="AK2241" s="11">
        <v>66.864999999999995</v>
      </c>
      <c r="AL2241" s="11"/>
    </row>
    <row r="2242" spans="1:38" x14ac:dyDescent="0.3">
      <c r="A2242" s="9">
        <f>DATE(2025, 9, 3)</f>
        <v>45903</v>
      </c>
      <c r="B2242" s="10">
        <v>67.599999999999994</v>
      </c>
      <c r="C2242" s="10">
        <v>67.16</v>
      </c>
      <c r="D2242" s="10">
        <v>66.83</v>
      </c>
      <c r="E2242" s="10">
        <v>66.62</v>
      </c>
      <c r="F2242" s="10">
        <v>66.510000000000005</v>
      </c>
      <c r="G2242" s="10">
        <v>66.459999999999994</v>
      </c>
      <c r="H2242" s="10">
        <v>66.430000000000007</v>
      </c>
      <c r="I2242" s="10">
        <v>66.41</v>
      </c>
      <c r="J2242" s="10">
        <v>66.37</v>
      </c>
      <c r="K2242" s="10">
        <v>66.33</v>
      </c>
      <c r="L2242" s="10">
        <v>66.31</v>
      </c>
      <c r="M2242" s="10">
        <v>66.3</v>
      </c>
      <c r="N2242" s="10">
        <v>63.97</v>
      </c>
      <c r="O2242" s="10">
        <v>63.57</v>
      </c>
      <c r="P2242" s="10">
        <v>63.24</v>
      </c>
      <c r="Q2242" s="10">
        <v>63.02</v>
      </c>
      <c r="R2242" s="10">
        <v>62.89</v>
      </c>
      <c r="S2242" s="10">
        <v>62.81</v>
      </c>
      <c r="T2242" s="10">
        <v>62.77</v>
      </c>
      <c r="U2242" s="10">
        <v>62.75</v>
      </c>
      <c r="V2242" s="10">
        <v>62.72</v>
      </c>
      <c r="W2242" s="10">
        <v>62.66</v>
      </c>
      <c r="X2242" s="10">
        <v>62.61</v>
      </c>
      <c r="Y2242" s="10">
        <v>62.57</v>
      </c>
      <c r="Z2242" s="11">
        <v>70.132999999999996</v>
      </c>
      <c r="AA2242" s="11">
        <v>67.896000000000001</v>
      </c>
      <c r="AB2242" s="11">
        <v>67.08</v>
      </c>
      <c r="AC2242" s="11">
        <v>66.572000000000003</v>
      </c>
      <c r="AD2242" s="11">
        <v>66.319999999999993</v>
      </c>
      <c r="AE2242" s="11">
        <v>66.159000000000006</v>
      </c>
      <c r="AF2242" s="11">
        <v>66.088999999999999</v>
      </c>
      <c r="AG2242" s="11">
        <v>66.028000000000006</v>
      </c>
      <c r="AH2242" s="11">
        <v>65.977999999999994</v>
      </c>
      <c r="AI2242" s="11">
        <v>65.929000000000002</v>
      </c>
      <c r="AJ2242" s="11">
        <v>65.900000000000006</v>
      </c>
      <c r="AK2242" s="11">
        <v>65.876999999999995</v>
      </c>
      <c r="AL2242" s="11"/>
    </row>
    <row r="2243" spans="1:38" x14ac:dyDescent="0.3">
      <c r="A2243" s="9">
        <f>DATE(2025, 9, 4)</f>
        <v>45904</v>
      </c>
      <c r="B2243" s="10">
        <v>66.989999999999995</v>
      </c>
      <c r="C2243" s="10">
        <v>66.53</v>
      </c>
      <c r="D2243" s="10">
        <v>66.2</v>
      </c>
      <c r="E2243" s="10">
        <v>65.97</v>
      </c>
      <c r="F2243" s="10">
        <v>65.849999999999994</v>
      </c>
      <c r="G2243" s="10">
        <v>65.790000000000006</v>
      </c>
      <c r="H2243" s="10">
        <v>65.75</v>
      </c>
      <c r="I2243" s="10">
        <v>65.73</v>
      </c>
      <c r="J2243" s="10">
        <v>65.680000000000007</v>
      </c>
      <c r="K2243" s="10">
        <v>65.650000000000006</v>
      </c>
      <c r="L2243" s="10">
        <v>65.62</v>
      </c>
      <c r="M2243" s="10">
        <v>65.61</v>
      </c>
      <c r="N2243" s="10">
        <v>63.48</v>
      </c>
      <c r="O2243" s="10">
        <v>63.03</v>
      </c>
      <c r="P2243" s="10">
        <v>62.69</v>
      </c>
      <c r="Q2243" s="10">
        <v>62.45</v>
      </c>
      <c r="R2243" s="10">
        <v>62.3</v>
      </c>
      <c r="S2243" s="10">
        <v>62.21</v>
      </c>
      <c r="T2243" s="10">
        <v>62.15</v>
      </c>
      <c r="U2243" s="10">
        <v>62.12</v>
      </c>
      <c r="V2243" s="10">
        <v>62.09</v>
      </c>
      <c r="W2243" s="10">
        <v>62.04</v>
      </c>
      <c r="X2243" s="10">
        <v>61.98</v>
      </c>
      <c r="Y2243" s="10">
        <v>61.94</v>
      </c>
      <c r="Z2243" s="11">
        <v>69.424000000000007</v>
      </c>
      <c r="AA2243" s="11">
        <v>67.055999999999997</v>
      </c>
      <c r="AB2243" s="11">
        <v>66.286000000000001</v>
      </c>
      <c r="AC2243" s="11">
        <v>65.831999999999994</v>
      </c>
      <c r="AD2243" s="11">
        <v>65.591999999999999</v>
      </c>
      <c r="AE2243" s="11">
        <v>65.451999999999998</v>
      </c>
      <c r="AF2243" s="11">
        <v>65.372</v>
      </c>
      <c r="AG2243" s="11">
        <v>65.311999999999998</v>
      </c>
      <c r="AH2243" s="11">
        <v>65.242000000000004</v>
      </c>
      <c r="AI2243" s="11">
        <v>65.168999999999997</v>
      </c>
      <c r="AJ2243" s="11">
        <v>65.14</v>
      </c>
      <c r="AK2243" s="11">
        <v>65.132000000000005</v>
      </c>
      <c r="AL2243" s="11"/>
    </row>
    <row r="2244" spans="1:38" x14ac:dyDescent="0.3">
      <c r="A2244" s="9">
        <f>DATE(2025, 9, 5)</f>
        <v>45905</v>
      </c>
      <c r="B2244" s="10">
        <v>65.5</v>
      </c>
      <c r="C2244" s="10">
        <v>65.11</v>
      </c>
      <c r="D2244" s="10">
        <v>64.83</v>
      </c>
      <c r="E2244" s="10">
        <v>64.650000000000006</v>
      </c>
      <c r="F2244" s="10">
        <v>64.569999999999993</v>
      </c>
      <c r="G2244" s="10">
        <v>64.56</v>
      </c>
      <c r="H2244" s="10">
        <v>64.56</v>
      </c>
      <c r="I2244" s="10">
        <v>64.56</v>
      </c>
      <c r="J2244" s="10">
        <v>64.540000000000006</v>
      </c>
      <c r="K2244" s="10">
        <v>64.53</v>
      </c>
      <c r="L2244" s="10">
        <v>64.53</v>
      </c>
      <c r="M2244" s="10">
        <v>64.540000000000006</v>
      </c>
      <c r="N2244" s="10">
        <v>61.87</v>
      </c>
      <c r="O2244" s="10">
        <v>61.46</v>
      </c>
      <c r="P2244" s="10">
        <v>61.18</v>
      </c>
      <c r="Q2244" s="10">
        <v>61.03</v>
      </c>
      <c r="R2244" s="10">
        <v>60.94</v>
      </c>
      <c r="S2244" s="10">
        <v>60.91</v>
      </c>
      <c r="T2244" s="10">
        <v>60.91</v>
      </c>
      <c r="U2244" s="10">
        <v>60.92</v>
      </c>
      <c r="V2244" s="10">
        <v>60.92</v>
      </c>
      <c r="W2244" s="10">
        <v>60.9</v>
      </c>
      <c r="X2244" s="10">
        <v>60.88</v>
      </c>
      <c r="Y2244" s="10">
        <v>60.85</v>
      </c>
      <c r="Z2244" s="11">
        <v>68.388999999999996</v>
      </c>
      <c r="AA2244" s="11">
        <v>65.881</v>
      </c>
      <c r="AB2244" s="11">
        <v>65.010999999999996</v>
      </c>
      <c r="AC2244" s="11">
        <v>64.570999999999998</v>
      </c>
      <c r="AD2244" s="11">
        <v>64.36</v>
      </c>
      <c r="AE2244" s="11">
        <v>64.23</v>
      </c>
      <c r="AF2244" s="11">
        <v>64.180000000000007</v>
      </c>
      <c r="AG2244" s="11">
        <v>64.149000000000001</v>
      </c>
      <c r="AH2244" s="11">
        <v>64.12</v>
      </c>
      <c r="AI2244" s="11">
        <v>64.073999999999998</v>
      </c>
      <c r="AJ2244" s="11">
        <v>64.057000000000002</v>
      </c>
      <c r="AK2244" s="11">
        <v>64.063000000000002</v>
      </c>
      <c r="AL2244" s="11"/>
    </row>
    <row r="2245" spans="1:38" x14ac:dyDescent="0.3">
      <c r="A2245" s="9">
        <f>DATE(2025, 9, 8)</f>
        <v>45908</v>
      </c>
      <c r="B2245" s="10">
        <v>66.02</v>
      </c>
      <c r="C2245" s="10">
        <v>65.67</v>
      </c>
      <c r="D2245" s="10">
        <v>65.39</v>
      </c>
      <c r="E2245" s="10">
        <v>65.209999999999994</v>
      </c>
      <c r="F2245" s="10">
        <v>65.14</v>
      </c>
      <c r="G2245" s="10">
        <v>65.13</v>
      </c>
      <c r="H2245" s="10">
        <v>65.13</v>
      </c>
      <c r="I2245" s="10">
        <v>65.13</v>
      </c>
      <c r="J2245" s="10">
        <v>65.12</v>
      </c>
      <c r="K2245" s="10">
        <v>65.11</v>
      </c>
      <c r="L2245" s="10">
        <v>65.11</v>
      </c>
      <c r="M2245" s="10">
        <v>65.12</v>
      </c>
      <c r="N2245" s="10">
        <v>62.26</v>
      </c>
      <c r="O2245" s="10">
        <v>61.87</v>
      </c>
      <c r="P2245" s="10">
        <v>61.62</v>
      </c>
      <c r="Q2245" s="10">
        <v>61.51</v>
      </c>
      <c r="R2245" s="10">
        <v>61.45</v>
      </c>
      <c r="S2245" s="10">
        <v>61.43</v>
      </c>
      <c r="T2245" s="10">
        <v>61.43</v>
      </c>
      <c r="U2245" s="10">
        <v>61.43</v>
      </c>
      <c r="V2245" s="10">
        <v>61.44</v>
      </c>
      <c r="W2245" s="10">
        <v>61.42</v>
      </c>
      <c r="X2245" s="10">
        <v>61.4</v>
      </c>
      <c r="Y2245" s="10">
        <v>61.39</v>
      </c>
      <c r="Z2245" s="11">
        <v>69.036000000000001</v>
      </c>
      <c r="AA2245" s="11">
        <v>66.611000000000004</v>
      </c>
      <c r="AB2245" s="11">
        <v>65.631</v>
      </c>
      <c r="AC2245" s="11">
        <v>65.174000000000007</v>
      </c>
      <c r="AD2245" s="11">
        <v>64.944999999999993</v>
      </c>
      <c r="AE2245" s="11">
        <v>64.81</v>
      </c>
      <c r="AF2245" s="11">
        <v>64.759</v>
      </c>
      <c r="AG2245" s="11">
        <v>64.72</v>
      </c>
      <c r="AH2245" s="11">
        <v>64.698999999999998</v>
      </c>
      <c r="AI2245" s="11">
        <v>64.653999999999996</v>
      </c>
      <c r="AJ2245" s="11">
        <v>64.637</v>
      </c>
      <c r="AK2245" s="11">
        <v>64.641999999999996</v>
      </c>
      <c r="AL2245" s="11"/>
    </row>
    <row r="2246" spans="1:38" x14ac:dyDescent="0.3">
      <c r="A2246" s="9">
        <f>DATE(2025, 9, 9)</f>
        <v>45909</v>
      </c>
      <c r="B2246" s="10">
        <v>66.39</v>
      </c>
      <c r="C2246" s="10">
        <v>66.11</v>
      </c>
      <c r="D2246" s="10">
        <v>65.86</v>
      </c>
      <c r="E2246" s="10">
        <v>65.680000000000007</v>
      </c>
      <c r="F2246" s="10">
        <v>65.59</v>
      </c>
      <c r="G2246" s="10">
        <v>65.55</v>
      </c>
      <c r="H2246" s="10">
        <v>65.53</v>
      </c>
      <c r="I2246" s="10">
        <v>65.510000000000005</v>
      </c>
      <c r="J2246" s="10">
        <v>65.47</v>
      </c>
      <c r="K2246" s="10">
        <v>65.45</v>
      </c>
      <c r="L2246" s="10">
        <v>65.430000000000007</v>
      </c>
      <c r="M2246" s="10">
        <v>65.42</v>
      </c>
      <c r="N2246" s="10">
        <v>62.63</v>
      </c>
      <c r="O2246" s="10">
        <v>62.29</v>
      </c>
      <c r="P2246" s="10">
        <v>62.06</v>
      </c>
      <c r="Q2246" s="10">
        <v>61.95</v>
      </c>
      <c r="R2246" s="10">
        <v>61.89</v>
      </c>
      <c r="S2246" s="10">
        <v>61.86</v>
      </c>
      <c r="T2246" s="10">
        <v>61.84</v>
      </c>
      <c r="U2246" s="10">
        <v>61.82</v>
      </c>
      <c r="V2246" s="10">
        <v>61.79</v>
      </c>
      <c r="W2246" s="10">
        <v>61.75</v>
      </c>
      <c r="X2246" s="10">
        <v>61.72</v>
      </c>
      <c r="Y2246" s="10">
        <v>61.69</v>
      </c>
      <c r="Z2246" s="11">
        <v>69.584999999999994</v>
      </c>
      <c r="AA2246" s="11">
        <v>67.438999999999993</v>
      </c>
      <c r="AB2246" s="11">
        <v>66.316000000000003</v>
      </c>
      <c r="AC2246" s="11">
        <v>65.790000000000006</v>
      </c>
      <c r="AD2246" s="11">
        <v>65.509</v>
      </c>
      <c r="AE2246" s="11">
        <v>65.33</v>
      </c>
      <c r="AF2246" s="11">
        <v>65.239999999999995</v>
      </c>
      <c r="AG2246" s="11">
        <v>65.179000000000002</v>
      </c>
      <c r="AH2246" s="11">
        <v>65.103999999999999</v>
      </c>
      <c r="AI2246" s="11">
        <v>65.043999999999997</v>
      </c>
      <c r="AJ2246" s="11">
        <v>65.013999999999996</v>
      </c>
      <c r="AK2246" s="11">
        <v>64.995999999999995</v>
      </c>
      <c r="AL2246" s="11"/>
    </row>
    <row r="2247" spans="1:38" x14ac:dyDescent="0.3">
      <c r="A2247" s="9">
        <f>DATE(2025, 9, 10)</f>
        <v>45910</v>
      </c>
      <c r="B2247" s="10">
        <v>67.489999999999995</v>
      </c>
      <c r="C2247" s="10">
        <v>67.16</v>
      </c>
      <c r="D2247" s="10">
        <v>66.87</v>
      </c>
      <c r="E2247" s="10">
        <v>66.66</v>
      </c>
      <c r="F2247" s="10">
        <v>66.55</v>
      </c>
      <c r="G2247" s="10">
        <v>66.47</v>
      </c>
      <c r="H2247" s="10">
        <v>66.42</v>
      </c>
      <c r="I2247" s="10">
        <v>66.37</v>
      </c>
      <c r="J2247" s="10">
        <v>66.319999999999993</v>
      </c>
      <c r="K2247" s="10">
        <v>66.28</v>
      </c>
      <c r="L2247" s="10">
        <v>66.239999999999995</v>
      </c>
      <c r="M2247" s="10">
        <v>66.22</v>
      </c>
      <c r="N2247" s="10">
        <v>63.67</v>
      </c>
      <c r="O2247" s="10">
        <v>63.35</v>
      </c>
      <c r="P2247" s="10">
        <v>63.09</v>
      </c>
      <c r="Q2247" s="10">
        <v>62.93</v>
      </c>
      <c r="R2247" s="10">
        <v>62.82</v>
      </c>
      <c r="S2247" s="10">
        <v>62.75</v>
      </c>
      <c r="T2247" s="10">
        <v>62.69</v>
      </c>
      <c r="U2247" s="10">
        <v>62.64</v>
      </c>
      <c r="V2247" s="10">
        <v>62.59</v>
      </c>
      <c r="W2247" s="10">
        <v>62.53</v>
      </c>
      <c r="X2247" s="10">
        <v>62.47</v>
      </c>
      <c r="Y2247" s="10">
        <v>62.43</v>
      </c>
      <c r="Z2247" s="11">
        <v>70.582999999999998</v>
      </c>
      <c r="AA2247" s="11">
        <v>68.846999999999994</v>
      </c>
      <c r="AB2247" s="11">
        <v>67.631</v>
      </c>
      <c r="AC2247" s="11">
        <v>67.051000000000002</v>
      </c>
      <c r="AD2247" s="11">
        <v>66.700999999999993</v>
      </c>
      <c r="AE2247" s="11">
        <v>66.450999999999993</v>
      </c>
      <c r="AF2247" s="11">
        <v>66.311000000000007</v>
      </c>
      <c r="AG2247" s="11">
        <v>66.200999999999993</v>
      </c>
      <c r="AH2247" s="11">
        <v>66.097999999999999</v>
      </c>
      <c r="AI2247" s="11">
        <v>66.028000000000006</v>
      </c>
      <c r="AJ2247" s="11">
        <v>65.959000000000003</v>
      </c>
      <c r="AK2247" s="11">
        <v>65.92</v>
      </c>
      <c r="AL2247" s="11"/>
    </row>
    <row r="2248" spans="1:38" x14ac:dyDescent="0.3">
      <c r="A2248" s="9">
        <f>DATE(2025, 9, 11)</f>
        <v>45911</v>
      </c>
      <c r="B2248" s="10">
        <v>66.37</v>
      </c>
      <c r="C2248" s="10">
        <v>66.010000000000005</v>
      </c>
      <c r="D2248" s="10">
        <v>65.73</v>
      </c>
      <c r="E2248" s="10">
        <v>65.540000000000006</v>
      </c>
      <c r="F2248" s="10">
        <v>65.45</v>
      </c>
      <c r="G2248" s="10">
        <v>65.400000000000006</v>
      </c>
      <c r="H2248" s="10">
        <v>65.37</v>
      </c>
      <c r="I2248" s="10">
        <v>65.349999999999994</v>
      </c>
      <c r="J2248" s="10">
        <v>65.319999999999993</v>
      </c>
      <c r="K2248" s="10">
        <v>65.290000000000006</v>
      </c>
      <c r="L2248" s="10">
        <v>65.27</v>
      </c>
      <c r="M2248" s="10">
        <v>65.260000000000005</v>
      </c>
      <c r="N2248" s="10">
        <v>62.37</v>
      </c>
      <c r="O2248" s="10">
        <v>62.08</v>
      </c>
      <c r="P2248" s="10">
        <v>61.85</v>
      </c>
      <c r="Q2248" s="10">
        <v>61.72</v>
      </c>
      <c r="R2248" s="10">
        <v>61.64</v>
      </c>
      <c r="S2248" s="10">
        <v>61.61</v>
      </c>
      <c r="T2248" s="10">
        <v>61.58</v>
      </c>
      <c r="U2248" s="10">
        <v>61.57</v>
      </c>
      <c r="V2248" s="10">
        <v>61.55</v>
      </c>
      <c r="W2248" s="10">
        <v>61.5</v>
      </c>
      <c r="X2248" s="10">
        <v>61.45</v>
      </c>
      <c r="Y2248" s="10">
        <v>61.42</v>
      </c>
      <c r="Z2248" s="11">
        <v>69.870999999999995</v>
      </c>
      <c r="AA2248" s="11">
        <v>67.608000000000004</v>
      </c>
      <c r="AB2248" s="11">
        <v>66.388999999999996</v>
      </c>
      <c r="AC2248" s="11">
        <v>65.831999999999994</v>
      </c>
      <c r="AD2248" s="11">
        <v>65.521000000000001</v>
      </c>
      <c r="AE2248" s="11">
        <v>65.311999999999998</v>
      </c>
      <c r="AF2248" s="11">
        <v>65.198999999999998</v>
      </c>
      <c r="AG2248" s="11">
        <v>65.128</v>
      </c>
      <c r="AH2248" s="11">
        <v>65.057000000000002</v>
      </c>
      <c r="AI2248" s="11">
        <v>64.998999999999995</v>
      </c>
      <c r="AJ2248" s="11">
        <v>64.957999999999998</v>
      </c>
      <c r="AK2248" s="11">
        <v>64.936000000000007</v>
      </c>
      <c r="AL2248" s="11"/>
    </row>
    <row r="2249" spans="1:38" x14ac:dyDescent="0.3">
      <c r="A2249" s="9">
        <f>DATE(2025, 9, 12)</f>
        <v>45912</v>
      </c>
      <c r="B2249" s="10">
        <v>66.989999999999995</v>
      </c>
      <c r="C2249" s="10">
        <v>66.540000000000006</v>
      </c>
      <c r="D2249" s="10">
        <v>66.17</v>
      </c>
      <c r="E2249" s="10">
        <v>65.95</v>
      </c>
      <c r="F2249" s="10">
        <v>65.84</v>
      </c>
      <c r="G2249" s="10">
        <v>65.78</v>
      </c>
      <c r="H2249" s="10">
        <v>65.739999999999995</v>
      </c>
      <c r="I2249" s="10">
        <v>65.709999999999994</v>
      </c>
      <c r="J2249" s="10">
        <v>65.67</v>
      </c>
      <c r="K2249" s="10">
        <v>65.64</v>
      </c>
      <c r="L2249" s="10">
        <v>65.61</v>
      </c>
      <c r="M2249" s="10">
        <v>65.59</v>
      </c>
      <c r="N2249" s="10">
        <v>62.69</v>
      </c>
      <c r="O2249" s="10">
        <v>62.42</v>
      </c>
      <c r="P2249" s="10">
        <v>62.19</v>
      </c>
      <c r="Q2249" s="10">
        <v>62.06</v>
      </c>
      <c r="R2249" s="10">
        <v>61.99</v>
      </c>
      <c r="S2249" s="10">
        <v>61.95</v>
      </c>
      <c r="T2249" s="10">
        <v>61.92</v>
      </c>
      <c r="U2249" s="10">
        <v>61.91</v>
      </c>
      <c r="V2249" s="10">
        <v>61.89</v>
      </c>
      <c r="W2249" s="10">
        <v>61.85</v>
      </c>
      <c r="X2249" s="10">
        <v>61.81</v>
      </c>
      <c r="Y2249" s="10">
        <v>61.77</v>
      </c>
      <c r="Z2249" s="11">
        <v>70.453000000000003</v>
      </c>
      <c r="AA2249" s="11">
        <v>68.62</v>
      </c>
      <c r="AB2249" s="11">
        <v>67.021000000000001</v>
      </c>
      <c r="AC2249" s="11">
        <v>66.33</v>
      </c>
      <c r="AD2249" s="11">
        <v>65.960999999999999</v>
      </c>
      <c r="AE2249" s="11">
        <v>65.730999999999995</v>
      </c>
      <c r="AF2249" s="11">
        <v>65.608999999999995</v>
      </c>
      <c r="AG2249" s="11">
        <v>65.512</v>
      </c>
      <c r="AH2249" s="11">
        <v>65.417000000000002</v>
      </c>
      <c r="AI2249" s="11">
        <v>65.349000000000004</v>
      </c>
      <c r="AJ2249" s="11">
        <v>65.296999999999997</v>
      </c>
      <c r="AK2249" s="11">
        <v>65.265000000000001</v>
      </c>
      <c r="AL2249" s="11"/>
    </row>
    <row r="2250" spans="1:38" x14ac:dyDescent="0.3">
      <c r="A2250" s="9">
        <f>DATE(2025, 9, 15)</f>
        <v>45915</v>
      </c>
      <c r="B2250" s="10">
        <v>67.44</v>
      </c>
      <c r="C2250" s="10">
        <v>67.040000000000006</v>
      </c>
      <c r="D2250" s="10">
        <v>66.69</v>
      </c>
      <c r="E2250" s="10">
        <v>66.459999999999994</v>
      </c>
      <c r="F2250" s="10">
        <v>66.34</v>
      </c>
      <c r="G2250" s="10">
        <v>66.27</v>
      </c>
      <c r="H2250" s="10">
        <v>66.22</v>
      </c>
      <c r="I2250" s="10">
        <v>66.17</v>
      </c>
      <c r="J2250" s="10">
        <v>66.11</v>
      </c>
      <c r="K2250" s="10">
        <v>66.069999999999993</v>
      </c>
      <c r="L2250" s="10">
        <v>66.03</v>
      </c>
      <c r="M2250" s="10">
        <v>66</v>
      </c>
      <c r="N2250" s="10">
        <v>63.3</v>
      </c>
      <c r="O2250" s="10">
        <v>63.02</v>
      </c>
      <c r="P2250" s="10">
        <v>62.76</v>
      </c>
      <c r="Q2250" s="10">
        <v>62.6</v>
      </c>
      <c r="R2250" s="10">
        <v>62.49</v>
      </c>
      <c r="S2250" s="10">
        <v>62.43</v>
      </c>
      <c r="T2250" s="10">
        <v>62.39</v>
      </c>
      <c r="U2250" s="10">
        <v>62.36</v>
      </c>
      <c r="V2250" s="10">
        <v>62.33</v>
      </c>
      <c r="W2250" s="10">
        <v>62.27</v>
      </c>
      <c r="X2250" s="10">
        <v>62.21</v>
      </c>
      <c r="Y2250" s="10">
        <v>62.16</v>
      </c>
      <c r="Z2250" s="11">
        <v>70.662999999999997</v>
      </c>
      <c r="AA2250" s="11">
        <v>69.063999999999993</v>
      </c>
      <c r="AB2250" s="11">
        <v>67.328999999999994</v>
      </c>
      <c r="AC2250" s="11">
        <v>66.718999999999994</v>
      </c>
      <c r="AD2250" s="11">
        <v>66.387</v>
      </c>
      <c r="AE2250" s="11">
        <v>66.168000000000006</v>
      </c>
      <c r="AF2250" s="11">
        <v>66.039000000000001</v>
      </c>
      <c r="AG2250" s="11">
        <v>65.936999999999998</v>
      </c>
      <c r="AH2250" s="11">
        <v>65.837999999999994</v>
      </c>
      <c r="AI2250" s="11">
        <v>65.768000000000001</v>
      </c>
      <c r="AJ2250" s="11">
        <v>65.709000000000003</v>
      </c>
      <c r="AK2250" s="11">
        <v>65.66</v>
      </c>
      <c r="AL2250" s="11"/>
    </row>
    <row r="2251" spans="1:38" x14ac:dyDescent="0.3">
      <c r="A2251" s="9">
        <f>DATE(2025, 9, 16)</f>
        <v>45916</v>
      </c>
      <c r="B2251" s="10">
        <v>68.47</v>
      </c>
      <c r="C2251" s="10">
        <v>68.010000000000005</v>
      </c>
      <c r="D2251" s="10">
        <v>67.62</v>
      </c>
      <c r="E2251" s="10">
        <v>67.349999999999994</v>
      </c>
      <c r="F2251" s="10">
        <v>67.19</v>
      </c>
      <c r="G2251" s="10">
        <v>67.09</v>
      </c>
      <c r="H2251" s="10">
        <v>67.03</v>
      </c>
      <c r="I2251" s="10">
        <v>66.97</v>
      </c>
      <c r="J2251" s="10">
        <v>66.900000000000006</v>
      </c>
      <c r="K2251" s="10">
        <v>66.83</v>
      </c>
      <c r="L2251" s="10">
        <v>66.77</v>
      </c>
      <c r="M2251" s="10">
        <v>66.72</v>
      </c>
      <c r="N2251" s="10">
        <v>64.52</v>
      </c>
      <c r="O2251" s="10">
        <v>64.16</v>
      </c>
      <c r="P2251" s="10">
        <v>63.82</v>
      </c>
      <c r="Q2251" s="10">
        <v>63.6</v>
      </c>
      <c r="R2251" s="10">
        <v>63.43</v>
      </c>
      <c r="S2251" s="10">
        <v>63.33</v>
      </c>
      <c r="T2251" s="10">
        <v>63.26</v>
      </c>
      <c r="U2251" s="10">
        <v>63.21</v>
      </c>
      <c r="V2251" s="10">
        <v>63.17</v>
      </c>
      <c r="W2251" s="10">
        <v>63.1</v>
      </c>
      <c r="X2251" s="10">
        <v>63.02</v>
      </c>
      <c r="Y2251" s="10">
        <v>62.95</v>
      </c>
      <c r="Z2251" s="11">
        <v>70.834999999999994</v>
      </c>
      <c r="AA2251" s="11">
        <v>69.807000000000002</v>
      </c>
      <c r="AB2251" s="11">
        <v>68.236000000000004</v>
      </c>
      <c r="AC2251" s="11">
        <v>67.564999999999998</v>
      </c>
      <c r="AD2251" s="11">
        <v>67.183999999999997</v>
      </c>
      <c r="AE2251" s="11">
        <v>66.942999999999998</v>
      </c>
      <c r="AF2251" s="11">
        <v>66.802999999999997</v>
      </c>
      <c r="AG2251" s="11">
        <v>66.697000000000003</v>
      </c>
      <c r="AH2251" s="11">
        <v>66.593000000000004</v>
      </c>
      <c r="AI2251" s="11">
        <v>66.486999999999995</v>
      </c>
      <c r="AJ2251" s="11">
        <v>66.418000000000006</v>
      </c>
      <c r="AK2251" s="11">
        <v>66.358000000000004</v>
      </c>
      <c r="AL2251" s="11"/>
    </row>
    <row r="2252" spans="1:38" x14ac:dyDescent="0.3">
      <c r="A2252" s="9">
        <f>DATE(2025, 9, 17)</f>
        <v>45917</v>
      </c>
      <c r="B2252" s="10">
        <v>67.95</v>
      </c>
      <c r="C2252" s="10">
        <v>67.459999999999994</v>
      </c>
      <c r="D2252" s="10">
        <v>67.069999999999993</v>
      </c>
      <c r="E2252" s="10">
        <v>66.78</v>
      </c>
      <c r="F2252" s="10">
        <v>66.62</v>
      </c>
      <c r="G2252" s="10">
        <v>66.510000000000005</v>
      </c>
      <c r="H2252" s="10">
        <v>66.44</v>
      </c>
      <c r="I2252" s="10">
        <v>66.37</v>
      </c>
      <c r="J2252" s="10">
        <v>66.290000000000006</v>
      </c>
      <c r="K2252" s="10">
        <v>66.209999999999994</v>
      </c>
      <c r="L2252" s="10">
        <v>66.150000000000006</v>
      </c>
      <c r="M2252" s="10">
        <v>66.099999999999994</v>
      </c>
      <c r="N2252" s="10">
        <v>64.05</v>
      </c>
      <c r="O2252" s="10">
        <v>63.7</v>
      </c>
      <c r="P2252" s="10">
        <v>63.32</v>
      </c>
      <c r="Q2252" s="10">
        <v>63.08</v>
      </c>
      <c r="R2252" s="10">
        <v>62.89</v>
      </c>
      <c r="S2252" s="10">
        <v>62.76</v>
      </c>
      <c r="T2252" s="10">
        <v>62.67</v>
      </c>
      <c r="U2252" s="10">
        <v>62.6</v>
      </c>
      <c r="V2252" s="10">
        <v>62.55</v>
      </c>
      <c r="W2252" s="10">
        <v>62.47</v>
      </c>
      <c r="X2252" s="10">
        <v>62.38</v>
      </c>
      <c r="Y2252" s="10">
        <v>62.31</v>
      </c>
      <c r="Z2252" s="11">
        <v>70.468000000000004</v>
      </c>
      <c r="AA2252" s="11">
        <v>69.150999999999996</v>
      </c>
      <c r="AB2252" s="11">
        <v>67.644999999999996</v>
      </c>
      <c r="AC2252" s="11">
        <v>66.978999999999999</v>
      </c>
      <c r="AD2252" s="11">
        <v>66.603999999999999</v>
      </c>
      <c r="AE2252" s="11">
        <v>66.353999999999999</v>
      </c>
      <c r="AF2252" s="11">
        <v>66.212999999999994</v>
      </c>
      <c r="AG2252" s="11">
        <v>66.096000000000004</v>
      </c>
      <c r="AH2252" s="11">
        <v>65.981999999999999</v>
      </c>
      <c r="AI2252" s="11">
        <v>65.867000000000004</v>
      </c>
      <c r="AJ2252" s="11">
        <v>65.798000000000002</v>
      </c>
      <c r="AK2252" s="11">
        <v>65.738</v>
      </c>
      <c r="AL2252" s="11"/>
    </row>
    <row r="2253" spans="1:38" x14ac:dyDescent="0.3">
      <c r="A2253" s="9">
        <f>DATE(2025, 9, 18)</f>
        <v>45918</v>
      </c>
      <c r="B2253" s="10">
        <v>67.44</v>
      </c>
      <c r="C2253" s="10">
        <v>66.92</v>
      </c>
      <c r="D2253" s="10">
        <v>66.52</v>
      </c>
      <c r="E2253" s="10">
        <v>66.239999999999995</v>
      </c>
      <c r="F2253" s="10">
        <v>66.09</v>
      </c>
      <c r="G2253" s="10">
        <v>66</v>
      </c>
      <c r="H2253" s="10">
        <v>65.94</v>
      </c>
      <c r="I2253" s="10">
        <v>65.89</v>
      </c>
      <c r="J2253" s="10">
        <v>65.83</v>
      </c>
      <c r="K2253" s="10">
        <v>65.77</v>
      </c>
      <c r="L2253" s="10">
        <v>65.709999999999994</v>
      </c>
      <c r="M2253" s="10">
        <v>65.67</v>
      </c>
      <c r="N2253" s="10">
        <v>63.57</v>
      </c>
      <c r="O2253" s="10">
        <v>63.26</v>
      </c>
      <c r="P2253" s="10">
        <v>62.87</v>
      </c>
      <c r="Q2253" s="10">
        <v>62.61</v>
      </c>
      <c r="R2253" s="10">
        <v>62.42</v>
      </c>
      <c r="S2253" s="10">
        <v>62.3</v>
      </c>
      <c r="T2253" s="10">
        <v>62.22</v>
      </c>
      <c r="U2253" s="10">
        <v>62.16</v>
      </c>
      <c r="V2253" s="10">
        <v>62.1</v>
      </c>
      <c r="W2253" s="10">
        <v>62.04</v>
      </c>
      <c r="X2253" s="10">
        <v>61.97</v>
      </c>
      <c r="Y2253" s="10">
        <v>61.91</v>
      </c>
      <c r="Z2253" s="11">
        <v>70.188000000000002</v>
      </c>
      <c r="AA2253" s="11">
        <v>68.363</v>
      </c>
      <c r="AB2253" s="11">
        <v>67.031999999999996</v>
      </c>
      <c r="AC2253" s="11">
        <v>66.424999999999997</v>
      </c>
      <c r="AD2253" s="11">
        <v>66.066000000000003</v>
      </c>
      <c r="AE2253" s="11">
        <v>65.823999999999998</v>
      </c>
      <c r="AF2253" s="11">
        <v>65.677999999999997</v>
      </c>
      <c r="AG2253" s="11">
        <v>65.576999999999998</v>
      </c>
      <c r="AH2253" s="11">
        <v>65.475999999999999</v>
      </c>
      <c r="AI2253" s="11">
        <v>65.408000000000001</v>
      </c>
      <c r="AJ2253" s="11">
        <v>65.347999999999999</v>
      </c>
      <c r="AK2253" s="11">
        <v>65.278999999999996</v>
      </c>
      <c r="AL2253" s="11"/>
    </row>
    <row r="2254" spans="1:38" x14ac:dyDescent="0.3">
      <c r="A2254" s="9">
        <f>DATE(2025, 9, 19)</f>
        <v>45919</v>
      </c>
      <c r="B2254" s="10">
        <v>66.680000000000007</v>
      </c>
      <c r="C2254" s="10">
        <v>66.040000000000006</v>
      </c>
      <c r="D2254" s="10">
        <v>65.599999999999994</v>
      </c>
      <c r="E2254" s="10">
        <v>65.33</v>
      </c>
      <c r="F2254" s="10">
        <v>65.19</v>
      </c>
      <c r="G2254" s="10">
        <v>65.13</v>
      </c>
      <c r="H2254" s="10">
        <v>65.09</v>
      </c>
      <c r="I2254" s="10">
        <v>65.06</v>
      </c>
      <c r="J2254" s="10">
        <v>65.010000000000005</v>
      </c>
      <c r="K2254" s="10">
        <v>64.959999999999994</v>
      </c>
      <c r="L2254" s="10">
        <v>64.92</v>
      </c>
      <c r="M2254" s="10">
        <v>64.89</v>
      </c>
      <c r="N2254" s="10">
        <v>62.68</v>
      </c>
      <c r="O2254" s="10">
        <v>62.4</v>
      </c>
      <c r="P2254" s="10">
        <v>61.98</v>
      </c>
      <c r="Q2254" s="10">
        <v>61.7</v>
      </c>
      <c r="R2254" s="10">
        <v>61.52</v>
      </c>
      <c r="S2254" s="10">
        <v>61.43</v>
      </c>
      <c r="T2254" s="10">
        <v>61.38</v>
      </c>
      <c r="U2254" s="10">
        <v>61.36</v>
      </c>
      <c r="V2254" s="10">
        <v>61.34</v>
      </c>
      <c r="W2254" s="10">
        <v>61.29</v>
      </c>
      <c r="X2254" s="10">
        <v>61.23</v>
      </c>
      <c r="Y2254" s="10">
        <v>61.18</v>
      </c>
      <c r="Z2254" s="11">
        <v>69.823999999999998</v>
      </c>
      <c r="AA2254" s="11">
        <v>67.513000000000005</v>
      </c>
      <c r="AB2254" s="11">
        <v>66.183000000000007</v>
      </c>
      <c r="AC2254" s="11">
        <v>65.576999999999998</v>
      </c>
      <c r="AD2254" s="11">
        <v>65.207999999999998</v>
      </c>
      <c r="AE2254" s="11">
        <v>64.97</v>
      </c>
      <c r="AF2254" s="11">
        <v>64.846999999999994</v>
      </c>
      <c r="AG2254" s="11">
        <v>64.748000000000005</v>
      </c>
      <c r="AH2254" s="11">
        <v>64.656999999999996</v>
      </c>
      <c r="AI2254" s="11">
        <v>64.599000000000004</v>
      </c>
      <c r="AJ2254" s="11">
        <v>64.558999999999997</v>
      </c>
      <c r="AK2254" s="11">
        <v>64.5</v>
      </c>
      <c r="AL2254" s="11"/>
    </row>
    <row r="2255" spans="1:38" x14ac:dyDescent="0.3">
      <c r="A2255" s="9">
        <f>DATE(2025, 9, 22)</f>
        <v>45922</v>
      </c>
      <c r="B2255" s="10">
        <v>66.569999999999993</v>
      </c>
      <c r="C2255" s="10">
        <v>65.97</v>
      </c>
      <c r="D2255" s="10">
        <v>65.56</v>
      </c>
      <c r="E2255" s="10">
        <v>65.319999999999993</v>
      </c>
      <c r="F2255" s="10">
        <v>65.2</v>
      </c>
      <c r="G2255" s="10">
        <v>65.16</v>
      </c>
      <c r="H2255" s="10">
        <v>65.14</v>
      </c>
      <c r="I2255" s="10">
        <v>65.12</v>
      </c>
      <c r="J2255" s="10">
        <v>65.08</v>
      </c>
      <c r="K2255" s="10">
        <v>65.03</v>
      </c>
      <c r="L2255" s="10">
        <v>64.989999999999995</v>
      </c>
      <c r="M2255" s="10">
        <v>64.959999999999994</v>
      </c>
      <c r="N2255" s="10">
        <v>62.64</v>
      </c>
      <c r="O2255" s="10">
        <v>62.28</v>
      </c>
      <c r="P2255" s="10">
        <v>61.9</v>
      </c>
      <c r="Q2255" s="10">
        <v>61.66</v>
      </c>
      <c r="R2255" s="10">
        <v>61.51</v>
      </c>
      <c r="S2255" s="10">
        <v>61.43</v>
      </c>
      <c r="T2255" s="10">
        <v>61.4</v>
      </c>
      <c r="U2255" s="10">
        <v>61.39</v>
      </c>
      <c r="V2255" s="10">
        <v>61.38</v>
      </c>
      <c r="W2255" s="10">
        <v>61.33</v>
      </c>
      <c r="X2255" s="10">
        <v>61.29</v>
      </c>
      <c r="Y2255" s="10">
        <v>61.25</v>
      </c>
      <c r="Z2255" s="11">
        <v>69.543999999999997</v>
      </c>
      <c r="AA2255" s="11">
        <v>67.037000000000006</v>
      </c>
      <c r="AB2255" s="11">
        <v>66.007000000000005</v>
      </c>
      <c r="AC2255" s="11">
        <v>65.468999999999994</v>
      </c>
      <c r="AD2255" s="11">
        <v>65.162000000000006</v>
      </c>
      <c r="AE2255" s="11">
        <v>64.962999999999994</v>
      </c>
      <c r="AF2255" s="11">
        <v>64.861000000000004</v>
      </c>
      <c r="AG2255" s="11">
        <v>64.798000000000002</v>
      </c>
      <c r="AH2255" s="11">
        <v>64.718000000000004</v>
      </c>
      <c r="AI2255" s="11">
        <v>64.647999999999996</v>
      </c>
      <c r="AJ2255" s="11">
        <v>64.599000000000004</v>
      </c>
      <c r="AK2255" s="11">
        <v>64.56</v>
      </c>
      <c r="AL2255" s="11"/>
    </row>
    <row r="2256" spans="1:38" x14ac:dyDescent="0.3">
      <c r="A2256" s="9">
        <f>DATE(2025, 9, 23)</f>
        <v>45923</v>
      </c>
      <c r="B2256" s="10">
        <v>67.63</v>
      </c>
      <c r="C2256" s="10">
        <v>66.97</v>
      </c>
      <c r="D2256" s="10">
        <v>66.5</v>
      </c>
      <c r="E2256" s="10">
        <v>66.19</v>
      </c>
      <c r="F2256" s="10">
        <v>66.03</v>
      </c>
      <c r="G2256" s="10">
        <v>65.95</v>
      </c>
      <c r="H2256" s="10">
        <v>65.900000000000006</v>
      </c>
      <c r="I2256" s="10">
        <v>65.84</v>
      </c>
      <c r="J2256" s="10">
        <v>65.77</v>
      </c>
      <c r="K2256" s="10">
        <v>65.7</v>
      </c>
      <c r="L2256" s="10">
        <v>65.63</v>
      </c>
      <c r="M2256" s="10">
        <v>65.58</v>
      </c>
      <c r="N2256" s="10">
        <v>63.41</v>
      </c>
      <c r="O2256" s="10">
        <v>62.93</v>
      </c>
      <c r="P2256" s="10">
        <v>62.62</v>
      </c>
      <c r="Q2256" s="10">
        <v>62.41</v>
      </c>
      <c r="R2256" s="10">
        <v>62.28</v>
      </c>
      <c r="S2256" s="10">
        <v>62.21</v>
      </c>
      <c r="T2256" s="10">
        <v>62.16</v>
      </c>
      <c r="U2256" s="10">
        <v>62.13</v>
      </c>
      <c r="V2256" s="10">
        <v>62.06</v>
      </c>
      <c r="W2256" s="10">
        <v>61.98</v>
      </c>
      <c r="X2256" s="10">
        <v>61.93</v>
      </c>
      <c r="Y2256" s="10">
        <v>61.87</v>
      </c>
      <c r="Z2256" s="11">
        <v>70.016000000000005</v>
      </c>
      <c r="AA2256" s="11">
        <v>68.655000000000001</v>
      </c>
      <c r="AB2256" s="11">
        <v>67.284999999999997</v>
      </c>
      <c r="AC2256" s="11">
        <v>66.594999999999999</v>
      </c>
      <c r="AD2256" s="11">
        <v>66.215999999999994</v>
      </c>
      <c r="AE2256" s="11">
        <v>65.968000000000004</v>
      </c>
      <c r="AF2256" s="11">
        <v>65.831999999999994</v>
      </c>
      <c r="AG2256" s="11">
        <v>65.721999999999994</v>
      </c>
      <c r="AH2256" s="11">
        <v>65.602000000000004</v>
      </c>
      <c r="AI2256" s="11">
        <v>65.471999999999994</v>
      </c>
      <c r="AJ2256" s="11">
        <v>65.382999999999996</v>
      </c>
      <c r="AK2256" s="11">
        <v>65.313000000000002</v>
      </c>
      <c r="AL2256" s="11"/>
    </row>
    <row r="2257" spans="1:38" x14ac:dyDescent="0.3">
      <c r="A2257" s="9">
        <f>DATE(2025, 9, 24)</f>
        <v>45924</v>
      </c>
      <c r="B2257" s="10">
        <v>69.31</v>
      </c>
      <c r="C2257" s="10">
        <v>68.459999999999994</v>
      </c>
      <c r="D2257" s="10">
        <v>67.88</v>
      </c>
      <c r="E2257" s="10">
        <v>67.459999999999994</v>
      </c>
      <c r="F2257" s="10">
        <v>67.2</v>
      </c>
      <c r="G2257" s="10">
        <v>67.040000000000006</v>
      </c>
      <c r="H2257" s="10">
        <v>66.930000000000007</v>
      </c>
      <c r="I2257" s="10">
        <v>66.819999999999993</v>
      </c>
      <c r="J2257" s="10">
        <v>66.69</v>
      </c>
      <c r="K2257" s="10">
        <v>66.56</v>
      </c>
      <c r="L2257" s="10">
        <v>66.44</v>
      </c>
      <c r="M2257" s="10">
        <v>66.34</v>
      </c>
      <c r="N2257" s="10">
        <v>64.989999999999995</v>
      </c>
      <c r="O2257" s="10">
        <v>64.39</v>
      </c>
      <c r="P2257" s="10">
        <v>63.96</v>
      </c>
      <c r="Q2257" s="10">
        <v>63.66</v>
      </c>
      <c r="R2257" s="10">
        <v>63.45</v>
      </c>
      <c r="S2257" s="10">
        <v>63.29</v>
      </c>
      <c r="T2257" s="10">
        <v>63.17</v>
      </c>
      <c r="U2257" s="10">
        <v>63.06</v>
      </c>
      <c r="V2257" s="10">
        <v>62.92</v>
      </c>
      <c r="W2257" s="10">
        <v>62.79</v>
      </c>
      <c r="X2257" s="10">
        <v>62.67</v>
      </c>
      <c r="Y2257" s="10">
        <v>62.56</v>
      </c>
      <c r="Z2257" s="11">
        <v>70.283000000000001</v>
      </c>
      <c r="AA2257" s="11">
        <v>70.125</v>
      </c>
      <c r="AB2257" s="11">
        <v>68.799000000000007</v>
      </c>
      <c r="AC2257" s="11">
        <v>68.049000000000007</v>
      </c>
      <c r="AD2257" s="11">
        <v>67.542000000000002</v>
      </c>
      <c r="AE2257" s="11">
        <v>67.197000000000003</v>
      </c>
      <c r="AF2257" s="11">
        <v>66.984999999999999</v>
      </c>
      <c r="AG2257" s="11">
        <v>66.813000000000002</v>
      </c>
      <c r="AH2257" s="11">
        <v>66.641000000000005</v>
      </c>
      <c r="AI2257" s="11">
        <v>66.448999999999998</v>
      </c>
      <c r="AJ2257" s="11">
        <v>66.281000000000006</v>
      </c>
      <c r="AK2257" s="11">
        <v>66.147999999999996</v>
      </c>
      <c r="AL2257" s="11"/>
    </row>
    <row r="2258" spans="1:38" x14ac:dyDescent="0.3">
      <c r="A2258" s="9">
        <f>DATE(2025, 9, 25)</f>
        <v>45925</v>
      </c>
      <c r="B2258" s="10">
        <v>69.42</v>
      </c>
      <c r="C2258" s="10">
        <v>68.58</v>
      </c>
      <c r="D2258" s="10">
        <v>68.03</v>
      </c>
      <c r="E2258" s="10">
        <v>67.64</v>
      </c>
      <c r="F2258" s="10">
        <v>67.38</v>
      </c>
      <c r="G2258" s="10">
        <v>67.23</v>
      </c>
      <c r="H2258" s="10">
        <v>67.13</v>
      </c>
      <c r="I2258" s="10">
        <v>67.02</v>
      </c>
      <c r="J2258" s="10">
        <v>66.89</v>
      </c>
      <c r="K2258" s="10">
        <v>66.760000000000005</v>
      </c>
      <c r="L2258" s="10">
        <v>66.650000000000006</v>
      </c>
      <c r="M2258" s="10">
        <v>66.55</v>
      </c>
      <c r="N2258" s="10">
        <v>64.98</v>
      </c>
      <c r="O2258" s="10">
        <v>64.400000000000006</v>
      </c>
      <c r="P2258" s="10">
        <v>64.010000000000005</v>
      </c>
      <c r="Q2258" s="10">
        <v>63.73</v>
      </c>
      <c r="R2258" s="10">
        <v>63.53</v>
      </c>
      <c r="S2258" s="10">
        <v>63.39</v>
      </c>
      <c r="T2258" s="10">
        <v>63.27</v>
      </c>
      <c r="U2258" s="10">
        <v>63.16</v>
      </c>
      <c r="V2258" s="10">
        <v>63.02</v>
      </c>
      <c r="W2258" s="10">
        <v>62.88</v>
      </c>
      <c r="X2258" s="10">
        <v>62.76</v>
      </c>
      <c r="Y2258" s="10">
        <v>62.65</v>
      </c>
      <c r="Z2258" s="11">
        <v>70.242000000000004</v>
      </c>
      <c r="AA2258" s="11">
        <v>69.965999999999994</v>
      </c>
      <c r="AB2258" s="11">
        <v>68.861000000000004</v>
      </c>
      <c r="AC2258" s="11">
        <v>68.186000000000007</v>
      </c>
      <c r="AD2258" s="11">
        <v>67.686000000000007</v>
      </c>
      <c r="AE2258" s="11">
        <v>67.349999999999994</v>
      </c>
      <c r="AF2258" s="11">
        <v>67.156999999999996</v>
      </c>
      <c r="AG2258" s="11">
        <v>66.986999999999995</v>
      </c>
      <c r="AH2258" s="11">
        <v>66.820999999999998</v>
      </c>
      <c r="AI2258" s="11">
        <v>66.635000000000005</v>
      </c>
      <c r="AJ2258" s="11">
        <v>66.486000000000004</v>
      </c>
      <c r="AK2258" s="11">
        <v>66.352999999999994</v>
      </c>
      <c r="AL2258" s="11"/>
    </row>
    <row r="2259" spans="1:38" x14ac:dyDescent="0.3">
      <c r="A2259" s="9">
        <f>DATE(2025, 9, 26)</f>
        <v>45926</v>
      </c>
      <c r="B2259" s="10">
        <v>70.13</v>
      </c>
      <c r="C2259" s="10">
        <v>69.22</v>
      </c>
      <c r="D2259" s="10">
        <v>68.650000000000006</v>
      </c>
      <c r="E2259" s="10">
        <v>68.23</v>
      </c>
      <c r="F2259" s="10">
        <v>67.95</v>
      </c>
      <c r="G2259" s="10">
        <v>67.790000000000006</v>
      </c>
      <c r="H2259" s="10">
        <v>67.67</v>
      </c>
      <c r="I2259" s="10">
        <v>67.56</v>
      </c>
      <c r="J2259" s="10">
        <v>67.430000000000007</v>
      </c>
      <c r="K2259" s="10">
        <v>67.3</v>
      </c>
      <c r="L2259" s="10">
        <v>67.19</v>
      </c>
      <c r="M2259" s="10">
        <v>67.09</v>
      </c>
      <c r="N2259" s="10">
        <v>65.72</v>
      </c>
      <c r="O2259" s="10">
        <v>65.14</v>
      </c>
      <c r="P2259" s="10">
        <v>64.73</v>
      </c>
      <c r="Q2259" s="10">
        <v>64.41</v>
      </c>
      <c r="R2259" s="10">
        <v>64.180000000000007</v>
      </c>
      <c r="S2259" s="10">
        <v>64.03</v>
      </c>
      <c r="T2259" s="10">
        <v>63.91</v>
      </c>
      <c r="U2259" s="10">
        <v>63.79</v>
      </c>
      <c r="V2259" s="10">
        <v>63.65</v>
      </c>
      <c r="W2259" s="10">
        <v>63.51</v>
      </c>
      <c r="X2259" s="10">
        <v>63.38</v>
      </c>
      <c r="Y2259" s="10">
        <v>63.26</v>
      </c>
      <c r="Z2259" s="11">
        <v>70.248000000000005</v>
      </c>
      <c r="AA2259" s="11">
        <v>70.180000000000007</v>
      </c>
      <c r="AB2259" s="11">
        <v>69.22</v>
      </c>
      <c r="AC2259" s="11">
        <v>68.625</v>
      </c>
      <c r="AD2259" s="11">
        <v>68.155000000000001</v>
      </c>
      <c r="AE2259" s="11">
        <v>67.841999999999999</v>
      </c>
      <c r="AF2259" s="11">
        <v>67.647000000000006</v>
      </c>
      <c r="AG2259" s="11">
        <v>67.483999999999995</v>
      </c>
      <c r="AH2259" s="11">
        <v>67.323999999999998</v>
      </c>
      <c r="AI2259" s="11">
        <v>67.155000000000001</v>
      </c>
      <c r="AJ2259" s="11">
        <v>67.006</v>
      </c>
      <c r="AK2259" s="11">
        <v>66.882999999999996</v>
      </c>
      <c r="AL2259" s="11"/>
    </row>
    <row r="2260" spans="1:38" x14ac:dyDescent="0.3">
      <c r="A2260" s="9">
        <f>DATE(2025, 9, 29)</f>
        <v>45929</v>
      </c>
      <c r="B2260" s="10">
        <v>67.97</v>
      </c>
      <c r="C2260" s="10">
        <v>67.09</v>
      </c>
      <c r="D2260" s="10">
        <v>66.67</v>
      </c>
      <c r="E2260" s="10">
        <v>66.349999999999994</v>
      </c>
      <c r="F2260" s="10">
        <v>66.150000000000006</v>
      </c>
      <c r="G2260" s="10">
        <v>66.05</v>
      </c>
      <c r="H2260" s="10">
        <v>65.989999999999995</v>
      </c>
      <c r="I2260" s="10">
        <v>65.930000000000007</v>
      </c>
      <c r="J2260" s="10">
        <v>65.849999999999994</v>
      </c>
      <c r="K2260" s="10">
        <v>65.77</v>
      </c>
      <c r="L2260" s="10">
        <v>65.7</v>
      </c>
      <c r="M2260" s="10">
        <v>65.64</v>
      </c>
      <c r="N2260" s="10">
        <v>63.45</v>
      </c>
      <c r="O2260" s="10">
        <v>63.01</v>
      </c>
      <c r="P2260" s="10">
        <v>62.72</v>
      </c>
      <c r="Q2260" s="10">
        <v>62.51</v>
      </c>
      <c r="R2260" s="10">
        <v>62.37</v>
      </c>
      <c r="S2260" s="10">
        <v>62.28</v>
      </c>
      <c r="T2260" s="10">
        <v>62.21</v>
      </c>
      <c r="U2260" s="10">
        <v>62.14</v>
      </c>
      <c r="V2260" s="10">
        <v>62.05</v>
      </c>
      <c r="W2260" s="10">
        <v>61.96</v>
      </c>
      <c r="X2260" s="10">
        <v>61.88</v>
      </c>
      <c r="Y2260" s="10">
        <v>61.81</v>
      </c>
      <c r="Z2260" s="11">
        <v>69.998000000000005</v>
      </c>
      <c r="AA2260" s="11">
        <v>67.804000000000002</v>
      </c>
      <c r="AB2260" s="11">
        <v>67.114000000000004</v>
      </c>
      <c r="AC2260" s="11">
        <v>66.623999999999995</v>
      </c>
      <c r="AD2260" s="11">
        <v>66.28</v>
      </c>
      <c r="AE2260" s="11">
        <v>66.046999999999997</v>
      </c>
      <c r="AF2260" s="11">
        <v>65.921999999999997</v>
      </c>
      <c r="AG2260" s="11">
        <v>65.820999999999998</v>
      </c>
      <c r="AH2260" s="11">
        <v>65.715999999999994</v>
      </c>
      <c r="AI2260" s="11">
        <v>65.611999999999995</v>
      </c>
      <c r="AJ2260" s="11">
        <v>65.516999999999996</v>
      </c>
      <c r="AK2260" s="11">
        <v>65.438000000000002</v>
      </c>
      <c r="AL2260" s="11"/>
    </row>
    <row r="2261" spans="1:38" x14ac:dyDescent="0.3">
      <c r="A2261" s="9">
        <f>DATE(2025, 9, 30)</f>
        <v>45930</v>
      </c>
      <c r="B2261" s="10">
        <v>67.02</v>
      </c>
      <c r="C2261" s="10">
        <v>66.03</v>
      </c>
      <c r="D2261" s="10">
        <v>65.62</v>
      </c>
      <c r="E2261" s="10">
        <v>65.319999999999993</v>
      </c>
      <c r="F2261" s="10">
        <v>65.14</v>
      </c>
      <c r="G2261" s="10">
        <v>65.06</v>
      </c>
      <c r="H2261" s="10">
        <v>65.02</v>
      </c>
      <c r="I2261" s="10">
        <v>64.989999999999995</v>
      </c>
      <c r="J2261" s="10">
        <v>64.94</v>
      </c>
      <c r="K2261" s="10">
        <v>64.89</v>
      </c>
      <c r="L2261" s="10">
        <v>64.849999999999994</v>
      </c>
      <c r="M2261" s="10">
        <v>64.819999999999993</v>
      </c>
      <c r="N2261" s="10">
        <v>62.37</v>
      </c>
      <c r="O2261" s="10">
        <v>61.96</v>
      </c>
      <c r="P2261" s="10">
        <v>61.68</v>
      </c>
      <c r="Q2261" s="10">
        <v>61.48</v>
      </c>
      <c r="R2261" s="10">
        <v>61.36</v>
      </c>
      <c r="S2261" s="10">
        <v>61.29</v>
      </c>
      <c r="T2261" s="10">
        <v>61.26</v>
      </c>
      <c r="U2261" s="10">
        <v>61.22</v>
      </c>
      <c r="V2261" s="10">
        <v>61.16</v>
      </c>
      <c r="W2261" s="10">
        <v>61.1</v>
      </c>
      <c r="X2261" s="10">
        <v>61.05</v>
      </c>
      <c r="Y2261" s="10">
        <v>61.01</v>
      </c>
      <c r="Z2261" s="11">
        <v>70.010999999999996</v>
      </c>
      <c r="AA2261" s="11">
        <v>66.784000000000006</v>
      </c>
      <c r="AB2261" s="11">
        <v>66.114999999999995</v>
      </c>
      <c r="AC2261" s="11">
        <v>65.677000000000007</v>
      </c>
      <c r="AD2261" s="11">
        <v>65.346000000000004</v>
      </c>
      <c r="AE2261" s="11">
        <v>65.125</v>
      </c>
      <c r="AF2261" s="11">
        <v>65.013999999999996</v>
      </c>
      <c r="AG2261" s="11">
        <v>64.918000000000006</v>
      </c>
      <c r="AH2261" s="11">
        <v>64.837999999999994</v>
      </c>
      <c r="AI2261" s="11">
        <v>64.757999999999996</v>
      </c>
      <c r="AJ2261" s="11">
        <v>64.688999999999993</v>
      </c>
      <c r="AK2261" s="11">
        <v>64.63</v>
      </c>
      <c r="AL2261" s="11"/>
    </row>
    <row r="2262" spans="1:38" x14ac:dyDescent="0.3">
      <c r="A2262" s="9">
        <f>DATE(2025, 10, 1)</f>
        <v>45931</v>
      </c>
      <c r="B2262" s="10">
        <v>65.349999999999994</v>
      </c>
      <c r="C2262" s="10">
        <v>65</v>
      </c>
      <c r="D2262" s="10">
        <v>64.75</v>
      </c>
      <c r="E2262" s="10">
        <v>64.62</v>
      </c>
      <c r="F2262" s="10">
        <v>64.569999999999993</v>
      </c>
      <c r="G2262" s="10">
        <v>64.55</v>
      </c>
      <c r="H2262" s="10">
        <v>64.53</v>
      </c>
      <c r="I2262" s="10">
        <v>64.510000000000005</v>
      </c>
      <c r="J2262" s="10">
        <v>64.48</v>
      </c>
      <c r="K2262" s="10">
        <v>64.45</v>
      </c>
      <c r="L2262" s="10">
        <v>64.430000000000007</v>
      </c>
      <c r="M2262" s="10">
        <v>64.45</v>
      </c>
      <c r="N2262" s="10">
        <v>61.78</v>
      </c>
      <c r="O2262" s="10">
        <v>61.39</v>
      </c>
      <c r="P2262" s="10">
        <v>61.14</v>
      </c>
      <c r="Q2262" s="10">
        <v>60.98</v>
      </c>
      <c r="R2262" s="10">
        <v>60.89</v>
      </c>
      <c r="S2262" s="10">
        <v>60.85</v>
      </c>
      <c r="T2262" s="10">
        <v>60.83</v>
      </c>
      <c r="U2262" s="10">
        <v>60.82</v>
      </c>
      <c r="V2262" s="10">
        <v>60.79</v>
      </c>
      <c r="W2262" s="10">
        <v>60.74</v>
      </c>
      <c r="X2262" s="10">
        <v>60.7</v>
      </c>
      <c r="Y2262" s="10">
        <v>60.67</v>
      </c>
      <c r="Z2262" s="11">
        <v>70.010999999999996</v>
      </c>
      <c r="AA2262" s="11">
        <v>65.442999999999998</v>
      </c>
      <c r="AB2262" s="11">
        <v>65.019000000000005</v>
      </c>
      <c r="AC2262" s="11">
        <v>64.75</v>
      </c>
      <c r="AD2262" s="11">
        <v>64.56</v>
      </c>
      <c r="AE2262" s="11">
        <v>64.453000000000003</v>
      </c>
      <c r="AF2262" s="11">
        <v>64.403000000000006</v>
      </c>
      <c r="AG2262" s="11">
        <v>64.358999999999995</v>
      </c>
      <c r="AH2262" s="11">
        <v>64.328000000000003</v>
      </c>
      <c r="AI2262" s="11">
        <v>64.289000000000001</v>
      </c>
      <c r="AJ2262" s="11">
        <v>64.248999999999995</v>
      </c>
      <c r="AK2262" s="11">
        <v>64.221999999999994</v>
      </c>
      <c r="AL2262" s="11"/>
    </row>
    <row r="2263" spans="1:38" x14ac:dyDescent="0.3">
      <c r="A2263" s="9">
        <f>DATE(2025, 10, 2)</f>
        <v>45932</v>
      </c>
      <c r="B2263" s="10">
        <v>64.11</v>
      </c>
      <c r="C2263" s="10">
        <v>63.81</v>
      </c>
      <c r="D2263" s="10">
        <v>63.63</v>
      </c>
      <c r="E2263" s="10">
        <v>63.56</v>
      </c>
      <c r="F2263" s="10">
        <v>63.57</v>
      </c>
      <c r="G2263" s="10">
        <v>63.61</v>
      </c>
      <c r="H2263" s="10">
        <v>63.65</v>
      </c>
      <c r="I2263" s="10">
        <v>63.66</v>
      </c>
      <c r="J2263" s="10">
        <v>63.67</v>
      </c>
      <c r="K2263" s="10">
        <v>63.67</v>
      </c>
      <c r="L2263" s="10">
        <v>63.67</v>
      </c>
      <c r="M2263" s="10">
        <v>63.7</v>
      </c>
      <c r="N2263" s="10">
        <v>60.48</v>
      </c>
      <c r="O2263" s="10">
        <v>60.16</v>
      </c>
      <c r="P2263" s="10">
        <v>59.99</v>
      </c>
      <c r="Q2263" s="10">
        <v>59.89</v>
      </c>
      <c r="R2263" s="10">
        <v>59.86</v>
      </c>
      <c r="S2263" s="10">
        <v>59.87</v>
      </c>
      <c r="T2263" s="10">
        <v>59.9</v>
      </c>
      <c r="U2263" s="10">
        <v>59.94</v>
      </c>
      <c r="V2263" s="10">
        <v>59.95</v>
      </c>
      <c r="W2263" s="10">
        <v>59.94</v>
      </c>
      <c r="X2263" s="10">
        <v>59.93</v>
      </c>
      <c r="Y2263" s="10">
        <v>59.92</v>
      </c>
      <c r="Z2263" s="11">
        <v>64.021000000000001</v>
      </c>
      <c r="AA2263" s="11">
        <v>63.420999999999999</v>
      </c>
      <c r="AB2263" s="11">
        <v>63.274000000000001</v>
      </c>
      <c r="AC2263" s="11">
        <v>63.22</v>
      </c>
      <c r="AD2263" s="11">
        <v>63.216000000000001</v>
      </c>
      <c r="AE2263" s="11">
        <v>63.244999999999997</v>
      </c>
      <c r="AF2263" s="11">
        <v>63.28</v>
      </c>
      <c r="AG2263" s="11">
        <v>63.28</v>
      </c>
      <c r="AH2263" s="11">
        <v>63.280999999999999</v>
      </c>
      <c r="AI2263" s="11">
        <v>63.28</v>
      </c>
      <c r="AJ2263" s="11">
        <v>63.273000000000003</v>
      </c>
      <c r="AK2263" s="11">
        <v>63.290999999999997</v>
      </c>
      <c r="AL2263" s="11"/>
    </row>
    <row r="2264" spans="1:38" x14ac:dyDescent="0.3">
      <c r="A2264" s="9">
        <f>DATE(2025, 10, 3)</f>
        <v>45933</v>
      </c>
      <c r="B2264" s="10">
        <v>64.53</v>
      </c>
      <c r="C2264" s="10">
        <v>64.16</v>
      </c>
      <c r="D2264" s="10">
        <v>63.94</v>
      </c>
      <c r="E2264" s="10">
        <v>63.84</v>
      </c>
      <c r="F2264" s="10">
        <v>63.83</v>
      </c>
      <c r="G2264" s="10">
        <v>63.86</v>
      </c>
      <c r="H2264" s="10">
        <v>63.88</v>
      </c>
      <c r="I2264" s="10">
        <v>63.88</v>
      </c>
      <c r="J2264" s="10">
        <v>63.88</v>
      </c>
      <c r="K2264" s="10">
        <v>63.88</v>
      </c>
      <c r="L2264" s="10">
        <v>63.87</v>
      </c>
      <c r="M2264" s="10">
        <v>63.9</v>
      </c>
      <c r="N2264" s="10">
        <v>60.88</v>
      </c>
      <c r="O2264" s="10">
        <v>60.53</v>
      </c>
      <c r="P2264" s="10">
        <v>60.34</v>
      </c>
      <c r="Q2264" s="10">
        <v>60.22</v>
      </c>
      <c r="R2264" s="10">
        <v>60.16</v>
      </c>
      <c r="S2264" s="10">
        <v>60.15</v>
      </c>
      <c r="T2264" s="10">
        <v>60.18</v>
      </c>
      <c r="U2264" s="10">
        <v>60.2</v>
      </c>
      <c r="V2264" s="10">
        <v>60.2</v>
      </c>
      <c r="W2264" s="10">
        <v>60.19</v>
      </c>
      <c r="X2264" s="10">
        <v>60.17</v>
      </c>
      <c r="Y2264" s="10">
        <v>60.16</v>
      </c>
      <c r="Z2264" s="11">
        <v>64.628</v>
      </c>
      <c r="AA2264" s="11">
        <v>64.069000000000003</v>
      </c>
      <c r="AB2264" s="11">
        <v>63.790999999999997</v>
      </c>
      <c r="AC2264" s="11">
        <v>63.621000000000002</v>
      </c>
      <c r="AD2264" s="11">
        <v>63.551000000000002</v>
      </c>
      <c r="AE2264" s="11">
        <v>63.540999999999997</v>
      </c>
      <c r="AF2264" s="11">
        <v>63.54</v>
      </c>
      <c r="AG2264" s="11">
        <v>63.52</v>
      </c>
      <c r="AH2264" s="11">
        <v>63.51</v>
      </c>
      <c r="AI2264" s="11">
        <v>63.5</v>
      </c>
      <c r="AJ2264" s="11">
        <v>63.482999999999997</v>
      </c>
      <c r="AK2264" s="11">
        <v>63.502000000000002</v>
      </c>
      <c r="AL2264" s="11"/>
    </row>
    <row r="2265" spans="1:38" x14ac:dyDescent="0.3">
      <c r="A2265" s="9">
        <f>DATE(2025, 10, 6)</f>
        <v>45936</v>
      </c>
      <c r="B2265" s="10">
        <v>65.47</v>
      </c>
      <c r="C2265" s="10">
        <v>65.069999999999993</v>
      </c>
      <c r="D2265" s="10">
        <v>64.819999999999993</v>
      </c>
      <c r="E2265" s="10">
        <v>64.7</v>
      </c>
      <c r="F2265" s="10">
        <v>64.67</v>
      </c>
      <c r="G2265" s="10">
        <v>64.680000000000007</v>
      </c>
      <c r="H2265" s="10">
        <v>64.69</v>
      </c>
      <c r="I2265" s="10">
        <v>64.680000000000007</v>
      </c>
      <c r="J2265" s="10">
        <v>64.66</v>
      </c>
      <c r="K2265" s="10">
        <v>64.64</v>
      </c>
      <c r="L2265" s="10">
        <v>64.62</v>
      </c>
      <c r="M2265" s="10">
        <v>64.64</v>
      </c>
      <c r="N2265" s="10">
        <v>61.69</v>
      </c>
      <c r="O2265" s="10">
        <v>61.34</v>
      </c>
      <c r="P2265" s="10">
        <v>61.13</v>
      </c>
      <c r="Q2265" s="10">
        <v>61</v>
      </c>
      <c r="R2265" s="10">
        <v>60.93</v>
      </c>
      <c r="S2265" s="10">
        <v>60.92</v>
      </c>
      <c r="T2265" s="10">
        <v>60.93</v>
      </c>
      <c r="U2265" s="10">
        <v>60.94</v>
      </c>
      <c r="V2265" s="10">
        <v>60.93</v>
      </c>
      <c r="W2265" s="10">
        <v>60.91</v>
      </c>
      <c r="X2265" s="10">
        <v>60.88</v>
      </c>
      <c r="Y2265" s="10">
        <v>60.83</v>
      </c>
      <c r="Z2265" s="11">
        <v>65.716999999999999</v>
      </c>
      <c r="AA2265" s="11">
        <v>65.167000000000002</v>
      </c>
      <c r="AB2265" s="11">
        <v>64.787000000000006</v>
      </c>
      <c r="AC2265" s="11">
        <v>64.53</v>
      </c>
      <c r="AD2265" s="11">
        <v>64.41</v>
      </c>
      <c r="AE2265" s="11">
        <v>64.38</v>
      </c>
      <c r="AF2265" s="11">
        <v>64.36</v>
      </c>
      <c r="AG2265" s="11">
        <v>64.33</v>
      </c>
      <c r="AH2265" s="11">
        <v>64.293999999999997</v>
      </c>
      <c r="AI2265" s="11">
        <v>64.263999999999996</v>
      </c>
      <c r="AJ2265" s="11">
        <v>64.236999999999995</v>
      </c>
      <c r="AK2265" s="11">
        <v>64.245999999999995</v>
      </c>
      <c r="AL2265" s="11"/>
    </row>
    <row r="2266" spans="1:38" x14ac:dyDescent="0.3">
      <c r="A2266" s="9">
        <f>DATE(2025, 10, 7)</f>
        <v>45937</v>
      </c>
      <c r="B2266" s="10">
        <v>65.45</v>
      </c>
      <c r="C2266" s="10">
        <v>64.94</v>
      </c>
      <c r="D2266" s="10">
        <v>64.62</v>
      </c>
      <c r="E2266" s="10">
        <v>64.48</v>
      </c>
      <c r="F2266" s="10">
        <v>64.44</v>
      </c>
      <c r="G2266" s="10">
        <v>64.45</v>
      </c>
      <c r="H2266" s="10">
        <v>64.459999999999994</v>
      </c>
      <c r="I2266" s="10">
        <v>64.45</v>
      </c>
      <c r="J2266" s="10">
        <v>64.430000000000007</v>
      </c>
      <c r="K2266" s="10">
        <v>64.41</v>
      </c>
      <c r="L2266" s="10">
        <v>64.400000000000006</v>
      </c>
      <c r="M2266" s="10">
        <v>64.42</v>
      </c>
      <c r="N2266" s="10">
        <v>61.73</v>
      </c>
      <c r="O2266" s="10">
        <v>61.32</v>
      </c>
      <c r="P2266" s="10">
        <v>61.06</v>
      </c>
      <c r="Q2266" s="10">
        <v>60.89</v>
      </c>
      <c r="R2266" s="10">
        <v>60.8</v>
      </c>
      <c r="S2266" s="10">
        <v>60.77</v>
      </c>
      <c r="T2266" s="10">
        <v>60.77</v>
      </c>
      <c r="U2266" s="10">
        <v>60.79</v>
      </c>
      <c r="V2266" s="10">
        <v>60.77</v>
      </c>
      <c r="W2266" s="10">
        <v>60.74</v>
      </c>
      <c r="X2266" s="10">
        <v>60.72</v>
      </c>
      <c r="Y2266" s="10">
        <v>60.71</v>
      </c>
      <c r="Z2266" s="11">
        <v>65.436999999999998</v>
      </c>
      <c r="AA2266" s="11">
        <v>64.91</v>
      </c>
      <c r="AB2266" s="11">
        <v>64.542000000000002</v>
      </c>
      <c r="AC2266" s="11">
        <v>64.274000000000001</v>
      </c>
      <c r="AD2266" s="11">
        <v>64.150999999999996</v>
      </c>
      <c r="AE2266" s="11">
        <v>64.135000000000005</v>
      </c>
      <c r="AF2266" s="11">
        <v>64.125</v>
      </c>
      <c r="AG2266" s="11">
        <v>64.105000000000004</v>
      </c>
      <c r="AH2266" s="11">
        <v>64.063999999999993</v>
      </c>
      <c r="AI2266" s="11">
        <v>64.034999999999997</v>
      </c>
      <c r="AJ2266" s="11">
        <v>64.016999999999996</v>
      </c>
      <c r="AK2266" s="11">
        <v>64.025999999999996</v>
      </c>
      <c r="AL2266" s="11"/>
    </row>
    <row r="2267" spans="1:38" x14ac:dyDescent="0.3">
      <c r="A2267" s="9">
        <f>DATE(2025, 10, 8)</f>
        <v>45938</v>
      </c>
      <c r="B2267" s="10">
        <v>66.25</v>
      </c>
      <c r="C2267" s="10">
        <v>65.680000000000007</v>
      </c>
      <c r="D2267" s="10">
        <v>65.33</v>
      </c>
      <c r="E2267" s="10">
        <v>65.17</v>
      </c>
      <c r="F2267" s="10">
        <v>65.12</v>
      </c>
      <c r="G2267" s="10">
        <v>65.099999999999994</v>
      </c>
      <c r="H2267" s="10">
        <v>65.08</v>
      </c>
      <c r="I2267" s="10">
        <v>65.040000000000006</v>
      </c>
      <c r="J2267" s="10">
        <v>65</v>
      </c>
      <c r="K2267" s="10">
        <v>64.959999999999994</v>
      </c>
      <c r="L2267" s="10">
        <v>64.92</v>
      </c>
      <c r="M2267" s="10">
        <v>64.92</v>
      </c>
      <c r="N2267" s="10">
        <v>62.55</v>
      </c>
      <c r="O2267" s="10">
        <v>62.02</v>
      </c>
      <c r="P2267" s="10">
        <v>61.69</v>
      </c>
      <c r="Q2267" s="10">
        <v>61.48</v>
      </c>
      <c r="R2267" s="10">
        <v>61.37</v>
      </c>
      <c r="S2267" s="10">
        <v>61.32</v>
      </c>
      <c r="T2267" s="10">
        <v>61.3</v>
      </c>
      <c r="U2267" s="10">
        <v>61.29</v>
      </c>
      <c r="V2267" s="10">
        <v>61.25</v>
      </c>
      <c r="W2267" s="10">
        <v>61.2</v>
      </c>
      <c r="X2267" s="10">
        <v>61.16</v>
      </c>
      <c r="Y2267" s="10">
        <v>61.12</v>
      </c>
      <c r="Z2267" s="11">
        <v>66.007000000000005</v>
      </c>
      <c r="AA2267" s="11">
        <v>65.626000000000005</v>
      </c>
      <c r="AB2267" s="11">
        <v>65.248999999999995</v>
      </c>
      <c r="AC2267" s="11">
        <v>64.975999999999999</v>
      </c>
      <c r="AD2267" s="11">
        <v>64.834999999999994</v>
      </c>
      <c r="AE2267" s="11">
        <v>64.799000000000007</v>
      </c>
      <c r="AF2267" s="11">
        <v>64.75</v>
      </c>
      <c r="AG2267" s="11">
        <v>64.694000000000003</v>
      </c>
      <c r="AH2267" s="11">
        <v>64.632999999999996</v>
      </c>
      <c r="AI2267" s="11">
        <v>64.613</v>
      </c>
      <c r="AJ2267" s="11">
        <v>64.564999999999998</v>
      </c>
      <c r="AK2267" s="11">
        <v>64.555000000000007</v>
      </c>
      <c r="AL2267" s="11"/>
    </row>
    <row r="2268" spans="1:38" x14ac:dyDescent="0.3">
      <c r="A2268" s="9">
        <f>DATE(2025, 10, 9)</f>
        <v>45939</v>
      </c>
      <c r="B2268" s="10">
        <v>65.22</v>
      </c>
      <c r="C2268" s="10">
        <v>64.739999999999995</v>
      </c>
      <c r="D2268" s="10">
        <v>64.45</v>
      </c>
      <c r="E2268" s="10">
        <v>64.319999999999993</v>
      </c>
      <c r="F2268" s="10">
        <v>64.290000000000006</v>
      </c>
      <c r="G2268" s="10">
        <v>64.31</v>
      </c>
      <c r="H2268" s="10">
        <v>64.319999999999993</v>
      </c>
      <c r="I2268" s="10">
        <v>64.319999999999993</v>
      </c>
      <c r="J2268" s="10">
        <v>64.31</v>
      </c>
      <c r="K2268" s="10">
        <v>64.290000000000006</v>
      </c>
      <c r="L2268" s="10">
        <v>64.28</v>
      </c>
      <c r="M2268" s="10">
        <v>64.290000000000006</v>
      </c>
      <c r="N2268" s="10">
        <v>61.51</v>
      </c>
      <c r="O2268" s="10">
        <v>61.03</v>
      </c>
      <c r="P2268" s="10">
        <v>60.76</v>
      </c>
      <c r="Q2268" s="10">
        <v>60.6</v>
      </c>
      <c r="R2268" s="10">
        <v>60.53</v>
      </c>
      <c r="S2268" s="10">
        <v>60.52</v>
      </c>
      <c r="T2268" s="10">
        <v>60.55</v>
      </c>
      <c r="U2268" s="10">
        <v>60.59</v>
      </c>
      <c r="V2268" s="10">
        <v>60.59</v>
      </c>
      <c r="W2268" s="10">
        <v>60.57</v>
      </c>
      <c r="X2268" s="10">
        <v>60.55</v>
      </c>
      <c r="Y2268" s="10">
        <v>60.53</v>
      </c>
      <c r="Z2268" s="11">
        <v>65.492000000000004</v>
      </c>
      <c r="AA2268" s="11">
        <v>64.801000000000002</v>
      </c>
      <c r="AB2268" s="11">
        <v>64.427999999999997</v>
      </c>
      <c r="AC2268" s="11">
        <v>64.138999999999996</v>
      </c>
      <c r="AD2268" s="11">
        <v>64.003</v>
      </c>
      <c r="AE2268" s="11">
        <v>63.98</v>
      </c>
      <c r="AF2268" s="11">
        <v>63.966000000000001</v>
      </c>
      <c r="AG2268" s="11">
        <v>63.942999999999998</v>
      </c>
      <c r="AH2268" s="11">
        <v>63.920999999999999</v>
      </c>
      <c r="AI2268" s="11">
        <v>63.911000000000001</v>
      </c>
      <c r="AJ2268" s="11">
        <v>63.911000000000001</v>
      </c>
      <c r="AK2268" s="11">
        <v>63.926000000000002</v>
      </c>
      <c r="AL2268" s="11"/>
    </row>
    <row r="2269" spans="1:38" x14ac:dyDescent="0.3">
      <c r="A2269" s="9">
        <f>DATE(2025, 10, 10)</f>
        <v>45940</v>
      </c>
      <c r="B2269" s="10">
        <v>62.73</v>
      </c>
      <c r="C2269" s="10">
        <v>62.28</v>
      </c>
      <c r="D2269" s="10">
        <v>62.06</v>
      </c>
      <c r="E2269" s="10">
        <v>61.99</v>
      </c>
      <c r="F2269" s="10">
        <v>62.02</v>
      </c>
      <c r="G2269" s="10">
        <v>62.09</v>
      </c>
      <c r="H2269" s="10">
        <v>62.16</v>
      </c>
      <c r="I2269" s="10">
        <v>62.21</v>
      </c>
      <c r="J2269" s="10">
        <v>62.26</v>
      </c>
      <c r="K2269" s="10">
        <v>62.31</v>
      </c>
      <c r="L2269" s="10">
        <v>62.36</v>
      </c>
      <c r="M2269" s="10">
        <v>62.43</v>
      </c>
      <c r="N2269" s="10">
        <v>58.9</v>
      </c>
      <c r="O2269" s="10">
        <v>58.48</v>
      </c>
      <c r="P2269" s="10">
        <v>58.27</v>
      </c>
      <c r="Q2269" s="10">
        <v>58.18</v>
      </c>
      <c r="R2269" s="10">
        <v>58.19</v>
      </c>
      <c r="S2269" s="10">
        <v>58.25</v>
      </c>
      <c r="T2269" s="10">
        <v>58.33</v>
      </c>
      <c r="U2269" s="10">
        <v>58.41</v>
      </c>
      <c r="V2269" s="10">
        <v>58.47</v>
      </c>
      <c r="W2269" s="10">
        <v>58.51</v>
      </c>
      <c r="X2269" s="10">
        <v>58.55</v>
      </c>
      <c r="Y2269" s="10">
        <v>58.59</v>
      </c>
      <c r="Z2269" s="11">
        <v>63.777999999999999</v>
      </c>
      <c r="AA2269" s="11">
        <v>62.223999999999997</v>
      </c>
      <c r="AB2269" s="11">
        <v>62.018999999999998</v>
      </c>
      <c r="AC2269" s="11">
        <v>61.819000000000003</v>
      </c>
      <c r="AD2269" s="11">
        <v>61.728999999999999</v>
      </c>
      <c r="AE2269" s="11">
        <v>61.758000000000003</v>
      </c>
      <c r="AF2269" s="11">
        <v>61.787999999999997</v>
      </c>
      <c r="AG2269" s="11">
        <v>61.832000000000001</v>
      </c>
      <c r="AH2269" s="11">
        <v>61.881999999999998</v>
      </c>
      <c r="AI2269" s="11">
        <v>61.911999999999999</v>
      </c>
      <c r="AJ2269" s="11">
        <v>61.947000000000003</v>
      </c>
      <c r="AK2269" s="11">
        <v>61.993000000000002</v>
      </c>
      <c r="AL2269" s="11"/>
    </row>
    <row r="2270" spans="1:38" x14ac:dyDescent="0.3">
      <c r="A2270" s="9">
        <f>DATE(2025, 10, 13)</f>
        <v>45943</v>
      </c>
      <c r="B2270" s="10">
        <v>63.32</v>
      </c>
      <c r="C2270" s="10">
        <v>62.94</v>
      </c>
      <c r="D2270" s="10">
        <v>62.75</v>
      </c>
      <c r="E2270" s="10">
        <v>62.7</v>
      </c>
      <c r="F2270" s="10">
        <v>62.75</v>
      </c>
      <c r="G2270" s="10">
        <v>62.83</v>
      </c>
      <c r="H2270" s="10">
        <v>62.9</v>
      </c>
      <c r="I2270" s="10">
        <v>62.95</v>
      </c>
      <c r="J2270" s="10">
        <v>63</v>
      </c>
      <c r="K2270" s="10">
        <v>63.05</v>
      </c>
      <c r="L2270" s="10">
        <v>63.09</v>
      </c>
      <c r="M2270" s="10">
        <v>63.16</v>
      </c>
      <c r="N2270" s="10">
        <v>59.49</v>
      </c>
      <c r="O2270" s="10">
        <v>59.07</v>
      </c>
      <c r="P2270" s="10">
        <v>58.89</v>
      </c>
      <c r="Q2270" s="10">
        <v>58.82</v>
      </c>
      <c r="R2270" s="10">
        <v>58.84</v>
      </c>
      <c r="S2270" s="10">
        <v>58.92</v>
      </c>
      <c r="T2270" s="10">
        <v>59.02</v>
      </c>
      <c r="U2270" s="10">
        <v>59.11</v>
      </c>
      <c r="V2270" s="10">
        <v>59.17</v>
      </c>
      <c r="W2270" s="10">
        <v>59.22</v>
      </c>
      <c r="X2270" s="10">
        <v>59.26</v>
      </c>
      <c r="Y2270" s="10">
        <v>59.3</v>
      </c>
      <c r="Z2270" s="11">
        <v>64.323999999999998</v>
      </c>
      <c r="AA2270" s="11">
        <v>63.151000000000003</v>
      </c>
      <c r="AB2270" s="11">
        <v>62.93</v>
      </c>
      <c r="AC2270" s="11">
        <v>62.707000000000001</v>
      </c>
      <c r="AD2270" s="11">
        <v>62.606999999999999</v>
      </c>
      <c r="AE2270" s="11">
        <v>62.625999999999998</v>
      </c>
      <c r="AF2270" s="11">
        <v>62.646000000000001</v>
      </c>
      <c r="AG2270" s="11">
        <v>62.676000000000002</v>
      </c>
      <c r="AH2270" s="11">
        <v>62.715000000000003</v>
      </c>
      <c r="AI2270" s="11">
        <v>62.735999999999997</v>
      </c>
      <c r="AJ2270" s="11">
        <v>62.761000000000003</v>
      </c>
      <c r="AK2270" s="11">
        <v>62.808</v>
      </c>
      <c r="AL2270" s="11"/>
    </row>
    <row r="2271" spans="1:38" x14ac:dyDescent="0.3">
      <c r="A2271" s="9">
        <f>DATE(2025, 10, 14)</f>
        <v>45944</v>
      </c>
      <c r="B2271" s="10">
        <v>62.39</v>
      </c>
      <c r="C2271" s="10">
        <v>62.02</v>
      </c>
      <c r="D2271" s="10">
        <v>61.86</v>
      </c>
      <c r="E2271" s="10">
        <v>61.85</v>
      </c>
      <c r="F2271" s="10">
        <v>61.93</v>
      </c>
      <c r="G2271" s="10">
        <v>62.04</v>
      </c>
      <c r="H2271" s="10">
        <v>62.14</v>
      </c>
      <c r="I2271" s="10">
        <v>62.21</v>
      </c>
      <c r="J2271" s="10">
        <v>62.27</v>
      </c>
      <c r="K2271" s="10">
        <v>62.34</v>
      </c>
      <c r="L2271" s="10">
        <v>62.4</v>
      </c>
      <c r="M2271" s="10">
        <v>62.48</v>
      </c>
      <c r="N2271" s="10">
        <v>58.7</v>
      </c>
      <c r="O2271" s="10">
        <v>58.27</v>
      </c>
      <c r="P2271" s="10">
        <v>58.08</v>
      </c>
      <c r="Q2271" s="10">
        <v>58.02</v>
      </c>
      <c r="R2271" s="10">
        <v>58.07</v>
      </c>
      <c r="S2271" s="10">
        <v>58.19</v>
      </c>
      <c r="T2271" s="10">
        <v>58.32</v>
      </c>
      <c r="U2271" s="10">
        <v>58.44</v>
      </c>
      <c r="V2271" s="10">
        <v>58.53</v>
      </c>
      <c r="W2271" s="10">
        <v>58.6</v>
      </c>
      <c r="X2271" s="10">
        <v>58.65</v>
      </c>
      <c r="Y2271" s="10">
        <v>58.71</v>
      </c>
      <c r="Z2271" s="11">
        <v>63.692999999999998</v>
      </c>
      <c r="AA2271" s="11">
        <v>62.143999999999998</v>
      </c>
      <c r="AB2271" s="11">
        <v>62.05</v>
      </c>
      <c r="AC2271" s="11">
        <v>61.904000000000003</v>
      </c>
      <c r="AD2271" s="11">
        <v>61.835000000000001</v>
      </c>
      <c r="AE2271" s="11">
        <v>61.875999999999998</v>
      </c>
      <c r="AF2271" s="11">
        <v>61.926000000000002</v>
      </c>
      <c r="AG2271" s="11">
        <v>61.975999999999999</v>
      </c>
      <c r="AH2271" s="11">
        <v>62.024999999999999</v>
      </c>
      <c r="AI2271" s="11">
        <v>62.067</v>
      </c>
      <c r="AJ2271" s="11">
        <v>62.112000000000002</v>
      </c>
      <c r="AK2271" s="11">
        <v>62.168999999999997</v>
      </c>
      <c r="AL2271" s="11"/>
    </row>
    <row r="2272" spans="1:38" x14ac:dyDescent="0.3">
      <c r="A2272" s="9">
        <f>DATE(2025, 10, 15)</f>
        <v>45945</v>
      </c>
      <c r="B2272" s="10">
        <v>61.91</v>
      </c>
      <c r="C2272" s="10">
        <v>61.63</v>
      </c>
      <c r="D2272" s="10">
        <v>61.51</v>
      </c>
      <c r="E2272" s="10">
        <v>61.52</v>
      </c>
      <c r="F2272" s="10">
        <v>61.62</v>
      </c>
      <c r="G2272" s="10">
        <v>61.75</v>
      </c>
      <c r="H2272" s="10">
        <v>61.86</v>
      </c>
      <c r="I2272" s="10">
        <v>61.94</v>
      </c>
      <c r="J2272" s="10">
        <v>62.01</v>
      </c>
      <c r="K2272" s="10">
        <v>62.08</v>
      </c>
      <c r="L2272" s="10">
        <v>62.14</v>
      </c>
      <c r="M2272" s="10">
        <v>62.23</v>
      </c>
      <c r="N2272" s="10">
        <v>58.27</v>
      </c>
      <c r="O2272" s="10">
        <v>57.84</v>
      </c>
      <c r="P2272" s="10">
        <v>57.69</v>
      </c>
      <c r="Q2272" s="10">
        <v>57.67</v>
      </c>
      <c r="R2272" s="10">
        <v>57.75</v>
      </c>
      <c r="S2272" s="10">
        <v>57.88</v>
      </c>
      <c r="T2272" s="10">
        <v>58.02</v>
      </c>
      <c r="U2272" s="10">
        <v>58.16</v>
      </c>
      <c r="V2272" s="10">
        <v>58.27</v>
      </c>
      <c r="W2272" s="10">
        <v>58.35</v>
      </c>
      <c r="X2272" s="10">
        <v>58.41</v>
      </c>
      <c r="Y2272" s="10">
        <v>58.48</v>
      </c>
      <c r="Z2272" s="11">
        <v>63.396000000000001</v>
      </c>
      <c r="AA2272" s="11">
        <v>61.57</v>
      </c>
      <c r="AB2272" s="11">
        <v>61.551000000000002</v>
      </c>
      <c r="AC2272" s="11">
        <v>61.497999999999998</v>
      </c>
      <c r="AD2272" s="11">
        <v>61.499000000000002</v>
      </c>
      <c r="AE2272" s="11">
        <v>61.585000000000001</v>
      </c>
      <c r="AF2272" s="11">
        <v>61.646999999999998</v>
      </c>
      <c r="AG2272" s="11">
        <v>61.706000000000003</v>
      </c>
      <c r="AH2272" s="11">
        <v>61.765000000000001</v>
      </c>
      <c r="AI2272" s="11">
        <v>61.807000000000002</v>
      </c>
      <c r="AJ2272" s="11">
        <v>61.853000000000002</v>
      </c>
      <c r="AK2272" s="11">
        <v>61.918999999999997</v>
      </c>
      <c r="AL2272" s="11"/>
    </row>
    <row r="2273" spans="1:38" x14ac:dyDescent="0.3">
      <c r="A2273" s="9">
        <f>DATE(2025, 10, 16)</f>
        <v>45946</v>
      </c>
      <c r="B2273" s="10">
        <v>61.06</v>
      </c>
      <c r="C2273" s="10">
        <v>60.79</v>
      </c>
      <c r="D2273" s="10">
        <v>60.67</v>
      </c>
      <c r="E2273" s="10">
        <v>60.68</v>
      </c>
      <c r="F2273" s="10">
        <v>60.8</v>
      </c>
      <c r="G2273" s="10">
        <v>60.94</v>
      </c>
      <c r="H2273" s="10">
        <v>61.07</v>
      </c>
      <c r="I2273" s="10">
        <v>61.15</v>
      </c>
      <c r="J2273" s="10">
        <v>61.23</v>
      </c>
      <c r="K2273" s="10">
        <v>61.31</v>
      </c>
      <c r="L2273" s="10">
        <v>61.37</v>
      </c>
      <c r="M2273" s="10">
        <v>61.45</v>
      </c>
      <c r="N2273" s="10">
        <v>57.46</v>
      </c>
      <c r="O2273" s="10">
        <v>56.99</v>
      </c>
      <c r="P2273" s="10">
        <v>56.85</v>
      </c>
      <c r="Q2273" s="10">
        <v>56.84</v>
      </c>
      <c r="R2273" s="10">
        <v>56.93</v>
      </c>
      <c r="S2273" s="10">
        <v>57.08</v>
      </c>
      <c r="T2273" s="10">
        <v>57.23</v>
      </c>
      <c r="U2273" s="10">
        <v>57.37</v>
      </c>
      <c r="V2273" s="10">
        <v>57.49</v>
      </c>
      <c r="W2273" s="10">
        <v>57.57</v>
      </c>
      <c r="X2273" s="10">
        <v>57.64</v>
      </c>
      <c r="Y2273" s="10">
        <v>57.7</v>
      </c>
      <c r="Z2273" s="11">
        <v>63.12</v>
      </c>
      <c r="AA2273" s="11">
        <v>60.92</v>
      </c>
      <c r="AB2273" s="11">
        <v>60.826000000000001</v>
      </c>
      <c r="AC2273" s="11">
        <v>60.706000000000003</v>
      </c>
      <c r="AD2273" s="11">
        <v>60.698999999999998</v>
      </c>
      <c r="AE2273" s="11">
        <v>60.798000000000002</v>
      </c>
      <c r="AF2273" s="11">
        <v>60.866999999999997</v>
      </c>
      <c r="AG2273" s="11">
        <v>60.926000000000002</v>
      </c>
      <c r="AH2273" s="11">
        <v>60.985999999999997</v>
      </c>
      <c r="AI2273" s="11">
        <v>61.045000000000002</v>
      </c>
      <c r="AJ2273" s="11">
        <v>61.097999999999999</v>
      </c>
      <c r="AK2273" s="11">
        <v>61.154000000000003</v>
      </c>
      <c r="AL2273" s="11"/>
    </row>
    <row r="2274" spans="1:38" x14ac:dyDescent="0.3">
      <c r="A2274" s="9">
        <f>DATE(2025, 10, 17)</f>
        <v>45947</v>
      </c>
      <c r="B2274" s="10">
        <v>61.29</v>
      </c>
      <c r="C2274" s="10">
        <v>61.1</v>
      </c>
      <c r="D2274" s="10">
        <v>61.04</v>
      </c>
      <c r="E2274" s="10">
        <v>61.09</v>
      </c>
      <c r="F2274" s="10">
        <v>61.22</v>
      </c>
      <c r="G2274" s="10">
        <v>61.38</v>
      </c>
      <c r="H2274" s="10">
        <v>61.53</v>
      </c>
      <c r="I2274" s="10">
        <v>61.65</v>
      </c>
      <c r="J2274" s="10">
        <v>61.75</v>
      </c>
      <c r="K2274" s="10">
        <v>61.84</v>
      </c>
      <c r="L2274" s="10">
        <v>61.92</v>
      </c>
      <c r="M2274" s="10">
        <v>62.01</v>
      </c>
      <c r="N2274" s="10">
        <v>57.54</v>
      </c>
      <c r="O2274" s="10">
        <v>57.15</v>
      </c>
      <c r="P2274" s="10">
        <v>57.12</v>
      </c>
      <c r="Q2274" s="10">
        <v>57.18</v>
      </c>
      <c r="R2274" s="10">
        <v>57.3</v>
      </c>
      <c r="S2274" s="10">
        <v>57.47</v>
      </c>
      <c r="T2274" s="10">
        <v>57.64</v>
      </c>
      <c r="U2274" s="10">
        <v>57.8</v>
      </c>
      <c r="V2274" s="10">
        <v>57.92</v>
      </c>
      <c r="W2274" s="10">
        <v>58.03</v>
      </c>
      <c r="X2274" s="10">
        <v>58.1</v>
      </c>
      <c r="Y2274" s="10">
        <v>58.18</v>
      </c>
      <c r="Z2274" s="11">
        <v>63.317999999999998</v>
      </c>
      <c r="AA2274" s="11">
        <v>61.348999999999997</v>
      </c>
      <c r="AB2274" s="11">
        <v>61.284999999999997</v>
      </c>
      <c r="AC2274" s="11">
        <v>61.204999999999998</v>
      </c>
      <c r="AD2274" s="11">
        <v>61.198</v>
      </c>
      <c r="AE2274" s="11">
        <v>61.308</v>
      </c>
      <c r="AF2274" s="11">
        <v>61.399000000000001</v>
      </c>
      <c r="AG2274" s="11">
        <v>61.478999999999999</v>
      </c>
      <c r="AH2274" s="11">
        <v>61.543999999999997</v>
      </c>
      <c r="AI2274" s="11">
        <v>61.62</v>
      </c>
      <c r="AJ2274" s="11">
        <v>61.689</v>
      </c>
      <c r="AK2274" s="11">
        <v>61.755000000000003</v>
      </c>
      <c r="AL2274" s="11"/>
    </row>
    <row r="2275" spans="1:38" x14ac:dyDescent="0.3">
      <c r="A2275" s="9">
        <f>DATE(2025, 10, 20)</f>
        <v>45950</v>
      </c>
      <c r="B2275" s="10">
        <v>61.01</v>
      </c>
      <c r="C2275" s="10">
        <v>60.88</v>
      </c>
      <c r="D2275" s="10">
        <v>60.86</v>
      </c>
      <c r="E2275" s="10">
        <v>60.93</v>
      </c>
      <c r="F2275" s="10">
        <v>61.08</v>
      </c>
      <c r="G2275" s="10">
        <v>61.26</v>
      </c>
      <c r="H2275" s="10">
        <v>61.43</v>
      </c>
      <c r="I2275" s="10">
        <v>61.56</v>
      </c>
      <c r="J2275" s="10">
        <v>61.67</v>
      </c>
      <c r="K2275" s="10">
        <v>61.77</v>
      </c>
      <c r="L2275" s="10">
        <v>61.85</v>
      </c>
      <c r="M2275" s="10">
        <v>61.94</v>
      </c>
      <c r="N2275" s="10">
        <v>57.52</v>
      </c>
      <c r="O2275" s="10">
        <v>57.02</v>
      </c>
      <c r="P2275" s="10">
        <v>56.99</v>
      </c>
      <c r="Q2275" s="10">
        <v>57.05</v>
      </c>
      <c r="R2275" s="10">
        <v>57.2</v>
      </c>
      <c r="S2275" s="10">
        <v>57.38</v>
      </c>
      <c r="T2275" s="10">
        <v>57.57</v>
      </c>
      <c r="U2275" s="10">
        <v>57.74</v>
      </c>
      <c r="V2275" s="10">
        <v>57.87</v>
      </c>
      <c r="W2275" s="10">
        <v>57.97</v>
      </c>
      <c r="X2275" s="10">
        <v>58.06</v>
      </c>
      <c r="Y2275" s="10">
        <v>58.14</v>
      </c>
      <c r="Z2275" s="11">
        <v>63.195</v>
      </c>
      <c r="AA2275" s="11">
        <v>61.128</v>
      </c>
      <c r="AB2275" s="11">
        <v>61.055999999999997</v>
      </c>
      <c r="AC2275" s="11">
        <v>60.966999999999999</v>
      </c>
      <c r="AD2275" s="11">
        <v>60.996000000000002</v>
      </c>
      <c r="AE2275" s="11">
        <v>61.124000000000002</v>
      </c>
      <c r="AF2275" s="11">
        <v>61.246000000000002</v>
      </c>
      <c r="AG2275" s="11">
        <v>61.354999999999997</v>
      </c>
      <c r="AH2275" s="11">
        <v>61.445</v>
      </c>
      <c r="AI2275" s="11">
        <v>61.531999999999996</v>
      </c>
      <c r="AJ2275" s="11">
        <v>61.609000000000002</v>
      </c>
      <c r="AK2275" s="11">
        <v>61.674999999999997</v>
      </c>
      <c r="AL2275" s="11"/>
    </row>
    <row r="2276" spans="1:38" x14ac:dyDescent="0.3">
      <c r="A2276" s="9">
        <f>DATE(2025, 10, 21)</f>
        <v>45951</v>
      </c>
      <c r="B2276" s="10">
        <v>61.32</v>
      </c>
      <c r="C2276" s="10">
        <v>61.03</v>
      </c>
      <c r="D2276" s="10">
        <v>60.94</v>
      </c>
      <c r="E2276" s="10">
        <v>60.96</v>
      </c>
      <c r="F2276" s="10">
        <v>61.07</v>
      </c>
      <c r="G2276" s="10">
        <v>61.22</v>
      </c>
      <c r="H2276" s="10">
        <v>61.36</v>
      </c>
      <c r="I2276" s="10">
        <v>61.46</v>
      </c>
      <c r="J2276" s="10">
        <v>61.55</v>
      </c>
      <c r="K2276" s="10">
        <v>61.62</v>
      </c>
      <c r="L2276" s="10">
        <v>61.68</v>
      </c>
      <c r="M2276" s="10">
        <v>61.76</v>
      </c>
      <c r="N2276" s="10">
        <v>57.82</v>
      </c>
      <c r="O2276" s="10">
        <v>57.24</v>
      </c>
      <c r="P2276" s="10">
        <v>57.16</v>
      </c>
      <c r="Q2276" s="10">
        <v>57.18</v>
      </c>
      <c r="R2276" s="10">
        <v>57.28</v>
      </c>
      <c r="S2276" s="10">
        <v>57.44</v>
      </c>
      <c r="T2276" s="10">
        <v>57.6</v>
      </c>
      <c r="U2276" s="10">
        <v>57.75</v>
      </c>
      <c r="V2276" s="10">
        <v>57.87</v>
      </c>
      <c r="W2276" s="10">
        <v>57.95</v>
      </c>
      <c r="X2276" s="10">
        <v>58.01</v>
      </c>
      <c r="Y2276" s="10">
        <v>58.06</v>
      </c>
      <c r="Z2276" s="11">
        <v>63.328000000000003</v>
      </c>
      <c r="AA2276" s="11">
        <v>61.4</v>
      </c>
      <c r="AB2276" s="11">
        <v>61.231999999999999</v>
      </c>
      <c r="AC2276" s="11">
        <v>61.095999999999997</v>
      </c>
      <c r="AD2276" s="11">
        <v>61.075000000000003</v>
      </c>
      <c r="AE2276" s="11">
        <v>61.162999999999997</v>
      </c>
      <c r="AF2276" s="11">
        <v>61.244</v>
      </c>
      <c r="AG2276" s="11">
        <v>61.304000000000002</v>
      </c>
      <c r="AH2276" s="11">
        <v>61.353000000000002</v>
      </c>
      <c r="AI2276" s="11">
        <v>61.402000000000001</v>
      </c>
      <c r="AJ2276" s="11">
        <v>61.453000000000003</v>
      </c>
      <c r="AK2276" s="11">
        <v>61.514000000000003</v>
      </c>
      <c r="AL2276" s="11"/>
    </row>
    <row r="2277" spans="1:38" x14ac:dyDescent="0.3">
      <c r="A2277" s="9">
        <f>DATE(2025, 10, 22)</f>
        <v>45952</v>
      </c>
      <c r="B2277" s="10">
        <v>62.59</v>
      </c>
      <c r="C2277" s="10">
        <v>62.23</v>
      </c>
      <c r="D2277" s="10">
        <v>62.07</v>
      </c>
      <c r="E2277" s="10">
        <v>62.03</v>
      </c>
      <c r="F2277" s="10">
        <v>62.09</v>
      </c>
      <c r="G2277" s="10">
        <v>62.2</v>
      </c>
      <c r="H2277" s="10">
        <v>62.31</v>
      </c>
      <c r="I2277" s="10">
        <v>62.39</v>
      </c>
      <c r="J2277" s="10">
        <v>62.45</v>
      </c>
      <c r="K2277" s="10">
        <v>62.5</v>
      </c>
      <c r="L2277" s="10">
        <v>62.54</v>
      </c>
      <c r="M2277" s="10">
        <v>62.59</v>
      </c>
      <c r="N2277" s="10">
        <v>58.5</v>
      </c>
      <c r="O2277" s="10">
        <v>58.32</v>
      </c>
      <c r="P2277" s="10">
        <v>58.26</v>
      </c>
      <c r="Q2277" s="10">
        <v>58.32</v>
      </c>
      <c r="R2277" s="10">
        <v>58.44</v>
      </c>
      <c r="S2277" s="10">
        <v>58.57</v>
      </c>
      <c r="T2277" s="10">
        <v>58.7</v>
      </c>
      <c r="U2277" s="10">
        <v>58.78</v>
      </c>
      <c r="V2277" s="10">
        <v>58.84</v>
      </c>
      <c r="W2277" s="10">
        <v>58.88</v>
      </c>
      <c r="X2277" s="10">
        <v>58.92</v>
      </c>
      <c r="Y2277" s="10">
        <v>58.97</v>
      </c>
      <c r="Z2277" s="11">
        <v>64.076999999999998</v>
      </c>
      <c r="AA2277" s="11">
        <v>62.899000000000001</v>
      </c>
      <c r="AB2277" s="11">
        <v>62.566000000000003</v>
      </c>
      <c r="AC2277" s="11">
        <v>62.314999999999998</v>
      </c>
      <c r="AD2277" s="11">
        <v>62.206000000000003</v>
      </c>
      <c r="AE2277" s="11">
        <v>62.234999999999999</v>
      </c>
      <c r="AF2277" s="11">
        <v>62.274000000000001</v>
      </c>
      <c r="AG2277" s="11">
        <v>62.311</v>
      </c>
      <c r="AH2277" s="11">
        <v>62.322000000000003</v>
      </c>
      <c r="AI2277" s="11">
        <v>62.341000000000001</v>
      </c>
      <c r="AJ2277" s="11">
        <v>62.37</v>
      </c>
      <c r="AK2277" s="11">
        <v>62.402999999999999</v>
      </c>
      <c r="AL2277" s="11"/>
    </row>
    <row r="2278" spans="1:38" x14ac:dyDescent="0.3">
      <c r="A2278" s="9">
        <f>DATE(2025, 10, 23)</f>
        <v>45953</v>
      </c>
      <c r="B2278" s="10">
        <v>65.989999999999995</v>
      </c>
      <c r="C2278" s="10">
        <v>65.290000000000006</v>
      </c>
      <c r="D2278" s="10">
        <v>64.67</v>
      </c>
      <c r="E2278" s="10">
        <v>64.28</v>
      </c>
      <c r="F2278" s="10">
        <v>64.06</v>
      </c>
      <c r="G2278" s="10">
        <v>63.95</v>
      </c>
      <c r="H2278" s="10">
        <v>63.87</v>
      </c>
      <c r="I2278" s="10">
        <v>63.79</v>
      </c>
      <c r="J2278" s="10">
        <v>63.71</v>
      </c>
      <c r="K2278" s="10">
        <v>63.64</v>
      </c>
      <c r="L2278" s="10">
        <v>63.58</v>
      </c>
      <c r="M2278" s="10">
        <v>63.56</v>
      </c>
      <c r="N2278" s="10">
        <v>61.79</v>
      </c>
      <c r="O2278" s="10">
        <v>61.16</v>
      </c>
      <c r="P2278" s="10">
        <v>60.64</v>
      </c>
      <c r="Q2278" s="10">
        <v>60.35</v>
      </c>
      <c r="R2278" s="10">
        <v>60.18</v>
      </c>
      <c r="S2278" s="10">
        <v>60.11</v>
      </c>
      <c r="T2278" s="10">
        <v>60.06</v>
      </c>
      <c r="U2278" s="10">
        <v>60</v>
      </c>
      <c r="V2278" s="10">
        <v>59.92</v>
      </c>
      <c r="W2278" s="10">
        <v>59.84</v>
      </c>
      <c r="X2278" s="10">
        <v>59.78</v>
      </c>
      <c r="Y2278" s="10">
        <v>59.77</v>
      </c>
      <c r="Z2278" s="11">
        <v>65.400999999999996</v>
      </c>
      <c r="AA2278" s="11">
        <v>66.739000000000004</v>
      </c>
      <c r="AB2278" s="11">
        <v>65.649000000000001</v>
      </c>
      <c r="AC2278" s="11">
        <v>64.953999999999994</v>
      </c>
      <c r="AD2278" s="11">
        <v>64.504999999999995</v>
      </c>
      <c r="AE2278" s="11">
        <v>64.313999999999993</v>
      </c>
      <c r="AF2278" s="11">
        <v>64.173000000000002</v>
      </c>
      <c r="AG2278" s="11">
        <v>64.043000000000006</v>
      </c>
      <c r="AH2278" s="11">
        <v>63.923999999999999</v>
      </c>
      <c r="AI2278" s="11">
        <v>63.807000000000002</v>
      </c>
      <c r="AJ2278" s="11">
        <v>63.738</v>
      </c>
      <c r="AK2278" s="11">
        <v>63.7</v>
      </c>
      <c r="AL2278" s="11"/>
    </row>
    <row r="2279" spans="1:38" x14ac:dyDescent="0.3">
      <c r="A2279" s="9">
        <f>DATE(2025, 10, 24)</f>
        <v>45954</v>
      </c>
      <c r="B2279" s="10">
        <v>65.94</v>
      </c>
      <c r="C2279" s="10">
        <v>65.2</v>
      </c>
      <c r="D2279" s="10">
        <v>64.569999999999993</v>
      </c>
      <c r="E2279" s="10">
        <v>64.180000000000007</v>
      </c>
      <c r="F2279" s="10">
        <v>63.96</v>
      </c>
      <c r="G2279" s="10">
        <v>63.86</v>
      </c>
      <c r="H2279" s="10">
        <v>63.8</v>
      </c>
      <c r="I2279" s="10">
        <v>63.74</v>
      </c>
      <c r="J2279" s="10">
        <v>63.69</v>
      </c>
      <c r="K2279" s="10">
        <v>63.63</v>
      </c>
      <c r="L2279" s="10">
        <v>63.59</v>
      </c>
      <c r="M2279" s="10">
        <v>63.59</v>
      </c>
      <c r="N2279" s="10">
        <v>61.5</v>
      </c>
      <c r="O2279" s="10">
        <v>60.96</v>
      </c>
      <c r="P2279" s="10">
        <v>60.51</v>
      </c>
      <c r="Q2279" s="10">
        <v>60.27</v>
      </c>
      <c r="R2279" s="10">
        <v>60.13</v>
      </c>
      <c r="S2279" s="10">
        <v>60.07</v>
      </c>
      <c r="T2279" s="10">
        <v>60.03</v>
      </c>
      <c r="U2279" s="10">
        <v>59.99</v>
      </c>
      <c r="V2279" s="10">
        <v>59.93</v>
      </c>
      <c r="W2279" s="10">
        <v>59.87</v>
      </c>
      <c r="X2279" s="10">
        <v>59.83</v>
      </c>
      <c r="Y2279" s="10">
        <v>59.82</v>
      </c>
      <c r="Z2279" s="11">
        <v>65.543000000000006</v>
      </c>
      <c r="AA2279" s="11">
        <v>66.572999999999993</v>
      </c>
      <c r="AB2279" s="11">
        <v>65.575999999999993</v>
      </c>
      <c r="AC2279" s="11">
        <v>64.775000000000006</v>
      </c>
      <c r="AD2279" s="11">
        <v>64.325000000000003</v>
      </c>
      <c r="AE2279" s="11">
        <v>64.125</v>
      </c>
      <c r="AF2279" s="11">
        <v>64.004999999999995</v>
      </c>
      <c r="AG2279" s="11">
        <v>63.923000000000002</v>
      </c>
      <c r="AH2279" s="11">
        <v>63.847000000000001</v>
      </c>
      <c r="AI2279" s="11">
        <v>63.758000000000003</v>
      </c>
      <c r="AJ2279" s="11">
        <v>63.7</v>
      </c>
      <c r="AK2279" s="11">
        <v>63.680999999999997</v>
      </c>
      <c r="AL2279" s="11"/>
    </row>
    <row r="2280" spans="1:38" x14ac:dyDescent="0.3">
      <c r="A2280" s="9">
        <f>DATE(2025, 10, 27)</f>
        <v>45957</v>
      </c>
      <c r="B2280" s="10">
        <v>65.62</v>
      </c>
      <c r="C2280" s="10">
        <v>64.900000000000006</v>
      </c>
      <c r="D2280" s="10">
        <v>64.319999999999993</v>
      </c>
      <c r="E2280" s="10">
        <v>63.97</v>
      </c>
      <c r="F2280" s="10">
        <v>63.8</v>
      </c>
      <c r="G2280" s="10">
        <v>63.74</v>
      </c>
      <c r="H2280" s="10">
        <v>63.72</v>
      </c>
      <c r="I2280" s="10">
        <v>63.69</v>
      </c>
      <c r="J2280" s="10">
        <v>63.66</v>
      </c>
      <c r="K2280" s="10">
        <v>63.62</v>
      </c>
      <c r="L2280" s="10">
        <v>63.59</v>
      </c>
      <c r="M2280" s="10">
        <v>63.6</v>
      </c>
      <c r="N2280" s="10">
        <v>61.31</v>
      </c>
      <c r="O2280" s="10">
        <v>60.78</v>
      </c>
      <c r="P2280" s="10">
        <v>60.38</v>
      </c>
      <c r="Q2280" s="10">
        <v>60.18</v>
      </c>
      <c r="R2280" s="10">
        <v>60.08</v>
      </c>
      <c r="S2280" s="10">
        <v>60.04</v>
      </c>
      <c r="T2280" s="10">
        <v>60.04</v>
      </c>
      <c r="U2280" s="10">
        <v>60.01</v>
      </c>
      <c r="V2280" s="10">
        <v>59.96</v>
      </c>
      <c r="W2280" s="10">
        <v>59.91</v>
      </c>
      <c r="X2280" s="10">
        <v>59.88</v>
      </c>
      <c r="Y2280" s="10">
        <v>59.89</v>
      </c>
      <c r="Z2280" s="11">
        <v>65.263000000000005</v>
      </c>
      <c r="AA2280" s="11">
        <v>66</v>
      </c>
      <c r="AB2280" s="11">
        <v>65.141999999999996</v>
      </c>
      <c r="AC2280" s="11">
        <v>64.441999999999993</v>
      </c>
      <c r="AD2280" s="11">
        <v>64.111000000000004</v>
      </c>
      <c r="AE2280" s="11">
        <v>63.972999999999999</v>
      </c>
      <c r="AF2280" s="11">
        <v>63.893000000000001</v>
      </c>
      <c r="AG2280" s="11">
        <v>63.853000000000002</v>
      </c>
      <c r="AH2280" s="11">
        <v>63.802</v>
      </c>
      <c r="AI2280" s="11">
        <v>63.738999999999997</v>
      </c>
      <c r="AJ2280" s="11">
        <v>63.701000000000001</v>
      </c>
      <c r="AK2280" s="11">
        <v>63.701000000000001</v>
      </c>
      <c r="AL2280" s="11"/>
    </row>
    <row r="2281" spans="1:38" x14ac:dyDescent="0.3">
      <c r="A2281" s="9">
        <f>DATE(2025, 10, 28)</f>
        <v>45958</v>
      </c>
      <c r="B2281" s="10">
        <v>64.400000000000006</v>
      </c>
      <c r="C2281" s="10">
        <v>63.83</v>
      </c>
      <c r="D2281" s="10">
        <v>63.45</v>
      </c>
      <c r="E2281" s="10">
        <v>63.27</v>
      </c>
      <c r="F2281" s="10">
        <v>63.21</v>
      </c>
      <c r="G2281" s="10">
        <v>63.23</v>
      </c>
      <c r="H2281" s="10">
        <v>63.28</v>
      </c>
      <c r="I2281" s="10">
        <v>63.31</v>
      </c>
      <c r="J2281" s="10">
        <v>63.33</v>
      </c>
      <c r="K2281" s="10">
        <v>63.33</v>
      </c>
      <c r="L2281" s="10">
        <v>63.33</v>
      </c>
      <c r="M2281" s="10">
        <v>63.36</v>
      </c>
      <c r="N2281" s="10">
        <v>60.15</v>
      </c>
      <c r="O2281" s="10">
        <v>59.78</v>
      </c>
      <c r="P2281" s="10">
        <v>59.55</v>
      </c>
      <c r="Q2281" s="10">
        <v>59.47</v>
      </c>
      <c r="R2281" s="10">
        <v>59.47</v>
      </c>
      <c r="S2281" s="10">
        <v>59.52</v>
      </c>
      <c r="T2281" s="10">
        <v>59.59</v>
      </c>
      <c r="U2281" s="10">
        <v>59.64</v>
      </c>
      <c r="V2281" s="10">
        <v>59.65</v>
      </c>
      <c r="W2281" s="10">
        <v>59.63</v>
      </c>
      <c r="X2281" s="10">
        <v>59.63</v>
      </c>
      <c r="Y2281" s="10">
        <v>59.66</v>
      </c>
      <c r="Z2281" s="11">
        <v>65.022999999999996</v>
      </c>
      <c r="AA2281" s="11">
        <v>64.465999999999994</v>
      </c>
      <c r="AB2281" s="11">
        <v>63.968000000000004</v>
      </c>
      <c r="AC2281" s="11">
        <v>63.473999999999997</v>
      </c>
      <c r="AD2281" s="11">
        <v>63.328000000000003</v>
      </c>
      <c r="AE2281" s="11">
        <v>63.308</v>
      </c>
      <c r="AF2281" s="11">
        <v>63.308</v>
      </c>
      <c r="AG2281" s="11">
        <v>63.337000000000003</v>
      </c>
      <c r="AH2281" s="11">
        <v>63.345999999999997</v>
      </c>
      <c r="AI2281" s="11">
        <v>63.344999999999999</v>
      </c>
      <c r="AJ2281" s="11">
        <v>63.353999999999999</v>
      </c>
      <c r="AK2281" s="11">
        <v>63.38</v>
      </c>
      <c r="AL2281" s="11"/>
    </row>
    <row r="2282" spans="1:38" x14ac:dyDescent="0.3">
      <c r="A2282" s="9">
        <f>DATE(2025, 10, 29)</f>
        <v>45959</v>
      </c>
      <c r="B2282" s="10">
        <v>64.92</v>
      </c>
      <c r="C2282" s="10">
        <v>64.319999999999993</v>
      </c>
      <c r="D2282" s="10">
        <v>63.89</v>
      </c>
      <c r="E2282" s="10">
        <v>63.67</v>
      </c>
      <c r="F2282" s="10">
        <v>63.6</v>
      </c>
      <c r="G2282" s="10">
        <v>63.62</v>
      </c>
      <c r="H2282" s="10">
        <v>63.65</v>
      </c>
      <c r="I2282" s="10">
        <v>63.66</v>
      </c>
      <c r="J2282" s="10">
        <v>63.67</v>
      </c>
      <c r="K2282" s="10">
        <v>63.67</v>
      </c>
      <c r="L2282" s="10">
        <v>63.66</v>
      </c>
      <c r="M2282" s="10">
        <v>63.69</v>
      </c>
      <c r="N2282" s="10">
        <v>60.48</v>
      </c>
      <c r="O2282" s="10">
        <v>60.16</v>
      </c>
      <c r="P2282" s="10">
        <v>59.94</v>
      </c>
      <c r="Q2282" s="10">
        <v>59.85</v>
      </c>
      <c r="R2282" s="10">
        <v>59.84</v>
      </c>
      <c r="S2282" s="10">
        <v>59.9</v>
      </c>
      <c r="T2282" s="10">
        <v>59.97</v>
      </c>
      <c r="U2282" s="10">
        <v>60</v>
      </c>
      <c r="V2282" s="10">
        <v>60</v>
      </c>
      <c r="W2282" s="10">
        <v>59.97</v>
      </c>
      <c r="X2282" s="10">
        <v>59.96</v>
      </c>
      <c r="Y2282" s="10">
        <v>59.99</v>
      </c>
      <c r="Z2282" s="11">
        <v>65.033000000000001</v>
      </c>
      <c r="AA2282" s="11">
        <v>65.418999999999997</v>
      </c>
      <c r="AB2282" s="11">
        <v>64.67</v>
      </c>
      <c r="AC2282" s="11">
        <v>64.094999999999999</v>
      </c>
      <c r="AD2282" s="11">
        <v>63.893999999999998</v>
      </c>
      <c r="AE2282" s="11">
        <v>63.832999999999998</v>
      </c>
      <c r="AF2282" s="11">
        <v>63.795000000000002</v>
      </c>
      <c r="AG2282" s="11">
        <v>63.79</v>
      </c>
      <c r="AH2282" s="11">
        <v>63.771000000000001</v>
      </c>
      <c r="AI2282" s="11">
        <v>63.741999999999997</v>
      </c>
      <c r="AJ2282" s="11">
        <v>63.723999999999997</v>
      </c>
      <c r="AK2282" s="11">
        <v>63.75</v>
      </c>
      <c r="AL2282" s="11"/>
    </row>
    <row r="2283" spans="1:38" x14ac:dyDescent="0.3">
      <c r="A2283" s="9">
        <f>DATE(2025, 10, 30)</f>
        <v>45960</v>
      </c>
      <c r="B2283" s="10">
        <v>65</v>
      </c>
      <c r="C2283" s="10">
        <v>64.37</v>
      </c>
      <c r="D2283" s="10">
        <v>63.89</v>
      </c>
      <c r="E2283" s="10">
        <v>63.64</v>
      </c>
      <c r="F2283" s="10">
        <v>63.56</v>
      </c>
      <c r="G2283" s="10">
        <v>63.57</v>
      </c>
      <c r="H2283" s="10">
        <v>63.61</v>
      </c>
      <c r="I2283" s="10">
        <v>63.64</v>
      </c>
      <c r="J2283" s="10">
        <v>63.65</v>
      </c>
      <c r="K2283" s="10">
        <v>63.66</v>
      </c>
      <c r="L2283" s="10">
        <v>63.67</v>
      </c>
      <c r="M2283" s="10">
        <v>63.7</v>
      </c>
      <c r="N2283" s="10">
        <v>60.57</v>
      </c>
      <c r="O2283" s="10">
        <v>60.2</v>
      </c>
      <c r="P2283" s="10">
        <v>59.91</v>
      </c>
      <c r="Q2283" s="10">
        <v>59.79</v>
      </c>
      <c r="R2283" s="10">
        <v>59.78</v>
      </c>
      <c r="S2283" s="10">
        <v>59.85</v>
      </c>
      <c r="T2283" s="10">
        <v>59.92</v>
      </c>
      <c r="U2283" s="10">
        <v>59.97</v>
      </c>
      <c r="V2283" s="10">
        <v>59.98</v>
      </c>
      <c r="W2283" s="10">
        <v>59.97</v>
      </c>
      <c r="X2283" s="10">
        <v>59.96</v>
      </c>
      <c r="Y2283" s="10">
        <v>59.99</v>
      </c>
      <c r="Z2283" s="11">
        <v>64.992999999999995</v>
      </c>
      <c r="AA2283" s="11">
        <v>65.536000000000001</v>
      </c>
      <c r="AB2283" s="11">
        <v>64.686999999999998</v>
      </c>
      <c r="AC2283" s="11">
        <v>64.084999999999994</v>
      </c>
      <c r="AD2283" s="11">
        <v>63.832999999999998</v>
      </c>
      <c r="AE2283" s="11">
        <v>63.731999999999999</v>
      </c>
      <c r="AF2283" s="11">
        <v>63.691000000000003</v>
      </c>
      <c r="AG2283" s="11">
        <v>63.7</v>
      </c>
      <c r="AH2283" s="11">
        <v>63.689</v>
      </c>
      <c r="AI2283" s="11">
        <v>63.694000000000003</v>
      </c>
      <c r="AJ2283" s="11">
        <v>63.695999999999998</v>
      </c>
      <c r="AK2283" s="11">
        <v>63.734000000000002</v>
      </c>
      <c r="AL2283" s="11"/>
    </row>
    <row r="2284" spans="1:38" x14ac:dyDescent="0.3">
      <c r="A2284" s="9">
        <f>DATE(2025, 10, 31)</f>
        <v>45961</v>
      </c>
      <c r="B2284" s="10">
        <v>65.069999999999993</v>
      </c>
      <c r="C2284" s="10">
        <v>64.77</v>
      </c>
      <c r="D2284" s="10">
        <v>64.2</v>
      </c>
      <c r="E2284" s="10">
        <v>63.86</v>
      </c>
      <c r="F2284" s="10">
        <v>63.7</v>
      </c>
      <c r="G2284" s="10">
        <v>63.66</v>
      </c>
      <c r="H2284" s="10">
        <v>63.67</v>
      </c>
      <c r="I2284" s="10">
        <v>63.67</v>
      </c>
      <c r="J2284" s="10">
        <v>63.67</v>
      </c>
      <c r="K2284" s="10">
        <v>63.66</v>
      </c>
      <c r="L2284" s="10">
        <v>63.65</v>
      </c>
      <c r="M2284" s="10">
        <v>63.67</v>
      </c>
      <c r="N2284" s="10">
        <v>60.98</v>
      </c>
      <c r="O2284" s="10">
        <v>60.6</v>
      </c>
      <c r="P2284" s="10">
        <v>60.26</v>
      </c>
      <c r="Q2284" s="10">
        <v>60.06</v>
      </c>
      <c r="R2284" s="10">
        <v>59.99</v>
      </c>
      <c r="S2284" s="10">
        <v>60</v>
      </c>
      <c r="T2284" s="10">
        <v>60.04</v>
      </c>
      <c r="U2284" s="10">
        <v>60.06</v>
      </c>
      <c r="V2284" s="10">
        <v>60.05</v>
      </c>
      <c r="W2284" s="10">
        <v>60.02</v>
      </c>
      <c r="X2284" s="10">
        <v>60</v>
      </c>
      <c r="Y2284" s="10">
        <v>60.03</v>
      </c>
      <c r="Z2284" s="11">
        <v>64.998999999999995</v>
      </c>
      <c r="AA2284" s="11">
        <v>66.132000000000005</v>
      </c>
      <c r="AB2284" s="11">
        <v>65.119</v>
      </c>
      <c r="AC2284" s="11">
        <v>64.393000000000001</v>
      </c>
      <c r="AD2284" s="11">
        <v>64.015000000000001</v>
      </c>
      <c r="AE2284" s="11">
        <v>63.832999999999998</v>
      </c>
      <c r="AF2284" s="11">
        <v>63.752000000000002</v>
      </c>
      <c r="AG2284" s="11">
        <v>63.731000000000002</v>
      </c>
      <c r="AH2284" s="11">
        <v>63.72</v>
      </c>
      <c r="AI2284" s="11">
        <v>63.709000000000003</v>
      </c>
      <c r="AJ2284" s="11">
        <v>63.7</v>
      </c>
      <c r="AK2284" s="11">
        <v>63.728999999999999</v>
      </c>
      <c r="AL2284" s="11"/>
    </row>
    <row r="2285" spans="1:38" x14ac:dyDescent="0.3">
      <c r="A2285" s="9">
        <f>DATE(2025, 11, 3)</f>
        <v>45964</v>
      </c>
      <c r="B2285" s="10">
        <v>64.89</v>
      </c>
      <c r="C2285" s="10">
        <v>64.44</v>
      </c>
      <c r="D2285" s="10">
        <v>64.17</v>
      </c>
      <c r="E2285" s="10">
        <v>64.040000000000006</v>
      </c>
      <c r="F2285" s="10">
        <v>64</v>
      </c>
      <c r="G2285" s="10">
        <v>63.99</v>
      </c>
      <c r="H2285" s="10">
        <v>63.98</v>
      </c>
      <c r="I2285" s="10">
        <v>63.96</v>
      </c>
      <c r="J2285" s="10">
        <v>63.94</v>
      </c>
      <c r="K2285" s="10">
        <v>63.93</v>
      </c>
      <c r="L2285" s="10">
        <v>63.95</v>
      </c>
      <c r="M2285" s="10">
        <v>63.99</v>
      </c>
      <c r="N2285" s="10">
        <v>61.05</v>
      </c>
      <c r="O2285" s="10">
        <v>60.75</v>
      </c>
      <c r="P2285" s="10">
        <v>60.48</v>
      </c>
      <c r="Q2285" s="10">
        <v>60.33</v>
      </c>
      <c r="R2285" s="10">
        <v>60.29</v>
      </c>
      <c r="S2285" s="10">
        <v>60.31</v>
      </c>
      <c r="T2285" s="10">
        <v>60.36</v>
      </c>
      <c r="U2285" s="10">
        <v>60.37</v>
      </c>
      <c r="V2285" s="10">
        <v>60.36</v>
      </c>
      <c r="W2285" s="10">
        <v>60.32</v>
      </c>
      <c r="X2285" s="10">
        <v>60.29</v>
      </c>
      <c r="Y2285" s="10">
        <v>60.29</v>
      </c>
      <c r="Z2285" s="11">
        <v>64.998999999999995</v>
      </c>
      <c r="AA2285" s="11">
        <v>66.159000000000006</v>
      </c>
      <c r="AB2285" s="11">
        <v>65.182000000000002</v>
      </c>
      <c r="AC2285" s="11">
        <v>64.591999999999999</v>
      </c>
      <c r="AD2285" s="11">
        <v>64.331999999999994</v>
      </c>
      <c r="AE2285" s="11">
        <v>64.209000000000003</v>
      </c>
      <c r="AF2285" s="11">
        <v>64.147999999999996</v>
      </c>
      <c r="AG2285" s="11">
        <v>64.126000000000005</v>
      </c>
      <c r="AH2285" s="11">
        <v>64.105000000000004</v>
      </c>
      <c r="AI2285" s="11">
        <v>64.057000000000002</v>
      </c>
      <c r="AJ2285" s="11">
        <v>64.02</v>
      </c>
      <c r="AK2285" s="11">
        <v>64.010999999999996</v>
      </c>
      <c r="AL2285" s="11"/>
    </row>
    <row r="2286" spans="1:38" x14ac:dyDescent="0.3">
      <c r="A2286" s="9">
        <f>DATE(2025, 11, 4)</f>
        <v>45965</v>
      </c>
      <c r="B2286" s="10">
        <v>64.44</v>
      </c>
      <c r="C2286" s="10">
        <v>64.069999999999993</v>
      </c>
      <c r="D2286" s="10">
        <v>63.86</v>
      </c>
      <c r="E2286" s="10">
        <v>63.77</v>
      </c>
      <c r="F2286" s="10">
        <v>63.75</v>
      </c>
      <c r="G2286" s="10">
        <v>63.77</v>
      </c>
      <c r="H2286" s="10">
        <v>63.78</v>
      </c>
      <c r="I2286" s="10">
        <v>63.78</v>
      </c>
      <c r="J2286" s="10">
        <v>63.77</v>
      </c>
      <c r="K2286" s="10">
        <v>63.77</v>
      </c>
      <c r="L2286" s="10">
        <v>63.79</v>
      </c>
      <c r="M2286" s="10">
        <v>63.83</v>
      </c>
      <c r="N2286" s="10">
        <v>60.56</v>
      </c>
      <c r="O2286" s="10">
        <v>60.31</v>
      </c>
      <c r="P2286" s="10">
        <v>60.09</v>
      </c>
      <c r="Q2286" s="10">
        <v>59.98</v>
      </c>
      <c r="R2286" s="10">
        <v>59.99</v>
      </c>
      <c r="S2286" s="10">
        <v>60.05</v>
      </c>
      <c r="T2286" s="10">
        <v>60.13</v>
      </c>
      <c r="U2286" s="10">
        <v>60.18</v>
      </c>
      <c r="V2286" s="10">
        <v>60.18</v>
      </c>
      <c r="W2286" s="10">
        <v>60.15</v>
      </c>
      <c r="X2286" s="10">
        <v>60.13</v>
      </c>
      <c r="Y2286" s="10">
        <v>60.15</v>
      </c>
      <c r="Z2286" s="11">
        <v>65.805999999999997</v>
      </c>
      <c r="AA2286" s="11">
        <v>64.911000000000001</v>
      </c>
      <c r="AB2286" s="11">
        <v>64.400000000000006</v>
      </c>
      <c r="AC2286" s="11">
        <v>64.144999999999996</v>
      </c>
      <c r="AD2286" s="11">
        <v>64.010999999999996</v>
      </c>
      <c r="AE2286" s="11">
        <v>63.95</v>
      </c>
      <c r="AF2286" s="11">
        <v>63.939</v>
      </c>
      <c r="AG2286" s="11">
        <v>63.911999999999999</v>
      </c>
      <c r="AH2286" s="11">
        <v>63.881999999999998</v>
      </c>
      <c r="AI2286" s="11">
        <v>63.865000000000002</v>
      </c>
      <c r="AJ2286" s="11">
        <v>63.866999999999997</v>
      </c>
      <c r="AK2286" s="11">
        <v>63.875999999999998</v>
      </c>
      <c r="AL2286" s="11"/>
    </row>
    <row r="2287" spans="1:38" x14ac:dyDescent="0.3">
      <c r="A2287" s="9">
        <f>DATE(2025, 11, 5)</f>
        <v>45966</v>
      </c>
      <c r="B2287" s="10">
        <v>63.52</v>
      </c>
      <c r="C2287" s="10">
        <v>63.24</v>
      </c>
      <c r="D2287" s="10">
        <v>63.09</v>
      </c>
      <c r="E2287" s="10">
        <v>63.04</v>
      </c>
      <c r="F2287" s="10">
        <v>63.06</v>
      </c>
      <c r="G2287" s="10">
        <v>63.09</v>
      </c>
      <c r="H2287" s="10">
        <v>63.11</v>
      </c>
      <c r="I2287" s="10">
        <v>63.12</v>
      </c>
      <c r="J2287" s="10">
        <v>63.13</v>
      </c>
      <c r="K2287" s="10">
        <v>63.14</v>
      </c>
      <c r="L2287" s="10">
        <v>63.17</v>
      </c>
      <c r="M2287" s="10">
        <v>63.22</v>
      </c>
      <c r="N2287" s="10">
        <v>59.6</v>
      </c>
      <c r="O2287" s="10">
        <v>59.42</v>
      </c>
      <c r="P2287" s="10">
        <v>59.27</v>
      </c>
      <c r="Q2287" s="10">
        <v>59.22</v>
      </c>
      <c r="R2287" s="10">
        <v>59.27</v>
      </c>
      <c r="S2287" s="10">
        <v>59.36</v>
      </c>
      <c r="T2287" s="10">
        <v>59.46</v>
      </c>
      <c r="U2287" s="10">
        <v>59.53</v>
      </c>
      <c r="V2287" s="10">
        <v>59.55</v>
      </c>
      <c r="W2287" s="10">
        <v>59.54</v>
      </c>
      <c r="X2287" s="10">
        <v>59.52</v>
      </c>
      <c r="Y2287" s="10">
        <v>59.54</v>
      </c>
      <c r="Z2287" s="11">
        <v>64.921999999999997</v>
      </c>
      <c r="AA2287" s="11">
        <v>64.016000000000005</v>
      </c>
      <c r="AB2287" s="11">
        <v>63.558</v>
      </c>
      <c r="AC2287" s="11">
        <v>63.353000000000002</v>
      </c>
      <c r="AD2287" s="11">
        <v>63.25</v>
      </c>
      <c r="AE2287" s="11">
        <v>63.198999999999998</v>
      </c>
      <c r="AF2287" s="11">
        <v>63.198</v>
      </c>
      <c r="AG2287" s="11">
        <v>63.195999999999998</v>
      </c>
      <c r="AH2287" s="11">
        <v>63.177</v>
      </c>
      <c r="AI2287" s="11">
        <v>63.174999999999997</v>
      </c>
      <c r="AJ2287" s="11">
        <v>63.192</v>
      </c>
      <c r="AK2287" s="11">
        <v>63.234000000000002</v>
      </c>
      <c r="AL2287" s="11"/>
    </row>
    <row r="2288" spans="1:38" x14ac:dyDescent="0.3">
      <c r="A2288" s="9">
        <f>DATE(2025, 11, 6)</f>
        <v>45967</v>
      </c>
      <c r="B2288" s="10">
        <v>63.38</v>
      </c>
      <c r="C2288" s="10">
        <v>63.07</v>
      </c>
      <c r="D2288" s="10">
        <v>62.9</v>
      </c>
      <c r="E2288" s="10">
        <v>62.86</v>
      </c>
      <c r="F2288" s="10">
        <v>62.87</v>
      </c>
      <c r="G2288" s="10">
        <v>62.91</v>
      </c>
      <c r="H2288" s="10">
        <v>62.92</v>
      </c>
      <c r="I2288" s="10">
        <v>62.93</v>
      </c>
      <c r="J2288" s="10">
        <v>62.93</v>
      </c>
      <c r="K2288" s="10">
        <v>62.94</v>
      </c>
      <c r="L2288" s="10">
        <v>62.97</v>
      </c>
      <c r="M2288" s="10">
        <v>63.01</v>
      </c>
      <c r="N2288" s="10">
        <v>59.43</v>
      </c>
      <c r="O2288" s="10">
        <v>59.3</v>
      </c>
      <c r="P2288" s="10">
        <v>59.14</v>
      </c>
      <c r="Q2288" s="10">
        <v>59.09</v>
      </c>
      <c r="R2288" s="10">
        <v>59.15</v>
      </c>
      <c r="S2288" s="10">
        <v>59.26</v>
      </c>
      <c r="T2288" s="10">
        <v>59.37</v>
      </c>
      <c r="U2288" s="10">
        <v>59.45</v>
      </c>
      <c r="V2288" s="10">
        <v>59.48</v>
      </c>
      <c r="W2288" s="10">
        <v>59.47</v>
      </c>
      <c r="X2288" s="10">
        <v>59.46</v>
      </c>
      <c r="Y2288" s="10">
        <v>59.47</v>
      </c>
      <c r="Z2288" s="11">
        <v>64.649000000000001</v>
      </c>
      <c r="AA2288" s="11">
        <v>63.685000000000002</v>
      </c>
      <c r="AB2288" s="11">
        <v>63.344000000000001</v>
      </c>
      <c r="AC2288" s="11">
        <v>63.185000000000002</v>
      </c>
      <c r="AD2288" s="11">
        <v>63.110999999999997</v>
      </c>
      <c r="AE2288" s="11">
        <v>63.091999999999999</v>
      </c>
      <c r="AF2288" s="11">
        <v>63.082000000000001</v>
      </c>
      <c r="AG2288" s="11">
        <v>63.082000000000001</v>
      </c>
      <c r="AH2288" s="11">
        <v>63.057000000000002</v>
      </c>
      <c r="AI2288" s="11">
        <v>63.040999999999997</v>
      </c>
      <c r="AJ2288" s="11">
        <v>63.052</v>
      </c>
      <c r="AK2288" s="11">
        <v>63.070999999999998</v>
      </c>
      <c r="AL2288" s="11"/>
    </row>
    <row r="2289" spans="1:38" x14ac:dyDescent="0.3">
      <c r="A2289" s="9">
        <f>DATE(2025, 11, 7)</f>
        <v>45968</v>
      </c>
      <c r="B2289" s="10">
        <v>63.63</v>
      </c>
      <c r="C2289" s="10">
        <v>63.39</v>
      </c>
      <c r="D2289" s="10">
        <v>63.25</v>
      </c>
      <c r="E2289" s="10">
        <v>63.21</v>
      </c>
      <c r="F2289" s="10">
        <v>63.22</v>
      </c>
      <c r="G2289" s="10">
        <v>63.24</v>
      </c>
      <c r="H2289" s="10">
        <v>63.24</v>
      </c>
      <c r="I2289" s="10">
        <v>63.24</v>
      </c>
      <c r="J2289" s="10">
        <v>63.24</v>
      </c>
      <c r="K2289" s="10">
        <v>63.24</v>
      </c>
      <c r="L2289" s="10">
        <v>63.26</v>
      </c>
      <c r="M2289" s="10">
        <v>63.3</v>
      </c>
      <c r="N2289" s="10">
        <v>59.75</v>
      </c>
      <c r="O2289" s="10">
        <v>59.62</v>
      </c>
      <c r="P2289" s="10">
        <v>59.47</v>
      </c>
      <c r="Q2289" s="10">
        <v>59.43</v>
      </c>
      <c r="R2289" s="10">
        <v>59.5</v>
      </c>
      <c r="S2289" s="10">
        <v>59.6</v>
      </c>
      <c r="T2289" s="10">
        <v>59.69</v>
      </c>
      <c r="U2289" s="10">
        <v>59.77</v>
      </c>
      <c r="V2289" s="10">
        <v>59.8</v>
      </c>
      <c r="W2289" s="10">
        <v>59.78</v>
      </c>
      <c r="X2289" s="10">
        <v>59.76</v>
      </c>
      <c r="Y2289" s="10">
        <v>59.77</v>
      </c>
      <c r="Z2289" s="11">
        <v>65.084000000000003</v>
      </c>
      <c r="AA2289" s="11">
        <v>64.308999999999997</v>
      </c>
      <c r="AB2289" s="11">
        <v>63.875999999999998</v>
      </c>
      <c r="AC2289" s="11">
        <v>63.651000000000003</v>
      </c>
      <c r="AD2289" s="11">
        <v>63.531999999999996</v>
      </c>
      <c r="AE2289" s="11">
        <v>63.482999999999997</v>
      </c>
      <c r="AF2289" s="11">
        <v>63.454000000000001</v>
      </c>
      <c r="AG2289" s="11">
        <v>63.43</v>
      </c>
      <c r="AH2289" s="11">
        <v>63.401000000000003</v>
      </c>
      <c r="AI2289" s="11">
        <v>63.377000000000002</v>
      </c>
      <c r="AJ2289" s="11">
        <v>63.369</v>
      </c>
      <c r="AK2289" s="11">
        <v>63.38</v>
      </c>
      <c r="AL2289" s="11"/>
    </row>
    <row r="2290" spans="1:38" x14ac:dyDescent="0.3">
      <c r="A2290" s="9">
        <f>DATE(2025, 11, 10)</f>
        <v>45971</v>
      </c>
      <c r="B2290" s="10">
        <v>64.06</v>
      </c>
      <c r="C2290" s="10">
        <v>63.82</v>
      </c>
      <c r="D2290" s="10">
        <v>63.69</v>
      </c>
      <c r="E2290" s="10">
        <v>63.64</v>
      </c>
      <c r="F2290" s="10">
        <v>63.64</v>
      </c>
      <c r="G2290" s="10">
        <v>63.65</v>
      </c>
      <c r="H2290" s="10">
        <v>63.63</v>
      </c>
      <c r="I2290" s="10">
        <v>63.6</v>
      </c>
      <c r="J2290" s="10">
        <v>63.57</v>
      </c>
      <c r="K2290" s="10">
        <v>63.54</v>
      </c>
      <c r="L2290" s="10">
        <v>63.53</v>
      </c>
      <c r="M2290" s="10">
        <v>63.55</v>
      </c>
      <c r="N2290" s="10">
        <v>60.13</v>
      </c>
      <c r="O2290" s="10">
        <v>60.03</v>
      </c>
      <c r="P2290" s="10">
        <v>59.89</v>
      </c>
      <c r="Q2290" s="10">
        <v>59.85</v>
      </c>
      <c r="R2290" s="10">
        <v>59.9</v>
      </c>
      <c r="S2290" s="10">
        <v>59.99</v>
      </c>
      <c r="T2290" s="10">
        <v>60.06</v>
      </c>
      <c r="U2290" s="10">
        <v>60.11</v>
      </c>
      <c r="V2290" s="10">
        <v>60.11</v>
      </c>
      <c r="W2290" s="10">
        <v>60.07</v>
      </c>
      <c r="X2290" s="10">
        <v>60.02</v>
      </c>
      <c r="Y2290" s="10">
        <v>60</v>
      </c>
      <c r="Z2290" s="11">
        <v>65.292000000000002</v>
      </c>
      <c r="AA2290" s="11">
        <v>64.688000000000002</v>
      </c>
      <c r="AB2290" s="11">
        <v>64.317999999999998</v>
      </c>
      <c r="AC2290" s="11">
        <v>64.099999999999994</v>
      </c>
      <c r="AD2290" s="11">
        <v>63.978999999999999</v>
      </c>
      <c r="AE2290" s="11">
        <v>63.92</v>
      </c>
      <c r="AF2290" s="11">
        <v>63.871000000000002</v>
      </c>
      <c r="AG2290" s="11">
        <v>63.822000000000003</v>
      </c>
      <c r="AH2290" s="11">
        <v>63.764000000000003</v>
      </c>
      <c r="AI2290" s="11">
        <v>63.704999999999998</v>
      </c>
      <c r="AJ2290" s="11">
        <v>63.667999999999999</v>
      </c>
      <c r="AK2290" s="11">
        <v>63.683</v>
      </c>
      <c r="AL2290" s="11"/>
    </row>
    <row r="2291" spans="1:38" x14ac:dyDescent="0.3">
      <c r="A2291" s="9">
        <f>DATE(2025, 11, 11)</f>
        <v>45972</v>
      </c>
      <c r="B2291" s="10">
        <v>65.16</v>
      </c>
      <c r="C2291" s="10">
        <v>64.87</v>
      </c>
      <c r="D2291" s="10">
        <v>64.7</v>
      </c>
      <c r="E2291" s="10">
        <v>64.62</v>
      </c>
      <c r="F2291" s="10">
        <v>64.59</v>
      </c>
      <c r="G2291" s="10">
        <v>64.56</v>
      </c>
      <c r="H2291" s="10">
        <v>64.510000000000005</v>
      </c>
      <c r="I2291" s="10">
        <v>64.45</v>
      </c>
      <c r="J2291" s="10">
        <v>64.39</v>
      </c>
      <c r="K2291" s="10">
        <v>64.33</v>
      </c>
      <c r="L2291" s="10">
        <v>64.28</v>
      </c>
      <c r="M2291" s="10">
        <v>64.260000000000005</v>
      </c>
      <c r="N2291" s="10">
        <v>61.04</v>
      </c>
      <c r="O2291" s="10">
        <v>60.99</v>
      </c>
      <c r="P2291" s="10">
        <v>60.87</v>
      </c>
      <c r="Q2291" s="10">
        <v>60.82</v>
      </c>
      <c r="R2291" s="10">
        <v>60.84</v>
      </c>
      <c r="S2291" s="10">
        <v>60.9</v>
      </c>
      <c r="T2291" s="10">
        <v>60.94</v>
      </c>
      <c r="U2291" s="10">
        <v>60.96</v>
      </c>
      <c r="V2291" s="10">
        <v>60.93</v>
      </c>
      <c r="W2291" s="10">
        <v>60.87</v>
      </c>
      <c r="X2291" s="10">
        <v>60.79</v>
      </c>
      <c r="Y2291" s="10">
        <v>60.74</v>
      </c>
      <c r="Z2291" s="11">
        <v>65.751999999999995</v>
      </c>
      <c r="AA2291" s="11">
        <v>65.757999999999996</v>
      </c>
      <c r="AB2291" s="11">
        <v>65.388999999999996</v>
      </c>
      <c r="AC2291" s="11">
        <v>65.134</v>
      </c>
      <c r="AD2291" s="11">
        <v>64.974000000000004</v>
      </c>
      <c r="AE2291" s="11">
        <v>64.888000000000005</v>
      </c>
      <c r="AF2291" s="11">
        <v>64.819000000000003</v>
      </c>
      <c r="AG2291" s="11">
        <v>64.739000000000004</v>
      </c>
      <c r="AH2291" s="11">
        <v>64.638999999999996</v>
      </c>
      <c r="AI2291" s="11">
        <v>64.548000000000002</v>
      </c>
      <c r="AJ2291" s="11">
        <v>64.471999999999994</v>
      </c>
      <c r="AK2291" s="11">
        <v>64.438999999999993</v>
      </c>
      <c r="AL2291" s="11"/>
    </row>
    <row r="2292" spans="1:38" x14ac:dyDescent="0.3">
      <c r="A2292" s="9">
        <f>DATE(2025, 11, 12)</f>
        <v>45973</v>
      </c>
      <c r="B2292" s="10">
        <v>62.71</v>
      </c>
      <c r="C2292" s="10">
        <v>62.45</v>
      </c>
      <c r="D2292" s="10">
        <v>62.31</v>
      </c>
      <c r="E2292" s="10">
        <v>62.26</v>
      </c>
      <c r="F2292" s="10">
        <v>62.27</v>
      </c>
      <c r="G2292" s="10">
        <v>62.3</v>
      </c>
      <c r="H2292" s="10">
        <v>62.3</v>
      </c>
      <c r="I2292" s="10">
        <v>62.3</v>
      </c>
      <c r="J2292" s="10">
        <v>62.28</v>
      </c>
      <c r="K2292" s="10">
        <v>62.27</v>
      </c>
      <c r="L2292" s="10">
        <v>62.27</v>
      </c>
      <c r="M2292" s="10">
        <v>62.28</v>
      </c>
      <c r="N2292" s="10">
        <v>58.49</v>
      </c>
      <c r="O2292" s="10">
        <v>58.49</v>
      </c>
      <c r="P2292" s="10">
        <v>58.42</v>
      </c>
      <c r="Q2292" s="10">
        <v>58.42</v>
      </c>
      <c r="R2292" s="10">
        <v>58.49</v>
      </c>
      <c r="S2292" s="10">
        <v>58.6</v>
      </c>
      <c r="T2292" s="10">
        <v>58.69</v>
      </c>
      <c r="U2292" s="10">
        <v>58.76</v>
      </c>
      <c r="V2292" s="10">
        <v>58.78</v>
      </c>
      <c r="W2292" s="10">
        <v>58.76</v>
      </c>
      <c r="X2292" s="10">
        <v>58.73</v>
      </c>
      <c r="Y2292" s="10">
        <v>58.72</v>
      </c>
      <c r="Z2292" s="11">
        <v>64.090999999999994</v>
      </c>
      <c r="AA2292" s="11">
        <v>63.087000000000003</v>
      </c>
      <c r="AB2292" s="11">
        <v>62.857999999999997</v>
      </c>
      <c r="AC2292" s="11">
        <v>62.701000000000001</v>
      </c>
      <c r="AD2292" s="11">
        <v>62.622</v>
      </c>
      <c r="AE2292" s="11">
        <v>62.627000000000002</v>
      </c>
      <c r="AF2292" s="11">
        <v>62.628999999999998</v>
      </c>
      <c r="AG2292" s="11">
        <v>62.616999999999997</v>
      </c>
      <c r="AH2292" s="11">
        <v>62.587000000000003</v>
      </c>
      <c r="AI2292" s="11">
        <v>62.56</v>
      </c>
      <c r="AJ2292" s="11">
        <v>62.540999999999997</v>
      </c>
      <c r="AK2292" s="11">
        <v>62.531999999999996</v>
      </c>
      <c r="AL2292" s="11"/>
    </row>
    <row r="2293" spans="1:38" x14ac:dyDescent="0.3">
      <c r="A2293" s="9">
        <f>DATE(2025, 11, 13)</f>
        <v>45974</v>
      </c>
      <c r="B2293" s="10">
        <v>63.01</v>
      </c>
      <c r="C2293" s="10">
        <v>62.64</v>
      </c>
      <c r="D2293" s="10">
        <v>62.43</v>
      </c>
      <c r="E2293" s="10">
        <v>62.34</v>
      </c>
      <c r="F2293" s="10">
        <v>62.33</v>
      </c>
      <c r="G2293" s="10">
        <v>62.34</v>
      </c>
      <c r="H2293" s="10">
        <v>62.33</v>
      </c>
      <c r="I2293" s="10">
        <v>62.31</v>
      </c>
      <c r="J2293" s="10">
        <v>62.29</v>
      </c>
      <c r="K2293" s="10">
        <v>62.27</v>
      </c>
      <c r="L2293" s="10">
        <v>62.26</v>
      </c>
      <c r="M2293" s="10">
        <v>62.28</v>
      </c>
      <c r="N2293" s="10">
        <v>58.69</v>
      </c>
      <c r="O2293" s="10">
        <v>58.64</v>
      </c>
      <c r="P2293" s="10">
        <v>58.52</v>
      </c>
      <c r="Q2293" s="10">
        <v>58.46</v>
      </c>
      <c r="R2293" s="10">
        <v>58.49</v>
      </c>
      <c r="S2293" s="10">
        <v>58.57</v>
      </c>
      <c r="T2293" s="10">
        <v>58.65</v>
      </c>
      <c r="U2293" s="10">
        <v>58.71</v>
      </c>
      <c r="V2293" s="10">
        <v>58.73</v>
      </c>
      <c r="W2293" s="10">
        <v>58.72</v>
      </c>
      <c r="X2293" s="10">
        <v>58.69</v>
      </c>
      <c r="Y2293" s="10">
        <v>58.69</v>
      </c>
      <c r="Z2293" s="11">
        <v>64.414000000000001</v>
      </c>
      <c r="AA2293" s="11">
        <v>63.460999999999999</v>
      </c>
      <c r="AB2293" s="11">
        <v>63.182000000000002</v>
      </c>
      <c r="AC2293" s="11">
        <v>62.965000000000003</v>
      </c>
      <c r="AD2293" s="11">
        <v>62.845999999999997</v>
      </c>
      <c r="AE2293" s="11">
        <v>62.82</v>
      </c>
      <c r="AF2293" s="11">
        <v>62.798999999999999</v>
      </c>
      <c r="AG2293" s="11">
        <v>62.77</v>
      </c>
      <c r="AH2293" s="11">
        <v>62.720999999999997</v>
      </c>
      <c r="AI2293" s="11">
        <v>62.682000000000002</v>
      </c>
      <c r="AJ2293" s="11">
        <v>62.655000000000001</v>
      </c>
      <c r="AK2293" s="11">
        <v>62.645000000000003</v>
      </c>
      <c r="AL2293" s="11"/>
    </row>
    <row r="2294" spans="1:38" x14ac:dyDescent="0.3">
      <c r="A2294" s="9">
        <f>DATE(2025, 11, 14)</f>
        <v>45975</v>
      </c>
      <c r="B2294" s="10">
        <v>64.39</v>
      </c>
      <c r="C2294" s="10">
        <v>63.92</v>
      </c>
      <c r="D2294" s="10">
        <v>63.62</v>
      </c>
      <c r="E2294" s="10">
        <v>63.44</v>
      </c>
      <c r="F2294" s="10">
        <v>63.37</v>
      </c>
      <c r="G2294" s="10">
        <v>63.34</v>
      </c>
      <c r="H2294" s="10">
        <v>63.29</v>
      </c>
      <c r="I2294" s="10">
        <v>63.22</v>
      </c>
      <c r="J2294" s="10">
        <v>63.16</v>
      </c>
      <c r="K2294" s="10">
        <v>63.11</v>
      </c>
      <c r="L2294" s="10">
        <v>63.07</v>
      </c>
      <c r="M2294" s="10">
        <v>63.06</v>
      </c>
      <c r="N2294" s="10">
        <v>60.09</v>
      </c>
      <c r="O2294" s="10">
        <v>59.95</v>
      </c>
      <c r="P2294" s="10">
        <v>59.78</v>
      </c>
      <c r="Q2294" s="10">
        <v>59.63</v>
      </c>
      <c r="R2294" s="10">
        <v>59.58</v>
      </c>
      <c r="S2294" s="10">
        <v>59.6</v>
      </c>
      <c r="T2294" s="10">
        <v>59.63</v>
      </c>
      <c r="U2294" s="10">
        <v>59.65</v>
      </c>
      <c r="V2294" s="10">
        <v>59.62</v>
      </c>
      <c r="W2294" s="10">
        <v>59.57</v>
      </c>
      <c r="X2294" s="10">
        <v>59.51</v>
      </c>
      <c r="Y2294" s="10">
        <v>59.48</v>
      </c>
      <c r="Z2294" s="11">
        <v>65.111000000000004</v>
      </c>
      <c r="AA2294" s="11">
        <v>64.644000000000005</v>
      </c>
      <c r="AB2294" s="11">
        <v>64.302999999999997</v>
      </c>
      <c r="AC2294" s="11">
        <v>64.049000000000007</v>
      </c>
      <c r="AD2294" s="11">
        <v>63.896999999999998</v>
      </c>
      <c r="AE2294" s="11">
        <v>63.831000000000003</v>
      </c>
      <c r="AF2294" s="11">
        <v>63.771999999999998</v>
      </c>
      <c r="AG2294" s="11">
        <v>63.701000000000001</v>
      </c>
      <c r="AH2294" s="11">
        <v>63.631</v>
      </c>
      <c r="AI2294" s="11">
        <v>63.561</v>
      </c>
      <c r="AJ2294" s="11">
        <v>63.496000000000002</v>
      </c>
      <c r="AK2294" s="11">
        <v>63.475999999999999</v>
      </c>
      <c r="AL2294" s="11"/>
    </row>
    <row r="2295" spans="1:38" x14ac:dyDescent="0.3">
      <c r="A2295" s="9">
        <f>DATE(2025, 11, 17)</f>
        <v>45978</v>
      </c>
      <c r="B2295" s="10">
        <v>64.2</v>
      </c>
      <c r="C2295" s="10">
        <v>63.76</v>
      </c>
      <c r="D2295" s="10">
        <v>63.48</v>
      </c>
      <c r="E2295" s="10">
        <v>63.32</v>
      </c>
      <c r="F2295" s="10">
        <v>63.25</v>
      </c>
      <c r="G2295" s="10">
        <v>63.23</v>
      </c>
      <c r="H2295" s="10">
        <v>63.2</v>
      </c>
      <c r="I2295" s="10">
        <v>63.15</v>
      </c>
      <c r="J2295" s="10">
        <v>63.09</v>
      </c>
      <c r="K2295" s="10">
        <v>63.04</v>
      </c>
      <c r="L2295" s="10">
        <v>63.01</v>
      </c>
      <c r="M2295" s="10">
        <v>63.01</v>
      </c>
      <c r="N2295" s="10">
        <v>59.91</v>
      </c>
      <c r="O2295" s="10">
        <v>59.86</v>
      </c>
      <c r="P2295" s="10">
        <v>59.69</v>
      </c>
      <c r="Q2295" s="10">
        <v>59.55</v>
      </c>
      <c r="R2295" s="10">
        <v>59.5</v>
      </c>
      <c r="S2295" s="10">
        <v>59.51</v>
      </c>
      <c r="T2295" s="10">
        <v>59.54</v>
      </c>
      <c r="U2295" s="10">
        <v>59.55</v>
      </c>
      <c r="V2295" s="10">
        <v>59.54</v>
      </c>
      <c r="W2295" s="10">
        <v>59.49</v>
      </c>
      <c r="X2295" s="10">
        <v>59.43</v>
      </c>
      <c r="Y2295" s="10">
        <v>59.4</v>
      </c>
      <c r="Z2295" s="11">
        <v>64.906000000000006</v>
      </c>
      <c r="AA2295" s="11">
        <v>64.334999999999994</v>
      </c>
      <c r="AB2295" s="11">
        <v>64.004000000000005</v>
      </c>
      <c r="AC2295" s="11">
        <v>63.783999999999999</v>
      </c>
      <c r="AD2295" s="11">
        <v>63.664000000000001</v>
      </c>
      <c r="AE2295" s="11">
        <v>63.613999999999997</v>
      </c>
      <c r="AF2295" s="11">
        <v>63.573</v>
      </c>
      <c r="AG2295" s="11">
        <v>63.515000000000001</v>
      </c>
      <c r="AH2295" s="11">
        <v>63.445999999999998</v>
      </c>
      <c r="AI2295" s="11">
        <v>63.384999999999998</v>
      </c>
      <c r="AJ2295" s="11">
        <v>63.354999999999997</v>
      </c>
      <c r="AK2295" s="11">
        <v>63.344000000000001</v>
      </c>
      <c r="AL2295" s="11"/>
    </row>
    <row r="2296" spans="1:38" x14ac:dyDescent="0.3">
      <c r="A2296" s="9">
        <f>DATE(2025, 11, 18)</f>
        <v>45979</v>
      </c>
      <c r="B2296" s="10">
        <v>64.89</v>
      </c>
      <c r="C2296" s="10">
        <v>64.430000000000007</v>
      </c>
      <c r="D2296" s="10">
        <v>64.11</v>
      </c>
      <c r="E2296" s="10">
        <v>63.9</v>
      </c>
      <c r="F2296" s="10">
        <v>63.8</v>
      </c>
      <c r="G2296" s="10">
        <v>63.75</v>
      </c>
      <c r="H2296" s="10">
        <v>63.69</v>
      </c>
      <c r="I2296" s="10">
        <v>63.61</v>
      </c>
      <c r="J2296" s="10">
        <v>63.53</v>
      </c>
      <c r="K2296" s="10">
        <v>63.46</v>
      </c>
      <c r="L2296" s="10">
        <v>63.41</v>
      </c>
      <c r="M2296" s="10">
        <v>63.38</v>
      </c>
      <c r="N2296" s="10">
        <v>60.74</v>
      </c>
      <c r="O2296" s="10">
        <v>60.67</v>
      </c>
      <c r="P2296" s="10">
        <v>60.43</v>
      </c>
      <c r="Q2296" s="10">
        <v>60.22</v>
      </c>
      <c r="R2296" s="10">
        <v>60.11</v>
      </c>
      <c r="S2296" s="10">
        <v>60.07</v>
      </c>
      <c r="T2296" s="10">
        <v>60.07</v>
      </c>
      <c r="U2296" s="10">
        <v>60.06</v>
      </c>
      <c r="V2296" s="10">
        <v>60.02</v>
      </c>
      <c r="W2296" s="10">
        <v>59.93</v>
      </c>
      <c r="X2296" s="10">
        <v>59.85</v>
      </c>
      <c r="Y2296" s="10">
        <v>59.79</v>
      </c>
      <c r="Z2296" s="11">
        <v>65.231999999999999</v>
      </c>
      <c r="AA2296" s="11">
        <v>65.075000000000003</v>
      </c>
      <c r="AB2296" s="11">
        <v>64.695999999999998</v>
      </c>
      <c r="AC2296" s="11">
        <v>64.427999999999997</v>
      </c>
      <c r="AD2296" s="11">
        <v>64.287999999999997</v>
      </c>
      <c r="AE2296" s="11">
        <v>64.215999999999994</v>
      </c>
      <c r="AF2296" s="11">
        <v>64.146000000000001</v>
      </c>
      <c r="AG2296" s="11">
        <v>64.066000000000003</v>
      </c>
      <c r="AH2296" s="11">
        <v>63.957999999999998</v>
      </c>
      <c r="AI2296" s="11">
        <v>63.871000000000002</v>
      </c>
      <c r="AJ2296" s="11">
        <v>63.82</v>
      </c>
      <c r="AK2296" s="11">
        <v>63.75</v>
      </c>
      <c r="AL2296" s="11"/>
    </row>
    <row r="2297" spans="1:38" x14ac:dyDescent="0.3">
      <c r="A2297" s="9">
        <f>DATE(2025, 11, 19)</f>
        <v>45980</v>
      </c>
      <c r="B2297" s="10">
        <v>63.51</v>
      </c>
      <c r="C2297" s="10">
        <v>63</v>
      </c>
      <c r="D2297" s="10">
        <v>62.65</v>
      </c>
      <c r="E2297" s="10">
        <v>62.45</v>
      </c>
      <c r="F2297" s="10">
        <v>62.36</v>
      </c>
      <c r="G2297" s="10">
        <v>62.33</v>
      </c>
      <c r="H2297" s="10">
        <v>62.28</v>
      </c>
      <c r="I2297" s="10">
        <v>62.23</v>
      </c>
      <c r="J2297" s="10">
        <v>62.16</v>
      </c>
      <c r="K2297" s="10">
        <v>62.11</v>
      </c>
      <c r="L2297" s="10">
        <v>62.08</v>
      </c>
      <c r="M2297" s="10">
        <v>62.07</v>
      </c>
      <c r="N2297" s="10">
        <v>59.44</v>
      </c>
      <c r="O2297" s="10">
        <v>59.25</v>
      </c>
      <c r="P2297" s="10">
        <v>58.97</v>
      </c>
      <c r="Q2297" s="10">
        <v>58.74</v>
      </c>
      <c r="R2297" s="10">
        <v>58.62</v>
      </c>
      <c r="S2297" s="10">
        <v>58.61</v>
      </c>
      <c r="T2297" s="10">
        <v>58.63</v>
      </c>
      <c r="U2297" s="10">
        <v>58.64</v>
      </c>
      <c r="V2297" s="10">
        <v>58.61</v>
      </c>
      <c r="W2297" s="10">
        <v>58.55</v>
      </c>
      <c r="X2297" s="10">
        <v>58.48</v>
      </c>
      <c r="Y2297" s="10">
        <v>58.44</v>
      </c>
      <c r="Z2297" s="11">
        <v>64.56</v>
      </c>
      <c r="AA2297" s="11">
        <v>63.518999999999998</v>
      </c>
      <c r="AB2297" s="11">
        <v>63.16</v>
      </c>
      <c r="AC2297" s="11">
        <v>62.930999999999997</v>
      </c>
      <c r="AD2297" s="11">
        <v>62.798999999999999</v>
      </c>
      <c r="AE2297" s="11">
        <v>62.747999999999998</v>
      </c>
      <c r="AF2297" s="11">
        <v>62.688000000000002</v>
      </c>
      <c r="AG2297" s="11">
        <v>62.628</v>
      </c>
      <c r="AH2297" s="11">
        <v>62.548000000000002</v>
      </c>
      <c r="AI2297" s="11">
        <v>62.481999999999999</v>
      </c>
      <c r="AJ2297" s="11">
        <v>62.43</v>
      </c>
      <c r="AK2297" s="11">
        <v>62.408999999999999</v>
      </c>
      <c r="AL2297" s="11"/>
    </row>
    <row r="2298" spans="1:38" x14ac:dyDescent="0.3">
      <c r="A2298" s="9">
        <f>DATE(2025, 11, 20)</f>
        <v>45981</v>
      </c>
      <c r="B2298" s="10">
        <v>63.38</v>
      </c>
      <c r="C2298" s="10">
        <v>62.8</v>
      </c>
      <c r="D2298" s="10">
        <v>62.41</v>
      </c>
      <c r="E2298" s="10">
        <v>62.18</v>
      </c>
      <c r="F2298" s="10">
        <v>62.09</v>
      </c>
      <c r="G2298" s="10">
        <v>62.07</v>
      </c>
      <c r="H2298" s="10">
        <v>62.04</v>
      </c>
      <c r="I2298" s="10">
        <v>62</v>
      </c>
      <c r="J2298" s="10">
        <v>61.95</v>
      </c>
      <c r="K2298" s="10">
        <v>61.92</v>
      </c>
      <c r="L2298" s="10">
        <v>61.9</v>
      </c>
      <c r="M2298" s="10">
        <v>61.91</v>
      </c>
      <c r="N2298" s="10">
        <v>59.14</v>
      </c>
      <c r="O2298" s="10">
        <v>59</v>
      </c>
      <c r="P2298" s="10">
        <v>58.69</v>
      </c>
      <c r="Q2298" s="10">
        <v>58.46</v>
      </c>
      <c r="R2298" s="10">
        <v>58.35</v>
      </c>
      <c r="S2298" s="10">
        <v>58.34</v>
      </c>
      <c r="T2298" s="10">
        <v>58.37</v>
      </c>
      <c r="U2298" s="10">
        <v>58.38</v>
      </c>
      <c r="V2298" s="10">
        <v>58.36</v>
      </c>
      <c r="W2298" s="10">
        <v>58.32</v>
      </c>
      <c r="X2298" s="10">
        <v>58.27</v>
      </c>
      <c r="Y2298" s="10">
        <v>58.25</v>
      </c>
      <c r="Z2298" s="11">
        <v>64.650000000000006</v>
      </c>
      <c r="AA2298" s="11">
        <v>63.475000000000001</v>
      </c>
      <c r="AB2298" s="11">
        <v>63.018999999999998</v>
      </c>
      <c r="AC2298" s="11">
        <v>62.746000000000002</v>
      </c>
      <c r="AD2298" s="11">
        <v>62.606000000000002</v>
      </c>
      <c r="AE2298" s="11">
        <v>62.573</v>
      </c>
      <c r="AF2298" s="11">
        <v>62.539000000000001</v>
      </c>
      <c r="AG2298" s="11">
        <v>62.488</v>
      </c>
      <c r="AH2298" s="11">
        <v>62.426000000000002</v>
      </c>
      <c r="AI2298" s="11">
        <v>62.38</v>
      </c>
      <c r="AJ2298" s="11">
        <v>62.337000000000003</v>
      </c>
      <c r="AK2298" s="11">
        <v>62.34</v>
      </c>
      <c r="AL2298" s="11"/>
    </row>
    <row r="2299" spans="1:38" x14ac:dyDescent="0.3">
      <c r="A2299" s="9">
        <f>DATE(2025, 11, 21)</f>
        <v>45982</v>
      </c>
      <c r="B2299" s="10">
        <v>62.56</v>
      </c>
      <c r="C2299" s="10">
        <v>61.94</v>
      </c>
      <c r="D2299" s="10">
        <v>61.6</v>
      </c>
      <c r="E2299" s="10">
        <v>61.42</v>
      </c>
      <c r="F2299" s="10">
        <v>61.37</v>
      </c>
      <c r="G2299" s="10">
        <v>61.38</v>
      </c>
      <c r="H2299" s="10">
        <v>61.38</v>
      </c>
      <c r="I2299" s="10">
        <v>61.38</v>
      </c>
      <c r="J2299" s="10">
        <v>61.36</v>
      </c>
      <c r="K2299" s="10">
        <v>61.36</v>
      </c>
      <c r="L2299" s="10">
        <v>61.37</v>
      </c>
      <c r="M2299" s="10">
        <v>61.41</v>
      </c>
      <c r="N2299" s="10">
        <v>58.06</v>
      </c>
      <c r="O2299" s="10">
        <v>57.81</v>
      </c>
      <c r="P2299" s="10">
        <v>57.64</v>
      </c>
      <c r="Q2299" s="10">
        <v>57.58</v>
      </c>
      <c r="R2299" s="10">
        <v>57.6</v>
      </c>
      <c r="S2299" s="10">
        <v>57.67</v>
      </c>
      <c r="T2299" s="10">
        <v>57.72</v>
      </c>
      <c r="U2299" s="10">
        <v>57.73</v>
      </c>
      <c r="V2299" s="10">
        <v>57.72</v>
      </c>
      <c r="W2299" s="10">
        <v>57.7</v>
      </c>
      <c r="X2299" s="10">
        <v>57.71</v>
      </c>
      <c r="Y2299" s="10">
        <v>57.75</v>
      </c>
      <c r="Z2299" s="11">
        <v>64.37</v>
      </c>
      <c r="AA2299" s="11">
        <v>62.682000000000002</v>
      </c>
      <c r="AB2299" s="11">
        <v>62.262</v>
      </c>
      <c r="AC2299" s="11">
        <v>62.021999999999998</v>
      </c>
      <c r="AD2299" s="11">
        <v>61.902000000000001</v>
      </c>
      <c r="AE2299" s="11">
        <v>61.871000000000002</v>
      </c>
      <c r="AF2299" s="11">
        <v>61.85</v>
      </c>
      <c r="AG2299" s="11">
        <v>61.838999999999999</v>
      </c>
      <c r="AH2299" s="11">
        <v>61.808999999999997</v>
      </c>
      <c r="AI2299" s="11">
        <v>61.790999999999997</v>
      </c>
      <c r="AJ2299" s="11">
        <v>61.790999999999997</v>
      </c>
      <c r="AK2299" s="11">
        <v>61.82</v>
      </c>
      <c r="AL2299" s="11"/>
    </row>
    <row r="2300" spans="1:38" x14ac:dyDescent="0.3">
      <c r="A2300" s="9">
        <f>DATE(2025, 11, 24)</f>
        <v>45985</v>
      </c>
      <c r="B2300" s="10">
        <v>63.37</v>
      </c>
      <c r="C2300" s="10">
        <v>62.72</v>
      </c>
      <c r="D2300" s="10">
        <v>62.36</v>
      </c>
      <c r="E2300" s="10">
        <v>62.16</v>
      </c>
      <c r="F2300" s="10">
        <v>62.09</v>
      </c>
      <c r="G2300" s="10">
        <v>62.09</v>
      </c>
      <c r="H2300" s="10">
        <v>62.08</v>
      </c>
      <c r="I2300" s="10">
        <v>62.06</v>
      </c>
      <c r="J2300" s="10">
        <v>62.03</v>
      </c>
      <c r="K2300" s="10">
        <v>62.01</v>
      </c>
      <c r="L2300" s="10">
        <v>62.01</v>
      </c>
      <c r="M2300" s="10">
        <v>62.03</v>
      </c>
      <c r="N2300" s="10">
        <v>58.84</v>
      </c>
      <c r="O2300" s="10">
        <v>58.59</v>
      </c>
      <c r="P2300" s="10">
        <v>58.41</v>
      </c>
      <c r="Q2300" s="10">
        <v>58.34</v>
      </c>
      <c r="R2300" s="10">
        <v>58.34</v>
      </c>
      <c r="S2300" s="10">
        <v>58.38</v>
      </c>
      <c r="T2300" s="10">
        <v>58.42</v>
      </c>
      <c r="U2300" s="10">
        <v>58.42</v>
      </c>
      <c r="V2300" s="10">
        <v>58.39</v>
      </c>
      <c r="W2300" s="10">
        <v>58.36</v>
      </c>
      <c r="X2300" s="10">
        <v>58.35</v>
      </c>
      <c r="Y2300" s="10">
        <v>58.35</v>
      </c>
      <c r="Z2300" s="11">
        <v>64.504000000000005</v>
      </c>
      <c r="AA2300" s="11">
        <v>63.47</v>
      </c>
      <c r="AB2300" s="11">
        <v>63.072000000000003</v>
      </c>
      <c r="AC2300" s="11">
        <v>62.823</v>
      </c>
      <c r="AD2300" s="11">
        <v>62.704999999999998</v>
      </c>
      <c r="AE2300" s="11">
        <v>62.674999999999997</v>
      </c>
      <c r="AF2300" s="11">
        <v>62.646000000000001</v>
      </c>
      <c r="AG2300" s="11">
        <v>62.597000000000001</v>
      </c>
      <c r="AH2300" s="11">
        <v>62.542999999999999</v>
      </c>
      <c r="AI2300" s="11">
        <v>62.505000000000003</v>
      </c>
      <c r="AJ2300" s="11">
        <v>62.494999999999997</v>
      </c>
      <c r="AK2300" s="11">
        <v>62.509</v>
      </c>
      <c r="AL2300" s="11"/>
    </row>
    <row r="2301" spans="1:38" x14ac:dyDescent="0.3">
      <c r="A2301" s="9">
        <f>DATE(2025, 11, 25)</f>
        <v>45986</v>
      </c>
      <c r="B2301" s="10">
        <v>62.48</v>
      </c>
      <c r="C2301" s="10">
        <v>61.8</v>
      </c>
      <c r="D2301" s="10">
        <v>61.48</v>
      </c>
      <c r="E2301" s="10">
        <v>61.34</v>
      </c>
      <c r="F2301" s="10">
        <v>61.32</v>
      </c>
      <c r="G2301" s="10">
        <v>61.37</v>
      </c>
      <c r="H2301" s="10">
        <v>61.41</v>
      </c>
      <c r="I2301" s="10">
        <v>61.42</v>
      </c>
      <c r="J2301" s="10">
        <v>61.42</v>
      </c>
      <c r="K2301" s="10">
        <v>61.42</v>
      </c>
      <c r="L2301" s="10">
        <v>61.44</v>
      </c>
      <c r="M2301" s="10">
        <v>61.49</v>
      </c>
      <c r="N2301" s="10">
        <v>57.95</v>
      </c>
      <c r="O2301" s="10">
        <v>57.74</v>
      </c>
      <c r="P2301" s="10">
        <v>57.61</v>
      </c>
      <c r="Q2301" s="10">
        <v>57.59</v>
      </c>
      <c r="R2301" s="10">
        <v>57.64</v>
      </c>
      <c r="S2301" s="10">
        <v>57.72</v>
      </c>
      <c r="T2301" s="10">
        <v>57.79</v>
      </c>
      <c r="U2301" s="10">
        <v>57.82</v>
      </c>
      <c r="V2301" s="10">
        <v>57.81</v>
      </c>
      <c r="W2301" s="10">
        <v>57.79</v>
      </c>
      <c r="X2301" s="10">
        <v>57.81</v>
      </c>
      <c r="Y2301" s="10">
        <v>57.86</v>
      </c>
      <c r="Z2301" s="11">
        <v>64.358000000000004</v>
      </c>
      <c r="AA2301" s="11">
        <v>62.600999999999999</v>
      </c>
      <c r="AB2301" s="11">
        <v>62.210999999999999</v>
      </c>
      <c r="AC2301" s="11">
        <v>62.009</v>
      </c>
      <c r="AD2301" s="11">
        <v>61.948999999999998</v>
      </c>
      <c r="AE2301" s="11">
        <v>61.959000000000003</v>
      </c>
      <c r="AF2301" s="11">
        <v>61.948999999999998</v>
      </c>
      <c r="AG2301" s="11">
        <v>61.938000000000002</v>
      </c>
      <c r="AH2301" s="11">
        <v>61.923999999999999</v>
      </c>
      <c r="AI2301" s="11">
        <v>61.906999999999996</v>
      </c>
      <c r="AJ2301" s="11">
        <v>61.926000000000002</v>
      </c>
      <c r="AK2301" s="11">
        <v>61.954999999999998</v>
      </c>
      <c r="AL2301" s="11"/>
    </row>
    <row r="2302" spans="1:38" x14ac:dyDescent="0.3">
      <c r="A2302" s="9">
        <f>DATE(2025, 11, 26)</f>
        <v>45987</v>
      </c>
      <c r="B2302" s="10">
        <v>63.13</v>
      </c>
      <c r="C2302" s="10">
        <v>62.54</v>
      </c>
      <c r="D2302" s="10">
        <v>62.17</v>
      </c>
      <c r="E2302" s="10">
        <v>61.98</v>
      </c>
      <c r="F2302" s="10">
        <v>61.93</v>
      </c>
      <c r="G2302" s="10">
        <v>61.95</v>
      </c>
      <c r="H2302" s="10">
        <v>61.97</v>
      </c>
      <c r="I2302" s="10">
        <v>61.97</v>
      </c>
      <c r="J2302" s="10">
        <v>61.96</v>
      </c>
      <c r="K2302" s="10">
        <v>61.95</v>
      </c>
      <c r="L2302" s="10">
        <v>61.97</v>
      </c>
      <c r="M2302" s="10">
        <v>62.01</v>
      </c>
      <c r="N2302" s="10">
        <v>58.65</v>
      </c>
      <c r="O2302" s="10">
        <v>58.42</v>
      </c>
      <c r="P2302" s="10">
        <v>58.26</v>
      </c>
      <c r="Q2302" s="10">
        <v>58.2</v>
      </c>
      <c r="R2302" s="10">
        <v>58.23</v>
      </c>
      <c r="S2302" s="10">
        <v>58.3</v>
      </c>
      <c r="T2302" s="10">
        <v>58.36</v>
      </c>
      <c r="U2302" s="10">
        <v>58.38</v>
      </c>
      <c r="V2302" s="10">
        <v>58.37</v>
      </c>
      <c r="W2302" s="10">
        <v>58.35</v>
      </c>
      <c r="X2302" s="10">
        <v>58.37</v>
      </c>
      <c r="Y2302" s="10">
        <v>58.4</v>
      </c>
      <c r="Z2302" s="11">
        <v>64.424999999999997</v>
      </c>
      <c r="AA2302" s="11">
        <v>63.258000000000003</v>
      </c>
      <c r="AB2302" s="11">
        <v>62.868000000000002</v>
      </c>
      <c r="AC2302" s="11">
        <v>62.648000000000003</v>
      </c>
      <c r="AD2302" s="11">
        <v>62.551000000000002</v>
      </c>
      <c r="AE2302" s="11">
        <v>62.530999999999999</v>
      </c>
      <c r="AF2302" s="11">
        <v>62.52</v>
      </c>
      <c r="AG2302" s="11">
        <v>62.49</v>
      </c>
      <c r="AH2302" s="11">
        <v>62.454000000000001</v>
      </c>
      <c r="AI2302" s="11">
        <v>62.421999999999997</v>
      </c>
      <c r="AJ2302" s="11">
        <v>62.436</v>
      </c>
      <c r="AK2302" s="11">
        <v>62.45</v>
      </c>
      <c r="AL2302" s="11"/>
    </row>
    <row r="2303" spans="1:38" x14ac:dyDescent="0.3">
      <c r="A2303" s="9">
        <f>DATE(2025, 11, 27)</f>
        <v>45988</v>
      </c>
      <c r="B2303" s="10">
        <v>63.34</v>
      </c>
      <c r="C2303" s="10">
        <v>62.87</v>
      </c>
      <c r="D2303" s="10">
        <v>62.49</v>
      </c>
      <c r="E2303" s="10">
        <v>62.28</v>
      </c>
      <c r="F2303" s="10">
        <v>62.22</v>
      </c>
      <c r="G2303" s="10">
        <v>62.24</v>
      </c>
      <c r="H2303" s="10">
        <v>62.25</v>
      </c>
      <c r="I2303" s="10">
        <v>62.26</v>
      </c>
      <c r="J2303" s="10">
        <v>62.26</v>
      </c>
      <c r="K2303" s="10">
        <v>62.25</v>
      </c>
      <c r="L2303" s="10">
        <v>62.27</v>
      </c>
      <c r="M2303" s="10">
        <v>62.31</v>
      </c>
      <c r="N2303" s="10">
        <v>58.65</v>
      </c>
      <c r="O2303" s="10">
        <v>58.42</v>
      </c>
      <c r="P2303" s="10">
        <v>58.26</v>
      </c>
      <c r="Q2303" s="10">
        <v>58.2</v>
      </c>
      <c r="R2303" s="10">
        <v>58.23</v>
      </c>
      <c r="S2303" s="10">
        <v>58.3</v>
      </c>
      <c r="T2303" s="10">
        <v>58.36</v>
      </c>
      <c r="U2303" s="10">
        <v>58.38</v>
      </c>
      <c r="V2303" s="10">
        <v>58.37</v>
      </c>
      <c r="W2303" s="10">
        <v>58.35</v>
      </c>
      <c r="X2303" s="10">
        <v>58.37</v>
      </c>
      <c r="Y2303" s="10">
        <v>58.4</v>
      </c>
      <c r="Z2303" s="11">
        <v>64.457999999999998</v>
      </c>
      <c r="AA2303" s="11">
        <v>63.645000000000003</v>
      </c>
      <c r="AB2303" s="11">
        <v>63.22</v>
      </c>
      <c r="AC2303" s="11">
        <v>62.962000000000003</v>
      </c>
      <c r="AD2303" s="11">
        <v>62.841000000000001</v>
      </c>
      <c r="AE2303" s="11">
        <v>62.807000000000002</v>
      </c>
      <c r="AF2303" s="11">
        <v>62.774999999999999</v>
      </c>
      <c r="AG2303" s="11">
        <v>62.744999999999997</v>
      </c>
      <c r="AH2303" s="11">
        <v>62.715000000000003</v>
      </c>
      <c r="AI2303" s="11">
        <v>62.701999999999998</v>
      </c>
      <c r="AJ2303" s="11">
        <v>62.716999999999999</v>
      </c>
      <c r="AK2303" s="11">
        <v>62.746000000000002</v>
      </c>
      <c r="AL2303" s="11"/>
    </row>
    <row r="2304" spans="1:38" x14ac:dyDescent="0.3">
      <c r="A2304" s="9">
        <f>DATE(2025, 11, 28)</f>
        <v>45989</v>
      </c>
      <c r="B2304" s="10">
        <v>63.2</v>
      </c>
      <c r="C2304" s="10">
        <v>62.38</v>
      </c>
      <c r="D2304" s="10">
        <v>61.97</v>
      </c>
      <c r="E2304" s="10">
        <v>61.73</v>
      </c>
      <c r="F2304" s="10">
        <v>61.65</v>
      </c>
      <c r="G2304" s="10">
        <v>61.65</v>
      </c>
      <c r="H2304" s="10">
        <v>61.64</v>
      </c>
      <c r="I2304" s="10">
        <v>61.63</v>
      </c>
      <c r="J2304" s="10">
        <v>61.61</v>
      </c>
      <c r="K2304" s="10">
        <v>61.59</v>
      </c>
      <c r="L2304" s="10">
        <v>61.6</v>
      </c>
      <c r="M2304" s="10">
        <v>61.63</v>
      </c>
      <c r="N2304" s="10">
        <v>58.55</v>
      </c>
      <c r="O2304" s="10">
        <v>58.29</v>
      </c>
      <c r="P2304" s="10">
        <v>58.09</v>
      </c>
      <c r="Q2304" s="10">
        <v>58</v>
      </c>
      <c r="R2304" s="10">
        <v>58.01</v>
      </c>
      <c r="S2304" s="10">
        <v>58.06</v>
      </c>
      <c r="T2304" s="10">
        <v>58.11</v>
      </c>
      <c r="U2304" s="10">
        <v>58.1</v>
      </c>
      <c r="V2304" s="10">
        <v>58.07</v>
      </c>
      <c r="W2304" s="10">
        <v>58.03</v>
      </c>
      <c r="X2304" s="10">
        <v>58.03</v>
      </c>
      <c r="Y2304" s="10">
        <v>58.05</v>
      </c>
      <c r="Z2304" s="11">
        <v>64.472999999999999</v>
      </c>
      <c r="AA2304" s="11">
        <v>63.042999999999999</v>
      </c>
      <c r="AB2304" s="11">
        <v>62.683</v>
      </c>
      <c r="AC2304" s="11">
        <v>62.393000000000001</v>
      </c>
      <c r="AD2304" s="11">
        <v>62.255000000000003</v>
      </c>
      <c r="AE2304" s="11">
        <v>62.21</v>
      </c>
      <c r="AF2304" s="11">
        <v>62.164999999999999</v>
      </c>
      <c r="AG2304" s="11">
        <v>62.113999999999997</v>
      </c>
      <c r="AH2304" s="11">
        <v>62.064</v>
      </c>
      <c r="AI2304" s="11">
        <v>62.021000000000001</v>
      </c>
      <c r="AJ2304" s="11">
        <v>62.006</v>
      </c>
      <c r="AK2304" s="11">
        <v>62.021000000000001</v>
      </c>
      <c r="AL2304" s="11"/>
    </row>
    <row r="2305" spans="1:38" x14ac:dyDescent="0.3">
      <c r="A2305" s="9">
        <f>DATE(2025, 12, 1)</f>
        <v>45992</v>
      </c>
      <c r="B2305" s="10">
        <v>63.17</v>
      </c>
      <c r="C2305" s="10">
        <v>62.78</v>
      </c>
      <c r="D2305" s="10">
        <v>62.54</v>
      </c>
      <c r="E2305" s="10">
        <v>62.45</v>
      </c>
      <c r="F2305" s="10">
        <v>62.44</v>
      </c>
      <c r="G2305" s="10">
        <v>62.43</v>
      </c>
      <c r="H2305" s="10">
        <v>62.41</v>
      </c>
      <c r="I2305" s="10">
        <v>62.38</v>
      </c>
      <c r="J2305" s="10">
        <v>62.36</v>
      </c>
      <c r="K2305" s="10">
        <v>62.36</v>
      </c>
      <c r="L2305" s="10">
        <v>62.38</v>
      </c>
      <c r="M2305" s="10">
        <v>62.39</v>
      </c>
      <c r="N2305" s="10">
        <v>59.32</v>
      </c>
      <c r="O2305" s="10">
        <v>59.07</v>
      </c>
      <c r="P2305" s="10">
        <v>58.87</v>
      </c>
      <c r="Q2305" s="10">
        <v>58.79</v>
      </c>
      <c r="R2305" s="10">
        <v>58.79</v>
      </c>
      <c r="S2305" s="10">
        <v>58.84</v>
      </c>
      <c r="T2305" s="10">
        <v>58.87</v>
      </c>
      <c r="U2305" s="10">
        <v>58.87</v>
      </c>
      <c r="V2305" s="10">
        <v>58.83</v>
      </c>
      <c r="W2305" s="10">
        <v>58.79</v>
      </c>
      <c r="X2305" s="10">
        <v>58.78</v>
      </c>
      <c r="Y2305" s="10">
        <v>58.79</v>
      </c>
      <c r="Z2305" s="11">
        <v>64.472999999999999</v>
      </c>
      <c r="AA2305" s="11">
        <v>64.033000000000001</v>
      </c>
      <c r="AB2305" s="11">
        <v>63.542999999999999</v>
      </c>
      <c r="AC2305" s="11">
        <v>63.203000000000003</v>
      </c>
      <c r="AD2305" s="11">
        <v>63.048999999999999</v>
      </c>
      <c r="AE2305" s="11">
        <v>62.981999999999999</v>
      </c>
      <c r="AF2305" s="11">
        <v>62.930999999999997</v>
      </c>
      <c r="AG2305" s="11">
        <v>62.88</v>
      </c>
      <c r="AH2305" s="11">
        <v>62.83</v>
      </c>
      <c r="AI2305" s="11">
        <v>62.79</v>
      </c>
      <c r="AJ2305" s="11">
        <v>62.765999999999998</v>
      </c>
      <c r="AK2305" s="11">
        <v>62.77</v>
      </c>
      <c r="AL2305" s="11"/>
    </row>
    <row r="2306" spans="1:38" x14ac:dyDescent="0.3">
      <c r="A2306" s="9">
        <f>DATE(2025, 12, 2)</f>
        <v>45993</v>
      </c>
      <c r="B2306" s="10">
        <v>62.45</v>
      </c>
      <c r="C2306" s="10">
        <v>62.05</v>
      </c>
      <c r="D2306" s="10">
        <v>61.82</v>
      </c>
      <c r="E2306" s="10">
        <v>61.73</v>
      </c>
      <c r="F2306" s="10">
        <v>61.72</v>
      </c>
      <c r="G2306" s="10">
        <v>61.72</v>
      </c>
      <c r="H2306" s="10">
        <v>61.7</v>
      </c>
      <c r="I2306" s="10">
        <v>61.68</v>
      </c>
      <c r="J2306" s="10">
        <v>61.67</v>
      </c>
      <c r="K2306" s="10">
        <v>61.68</v>
      </c>
      <c r="L2306" s="10">
        <v>61.71</v>
      </c>
      <c r="M2306" s="10">
        <v>61.73</v>
      </c>
      <c r="N2306" s="10">
        <v>58.64</v>
      </c>
      <c r="O2306" s="10">
        <v>58.38</v>
      </c>
      <c r="P2306" s="10">
        <v>58.18</v>
      </c>
      <c r="Q2306" s="10">
        <v>58.09</v>
      </c>
      <c r="R2306" s="10">
        <v>58.09</v>
      </c>
      <c r="S2306" s="10">
        <v>58.14</v>
      </c>
      <c r="T2306" s="10">
        <v>58.18</v>
      </c>
      <c r="U2306" s="10">
        <v>58.17</v>
      </c>
      <c r="V2306" s="10">
        <v>58.13</v>
      </c>
      <c r="W2306" s="10">
        <v>58.08</v>
      </c>
      <c r="X2306" s="10">
        <v>58.08</v>
      </c>
      <c r="Y2306" s="10">
        <v>58.11</v>
      </c>
      <c r="Z2306" s="11">
        <v>63.204999999999998</v>
      </c>
      <c r="AA2306" s="11">
        <v>62.746000000000002</v>
      </c>
      <c r="AB2306" s="11">
        <v>62.445</v>
      </c>
      <c r="AC2306" s="11">
        <v>62.305</v>
      </c>
      <c r="AD2306" s="11">
        <v>62.234999999999999</v>
      </c>
      <c r="AE2306" s="11">
        <v>62.185000000000002</v>
      </c>
      <c r="AF2306" s="11">
        <v>62.131</v>
      </c>
      <c r="AG2306" s="11">
        <v>62.09</v>
      </c>
      <c r="AH2306" s="11">
        <v>62.058999999999997</v>
      </c>
      <c r="AI2306" s="11">
        <v>62.045999999999999</v>
      </c>
      <c r="AJ2306" s="11">
        <v>62.061</v>
      </c>
      <c r="AK2306" s="11">
        <v>62.061</v>
      </c>
      <c r="AL2306" s="11"/>
    </row>
    <row r="2307" spans="1:38" x14ac:dyDescent="0.3">
      <c r="A2307" s="9">
        <f>DATE(2025, 12, 3)</f>
        <v>45994</v>
      </c>
      <c r="B2307" s="10">
        <v>62.67</v>
      </c>
      <c r="C2307" s="10">
        <v>62.28</v>
      </c>
      <c r="D2307" s="10">
        <v>62.06</v>
      </c>
      <c r="E2307" s="10">
        <v>61.97</v>
      </c>
      <c r="F2307" s="10">
        <v>61.94</v>
      </c>
      <c r="G2307" s="10">
        <v>61.92</v>
      </c>
      <c r="H2307" s="10">
        <v>61.89</v>
      </c>
      <c r="I2307" s="10">
        <v>61.85</v>
      </c>
      <c r="J2307" s="10">
        <v>61.82</v>
      </c>
      <c r="K2307" s="10">
        <v>61.81</v>
      </c>
      <c r="L2307" s="10">
        <v>61.83</v>
      </c>
      <c r="M2307" s="10">
        <v>61.83</v>
      </c>
      <c r="N2307" s="10">
        <v>58.95</v>
      </c>
      <c r="O2307" s="10">
        <v>58.66</v>
      </c>
      <c r="P2307" s="10">
        <v>58.45</v>
      </c>
      <c r="Q2307" s="10">
        <v>58.34</v>
      </c>
      <c r="R2307" s="10">
        <v>58.32</v>
      </c>
      <c r="S2307" s="10">
        <v>58.34</v>
      </c>
      <c r="T2307" s="10">
        <v>58.35</v>
      </c>
      <c r="U2307" s="10">
        <v>58.33</v>
      </c>
      <c r="V2307" s="10">
        <v>58.27</v>
      </c>
      <c r="W2307" s="10">
        <v>58.19</v>
      </c>
      <c r="X2307" s="10">
        <v>58.17</v>
      </c>
      <c r="Y2307" s="10">
        <v>58.18</v>
      </c>
      <c r="Z2307" s="11">
        <v>63.445999999999998</v>
      </c>
      <c r="AA2307" s="11">
        <v>63</v>
      </c>
      <c r="AB2307" s="11">
        <v>62.676000000000002</v>
      </c>
      <c r="AC2307" s="11">
        <v>62.518999999999998</v>
      </c>
      <c r="AD2307" s="11">
        <v>62.448</v>
      </c>
      <c r="AE2307" s="11">
        <v>62.378999999999998</v>
      </c>
      <c r="AF2307" s="11">
        <v>62.31</v>
      </c>
      <c r="AG2307" s="11">
        <v>62.250999999999998</v>
      </c>
      <c r="AH2307" s="11">
        <v>62.189</v>
      </c>
      <c r="AI2307" s="11">
        <v>62.161000000000001</v>
      </c>
      <c r="AJ2307" s="11">
        <v>62.14</v>
      </c>
      <c r="AK2307" s="11">
        <v>62.121000000000002</v>
      </c>
      <c r="AL2307" s="11"/>
    </row>
    <row r="2308" spans="1:38" x14ac:dyDescent="0.3">
      <c r="A2308" s="9">
        <f>DATE(2025, 12, 4)</f>
        <v>45995</v>
      </c>
      <c r="B2308" s="10">
        <v>63.26</v>
      </c>
      <c r="C2308" s="10">
        <v>62.86</v>
      </c>
      <c r="D2308" s="10">
        <v>62.61</v>
      </c>
      <c r="E2308" s="10">
        <v>62.48</v>
      </c>
      <c r="F2308" s="10">
        <v>62.42</v>
      </c>
      <c r="G2308" s="10">
        <v>62.37</v>
      </c>
      <c r="H2308" s="10">
        <v>62.31</v>
      </c>
      <c r="I2308" s="10">
        <v>62.26</v>
      </c>
      <c r="J2308" s="10">
        <v>62.2</v>
      </c>
      <c r="K2308" s="10">
        <v>62.18</v>
      </c>
      <c r="L2308" s="10">
        <v>62.18</v>
      </c>
      <c r="M2308" s="10">
        <v>62.17</v>
      </c>
      <c r="N2308" s="10">
        <v>59.67</v>
      </c>
      <c r="O2308" s="10">
        <v>59.31</v>
      </c>
      <c r="P2308" s="10">
        <v>59.06</v>
      </c>
      <c r="Q2308" s="10">
        <v>58.92</v>
      </c>
      <c r="R2308" s="10">
        <v>58.88</v>
      </c>
      <c r="S2308" s="10">
        <v>58.86</v>
      </c>
      <c r="T2308" s="10">
        <v>58.85</v>
      </c>
      <c r="U2308" s="10">
        <v>58.8</v>
      </c>
      <c r="V2308" s="10">
        <v>58.72</v>
      </c>
      <c r="W2308" s="10">
        <v>58.64</v>
      </c>
      <c r="X2308" s="10">
        <v>58.59</v>
      </c>
      <c r="Y2308" s="10">
        <v>58.58</v>
      </c>
      <c r="Z2308" s="11">
        <v>63.915999999999997</v>
      </c>
      <c r="AA2308" s="11">
        <v>63.548000000000002</v>
      </c>
      <c r="AB2308" s="11">
        <v>63.207999999999998</v>
      </c>
      <c r="AC2308" s="11">
        <v>63.027000000000001</v>
      </c>
      <c r="AD2308" s="11">
        <v>62.927</v>
      </c>
      <c r="AE2308" s="11">
        <v>62.837000000000003</v>
      </c>
      <c r="AF2308" s="11">
        <v>62.747</v>
      </c>
      <c r="AG2308" s="11">
        <v>62.667000000000002</v>
      </c>
      <c r="AH2308" s="11">
        <v>62.573</v>
      </c>
      <c r="AI2308" s="11">
        <v>62.524999999999999</v>
      </c>
      <c r="AJ2308" s="11">
        <v>62.484999999999999</v>
      </c>
      <c r="AK2308" s="11">
        <v>62.454999999999998</v>
      </c>
      <c r="AL2308" s="11"/>
    </row>
    <row r="2309" spans="1:38" x14ac:dyDescent="0.3">
      <c r="A2309" s="9">
        <f>DATE(2025, 12, 5)</f>
        <v>45996</v>
      </c>
      <c r="B2309" s="10">
        <v>63.75</v>
      </c>
      <c r="C2309" s="10">
        <v>63.39</v>
      </c>
      <c r="D2309" s="10">
        <v>63.14</v>
      </c>
      <c r="E2309" s="10">
        <v>63</v>
      </c>
      <c r="F2309" s="10">
        <v>62.92</v>
      </c>
      <c r="G2309" s="10">
        <v>62.86</v>
      </c>
      <c r="H2309" s="10">
        <v>62.78</v>
      </c>
      <c r="I2309" s="10">
        <v>62.7</v>
      </c>
      <c r="J2309" s="10">
        <v>62.63</v>
      </c>
      <c r="K2309" s="10">
        <v>62.59</v>
      </c>
      <c r="L2309" s="10">
        <v>62.58</v>
      </c>
      <c r="M2309" s="10">
        <v>62.55</v>
      </c>
      <c r="N2309" s="10">
        <v>60.08</v>
      </c>
      <c r="O2309" s="10">
        <v>59.78</v>
      </c>
      <c r="P2309" s="10">
        <v>59.56</v>
      </c>
      <c r="Q2309" s="10">
        <v>59.42</v>
      </c>
      <c r="R2309" s="10">
        <v>59.37</v>
      </c>
      <c r="S2309" s="10">
        <v>59.34</v>
      </c>
      <c r="T2309" s="10">
        <v>59.31</v>
      </c>
      <c r="U2309" s="10">
        <v>59.24</v>
      </c>
      <c r="V2309" s="10">
        <v>59.14</v>
      </c>
      <c r="W2309" s="10">
        <v>59.04</v>
      </c>
      <c r="X2309" s="10">
        <v>58.98</v>
      </c>
      <c r="Y2309" s="10">
        <v>58.95</v>
      </c>
      <c r="Z2309" s="11">
        <v>64.358999999999995</v>
      </c>
      <c r="AA2309" s="11">
        <v>64.046999999999997</v>
      </c>
      <c r="AB2309" s="11">
        <v>63.692999999999998</v>
      </c>
      <c r="AC2309" s="11">
        <v>63.493000000000002</v>
      </c>
      <c r="AD2309" s="11">
        <v>63.381999999999998</v>
      </c>
      <c r="AE2309" s="11">
        <v>63.28</v>
      </c>
      <c r="AF2309" s="11">
        <v>63.161000000000001</v>
      </c>
      <c r="AG2309" s="11">
        <v>63.052</v>
      </c>
      <c r="AH2309" s="11">
        <v>62.942999999999998</v>
      </c>
      <c r="AI2309" s="11">
        <v>62.875</v>
      </c>
      <c r="AJ2309" s="11">
        <v>62.844000000000001</v>
      </c>
      <c r="AK2309" s="11">
        <v>62.805</v>
      </c>
      <c r="AL2309" s="11"/>
    </row>
    <row r="2310" spans="1:38" x14ac:dyDescent="0.3">
      <c r="A2310" s="9">
        <f>DATE(2025, 12, 8)</f>
        <v>45999</v>
      </c>
      <c r="B2310" s="10">
        <v>62.49</v>
      </c>
      <c r="C2310" s="10">
        <v>62.15</v>
      </c>
      <c r="D2310" s="10">
        <v>61.93</v>
      </c>
      <c r="E2310" s="10">
        <v>61.82</v>
      </c>
      <c r="F2310" s="10">
        <v>61.77</v>
      </c>
      <c r="G2310" s="10">
        <v>61.74</v>
      </c>
      <c r="H2310" s="10">
        <v>61.69</v>
      </c>
      <c r="I2310" s="10">
        <v>61.64</v>
      </c>
      <c r="J2310" s="10">
        <v>61.6</v>
      </c>
      <c r="K2310" s="10">
        <v>61.6</v>
      </c>
      <c r="L2310" s="10">
        <v>61.62</v>
      </c>
      <c r="M2310" s="10">
        <v>61.63</v>
      </c>
      <c r="N2310" s="10">
        <v>58.88</v>
      </c>
      <c r="O2310" s="10">
        <v>58.63</v>
      </c>
      <c r="P2310" s="10">
        <v>58.43</v>
      </c>
      <c r="Q2310" s="10">
        <v>58.32</v>
      </c>
      <c r="R2310" s="10">
        <v>58.27</v>
      </c>
      <c r="S2310" s="10">
        <v>58.26</v>
      </c>
      <c r="T2310" s="10">
        <v>58.25</v>
      </c>
      <c r="U2310" s="10">
        <v>58.21</v>
      </c>
      <c r="V2310" s="10">
        <v>58.14</v>
      </c>
      <c r="W2310" s="10">
        <v>58.07</v>
      </c>
      <c r="X2310" s="10">
        <v>58.05</v>
      </c>
      <c r="Y2310" s="10">
        <v>58.07</v>
      </c>
      <c r="Z2310" s="11">
        <v>63.262999999999998</v>
      </c>
      <c r="AA2310" s="11">
        <v>62.670999999999999</v>
      </c>
      <c r="AB2310" s="11">
        <v>62.341999999999999</v>
      </c>
      <c r="AC2310" s="11">
        <v>62.176000000000002</v>
      </c>
      <c r="AD2310" s="11">
        <v>62.088000000000001</v>
      </c>
      <c r="AE2310" s="11">
        <v>62.018000000000001</v>
      </c>
      <c r="AF2310" s="11">
        <v>61.948</v>
      </c>
      <c r="AG2310" s="11">
        <v>61.887</v>
      </c>
      <c r="AH2310" s="11">
        <v>61.826999999999998</v>
      </c>
      <c r="AI2310" s="11">
        <v>61.805999999999997</v>
      </c>
      <c r="AJ2310" s="11">
        <v>61.805</v>
      </c>
      <c r="AK2310" s="11">
        <v>61.795999999999999</v>
      </c>
      <c r="AL2310" s="11"/>
    </row>
    <row r="2311" spans="1:38" x14ac:dyDescent="0.3">
      <c r="A2311" s="9">
        <f>DATE(2025, 12, 9)</f>
        <v>46000</v>
      </c>
      <c r="B2311" s="10">
        <v>61.94</v>
      </c>
      <c r="C2311" s="10">
        <v>61.65</v>
      </c>
      <c r="D2311" s="10">
        <v>61.47</v>
      </c>
      <c r="E2311" s="10">
        <v>61.39</v>
      </c>
      <c r="F2311" s="10">
        <v>61.38</v>
      </c>
      <c r="G2311" s="10">
        <v>61.38</v>
      </c>
      <c r="H2311" s="10">
        <v>61.36</v>
      </c>
      <c r="I2311" s="10">
        <v>61.33</v>
      </c>
      <c r="J2311" s="10">
        <v>61.31</v>
      </c>
      <c r="K2311" s="10">
        <v>61.33</v>
      </c>
      <c r="L2311" s="10">
        <v>61.36</v>
      </c>
      <c r="M2311" s="10">
        <v>61.38</v>
      </c>
      <c r="N2311" s="10">
        <v>58.25</v>
      </c>
      <c r="O2311" s="10">
        <v>58.08</v>
      </c>
      <c r="P2311" s="10">
        <v>57.96</v>
      </c>
      <c r="Q2311" s="10">
        <v>57.88</v>
      </c>
      <c r="R2311" s="10">
        <v>57.87</v>
      </c>
      <c r="S2311" s="10">
        <v>57.9</v>
      </c>
      <c r="T2311" s="10">
        <v>57.93</v>
      </c>
      <c r="U2311" s="10">
        <v>57.93</v>
      </c>
      <c r="V2311" s="10">
        <v>57.89</v>
      </c>
      <c r="W2311" s="10">
        <v>57.85</v>
      </c>
      <c r="X2311" s="10">
        <v>57.84</v>
      </c>
      <c r="Y2311" s="10">
        <v>57.85</v>
      </c>
      <c r="Z2311" s="11">
        <v>62.720999999999997</v>
      </c>
      <c r="AA2311" s="11">
        <v>61.951000000000001</v>
      </c>
      <c r="AB2311" s="11">
        <v>61.734000000000002</v>
      </c>
      <c r="AC2311" s="11">
        <v>61.622999999999998</v>
      </c>
      <c r="AD2311" s="11">
        <v>61.582000000000001</v>
      </c>
      <c r="AE2311" s="11">
        <v>61.545999999999999</v>
      </c>
      <c r="AF2311" s="11">
        <v>61.505000000000003</v>
      </c>
      <c r="AG2311" s="11">
        <v>61.463999999999999</v>
      </c>
      <c r="AH2311" s="11">
        <v>61.429000000000002</v>
      </c>
      <c r="AI2311" s="11">
        <v>61.427999999999997</v>
      </c>
      <c r="AJ2311" s="11">
        <v>61.441000000000003</v>
      </c>
      <c r="AK2311" s="11">
        <v>61.445999999999998</v>
      </c>
      <c r="AL2311" s="11"/>
    </row>
    <row r="2312" spans="1:38" x14ac:dyDescent="0.3">
      <c r="A2312" s="9">
        <f>DATE(2025, 12, 10)</f>
        <v>46001</v>
      </c>
      <c r="B2312" s="10">
        <v>62.21</v>
      </c>
      <c r="C2312" s="10">
        <v>61.87</v>
      </c>
      <c r="D2312" s="10">
        <v>61.65</v>
      </c>
      <c r="E2312" s="10">
        <v>61.56</v>
      </c>
      <c r="F2312" s="10">
        <v>61.55</v>
      </c>
      <c r="G2312" s="10">
        <v>61.56</v>
      </c>
      <c r="H2312" s="10">
        <v>61.54</v>
      </c>
      <c r="I2312" s="10">
        <v>61.51</v>
      </c>
      <c r="J2312" s="10">
        <v>61.49</v>
      </c>
      <c r="K2312" s="10">
        <v>61.5</v>
      </c>
      <c r="L2312" s="10">
        <v>61.52</v>
      </c>
      <c r="M2312" s="10">
        <v>61.52</v>
      </c>
      <c r="N2312" s="10">
        <v>58.46</v>
      </c>
      <c r="O2312" s="10">
        <v>58.3</v>
      </c>
      <c r="P2312" s="10">
        <v>58.16</v>
      </c>
      <c r="Q2312" s="10">
        <v>58.07</v>
      </c>
      <c r="R2312" s="10">
        <v>58.04</v>
      </c>
      <c r="S2312" s="10">
        <v>58.07</v>
      </c>
      <c r="T2312" s="10">
        <v>58.1</v>
      </c>
      <c r="U2312" s="10">
        <v>58.11</v>
      </c>
      <c r="V2312" s="10">
        <v>58.08</v>
      </c>
      <c r="W2312" s="10">
        <v>58.03</v>
      </c>
      <c r="X2312" s="10">
        <v>58.03</v>
      </c>
      <c r="Y2312" s="10">
        <v>58.04</v>
      </c>
      <c r="Z2312" s="11">
        <v>62.759</v>
      </c>
      <c r="AA2312" s="11">
        <v>61.957000000000001</v>
      </c>
      <c r="AB2312" s="11">
        <v>61.780999999999999</v>
      </c>
      <c r="AC2312" s="11">
        <v>61.680999999999997</v>
      </c>
      <c r="AD2312" s="11">
        <v>61.651000000000003</v>
      </c>
      <c r="AE2312" s="11">
        <v>61.639000000000003</v>
      </c>
      <c r="AF2312" s="11">
        <v>61.618000000000002</v>
      </c>
      <c r="AG2312" s="11">
        <v>61.585999999999999</v>
      </c>
      <c r="AH2312" s="11">
        <v>61.567</v>
      </c>
      <c r="AI2312" s="11">
        <v>61.558</v>
      </c>
      <c r="AJ2312" s="11">
        <v>61.558</v>
      </c>
      <c r="AK2312" s="11">
        <v>61.543999999999997</v>
      </c>
      <c r="AL2312" s="11"/>
    </row>
    <row r="2313" spans="1:38" x14ac:dyDescent="0.3">
      <c r="A2313" s="9">
        <f>DATE(2025, 12, 11)</f>
        <v>46002</v>
      </c>
      <c r="B2313" s="10">
        <v>61.28</v>
      </c>
      <c r="C2313" s="10">
        <v>61.06</v>
      </c>
      <c r="D2313" s="10">
        <v>60.9</v>
      </c>
      <c r="E2313" s="10">
        <v>60.85</v>
      </c>
      <c r="F2313" s="10">
        <v>60.87</v>
      </c>
      <c r="G2313" s="10">
        <v>60.9</v>
      </c>
      <c r="H2313" s="10">
        <v>60.9</v>
      </c>
      <c r="I2313" s="10">
        <v>60.89</v>
      </c>
      <c r="J2313" s="10">
        <v>60.89</v>
      </c>
      <c r="K2313" s="10">
        <v>60.91</v>
      </c>
      <c r="L2313" s="10">
        <v>60.95</v>
      </c>
      <c r="M2313" s="10">
        <v>60.97</v>
      </c>
      <c r="N2313" s="10">
        <v>57.6</v>
      </c>
      <c r="O2313" s="10">
        <v>57.45</v>
      </c>
      <c r="P2313" s="10">
        <v>57.35</v>
      </c>
      <c r="Q2313" s="10">
        <v>57.29</v>
      </c>
      <c r="R2313" s="10">
        <v>57.28</v>
      </c>
      <c r="S2313" s="10">
        <v>57.32</v>
      </c>
      <c r="T2313" s="10">
        <v>57.38</v>
      </c>
      <c r="U2313" s="10">
        <v>57.42</v>
      </c>
      <c r="V2313" s="10">
        <v>57.42</v>
      </c>
      <c r="W2313" s="10">
        <v>57.39</v>
      </c>
      <c r="X2313" s="10">
        <v>57.4</v>
      </c>
      <c r="Y2313" s="10">
        <v>57.43</v>
      </c>
      <c r="Z2313" s="11">
        <v>62.170999999999999</v>
      </c>
      <c r="AA2313" s="11">
        <v>61.051000000000002</v>
      </c>
      <c r="AB2313" s="11">
        <v>60.99</v>
      </c>
      <c r="AC2313" s="11">
        <v>60.932000000000002</v>
      </c>
      <c r="AD2313" s="11">
        <v>60.941000000000003</v>
      </c>
      <c r="AE2313" s="11">
        <v>60.959000000000003</v>
      </c>
      <c r="AF2313" s="11">
        <v>60.957999999999998</v>
      </c>
      <c r="AG2313" s="11">
        <v>60.947000000000003</v>
      </c>
      <c r="AH2313" s="11">
        <v>60.948</v>
      </c>
      <c r="AI2313" s="11">
        <v>60.948999999999998</v>
      </c>
      <c r="AJ2313" s="11">
        <v>60.969000000000001</v>
      </c>
      <c r="AK2313" s="11">
        <v>60.975000000000001</v>
      </c>
      <c r="AL2313" s="11"/>
    </row>
    <row r="2314" spans="1:38" x14ac:dyDescent="0.3">
      <c r="A2314" s="9">
        <f>DATE(2025, 12, 12)</f>
        <v>46003</v>
      </c>
      <c r="B2314" s="10">
        <v>61.12</v>
      </c>
      <c r="C2314" s="10">
        <v>60.84</v>
      </c>
      <c r="D2314" s="10">
        <v>60.65</v>
      </c>
      <c r="E2314" s="10">
        <v>60.57</v>
      </c>
      <c r="F2314" s="10">
        <v>60.57</v>
      </c>
      <c r="G2314" s="10">
        <v>60.59</v>
      </c>
      <c r="H2314" s="10">
        <v>60.6</v>
      </c>
      <c r="I2314" s="10">
        <v>60.59</v>
      </c>
      <c r="J2314" s="10">
        <v>60.59</v>
      </c>
      <c r="K2314" s="10">
        <v>60.61</v>
      </c>
      <c r="L2314" s="10">
        <v>60.66</v>
      </c>
      <c r="M2314" s="10">
        <v>60.68</v>
      </c>
      <c r="N2314" s="10">
        <v>57.44</v>
      </c>
      <c r="O2314" s="10">
        <v>57.24</v>
      </c>
      <c r="P2314" s="10">
        <v>57.08</v>
      </c>
      <c r="Q2314" s="10">
        <v>56.98</v>
      </c>
      <c r="R2314" s="10">
        <v>56.96</v>
      </c>
      <c r="S2314" s="10">
        <v>57</v>
      </c>
      <c r="T2314" s="10">
        <v>57.07</v>
      </c>
      <c r="U2314" s="10">
        <v>57.11</v>
      </c>
      <c r="V2314" s="10">
        <v>57.12</v>
      </c>
      <c r="W2314" s="10">
        <v>57.1</v>
      </c>
      <c r="X2314" s="10">
        <v>57.12</v>
      </c>
      <c r="Y2314" s="10">
        <v>57.16</v>
      </c>
      <c r="Z2314" s="11">
        <v>62.024000000000001</v>
      </c>
      <c r="AA2314" s="11">
        <v>60.780999999999999</v>
      </c>
      <c r="AB2314" s="11">
        <v>60.725999999999999</v>
      </c>
      <c r="AC2314" s="11">
        <v>60.65</v>
      </c>
      <c r="AD2314" s="11">
        <v>60.640999999999998</v>
      </c>
      <c r="AE2314" s="11">
        <v>60.65</v>
      </c>
      <c r="AF2314" s="11">
        <v>60.649000000000001</v>
      </c>
      <c r="AG2314" s="11">
        <v>60.637999999999998</v>
      </c>
      <c r="AH2314" s="11">
        <v>60.639000000000003</v>
      </c>
      <c r="AI2314" s="11">
        <v>60.654000000000003</v>
      </c>
      <c r="AJ2314" s="11">
        <v>60.691000000000003</v>
      </c>
      <c r="AK2314" s="11">
        <v>60.701999999999998</v>
      </c>
      <c r="AL2314" s="11"/>
    </row>
    <row r="2315" spans="1:38" x14ac:dyDescent="0.3">
      <c r="A2315" s="9">
        <f>DATE(2025, 12, 15)</f>
        <v>46006</v>
      </c>
      <c r="B2315" s="10">
        <v>60.56</v>
      </c>
      <c r="C2315" s="10">
        <v>60.3</v>
      </c>
      <c r="D2315" s="10">
        <v>60.17</v>
      </c>
      <c r="E2315" s="10">
        <v>60.16</v>
      </c>
      <c r="F2315" s="10">
        <v>60.22</v>
      </c>
      <c r="G2315" s="10">
        <v>60.29</v>
      </c>
      <c r="H2315" s="10">
        <v>60.35</v>
      </c>
      <c r="I2315" s="10">
        <v>60.39</v>
      </c>
      <c r="J2315" s="10">
        <v>60.44</v>
      </c>
      <c r="K2315" s="10">
        <v>60.5</v>
      </c>
      <c r="L2315" s="10">
        <v>60.58</v>
      </c>
      <c r="M2315" s="10">
        <v>60.64</v>
      </c>
      <c r="N2315" s="10">
        <v>56.82</v>
      </c>
      <c r="O2315" s="10">
        <v>56.67</v>
      </c>
      <c r="P2315" s="10">
        <v>56.56</v>
      </c>
      <c r="Q2315" s="10">
        <v>56.53</v>
      </c>
      <c r="R2315" s="10">
        <v>56.58</v>
      </c>
      <c r="S2315" s="10">
        <v>56.68</v>
      </c>
      <c r="T2315" s="10">
        <v>56.8</v>
      </c>
      <c r="U2315" s="10">
        <v>56.88</v>
      </c>
      <c r="V2315" s="10">
        <v>56.93</v>
      </c>
      <c r="W2315" s="10">
        <v>56.95</v>
      </c>
      <c r="X2315" s="10">
        <v>57.01</v>
      </c>
      <c r="Y2315" s="10">
        <v>57.09</v>
      </c>
      <c r="Z2315" s="11">
        <v>61.73</v>
      </c>
      <c r="AA2315" s="11">
        <v>60.183</v>
      </c>
      <c r="AB2315" s="11">
        <v>60.183</v>
      </c>
      <c r="AC2315" s="11">
        <v>60.188000000000002</v>
      </c>
      <c r="AD2315" s="11">
        <v>60.238</v>
      </c>
      <c r="AE2315" s="11">
        <v>60.287999999999997</v>
      </c>
      <c r="AF2315" s="11">
        <v>60.322000000000003</v>
      </c>
      <c r="AG2315" s="11">
        <v>60.372</v>
      </c>
      <c r="AH2315" s="11">
        <v>60.426000000000002</v>
      </c>
      <c r="AI2315" s="11">
        <v>60.484000000000002</v>
      </c>
      <c r="AJ2315" s="11">
        <v>60.593000000000004</v>
      </c>
      <c r="AK2315" s="11">
        <v>60.664000000000001</v>
      </c>
      <c r="AL2315" s="11"/>
    </row>
    <row r="2316" spans="1:38" x14ac:dyDescent="0.3">
      <c r="A2316" s="9">
        <f>DATE(2025, 12, 16)</f>
        <v>46007</v>
      </c>
      <c r="B2316" s="10">
        <v>58.92</v>
      </c>
      <c r="C2316" s="10">
        <v>58.67</v>
      </c>
      <c r="D2316" s="10">
        <v>58.57</v>
      </c>
      <c r="E2316" s="10">
        <v>58.59</v>
      </c>
      <c r="F2316" s="10">
        <v>58.68</v>
      </c>
      <c r="G2316" s="10">
        <v>58.79</v>
      </c>
      <c r="H2316" s="10">
        <v>58.88</v>
      </c>
      <c r="I2316" s="10">
        <v>58.95</v>
      </c>
      <c r="J2316" s="10">
        <v>59.02</v>
      </c>
      <c r="K2316" s="10">
        <v>59.1</v>
      </c>
      <c r="L2316" s="10">
        <v>59.2</v>
      </c>
      <c r="M2316" s="10">
        <v>59.29</v>
      </c>
      <c r="N2316" s="10">
        <v>55.27</v>
      </c>
      <c r="O2316" s="10">
        <v>55.13</v>
      </c>
      <c r="P2316" s="10">
        <v>55.05</v>
      </c>
      <c r="Q2316" s="10">
        <v>55.06</v>
      </c>
      <c r="R2316" s="10">
        <v>55.13</v>
      </c>
      <c r="S2316" s="10">
        <v>55.26</v>
      </c>
      <c r="T2316" s="10">
        <v>55.4</v>
      </c>
      <c r="U2316" s="10">
        <v>55.51</v>
      </c>
      <c r="V2316" s="10">
        <v>55.57</v>
      </c>
      <c r="W2316" s="10">
        <v>55.6</v>
      </c>
      <c r="X2316" s="10">
        <v>55.67</v>
      </c>
      <c r="Y2316" s="10">
        <v>55.76</v>
      </c>
      <c r="Z2316" s="11">
        <v>60.914000000000001</v>
      </c>
      <c r="AA2316" s="11">
        <v>58.470999999999997</v>
      </c>
      <c r="AB2316" s="11">
        <v>58.502000000000002</v>
      </c>
      <c r="AC2316" s="11">
        <v>58.576000000000001</v>
      </c>
      <c r="AD2316" s="11">
        <v>58.676000000000002</v>
      </c>
      <c r="AE2316" s="11">
        <v>58.774999999999999</v>
      </c>
      <c r="AF2316" s="11">
        <v>58.853999999999999</v>
      </c>
      <c r="AG2316" s="11">
        <v>58.912999999999997</v>
      </c>
      <c r="AH2316" s="11">
        <v>58.988</v>
      </c>
      <c r="AI2316" s="11">
        <v>59.064999999999998</v>
      </c>
      <c r="AJ2316" s="11">
        <v>59.149000000000001</v>
      </c>
      <c r="AK2316" s="11">
        <v>59.23</v>
      </c>
      <c r="AL2316" s="11"/>
    </row>
    <row r="2317" spans="1:38" x14ac:dyDescent="0.3">
      <c r="A2317" s="9">
        <f>DATE(2025, 12, 17)</f>
        <v>46008</v>
      </c>
      <c r="B2317" s="10">
        <v>59.68</v>
      </c>
      <c r="C2317" s="10">
        <v>59.4</v>
      </c>
      <c r="D2317" s="10">
        <v>59.25</v>
      </c>
      <c r="E2317" s="10">
        <v>59.24</v>
      </c>
      <c r="F2317" s="10">
        <v>59.29</v>
      </c>
      <c r="G2317" s="10">
        <v>59.36</v>
      </c>
      <c r="H2317" s="10">
        <v>59.41</v>
      </c>
      <c r="I2317" s="10">
        <v>59.44</v>
      </c>
      <c r="J2317" s="10">
        <v>59.48</v>
      </c>
      <c r="K2317" s="10">
        <v>59.53</v>
      </c>
      <c r="L2317" s="10">
        <v>59.6</v>
      </c>
      <c r="M2317" s="10">
        <v>59.66</v>
      </c>
      <c r="N2317" s="10">
        <v>55.94</v>
      </c>
      <c r="O2317" s="10">
        <v>55.81</v>
      </c>
      <c r="P2317" s="10">
        <v>55.71</v>
      </c>
      <c r="Q2317" s="10">
        <v>55.7</v>
      </c>
      <c r="R2317" s="10">
        <v>55.76</v>
      </c>
      <c r="S2317" s="10">
        <v>55.85</v>
      </c>
      <c r="T2317" s="10">
        <v>55.96</v>
      </c>
      <c r="U2317" s="10">
        <v>56.03</v>
      </c>
      <c r="V2317" s="10">
        <v>56.06</v>
      </c>
      <c r="W2317" s="10">
        <v>56.07</v>
      </c>
      <c r="X2317" s="10">
        <v>56.1</v>
      </c>
      <c r="Y2317" s="10">
        <v>56.15</v>
      </c>
      <c r="Z2317" s="11">
        <v>61.338999999999999</v>
      </c>
      <c r="AA2317" s="11">
        <v>59.343000000000004</v>
      </c>
      <c r="AB2317" s="11">
        <v>59.33</v>
      </c>
      <c r="AC2317" s="11">
        <v>59.381</v>
      </c>
      <c r="AD2317" s="11">
        <v>59.442999999999998</v>
      </c>
      <c r="AE2317" s="11">
        <v>59.493000000000002</v>
      </c>
      <c r="AF2317" s="11">
        <v>59.533999999999999</v>
      </c>
      <c r="AG2317" s="11">
        <v>59.545999999999999</v>
      </c>
      <c r="AH2317" s="11">
        <v>59.576999999999998</v>
      </c>
      <c r="AI2317" s="11">
        <v>59.618000000000002</v>
      </c>
      <c r="AJ2317" s="11">
        <v>59.683</v>
      </c>
      <c r="AK2317" s="11">
        <v>59.728999999999999</v>
      </c>
      <c r="AL2317" s="11"/>
    </row>
    <row r="2318" spans="1:38" x14ac:dyDescent="0.3">
      <c r="A2318" s="9">
        <f>DATE(2025, 12, 18)</f>
        <v>46009</v>
      </c>
      <c r="B2318" s="10">
        <v>59.82</v>
      </c>
      <c r="C2318" s="10">
        <v>59.5</v>
      </c>
      <c r="D2318" s="10">
        <v>59.36</v>
      </c>
      <c r="E2318" s="10">
        <v>59.33</v>
      </c>
      <c r="F2318" s="10">
        <v>59.35</v>
      </c>
      <c r="G2318" s="10">
        <v>59.4</v>
      </c>
      <c r="H2318" s="10">
        <v>59.43</v>
      </c>
      <c r="I2318" s="10">
        <v>59.45</v>
      </c>
      <c r="J2318" s="10">
        <v>59.49</v>
      </c>
      <c r="K2318" s="10">
        <v>59.54</v>
      </c>
      <c r="L2318" s="10">
        <v>59.6</v>
      </c>
      <c r="M2318" s="10">
        <v>59.65</v>
      </c>
      <c r="N2318" s="10">
        <v>56.15</v>
      </c>
      <c r="O2318" s="10">
        <v>56</v>
      </c>
      <c r="P2318" s="10">
        <v>55.86</v>
      </c>
      <c r="Q2318" s="10">
        <v>55.83</v>
      </c>
      <c r="R2318" s="10">
        <v>55.87</v>
      </c>
      <c r="S2318" s="10">
        <v>55.94</v>
      </c>
      <c r="T2318" s="10">
        <v>56.03</v>
      </c>
      <c r="U2318" s="10">
        <v>56.09</v>
      </c>
      <c r="V2318" s="10">
        <v>56.1</v>
      </c>
      <c r="W2318" s="10">
        <v>56.09</v>
      </c>
      <c r="X2318" s="10">
        <v>56.12</v>
      </c>
      <c r="Y2318" s="10">
        <v>56.17</v>
      </c>
      <c r="Z2318" s="11">
        <v>61.457999999999998</v>
      </c>
      <c r="AA2318" s="11">
        <v>59.523000000000003</v>
      </c>
      <c r="AB2318" s="11">
        <v>59.473999999999997</v>
      </c>
      <c r="AC2318" s="11">
        <v>59.466000000000001</v>
      </c>
      <c r="AD2318" s="11">
        <v>59.475999999999999</v>
      </c>
      <c r="AE2318" s="11">
        <v>59.508000000000003</v>
      </c>
      <c r="AF2318" s="11">
        <v>59.527000000000001</v>
      </c>
      <c r="AG2318" s="11">
        <v>59.536000000000001</v>
      </c>
      <c r="AH2318" s="11">
        <v>59.567999999999998</v>
      </c>
      <c r="AI2318" s="11">
        <v>59.615000000000002</v>
      </c>
      <c r="AJ2318" s="11">
        <v>59.648000000000003</v>
      </c>
      <c r="AK2318" s="11">
        <v>59.692999999999998</v>
      </c>
      <c r="AL2318" s="11"/>
    </row>
    <row r="2319" spans="1:38" x14ac:dyDescent="0.3">
      <c r="A2319" s="9">
        <f>DATE(2025, 12, 19)</f>
        <v>46010</v>
      </c>
      <c r="B2319" s="10">
        <v>60.47</v>
      </c>
      <c r="C2319" s="10">
        <v>60.05</v>
      </c>
      <c r="D2319" s="10">
        <v>59.83</v>
      </c>
      <c r="E2319" s="10">
        <v>59.75</v>
      </c>
      <c r="F2319" s="10">
        <v>59.74</v>
      </c>
      <c r="G2319" s="10">
        <v>59.76</v>
      </c>
      <c r="H2319" s="10">
        <v>59.77</v>
      </c>
      <c r="I2319" s="10">
        <v>59.78</v>
      </c>
      <c r="J2319" s="10">
        <v>59.81</v>
      </c>
      <c r="K2319" s="10">
        <v>59.85</v>
      </c>
      <c r="L2319" s="10">
        <v>59.9</v>
      </c>
      <c r="M2319" s="10">
        <v>59.94</v>
      </c>
      <c r="N2319" s="10">
        <v>56.66</v>
      </c>
      <c r="O2319" s="10">
        <v>56.52</v>
      </c>
      <c r="P2319" s="10">
        <v>56.36</v>
      </c>
      <c r="Q2319" s="10">
        <v>56.29</v>
      </c>
      <c r="R2319" s="10">
        <v>56.29</v>
      </c>
      <c r="S2319" s="10">
        <v>56.34</v>
      </c>
      <c r="T2319" s="10">
        <v>56.4</v>
      </c>
      <c r="U2319" s="10">
        <v>56.43</v>
      </c>
      <c r="V2319" s="10">
        <v>56.42</v>
      </c>
      <c r="W2319" s="10">
        <v>56.4</v>
      </c>
      <c r="X2319" s="10">
        <v>56.41</v>
      </c>
      <c r="Y2319" s="10">
        <v>56.44</v>
      </c>
      <c r="Z2319" s="11">
        <v>61.667000000000002</v>
      </c>
      <c r="AA2319" s="11">
        <v>60.17</v>
      </c>
      <c r="AB2319" s="11">
        <v>60.081000000000003</v>
      </c>
      <c r="AC2319" s="11">
        <v>59.97</v>
      </c>
      <c r="AD2319" s="11">
        <v>59.912999999999997</v>
      </c>
      <c r="AE2319" s="11">
        <v>59.902000000000001</v>
      </c>
      <c r="AF2319" s="11">
        <v>59.881999999999998</v>
      </c>
      <c r="AG2319" s="11">
        <v>59.875</v>
      </c>
      <c r="AH2319" s="11">
        <v>59.89</v>
      </c>
      <c r="AI2319" s="11">
        <v>59.920999999999999</v>
      </c>
      <c r="AJ2319" s="11">
        <v>59.948</v>
      </c>
      <c r="AK2319" s="11">
        <v>59.982999999999997</v>
      </c>
      <c r="AL2319" s="11"/>
    </row>
    <row r="2320" spans="1:38" x14ac:dyDescent="0.3">
      <c r="A2320" s="9">
        <f>DATE(2025, 12, 22)</f>
        <v>46013</v>
      </c>
      <c r="B2320" s="10">
        <v>62.07</v>
      </c>
      <c r="C2320" s="10">
        <v>61.58</v>
      </c>
      <c r="D2320" s="10">
        <v>61.29</v>
      </c>
      <c r="E2320" s="10">
        <v>61.14</v>
      </c>
      <c r="F2320" s="10">
        <v>61.06</v>
      </c>
      <c r="G2320" s="10">
        <v>61.03</v>
      </c>
      <c r="H2320" s="10">
        <v>60.99</v>
      </c>
      <c r="I2320" s="10">
        <v>60.95</v>
      </c>
      <c r="J2320" s="10">
        <v>60.94</v>
      </c>
      <c r="K2320" s="10">
        <v>60.94</v>
      </c>
      <c r="L2320" s="10">
        <v>60.96</v>
      </c>
      <c r="M2320" s="10">
        <v>60.97</v>
      </c>
      <c r="N2320" s="10">
        <v>58.01</v>
      </c>
      <c r="O2320" s="10">
        <v>57.84</v>
      </c>
      <c r="P2320" s="10">
        <v>57.72</v>
      </c>
      <c r="Q2320" s="10">
        <v>57.68</v>
      </c>
      <c r="R2320" s="10">
        <v>57.68</v>
      </c>
      <c r="S2320" s="10">
        <v>57.68</v>
      </c>
      <c r="T2320" s="10">
        <v>57.66</v>
      </c>
      <c r="U2320" s="10">
        <v>57.61</v>
      </c>
      <c r="V2320" s="10">
        <v>57.53</v>
      </c>
      <c r="W2320" s="10">
        <v>57.5</v>
      </c>
      <c r="X2320" s="10">
        <v>57.5</v>
      </c>
      <c r="Y2320" s="10">
        <v>57.49</v>
      </c>
      <c r="Z2320" s="11">
        <v>62.103999999999999</v>
      </c>
      <c r="AA2320" s="11">
        <v>61.633000000000003</v>
      </c>
      <c r="AB2320" s="11">
        <v>61.552999999999997</v>
      </c>
      <c r="AC2320" s="11">
        <v>61.396000000000001</v>
      </c>
      <c r="AD2320" s="11">
        <v>61.295999999999999</v>
      </c>
      <c r="AE2320" s="11">
        <v>61.235999999999997</v>
      </c>
      <c r="AF2320" s="11">
        <v>61.170999999999999</v>
      </c>
      <c r="AG2320" s="11">
        <v>61.110999999999997</v>
      </c>
      <c r="AH2320" s="11">
        <v>61.081000000000003</v>
      </c>
      <c r="AI2320" s="11">
        <v>61.067</v>
      </c>
      <c r="AJ2320" s="11">
        <v>61.055999999999997</v>
      </c>
      <c r="AK2320" s="11">
        <v>61.055999999999997</v>
      </c>
      <c r="AL2320" s="11"/>
    </row>
    <row r="2321" spans="1:38" x14ac:dyDescent="0.3">
      <c r="A2321" s="9">
        <f>DATE(2025, 12, 23)</f>
        <v>46014</v>
      </c>
      <c r="B2321" s="10">
        <v>62.38</v>
      </c>
      <c r="C2321" s="10">
        <v>61.87</v>
      </c>
      <c r="D2321" s="10">
        <v>61.54</v>
      </c>
      <c r="E2321" s="10">
        <v>61.38</v>
      </c>
      <c r="F2321" s="10">
        <v>61.3</v>
      </c>
      <c r="G2321" s="10">
        <v>61.27</v>
      </c>
      <c r="H2321" s="10">
        <v>61.23</v>
      </c>
      <c r="I2321" s="10">
        <v>61.18</v>
      </c>
      <c r="J2321" s="10">
        <v>61.16</v>
      </c>
      <c r="K2321" s="10">
        <v>61.15</v>
      </c>
      <c r="L2321" s="10">
        <v>61.16</v>
      </c>
      <c r="M2321" s="10">
        <v>61.15</v>
      </c>
      <c r="N2321" s="10">
        <v>58.38</v>
      </c>
      <c r="O2321" s="10">
        <v>58.13</v>
      </c>
      <c r="P2321" s="10">
        <v>57.97</v>
      </c>
      <c r="Q2321" s="10">
        <v>57.91</v>
      </c>
      <c r="R2321" s="10">
        <v>57.9</v>
      </c>
      <c r="S2321" s="10">
        <v>57.9</v>
      </c>
      <c r="T2321" s="10">
        <v>57.88</v>
      </c>
      <c r="U2321" s="10">
        <v>57.83</v>
      </c>
      <c r="V2321" s="10">
        <v>57.75</v>
      </c>
      <c r="W2321" s="10">
        <v>57.7</v>
      </c>
      <c r="X2321" s="10">
        <v>57.7</v>
      </c>
      <c r="Y2321" s="10">
        <v>57.67</v>
      </c>
      <c r="Z2321" s="11">
        <v>62.125999999999998</v>
      </c>
      <c r="AA2321" s="11">
        <v>61.677</v>
      </c>
      <c r="AB2321" s="11">
        <v>61.652000000000001</v>
      </c>
      <c r="AC2321" s="11">
        <v>61.557000000000002</v>
      </c>
      <c r="AD2321" s="11">
        <v>61.47</v>
      </c>
      <c r="AE2321" s="11">
        <v>61.418999999999997</v>
      </c>
      <c r="AF2321" s="11">
        <v>61.368000000000002</v>
      </c>
      <c r="AG2321" s="11">
        <v>61.314999999999998</v>
      </c>
      <c r="AH2321" s="11">
        <v>61.284999999999997</v>
      </c>
      <c r="AI2321" s="11">
        <v>61.261000000000003</v>
      </c>
      <c r="AJ2321" s="11">
        <v>61.241</v>
      </c>
      <c r="AK2321" s="11">
        <v>61.22</v>
      </c>
      <c r="AL2321" s="11"/>
    </row>
    <row r="2322" spans="1:38" x14ac:dyDescent="0.3">
      <c r="A2322" s="9">
        <f>DATE(2025, 12, 24)</f>
        <v>46015</v>
      </c>
      <c r="B2322" s="10">
        <v>62.24</v>
      </c>
      <c r="C2322" s="10">
        <v>61.8</v>
      </c>
      <c r="D2322" s="10">
        <v>61.5</v>
      </c>
      <c r="E2322" s="10">
        <v>61.37</v>
      </c>
      <c r="F2322" s="10">
        <v>61.32</v>
      </c>
      <c r="G2322" s="10">
        <v>61.3</v>
      </c>
      <c r="H2322" s="10">
        <v>61.28</v>
      </c>
      <c r="I2322" s="10">
        <v>61.25</v>
      </c>
      <c r="J2322" s="10">
        <v>61.24</v>
      </c>
      <c r="K2322" s="10">
        <v>61.25</v>
      </c>
      <c r="L2322" s="10">
        <v>61.27</v>
      </c>
      <c r="M2322" s="10">
        <v>61.27</v>
      </c>
      <c r="N2322" s="10">
        <v>58.35</v>
      </c>
      <c r="O2322" s="10">
        <v>58.13</v>
      </c>
      <c r="P2322" s="10">
        <v>57.98</v>
      </c>
      <c r="Q2322" s="10">
        <v>57.92</v>
      </c>
      <c r="R2322" s="10">
        <v>57.93</v>
      </c>
      <c r="S2322" s="10">
        <v>57.94</v>
      </c>
      <c r="T2322" s="10">
        <v>57.94</v>
      </c>
      <c r="U2322" s="10">
        <v>57.89</v>
      </c>
      <c r="V2322" s="10">
        <v>57.83</v>
      </c>
      <c r="W2322" s="10">
        <v>57.8</v>
      </c>
      <c r="X2322" s="10">
        <v>57.8</v>
      </c>
      <c r="Y2322" s="10">
        <v>57.79</v>
      </c>
      <c r="Z2322" s="11">
        <v>62.12</v>
      </c>
      <c r="AA2322" s="11">
        <v>61.598999999999997</v>
      </c>
      <c r="AB2322" s="11">
        <v>61.587000000000003</v>
      </c>
      <c r="AC2322" s="11">
        <v>61.499000000000002</v>
      </c>
      <c r="AD2322" s="11">
        <v>61.429000000000002</v>
      </c>
      <c r="AE2322" s="11">
        <v>61.399000000000001</v>
      </c>
      <c r="AF2322" s="11">
        <v>61.359000000000002</v>
      </c>
      <c r="AG2322" s="11">
        <v>61.33</v>
      </c>
      <c r="AH2322" s="11">
        <v>61.311</v>
      </c>
      <c r="AI2322" s="11">
        <v>61.311</v>
      </c>
      <c r="AJ2322" s="11">
        <v>61.32</v>
      </c>
      <c r="AK2322" s="11">
        <v>61.316000000000003</v>
      </c>
      <c r="AL2322" s="11"/>
    </row>
    <row r="2323" spans="1:38" x14ac:dyDescent="0.3">
      <c r="A2323" s="9">
        <f>DATE(2025, 12, 26)</f>
        <v>46017</v>
      </c>
      <c r="B2323" s="10">
        <v>60.64</v>
      </c>
      <c r="C2323" s="10">
        <v>60.24</v>
      </c>
      <c r="D2323" s="10">
        <v>59.97</v>
      </c>
      <c r="E2323" s="10">
        <v>59.85</v>
      </c>
      <c r="F2323" s="10">
        <v>59.83</v>
      </c>
      <c r="G2323" s="10">
        <v>59.85</v>
      </c>
      <c r="H2323" s="10">
        <v>59.86</v>
      </c>
      <c r="I2323" s="10">
        <v>59.87</v>
      </c>
      <c r="J2323" s="10">
        <v>59.9</v>
      </c>
      <c r="K2323" s="10">
        <v>59.94</v>
      </c>
      <c r="L2323" s="10">
        <v>59.99</v>
      </c>
      <c r="M2323" s="10">
        <v>60.02</v>
      </c>
      <c r="N2323" s="10">
        <v>56.74</v>
      </c>
      <c r="O2323" s="10">
        <v>56.56</v>
      </c>
      <c r="P2323" s="10">
        <v>56.45</v>
      </c>
      <c r="Q2323" s="10">
        <v>56.43</v>
      </c>
      <c r="R2323" s="10">
        <v>56.47</v>
      </c>
      <c r="S2323" s="10">
        <v>56.53</v>
      </c>
      <c r="T2323" s="10">
        <v>56.57</v>
      </c>
      <c r="U2323" s="10">
        <v>56.56</v>
      </c>
      <c r="V2323" s="10">
        <v>56.53</v>
      </c>
      <c r="W2323" s="10">
        <v>56.55</v>
      </c>
      <c r="X2323" s="10">
        <v>56.58</v>
      </c>
      <c r="Y2323" s="10">
        <v>56.6</v>
      </c>
      <c r="Z2323" s="11">
        <v>61.911999999999999</v>
      </c>
      <c r="AA2323" s="11">
        <v>60.031999999999996</v>
      </c>
      <c r="AB2323" s="11">
        <v>60.048999999999999</v>
      </c>
      <c r="AC2323" s="11">
        <v>59.948999999999998</v>
      </c>
      <c r="AD2323" s="11">
        <v>59.890999999999998</v>
      </c>
      <c r="AE2323" s="11">
        <v>59.89</v>
      </c>
      <c r="AF2323" s="11">
        <v>59.88</v>
      </c>
      <c r="AG2323" s="11">
        <v>59.875</v>
      </c>
      <c r="AH2323" s="11">
        <v>59.898000000000003</v>
      </c>
      <c r="AI2323" s="11">
        <v>59.926000000000002</v>
      </c>
      <c r="AJ2323" s="11">
        <v>59.960999999999999</v>
      </c>
      <c r="AK2323" s="11">
        <v>59.981999999999999</v>
      </c>
      <c r="AL2323" s="11"/>
    </row>
    <row r="2324" spans="1:38" x14ac:dyDescent="0.3">
      <c r="A2324" s="9">
        <f>DATE(2025, 12, 29)</f>
        <v>46020</v>
      </c>
      <c r="B2324" s="10">
        <v>61.94</v>
      </c>
      <c r="C2324" s="10">
        <v>61.49</v>
      </c>
      <c r="D2324" s="10">
        <v>61.15</v>
      </c>
      <c r="E2324" s="10">
        <v>60.98</v>
      </c>
      <c r="F2324" s="10">
        <v>60.92</v>
      </c>
      <c r="G2324" s="10">
        <v>60.89</v>
      </c>
      <c r="H2324" s="10">
        <v>60.87</v>
      </c>
      <c r="I2324" s="10">
        <v>60.85</v>
      </c>
      <c r="J2324" s="10">
        <v>60.85</v>
      </c>
      <c r="K2324" s="10">
        <v>60.86</v>
      </c>
      <c r="L2324" s="10">
        <v>60.89</v>
      </c>
      <c r="M2324" s="10">
        <v>60.9</v>
      </c>
      <c r="N2324" s="10">
        <v>58.08</v>
      </c>
      <c r="O2324" s="10">
        <v>57.85</v>
      </c>
      <c r="P2324" s="10">
        <v>57.68</v>
      </c>
      <c r="Q2324" s="10">
        <v>57.62</v>
      </c>
      <c r="R2324" s="10">
        <v>57.62</v>
      </c>
      <c r="S2324" s="10">
        <v>57.63</v>
      </c>
      <c r="T2324" s="10">
        <v>57.63</v>
      </c>
      <c r="U2324" s="10">
        <v>57.58</v>
      </c>
      <c r="V2324" s="10">
        <v>57.51</v>
      </c>
      <c r="W2324" s="10">
        <v>57.49</v>
      </c>
      <c r="X2324" s="10">
        <v>57.49</v>
      </c>
      <c r="Y2324" s="10">
        <v>57.48</v>
      </c>
      <c r="Z2324" s="11">
        <v>62.048000000000002</v>
      </c>
      <c r="AA2324" s="11">
        <v>61.17</v>
      </c>
      <c r="AB2324" s="11">
        <v>61.137</v>
      </c>
      <c r="AC2324" s="11">
        <v>61.036999999999999</v>
      </c>
      <c r="AD2324" s="11">
        <v>60.959000000000003</v>
      </c>
      <c r="AE2324" s="11">
        <v>60.908999999999999</v>
      </c>
      <c r="AF2324" s="11">
        <v>60.868000000000002</v>
      </c>
      <c r="AG2324" s="11">
        <v>60.838000000000001</v>
      </c>
      <c r="AH2324" s="11">
        <v>60.829000000000001</v>
      </c>
      <c r="AI2324" s="11">
        <v>60.828000000000003</v>
      </c>
      <c r="AJ2324" s="11">
        <v>60.847000000000001</v>
      </c>
      <c r="AK2324" s="11">
        <v>60.850999999999999</v>
      </c>
      <c r="AL2324" s="11"/>
    </row>
    <row r="2325" spans="1:38" x14ac:dyDescent="0.3">
      <c r="A2325" s="9">
        <f>DATE(2025, 12, 30)</f>
        <v>46021</v>
      </c>
      <c r="B2325" s="10">
        <v>61.92</v>
      </c>
      <c r="C2325" s="10">
        <v>61.33</v>
      </c>
      <c r="D2325" s="10">
        <v>61.03</v>
      </c>
      <c r="E2325" s="10">
        <v>60.87</v>
      </c>
      <c r="F2325" s="10">
        <v>60.81</v>
      </c>
      <c r="G2325" s="10">
        <v>60.77</v>
      </c>
      <c r="H2325" s="10">
        <v>60.74</v>
      </c>
      <c r="I2325" s="10">
        <v>60.72</v>
      </c>
      <c r="J2325" s="10">
        <v>60.72</v>
      </c>
      <c r="K2325" s="10">
        <v>60.74</v>
      </c>
      <c r="L2325" s="10">
        <v>60.77</v>
      </c>
      <c r="M2325" s="10">
        <v>60.78</v>
      </c>
      <c r="N2325" s="10">
        <v>57.95</v>
      </c>
      <c r="O2325" s="10">
        <v>57.74</v>
      </c>
      <c r="P2325" s="10">
        <v>57.58</v>
      </c>
      <c r="Q2325" s="10">
        <v>57.52</v>
      </c>
      <c r="R2325" s="10">
        <v>57.53</v>
      </c>
      <c r="S2325" s="10">
        <v>57.55</v>
      </c>
      <c r="T2325" s="10">
        <v>57.55</v>
      </c>
      <c r="U2325" s="10">
        <v>57.52</v>
      </c>
      <c r="V2325" s="10">
        <v>57.45</v>
      </c>
      <c r="W2325" s="10">
        <v>57.42</v>
      </c>
      <c r="X2325" s="10">
        <v>57.42</v>
      </c>
      <c r="Y2325" s="10">
        <v>57.41</v>
      </c>
      <c r="Z2325" s="11">
        <v>62.037999999999997</v>
      </c>
      <c r="AA2325" s="11">
        <v>60.892000000000003</v>
      </c>
      <c r="AB2325" s="11">
        <v>60.872</v>
      </c>
      <c r="AC2325" s="11">
        <v>60.781999999999996</v>
      </c>
      <c r="AD2325" s="11">
        <v>60.703000000000003</v>
      </c>
      <c r="AE2325" s="11">
        <v>60.652999999999999</v>
      </c>
      <c r="AF2325" s="11">
        <v>60.603000000000002</v>
      </c>
      <c r="AG2325" s="11">
        <v>60.573</v>
      </c>
      <c r="AH2325" s="11">
        <v>60.567</v>
      </c>
      <c r="AI2325" s="11">
        <v>60.576000000000001</v>
      </c>
      <c r="AJ2325" s="11">
        <v>60.6</v>
      </c>
      <c r="AK2325" s="11">
        <v>60.606000000000002</v>
      </c>
      <c r="AL2325" s="11"/>
    </row>
    <row r="2326" spans="1:38" x14ac:dyDescent="0.3">
      <c r="A2326" s="9">
        <f>DATE(2025, 12, 31)</f>
        <v>46022</v>
      </c>
      <c r="B2326" s="10">
        <v>60.85</v>
      </c>
      <c r="C2326" s="10">
        <v>60.49</v>
      </c>
      <c r="D2326" s="10">
        <v>60.32</v>
      </c>
      <c r="E2326" s="10">
        <v>60.25</v>
      </c>
      <c r="F2326" s="10">
        <v>60.22</v>
      </c>
      <c r="G2326" s="10">
        <v>60.19</v>
      </c>
      <c r="H2326" s="10">
        <v>60.17</v>
      </c>
      <c r="I2326" s="10">
        <v>60.17</v>
      </c>
      <c r="J2326" s="10">
        <v>60.19</v>
      </c>
      <c r="K2326" s="10">
        <v>60.22</v>
      </c>
      <c r="L2326" s="10">
        <v>60.23</v>
      </c>
      <c r="M2326" s="10">
        <v>60.25</v>
      </c>
      <c r="N2326" s="10">
        <v>57.42</v>
      </c>
      <c r="O2326" s="10">
        <v>57.22</v>
      </c>
      <c r="P2326" s="10">
        <v>57.07</v>
      </c>
      <c r="Q2326" s="10">
        <v>57</v>
      </c>
      <c r="R2326" s="10">
        <v>57.01</v>
      </c>
      <c r="S2326" s="10">
        <v>57.04</v>
      </c>
      <c r="T2326" s="10">
        <v>57.04</v>
      </c>
      <c r="U2326" s="10">
        <v>57.01</v>
      </c>
      <c r="V2326" s="10">
        <v>56.95</v>
      </c>
      <c r="W2326" s="10">
        <v>56.92</v>
      </c>
      <c r="X2326" s="10">
        <v>56.92</v>
      </c>
      <c r="Y2326" s="10">
        <v>56.91</v>
      </c>
      <c r="Z2326" s="11">
        <v>62.045999999999999</v>
      </c>
      <c r="AA2326" s="11">
        <v>60.335999999999999</v>
      </c>
      <c r="AB2326" s="11">
        <v>60.265000000000001</v>
      </c>
      <c r="AC2326" s="11">
        <v>60.162999999999997</v>
      </c>
      <c r="AD2326" s="11">
        <v>60.069000000000003</v>
      </c>
      <c r="AE2326" s="11">
        <v>60.018999999999998</v>
      </c>
      <c r="AF2326" s="11">
        <v>59.969000000000001</v>
      </c>
      <c r="AG2326" s="11">
        <v>59.948999999999998</v>
      </c>
      <c r="AH2326" s="11">
        <v>59.951000000000001</v>
      </c>
      <c r="AI2326" s="11">
        <v>59.97</v>
      </c>
      <c r="AJ2326" s="11">
        <v>59.99</v>
      </c>
      <c r="AK2326" s="11">
        <v>59.991</v>
      </c>
      <c r="AL2326" s="11"/>
    </row>
    <row r="2327" spans="1:38" x14ac:dyDescent="0.3">
      <c r="A2327" s="9">
        <f>DATE(2026, 1, 2)</f>
        <v>46024</v>
      </c>
      <c r="B2327" s="10">
        <v>60.75</v>
      </c>
      <c r="C2327" s="10">
        <v>60.43</v>
      </c>
      <c r="D2327" s="10">
        <v>60.28</v>
      </c>
      <c r="E2327" s="10">
        <v>60.24</v>
      </c>
      <c r="F2327" s="10">
        <v>60.24</v>
      </c>
      <c r="G2327" s="10">
        <v>60.24</v>
      </c>
      <c r="H2327" s="10">
        <v>60.24</v>
      </c>
      <c r="I2327" s="10">
        <v>60.26</v>
      </c>
      <c r="J2327" s="10">
        <v>60.29</v>
      </c>
      <c r="K2327" s="10">
        <v>60.34</v>
      </c>
      <c r="L2327" s="10">
        <v>60.36</v>
      </c>
      <c r="M2327" s="10">
        <v>60.4</v>
      </c>
      <c r="N2327" s="10">
        <v>57.32</v>
      </c>
      <c r="O2327" s="10">
        <v>57.12</v>
      </c>
      <c r="P2327" s="10">
        <v>56.98</v>
      </c>
      <c r="Q2327" s="10">
        <v>56.93</v>
      </c>
      <c r="R2327" s="10">
        <v>56.98</v>
      </c>
      <c r="S2327" s="10">
        <v>57.03</v>
      </c>
      <c r="T2327" s="10">
        <v>57.06</v>
      </c>
      <c r="U2327" s="10">
        <v>57.05</v>
      </c>
      <c r="V2327" s="10">
        <v>57.01</v>
      </c>
      <c r="W2327" s="10">
        <v>57</v>
      </c>
      <c r="X2327" s="10">
        <v>57.01</v>
      </c>
      <c r="Y2327" s="10">
        <v>57.02</v>
      </c>
      <c r="Z2327" s="11">
        <v>62.045999999999999</v>
      </c>
      <c r="AA2327" s="11">
        <v>59.87</v>
      </c>
      <c r="AB2327" s="11">
        <v>59.927999999999997</v>
      </c>
      <c r="AC2327" s="11">
        <v>59.933</v>
      </c>
      <c r="AD2327" s="11">
        <v>59.924999999999997</v>
      </c>
      <c r="AE2327" s="11">
        <v>59.914999999999999</v>
      </c>
      <c r="AF2327" s="11">
        <v>59.914999999999999</v>
      </c>
      <c r="AG2327" s="11">
        <v>59.914999999999999</v>
      </c>
      <c r="AH2327" s="11">
        <v>59.945</v>
      </c>
      <c r="AI2327" s="11">
        <v>59.991999999999997</v>
      </c>
      <c r="AJ2327" s="11">
        <v>60.026000000000003</v>
      </c>
      <c r="AK2327" s="11">
        <v>60.031999999999996</v>
      </c>
      <c r="AL2327" s="11"/>
    </row>
    <row r="2328" spans="1:38" x14ac:dyDescent="0.3">
      <c r="A2328" s="9">
        <f>DATE(2026, 1, 5)</f>
        <v>46027</v>
      </c>
      <c r="B2328" s="10">
        <v>61.76</v>
      </c>
      <c r="C2328" s="10">
        <v>61.37</v>
      </c>
      <c r="D2328" s="10">
        <v>61.16</v>
      </c>
      <c r="E2328" s="10">
        <v>61.05</v>
      </c>
      <c r="F2328" s="10">
        <v>60.98</v>
      </c>
      <c r="G2328" s="10">
        <v>60.91</v>
      </c>
      <c r="H2328" s="10">
        <v>60.85</v>
      </c>
      <c r="I2328" s="10">
        <v>60.81</v>
      </c>
      <c r="J2328" s="10">
        <v>60.8</v>
      </c>
      <c r="K2328" s="10">
        <v>60.8</v>
      </c>
      <c r="L2328" s="10">
        <v>60.78</v>
      </c>
      <c r="M2328" s="10">
        <v>60.78</v>
      </c>
      <c r="N2328" s="10">
        <v>58.32</v>
      </c>
      <c r="O2328" s="10">
        <v>58.08</v>
      </c>
      <c r="P2328" s="10">
        <v>57.91</v>
      </c>
      <c r="Q2328" s="10">
        <v>57.83</v>
      </c>
      <c r="R2328" s="10">
        <v>57.82</v>
      </c>
      <c r="S2328" s="10">
        <v>57.8</v>
      </c>
      <c r="T2328" s="10">
        <v>57.78</v>
      </c>
      <c r="U2328" s="10">
        <v>57.71</v>
      </c>
      <c r="V2328" s="10">
        <v>57.6</v>
      </c>
      <c r="W2328" s="10">
        <v>57.53</v>
      </c>
      <c r="X2328" s="10">
        <v>57.51</v>
      </c>
      <c r="Y2328" s="10">
        <v>57.45</v>
      </c>
      <c r="Z2328" s="11">
        <v>60.347999999999999</v>
      </c>
      <c r="AA2328" s="11">
        <v>60.61</v>
      </c>
      <c r="AB2328" s="11">
        <v>60.607999999999997</v>
      </c>
      <c r="AC2328" s="11">
        <v>60.569000000000003</v>
      </c>
      <c r="AD2328" s="11">
        <v>60.52</v>
      </c>
      <c r="AE2328" s="11">
        <v>60.460999999999999</v>
      </c>
      <c r="AF2328" s="11">
        <v>60.402000000000001</v>
      </c>
      <c r="AG2328" s="11">
        <v>60.363</v>
      </c>
      <c r="AH2328" s="11">
        <v>60.363999999999997</v>
      </c>
      <c r="AI2328" s="11">
        <v>60.374000000000002</v>
      </c>
      <c r="AJ2328" s="11">
        <v>60.36</v>
      </c>
      <c r="AK2328" s="11">
        <v>60.351999999999997</v>
      </c>
      <c r="AL2328" s="11"/>
    </row>
    <row r="2329" spans="1:38" x14ac:dyDescent="0.3">
      <c r="A2329" s="9">
        <f>DATE(2026, 1, 6)</f>
        <v>46028</v>
      </c>
      <c r="B2329" s="10">
        <v>60.7</v>
      </c>
      <c r="C2329" s="10">
        <v>60.31</v>
      </c>
      <c r="D2329" s="10">
        <v>60.1</v>
      </c>
      <c r="E2329" s="10">
        <v>60</v>
      </c>
      <c r="F2329" s="10">
        <v>59.95</v>
      </c>
      <c r="G2329" s="10">
        <v>59.92</v>
      </c>
      <c r="H2329" s="10">
        <v>59.89</v>
      </c>
      <c r="I2329" s="10">
        <v>59.89</v>
      </c>
      <c r="J2329" s="10">
        <v>59.91</v>
      </c>
      <c r="K2329" s="10">
        <v>59.95</v>
      </c>
      <c r="L2329" s="10">
        <v>59.96</v>
      </c>
      <c r="M2329" s="10">
        <v>59.98</v>
      </c>
      <c r="N2329" s="10">
        <v>57.13</v>
      </c>
      <c r="O2329" s="10">
        <v>56.94</v>
      </c>
      <c r="P2329" s="10">
        <v>56.77</v>
      </c>
      <c r="Q2329" s="10">
        <v>56.69</v>
      </c>
      <c r="R2329" s="10">
        <v>56.69</v>
      </c>
      <c r="S2329" s="10">
        <v>56.7</v>
      </c>
      <c r="T2329" s="10">
        <v>56.69</v>
      </c>
      <c r="U2329" s="10">
        <v>56.65</v>
      </c>
      <c r="V2329" s="10">
        <v>56.59</v>
      </c>
      <c r="W2329" s="10">
        <v>56.56</v>
      </c>
      <c r="X2329" s="10">
        <v>56.56</v>
      </c>
      <c r="Y2329" s="10">
        <v>56.54</v>
      </c>
      <c r="Z2329" s="11">
        <v>59.134</v>
      </c>
      <c r="AA2329" s="11">
        <v>59.433</v>
      </c>
      <c r="AB2329" s="11">
        <v>59.457000000000001</v>
      </c>
      <c r="AC2329" s="11">
        <v>59.451000000000001</v>
      </c>
      <c r="AD2329" s="11">
        <v>59.42</v>
      </c>
      <c r="AE2329" s="11">
        <v>59.408999999999999</v>
      </c>
      <c r="AF2329" s="11">
        <v>59.405999999999999</v>
      </c>
      <c r="AG2329" s="11">
        <v>59.424999999999997</v>
      </c>
      <c r="AH2329" s="11">
        <v>59.457000000000001</v>
      </c>
      <c r="AI2329" s="11">
        <v>59.496000000000002</v>
      </c>
      <c r="AJ2329" s="11">
        <v>59.526000000000003</v>
      </c>
      <c r="AK2329" s="11">
        <v>59.524999999999999</v>
      </c>
      <c r="AL2329" s="11"/>
    </row>
    <row r="2330" spans="1:38" x14ac:dyDescent="0.3">
      <c r="A2330" s="9">
        <f>DATE(2026, 1, 7)</f>
        <v>46029</v>
      </c>
      <c r="B2330" s="10">
        <v>59.96</v>
      </c>
      <c r="C2330" s="10">
        <v>59.58</v>
      </c>
      <c r="D2330" s="10">
        <v>59.4</v>
      </c>
      <c r="E2330" s="10">
        <v>59.34</v>
      </c>
      <c r="F2330" s="10">
        <v>59.31</v>
      </c>
      <c r="G2330" s="10">
        <v>59.29</v>
      </c>
      <c r="H2330" s="10">
        <v>59.27</v>
      </c>
      <c r="I2330" s="10">
        <v>59.28</v>
      </c>
      <c r="J2330" s="10">
        <v>59.31</v>
      </c>
      <c r="K2330" s="10">
        <v>59.35</v>
      </c>
      <c r="L2330" s="10">
        <v>59.38</v>
      </c>
      <c r="M2330" s="10">
        <v>59.42</v>
      </c>
      <c r="N2330" s="10">
        <v>55.99</v>
      </c>
      <c r="O2330" s="10">
        <v>55.9</v>
      </c>
      <c r="P2330" s="10">
        <v>55.81</v>
      </c>
      <c r="Q2330" s="10">
        <v>55.78</v>
      </c>
      <c r="R2330" s="10">
        <v>55.82</v>
      </c>
      <c r="S2330" s="10">
        <v>55.87</v>
      </c>
      <c r="T2330" s="10">
        <v>55.89</v>
      </c>
      <c r="U2330" s="10">
        <v>55.89</v>
      </c>
      <c r="V2330" s="10">
        <v>55.85</v>
      </c>
      <c r="W2330" s="10">
        <v>55.84</v>
      </c>
      <c r="X2330" s="10">
        <v>55.85</v>
      </c>
      <c r="Y2330" s="10">
        <v>55.86</v>
      </c>
      <c r="Z2330" s="11">
        <v>58.283999999999999</v>
      </c>
      <c r="AA2330" s="11">
        <v>58.524999999999999</v>
      </c>
      <c r="AB2330" s="11">
        <v>58.616</v>
      </c>
      <c r="AC2330" s="11">
        <v>58.656999999999996</v>
      </c>
      <c r="AD2330" s="11">
        <v>58.667000000000002</v>
      </c>
      <c r="AE2330" s="11">
        <v>58.695999999999998</v>
      </c>
      <c r="AF2330" s="11">
        <v>58.726999999999997</v>
      </c>
      <c r="AG2330" s="11">
        <v>58.767000000000003</v>
      </c>
      <c r="AH2330" s="11">
        <v>58.826999999999998</v>
      </c>
      <c r="AI2330" s="11">
        <v>58.871000000000002</v>
      </c>
      <c r="AJ2330" s="11">
        <v>58.921999999999997</v>
      </c>
      <c r="AK2330" s="11">
        <v>58.936</v>
      </c>
      <c r="AL2330" s="11"/>
    </row>
    <row r="2331" spans="1:38" x14ac:dyDescent="0.3">
      <c r="A2331" s="9">
        <f>DATE(2026, 1, 8)</f>
        <v>46030</v>
      </c>
      <c r="B2331" s="10">
        <v>61.99</v>
      </c>
      <c r="C2331" s="10">
        <v>61.49</v>
      </c>
      <c r="D2331" s="10">
        <v>61.22</v>
      </c>
      <c r="E2331" s="10">
        <v>61.08</v>
      </c>
      <c r="F2331" s="10">
        <v>61.01</v>
      </c>
      <c r="G2331" s="10">
        <v>60.95</v>
      </c>
      <c r="H2331" s="10">
        <v>60.89</v>
      </c>
      <c r="I2331" s="10">
        <v>60.86</v>
      </c>
      <c r="J2331" s="10">
        <v>60.85</v>
      </c>
      <c r="K2331" s="10">
        <v>60.85</v>
      </c>
      <c r="L2331" s="10">
        <v>60.84</v>
      </c>
      <c r="M2331" s="10">
        <v>60.84</v>
      </c>
      <c r="N2331" s="10">
        <v>57.76</v>
      </c>
      <c r="O2331" s="10">
        <v>57.64</v>
      </c>
      <c r="P2331" s="10">
        <v>57.53</v>
      </c>
      <c r="Q2331" s="10">
        <v>57.48</v>
      </c>
      <c r="R2331" s="10">
        <v>57.48</v>
      </c>
      <c r="S2331" s="10">
        <v>57.49</v>
      </c>
      <c r="T2331" s="10">
        <v>57.47</v>
      </c>
      <c r="U2331" s="10">
        <v>57.42</v>
      </c>
      <c r="V2331" s="10">
        <v>57.34</v>
      </c>
      <c r="W2331" s="10">
        <v>57.29</v>
      </c>
      <c r="X2331" s="10">
        <v>57.27</v>
      </c>
      <c r="Y2331" s="10">
        <v>57.24</v>
      </c>
      <c r="Z2331" s="11">
        <v>60.081000000000003</v>
      </c>
      <c r="AA2331" s="11">
        <v>60.744999999999997</v>
      </c>
      <c r="AB2331" s="11">
        <v>60.716000000000001</v>
      </c>
      <c r="AC2331" s="11">
        <v>60.652999999999999</v>
      </c>
      <c r="AD2331" s="11">
        <v>60.582999999999998</v>
      </c>
      <c r="AE2331" s="11">
        <v>60.524000000000001</v>
      </c>
      <c r="AF2331" s="11">
        <v>60.466999999999999</v>
      </c>
      <c r="AG2331" s="11">
        <v>60.438000000000002</v>
      </c>
      <c r="AH2331" s="11">
        <v>60.43</v>
      </c>
      <c r="AI2331" s="11">
        <v>60.424999999999997</v>
      </c>
      <c r="AJ2331" s="11">
        <v>60.424999999999997</v>
      </c>
      <c r="AK2331" s="11">
        <v>60.414000000000001</v>
      </c>
      <c r="AL2331" s="11"/>
    </row>
    <row r="2332" spans="1:38" x14ac:dyDescent="0.3">
      <c r="A2332" s="9">
        <f>DATE(2026, 1, 9)</f>
        <v>46031</v>
      </c>
      <c r="B2332" s="10">
        <v>63.34</v>
      </c>
      <c r="C2332" s="10">
        <v>62.79</v>
      </c>
      <c r="D2332" s="10">
        <v>62.47</v>
      </c>
      <c r="E2332" s="10">
        <v>62.29</v>
      </c>
      <c r="F2332" s="10">
        <v>62.17</v>
      </c>
      <c r="G2332" s="10">
        <v>62.05</v>
      </c>
      <c r="H2332" s="10">
        <v>61.94</v>
      </c>
      <c r="I2332" s="10">
        <v>61.85</v>
      </c>
      <c r="J2332" s="10">
        <v>61.79</v>
      </c>
      <c r="K2332" s="10">
        <v>61.75</v>
      </c>
      <c r="L2332" s="10">
        <v>61.7</v>
      </c>
      <c r="M2332" s="10">
        <v>61.67</v>
      </c>
      <c r="N2332" s="10">
        <v>59.12</v>
      </c>
      <c r="O2332" s="10">
        <v>58.94</v>
      </c>
      <c r="P2332" s="10">
        <v>58.79</v>
      </c>
      <c r="Q2332" s="10">
        <v>58.67</v>
      </c>
      <c r="R2332" s="10">
        <v>58.59</v>
      </c>
      <c r="S2332" s="10">
        <v>58.55</v>
      </c>
      <c r="T2332" s="10">
        <v>58.48</v>
      </c>
      <c r="U2332" s="10">
        <v>58.37</v>
      </c>
      <c r="V2332" s="10">
        <v>58.24</v>
      </c>
      <c r="W2332" s="10">
        <v>58.15</v>
      </c>
      <c r="X2332" s="10">
        <v>58.09</v>
      </c>
      <c r="Y2332" s="10">
        <v>58.02</v>
      </c>
      <c r="Z2332" s="11">
        <v>61.009</v>
      </c>
      <c r="AA2332" s="11">
        <v>62</v>
      </c>
      <c r="AB2332" s="11">
        <v>61.896999999999998</v>
      </c>
      <c r="AC2332" s="11">
        <v>61.771000000000001</v>
      </c>
      <c r="AD2332" s="11">
        <v>61.646999999999998</v>
      </c>
      <c r="AE2332" s="11">
        <v>61.554000000000002</v>
      </c>
      <c r="AF2332" s="11">
        <v>61.463999999999999</v>
      </c>
      <c r="AG2332" s="11">
        <v>61.395000000000003</v>
      </c>
      <c r="AH2332" s="11">
        <v>61.347999999999999</v>
      </c>
      <c r="AI2332" s="11">
        <v>61.302999999999997</v>
      </c>
      <c r="AJ2332" s="11">
        <v>61.264000000000003</v>
      </c>
      <c r="AK2332" s="11">
        <v>61.220999999999997</v>
      </c>
      <c r="AL2332" s="11"/>
    </row>
    <row r="2333" spans="1:38" x14ac:dyDescent="0.3">
      <c r="A2333" s="9">
        <f>DATE(2026, 1, 12)</f>
        <v>46034</v>
      </c>
      <c r="B2333" s="10">
        <v>63.87</v>
      </c>
      <c r="C2333" s="10">
        <v>63.22</v>
      </c>
      <c r="D2333" s="10">
        <v>62.85</v>
      </c>
      <c r="E2333" s="10">
        <v>62.64</v>
      </c>
      <c r="F2333" s="10">
        <v>62.5</v>
      </c>
      <c r="G2333" s="10">
        <v>62.37</v>
      </c>
      <c r="H2333" s="10">
        <v>62.25</v>
      </c>
      <c r="I2333" s="10">
        <v>62.17</v>
      </c>
      <c r="J2333" s="10">
        <v>62.11</v>
      </c>
      <c r="K2333" s="10">
        <v>62.06</v>
      </c>
      <c r="L2333" s="10">
        <v>62.01</v>
      </c>
      <c r="M2333" s="10">
        <v>61.97</v>
      </c>
      <c r="N2333" s="10">
        <v>59.5</v>
      </c>
      <c r="O2333" s="10">
        <v>59.32</v>
      </c>
      <c r="P2333" s="10">
        <v>59.14</v>
      </c>
      <c r="Q2333" s="10">
        <v>59.01</v>
      </c>
      <c r="R2333" s="10">
        <v>58.92</v>
      </c>
      <c r="S2333" s="10">
        <v>58.87</v>
      </c>
      <c r="T2333" s="10">
        <v>58.8</v>
      </c>
      <c r="U2333" s="10">
        <v>58.69</v>
      </c>
      <c r="V2333" s="10">
        <v>58.56</v>
      </c>
      <c r="W2333" s="10">
        <v>58.46</v>
      </c>
      <c r="X2333" s="10">
        <v>58.4</v>
      </c>
      <c r="Y2333" s="10">
        <v>58.33</v>
      </c>
      <c r="Z2333" s="11">
        <v>61.058</v>
      </c>
      <c r="AA2333" s="11">
        <v>62.116999999999997</v>
      </c>
      <c r="AB2333" s="11">
        <v>62.055999999999997</v>
      </c>
      <c r="AC2333" s="11">
        <v>61.975000000000001</v>
      </c>
      <c r="AD2333" s="11">
        <v>61.872</v>
      </c>
      <c r="AE2333" s="11">
        <v>61.786999999999999</v>
      </c>
      <c r="AF2333" s="11">
        <v>61.698</v>
      </c>
      <c r="AG2333" s="11">
        <v>61.639000000000003</v>
      </c>
      <c r="AH2333" s="11">
        <v>61.607999999999997</v>
      </c>
      <c r="AI2333" s="11">
        <v>61.567999999999998</v>
      </c>
      <c r="AJ2333" s="11">
        <v>61.523000000000003</v>
      </c>
      <c r="AK2333" s="11">
        <v>61.473999999999997</v>
      </c>
      <c r="AL2333" s="11"/>
    </row>
    <row r="2334" spans="1:38" x14ac:dyDescent="0.3">
      <c r="A2334" s="9">
        <f>DATE(2026, 1, 13)</f>
        <v>46035</v>
      </c>
      <c r="B2334" s="10">
        <v>65.47</v>
      </c>
      <c r="C2334" s="10">
        <v>64.75</v>
      </c>
      <c r="D2334" s="10">
        <v>64.290000000000006</v>
      </c>
      <c r="E2334" s="10">
        <v>63.99</v>
      </c>
      <c r="F2334" s="10">
        <v>63.77</v>
      </c>
      <c r="G2334" s="10">
        <v>63.58</v>
      </c>
      <c r="H2334" s="10">
        <v>63.41</v>
      </c>
      <c r="I2334" s="10">
        <v>63.28</v>
      </c>
      <c r="J2334" s="10">
        <v>63.18</v>
      </c>
      <c r="K2334" s="10">
        <v>63.09</v>
      </c>
      <c r="L2334" s="10">
        <v>63</v>
      </c>
      <c r="M2334" s="10">
        <v>62.94</v>
      </c>
      <c r="N2334" s="10">
        <v>61.15</v>
      </c>
      <c r="O2334" s="10">
        <v>60.93</v>
      </c>
      <c r="P2334" s="10">
        <v>60.65</v>
      </c>
      <c r="Q2334" s="10">
        <v>60.41</v>
      </c>
      <c r="R2334" s="10">
        <v>60.23</v>
      </c>
      <c r="S2334" s="10">
        <v>60.11</v>
      </c>
      <c r="T2334" s="10">
        <v>59.99</v>
      </c>
      <c r="U2334" s="10">
        <v>59.82</v>
      </c>
      <c r="V2334" s="10">
        <v>59.65</v>
      </c>
      <c r="W2334" s="10">
        <v>59.51</v>
      </c>
      <c r="X2334" s="10">
        <v>59.4</v>
      </c>
      <c r="Y2334" s="10">
        <v>59.29</v>
      </c>
      <c r="Z2334" s="11">
        <v>61.787999999999997</v>
      </c>
      <c r="AA2334" s="11">
        <v>63.36</v>
      </c>
      <c r="AB2334" s="11">
        <v>63.286000000000001</v>
      </c>
      <c r="AC2334" s="11">
        <v>63.201999999999998</v>
      </c>
      <c r="AD2334" s="11">
        <v>63.091000000000001</v>
      </c>
      <c r="AE2334" s="11">
        <v>62.963000000000001</v>
      </c>
      <c r="AF2334" s="11">
        <v>62.84</v>
      </c>
      <c r="AG2334" s="11">
        <v>62.741</v>
      </c>
      <c r="AH2334" s="11">
        <v>62.671999999999997</v>
      </c>
      <c r="AI2334" s="11">
        <v>62.595999999999997</v>
      </c>
      <c r="AJ2334" s="11">
        <v>62.512</v>
      </c>
      <c r="AK2334" s="11">
        <v>62.442999999999998</v>
      </c>
      <c r="AL2334" s="11"/>
    </row>
    <row r="2335" spans="1:38" x14ac:dyDescent="0.3">
      <c r="A2335" s="9">
        <f>DATE(2026, 1, 14)</f>
        <v>46036</v>
      </c>
      <c r="B2335" s="10">
        <v>66.52</v>
      </c>
      <c r="C2335" s="10">
        <v>65.83</v>
      </c>
      <c r="D2335" s="10">
        <v>65.36</v>
      </c>
      <c r="E2335" s="10">
        <v>65.03</v>
      </c>
      <c r="F2335" s="10">
        <v>64.760000000000005</v>
      </c>
      <c r="G2335" s="10">
        <v>64.53</v>
      </c>
      <c r="H2335" s="10">
        <v>64.319999999999993</v>
      </c>
      <c r="I2335" s="10">
        <v>64.16</v>
      </c>
      <c r="J2335" s="10">
        <v>64.03</v>
      </c>
      <c r="K2335" s="10">
        <v>63.92</v>
      </c>
      <c r="L2335" s="10">
        <v>63.82</v>
      </c>
      <c r="M2335" s="10">
        <v>63.75</v>
      </c>
      <c r="N2335" s="10">
        <v>62.02</v>
      </c>
      <c r="O2335" s="10">
        <v>61.88</v>
      </c>
      <c r="P2335" s="10">
        <v>61.63</v>
      </c>
      <c r="Q2335" s="10">
        <v>61.4</v>
      </c>
      <c r="R2335" s="10">
        <v>61.19</v>
      </c>
      <c r="S2335" s="10">
        <v>61.02</v>
      </c>
      <c r="T2335" s="10">
        <v>60.85</v>
      </c>
      <c r="U2335" s="10">
        <v>60.66</v>
      </c>
      <c r="V2335" s="10">
        <v>60.45</v>
      </c>
      <c r="W2335" s="10">
        <v>60.28</v>
      </c>
      <c r="X2335" s="10">
        <v>60.14</v>
      </c>
      <c r="Y2335" s="10">
        <v>60</v>
      </c>
      <c r="Z2335" s="11">
        <v>62.689</v>
      </c>
      <c r="AA2335" s="11">
        <v>64.997</v>
      </c>
      <c r="AB2335" s="11">
        <v>64.807000000000002</v>
      </c>
      <c r="AC2335" s="11">
        <v>64.558000000000007</v>
      </c>
      <c r="AD2335" s="11">
        <v>64.308999999999997</v>
      </c>
      <c r="AE2335" s="11">
        <v>64.090999999999994</v>
      </c>
      <c r="AF2335" s="11">
        <v>63.911999999999999</v>
      </c>
      <c r="AG2335" s="11">
        <v>63.768000000000001</v>
      </c>
      <c r="AH2335" s="11">
        <v>63.668999999999997</v>
      </c>
      <c r="AI2335" s="11">
        <v>63.57</v>
      </c>
      <c r="AJ2335" s="11">
        <v>63.475000000000001</v>
      </c>
      <c r="AK2335" s="11">
        <v>63.381999999999998</v>
      </c>
      <c r="AL2335" s="11"/>
    </row>
    <row r="2336" spans="1:38" x14ac:dyDescent="0.3">
      <c r="A2336" s="9">
        <f>DATE(2026, 1, 15)</f>
        <v>46037</v>
      </c>
      <c r="B2336" s="10">
        <v>63.76</v>
      </c>
      <c r="C2336" s="10">
        <v>63.08</v>
      </c>
      <c r="D2336" s="10">
        <v>62.7</v>
      </c>
      <c r="E2336" s="10">
        <v>62.47</v>
      </c>
      <c r="F2336" s="10">
        <v>62.3</v>
      </c>
      <c r="G2336" s="10">
        <v>62.17</v>
      </c>
      <c r="H2336" s="10">
        <v>62.05</v>
      </c>
      <c r="I2336" s="10">
        <v>61.96</v>
      </c>
      <c r="J2336" s="10">
        <v>61.9</v>
      </c>
      <c r="K2336" s="10">
        <v>61.87</v>
      </c>
      <c r="L2336" s="10">
        <v>61.83</v>
      </c>
      <c r="M2336" s="10">
        <v>61.82</v>
      </c>
      <c r="N2336" s="10">
        <v>59.19</v>
      </c>
      <c r="O2336" s="10">
        <v>59.08</v>
      </c>
      <c r="P2336" s="10">
        <v>58.92</v>
      </c>
      <c r="Q2336" s="10">
        <v>58.78</v>
      </c>
      <c r="R2336" s="10">
        <v>58.67</v>
      </c>
      <c r="S2336" s="10">
        <v>58.6</v>
      </c>
      <c r="T2336" s="10">
        <v>58.51</v>
      </c>
      <c r="U2336" s="10">
        <v>58.4</v>
      </c>
      <c r="V2336" s="10">
        <v>58.29</v>
      </c>
      <c r="W2336" s="10">
        <v>58.22</v>
      </c>
      <c r="X2336" s="10">
        <v>58.16</v>
      </c>
      <c r="Y2336" s="10">
        <v>58.1</v>
      </c>
      <c r="Z2336" s="11">
        <v>61.418999999999997</v>
      </c>
      <c r="AA2336" s="11">
        <v>62.640999999999998</v>
      </c>
      <c r="AB2336" s="11">
        <v>62.302</v>
      </c>
      <c r="AC2336" s="11">
        <v>62.101999999999997</v>
      </c>
      <c r="AD2336" s="11">
        <v>61.920999999999999</v>
      </c>
      <c r="AE2336" s="11">
        <v>61.79</v>
      </c>
      <c r="AF2336" s="11">
        <v>61.701999999999998</v>
      </c>
      <c r="AG2336" s="11">
        <v>61.633000000000003</v>
      </c>
      <c r="AH2336" s="11">
        <v>61.584000000000003</v>
      </c>
      <c r="AI2336" s="11">
        <v>61.563000000000002</v>
      </c>
      <c r="AJ2336" s="11">
        <v>61.52</v>
      </c>
      <c r="AK2336" s="11">
        <v>61.493000000000002</v>
      </c>
      <c r="AL2336" s="11"/>
    </row>
    <row r="2337" spans="1:38" x14ac:dyDescent="0.3">
      <c r="A2337" s="9">
        <f>DATE(2026, 1, 16)</f>
        <v>46038</v>
      </c>
      <c r="B2337" s="10">
        <v>64.13</v>
      </c>
      <c r="C2337" s="10">
        <v>63.46</v>
      </c>
      <c r="D2337" s="10">
        <v>63.05</v>
      </c>
      <c r="E2337" s="10">
        <v>62.8</v>
      </c>
      <c r="F2337" s="10">
        <v>62.6</v>
      </c>
      <c r="G2337" s="10">
        <v>62.44</v>
      </c>
      <c r="H2337" s="10">
        <v>62.31</v>
      </c>
      <c r="I2337" s="10">
        <v>62.21</v>
      </c>
      <c r="J2337" s="10">
        <v>62.14</v>
      </c>
      <c r="K2337" s="10">
        <v>62.1</v>
      </c>
      <c r="L2337" s="10">
        <v>62.05</v>
      </c>
      <c r="M2337" s="10">
        <v>62.03</v>
      </c>
      <c r="N2337" s="10">
        <v>59.44</v>
      </c>
      <c r="O2337" s="10">
        <v>59.34</v>
      </c>
      <c r="P2337" s="10">
        <v>59.2</v>
      </c>
      <c r="Q2337" s="10">
        <v>59.06</v>
      </c>
      <c r="R2337" s="10">
        <v>58.94</v>
      </c>
      <c r="S2337" s="10">
        <v>58.85</v>
      </c>
      <c r="T2337" s="10">
        <v>58.75</v>
      </c>
      <c r="U2337" s="10">
        <v>58.64</v>
      </c>
      <c r="V2337" s="10">
        <v>58.51</v>
      </c>
      <c r="W2337" s="10">
        <v>58.44</v>
      </c>
      <c r="X2337" s="10">
        <v>58.37</v>
      </c>
      <c r="Y2337" s="10">
        <v>58.32</v>
      </c>
      <c r="Z2337" s="11">
        <v>61.665999999999997</v>
      </c>
      <c r="AA2337" s="11">
        <v>63.27</v>
      </c>
      <c r="AB2337" s="11">
        <v>62.819000000000003</v>
      </c>
      <c r="AC2337" s="11">
        <v>62.567999999999998</v>
      </c>
      <c r="AD2337" s="11">
        <v>62.362000000000002</v>
      </c>
      <c r="AE2337" s="11">
        <v>62.201000000000001</v>
      </c>
      <c r="AF2337" s="11">
        <v>62.08</v>
      </c>
      <c r="AG2337" s="11">
        <v>61.999000000000002</v>
      </c>
      <c r="AH2337" s="11">
        <v>61.957999999999998</v>
      </c>
      <c r="AI2337" s="11">
        <v>61.927</v>
      </c>
      <c r="AJ2337" s="11">
        <v>61.872999999999998</v>
      </c>
      <c r="AK2337" s="11">
        <v>61.835999999999999</v>
      </c>
      <c r="AL2337" s="11"/>
    </row>
    <row r="2338" spans="1:38" x14ac:dyDescent="0.3">
      <c r="A2338" s="9">
        <f>DATE(2026, 1, 19)</f>
        <v>46041</v>
      </c>
      <c r="B2338" s="10">
        <v>63.94</v>
      </c>
      <c r="C2338" s="10">
        <v>63.22</v>
      </c>
      <c r="D2338" s="10">
        <v>62.81</v>
      </c>
      <c r="E2338" s="10">
        <v>62.54</v>
      </c>
      <c r="F2338" s="10">
        <v>62.34</v>
      </c>
      <c r="G2338" s="10">
        <v>62.18</v>
      </c>
      <c r="H2338" s="10">
        <v>62.05</v>
      </c>
      <c r="I2338" s="10">
        <v>61.95</v>
      </c>
      <c r="J2338" s="10">
        <v>61.88</v>
      </c>
      <c r="K2338" s="10">
        <v>61.84</v>
      </c>
      <c r="L2338" s="10">
        <v>61.8</v>
      </c>
      <c r="M2338" s="10">
        <v>61.78</v>
      </c>
      <c r="N2338" s="10">
        <v>59.44</v>
      </c>
      <c r="O2338" s="10">
        <v>59.34</v>
      </c>
      <c r="P2338" s="10">
        <v>59.2</v>
      </c>
      <c r="Q2338" s="10">
        <v>59.06</v>
      </c>
      <c r="R2338" s="10">
        <v>58.94</v>
      </c>
      <c r="S2338" s="10">
        <v>58.85</v>
      </c>
      <c r="T2338" s="10">
        <v>58.75</v>
      </c>
      <c r="U2338" s="10">
        <v>58.64</v>
      </c>
      <c r="V2338" s="10">
        <v>58.51</v>
      </c>
      <c r="W2338" s="10">
        <v>58.44</v>
      </c>
      <c r="X2338" s="10">
        <v>58.37</v>
      </c>
      <c r="Y2338" s="10">
        <v>58.32</v>
      </c>
      <c r="Z2338" s="11">
        <v>61.44</v>
      </c>
      <c r="AA2338" s="11">
        <v>62.75</v>
      </c>
      <c r="AB2338" s="11">
        <v>62.37</v>
      </c>
      <c r="AC2338" s="11">
        <v>62.14</v>
      </c>
      <c r="AD2338" s="11">
        <v>61.962000000000003</v>
      </c>
      <c r="AE2338" s="11">
        <v>61.834000000000003</v>
      </c>
      <c r="AF2338" s="11">
        <v>61.725999999999999</v>
      </c>
      <c r="AG2338" s="11">
        <v>61.662999999999997</v>
      </c>
      <c r="AH2338" s="11">
        <v>61.628</v>
      </c>
      <c r="AI2338" s="11">
        <v>61.597999999999999</v>
      </c>
      <c r="AJ2338" s="11">
        <v>61.569000000000003</v>
      </c>
      <c r="AK2338" s="11">
        <v>61.533000000000001</v>
      </c>
      <c r="AL2338" s="11"/>
    </row>
    <row r="2339" spans="1:38" x14ac:dyDescent="0.3">
      <c r="A2339" s="9">
        <f>DATE(2026, 1, 20)</f>
        <v>46042</v>
      </c>
      <c r="B2339" s="10">
        <v>64.92</v>
      </c>
      <c r="C2339" s="10">
        <v>64.19</v>
      </c>
      <c r="D2339" s="10">
        <v>63.76</v>
      </c>
      <c r="E2339" s="10">
        <v>63.48</v>
      </c>
      <c r="F2339" s="10">
        <v>63.27</v>
      </c>
      <c r="G2339" s="10">
        <v>63.1</v>
      </c>
      <c r="H2339" s="10">
        <v>62.96</v>
      </c>
      <c r="I2339" s="10">
        <v>62.86</v>
      </c>
      <c r="J2339" s="10">
        <v>62.79</v>
      </c>
      <c r="K2339" s="10">
        <v>62.74</v>
      </c>
      <c r="L2339" s="10">
        <v>62.69</v>
      </c>
      <c r="M2339" s="10">
        <v>62.66</v>
      </c>
      <c r="N2339" s="10">
        <v>60.34</v>
      </c>
      <c r="O2339" s="10">
        <v>60.36</v>
      </c>
      <c r="P2339" s="10">
        <v>60.09</v>
      </c>
      <c r="Q2339" s="10">
        <v>59.86</v>
      </c>
      <c r="R2339" s="10">
        <v>59.7</v>
      </c>
      <c r="S2339" s="10">
        <v>59.57</v>
      </c>
      <c r="T2339" s="10">
        <v>59.46</v>
      </c>
      <c r="U2339" s="10">
        <v>59.33</v>
      </c>
      <c r="V2339" s="10">
        <v>59.19</v>
      </c>
      <c r="W2339" s="10">
        <v>59.1</v>
      </c>
      <c r="X2339" s="10">
        <v>59.03</v>
      </c>
      <c r="Y2339" s="10">
        <v>58.97</v>
      </c>
      <c r="Z2339" s="11">
        <v>61.762</v>
      </c>
      <c r="AA2339" s="11">
        <v>63.783999999999999</v>
      </c>
      <c r="AB2339" s="11">
        <v>63.341000000000001</v>
      </c>
      <c r="AC2339" s="11">
        <v>63.12</v>
      </c>
      <c r="AD2339" s="11">
        <v>62.939</v>
      </c>
      <c r="AE2339" s="11">
        <v>62.804000000000002</v>
      </c>
      <c r="AF2339" s="11">
        <v>62.698999999999998</v>
      </c>
      <c r="AG2339" s="11">
        <v>62.643000000000001</v>
      </c>
      <c r="AH2339" s="11">
        <v>62.607999999999997</v>
      </c>
      <c r="AI2339" s="11">
        <v>62.567999999999998</v>
      </c>
      <c r="AJ2339" s="11">
        <v>62.529000000000003</v>
      </c>
      <c r="AK2339" s="11">
        <v>62.481999999999999</v>
      </c>
      <c r="AL2339" s="11"/>
    </row>
    <row r="2340" spans="1:38" x14ac:dyDescent="0.3">
      <c r="A2340" s="9">
        <f>DATE(2026, 1, 21)</f>
        <v>46043</v>
      </c>
      <c r="B2340" s="10">
        <v>65.239999999999995</v>
      </c>
      <c r="C2340" s="10">
        <v>64.53</v>
      </c>
      <c r="D2340" s="10">
        <v>64.13</v>
      </c>
      <c r="E2340" s="10">
        <v>63.88</v>
      </c>
      <c r="F2340" s="10">
        <v>63.69</v>
      </c>
      <c r="G2340" s="10">
        <v>63.54</v>
      </c>
      <c r="H2340" s="10">
        <v>63.41</v>
      </c>
      <c r="I2340" s="10">
        <v>63.31</v>
      </c>
      <c r="J2340" s="10">
        <v>63.23</v>
      </c>
      <c r="K2340" s="10">
        <v>63.17</v>
      </c>
      <c r="L2340" s="10">
        <v>63.12</v>
      </c>
      <c r="M2340" s="10">
        <v>63.1</v>
      </c>
      <c r="N2340" s="10">
        <v>60.62</v>
      </c>
      <c r="O2340" s="10">
        <v>60.39</v>
      </c>
      <c r="P2340" s="10">
        <v>60.21</v>
      </c>
      <c r="Q2340" s="10">
        <v>60.08</v>
      </c>
      <c r="R2340" s="10">
        <v>59.98</v>
      </c>
      <c r="S2340" s="10">
        <v>59.86</v>
      </c>
      <c r="T2340" s="10">
        <v>59.73</v>
      </c>
      <c r="U2340" s="10">
        <v>59.59</v>
      </c>
      <c r="V2340" s="10">
        <v>59.5</v>
      </c>
      <c r="W2340" s="10">
        <v>59.43</v>
      </c>
      <c r="X2340" s="10">
        <v>59.36</v>
      </c>
      <c r="Y2340" s="10">
        <v>59.33</v>
      </c>
      <c r="Z2340" s="11">
        <v>61.811999999999998</v>
      </c>
      <c r="AA2340" s="11">
        <v>64.14</v>
      </c>
      <c r="AB2340" s="11">
        <v>63.749000000000002</v>
      </c>
      <c r="AC2340" s="11">
        <v>63.542000000000002</v>
      </c>
      <c r="AD2340" s="11">
        <v>63.383000000000003</v>
      </c>
      <c r="AE2340" s="11">
        <v>63.268999999999998</v>
      </c>
      <c r="AF2340" s="11">
        <v>63.176000000000002</v>
      </c>
      <c r="AG2340" s="11">
        <v>63.113</v>
      </c>
      <c r="AH2340" s="11">
        <v>63.067</v>
      </c>
      <c r="AI2340" s="11">
        <v>63.009</v>
      </c>
      <c r="AJ2340" s="11">
        <v>62.968000000000004</v>
      </c>
      <c r="AK2340" s="11">
        <v>62.930999999999997</v>
      </c>
      <c r="AL2340" s="11"/>
    </row>
    <row r="2341" spans="1:38" x14ac:dyDescent="0.3">
      <c r="A2341" s="9">
        <f>DATE(2026, 1, 22)</f>
        <v>46044</v>
      </c>
      <c r="B2341" s="10">
        <v>64.06</v>
      </c>
      <c r="C2341" s="10">
        <v>63.34</v>
      </c>
      <c r="D2341" s="10">
        <v>62.97</v>
      </c>
      <c r="E2341" s="10">
        <v>62.76</v>
      </c>
      <c r="F2341" s="10">
        <v>62.61</v>
      </c>
      <c r="G2341" s="10">
        <v>62.5</v>
      </c>
      <c r="H2341" s="10">
        <v>62.41</v>
      </c>
      <c r="I2341" s="10">
        <v>62.33</v>
      </c>
      <c r="J2341" s="10">
        <v>62.29</v>
      </c>
      <c r="K2341" s="10">
        <v>62.26</v>
      </c>
      <c r="L2341" s="10">
        <v>62.24</v>
      </c>
      <c r="M2341" s="10">
        <v>62.25</v>
      </c>
      <c r="N2341" s="10">
        <v>59.36</v>
      </c>
      <c r="O2341" s="10">
        <v>59.17</v>
      </c>
      <c r="P2341" s="10">
        <v>59.04</v>
      </c>
      <c r="Q2341" s="10">
        <v>58.96</v>
      </c>
      <c r="R2341" s="10">
        <v>58.9</v>
      </c>
      <c r="S2341" s="10">
        <v>58.84</v>
      </c>
      <c r="T2341" s="10">
        <v>58.75</v>
      </c>
      <c r="U2341" s="10">
        <v>58.65</v>
      </c>
      <c r="V2341" s="10">
        <v>58.6</v>
      </c>
      <c r="W2341" s="10">
        <v>58.57</v>
      </c>
      <c r="X2341" s="10">
        <v>58.55</v>
      </c>
      <c r="Y2341" s="10">
        <v>58.56</v>
      </c>
      <c r="Z2341" s="11">
        <v>61.274999999999999</v>
      </c>
      <c r="AA2341" s="11">
        <v>62.5</v>
      </c>
      <c r="AB2341" s="11">
        <v>62.33</v>
      </c>
      <c r="AC2341" s="11">
        <v>62.268999999999998</v>
      </c>
      <c r="AD2341" s="11">
        <v>62.207999999999998</v>
      </c>
      <c r="AE2341" s="11">
        <v>62.156999999999996</v>
      </c>
      <c r="AF2341" s="11">
        <v>62.116999999999997</v>
      </c>
      <c r="AG2341" s="11">
        <v>62.098999999999997</v>
      </c>
      <c r="AH2341" s="11">
        <v>62.087000000000003</v>
      </c>
      <c r="AI2341" s="11">
        <v>62.063000000000002</v>
      </c>
      <c r="AJ2341" s="11">
        <v>62.052</v>
      </c>
      <c r="AK2341" s="11">
        <v>62.069000000000003</v>
      </c>
      <c r="AL2341" s="11"/>
    </row>
    <row r="2342" spans="1:38" x14ac:dyDescent="0.3">
      <c r="A2342" s="9">
        <f>DATE(2026, 1, 23)</f>
        <v>46045</v>
      </c>
      <c r="B2342" s="10">
        <v>65.88</v>
      </c>
      <c r="C2342" s="10">
        <v>65.069999999999993</v>
      </c>
      <c r="D2342" s="10">
        <v>64.56</v>
      </c>
      <c r="E2342" s="10">
        <v>64.239999999999995</v>
      </c>
      <c r="F2342" s="10">
        <v>64</v>
      </c>
      <c r="G2342" s="10">
        <v>63.81</v>
      </c>
      <c r="H2342" s="10">
        <v>63.65</v>
      </c>
      <c r="I2342" s="10">
        <v>63.52</v>
      </c>
      <c r="J2342" s="10">
        <v>63.42</v>
      </c>
      <c r="K2342" s="10">
        <v>63.35</v>
      </c>
      <c r="L2342" s="10">
        <v>63.29</v>
      </c>
      <c r="M2342" s="10">
        <v>63.26</v>
      </c>
      <c r="N2342" s="10">
        <v>61.07</v>
      </c>
      <c r="O2342" s="10">
        <v>60.79</v>
      </c>
      <c r="P2342" s="10">
        <v>60.56</v>
      </c>
      <c r="Q2342" s="10">
        <v>60.38</v>
      </c>
      <c r="R2342" s="10">
        <v>60.26</v>
      </c>
      <c r="S2342" s="10">
        <v>60.13</v>
      </c>
      <c r="T2342" s="10">
        <v>59.98</v>
      </c>
      <c r="U2342" s="10">
        <v>59.83</v>
      </c>
      <c r="V2342" s="10">
        <v>59.73</v>
      </c>
      <c r="W2342" s="10">
        <v>59.62</v>
      </c>
      <c r="X2342" s="10">
        <v>59.54</v>
      </c>
      <c r="Y2342" s="10">
        <v>59.5</v>
      </c>
      <c r="Z2342" s="11">
        <v>61.685000000000002</v>
      </c>
      <c r="AA2342" s="11">
        <v>64.055999999999997</v>
      </c>
      <c r="AB2342" s="11">
        <v>63.847000000000001</v>
      </c>
      <c r="AC2342" s="11">
        <v>63.722000000000001</v>
      </c>
      <c r="AD2342" s="11">
        <v>63.591000000000001</v>
      </c>
      <c r="AE2342" s="11">
        <v>63.462000000000003</v>
      </c>
      <c r="AF2342" s="11">
        <v>63.344000000000001</v>
      </c>
      <c r="AG2342" s="11">
        <v>63.27</v>
      </c>
      <c r="AH2342" s="11">
        <v>63.215000000000003</v>
      </c>
      <c r="AI2342" s="11">
        <v>63.149000000000001</v>
      </c>
      <c r="AJ2342" s="11">
        <v>63.098999999999997</v>
      </c>
      <c r="AK2342" s="11">
        <v>63.076999999999998</v>
      </c>
      <c r="AL2342" s="11"/>
    </row>
    <row r="2343" spans="1:38" x14ac:dyDescent="0.3">
      <c r="A2343" s="9">
        <f>DATE(2026, 1, 26)</f>
        <v>46048</v>
      </c>
      <c r="B2343" s="10">
        <v>65.59</v>
      </c>
      <c r="C2343" s="10">
        <v>64.77</v>
      </c>
      <c r="D2343" s="10">
        <v>64.31</v>
      </c>
      <c r="E2343" s="10">
        <v>64.040000000000006</v>
      </c>
      <c r="F2343" s="10">
        <v>63.85</v>
      </c>
      <c r="G2343" s="10">
        <v>63.69</v>
      </c>
      <c r="H2343" s="10">
        <v>63.56</v>
      </c>
      <c r="I2343" s="10">
        <v>63.45</v>
      </c>
      <c r="J2343" s="10">
        <v>63.37</v>
      </c>
      <c r="K2343" s="10">
        <v>63.32</v>
      </c>
      <c r="L2343" s="10">
        <v>63.28</v>
      </c>
      <c r="M2343" s="10">
        <v>63.27</v>
      </c>
      <c r="N2343" s="10">
        <v>60.63</v>
      </c>
      <c r="O2343" s="10">
        <v>60.42</v>
      </c>
      <c r="P2343" s="10">
        <v>60.26</v>
      </c>
      <c r="Q2343" s="10">
        <v>60.16</v>
      </c>
      <c r="R2343" s="10">
        <v>60.08</v>
      </c>
      <c r="S2343" s="10">
        <v>59.98</v>
      </c>
      <c r="T2343" s="10">
        <v>59.86</v>
      </c>
      <c r="U2343" s="10">
        <v>59.73</v>
      </c>
      <c r="V2343" s="10">
        <v>59.65</v>
      </c>
      <c r="W2343" s="10">
        <v>59.58</v>
      </c>
      <c r="X2343" s="10">
        <v>59.52</v>
      </c>
      <c r="Y2343" s="10">
        <v>59.5</v>
      </c>
      <c r="Z2343" s="11">
        <v>61.567999999999998</v>
      </c>
      <c r="AA2343" s="11">
        <v>63.384999999999998</v>
      </c>
      <c r="AB2343" s="11">
        <v>63.411999999999999</v>
      </c>
      <c r="AC2343" s="11">
        <v>63.360999999999997</v>
      </c>
      <c r="AD2343" s="11">
        <v>63.290999999999997</v>
      </c>
      <c r="AE2343" s="11">
        <v>63.212000000000003</v>
      </c>
      <c r="AF2343" s="11">
        <v>63.145000000000003</v>
      </c>
      <c r="AG2343" s="11">
        <v>63.112000000000002</v>
      </c>
      <c r="AH2343" s="11">
        <v>63.088000000000001</v>
      </c>
      <c r="AI2343" s="11">
        <v>63.048999999999999</v>
      </c>
      <c r="AJ2343" s="11">
        <v>63.021000000000001</v>
      </c>
      <c r="AK2343" s="11">
        <v>63.02</v>
      </c>
      <c r="AL2343" s="11"/>
    </row>
    <row r="2344" spans="1:38" x14ac:dyDescent="0.3">
      <c r="A2344" s="9">
        <f>DATE(2026, 1, 27)</f>
        <v>46049</v>
      </c>
      <c r="B2344" s="10">
        <v>67.569999999999993</v>
      </c>
      <c r="C2344" s="10">
        <v>66.59</v>
      </c>
      <c r="D2344" s="10">
        <v>65.959999999999994</v>
      </c>
      <c r="E2344" s="10">
        <v>65.55</v>
      </c>
      <c r="F2344" s="10">
        <v>65.239999999999995</v>
      </c>
      <c r="G2344" s="10">
        <v>64.989999999999995</v>
      </c>
      <c r="H2344" s="10">
        <v>64.77</v>
      </c>
      <c r="I2344" s="10">
        <v>64.58</v>
      </c>
      <c r="J2344" s="10">
        <v>64.430000000000007</v>
      </c>
      <c r="K2344" s="10">
        <v>64.31</v>
      </c>
      <c r="L2344" s="10">
        <v>64.2</v>
      </c>
      <c r="M2344" s="10">
        <v>64.12</v>
      </c>
      <c r="N2344" s="10">
        <v>62.39</v>
      </c>
      <c r="O2344" s="10">
        <v>62.1</v>
      </c>
      <c r="P2344" s="10">
        <v>61.84</v>
      </c>
      <c r="Q2344" s="10">
        <v>61.6</v>
      </c>
      <c r="R2344" s="10">
        <v>61.4</v>
      </c>
      <c r="S2344" s="10">
        <v>61.21</v>
      </c>
      <c r="T2344" s="10">
        <v>61.01</v>
      </c>
      <c r="U2344" s="10">
        <v>60.8</v>
      </c>
      <c r="V2344" s="10">
        <v>60.64</v>
      </c>
      <c r="W2344" s="10">
        <v>60.5</v>
      </c>
      <c r="X2344" s="10">
        <v>60.37</v>
      </c>
      <c r="Y2344" s="10">
        <v>60.28</v>
      </c>
      <c r="Z2344" s="11">
        <v>61.837000000000003</v>
      </c>
      <c r="AA2344" s="11">
        <v>65.177999999999997</v>
      </c>
      <c r="AB2344" s="11">
        <v>65.087000000000003</v>
      </c>
      <c r="AC2344" s="11">
        <v>64.938000000000002</v>
      </c>
      <c r="AD2344" s="11">
        <v>64.753</v>
      </c>
      <c r="AE2344" s="11">
        <v>64.573999999999998</v>
      </c>
      <c r="AF2344" s="11">
        <v>64.417000000000002</v>
      </c>
      <c r="AG2344" s="11">
        <v>64.298000000000002</v>
      </c>
      <c r="AH2344" s="11">
        <v>64.177999999999997</v>
      </c>
      <c r="AI2344" s="11">
        <v>64.075999999999993</v>
      </c>
      <c r="AJ2344" s="11">
        <v>63.976999999999997</v>
      </c>
      <c r="AK2344" s="11">
        <v>63.902999999999999</v>
      </c>
      <c r="AL2344" s="11"/>
    </row>
    <row r="2345" spans="1:38" x14ac:dyDescent="0.3">
      <c r="A2345" s="9">
        <f>DATE(2026, 1, 28)</f>
        <v>46050</v>
      </c>
      <c r="B2345" s="10">
        <v>68.400000000000006</v>
      </c>
      <c r="C2345" s="10">
        <v>67.37</v>
      </c>
      <c r="D2345" s="10">
        <v>66.739999999999995</v>
      </c>
      <c r="E2345" s="10">
        <v>66.28</v>
      </c>
      <c r="F2345" s="10">
        <v>65.91</v>
      </c>
      <c r="G2345" s="10">
        <v>65.599999999999994</v>
      </c>
      <c r="H2345" s="10">
        <v>65.33</v>
      </c>
      <c r="I2345" s="10">
        <v>65.09</v>
      </c>
      <c r="J2345" s="10">
        <v>64.89</v>
      </c>
      <c r="K2345" s="10">
        <v>64.73</v>
      </c>
      <c r="L2345" s="10">
        <v>64.58</v>
      </c>
      <c r="M2345" s="10">
        <v>64.47</v>
      </c>
      <c r="N2345" s="10">
        <v>63.21</v>
      </c>
      <c r="O2345" s="10">
        <v>62.91</v>
      </c>
      <c r="P2345" s="10">
        <v>62.59</v>
      </c>
      <c r="Q2345" s="10">
        <v>62.29</v>
      </c>
      <c r="R2345" s="10">
        <v>62.02</v>
      </c>
      <c r="S2345" s="10">
        <v>61.76</v>
      </c>
      <c r="T2345" s="10">
        <v>61.5</v>
      </c>
      <c r="U2345" s="10">
        <v>61.24</v>
      </c>
      <c r="V2345" s="10">
        <v>61.03</v>
      </c>
      <c r="W2345" s="10">
        <v>60.85</v>
      </c>
      <c r="X2345" s="10">
        <v>60.69</v>
      </c>
      <c r="Y2345" s="10">
        <v>60.58</v>
      </c>
      <c r="Z2345" s="11">
        <v>61.881999999999998</v>
      </c>
      <c r="AA2345" s="11">
        <v>65.789000000000001</v>
      </c>
      <c r="AB2345" s="11">
        <v>65.769000000000005</v>
      </c>
      <c r="AC2345" s="11">
        <v>65.63</v>
      </c>
      <c r="AD2345" s="11">
        <v>65.441000000000003</v>
      </c>
      <c r="AE2345" s="11">
        <v>65.221999999999994</v>
      </c>
      <c r="AF2345" s="11">
        <v>65.013000000000005</v>
      </c>
      <c r="AG2345" s="11">
        <v>64.834000000000003</v>
      </c>
      <c r="AH2345" s="11">
        <v>64.676000000000002</v>
      </c>
      <c r="AI2345" s="11">
        <v>64.527000000000001</v>
      </c>
      <c r="AJ2345" s="11">
        <v>64.39</v>
      </c>
      <c r="AK2345" s="11">
        <v>64.241</v>
      </c>
      <c r="AL2345" s="11"/>
    </row>
    <row r="2346" spans="1:38" x14ac:dyDescent="0.3">
      <c r="A2346" s="9">
        <f>DATE(2026, 1, 29)</f>
        <v>46051</v>
      </c>
      <c r="B2346" s="10">
        <v>70.709999999999994</v>
      </c>
      <c r="C2346" s="10">
        <v>69.59</v>
      </c>
      <c r="D2346" s="10">
        <v>68.88</v>
      </c>
      <c r="E2346" s="10">
        <v>68.3</v>
      </c>
      <c r="F2346" s="10">
        <v>67.8</v>
      </c>
      <c r="G2346" s="10">
        <v>67.37</v>
      </c>
      <c r="H2346" s="10">
        <v>66.98</v>
      </c>
      <c r="I2346" s="10">
        <v>66.64</v>
      </c>
      <c r="J2346" s="10">
        <v>66.349999999999994</v>
      </c>
      <c r="K2346" s="10">
        <v>66.099999999999994</v>
      </c>
      <c r="L2346" s="10">
        <v>65.88</v>
      </c>
      <c r="M2346" s="10">
        <v>65.709999999999994</v>
      </c>
      <c r="N2346" s="10">
        <v>65.42</v>
      </c>
      <c r="O2346" s="10">
        <v>65.010000000000005</v>
      </c>
      <c r="P2346" s="10">
        <v>64.599999999999994</v>
      </c>
      <c r="Q2346" s="10">
        <v>64.180000000000007</v>
      </c>
      <c r="R2346" s="10">
        <v>63.78</v>
      </c>
      <c r="S2346" s="10">
        <v>63.39</v>
      </c>
      <c r="T2346" s="10">
        <v>63.02</v>
      </c>
      <c r="U2346" s="10">
        <v>62.66</v>
      </c>
      <c r="V2346" s="10">
        <v>62.37</v>
      </c>
      <c r="W2346" s="10">
        <v>62.1</v>
      </c>
      <c r="X2346" s="10">
        <v>61.87</v>
      </c>
      <c r="Y2346" s="10">
        <v>61.69</v>
      </c>
      <c r="Z2346" s="11">
        <v>62.034999999999997</v>
      </c>
      <c r="AA2346" s="11">
        <v>68.194999999999993</v>
      </c>
      <c r="AB2346" s="11">
        <v>68.028999999999996</v>
      </c>
      <c r="AC2346" s="11">
        <v>67.751000000000005</v>
      </c>
      <c r="AD2346" s="11">
        <v>67.396000000000001</v>
      </c>
      <c r="AE2346" s="11">
        <v>67.028999999999996</v>
      </c>
      <c r="AF2346" s="11">
        <v>66.69</v>
      </c>
      <c r="AG2346" s="11">
        <v>66.402000000000001</v>
      </c>
      <c r="AH2346" s="11">
        <v>66.153999999999996</v>
      </c>
      <c r="AI2346" s="11">
        <v>65.921000000000006</v>
      </c>
      <c r="AJ2346" s="11">
        <v>65.707999999999998</v>
      </c>
      <c r="AK2346" s="11">
        <v>65.495999999999995</v>
      </c>
      <c r="AL2346" s="11"/>
    </row>
    <row r="2347" spans="1:38" x14ac:dyDescent="0.3">
      <c r="A2347" s="9">
        <f>DATE(2026, 1, 30)</f>
        <v>46052</v>
      </c>
      <c r="B2347" s="10">
        <v>70.69</v>
      </c>
      <c r="C2347" s="10">
        <v>69.319999999999993</v>
      </c>
      <c r="D2347" s="10">
        <v>68.61</v>
      </c>
      <c r="E2347" s="10">
        <v>68.040000000000006</v>
      </c>
      <c r="F2347" s="10">
        <v>67.58</v>
      </c>
      <c r="G2347" s="10">
        <v>67.180000000000007</v>
      </c>
      <c r="H2347" s="10">
        <v>66.819999999999993</v>
      </c>
      <c r="I2347" s="10">
        <v>66.510000000000005</v>
      </c>
      <c r="J2347" s="10">
        <v>66.239999999999995</v>
      </c>
      <c r="K2347" s="10">
        <v>66.02</v>
      </c>
      <c r="L2347" s="10">
        <v>65.81</v>
      </c>
      <c r="M2347" s="10">
        <v>65.66</v>
      </c>
      <c r="N2347" s="10">
        <v>65.209999999999994</v>
      </c>
      <c r="O2347" s="10">
        <v>64.739999999999995</v>
      </c>
      <c r="P2347" s="10">
        <v>64.319999999999993</v>
      </c>
      <c r="Q2347" s="10">
        <v>63.93</v>
      </c>
      <c r="R2347" s="10">
        <v>63.55</v>
      </c>
      <c r="S2347" s="10">
        <v>63.2</v>
      </c>
      <c r="T2347" s="10">
        <v>62.85</v>
      </c>
      <c r="U2347" s="10">
        <v>62.51</v>
      </c>
      <c r="V2347" s="10">
        <v>62.24</v>
      </c>
      <c r="W2347" s="10">
        <v>62.01</v>
      </c>
      <c r="X2347" s="10">
        <v>61.8</v>
      </c>
      <c r="Y2347" s="10">
        <v>61.65</v>
      </c>
      <c r="Z2347" s="11">
        <v>61.969000000000001</v>
      </c>
      <c r="AA2347" s="11">
        <v>67.956999999999994</v>
      </c>
      <c r="AB2347" s="11">
        <v>67.756</v>
      </c>
      <c r="AC2347" s="11">
        <v>67.48</v>
      </c>
      <c r="AD2347" s="11">
        <v>67.165000000000006</v>
      </c>
      <c r="AE2347" s="11">
        <v>66.828999999999994</v>
      </c>
      <c r="AF2347" s="11">
        <v>66.525000000000006</v>
      </c>
      <c r="AG2347" s="11">
        <v>66.254000000000005</v>
      </c>
      <c r="AH2347" s="11">
        <v>66.010000000000005</v>
      </c>
      <c r="AI2347" s="11">
        <v>65.83</v>
      </c>
      <c r="AJ2347" s="11">
        <v>65.623000000000005</v>
      </c>
      <c r="AK2347" s="11">
        <v>65.471999999999994</v>
      </c>
      <c r="AL2347" s="11"/>
    </row>
    <row r="2348" spans="1:38" x14ac:dyDescent="0.3">
      <c r="A2348" s="9">
        <f>DATE(2026, 2, 2)</f>
        <v>46055</v>
      </c>
      <c r="B2348" s="10">
        <v>66.3</v>
      </c>
      <c r="C2348" s="10">
        <v>65.569999999999993</v>
      </c>
      <c r="D2348" s="10">
        <v>64.989999999999995</v>
      </c>
      <c r="E2348" s="10">
        <v>64.55</v>
      </c>
      <c r="F2348" s="10">
        <v>64.17</v>
      </c>
      <c r="G2348" s="10">
        <v>63.87</v>
      </c>
      <c r="H2348" s="10">
        <v>63.62</v>
      </c>
      <c r="I2348" s="10">
        <v>63.42</v>
      </c>
      <c r="J2348" s="10">
        <v>63.26</v>
      </c>
      <c r="K2348" s="10">
        <v>63.12</v>
      </c>
      <c r="L2348" s="10">
        <v>63.02</v>
      </c>
      <c r="M2348" s="10">
        <v>62.98</v>
      </c>
      <c r="N2348" s="10">
        <v>62.14</v>
      </c>
      <c r="O2348" s="10">
        <v>61.72</v>
      </c>
      <c r="P2348" s="10">
        <v>61.34</v>
      </c>
      <c r="Q2348" s="10">
        <v>61</v>
      </c>
      <c r="R2348" s="10">
        <v>60.68</v>
      </c>
      <c r="S2348" s="10">
        <v>60.37</v>
      </c>
      <c r="T2348" s="10">
        <v>60.08</v>
      </c>
      <c r="U2348" s="10">
        <v>59.8</v>
      </c>
      <c r="V2348" s="10">
        <v>59.59</v>
      </c>
      <c r="W2348" s="10">
        <v>59.41</v>
      </c>
      <c r="X2348" s="10">
        <v>59.25</v>
      </c>
      <c r="Y2348" s="10">
        <v>59.15</v>
      </c>
      <c r="Z2348" s="11">
        <v>61.969000000000001</v>
      </c>
      <c r="AA2348" s="11">
        <v>64.950999999999993</v>
      </c>
      <c r="AB2348" s="11">
        <v>64.679000000000002</v>
      </c>
      <c r="AC2348" s="11">
        <v>64.405000000000001</v>
      </c>
      <c r="AD2348" s="11">
        <v>64.094999999999999</v>
      </c>
      <c r="AE2348" s="11">
        <v>63.777999999999999</v>
      </c>
      <c r="AF2348" s="11">
        <v>63.521999999999998</v>
      </c>
      <c r="AG2348" s="11">
        <v>63.304000000000002</v>
      </c>
      <c r="AH2348" s="11">
        <v>63.145000000000003</v>
      </c>
      <c r="AI2348" s="11">
        <v>63.024000000000001</v>
      </c>
      <c r="AJ2348" s="11">
        <v>62.884999999999998</v>
      </c>
      <c r="AK2348" s="11">
        <v>62.786000000000001</v>
      </c>
      <c r="AL2348" s="11"/>
    </row>
    <row r="2349" spans="1:38" x14ac:dyDescent="0.3">
      <c r="A2349" s="9">
        <f>DATE(2026, 2, 3)</f>
        <v>46056</v>
      </c>
      <c r="B2349" s="10">
        <v>67.33</v>
      </c>
      <c r="C2349" s="10">
        <v>66.680000000000007</v>
      </c>
      <c r="D2349" s="10">
        <v>66.16</v>
      </c>
      <c r="E2349" s="10">
        <v>65.739999999999995</v>
      </c>
      <c r="F2349" s="10">
        <v>65.37</v>
      </c>
      <c r="G2349" s="10">
        <v>65.069999999999993</v>
      </c>
      <c r="H2349" s="10">
        <v>64.81</v>
      </c>
      <c r="I2349" s="10">
        <v>64.58</v>
      </c>
      <c r="J2349" s="10">
        <v>64.400000000000006</v>
      </c>
      <c r="K2349" s="10">
        <v>64.23</v>
      </c>
      <c r="L2349" s="10">
        <v>64.11</v>
      </c>
      <c r="M2349" s="10">
        <v>64.05</v>
      </c>
      <c r="N2349" s="10">
        <v>63.21</v>
      </c>
      <c r="O2349" s="10">
        <v>62.83</v>
      </c>
      <c r="P2349" s="10">
        <v>62.48</v>
      </c>
      <c r="Q2349" s="10">
        <v>62.15</v>
      </c>
      <c r="R2349" s="10">
        <v>61.84</v>
      </c>
      <c r="S2349" s="10">
        <v>61.54</v>
      </c>
      <c r="T2349" s="10">
        <v>61.24</v>
      </c>
      <c r="U2349" s="10">
        <v>60.96</v>
      </c>
      <c r="V2349" s="10">
        <v>60.73</v>
      </c>
      <c r="W2349" s="10">
        <v>60.54</v>
      </c>
      <c r="X2349" s="10">
        <v>60.38</v>
      </c>
      <c r="Y2349" s="10">
        <v>60.25</v>
      </c>
      <c r="Z2349" s="11">
        <v>66.379000000000005</v>
      </c>
      <c r="AA2349" s="11">
        <v>66.146000000000001</v>
      </c>
      <c r="AB2349" s="11">
        <v>65.784999999999997</v>
      </c>
      <c r="AC2349" s="11">
        <v>65.433999999999997</v>
      </c>
      <c r="AD2349" s="11">
        <v>65.093000000000004</v>
      </c>
      <c r="AE2349" s="11">
        <v>64.792000000000002</v>
      </c>
      <c r="AF2349" s="11">
        <v>64.539000000000001</v>
      </c>
      <c r="AG2349" s="11">
        <v>64.343999999999994</v>
      </c>
      <c r="AH2349" s="11">
        <v>64.177000000000007</v>
      </c>
      <c r="AI2349" s="11">
        <v>64.013999999999996</v>
      </c>
      <c r="AJ2349" s="11">
        <v>63.895000000000003</v>
      </c>
      <c r="AK2349" s="11">
        <v>63.844000000000001</v>
      </c>
      <c r="AL2349" s="11"/>
    </row>
    <row r="2350" spans="1:38" x14ac:dyDescent="0.3">
      <c r="A2350" s="9">
        <f>DATE(2026, 2, 4)</f>
        <v>46057</v>
      </c>
      <c r="B2350" s="10">
        <v>69.459999999999994</v>
      </c>
      <c r="C2350" s="10">
        <v>68.75</v>
      </c>
      <c r="D2350" s="10">
        <v>68.150000000000006</v>
      </c>
      <c r="E2350" s="10">
        <v>67.650000000000006</v>
      </c>
      <c r="F2350" s="10">
        <v>67.22</v>
      </c>
      <c r="G2350" s="10">
        <v>66.849999999999994</v>
      </c>
      <c r="H2350" s="10">
        <v>66.53</v>
      </c>
      <c r="I2350" s="10">
        <v>66.25</v>
      </c>
      <c r="J2350" s="10">
        <v>66.02</v>
      </c>
      <c r="K2350" s="10">
        <v>65.8</v>
      </c>
      <c r="L2350" s="10">
        <v>65.63</v>
      </c>
      <c r="M2350" s="10">
        <v>65.53</v>
      </c>
      <c r="N2350" s="10">
        <v>65.14</v>
      </c>
      <c r="O2350" s="10">
        <v>64.75</v>
      </c>
      <c r="P2350" s="10">
        <v>64.36</v>
      </c>
      <c r="Q2350" s="10">
        <v>63.97</v>
      </c>
      <c r="R2350" s="10">
        <v>63.59</v>
      </c>
      <c r="S2350" s="10">
        <v>63.23</v>
      </c>
      <c r="T2350" s="10">
        <v>62.87</v>
      </c>
      <c r="U2350" s="10">
        <v>62.52</v>
      </c>
      <c r="V2350" s="10">
        <v>62.23</v>
      </c>
      <c r="W2350" s="10">
        <v>61.98</v>
      </c>
      <c r="X2350" s="10">
        <v>61.76</v>
      </c>
      <c r="Y2350" s="10">
        <v>61.58</v>
      </c>
      <c r="Z2350" s="11">
        <v>68.078999999999994</v>
      </c>
      <c r="AA2350" s="11">
        <v>68.17</v>
      </c>
      <c r="AB2350" s="11">
        <v>67.700999999999993</v>
      </c>
      <c r="AC2350" s="11">
        <v>67.28</v>
      </c>
      <c r="AD2350" s="11">
        <v>66.888999999999996</v>
      </c>
      <c r="AE2350" s="11">
        <v>66.537999999999997</v>
      </c>
      <c r="AF2350" s="11">
        <v>66.239000000000004</v>
      </c>
      <c r="AG2350" s="11">
        <v>65.988</v>
      </c>
      <c r="AH2350" s="11">
        <v>65.777000000000001</v>
      </c>
      <c r="AI2350" s="11">
        <v>65.572000000000003</v>
      </c>
      <c r="AJ2350" s="11">
        <v>65.400999999999996</v>
      </c>
      <c r="AK2350" s="11">
        <v>65.311999999999998</v>
      </c>
      <c r="AL2350" s="11"/>
    </row>
    <row r="2351" spans="1:38" x14ac:dyDescent="0.3">
      <c r="A2351" s="9">
        <f>DATE(2026, 2, 5)</f>
        <v>46058</v>
      </c>
      <c r="B2351" s="10">
        <v>67.55</v>
      </c>
      <c r="C2351" s="10">
        <v>66.98</v>
      </c>
      <c r="D2351" s="10">
        <v>66.489999999999995</v>
      </c>
      <c r="E2351" s="10">
        <v>66.08</v>
      </c>
      <c r="F2351" s="10">
        <v>65.72</v>
      </c>
      <c r="G2351" s="10">
        <v>65.41</v>
      </c>
      <c r="H2351" s="10">
        <v>65.150000000000006</v>
      </c>
      <c r="I2351" s="10">
        <v>64.930000000000007</v>
      </c>
      <c r="J2351" s="10">
        <v>64.739999999999995</v>
      </c>
      <c r="K2351" s="10">
        <v>64.58</v>
      </c>
      <c r="L2351" s="10">
        <v>64.459999999999994</v>
      </c>
      <c r="M2351" s="10">
        <v>64.400000000000006</v>
      </c>
      <c r="N2351" s="10">
        <v>63.29</v>
      </c>
      <c r="O2351" s="10">
        <v>63.01</v>
      </c>
      <c r="P2351" s="10">
        <v>62.73</v>
      </c>
      <c r="Q2351" s="10">
        <v>62.44</v>
      </c>
      <c r="R2351" s="10">
        <v>62.14</v>
      </c>
      <c r="S2351" s="10">
        <v>61.84</v>
      </c>
      <c r="T2351" s="10">
        <v>61.55</v>
      </c>
      <c r="U2351" s="10">
        <v>61.26</v>
      </c>
      <c r="V2351" s="10">
        <v>61.03</v>
      </c>
      <c r="W2351" s="10">
        <v>60.82</v>
      </c>
      <c r="X2351" s="10">
        <v>60.65</v>
      </c>
      <c r="Y2351" s="10">
        <v>60.52</v>
      </c>
      <c r="Z2351" s="11">
        <v>66.853999999999999</v>
      </c>
      <c r="AA2351" s="11">
        <v>66.575999999999993</v>
      </c>
      <c r="AB2351" s="11">
        <v>66.114000000000004</v>
      </c>
      <c r="AC2351" s="11">
        <v>65.722999999999999</v>
      </c>
      <c r="AD2351" s="11">
        <v>65.382000000000005</v>
      </c>
      <c r="AE2351" s="11">
        <v>65.081000000000003</v>
      </c>
      <c r="AF2351" s="11">
        <v>64.83</v>
      </c>
      <c r="AG2351" s="11">
        <v>64.619</v>
      </c>
      <c r="AH2351" s="11">
        <v>64.457999999999998</v>
      </c>
      <c r="AI2351" s="11">
        <v>64.313999999999993</v>
      </c>
      <c r="AJ2351" s="11">
        <v>64.194000000000003</v>
      </c>
      <c r="AK2351" s="11">
        <v>64.144000000000005</v>
      </c>
      <c r="AL2351" s="11"/>
    </row>
    <row r="2352" spans="1:38" x14ac:dyDescent="0.3">
      <c r="A2352" s="9">
        <f>DATE(2026, 2, 6)</f>
        <v>46059</v>
      </c>
      <c r="B2352" s="10">
        <v>68.05</v>
      </c>
      <c r="C2352" s="10">
        <v>67.47</v>
      </c>
      <c r="D2352" s="10">
        <v>67</v>
      </c>
      <c r="E2352" s="10">
        <v>66.599999999999994</v>
      </c>
      <c r="F2352" s="10">
        <v>66.260000000000005</v>
      </c>
      <c r="G2352" s="10">
        <v>65.959999999999994</v>
      </c>
      <c r="H2352" s="10">
        <v>65.69</v>
      </c>
      <c r="I2352" s="10">
        <v>65.459999999999994</v>
      </c>
      <c r="J2352" s="10">
        <v>65.260000000000005</v>
      </c>
      <c r="K2352" s="10">
        <v>65.09</v>
      </c>
      <c r="L2352" s="10">
        <v>64.95</v>
      </c>
      <c r="M2352" s="10">
        <v>64.87</v>
      </c>
      <c r="N2352" s="10">
        <v>63.55</v>
      </c>
      <c r="O2352" s="10">
        <v>63.36</v>
      </c>
      <c r="P2352" s="10">
        <v>63.15</v>
      </c>
      <c r="Q2352" s="10">
        <v>62.91</v>
      </c>
      <c r="R2352" s="10">
        <v>62.64</v>
      </c>
      <c r="S2352" s="10">
        <v>62.36</v>
      </c>
      <c r="T2352" s="10">
        <v>62.07</v>
      </c>
      <c r="U2352" s="10">
        <v>61.78</v>
      </c>
      <c r="V2352" s="10">
        <v>61.53</v>
      </c>
      <c r="W2352" s="10">
        <v>61.31</v>
      </c>
      <c r="X2352" s="10">
        <v>61.13</v>
      </c>
      <c r="Y2352" s="10">
        <v>60.99</v>
      </c>
      <c r="Z2352" s="11">
        <v>67.262</v>
      </c>
      <c r="AA2352" s="11">
        <v>67.100999999999999</v>
      </c>
      <c r="AB2352" s="11">
        <v>66.653999999999996</v>
      </c>
      <c r="AC2352" s="11">
        <v>66.272999999999996</v>
      </c>
      <c r="AD2352" s="11">
        <v>65.941999999999993</v>
      </c>
      <c r="AE2352" s="11">
        <v>65.661000000000001</v>
      </c>
      <c r="AF2352" s="11">
        <v>65.402000000000001</v>
      </c>
      <c r="AG2352" s="11">
        <v>65.180000000000007</v>
      </c>
      <c r="AH2352" s="11">
        <v>64.998000000000005</v>
      </c>
      <c r="AI2352" s="11">
        <v>64.843000000000004</v>
      </c>
      <c r="AJ2352" s="11">
        <v>64.701999999999998</v>
      </c>
      <c r="AK2352" s="11">
        <v>64.622</v>
      </c>
      <c r="AL2352" s="11"/>
    </row>
    <row r="2353" spans="1:38" x14ac:dyDescent="0.3">
      <c r="A2353" s="9">
        <f>DATE(2026, 2, 9)</f>
        <v>46062</v>
      </c>
      <c r="B2353" s="10">
        <v>69.040000000000006</v>
      </c>
      <c r="C2353" s="10">
        <v>68.42</v>
      </c>
      <c r="D2353" s="10">
        <v>67.930000000000007</v>
      </c>
      <c r="E2353" s="10">
        <v>67.52</v>
      </c>
      <c r="F2353" s="10">
        <v>67.17</v>
      </c>
      <c r="G2353" s="10">
        <v>66.849999999999994</v>
      </c>
      <c r="H2353" s="10">
        <v>66.56</v>
      </c>
      <c r="I2353" s="10">
        <v>66.3</v>
      </c>
      <c r="J2353" s="10">
        <v>66.069999999999993</v>
      </c>
      <c r="K2353" s="10">
        <v>65.87</v>
      </c>
      <c r="L2353" s="10">
        <v>65.7</v>
      </c>
      <c r="M2353" s="10">
        <v>65.59</v>
      </c>
      <c r="N2353" s="10">
        <v>64.36</v>
      </c>
      <c r="O2353" s="10">
        <v>64.2</v>
      </c>
      <c r="P2353" s="10">
        <v>64.02</v>
      </c>
      <c r="Q2353" s="10">
        <v>63.8</v>
      </c>
      <c r="R2353" s="10">
        <v>63.54</v>
      </c>
      <c r="S2353" s="10">
        <v>63.26</v>
      </c>
      <c r="T2353" s="10">
        <v>62.95</v>
      </c>
      <c r="U2353" s="10">
        <v>62.64</v>
      </c>
      <c r="V2353" s="10">
        <v>62.36</v>
      </c>
      <c r="W2353" s="10">
        <v>62.11</v>
      </c>
      <c r="X2353" s="10">
        <v>61.9</v>
      </c>
      <c r="Y2353" s="10">
        <v>61.73</v>
      </c>
      <c r="Z2353" s="11">
        <v>67.742999999999995</v>
      </c>
      <c r="AA2353" s="11">
        <v>67.878</v>
      </c>
      <c r="AB2353" s="11">
        <v>67.488</v>
      </c>
      <c r="AC2353" s="11">
        <v>67.146000000000001</v>
      </c>
      <c r="AD2353" s="11">
        <v>66.81</v>
      </c>
      <c r="AE2353" s="11">
        <v>66.519000000000005</v>
      </c>
      <c r="AF2353" s="11">
        <v>66.256</v>
      </c>
      <c r="AG2353" s="11">
        <v>66.02</v>
      </c>
      <c r="AH2353" s="11">
        <v>65.811999999999998</v>
      </c>
      <c r="AI2353" s="11">
        <v>65.626999999999995</v>
      </c>
      <c r="AJ2353" s="11">
        <v>65.453999999999994</v>
      </c>
      <c r="AK2353" s="11">
        <v>65.346000000000004</v>
      </c>
      <c r="AL2353" s="11"/>
    </row>
    <row r="2354" spans="1:38" x14ac:dyDescent="0.3">
      <c r="A2354" s="9">
        <f>DATE(2026, 2, 10)</f>
        <v>46063</v>
      </c>
      <c r="B2354" s="10">
        <v>68.8</v>
      </c>
      <c r="C2354" s="10">
        <v>68.11</v>
      </c>
      <c r="D2354" s="10">
        <v>67.61</v>
      </c>
      <c r="E2354" s="10">
        <v>67.209999999999994</v>
      </c>
      <c r="F2354" s="10">
        <v>66.88</v>
      </c>
      <c r="G2354" s="10">
        <v>66.58</v>
      </c>
      <c r="H2354" s="10">
        <v>66.3</v>
      </c>
      <c r="I2354" s="10">
        <v>66.05</v>
      </c>
      <c r="J2354" s="10">
        <v>65.83</v>
      </c>
      <c r="K2354" s="10">
        <v>65.64</v>
      </c>
      <c r="L2354" s="10">
        <v>65.489999999999995</v>
      </c>
      <c r="M2354" s="10">
        <v>65.39</v>
      </c>
      <c r="N2354" s="10">
        <v>63.96</v>
      </c>
      <c r="O2354" s="10">
        <v>63.79</v>
      </c>
      <c r="P2354" s="10">
        <v>63.61</v>
      </c>
      <c r="Q2354" s="10">
        <v>63.42</v>
      </c>
      <c r="R2354" s="10">
        <v>63.2</v>
      </c>
      <c r="S2354" s="10">
        <v>62.95</v>
      </c>
      <c r="T2354" s="10">
        <v>62.66</v>
      </c>
      <c r="U2354" s="10">
        <v>62.37</v>
      </c>
      <c r="V2354" s="10">
        <v>62.12</v>
      </c>
      <c r="W2354" s="10">
        <v>61.89</v>
      </c>
      <c r="X2354" s="10">
        <v>61.7</v>
      </c>
      <c r="Y2354" s="10">
        <v>61.55</v>
      </c>
      <c r="Z2354" s="11">
        <v>67.403000000000006</v>
      </c>
      <c r="AA2354" s="11">
        <v>67.412000000000006</v>
      </c>
      <c r="AB2354" s="11">
        <v>67.063999999999993</v>
      </c>
      <c r="AC2354" s="11">
        <v>66.78</v>
      </c>
      <c r="AD2354" s="11">
        <v>66.498000000000005</v>
      </c>
      <c r="AE2354" s="11">
        <v>66.247</v>
      </c>
      <c r="AF2354" s="11">
        <v>66.013999999999996</v>
      </c>
      <c r="AG2354" s="11">
        <v>65.789000000000001</v>
      </c>
      <c r="AH2354" s="11">
        <v>65.570999999999998</v>
      </c>
      <c r="AI2354" s="11">
        <v>65.393000000000001</v>
      </c>
      <c r="AJ2354" s="11">
        <v>65.251000000000005</v>
      </c>
      <c r="AK2354" s="11">
        <v>65.161000000000001</v>
      </c>
      <c r="AL2354" s="11"/>
    </row>
    <row r="2355" spans="1:38" x14ac:dyDescent="0.3">
      <c r="A2355" s="9">
        <f>DATE(2026, 2, 11)</f>
        <v>46064</v>
      </c>
      <c r="B2355" s="10">
        <v>69.400000000000006</v>
      </c>
      <c r="C2355" s="10">
        <v>68.75</v>
      </c>
      <c r="D2355" s="10">
        <v>68.25</v>
      </c>
      <c r="E2355" s="10">
        <v>67.84</v>
      </c>
      <c r="F2355" s="10">
        <v>67.48</v>
      </c>
      <c r="G2355" s="10">
        <v>67.14</v>
      </c>
      <c r="H2355" s="10">
        <v>66.81</v>
      </c>
      <c r="I2355" s="10">
        <v>66.52</v>
      </c>
      <c r="J2355" s="10">
        <v>66.25</v>
      </c>
      <c r="K2355" s="10">
        <v>66.010000000000005</v>
      </c>
      <c r="L2355" s="10">
        <v>65.819999999999993</v>
      </c>
      <c r="M2355" s="10">
        <v>65.680000000000007</v>
      </c>
      <c r="N2355" s="10">
        <v>64.63</v>
      </c>
      <c r="O2355" s="10">
        <v>64.459999999999994</v>
      </c>
      <c r="P2355" s="10">
        <v>64.260000000000005</v>
      </c>
      <c r="Q2355" s="10">
        <v>64.040000000000006</v>
      </c>
      <c r="R2355" s="10">
        <v>63.78</v>
      </c>
      <c r="S2355" s="10">
        <v>63.49</v>
      </c>
      <c r="T2355" s="10">
        <v>63.17</v>
      </c>
      <c r="U2355" s="10">
        <v>62.84</v>
      </c>
      <c r="V2355" s="10">
        <v>62.54</v>
      </c>
      <c r="W2355" s="10">
        <v>62.27</v>
      </c>
      <c r="X2355" s="10">
        <v>62.04</v>
      </c>
      <c r="Y2355" s="10">
        <v>61.84</v>
      </c>
      <c r="Z2355" s="11">
        <v>67.688000000000002</v>
      </c>
      <c r="AA2355" s="11">
        <v>67.903999999999996</v>
      </c>
      <c r="AB2355" s="11">
        <v>67.58</v>
      </c>
      <c r="AC2355" s="11">
        <v>67.317999999999998</v>
      </c>
      <c r="AD2355" s="11">
        <v>67.037000000000006</v>
      </c>
      <c r="AE2355" s="11">
        <v>66.766000000000005</v>
      </c>
      <c r="AF2355" s="11">
        <v>66.501000000000005</v>
      </c>
      <c r="AG2355" s="11">
        <v>66.248000000000005</v>
      </c>
      <c r="AH2355" s="11">
        <v>65.989000000000004</v>
      </c>
      <c r="AI2355" s="11">
        <v>65.760999999999996</v>
      </c>
      <c r="AJ2355" s="11">
        <v>65.576999999999998</v>
      </c>
      <c r="AK2355" s="11">
        <v>65.45</v>
      </c>
      <c r="AL2355" s="11"/>
    </row>
    <row r="2356" spans="1:38" x14ac:dyDescent="0.3">
      <c r="A2356" s="9">
        <f>DATE(2026, 2, 12)</f>
        <v>46065</v>
      </c>
      <c r="B2356" s="10">
        <v>67.52</v>
      </c>
      <c r="C2356" s="10">
        <v>66.91</v>
      </c>
      <c r="D2356" s="10">
        <v>66.459999999999994</v>
      </c>
      <c r="E2356" s="10">
        <v>66.08</v>
      </c>
      <c r="F2356" s="10">
        <v>65.75</v>
      </c>
      <c r="G2356" s="10">
        <v>65.44</v>
      </c>
      <c r="H2356" s="10">
        <v>65.17</v>
      </c>
      <c r="I2356" s="10">
        <v>64.92</v>
      </c>
      <c r="J2356" s="10">
        <v>64.709999999999994</v>
      </c>
      <c r="K2356" s="10">
        <v>64.52</v>
      </c>
      <c r="L2356" s="10">
        <v>64.38</v>
      </c>
      <c r="M2356" s="10">
        <v>64.3</v>
      </c>
      <c r="N2356" s="10">
        <v>62.84</v>
      </c>
      <c r="O2356" s="10">
        <v>62.65</v>
      </c>
      <c r="P2356" s="10">
        <v>62.47</v>
      </c>
      <c r="Q2356" s="10">
        <v>62.27</v>
      </c>
      <c r="R2356" s="10">
        <v>62.04</v>
      </c>
      <c r="S2356" s="10">
        <v>61.78</v>
      </c>
      <c r="T2356" s="10">
        <v>61.49</v>
      </c>
      <c r="U2356" s="10">
        <v>61.21</v>
      </c>
      <c r="V2356" s="10">
        <v>60.97</v>
      </c>
      <c r="W2356" s="10">
        <v>60.75</v>
      </c>
      <c r="X2356" s="10">
        <v>60.57</v>
      </c>
      <c r="Y2356" s="10">
        <v>60.43</v>
      </c>
      <c r="Z2356" s="11">
        <v>66.903999999999996</v>
      </c>
      <c r="AA2356" s="11">
        <v>66.233000000000004</v>
      </c>
      <c r="AB2356" s="11">
        <v>65.879000000000005</v>
      </c>
      <c r="AC2356" s="11">
        <v>65.599000000000004</v>
      </c>
      <c r="AD2356" s="11">
        <v>65.328999999999994</v>
      </c>
      <c r="AE2356" s="11">
        <v>65.078000000000003</v>
      </c>
      <c r="AF2356" s="11">
        <v>64.837000000000003</v>
      </c>
      <c r="AG2356" s="11">
        <v>64.638000000000005</v>
      </c>
      <c r="AH2356" s="11">
        <v>64.433000000000007</v>
      </c>
      <c r="AI2356" s="11">
        <v>64.253</v>
      </c>
      <c r="AJ2356" s="11">
        <v>64.120999999999995</v>
      </c>
      <c r="AK2356" s="11">
        <v>64.048000000000002</v>
      </c>
      <c r="AL2356" s="11"/>
    </row>
    <row r="2357" spans="1:38" x14ac:dyDescent="0.3">
      <c r="A2357" s="9">
        <f>DATE(2026, 2, 13)</f>
        <v>46066</v>
      </c>
      <c r="B2357" s="10">
        <v>67.75</v>
      </c>
      <c r="C2357" s="10">
        <v>67.09</v>
      </c>
      <c r="D2357" s="10">
        <v>66.599999999999994</v>
      </c>
      <c r="E2357" s="10">
        <v>66.2</v>
      </c>
      <c r="F2357" s="10">
        <v>65.819999999999993</v>
      </c>
      <c r="G2357" s="10">
        <v>65.48</v>
      </c>
      <c r="H2357" s="10">
        <v>65.17</v>
      </c>
      <c r="I2357" s="10">
        <v>64.91</v>
      </c>
      <c r="J2357" s="10">
        <v>64.69</v>
      </c>
      <c r="K2357" s="10">
        <v>64.510000000000005</v>
      </c>
      <c r="L2357" s="10">
        <v>64.37</v>
      </c>
      <c r="M2357" s="10">
        <v>64.290000000000006</v>
      </c>
      <c r="N2357" s="10">
        <v>62.89</v>
      </c>
      <c r="O2357" s="10">
        <v>62.75</v>
      </c>
      <c r="P2357" s="10">
        <v>62.58</v>
      </c>
      <c r="Q2357" s="10">
        <v>62.37</v>
      </c>
      <c r="R2357" s="10">
        <v>62.1</v>
      </c>
      <c r="S2357" s="10">
        <v>61.81</v>
      </c>
      <c r="T2357" s="10">
        <v>61.5</v>
      </c>
      <c r="U2357" s="10">
        <v>61.19</v>
      </c>
      <c r="V2357" s="10">
        <v>60.93</v>
      </c>
      <c r="W2357" s="10">
        <v>60.71</v>
      </c>
      <c r="X2357" s="10">
        <v>60.53</v>
      </c>
      <c r="Y2357" s="10">
        <v>60.39</v>
      </c>
      <c r="Z2357" s="11">
        <v>67.061000000000007</v>
      </c>
      <c r="AA2357" s="11">
        <v>66.451999999999998</v>
      </c>
      <c r="AB2357" s="11">
        <v>66.040999999999997</v>
      </c>
      <c r="AC2357" s="11">
        <v>65.72</v>
      </c>
      <c r="AD2357" s="11">
        <v>65.409000000000006</v>
      </c>
      <c r="AE2357" s="11">
        <v>65.117999999999995</v>
      </c>
      <c r="AF2357" s="11">
        <v>64.843999999999994</v>
      </c>
      <c r="AG2357" s="11">
        <v>64.628</v>
      </c>
      <c r="AH2357" s="11">
        <v>64.415999999999997</v>
      </c>
      <c r="AI2357" s="11">
        <v>64.242999999999995</v>
      </c>
      <c r="AJ2357" s="11">
        <v>64.111000000000004</v>
      </c>
      <c r="AK2357" s="11">
        <v>64.037999999999997</v>
      </c>
      <c r="AL2357" s="11"/>
    </row>
    <row r="2358" spans="1:38" x14ac:dyDescent="0.3">
      <c r="A2358" s="9">
        <f>DATE(2026, 2, 16)</f>
        <v>46069</v>
      </c>
      <c r="B2358" s="10">
        <v>68.650000000000006</v>
      </c>
      <c r="C2358" s="10">
        <v>67.97</v>
      </c>
      <c r="D2358" s="10">
        <v>67.45</v>
      </c>
      <c r="E2358" s="10">
        <v>67.010000000000005</v>
      </c>
      <c r="F2358" s="10">
        <v>66.61</v>
      </c>
      <c r="G2358" s="10">
        <v>66.239999999999995</v>
      </c>
      <c r="H2358" s="10">
        <v>65.92</v>
      </c>
      <c r="I2358" s="10">
        <v>65.64</v>
      </c>
      <c r="J2358" s="10">
        <v>65.400000000000006</v>
      </c>
      <c r="K2358" s="10">
        <v>65.2</v>
      </c>
      <c r="L2358" s="10">
        <v>65.05</v>
      </c>
      <c r="M2358" s="10">
        <v>64.95</v>
      </c>
      <c r="N2358" s="10">
        <v>62.89</v>
      </c>
      <c r="O2358" s="10">
        <v>62.75</v>
      </c>
      <c r="P2358" s="10">
        <v>62.58</v>
      </c>
      <c r="Q2358" s="10">
        <v>62.37</v>
      </c>
      <c r="R2358" s="10">
        <v>62.1</v>
      </c>
      <c r="S2358" s="10">
        <v>61.81</v>
      </c>
      <c r="T2358" s="10">
        <v>61.5</v>
      </c>
      <c r="U2358" s="10">
        <v>61.19</v>
      </c>
      <c r="V2358" s="10">
        <v>60.93</v>
      </c>
      <c r="W2358" s="10">
        <v>60.71</v>
      </c>
      <c r="X2358" s="10">
        <v>60.53</v>
      </c>
      <c r="Y2358" s="10">
        <v>60.39</v>
      </c>
      <c r="Z2358" s="11">
        <v>67.415999999999997</v>
      </c>
      <c r="AA2358" s="11">
        <v>67.296999999999997</v>
      </c>
      <c r="AB2358" s="11">
        <v>66.817999999999998</v>
      </c>
      <c r="AC2358" s="11">
        <v>66.457999999999998</v>
      </c>
      <c r="AD2358" s="11">
        <v>66.134</v>
      </c>
      <c r="AE2358" s="11">
        <v>65.825000000000003</v>
      </c>
      <c r="AF2358" s="11">
        <v>65.551000000000002</v>
      </c>
      <c r="AG2358" s="11">
        <v>65.325000000000003</v>
      </c>
      <c r="AH2358" s="11">
        <v>65.103999999999999</v>
      </c>
      <c r="AI2358" s="11">
        <v>64.912000000000006</v>
      </c>
      <c r="AJ2358" s="11">
        <v>64.768000000000001</v>
      </c>
      <c r="AK2358" s="11">
        <v>64.668999999999997</v>
      </c>
      <c r="AL2358" s="11"/>
    </row>
    <row r="2359" spans="1:38" x14ac:dyDescent="0.3">
      <c r="A2359" s="9">
        <f>DATE(2026, 2, 17)</f>
        <v>46070</v>
      </c>
      <c r="B2359" s="10">
        <v>67.42</v>
      </c>
      <c r="C2359" s="10">
        <v>66.87</v>
      </c>
      <c r="D2359" s="10">
        <v>66.42</v>
      </c>
      <c r="E2359" s="10">
        <v>66.02</v>
      </c>
      <c r="F2359" s="10">
        <v>65.64</v>
      </c>
      <c r="G2359" s="10">
        <v>65.3</v>
      </c>
      <c r="H2359" s="10">
        <v>65</v>
      </c>
      <c r="I2359" s="10">
        <v>64.75</v>
      </c>
      <c r="J2359" s="10">
        <v>64.540000000000006</v>
      </c>
      <c r="K2359" s="10">
        <v>64.37</v>
      </c>
      <c r="L2359" s="10">
        <v>64.23</v>
      </c>
      <c r="M2359" s="10">
        <v>64.150000000000006</v>
      </c>
      <c r="N2359" s="10">
        <v>62.33</v>
      </c>
      <c r="O2359" s="10">
        <v>62.26</v>
      </c>
      <c r="P2359" s="10">
        <v>62.13</v>
      </c>
      <c r="Q2359" s="10">
        <v>61.95</v>
      </c>
      <c r="R2359" s="10">
        <v>61.72</v>
      </c>
      <c r="S2359" s="10">
        <v>61.45</v>
      </c>
      <c r="T2359" s="10">
        <v>61.17</v>
      </c>
      <c r="U2359" s="10">
        <v>60.89</v>
      </c>
      <c r="V2359" s="10">
        <v>60.66</v>
      </c>
      <c r="W2359" s="10">
        <v>60.47</v>
      </c>
      <c r="X2359" s="10">
        <v>60.31</v>
      </c>
      <c r="Y2359" s="10">
        <v>60.19</v>
      </c>
      <c r="Z2359" s="11">
        <v>66.933999999999997</v>
      </c>
      <c r="AA2359" s="11">
        <v>66.180000000000007</v>
      </c>
      <c r="AB2359" s="11">
        <v>65.763000000000005</v>
      </c>
      <c r="AC2359" s="11">
        <v>65.45</v>
      </c>
      <c r="AD2359" s="11">
        <v>65.171000000000006</v>
      </c>
      <c r="AE2359" s="11">
        <v>64.902000000000001</v>
      </c>
      <c r="AF2359" s="11">
        <v>64.66</v>
      </c>
      <c r="AG2359" s="11">
        <v>64.462000000000003</v>
      </c>
      <c r="AH2359" s="11">
        <v>64.27</v>
      </c>
      <c r="AI2359" s="11">
        <v>64.105000000000004</v>
      </c>
      <c r="AJ2359" s="11">
        <v>63.97</v>
      </c>
      <c r="AK2359" s="11">
        <v>63.898000000000003</v>
      </c>
      <c r="AL2359" s="11"/>
    </row>
    <row r="2360" spans="1:38" x14ac:dyDescent="0.3">
      <c r="A2360" s="9">
        <f>DATE(2026, 2, 18)</f>
        <v>46071</v>
      </c>
      <c r="B2360" s="10">
        <v>70.349999999999994</v>
      </c>
      <c r="C2360" s="10">
        <v>69.77</v>
      </c>
      <c r="D2360" s="10">
        <v>69.209999999999994</v>
      </c>
      <c r="E2360" s="10">
        <v>68.69</v>
      </c>
      <c r="F2360" s="10">
        <v>68.19</v>
      </c>
      <c r="G2360" s="10">
        <v>67.709999999999994</v>
      </c>
      <c r="H2360" s="10">
        <v>67.260000000000005</v>
      </c>
      <c r="I2360" s="10">
        <v>66.86</v>
      </c>
      <c r="J2360" s="10">
        <v>66.5</v>
      </c>
      <c r="K2360" s="10">
        <v>66.19</v>
      </c>
      <c r="L2360" s="10">
        <v>65.92</v>
      </c>
      <c r="M2360" s="10">
        <v>65.72</v>
      </c>
      <c r="N2360" s="10">
        <v>65.19</v>
      </c>
      <c r="O2360" s="10">
        <v>65.05</v>
      </c>
      <c r="P2360" s="10">
        <v>64.84</v>
      </c>
      <c r="Q2360" s="10">
        <v>64.53</v>
      </c>
      <c r="R2360" s="10">
        <v>64.180000000000007</v>
      </c>
      <c r="S2360" s="10">
        <v>63.78</v>
      </c>
      <c r="T2360" s="10">
        <v>63.36</v>
      </c>
      <c r="U2360" s="10">
        <v>62.94</v>
      </c>
      <c r="V2360" s="10">
        <v>62.56</v>
      </c>
      <c r="W2360" s="10">
        <v>62.22</v>
      </c>
      <c r="X2360" s="10">
        <v>61.93</v>
      </c>
      <c r="Y2360" s="10">
        <v>61.69</v>
      </c>
      <c r="Z2360" s="11">
        <v>68.064999999999998</v>
      </c>
      <c r="AA2360" s="11">
        <v>69.007999999999996</v>
      </c>
      <c r="AB2360" s="11">
        <v>68.519000000000005</v>
      </c>
      <c r="AC2360" s="11">
        <v>68.099999999999994</v>
      </c>
      <c r="AD2360" s="11">
        <v>67.710999999999999</v>
      </c>
      <c r="AE2360" s="11">
        <v>67.328999999999994</v>
      </c>
      <c r="AF2360" s="11">
        <v>66.947000000000003</v>
      </c>
      <c r="AG2360" s="11">
        <v>66.59</v>
      </c>
      <c r="AH2360" s="11">
        <v>66.236999999999995</v>
      </c>
      <c r="AI2360" s="11">
        <v>65.932000000000002</v>
      </c>
      <c r="AJ2360" s="11">
        <v>65.661000000000001</v>
      </c>
      <c r="AK2360" s="11">
        <v>65.481999999999999</v>
      </c>
      <c r="AL2360" s="11"/>
    </row>
    <row r="2361" spans="1:38" x14ac:dyDescent="0.3">
      <c r="A2361" s="9">
        <f>DATE(2026, 2, 19)</f>
        <v>46072</v>
      </c>
      <c r="B2361" s="10">
        <v>71.66</v>
      </c>
      <c r="C2361" s="10">
        <v>71.27</v>
      </c>
      <c r="D2361" s="10">
        <v>70.680000000000007</v>
      </c>
      <c r="E2361" s="10">
        <v>70.040000000000006</v>
      </c>
      <c r="F2361" s="10">
        <v>69.41</v>
      </c>
      <c r="G2361" s="10">
        <v>68.83</v>
      </c>
      <c r="H2361" s="10">
        <v>68.3</v>
      </c>
      <c r="I2361" s="10">
        <v>67.819999999999993</v>
      </c>
      <c r="J2361" s="10">
        <v>67.400000000000006</v>
      </c>
      <c r="K2361" s="10">
        <v>67.03</v>
      </c>
      <c r="L2361" s="10">
        <v>66.72</v>
      </c>
      <c r="M2361" s="10">
        <v>66.489999999999995</v>
      </c>
      <c r="N2361" s="10">
        <v>66.430000000000007</v>
      </c>
      <c r="O2361" s="10">
        <v>66.400000000000006</v>
      </c>
      <c r="P2361" s="10">
        <v>66.2</v>
      </c>
      <c r="Q2361" s="10">
        <v>65.87</v>
      </c>
      <c r="R2361" s="10">
        <v>65.45</v>
      </c>
      <c r="S2361" s="10">
        <v>64.95</v>
      </c>
      <c r="T2361" s="10">
        <v>64.430000000000007</v>
      </c>
      <c r="U2361" s="10">
        <v>63.9</v>
      </c>
      <c r="V2361" s="10">
        <v>63.43</v>
      </c>
      <c r="W2361" s="10">
        <v>63.01</v>
      </c>
      <c r="X2361" s="10">
        <v>62.65</v>
      </c>
      <c r="Y2361" s="10">
        <v>62.36</v>
      </c>
      <c r="Z2361" s="11">
        <v>68.572999999999993</v>
      </c>
      <c r="AA2361" s="11">
        <v>70.37</v>
      </c>
      <c r="AB2361" s="11">
        <v>69.838999999999999</v>
      </c>
      <c r="AC2361" s="11">
        <v>69.296000000000006</v>
      </c>
      <c r="AD2361" s="11">
        <v>68.805000000000007</v>
      </c>
      <c r="AE2361" s="11">
        <v>68.323999999999998</v>
      </c>
      <c r="AF2361" s="11">
        <v>67.863</v>
      </c>
      <c r="AG2361" s="11">
        <v>67.459000000000003</v>
      </c>
      <c r="AH2361" s="11">
        <v>67.069999999999993</v>
      </c>
      <c r="AI2361" s="11">
        <v>66.716999999999999</v>
      </c>
      <c r="AJ2361" s="11">
        <v>66.421000000000006</v>
      </c>
      <c r="AK2361" s="11">
        <v>66.221000000000004</v>
      </c>
      <c r="AL2361" s="11"/>
    </row>
    <row r="2362" spans="1:38" x14ac:dyDescent="0.3">
      <c r="A2362" s="9">
        <f>DATE(2026, 2, 20)</f>
        <v>46073</v>
      </c>
      <c r="B2362" s="10">
        <v>71.760000000000005</v>
      </c>
      <c r="C2362" s="10">
        <v>71.3</v>
      </c>
      <c r="D2362" s="10">
        <v>70.66</v>
      </c>
      <c r="E2362" s="10">
        <v>70.010000000000005</v>
      </c>
      <c r="F2362" s="10">
        <v>69.39</v>
      </c>
      <c r="G2362" s="10">
        <v>68.81</v>
      </c>
      <c r="H2362" s="10">
        <v>68.3</v>
      </c>
      <c r="I2362" s="10">
        <v>67.84</v>
      </c>
      <c r="J2362" s="10">
        <v>67.430000000000007</v>
      </c>
      <c r="K2362" s="10">
        <v>67.06</v>
      </c>
      <c r="L2362" s="10">
        <v>66.75</v>
      </c>
      <c r="M2362" s="10">
        <v>66.510000000000005</v>
      </c>
      <c r="N2362" s="10">
        <v>66.39</v>
      </c>
      <c r="O2362" s="10">
        <v>66.48</v>
      </c>
      <c r="P2362" s="10">
        <v>66.239999999999995</v>
      </c>
      <c r="Q2362" s="10">
        <v>65.88</v>
      </c>
      <c r="R2362" s="10">
        <v>65.44</v>
      </c>
      <c r="S2362" s="10">
        <v>64.959999999999994</v>
      </c>
      <c r="T2362" s="10">
        <v>64.45</v>
      </c>
      <c r="U2362" s="10">
        <v>63.95</v>
      </c>
      <c r="V2362" s="10">
        <v>63.49</v>
      </c>
      <c r="W2362" s="10">
        <v>63.08</v>
      </c>
      <c r="X2362" s="10">
        <v>62.72</v>
      </c>
      <c r="Y2362" s="10">
        <v>62.44</v>
      </c>
      <c r="Z2362" s="11">
        <v>68.540000000000006</v>
      </c>
      <c r="AA2362" s="11">
        <v>70.344999999999999</v>
      </c>
      <c r="AB2362" s="11">
        <v>69.858999999999995</v>
      </c>
      <c r="AC2362" s="11">
        <v>69.319999999999993</v>
      </c>
      <c r="AD2362" s="11">
        <v>68.807000000000002</v>
      </c>
      <c r="AE2362" s="11">
        <v>68.331999999999994</v>
      </c>
      <c r="AF2362" s="11">
        <v>67.881</v>
      </c>
      <c r="AG2362" s="11">
        <v>67.477000000000004</v>
      </c>
      <c r="AH2362" s="11">
        <v>67.090999999999994</v>
      </c>
      <c r="AI2362" s="11">
        <v>66.738</v>
      </c>
      <c r="AJ2362" s="11">
        <v>66.441999999999993</v>
      </c>
      <c r="AK2362" s="11">
        <v>66.23</v>
      </c>
      <c r="AL2362" s="11"/>
    </row>
    <row r="2363" spans="1:38" x14ac:dyDescent="0.3">
      <c r="A2363" s="9">
        <f>DATE(2026, 2, 23)</f>
        <v>46076</v>
      </c>
      <c r="B2363" s="10">
        <v>71.489999999999995</v>
      </c>
      <c r="C2363" s="10">
        <v>71.11</v>
      </c>
      <c r="D2363" s="10">
        <v>70.540000000000006</v>
      </c>
      <c r="E2363" s="10">
        <v>69.94</v>
      </c>
      <c r="F2363" s="10">
        <v>69.36</v>
      </c>
      <c r="G2363" s="10">
        <v>68.819999999999993</v>
      </c>
      <c r="H2363" s="10">
        <v>68.33</v>
      </c>
      <c r="I2363" s="10">
        <v>67.900000000000006</v>
      </c>
      <c r="J2363" s="10">
        <v>67.52</v>
      </c>
      <c r="K2363" s="10">
        <v>67.180000000000007</v>
      </c>
      <c r="L2363" s="10">
        <v>66.88</v>
      </c>
      <c r="M2363" s="10">
        <v>66.64</v>
      </c>
      <c r="N2363" s="10">
        <v>66.31</v>
      </c>
      <c r="O2363" s="10">
        <v>66.13</v>
      </c>
      <c r="P2363" s="10">
        <v>65.83</v>
      </c>
      <c r="Q2363" s="10">
        <v>65.45</v>
      </c>
      <c r="R2363" s="10">
        <v>65</v>
      </c>
      <c r="S2363" s="10">
        <v>64.52</v>
      </c>
      <c r="T2363" s="10">
        <v>64.040000000000006</v>
      </c>
      <c r="U2363" s="10">
        <v>63.61</v>
      </c>
      <c r="V2363" s="10">
        <v>63.23</v>
      </c>
      <c r="W2363" s="10">
        <v>62.89</v>
      </c>
      <c r="X2363" s="10">
        <v>62.6</v>
      </c>
      <c r="Y2363" s="10">
        <v>62.38</v>
      </c>
      <c r="Z2363" s="11">
        <v>68.412999999999997</v>
      </c>
      <c r="AA2363" s="11">
        <v>70.024000000000001</v>
      </c>
      <c r="AB2363" s="11">
        <v>69.593999999999994</v>
      </c>
      <c r="AC2363" s="11">
        <v>69.144000000000005</v>
      </c>
      <c r="AD2363" s="11">
        <v>68.664000000000001</v>
      </c>
      <c r="AE2363" s="11">
        <v>68.203999999999994</v>
      </c>
      <c r="AF2363" s="11">
        <v>67.772999999999996</v>
      </c>
      <c r="AG2363" s="11">
        <v>67.403000000000006</v>
      </c>
      <c r="AH2363" s="11">
        <v>67.045000000000002</v>
      </c>
      <c r="AI2363" s="11">
        <v>66.75</v>
      </c>
      <c r="AJ2363" s="11">
        <v>66.47</v>
      </c>
      <c r="AK2363" s="11">
        <v>66.254999999999995</v>
      </c>
      <c r="AL2363" s="11"/>
    </row>
    <row r="2364" spans="1:38" x14ac:dyDescent="0.3">
      <c r="A2364" s="9">
        <f>DATE(2026, 2, 24)</f>
        <v>46077</v>
      </c>
      <c r="B2364" s="10">
        <v>70.77</v>
      </c>
      <c r="C2364" s="10">
        <v>70.58</v>
      </c>
      <c r="D2364" s="10">
        <v>70.16</v>
      </c>
      <c r="E2364" s="10">
        <v>69.66</v>
      </c>
      <c r="F2364" s="10">
        <v>69.14</v>
      </c>
      <c r="G2364" s="10">
        <v>68.650000000000006</v>
      </c>
      <c r="H2364" s="10">
        <v>68.209999999999994</v>
      </c>
      <c r="I2364" s="10">
        <v>67.819999999999993</v>
      </c>
      <c r="J2364" s="10">
        <v>67.47</v>
      </c>
      <c r="K2364" s="10">
        <v>67.150000000000006</v>
      </c>
      <c r="L2364" s="10">
        <v>66.87</v>
      </c>
      <c r="M2364" s="10">
        <v>66.650000000000006</v>
      </c>
      <c r="N2364" s="10">
        <v>65.63</v>
      </c>
      <c r="O2364" s="10">
        <v>65.540000000000006</v>
      </c>
      <c r="P2364" s="10">
        <v>65.36</v>
      </c>
      <c r="Q2364" s="10">
        <v>65.069999999999993</v>
      </c>
      <c r="R2364" s="10">
        <v>64.680000000000007</v>
      </c>
      <c r="S2364" s="10">
        <v>64.25</v>
      </c>
      <c r="T2364" s="10">
        <v>63.83</v>
      </c>
      <c r="U2364" s="10">
        <v>63.46</v>
      </c>
      <c r="V2364" s="10">
        <v>63.13</v>
      </c>
      <c r="W2364" s="10">
        <v>62.83</v>
      </c>
      <c r="X2364" s="10">
        <v>62.57</v>
      </c>
      <c r="Y2364" s="10">
        <v>62.37</v>
      </c>
      <c r="Z2364" s="11">
        <v>68.263000000000005</v>
      </c>
      <c r="AA2364" s="11">
        <v>69.176000000000002</v>
      </c>
      <c r="AB2364" s="11">
        <v>68.896000000000001</v>
      </c>
      <c r="AC2364" s="11">
        <v>68.555000000000007</v>
      </c>
      <c r="AD2364" s="11">
        <v>68.156000000000006</v>
      </c>
      <c r="AE2364" s="11">
        <v>67.75</v>
      </c>
      <c r="AF2364" s="11">
        <v>67.370999999999995</v>
      </c>
      <c r="AG2364" s="11">
        <v>67.061999999999998</v>
      </c>
      <c r="AH2364" s="11">
        <v>66.772999999999996</v>
      </c>
      <c r="AI2364" s="11">
        <v>66.504000000000005</v>
      </c>
      <c r="AJ2364" s="11">
        <v>66.256</v>
      </c>
      <c r="AK2364" s="11">
        <v>66.085999999999999</v>
      </c>
      <c r="AL2364" s="11"/>
    </row>
    <row r="2365" spans="1:38" x14ac:dyDescent="0.3">
      <c r="A2365" s="9">
        <f>DATE(2026, 2, 25)</f>
        <v>46078</v>
      </c>
      <c r="B2365" s="10">
        <v>70.849999999999994</v>
      </c>
      <c r="C2365" s="10">
        <v>70.69</v>
      </c>
      <c r="D2365" s="10">
        <v>70.25</v>
      </c>
      <c r="E2365" s="10">
        <v>69.760000000000005</v>
      </c>
      <c r="F2365" s="10">
        <v>69.25</v>
      </c>
      <c r="G2365" s="10">
        <v>68.75</v>
      </c>
      <c r="H2365" s="10">
        <v>68.3</v>
      </c>
      <c r="I2365" s="10">
        <v>67.900000000000006</v>
      </c>
      <c r="J2365" s="10">
        <v>67.55</v>
      </c>
      <c r="K2365" s="10">
        <v>67.23</v>
      </c>
      <c r="L2365" s="10">
        <v>66.95</v>
      </c>
      <c r="M2365" s="10">
        <v>66.72</v>
      </c>
      <c r="N2365" s="10">
        <v>65.42</v>
      </c>
      <c r="O2365" s="10">
        <v>65.33</v>
      </c>
      <c r="P2365" s="10">
        <v>65.17</v>
      </c>
      <c r="Q2365" s="10">
        <v>64.92</v>
      </c>
      <c r="R2365" s="10">
        <v>64.569999999999993</v>
      </c>
      <c r="S2365" s="10">
        <v>64.16</v>
      </c>
      <c r="T2365" s="10">
        <v>63.74</v>
      </c>
      <c r="U2365" s="10">
        <v>63.38</v>
      </c>
      <c r="V2365" s="10">
        <v>63.05</v>
      </c>
      <c r="W2365" s="10">
        <v>62.76</v>
      </c>
      <c r="X2365" s="10">
        <v>62.5</v>
      </c>
      <c r="Y2365" s="10">
        <v>62.29</v>
      </c>
      <c r="Z2365" s="11">
        <v>68.287999999999997</v>
      </c>
      <c r="AA2365" s="11">
        <v>69.498000000000005</v>
      </c>
      <c r="AB2365" s="11">
        <v>69.153999999999996</v>
      </c>
      <c r="AC2365" s="11">
        <v>68.793000000000006</v>
      </c>
      <c r="AD2365" s="11">
        <v>68.382000000000005</v>
      </c>
      <c r="AE2365" s="11">
        <v>67.963999999999999</v>
      </c>
      <c r="AF2365" s="11">
        <v>67.578000000000003</v>
      </c>
      <c r="AG2365" s="11">
        <v>67.241</v>
      </c>
      <c r="AH2365" s="11">
        <v>66.933000000000007</v>
      </c>
      <c r="AI2365" s="11">
        <v>66.646000000000001</v>
      </c>
      <c r="AJ2365" s="11">
        <v>66.378</v>
      </c>
      <c r="AK2365" s="11">
        <v>66.198999999999998</v>
      </c>
      <c r="AL2365" s="11"/>
    </row>
    <row r="2366" spans="1:38" x14ac:dyDescent="0.3">
      <c r="A2366" s="9">
        <f>DATE(2026, 2, 26)</f>
        <v>46079</v>
      </c>
      <c r="B2366" s="10">
        <v>70.75</v>
      </c>
      <c r="C2366" s="10">
        <v>70.84</v>
      </c>
      <c r="D2366" s="10">
        <v>70.42</v>
      </c>
      <c r="E2366" s="10">
        <v>69.86</v>
      </c>
      <c r="F2366" s="10">
        <v>69.260000000000005</v>
      </c>
      <c r="G2366" s="10">
        <v>68.69</v>
      </c>
      <c r="H2366" s="10">
        <v>68.19</v>
      </c>
      <c r="I2366" s="10">
        <v>67.75</v>
      </c>
      <c r="J2366" s="10">
        <v>67.36</v>
      </c>
      <c r="K2366" s="10">
        <v>67.010000000000005</v>
      </c>
      <c r="L2366" s="10">
        <v>66.709999999999994</v>
      </c>
      <c r="M2366" s="10">
        <v>66.459999999999994</v>
      </c>
      <c r="N2366" s="10">
        <v>65.209999999999994</v>
      </c>
      <c r="O2366" s="10">
        <v>65.11</v>
      </c>
      <c r="P2366" s="10">
        <v>64.89</v>
      </c>
      <c r="Q2366" s="10">
        <v>64.59</v>
      </c>
      <c r="R2366" s="10">
        <v>64.2</v>
      </c>
      <c r="S2366" s="10">
        <v>63.76</v>
      </c>
      <c r="T2366" s="10">
        <v>63.32</v>
      </c>
      <c r="U2366" s="10">
        <v>62.93</v>
      </c>
      <c r="V2366" s="10">
        <v>62.58</v>
      </c>
      <c r="W2366" s="10">
        <v>62.27</v>
      </c>
      <c r="X2366" s="10">
        <v>62</v>
      </c>
      <c r="Y2366" s="10">
        <v>61.78</v>
      </c>
      <c r="Z2366" s="11">
        <v>68.346999999999994</v>
      </c>
      <c r="AA2366" s="11">
        <v>69.596999999999994</v>
      </c>
      <c r="AB2366" s="11">
        <v>69.236999999999995</v>
      </c>
      <c r="AC2366" s="11">
        <v>68.831999999999994</v>
      </c>
      <c r="AD2366" s="11">
        <v>68.353999999999999</v>
      </c>
      <c r="AE2366" s="11">
        <v>67.884</v>
      </c>
      <c r="AF2366" s="11">
        <v>67.45</v>
      </c>
      <c r="AG2366" s="11">
        <v>67.108999999999995</v>
      </c>
      <c r="AH2366" s="11">
        <v>66.762</v>
      </c>
      <c r="AI2366" s="11">
        <v>66.444999999999993</v>
      </c>
      <c r="AJ2366" s="11">
        <v>66.156000000000006</v>
      </c>
      <c r="AK2366" s="11">
        <v>65.956999999999994</v>
      </c>
      <c r="AL2366" s="11"/>
    </row>
    <row r="2367" spans="1:38" x14ac:dyDescent="0.3">
      <c r="A2367" s="9">
        <f>DATE(2026, 2, 27)</f>
        <v>46080</v>
      </c>
      <c r="B2367" s="10">
        <v>72.48</v>
      </c>
      <c r="C2367" s="10">
        <v>72.87</v>
      </c>
      <c r="D2367" s="10">
        <v>72.290000000000006</v>
      </c>
      <c r="E2367" s="10">
        <v>71.61</v>
      </c>
      <c r="F2367" s="10">
        <v>70.88</v>
      </c>
      <c r="G2367" s="10">
        <v>70.2</v>
      </c>
      <c r="H2367" s="10">
        <v>69.61</v>
      </c>
      <c r="I2367" s="10">
        <v>69.09</v>
      </c>
      <c r="J2367" s="10">
        <v>68.64</v>
      </c>
      <c r="K2367" s="10">
        <v>68.239999999999995</v>
      </c>
      <c r="L2367" s="10">
        <v>67.89</v>
      </c>
      <c r="M2367" s="10">
        <v>67.599999999999994</v>
      </c>
      <c r="N2367" s="10">
        <v>67.02</v>
      </c>
      <c r="O2367" s="10">
        <v>66.89</v>
      </c>
      <c r="P2367" s="10">
        <v>66.56</v>
      </c>
      <c r="Q2367" s="10">
        <v>66.180000000000007</v>
      </c>
      <c r="R2367" s="10">
        <v>65.7</v>
      </c>
      <c r="S2367" s="10">
        <v>65.150000000000006</v>
      </c>
      <c r="T2367" s="10">
        <v>64.62</v>
      </c>
      <c r="U2367" s="10">
        <v>64.14</v>
      </c>
      <c r="V2367" s="10">
        <v>63.73</v>
      </c>
      <c r="W2367" s="10">
        <v>63.35</v>
      </c>
      <c r="X2367" s="10">
        <v>63.03</v>
      </c>
      <c r="Y2367" s="10">
        <v>62.77</v>
      </c>
      <c r="Z2367" s="11">
        <f>IF(ISERROR(_xll.Storm.ExcelMacros.GvDaily("/DBI&lt;0&gt;", Z$3, A2367, "", "", "", , "p", , , , , , "Thousandths", , FALSE, , "")), 68.404, _xll.Storm.ExcelMacros.GvDaily("/DBI&lt;0&gt;", Z$3, A2367, "", "", "", , "p", , , , , , "Thousandths", , FALSE, , ""))</f>
        <v>68.403999999999996</v>
      </c>
      <c r="AA2367" s="11">
        <v>71.528999999999996</v>
      </c>
      <c r="AB2367" s="11">
        <v>71.007999999999996</v>
      </c>
      <c r="AC2367" s="11">
        <v>70.486999999999995</v>
      </c>
      <c r="AD2367" s="11">
        <v>69.915999999999997</v>
      </c>
      <c r="AE2367" s="11">
        <f>IF(ISERROR(_xll.Storm.ExcelMacros.GvDaily("/DBI&lt;5&gt;", AE$3, A2367, "", "", "", , "p", , , , , , "Thousandths", , FALSE, , "")), 69.371, _xll.Storm.ExcelMacros.GvDaily("/DBI&lt;5&gt;", AE$3, A2367, "", "", "", , "p", , , , , , "Thousandths", , FALSE, , ""))</f>
        <v>69.370999999999995</v>
      </c>
      <c r="AF2367" s="11">
        <f>IF(ISERROR(_xll.Storm.ExcelMacros.GvDaily("/DBI&lt;6&gt;", AF$3, A2367, "", "", "", , "p", , , , , , "Thousandths", , FALSE, , "")), 68.872, _xll.Storm.ExcelMacros.GvDaily("/DBI&lt;6&gt;", AF$3, A2367, "", "", "", , "p", , , , , , "Thousandths", , FALSE, , ""))</f>
        <v>68.872</v>
      </c>
      <c r="AG2367" s="11">
        <f>IF(ISERROR(_xll.Storm.ExcelMacros.GvDaily("/DBI&lt;7&gt;", AG$3, A2367, "", "", "", , "p", , , , , , "Thousandths", , FALSE, , "")), 68.462, _xll.Storm.ExcelMacros.GvDaily("/DBI&lt;7&gt;", AG$3, A2367, "", "", "", , "p", , , , , , "Thousandths", , FALSE, , ""))</f>
        <v>68.462000000000003</v>
      </c>
      <c r="AH2367" s="11">
        <f>IF(ISERROR(_xll.Storm.ExcelMacros.GvDaily("/DBI&lt;8&gt;", AH$3, A2367, "", "", "", , "p", , , , , , "Thousandths", , FALSE, , "")), 68.06, _xll.Storm.ExcelMacros.GvDaily("/DBI&lt;8&gt;", AH$3, A2367, "", "", "", , "p", , , , , , "Thousandths", , FALSE, , ""))</f>
        <v>68.06</v>
      </c>
      <c r="AI2367" s="11">
        <f>IF(ISERROR(_xll.Storm.ExcelMacros.GvDaily("/DBI&lt;9&gt;", AI$3, A2367, "", "", "", , "p", , , , , , "Thousandths", , FALSE, , "")), 67.692, _xll.Storm.ExcelMacros.GvDaily("/DBI&lt;9&gt;", AI$3, A2367, "", "", "", , "p", , , , , , "Thousandths", , FALSE, , ""))</f>
        <v>67.692000000000007</v>
      </c>
      <c r="AJ2367" s="11">
        <f>IF(ISERROR(_xll.Storm.ExcelMacros.GvDaily("/DBI&lt;10&gt;", AJ$3, A2367, "", "", "", , "p", , , , , , "Thousandths", , FALSE, , "")), 67.357, _xll.Storm.ExcelMacros.GvDaily("/DBI&lt;10&gt;", AJ$3, A2367, "", "", "", , "p", , , , , , "Thousandths", , FALSE, , ""))</f>
        <v>67.356999999999999</v>
      </c>
      <c r="AK2367" s="11">
        <f>IF(ISERROR(_xll.Storm.ExcelMacros.GvDaily("/DBI&lt;11&gt;", AK$3, A2367, "", "", "", , "p", , , , , , "Thousandths", , FALSE, , "")), 67.121, _xll.Storm.ExcelMacros.GvDaily("/DBI&lt;11&gt;", AK$3, A2367, "", "", "", , "p", , , , , , "Thousandths", , FALSE, , ""))</f>
        <v>67.120999999999995</v>
      </c>
      <c r="AL2367" s="11"/>
    </row>
    <row r="2368" spans="1:38" x14ac:dyDescent="0.3">
      <c r="A2368" s="9">
        <f>DATE(2026, 3, 2)</f>
        <v>46083</v>
      </c>
      <c r="B2368" s="10">
        <f>IF(ISERROR(_xll.Storm.ExcelMacros.GvDaily("/BRN&lt;0&gt;", B$3, A2368, "", "", "", , "p", , , , , , "Hundredths", , FALSE, , "")), 77.74, _xll.Storm.ExcelMacros.GvDaily("/BRN&lt;0&gt;", B$3, A2368, "", "", "", , "p", , , , , , "Hundredths", , FALSE, , ""))</f>
        <v>77.739999999999995</v>
      </c>
      <c r="C2368" s="10">
        <f>IF(ISERROR(_xll.Storm.ExcelMacros.GvDaily("/BRN&lt;1&gt;", C$3, A2368, "", "", "", , "p", , , , , , "Hundredths", , FALSE, , "")), 76.16, _xll.Storm.ExcelMacros.GvDaily("/BRN&lt;1&gt;", C$3, A2368, "", "", "", , "p", , , , , , "Hundredths", , FALSE, , ""))</f>
        <v>76.16</v>
      </c>
      <c r="D2368" s="10">
        <f>IF(ISERROR(_xll.Storm.ExcelMacros.GvDaily("/BRN&lt;2&gt;", D$3, A2368, "", "", "", , "p", , , , , , "Hundredths", , FALSE, , "")), 74.81, _xll.Storm.ExcelMacros.GvDaily("/BRN&lt;2&gt;", D$3, A2368, "", "", "", , "p", , , , , , "Hundredths", , FALSE, , ""))</f>
        <v>74.81</v>
      </c>
      <c r="E2368" s="10">
        <f>IF(ISERROR(_xll.Storm.ExcelMacros.GvDaily("/BRN&lt;3&gt;", E$3, A2368, "", "", "", , "p", , , , , , "Hundredths", , FALSE, , "")), 73.58, _xll.Storm.ExcelMacros.GvDaily("/BRN&lt;3&gt;", E$3, A2368, "", "", "", , "p", , , , , , "Hundredths", , FALSE, , ""))</f>
        <v>73.58</v>
      </c>
      <c r="F2368" s="10">
        <f>IF(ISERROR(_xll.Storm.ExcelMacros.GvDaily("/BRN&lt;4&gt;", F$3, A2368, "", "", "", , "p", , , , , , "Hundredths", , FALSE, , "")), 72.48, _xll.Storm.ExcelMacros.GvDaily("/BRN&lt;4&gt;", F$3, A2368, "", "", "", , "p", , , , , , "Hundredths", , FALSE, , ""))</f>
        <v>72.48</v>
      </c>
      <c r="G2368" s="10">
        <f>IF(ISERROR(_xll.Storm.ExcelMacros.GvDaily("/BRN&lt;5&gt;", G$3, A2368, "", "", "", , "p", , , , , , "Hundredths", , FALSE, , "")), 71.52, _xll.Storm.ExcelMacros.GvDaily("/BRN&lt;5&gt;", G$3, A2368, "", "", "", , "p", , , , , , "Hundredths", , FALSE, , ""))</f>
        <v>71.52</v>
      </c>
      <c r="H2368" s="10">
        <f>IF(ISERROR(_xll.Storm.ExcelMacros.GvDaily("/BRN&lt;6&gt;", H$3, A2368, "", "", "", , "p", , , , , , "Hundredths", , FALSE, , "")), 70.71, _xll.Storm.ExcelMacros.GvDaily("/BRN&lt;6&gt;", H$3, A2368, "", "", "", , "p", , , , , , "Hundredths", , FALSE, , ""))</f>
        <v>70.710000000000008</v>
      </c>
      <c r="I2368" s="10">
        <f>IF(ISERROR(_xll.Storm.ExcelMacros.GvDaily("/BRN&lt;7&gt;", I$3, A2368, "", "", "", , "p", , , , , , "Hundredths", , FALSE, , "")), 70.02, _xll.Storm.ExcelMacros.GvDaily("/BRN&lt;7&gt;", I$3, A2368, "", "", "", , "p", , , , , , "Hundredths", , FALSE, , ""))</f>
        <v>70.02</v>
      </c>
      <c r="J2368" s="10">
        <f>IF(ISERROR(_xll.Storm.ExcelMacros.GvDaily("/BRN&lt;8&gt;", J$3, A2368, "", "", "", , "p", , , , , , "Hundredths", , FALSE, , "")), 69.42, _xll.Storm.ExcelMacros.GvDaily("/BRN&lt;8&gt;", J$3, A2368, "", "", "", , "p", , , , , , "Hundredths", , FALSE, , ""))</f>
        <v>69.42</v>
      </c>
      <c r="K2368" s="10">
        <f>IF(ISERROR(_xll.Storm.ExcelMacros.GvDaily("/BRN&lt;9&gt;", K$3, A2368, "", "", "", , "p", , , , , , "Hundredths", , FALSE, , "")), 68.92, _xll.Storm.ExcelMacros.GvDaily("/BRN&lt;9&gt;", K$3, A2368, "", "", "", , "p", , , , , , "Hundredths", , FALSE, , ""))</f>
        <v>68.92</v>
      </c>
      <c r="L2368" s="10">
        <f>IF(ISERROR(_xll.Storm.ExcelMacros.GvDaily("/BRN&lt;10&gt;", L$3, A2368, "", "", "", , "p", , , , , , "Hundredths", , FALSE, , "")), 68.52, _xll.Storm.ExcelMacros.GvDaily("/BRN&lt;10&gt;", L$3, A2368, "", "", "", , "p", , , , , , "Hundredths", , FALSE, , ""))</f>
        <v>68.52</v>
      </c>
      <c r="M2368" s="10">
        <f>IF(ISERROR(_xll.Storm.ExcelMacros.GvDaily("/BRN&lt;11&gt;", M$3, A2368, "", "", "", , "p", , , , , , "Hundredths", , FALSE, , "")), 68.18, _xll.Storm.ExcelMacros.GvDaily("/BRN&lt;11&gt;", M$3, A2368, "", "", "", , "p", , , , , , "Hundredths", , FALSE, , ""))</f>
        <v>68.180000000000007</v>
      </c>
      <c r="N2368" s="10">
        <f>IF(ISERROR(_xll.Storm.ExcelMacros.GvDaily("/GCL&lt;0&gt;", N$3, A2368, "", "", "", , "p", , , , , , "Hundredths", , FALSE, , "")), 71.23, _xll.Storm.ExcelMacros.GvDaily("/GCL&lt;0&gt;", N$3, A2368, "", "", "", , "p", , , , , , "Hundredths", , FALSE, , ""))</f>
        <v>71.23</v>
      </c>
      <c r="O2368" s="10">
        <f>IF(ISERROR(_xll.Storm.ExcelMacros.GvDaily("/GCL&lt;1&gt;", O$3, A2368, "", "", "", , "p", , , , , , "Hundredths", , FALSE, , "")), 70.72, _xll.Storm.ExcelMacros.GvDaily("/GCL&lt;1&gt;", O$3, A2368, "", "", "", , "p", , , , , , "Hundredths", , FALSE, , ""))</f>
        <v>70.72</v>
      </c>
      <c r="P2368" s="10">
        <f>IF(ISERROR(_xll.Storm.ExcelMacros.GvDaily("/GCL&lt;2&gt;", P$3, A2368, "", "", "", , "p", , , , , , "Hundredths", , FALSE, , "")), 69.81, _xll.Storm.ExcelMacros.GvDaily("/GCL&lt;2&gt;", P$3, A2368, "", "", "", , "p", , , , , , "Hundredths", , FALSE, , ""))</f>
        <v>69.81</v>
      </c>
      <c r="Q2368" s="10">
        <f>IF(ISERROR(_xll.Storm.ExcelMacros.GvDaily("/GCL&lt;3&gt;", Q$3, A2368, "", "", "", , "p", , , , , , "Hundredths", , FALSE, , "")), 68.93, _xll.Storm.ExcelMacros.GvDaily("/GCL&lt;3&gt;", Q$3, A2368, "", "", "", , "p", , , , , , "Hundredths", , FALSE, , ""))</f>
        <v>68.930000000000007</v>
      </c>
      <c r="R2368" s="10">
        <f>IF(ISERROR(_xll.Storm.ExcelMacros.GvDaily("/GCL&lt;4&gt;", R$3, A2368, "", "", "", , "p", , , , , , "Hundredths", , FALSE, , "")), 68.01, _xll.Storm.ExcelMacros.GvDaily("/GCL&lt;4&gt;", R$3, A2368, "", "", "", , "p", , , , , , "Hundredths", , FALSE, , ""))</f>
        <v>68.010000000000005</v>
      </c>
      <c r="S2368" s="10">
        <f>IF(ISERROR(_xll.Storm.ExcelMacros.GvDaily("/GCL&lt;5&gt;", S$3, A2368, "", "", "", , "p", , , , , , "Hundredths", , FALSE, , "")), 67.07, _xll.Storm.ExcelMacros.GvDaily("/GCL&lt;5&gt;", S$3, A2368, "", "", "", , "p", , , , , , "Hundredths", , FALSE, , ""))</f>
        <v>67.070000000000007</v>
      </c>
      <c r="T2368" s="10">
        <f>IF(ISERROR(_xll.Storm.ExcelMacros.GvDaily("/GCL&lt;6&gt;", T$3, A2368, "", "", "", , "p", , , , , , "Hundredths", , FALSE, , "")), 66.18, _xll.Storm.ExcelMacros.GvDaily("/GCL&lt;6&gt;", T$3, A2368, "", "", "", , "p", , , , , , "Hundredths", , FALSE, , ""))</f>
        <v>66.180000000000007</v>
      </c>
      <c r="U2368" s="10">
        <f>IF(ISERROR(_xll.Storm.ExcelMacros.GvDaily("/GCL&lt;7&gt;", U$3, A2368, "", "", "", , "p", , , , , , "Hundredths", , FALSE, , "")), 65.43, _xll.Storm.ExcelMacros.GvDaily("/GCL&lt;7&gt;", U$3, A2368, "", "", "", , "p", , , , , , "Hundredths", , FALSE, , ""))</f>
        <v>65.430000000000007</v>
      </c>
      <c r="V2368" s="10">
        <f>IF(ISERROR(_xll.Storm.ExcelMacros.GvDaily("/GCL&lt;8&gt;", V$3, A2368, "", "", "", , "p", , , , , , "Hundredths", , FALSE, , "")), 64.78, _xll.Storm.ExcelMacros.GvDaily("/GCL&lt;8&gt;", V$3, A2368, "", "", "", , "p", , , , , , "Hundredths", , FALSE, , ""))</f>
        <v>64.78</v>
      </c>
      <c r="W2368" s="10">
        <f>IF(ISERROR(_xll.Storm.ExcelMacros.GvDaily("/GCL&lt;9&gt;", W$3, A2368, "", "", "", , "p", , , , , , "Hundredths", , FALSE, , "")), 64.23, _xll.Storm.ExcelMacros.GvDaily("/GCL&lt;9&gt;", W$3, A2368, "", "", "", , "p", , , , , , "Hundredths", , FALSE, , ""))</f>
        <v>64.23</v>
      </c>
      <c r="X2368" s="10">
        <f>IF(ISERROR(_xll.Storm.ExcelMacros.GvDaily("/GCL&lt;10&gt;", X$3, A2368, "", "", "", , "p", , , , , , "Hundredths", , FALSE, , "")), 63.77, _xll.Storm.ExcelMacros.GvDaily("/GCL&lt;10&gt;", X$3, A2368, "", "", "", , "p", , , , , , "Hundredths", , FALSE, , ""))</f>
        <v>63.77</v>
      </c>
      <c r="Y2368" s="10">
        <f>IF(ISERROR(_xll.Storm.ExcelMacros.GvDaily("/GCL&lt;11&gt;", Y$3, A2368, "", "", "", , "p", , , , , , "Hundredths", , FALSE, , "")), 63.41, _xll.Storm.ExcelMacros.GvDaily("/GCL&lt;11&gt;", Y$3, A2368, "", "", "", , "p", , , , , , "Hundredths", , FALSE, , ""))</f>
        <v>63.410000000000004</v>
      </c>
      <c r="Z2368" s="11">
        <f>IF(ISERROR(_xll.Storm.ExcelMacros.GvDaily("/DBI&lt;0&gt;", Z$3, A2368, "", "", "", , "p", , , , , , "Thousandths", , FALSE, , "")), 68.404, _xll.Storm.ExcelMacros.GvDaily("/DBI&lt;0&gt;", Z$3, A2368, "", "", "", , "p", , , , , , "Thousandths", , FALSE, , ""))</f>
        <v>68.403999999999996</v>
      </c>
      <c r="AA2368" s="11">
        <f>IF(ISERROR(_xll.Storm.ExcelMacros.GvDaily("/DBI&lt;1&gt;", AA$3, A2368, "", "", "", , "p", , , , , , "Thousandths", , FALSE, , "")), 77.602, _xll.Storm.ExcelMacros.GvDaily("/DBI&lt;1&gt;", AA$3, A2368, "", "", "", , "p", , , , , , "Thousandths", , FALSE, , ""))</f>
        <v>77.602000000000004</v>
      </c>
      <c r="AB2368" s="11">
        <f>IF(ISERROR(_xll.Storm.ExcelMacros.GvDaily("/DBI&lt;2&gt;", AB$3, A2368, "", "", "", , "p", , , , , , "Thousandths", , FALSE, , "")), 73.8, _xll.Storm.ExcelMacros.GvDaily("/DBI&lt;2&gt;", AB$3, A2368, "", "", "", , "p", , , , , , "Thousandths", , FALSE, , ""))</f>
        <v>73.8</v>
      </c>
      <c r="AC2368" s="11">
        <f>IF(ISERROR(_xll.Storm.ExcelMacros.GvDaily("/DBI&lt;3&gt;", AC$3, A2368, "", "", "", , "p", , , , , , "Thousandths", , FALSE, , "")), 72.768, _xll.Storm.ExcelMacros.GvDaily("/DBI&lt;3&gt;", AC$3, A2368, "", "", "", , "p", , , , , , "Thousandths", , FALSE, , ""))</f>
        <v>72.768000000000001</v>
      </c>
      <c r="AD2368" s="11">
        <f>IF(ISERROR(_xll.Storm.ExcelMacros.GvDaily("/DBI&lt;4&gt;", AD$3, A2368, "", "", "", , "p", , , , , , "Thousandths", , FALSE, , "")), 71.855, _xll.Storm.ExcelMacros.GvDaily("/DBI&lt;4&gt;", AD$3, A2368, "", "", "", , "p", , , , , , "Thousandths", , FALSE, , ""))</f>
        <v>71.855000000000004</v>
      </c>
      <c r="AE2368" s="11">
        <f>IF(ISERROR(_xll.Storm.ExcelMacros.GvDaily("/DBI&lt;5&gt;", AE$3, A2368, "", "", "", , "p", , , , , , "Thousandths", , FALSE, , "")), 71.124, _xll.Storm.ExcelMacros.GvDaily("/DBI&lt;5&gt;", AE$3, A2368, "", "", "", , "p", , , , , , "Thousandths", , FALSE, , ""))</f>
        <v>71.123999999999995</v>
      </c>
      <c r="AF2368" s="11">
        <f>IF(ISERROR(_xll.Storm.ExcelMacros.GvDaily("/DBI&lt;6&gt;", AF$3, A2368, "", "", "", , "p", , , , , , "Thousandths", , FALSE, , "")), 70.453, _xll.Storm.ExcelMacros.GvDaily("/DBI&lt;6&gt;", AF$3, A2368, "", "", "", , "p", , , , , , "Thousandths", , FALSE, , ""))</f>
        <v>70.453000000000003</v>
      </c>
      <c r="AG2368" s="11">
        <f>IF(ISERROR(_xll.Storm.ExcelMacros.GvDaily("/DBI&lt;7&gt;", AG$3, A2368, "", "", "", , "p", , , , , , "Thousandths", , FALSE, , "")), 69.882, _xll.Storm.ExcelMacros.GvDaily("/DBI&lt;7&gt;", AG$3, A2368, "", "", "", , "p", , , , , , "Thousandths", , FALSE, , ""))</f>
        <v>69.882000000000005</v>
      </c>
      <c r="AH2368" s="11">
        <f>IF(ISERROR(_xll.Storm.ExcelMacros.GvDaily("/DBI&lt;8&gt;", AH$3, A2368, "", "", "", , "p", , , , , , "Thousandths", , FALSE, , "")), 69.331, _xll.Storm.ExcelMacros.GvDaily("/DBI&lt;8&gt;", AH$3, A2368, "", "", "", , "p", , , , , , "Thousandths", , FALSE, , ""))</f>
        <v>69.331000000000003</v>
      </c>
      <c r="AI2368" s="11">
        <f>IF(ISERROR(_xll.Storm.ExcelMacros.GvDaily("/DBI&lt;9&gt;", AI$3, A2368, "", "", "", , "p", , , , , , "Thousandths", , FALSE, , "")), 68.798, _xll.Storm.ExcelMacros.GvDaily("/DBI&lt;9&gt;", AI$3, A2368, "", "", "", , "p", , , , , , "Thousandths", , FALSE, , ""))</f>
        <v>68.798000000000002</v>
      </c>
      <c r="AJ2368" s="11">
        <f>IF(ISERROR(_xll.Storm.ExcelMacros.GvDaily("/DBI&lt;10&gt;", AJ$3, A2368, "", "", "", , "p", , , , , , "Thousandths", , FALSE, , "")), 68.398, _xll.Storm.ExcelMacros.GvDaily("/DBI&lt;10&gt;", AJ$3, A2368, "", "", "", , "p", , , , , , "Thousandths", , FALSE, , ""))</f>
        <v>68.397999999999996</v>
      </c>
      <c r="AK2368" s="11">
        <f>IF(ISERROR(_xll.Storm.ExcelMacros.GvDaily("/DBI&lt;11&gt;", AK$3, A2368, "", "", "", , "p", , , , , , "Thousandths", , FALSE, , "")), 68.056, _xll.Storm.ExcelMacros.GvDaily("/DBI&lt;11&gt;", AK$3, A2368, "", "", "", , "p", , , , , , "Thousandths", , FALSE, , ""))</f>
        <v>68.055999999999997</v>
      </c>
      <c r="AL2368" s="11"/>
    </row>
    <row r="2369" spans="1:38" x14ac:dyDescent="0.3">
      <c r="A2369" s="9">
        <f>DATE(2026, 3, 3)</f>
        <v>46084</v>
      </c>
      <c r="B2369" s="10">
        <f>IF(ISERROR(_xll.Storm.ExcelMacros.GvDaily("/BRN&lt;0&gt;", B$3, A2369, "", "", "", , "p", , , , , , "Hundredths", , FALSE, , "")), 81.4, _xll.Storm.ExcelMacros.GvDaily("/BRN&lt;0&gt;", B$3, A2369, "", "", "", , "p", , , , , , "Hundredths", , FALSE, , ""))</f>
        <v>81.400000000000006</v>
      </c>
      <c r="C2369" s="10">
        <f>IF(ISERROR(_xll.Storm.ExcelMacros.GvDaily("/BRN&lt;1&gt;", C$3, A2369, "", "", "", , "p", , , , , , "Hundredths", , FALSE, , "")), 78.38, _xll.Storm.ExcelMacros.GvDaily("/BRN&lt;1&gt;", C$3, A2369, "", "", "", , "p", , , , , , "Hundredths", , FALSE, , ""))</f>
        <v>78.38</v>
      </c>
      <c r="D2369" s="10">
        <f>IF(ISERROR(_xll.Storm.ExcelMacros.GvDaily("/BRN&lt;2&gt;", D$3, A2369, "", "", "", , "p", , , , , , "Hundredths", , FALSE, , "")), 76.28, _xll.Storm.ExcelMacros.GvDaily("/BRN&lt;2&gt;", D$3, A2369, "", "", "", , "p", , , , , , "Hundredths", , FALSE, , ""))</f>
        <v>76.28</v>
      </c>
      <c r="E2369" s="10">
        <f>IF(ISERROR(_xll.Storm.ExcelMacros.GvDaily("/BRN&lt;3&gt;", E$3, A2369, "", "", "", , "p", , , , , , "Hundredths", , FALSE, , "")), 74.67, _xll.Storm.ExcelMacros.GvDaily("/BRN&lt;3&gt;", E$3, A2369, "", "", "", , "p", , , , , , "Hundredths", , FALSE, , ""))</f>
        <v>74.67</v>
      </c>
      <c r="F2369" s="10">
        <f>IF(ISERROR(_xll.Storm.ExcelMacros.GvDaily("/BRN&lt;4&gt;", F$3, A2369, "", "", "", , "p", , , , , , "Hundredths", , FALSE, , "")), 73.37, _xll.Storm.ExcelMacros.GvDaily("/BRN&lt;4&gt;", F$3, A2369, "", "", "", , "p", , , , , , "Hundredths", , FALSE, , ""))</f>
        <v>73.37</v>
      </c>
      <c r="G2369" s="10">
        <f>IF(ISERROR(_xll.Storm.ExcelMacros.GvDaily("/BRN&lt;5&gt;", G$3, A2369, "", "", "", , "p", , , , , , "Hundredths", , FALSE, , "")), 72.25, _xll.Storm.ExcelMacros.GvDaily("/BRN&lt;5&gt;", G$3, A2369, "", "", "", , "p", , , , , , "Hundredths", , FALSE, , ""))</f>
        <v>72.25</v>
      </c>
      <c r="H2369" s="10">
        <f>IF(ISERROR(_xll.Storm.ExcelMacros.GvDaily("/BRN&lt;6&gt;", H$3, A2369, "", "", "", , "p", , , , , , "Hundredths", , FALSE, , "")), 71.3, _xll.Storm.ExcelMacros.GvDaily("/BRN&lt;6&gt;", H$3, A2369, "", "", "", , "p", , , , , , "Hundredths", , FALSE, , ""))</f>
        <v>71.3</v>
      </c>
      <c r="I2369" s="10">
        <f>IF(ISERROR(_xll.Storm.ExcelMacros.GvDaily("/BRN&lt;7&gt;", I$3, A2369, "", "", "", , "p", , , , , , "Hundredths", , FALSE, , "")), 70.49, _xll.Storm.ExcelMacros.GvDaily("/BRN&lt;7&gt;", I$3, A2369, "", "", "", , "p", , , , , , "Hundredths", , FALSE, , ""))</f>
        <v>70.489999999999995</v>
      </c>
      <c r="J2369" s="10">
        <f>IF(ISERROR(_xll.Storm.ExcelMacros.GvDaily("/BRN&lt;8&gt;", J$3, A2369, "", "", "", , "p", , , , , , "Hundredths", , FALSE, , "")), 69.77, _xll.Storm.ExcelMacros.GvDaily("/BRN&lt;8&gt;", J$3, A2369, "", "", "", , "p", , , , , , "Hundredths", , FALSE, , ""))</f>
        <v>69.77</v>
      </c>
      <c r="K2369" s="10">
        <f>IF(ISERROR(_xll.Storm.ExcelMacros.GvDaily("/BRN&lt;9&gt;", K$3, A2369, "", "", "", , "p", , , , , , "Hundredths", , FALSE, , "")), 69.18, _xll.Storm.ExcelMacros.GvDaily("/BRN&lt;9&gt;", K$3, A2369, "", "", "", , "p", , , , , , "Hundredths", , FALSE, , ""))</f>
        <v>69.180000000000007</v>
      </c>
      <c r="L2369" s="10">
        <f>IF(ISERROR(_xll.Storm.ExcelMacros.GvDaily("/BRN&lt;10&gt;", L$3, A2369, "", "", "", , "p", , , , , , "Hundredths", , FALSE, , "")), 68.72, _xll.Storm.ExcelMacros.GvDaily("/BRN&lt;10&gt;", L$3, A2369, "", "", "", , "p", , , , , , "Hundredths", , FALSE, , ""))</f>
        <v>68.72</v>
      </c>
      <c r="M2369" s="10">
        <f>IF(ISERROR(_xll.Storm.ExcelMacros.GvDaily("/BRN&lt;11&gt;", M$3, A2369, "", "", "", , "p", , , , , , "Hundredths", , FALSE, , "")), 68.34, _xll.Storm.ExcelMacros.GvDaily("/BRN&lt;11&gt;", M$3, A2369, "", "", "", , "p", , , , , , "Hundredths", , FALSE, , ""))</f>
        <v>68.34</v>
      </c>
      <c r="N2369" s="10">
        <f>IF(ISERROR(_xll.Storm.ExcelMacros.GvDaily("/GCL&lt;0&gt;", N$3, A2369, "", "", "", , "p", , , , , , "Hundredths", , FALSE, , "")), 74.56, _xll.Storm.ExcelMacros.GvDaily("/GCL&lt;0&gt;", N$3, A2369, "", "", "", , "p", , , , , , "Hundredths", , FALSE, , ""))</f>
        <v>74.56</v>
      </c>
      <c r="O2369" s="10">
        <f>IF(ISERROR(_xll.Storm.ExcelMacros.GvDaily("/GCL&lt;1&gt;", O$3, A2369, "", "", "", , "p", , , , , , "Hundredths", , FALSE, , "")), 73.55, _xll.Storm.ExcelMacros.GvDaily("/GCL&lt;1&gt;", O$3, A2369, "", "", "", , "p", , , , , , "Hundredths", , FALSE, , ""))</f>
        <v>73.55</v>
      </c>
      <c r="P2369" s="10">
        <f>IF(ISERROR(_xll.Storm.ExcelMacros.GvDaily("/GCL&lt;2&gt;", P$3, A2369, "", "", "", , "p", , , , , , "Hundredths", , FALSE, , "")), 71.88, _xll.Storm.ExcelMacros.GvDaily("/GCL&lt;2&gt;", P$3, A2369, "", "", "", , "p", , , , , , "Hundredths", , FALSE, , ""))</f>
        <v>71.88</v>
      </c>
      <c r="Q2369" s="10">
        <f>IF(ISERROR(_xll.Storm.ExcelMacros.GvDaily("/GCL&lt;3&gt;", Q$3, A2369, "", "", "", , "p", , , , , , "Hundredths", , FALSE, , "")), 70.49, _xll.Storm.ExcelMacros.GvDaily("/GCL&lt;3&gt;", Q$3, A2369, "", "", "", , "p", , , , , , "Hundredths", , FALSE, , ""))</f>
        <v>70.489999999999995</v>
      </c>
      <c r="R2369" s="10">
        <f>IF(ISERROR(_xll.Storm.ExcelMacros.GvDaily("/GCL&lt;4&gt;", R$3, A2369, "", "", "", , "p", , , , , , "Hundredths", , FALSE, , "")), 69.25, _xll.Storm.ExcelMacros.GvDaily("/GCL&lt;4&gt;", R$3, A2369, "", "", "", , "p", , , , , , "Hundredths", , FALSE, , ""))</f>
        <v>69.25</v>
      </c>
      <c r="S2369" s="10">
        <f>IF(ISERROR(_xll.Storm.ExcelMacros.GvDaily("/GCL&lt;5&gt;", S$3, A2369, "", "", "", , "p", , , , , , "Hundredths", , FALSE, , "")), 68.11, _xll.Storm.ExcelMacros.GvDaily("/GCL&lt;5&gt;", S$3, A2369, "", "", "", , "p", , , , , , "Hundredths", , FALSE, , ""))</f>
        <v>68.11</v>
      </c>
      <c r="T2369" s="10">
        <f>IF(ISERROR(_xll.Storm.ExcelMacros.GvDaily("/GCL&lt;6&gt;", T$3, A2369, "", "", "", , "p", , , , , , "Hundredths", , FALSE, , "")), 67.03, _xll.Storm.ExcelMacros.GvDaily("/GCL&lt;6&gt;", T$3, A2369, "", "", "", , "p", , , , , , "Hundredths", , FALSE, , ""))</f>
        <v>67.03</v>
      </c>
      <c r="U2369" s="10">
        <f>IF(ISERROR(_xll.Storm.ExcelMacros.GvDaily("/GCL&lt;7&gt;", U$3, A2369, "", "", "", , "p", , , , , , "Hundredths", , FALSE, , "")), 66.09, _xll.Storm.ExcelMacros.GvDaily("/GCL&lt;7&gt;", U$3, A2369, "", "", "", , "p", , , , , , "Hundredths", , FALSE, , ""))</f>
        <v>66.09</v>
      </c>
      <c r="V2369" s="10">
        <f>IF(ISERROR(_xll.Storm.ExcelMacros.GvDaily("/GCL&lt;8&gt;", V$3, A2369, "", "", "", , "p", , , , , , "Hundredths", , FALSE, , "")), 65.29, _xll.Storm.ExcelMacros.GvDaily("/GCL&lt;8&gt;", V$3, A2369, "", "", "", , "p", , , , , , "Hundredths", , FALSE, , ""))</f>
        <v>65.290000000000006</v>
      </c>
      <c r="W2369" s="10">
        <f>IF(ISERROR(_xll.Storm.ExcelMacros.GvDaily("/GCL&lt;9&gt;", W$3, A2369, "", "", "", , "p", , , , , , "Hundredths", , FALSE, , "")), 64.59, _xll.Storm.ExcelMacros.GvDaily("/GCL&lt;9&gt;", W$3, A2369, "", "", "", , "p", , , , , , "Hundredths", , FALSE, , ""))</f>
        <v>64.59</v>
      </c>
      <c r="X2369" s="10">
        <f>IF(ISERROR(_xll.Storm.ExcelMacros.GvDaily("/GCL&lt;10&gt;", X$3, A2369, "", "", "", , "p", , , , , , "Hundredths", , FALSE, , "")), 64.03, _xll.Storm.ExcelMacros.GvDaily("/GCL&lt;10&gt;", X$3, A2369, "", "", "", , "p", , , , , , "Hundredths", , FALSE, , ""))</f>
        <v>64.03</v>
      </c>
      <c r="Y2369" s="10">
        <f>IF(ISERROR(_xll.Storm.ExcelMacros.GvDaily("/GCL&lt;11&gt;", Y$3, A2369, "", "", "", , "p", , , , , , "Hundredths", , FALSE, , "")), 63.6, _xll.Storm.ExcelMacros.GvDaily("/GCL&lt;11&gt;", Y$3, A2369, "", "", "", , "p", , , , , , "Hundredths", , FALSE, , ""))</f>
        <v>63.6</v>
      </c>
      <c r="Z2369" s="11">
        <f>IF(ISERROR(_xll.Storm.ExcelMacros.GvDaily("/DBI&lt;0&gt;", Z$3, A2369, "", "", "", , "p", , , , , , "Thousandths", , FALSE, , "")), 79.689, _xll.Storm.ExcelMacros.GvDaily("/DBI&lt;0&gt;", Z$3, A2369, "", "", "", , "p", , , , , , "Thousandths", , FALSE, , ""))</f>
        <v>79.689000000000007</v>
      </c>
      <c r="AA2369" s="11">
        <f>IF(ISERROR(_xll.Storm.ExcelMacros.GvDaily("/DBI&lt;1&gt;", AA$3, A2369, "", "", "", , "p", , , , , , "Thousandths", , FALSE, , "")), 74.544, _xll.Storm.ExcelMacros.GvDaily("/DBI&lt;1&gt;", AA$3, A2369, "", "", "", , "p", , , , , , "Thousandths", , FALSE, , ""))</f>
        <v>74.543999999999997</v>
      </c>
      <c r="AB2369" s="11">
        <f>IF(ISERROR(_xll.Storm.ExcelMacros.GvDaily("/DBI&lt;2&gt;", AB$3, A2369, "", "", "", , "p", , , , , , "Thousandths", , FALSE, , "")), 73.15, _xll.Storm.ExcelMacros.GvDaily("/DBI&lt;2&gt;", AB$3, A2369, "", "", "", , "p", , , , , , "Thousandths", , FALSE, , ""))</f>
        <v>73.150000000000006</v>
      </c>
      <c r="AC2369" s="11">
        <f>IF(ISERROR(_xll.Storm.ExcelMacros.GvDaily("/DBI&lt;3&gt;", AC$3, A2369, "", "", "", , "p", , , , , , "Thousandths", , FALSE, , "")), 72.171, _xll.Storm.ExcelMacros.GvDaily("/DBI&lt;3&gt;", AC$3, A2369, "", "", "", , "p", , , , , , "Thousandths", , FALSE, , ""))</f>
        <v>72.171000000000006</v>
      </c>
      <c r="AD2369" s="11">
        <f>IF(ISERROR(_xll.Storm.ExcelMacros.GvDaily("/DBI&lt;4&gt;", AD$3, A2369, "", "", "", , "p", , , , , , "Thousandths", , FALSE, , "")), 71.36, _xll.Storm.ExcelMacros.GvDaily("/DBI&lt;4&gt;", AD$3, A2369, "", "", "", , "p", , , , , , "Thousandths", , FALSE, , ""))</f>
        <v>71.36</v>
      </c>
      <c r="AE2369" s="11">
        <f>IF(ISERROR(_xll.Storm.ExcelMacros.GvDaily("/DBI&lt;5&gt;", AE$3, A2369, "", "", "", , "p", , , , , , "Thousandths", , FALSE, , "")), 70.649, _xll.Storm.ExcelMacros.GvDaily("/DBI&lt;5&gt;", AE$3, A2369, "", "", "", , "p", , , , , , "Thousandths", , FALSE, , ""))</f>
        <v>70.649000000000001</v>
      </c>
      <c r="AF2369" s="11">
        <f>IF(ISERROR(_xll.Storm.ExcelMacros.GvDaily("/DBI&lt;6&gt;", AF$3, A2369, "", "", "", , "p", , , , , , "Thousandths", , FALSE, , "")), 70.039, _xll.Storm.ExcelMacros.GvDaily("/DBI&lt;6&gt;", AF$3, A2369, "", "", "", , "p", , , , , , "Thousandths", , FALSE, , ""))</f>
        <v>70.039000000000001</v>
      </c>
      <c r="AG2369" s="11">
        <f>IF(ISERROR(_xll.Storm.ExcelMacros.GvDaily("/DBI&lt;7&gt;", AG$3, A2369, "", "", "", , "p", , , , , , "Thousandths", , FALSE, , "")), 69.478, _xll.Storm.ExcelMacros.GvDaily("/DBI&lt;7&gt;", AG$3, A2369, "", "", "", , "p", , , , , , "Thousandths", , FALSE, , ""))</f>
        <v>69.477999999999994</v>
      </c>
      <c r="AH2369" s="11">
        <f>IF(ISERROR(_xll.Storm.ExcelMacros.GvDaily("/DBI&lt;8&gt;", AH$3, A2369, "", "", "", , "p", , , , , , "Thousandths", , FALSE, , "")), 68.957, _xll.Storm.ExcelMacros.GvDaily("/DBI&lt;8&gt;", AH$3, A2369, "", "", "", , "p", , , , , , "Thousandths", , FALSE, , ""))</f>
        <v>68.957000000000008</v>
      </c>
      <c r="AI2369" s="11">
        <f>IF(ISERROR(_xll.Storm.ExcelMacros.GvDaily("/DBI&lt;9&gt;", AI$3, A2369, "", "", "", , "p", , , , , , "Thousandths", , FALSE, , "")), 68.514, _xll.Storm.ExcelMacros.GvDaily("/DBI&lt;9&gt;", AI$3, A2369, "", "", "", , "p", , , , , , "Thousandths", , FALSE, , ""))</f>
        <v>68.513999999999996</v>
      </c>
      <c r="AJ2369" s="11">
        <f>IF(ISERROR(_xll.Storm.ExcelMacros.GvDaily("/DBI&lt;10&gt;", AJ$3, A2369, "", "", "", , "p", , , , , , "Thousandths", , FALSE, , "")), 68.131, _xll.Storm.ExcelMacros.GvDaily("/DBI&lt;10&gt;", AJ$3, A2369, "", "", "", , "p", , , , , , "Thousandths", , FALSE, , ""))</f>
        <v>68.131</v>
      </c>
      <c r="AK2369" s="11">
        <f>IF(ISERROR(_xll.Storm.ExcelMacros.GvDaily("/DBI&lt;11&gt;", AK$3, A2369, "", "", "", , "p", , , , , , "Thousandths", , FALSE, , "")), 67.804, _xll.Storm.ExcelMacros.GvDaily("/DBI&lt;11&gt;", AK$3, A2369, "", "", "", , "p", , , , , , "Thousandths", , FALSE, , ""))</f>
        <v>67.804000000000002</v>
      </c>
      <c r="AL2369" s="11"/>
    </row>
    <row r="2370" spans="1:38" x14ac:dyDescent="0.3">
      <c r="A2370" s="9">
        <f>DATE(2026, 3, 4)</f>
        <v>46085</v>
      </c>
      <c r="B2370" s="10">
        <f>IF(ISERROR(_xll.Storm.ExcelMacros.GvDaily("/BRN&lt;0&gt;", B$3, A2370, "", "", "", , "p", , , , , , "Hundredths", , FALSE, , "")), 81.4, _xll.Storm.ExcelMacros.GvDaily("/BRN&lt;0&gt;", B$3, A2370, "", "", "", , "p", , , , , , "Hundredths", , FALSE, , ""))</f>
        <v>81.400000000000006</v>
      </c>
      <c r="C2370" s="10">
        <f>IF(ISERROR(_xll.Storm.ExcelMacros.GvDaily("/BRN&lt;1&gt;", C$3, A2370, "", "", "", , "p", , , , , , "Hundredths", , FALSE, , "")), 78.01, _xll.Storm.ExcelMacros.GvDaily("/BRN&lt;1&gt;", C$3, A2370, "", "", "", , "p", , , , , , "Hundredths", , FALSE, , ""))</f>
        <v>78.010000000000005</v>
      </c>
      <c r="D2370" s="10">
        <f>IF(ISERROR(_xll.Storm.ExcelMacros.GvDaily("/BRN&lt;2&gt;", D$3, A2370, "", "", "", , "p", , , , , , "Hundredths", , FALSE, , "")), 75.93, _xll.Storm.ExcelMacros.GvDaily("/BRN&lt;2&gt;", D$3, A2370, "", "", "", , "p", , , , , , "Hundredths", , FALSE, , ""))</f>
        <v>75.930000000000007</v>
      </c>
      <c r="E2370" s="10">
        <f>IF(ISERROR(_xll.Storm.ExcelMacros.GvDaily("/BRN&lt;3&gt;", E$3, A2370, "", "", "", , "p", , , , , , "Hundredths", , FALSE, , "")), 74.39, _xll.Storm.ExcelMacros.GvDaily("/BRN&lt;3&gt;", E$3, A2370, "", "", "", , "p", , , , , , "Hundredths", , FALSE, , ""))</f>
        <v>74.39</v>
      </c>
      <c r="F2370" s="10">
        <f>IF(ISERROR(_xll.Storm.ExcelMacros.GvDaily("/BRN&lt;4&gt;", F$3, A2370, "", "", "", , "p", , , , , , "Hundredths", , FALSE, , "")), 73.2, _xll.Storm.ExcelMacros.GvDaily("/BRN&lt;4&gt;", F$3, A2370, "", "", "", , "p", , , , , , "Hundredths", , FALSE, , ""))</f>
        <v>73.2</v>
      </c>
      <c r="G2370" s="10">
        <f>IF(ISERROR(_xll.Storm.ExcelMacros.GvDaily("/BRN&lt;5&gt;", G$3, A2370, "", "", "", , "p", , , , , , "Hundredths", , FALSE, , "")), 72.2, _xll.Storm.ExcelMacros.GvDaily("/BRN&lt;5&gt;", G$3, A2370, "", "", "", , "p", , , , , , "Hundredths", , FALSE, , ""))</f>
        <v>72.2</v>
      </c>
      <c r="H2370" s="10">
        <f>IF(ISERROR(_xll.Storm.ExcelMacros.GvDaily("/BRN&lt;6&gt;", H$3, A2370, "", "", "", , "p", , , , , , "Hundredths", , FALSE, , "")), 71.37, _xll.Storm.ExcelMacros.GvDaily("/BRN&lt;6&gt;", H$3, A2370, "", "", "", , "p", , , , , , "Hundredths", , FALSE, , ""))</f>
        <v>71.37</v>
      </c>
      <c r="I2370" s="10">
        <f>IF(ISERROR(_xll.Storm.ExcelMacros.GvDaily("/BRN&lt;7&gt;", I$3, A2370, "", "", "", , "p", , , , , , "Hundredths", , FALSE, , "")), 70.66, _xll.Storm.ExcelMacros.GvDaily("/BRN&lt;7&gt;", I$3, A2370, "", "", "", , "p", , , , , , "Hundredths", , FALSE, , ""))</f>
        <v>70.66</v>
      </c>
      <c r="J2370" s="10">
        <f>IF(ISERROR(_xll.Storm.ExcelMacros.GvDaily("/BRN&lt;8&gt;", J$3, A2370, "", "", "", , "p", , , , , , "Hundredths", , FALSE, , "")), 70.04, _xll.Storm.ExcelMacros.GvDaily("/BRN&lt;8&gt;", J$3, A2370, "", "", "", , "p", , , , , , "Hundredths", , FALSE, , ""))</f>
        <v>70.040000000000006</v>
      </c>
      <c r="K2370" s="10">
        <f>IF(ISERROR(_xll.Storm.ExcelMacros.GvDaily("/BRN&lt;9&gt;", K$3, A2370, "", "", "", , "p", , , , , , "Hundredths", , FALSE, , "")), 69.52, _xll.Storm.ExcelMacros.GvDaily("/BRN&lt;9&gt;", K$3, A2370, "", "", "", , "p", , , , , , "Hundredths", , FALSE, , ""))</f>
        <v>69.52</v>
      </c>
      <c r="L2370" s="10">
        <f>IF(ISERROR(_xll.Storm.ExcelMacros.GvDaily("/BRN&lt;10&gt;", L$3, A2370, "", "", "", , "p", , , , , , "Hundredths", , FALSE, , "")), 69.12, _xll.Storm.ExcelMacros.GvDaily("/BRN&lt;10&gt;", L$3, A2370, "", "", "", , "p", , , , , , "Hundredths", , FALSE, , ""))</f>
        <v>69.12</v>
      </c>
      <c r="M2370" s="10">
        <f>IF(ISERROR(_xll.Storm.ExcelMacros.GvDaily("/BRN&lt;11&gt;", M$3, A2370, "", "", "", , "p", , , , , , "Hundredths", , FALSE, , "")), 68.8, _xll.Storm.ExcelMacros.GvDaily("/BRN&lt;11&gt;", M$3, A2370, "", "", "", , "p", , , , , , "Hundredths", , FALSE, , ""))</f>
        <v>68.8</v>
      </c>
      <c r="N2370" s="10">
        <f>IF(ISERROR(_xll.Storm.ExcelMacros.GvDaily("/GCL&lt;0&gt;", N$3, A2370, "", "", "", , "p", , , , , , "Hundredths", , FALSE, , "")), 74.66, _xll.Storm.ExcelMacros.GvDaily("/GCL&lt;0&gt;", N$3, A2370, "", "", "", , "p", , , , , , "Hundredths", , FALSE, , ""))</f>
        <v>74.66</v>
      </c>
      <c r="O2370" s="10">
        <f>IF(ISERROR(_xll.Storm.ExcelMacros.GvDaily("/GCL&lt;1&gt;", O$3, A2370, "", "", "", , "p", , , , , , "Hundredths", , FALSE, , "")), 73.46, _xll.Storm.ExcelMacros.GvDaily("/GCL&lt;1&gt;", O$3, A2370, "", "", "", , "p", , , , , , "Hundredths", , FALSE, , ""))</f>
        <v>73.460000000000008</v>
      </c>
      <c r="P2370" s="10">
        <f>IF(ISERROR(_xll.Storm.ExcelMacros.GvDaily("/GCL&lt;2&gt;", P$3, A2370, "", "", "", , "p", , , , , , "Hundredths", , FALSE, , "")), 71.76, _xll.Storm.ExcelMacros.GvDaily("/GCL&lt;2&gt;", P$3, A2370, "", "", "", , "p", , , , , , "Hundredths", , FALSE, , ""))</f>
        <v>71.760000000000005</v>
      </c>
      <c r="Q2370" s="10">
        <f>IF(ISERROR(_xll.Storm.ExcelMacros.GvDaily("/GCL&lt;3&gt;", Q$3, A2370, "", "", "", , "p", , , , , , "Hundredths", , FALSE, , "")), 70.41, _xll.Storm.ExcelMacros.GvDaily("/GCL&lt;3&gt;", Q$3, A2370, "", "", "", , "p", , , , , , "Hundredths", , FALSE, , ""))</f>
        <v>70.41</v>
      </c>
      <c r="R2370" s="10">
        <f>IF(ISERROR(_xll.Storm.ExcelMacros.GvDaily("/GCL&lt;4&gt;", R$3, A2370, "", "", "", , "p", , , , , , "Hundredths", , FALSE, , "")), 69.24, _xll.Storm.ExcelMacros.GvDaily("/GCL&lt;4&gt;", R$3, A2370, "", "", "", , "p", , , , , , "Hundredths", , FALSE, , ""))</f>
        <v>69.239999999999995</v>
      </c>
      <c r="S2370" s="10">
        <f>IF(ISERROR(_xll.Storm.ExcelMacros.GvDaily("/GCL&lt;5&gt;", S$3, A2370, "", "", "", , "p", , , , , , "Hundredths", , FALSE, , "")), 68.19, _xll.Storm.ExcelMacros.GvDaily("/GCL&lt;5&gt;", S$3, A2370, "", "", "", , "p", , , , , , "Hundredths", , FALSE, , ""))</f>
        <v>68.19</v>
      </c>
      <c r="T2370" s="10">
        <f>IF(ISERROR(_xll.Storm.ExcelMacros.GvDaily("/GCL&lt;6&gt;", T$3, A2370, "", "", "", , "p", , , , , , "Hundredths", , FALSE, , "")), 67.22, _xll.Storm.ExcelMacros.GvDaily("/GCL&lt;6&gt;", T$3, A2370, "", "", "", , "p", , , , , , "Hundredths", , FALSE, , ""))</f>
        <v>67.22</v>
      </c>
      <c r="U2370" s="10">
        <f>IF(ISERROR(_xll.Storm.ExcelMacros.GvDaily("/GCL&lt;7&gt;", U$3, A2370, "", "", "", , "p", , , , , , "Hundredths", , FALSE, , "")), 66.4, _xll.Storm.ExcelMacros.GvDaily("/GCL&lt;7&gt;", U$3, A2370, "", "", "", , "p", , , , , , "Hundredths", , FALSE, , ""))</f>
        <v>66.400000000000006</v>
      </c>
      <c r="V2370" s="10">
        <f>IF(ISERROR(_xll.Storm.ExcelMacros.GvDaily("/GCL&lt;8&gt;", V$3, A2370, "", "", "", , "p", , , , , , "Hundredths", , FALSE, , "")), 65.7, _xll.Storm.ExcelMacros.GvDaily("/GCL&lt;8&gt;", V$3, A2370, "", "", "", , "p", , , , , , "Hundredths", , FALSE, , ""))</f>
        <v>65.7</v>
      </c>
      <c r="W2370" s="10">
        <f>IF(ISERROR(_xll.Storm.ExcelMacros.GvDaily("/GCL&lt;9&gt;", W$3, A2370, "", "", "", , "p", , , , , , "Hundredths", , FALSE, , "")), 65.1, _xll.Storm.ExcelMacros.GvDaily("/GCL&lt;9&gt;", W$3, A2370, "", "", "", , "p", , , , , , "Hundredths", , FALSE, , ""))</f>
        <v>65.099999999999994</v>
      </c>
      <c r="X2370" s="10">
        <f>IF(ISERROR(_xll.Storm.ExcelMacros.GvDaily("/GCL&lt;10&gt;", X$3, A2370, "", "", "", , "p", , , , , , "Hundredths", , FALSE, , "")), 64.63, _xll.Storm.ExcelMacros.GvDaily("/GCL&lt;10&gt;", X$3, A2370, "", "", "", , "p", , , , , , "Hundredths", , FALSE, , ""))</f>
        <v>64.63</v>
      </c>
      <c r="Y2370" s="10">
        <f>IF(ISERROR(_xll.Storm.ExcelMacros.GvDaily("/GCL&lt;11&gt;", Y$3, A2370, "", "", "", , "p", , , , , , "Hundredths", , FALSE, , "")), 64.27, _xll.Storm.ExcelMacros.GvDaily("/GCL&lt;11&gt;", Y$3, A2370, "", "", "", , "p", , , , , , "Hundredths", , FALSE, , ""))</f>
        <v>64.27</v>
      </c>
      <c r="Z2370" s="11">
        <f>IF(ISERROR(_xll.Storm.ExcelMacros.GvDaily("/DBI&lt;0&gt;", Z$3, A2370, "", "", "", , "p", , , , , , "Thousandths", , FALSE, , "")), 81.569, _xll.Storm.ExcelMacros.GvDaily("/DBI&lt;0&gt;", Z$3, A2370, "", "", "", , "p", , , , , , "Thousandths", , FALSE, , ""))</f>
        <v>81.569000000000003</v>
      </c>
      <c r="AA2370" s="11">
        <f>IF(ISERROR(_xll.Storm.ExcelMacros.GvDaily("/DBI&lt;1&gt;", AA$3, A2370, "", "", "", , "p", , , , , , "Thousandths", , FALSE, , "")), 74.117, _xll.Storm.ExcelMacros.GvDaily("/DBI&lt;1&gt;", AA$3, A2370, "", "", "", , "p", , , , , , "Thousandths", , FALSE, , ""))</f>
        <v>74.117000000000004</v>
      </c>
      <c r="AB2370" s="11">
        <f>IF(ISERROR(_xll.Storm.ExcelMacros.GvDaily("/DBI&lt;2&gt;", AB$3, A2370, "", "", "", , "p", , , , , , "Thousandths", , FALSE, , "")), 72.474, _xll.Storm.ExcelMacros.GvDaily("/DBI&lt;2&gt;", AB$3, A2370, "", "", "", , "p", , , , , , "Thousandths", , FALSE, , ""))</f>
        <v>72.474000000000004</v>
      </c>
      <c r="AC2370" s="11">
        <f>IF(ISERROR(_xll.Storm.ExcelMacros.GvDaily("/DBI&lt;3&gt;", AC$3, A2370, "", "", "", , "p", , , , , , "Thousandths", , FALSE, , "")), 71.62, _xll.Storm.ExcelMacros.GvDaily("/DBI&lt;3&gt;", AC$3, A2370, "", "", "", , "p", , , , , , "Thousandths", , FALSE, , ""))</f>
        <v>71.62</v>
      </c>
      <c r="AD2370" s="11">
        <f>IF(ISERROR(_xll.Storm.ExcelMacros.GvDaily("/DBI&lt;4&gt;", AD$3, A2370, "", "", "", , "p", , , , , , "Thousandths", , FALSE, , "")), 71.016, _xll.Storm.ExcelMacros.GvDaily("/DBI&lt;4&gt;", AD$3, A2370, "", "", "", , "p", , , , , , "Thousandths", , FALSE, , ""))</f>
        <v>71.016000000000005</v>
      </c>
      <c r="AE2370" s="11">
        <f>IF(ISERROR(_xll.Storm.ExcelMacros.GvDaily("/DBI&lt;5&gt;", AE$3, A2370, "", "", "", , "p", , , , , , "Thousandths", , FALSE, , "")), 70.531, _xll.Storm.ExcelMacros.GvDaily("/DBI&lt;5&gt;", AE$3, A2370, "", "", "", , "p", , , , , , "Thousandths", , FALSE, , ""))</f>
        <v>70.531000000000006</v>
      </c>
      <c r="AF2370" s="11">
        <f>IF(ISERROR(_xll.Storm.ExcelMacros.GvDaily("/DBI&lt;6&gt;", AF$3, A2370, "", "", "", , "p", , , , , , "Thousandths", , FALSE, , "")), 70.105, _xll.Storm.ExcelMacros.GvDaily("/DBI&lt;6&gt;", AF$3, A2370, "", "", "", , "p", , , , , , "Thousandths", , FALSE, , ""))</f>
        <v>70.105000000000004</v>
      </c>
      <c r="AG2370" s="11">
        <f>IF(ISERROR(_xll.Storm.ExcelMacros.GvDaily("/DBI&lt;7&gt;", AG$3, A2370, "", "", "", , "p", , , , , , "Thousandths", , FALSE, , "")), 69.717, _xll.Storm.ExcelMacros.GvDaily("/DBI&lt;7&gt;", AG$3, A2370, "", "", "", , "p", , , , , , "Thousandths", , FALSE, , ""))</f>
        <v>69.716999999999999</v>
      </c>
      <c r="AH2370" s="11">
        <f>IF(ISERROR(_xll.Storm.ExcelMacros.GvDaily("/DBI&lt;8&gt;", AH$3, A2370, "", "", "", , "p", , , , , , "Thousandths", , FALSE, , "")), 69.35, _xll.Storm.ExcelMacros.GvDaily("/DBI&lt;8&gt;", AH$3, A2370, "", "", "", , "p", , , , , , "Thousandths", , FALSE, , ""))</f>
        <v>69.350000000000009</v>
      </c>
      <c r="AI2370" s="11">
        <f>IF(ISERROR(_xll.Storm.ExcelMacros.GvDaily("/DBI&lt;9&gt;", AI$3, A2370, "", "", "", , "p", , , , , , "Thousandths", , FALSE, , "")), 69.064, _xll.Storm.ExcelMacros.GvDaily("/DBI&lt;9&gt;", AI$3, A2370, "", "", "", , "p", , , , , , "Thousandths", , FALSE, , ""))</f>
        <v>69.064000000000007</v>
      </c>
      <c r="AJ2370" s="11">
        <f>IF(ISERROR(_xll.Storm.ExcelMacros.GvDaily("/DBI&lt;10&gt;", AJ$3, A2370, "", "", "", , "p", , , , , , "Thousandths", , FALSE, , "")), 68.754, _xll.Storm.ExcelMacros.GvDaily("/DBI&lt;10&gt;", AJ$3, A2370, "", "", "", , "p", , , , , , "Thousandths", , FALSE, , ""))</f>
        <v>68.754000000000005</v>
      </c>
      <c r="AK2370" s="11">
        <f>IF(ISERROR(_xll.Storm.ExcelMacros.GvDaily("/DBI&lt;11&gt;", AK$3, A2370, "", "", "", , "p", , , , , , "Thousandths", , FALSE, , "")), 68.468, _xll.Storm.ExcelMacros.GvDaily("/DBI&lt;11&gt;", AK$3, A2370, "", "", "", , "p", , , , , , "Thousandths", , FALSE, , ""))</f>
        <v>68.468000000000004</v>
      </c>
      <c r="AL2370" s="11"/>
    </row>
    <row r="2371" spans="1:38" x14ac:dyDescent="0.3">
      <c r="A2371" s="9">
        <f>DATE(2026, 3, 5)</f>
        <v>46086</v>
      </c>
      <c r="B2371" s="10">
        <f>IF(ISERROR(_xll.Storm.ExcelMacros.GvDaily("/BRN&lt;0&gt;", B$3, A2371, "", "", "", , "p", , , , , , "Hundredths", , FALSE, , "")), 85.41, _xll.Storm.ExcelMacros.GvDaily("/BRN&lt;0&gt;", B$3, A2371, "", "", "", , "p", , , , , , "Hundredths", , FALSE, , ""))</f>
        <v>85.41</v>
      </c>
      <c r="C2371" s="10">
        <f>IF(ISERROR(_xll.Storm.ExcelMacros.GvDaily("/BRN&lt;1&gt;", C$3, A2371, "", "", "", , "p", , , , , , "Hundredths", , FALSE, , "")), 81.04, _xll.Storm.ExcelMacros.GvDaily("/BRN&lt;1&gt;", C$3, A2371, "", "", "", , "p", , , , , , "Hundredths", , FALSE, , ""))</f>
        <v>81.040000000000006</v>
      </c>
      <c r="D2371" s="10">
        <f>IF(ISERROR(_xll.Storm.ExcelMacros.GvDaily("/BRN&lt;2&gt;", D$3, A2371, "", "", "", , "p", , , , , , "Hundredths", , FALSE, , "")), 77.92, _xll.Storm.ExcelMacros.GvDaily("/BRN&lt;2&gt;", D$3, A2371, "", "", "", , "p", , , , , , "Hundredths", , FALSE, , ""))</f>
        <v>77.92</v>
      </c>
      <c r="E2371" s="10">
        <f>IF(ISERROR(_xll.Storm.ExcelMacros.GvDaily("/BRN&lt;3&gt;", E$3, A2371, "", "", "", , "p", , , , , , "Hundredths", , FALSE, , "")), 75.96, _xll.Storm.ExcelMacros.GvDaily("/BRN&lt;3&gt;", E$3, A2371, "", "", "", , "p", , , , , , "Hundredths", , FALSE, , ""))</f>
        <v>75.960000000000008</v>
      </c>
      <c r="F2371" s="10">
        <f>IF(ISERROR(_xll.Storm.ExcelMacros.GvDaily("/BRN&lt;4&gt;", F$3, A2371, "", "", "", , "p", , , , , , "Hundredths", , FALSE, , "")), 74.66, _xll.Storm.ExcelMacros.GvDaily("/BRN&lt;4&gt;", F$3, A2371, "", "", "", , "p", , , , , , "Hundredths", , FALSE, , ""))</f>
        <v>74.66</v>
      </c>
      <c r="G2371" s="10">
        <f>IF(ISERROR(_xll.Storm.ExcelMacros.GvDaily("/BRN&lt;5&gt;", G$3, A2371, "", "", "", , "p", , , , , , "Hundredths", , FALSE, , "")), 73.59, _xll.Storm.ExcelMacros.GvDaily("/BRN&lt;5&gt;", G$3, A2371, "", "", "", , "p", , , , , , "Hundredths", , FALSE, , ""))</f>
        <v>73.59</v>
      </c>
      <c r="H2371" s="10">
        <f>IF(ISERROR(_xll.Storm.ExcelMacros.GvDaily("/BRN&lt;6&gt;", H$3, A2371, "", "", "", , "p", , , , , , "Hundredths", , FALSE, , "")), 72.7, _xll.Storm.ExcelMacros.GvDaily("/BRN&lt;6&gt;", H$3, A2371, "", "", "", , "p", , , , , , "Hundredths", , FALSE, , ""))</f>
        <v>72.7</v>
      </c>
      <c r="I2371" s="10">
        <f>IF(ISERROR(_xll.Storm.ExcelMacros.GvDaily("/BRN&lt;7&gt;", I$3, A2371, "", "", "", , "p", , , , , , "Hundredths", , FALSE, , "")), 71.93, _xll.Storm.ExcelMacros.GvDaily("/BRN&lt;7&gt;", I$3, A2371, "", "", "", , "p", , , , , , "Hundredths", , FALSE, , ""))</f>
        <v>71.930000000000007</v>
      </c>
      <c r="J2371" s="10">
        <f>IF(ISERROR(_xll.Storm.ExcelMacros.GvDaily("/BRN&lt;8&gt;", J$3, A2371, "", "", "", , "p", , , , , , "Hundredths", , FALSE, , "")), 71.25, _xll.Storm.ExcelMacros.GvDaily("/BRN&lt;8&gt;", J$3, A2371, "", "", "", , "p", , , , , , "Hundredths", , FALSE, , ""))</f>
        <v>71.25</v>
      </c>
      <c r="K2371" s="10">
        <f>IF(ISERROR(_xll.Storm.ExcelMacros.GvDaily("/BRN&lt;9&gt;", K$3, A2371, "", "", "", , "p", , , , , , "Hundredths", , FALSE, , "")), 70.68, _xll.Storm.ExcelMacros.GvDaily("/BRN&lt;9&gt;", K$3, A2371, "", "", "", , "p", , , , , , "Hundredths", , FALSE, , ""))</f>
        <v>70.680000000000007</v>
      </c>
      <c r="L2371" s="10">
        <f>IF(ISERROR(_xll.Storm.ExcelMacros.GvDaily("/BRN&lt;10&gt;", L$3, A2371, "", "", "", , "p", , , , , , "Hundredths", , FALSE, , "")), 70.24, _xll.Storm.ExcelMacros.GvDaily("/BRN&lt;10&gt;", L$3, A2371, "", "", "", , "p", , , , , , "Hundredths", , FALSE, , ""))</f>
        <v>70.239999999999995</v>
      </c>
      <c r="M2371" s="10">
        <f>IF(ISERROR(_xll.Storm.ExcelMacros.GvDaily("/BRN&lt;11&gt;", M$3, A2371, "", "", "", , "p", , , , , , "Hundredths", , FALSE, , "")), 69.89, _xll.Storm.ExcelMacros.GvDaily("/BRN&lt;11&gt;", M$3, A2371, "", "", "", , "p", , , , , , "Hundredths", , FALSE, , ""))</f>
        <v>69.89</v>
      </c>
      <c r="N2371" s="10">
        <f>IF(ISERROR(_xll.Storm.ExcelMacros.GvDaily("/GCL&lt;0&gt;", N$3, A2371, "", "", "", , "p", , , , , , "Hundredths", , FALSE, , "")), 81.01, _xll.Storm.ExcelMacros.GvDaily("/GCL&lt;0&gt;", N$3, A2371, "", "", "", , "p", , , , , , "Hundredths", , FALSE, , ""))</f>
        <v>81.010000000000005</v>
      </c>
      <c r="O2371" s="10">
        <f>IF(ISERROR(_xll.Storm.ExcelMacros.GvDaily("/GCL&lt;1&gt;", O$3, A2371, "", "", "", , "p", , , , , , "Hundredths", , FALSE, , "")), 78.64, _xll.Storm.ExcelMacros.GvDaily("/GCL&lt;1&gt;", O$3, A2371, "", "", "", , "p", , , , , , "Hundredths", , FALSE, , ""))</f>
        <v>78.64</v>
      </c>
      <c r="P2371" s="10">
        <f>IF(ISERROR(_xll.Storm.ExcelMacros.GvDaily("/GCL&lt;2&gt;", P$3, A2371, "", "", "", , "p", , , , , , "Hundredths", , FALSE, , "")), 75.52, _xll.Storm.ExcelMacros.GvDaily("/GCL&lt;2&gt;", P$3, A2371, "", "", "", , "p", , , , , , "Hundredths", , FALSE, , ""))</f>
        <v>75.52</v>
      </c>
      <c r="Q2371" s="10">
        <f>IF(ISERROR(_xll.Storm.ExcelMacros.GvDaily("/GCL&lt;3&gt;", Q$3, A2371, "", "", "", , "p", , , , , , "Hundredths", , FALSE, , "")), 73.18, _xll.Storm.ExcelMacros.GvDaily("/GCL&lt;3&gt;", Q$3, A2371, "", "", "", , "p", , , , , , "Hundredths", , FALSE, , ""))</f>
        <v>73.180000000000007</v>
      </c>
      <c r="R2371" s="10">
        <f>IF(ISERROR(_xll.Storm.ExcelMacros.GvDaily("/GCL&lt;4&gt;", R$3, A2371, "", "", "", , "p", , , , , , "Hundredths", , FALSE, , "")), 71.46, _xll.Storm.ExcelMacros.GvDaily("/GCL&lt;4&gt;", R$3, A2371, "", "", "", , "p", , , , , , "Hundredths", , FALSE, , ""))</f>
        <v>71.460000000000008</v>
      </c>
      <c r="S2371" s="10">
        <f>IF(ISERROR(_xll.Storm.ExcelMacros.GvDaily("/GCL&lt;5&gt;", S$3, A2371, "", "", "", , "p", , , , , , "Hundredths", , FALSE, , "")), 70.16, _xll.Storm.ExcelMacros.GvDaily("/GCL&lt;5&gt;", S$3, A2371, "", "", "", , "p", , , , , , "Hundredths", , FALSE, , ""))</f>
        <v>70.16</v>
      </c>
      <c r="T2371" s="10">
        <f>IF(ISERROR(_xll.Storm.ExcelMacros.GvDaily("/GCL&lt;6&gt;", T$3, A2371, "", "", "", , "p", , , , , , "Hundredths", , FALSE, , "")), 69.04, _xll.Storm.ExcelMacros.GvDaily("/GCL&lt;6&gt;", T$3, A2371, "", "", "", , "p", , , , , , "Hundredths", , FALSE, , ""))</f>
        <v>69.040000000000006</v>
      </c>
      <c r="U2371" s="10">
        <f>IF(ISERROR(_xll.Storm.ExcelMacros.GvDaily("/GCL&lt;7&gt;", U$3, A2371, "", "", "", , "p", , , , , , "Hundredths", , FALSE, , "")), 68.11, _xll.Storm.ExcelMacros.GvDaily("/GCL&lt;7&gt;", U$3, A2371, "", "", "", , "p", , , , , , "Hundredths", , FALSE, , ""))</f>
        <v>68.11</v>
      </c>
      <c r="V2371" s="10">
        <f>IF(ISERROR(_xll.Storm.ExcelMacros.GvDaily("/GCL&lt;8&gt;", V$3, A2371, "", "", "", , "p", , , , , , "Hundredths", , FALSE, , "")), 67.31, _xll.Storm.ExcelMacros.GvDaily("/GCL&lt;8&gt;", V$3, A2371, "", "", "", , "p", , , , , , "Hundredths", , FALSE, , ""))</f>
        <v>67.31</v>
      </c>
      <c r="W2371" s="10">
        <f>IF(ISERROR(_xll.Storm.ExcelMacros.GvDaily("/GCL&lt;9&gt;", W$3, A2371, "", "", "", , "p", , , , , , "Hundredths", , FALSE, , "")), 66.59, _xll.Storm.ExcelMacros.GvDaily("/GCL&lt;9&gt;", W$3, A2371, "", "", "", , "p", , , , , , "Hundredths", , FALSE, , ""))</f>
        <v>66.59</v>
      </c>
      <c r="X2371" s="10">
        <f>IF(ISERROR(_xll.Storm.ExcelMacros.GvDaily("/GCL&lt;10&gt;", X$3, A2371, "", "", "", , "p", , , , , , "Hundredths", , FALSE, , "")), 66.03, _xll.Storm.ExcelMacros.GvDaily("/GCL&lt;10&gt;", X$3, A2371, "", "", "", , "p", , , , , , "Hundredths", , FALSE, , ""))</f>
        <v>66.03</v>
      </c>
      <c r="Y2371" s="10">
        <f>IF(ISERROR(_xll.Storm.ExcelMacros.GvDaily("/GCL&lt;11&gt;", Y$3, A2371, "", "", "", , "p", , , , , , "Hundredths", , FALSE, , "")), 65.6, _xll.Storm.ExcelMacros.GvDaily("/GCL&lt;11&gt;", Y$3, A2371, "", "", "", , "p", , , , , , "Hundredths", , FALSE, , ""))</f>
        <v>65.599999999999994</v>
      </c>
      <c r="Z2371" s="11">
        <f>IF(ISERROR(_xll.Storm.ExcelMacros.GvDaily("/DBI&lt;0&gt;", Z$3, A2371, "", "", "", , "p", , , , , , "Thousandths", , FALSE, , "")), 92.612, _xll.Storm.ExcelMacros.GvDaily("/DBI&lt;0&gt;", Z$3, A2371, "", "", "", , "p", , , , , , "Thousandths", , FALSE, , ""))</f>
        <v>92.612000000000009</v>
      </c>
      <c r="AA2371" s="11">
        <f>IF(ISERROR(_xll.Storm.ExcelMacros.GvDaily("/DBI&lt;1&gt;", AA$3, A2371, "", "", "", , "p", , , , , , "Thousandths", , FALSE, , "")), 80.056, _xll.Storm.ExcelMacros.GvDaily("/DBI&lt;1&gt;", AA$3, A2371, "", "", "", , "p", , , , , , "Thousandths", , FALSE, , ""))</f>
        <v>80.055999999999997</v>
      </c>
      <c r="AB2371" s="11">
        <f>IF(ISERROR(_xll.Storm.ExcelMacros.GvDaily("/DBI&lt;2&gt;", AB$3, A2371, "", "", "", , "p", , , , , , "Thousandths", , FALSE, , "")), 76.347, _xll.Storm.ExcelMacros.GvDaily("/DBI&lt;2&gt;", AB$3, A2371, "", "", "", , "p", , , , , , "Thousandths", , FALSE, , ""))</f>
        <v>76.347000000000008</v>
      </c>
      <c r="AC2371" s="11">
        <f>IF(ISERROR(_xll.Storm.ExcelMacros.GvDaily("/DBI&lt;3&gt;", AC$3, A2371, "", "", "", , "p", , , , , , "Thousandths", , FALSE, , "")), 74.484, _xll.Storm.ExcelMacros.GvDaily("/DBI&lt;3&gt;", AC$3, A2371, "", "", "", , "p", , , , , , "Thousandths", , FALSE, , ""))</f>
        <v>74.483999999999995</v>
      </c>
      <c r="AD2371" s="11">
        <f>IF(ISERROR(_xll.Storm.ExcelMacros.GvDaily("/DBI&lt;4&gt;", AD$3, A2371, "", "", "", , "p", , , , , , "Thousandths", , FALSE, , "")), 73.448, _xll.Storm.ExcelMacros.GvDaily("/DBI&lt;4&gt;", AD$3, A2371, "", "", "", , "p", , , , , , "Thousandths", , FALSE, , ""))</f>
        <v>73.448000000000008</v>
      </c>
      <c r="AE2371" s="11">
        <f>IF(ISERROR(_xll.Storm.ExcelMacros.GvDaily("/DBI&lt;5&gt;", AE$3, A2371, "", "", "", , "p", , , , , , "Thousandths", , FALSE, , "")), 72.608, _xll.Storm.ExcelMacros.GvDaily("/DBI&lt;5&gt;", AE$3, A2371, "", "", "", , "p", , , , , , "Thousandths", , FALSE, , ""))</f>
        <v>72.608000000000004</v>
      </c>
      <c r="AF2371" s="11">
        <f>IF(ISERROR(_xll.Storm.ExcelMacros.GvDaily("/DBI&lt;6&gt;", AF$3, A2371, "", "", "", , "p", , , , , , "Thousandths", , FALSE, , "")), 71.978, _xll.Storm.ExcelMacros.GvDaily("/DBI&lt;6&gt;", AF$3, A2371, "", "", "", , "p", , , , , , "Thousandths", , FALSE, , ""))</f>
        <v>71.977999999999994</v>
      </c>
      <c r="AG2371" s="11">
        <f>IF(ISERROR(_xll.Storm.ExcelMacros.GvDaily("/DBI&lt;7&gt;", AG$3, A2371, "", "", "", , "p", , , , , , "Thousandths", , FALSE, , "")), 71.402, _xll.Storm.ExcelMacros.GvDaily("/DBI&lt;7&gt;", AG$3, A2371, "", "", "", , "p", , , , , , "Thousandths", , FALSE, , ""))</f>
        <v>71.402000000000001</v>
      </c>
      <c r="AH2371" s="11">
        <f>IF(ISERROR(_xll.Storm.ExcelMacros.GvDaily("/DBI&lt;8&gt;", AH$3, A2371, "", "", "", , "p", , , , , , "Thousandths", , FALSE, , "")), 70.861, _xll.Storm.ExcelMacros.GvDaily("/DBI&lt;8&gt;", AH$3, A2371, "", "", "", , "p", , , , , , "Thousandths", , FALSE, , ""))</f>
        <v>70.861000000000004</v>
      </c>
      <c r="AI2371" s="11">
        <f>IF(ISERROR(_xll.Storm.ExcelMacros.GvDaily("/DBI&lt;9&gt;", AI$3, A2371, "", "", "", , "p", , , , , , "Thousandths", , FALSE, , "")), 70.328, _xll.Storm.ExcelMacros.GvDaily("/DBI&lt;9&gt;", AI$3, A2371, "", "", "", , "p", , , , , , "Thousandths", , FALSE, , ""))</f>
        <v>70.328000000000003</v>
      </c>
      <c r="AJ2371" s="11">
        <f>IF(ISERROR(_xll.Storm.ExcelMacros.GvDaily("/DBI&lt;10&gt;", AJ$3, A2371, "", "", "", , "p", , , , , , "Thousandths", , FALSE, , "")), 69.983, _xll.Storm.ExcelMacros.GvDaily("/DBI&lt;10&gt;", AJ$3, A2371, "", "", "", , "p", , , , , , "Thousandths", , FALSE, , ""))</f>
        <v>69.983000000000004</v>
      </c>
      <c r="AK2371" s="11">
        <f>IF(ISERROR(_xll.Storm.ExcelMacros.GvDaily("/DBI&lt;11&gt;", AK$3, A2371, "", "", "", , "p", , , , , , "Thousandths", , FALSE, , "")), 69.687, _xll.Storm.ExcelMacros.GvDaily("/DBI&lt;11&gt;", AK$3, A2371, "", "", "", , "p", , , , , , "Thousandths", , FALSE, , ""))</f>
        <v>69.686999999999998</v>
      </c>
      <c r="AL2371" s="11"/>
    </row>
    <row r="2372" spans="1:38" x14ac:dyDescent="0.3">
      <c r="A2372" s="9">
        <f>DATE(2026, 3, 6)</f>
        <v>46087</v>
      </c>
      <c r="B2372" s="10">
        <f>IF(ISERROR(_xll.Storm.ExcelMacros.GvDaily("/BRN&lt;0&gt;", B$3, A2372, "", "", "", , "p", , , , , , "Hundredths", , FALSE, , "")), 92.69, _xll.Storm.ExcelMacros.GvDaily("/BRN&lt;0&gt;", B$3, A2372, "", "", "", , "p", , , , , , "Hundredths", , FALSE, , ""))</f>
        <v>92.69</v>
      </c>
      <c r="C2372" s="10">
        <f>IF(ISERROR(_xll.Storm.ExcelMacros.GvDaily("/BRN&lt;1&gt;", C$3, A2372, "", "", "", , "p", , , , , , "Hundredths", , FALSE, , "")), 87.2, _xll.Storm.ExcelMacros.GvDaily("/BRN&lt;1&gt;", C$3, A2372, "", "", "", , "p", , , , , , "Hundredths", , FALSE, , ""))</f>
        <v>87.2</v>
      </c>
      <c r="D2372" s="10">
        <f>IF(ISERROR(_xll.Storm.ExcelMacros.GvDaily("/BRN&lt;2&gt;", D$3, A2372, "", "", "", , "p", , , , , , "Hundredths", , FALSE, , "")), 82.88, _xll.Storm.ExcelMacros.GvDaily("/BRN&lt;2&gt;", D$3, A2372, "", "", "", , "p", , , , , , "Hundredths", , FALSE, , ""))</f>
        <v>82.88</v>
      </c>
      <c r="E2372" s="10">
        <f>IF(ISERROR(_xll.Storm.ExcelMacros.GvDaily("/BRN&lt;3&gt;", E$3, A2372, "", "", "", , "p", , , , , , "Hundredths", , FALSE, , "")), 79.86, _xll.Storm.ExcelMacros.GvDaily("/BRN&lt;3&gt;", E$3, A2372, "", "", "", , "p", , , , , , "Hundredths", , FALSE, , ""))</f>
        <v>79.86</v>
      </c>
      <c r="F2372" s="10">
        <f>IF(ISERROR(_xll.Storm.ExcelMacros.GvDaily("/BRN&lt;4&gt;", F$3, A2372, "", "", "", , "p", , , , , , "Hundredths", , FALSE, , "")), 77.82, _xll.Storm.ExcelMacros.GvDaily("/BRN&lt;4&gt;", F$3, A2372, "", "", "", , "p", , , , , , "Hundredths", , FALSE, , ""))</f>
        <v>77.820000000000007</v>
      </c>
      <c r="G2372" s="10">
        <f>IF(ISERROR(_xll.Storm.ExcelMacros.GvDaily("/BRN&lt;5&gt;", G$3, A2372, "", "", "", , "p", , , , , , "Hundredths", , FALSE, , "")), 76.27, _xll.Storm.ExcelMacros.GvDaily("/BRN&lt;5&gt;", G$3, A2372, "", "", "", , "p", , , , , , "Hundredths", , FALSE, , ""))</f>
        <v>76.27</v>
      </c>
      <c r="H2372" s="10">
        <f>IF(ISERROR(_xll.Storm.ExcelMacros.GvDaily("/BRN&lt;6&gt;", H$3, A2372, "", "", "", , "p", , , , , , "Hundredths", , FALSE, , "")), 75.11, _xll.Storm.ExcelMacros.GvDaily("/BRN&lt;6&gt;", H$3, A2372, "", "", "", , "p", , , , , , "Hundredths", , FALSE, , ""))</f>
        <v>75.11</v>
      </c>
      <c r="I2372" s="10">
        <f>IF(ISERROR(_xll.Storm.ExcelMacros.GvDaily("/BRN&lt;7&gt;", I$3, A2372, "", "", "", , "p", , , , , , "Hundredths", , FALSE, , "")), 74.17, _xll.Storm.ExcelMacros.GvDaily("/BRN&lt;7&gt;", I$3, A2372, "", "", "", , "p", , , , , , "Hundredths", , FALSE, , ""))</f>
        <v>74.17</v>
      </c>
      <c r="J2372" s="10">
        <f>IF(ISERROR(_xll.Storm.ExcelMacros.GvDaily("/BRN&lt;8&gt;", J$3, A2372, "", "", "", , "p", , , , , , "Hundredths", , FALSE, , "")), 73.31, _xll.Storm.ExcelMacros.GvDaily("/BRN&lt;8&gt;", J$3, A2372, "", "", "", , "p", , , , , , "Hundredths", , FALSE, , ""))</f>
        <v>73.31</v>
      </c>
      <c r="K2372" s="10">
        <f>IF(ISERROR(_xll.Storm.ExcelMacros.GvDaily("/BRN&lt;9&gt;", K$3, A2372, "", "", "", , "p", , , , , , "Hundredths", , FALSE, , "")), 72.56, _xll.Storm.ExcelMacros.GvDaily("/BRN&lt;9&gt;", K$3, A2372, "", "", "", , "p", , , , , , "Hundredths", , FALSE, , ""))</f>
        <v>72.56</v>
      </c>
      <c r="L2372" s="10">
        <f>IF(ISERROR(_xll.Storm.ExcelMacros.GvDaily("/BRN&lt;10&gt;", L$3, A2372, "", "", "", , "p", , , , , , "Hundredths", , FALSE, , "")), 71.96, _xll.Storm.ExcelMacros.GvDaily("/BRN&lt;10&gt;", L$3, A2372, "", "", "", , "p", , , , , , "Hundredths", , FALSE, , ""))</f>
        <v>71.960000000000008</v>
      </c>
      <c r="M2372" s="10">
        <f>IF(ISERROR(_xll.Storm.ExcelMacros.GvDaily("/BRN&lt;11&gt;", M$3, A2372, "", "", "", , "p", , , , , , "Hundredths", , FALSE, , "")), 71.48, _xll.Storm.ExcelMacros.GvDaily("/BRN&lt;11&gt;", M$3, A2372, "", "", "", , "p", , , , , , "Hundredths", , FALSE, , ""))</f>
        <v>71.48</v>
      </c>
      <c r="N2372" s="10">
        <f>IF(ISERROR(_xll.Storm.ExcelMacros.GvDaily("/GCL&lt;0&gt;", N$3, A2372, "", "", "", , "p", , , , , , "Hundredths", , FALSE, , "")), 90.9, _xll.Storm.ExcelMacros.GvDaily("/GCL&lt;0&gt;", N$3, A2372, "", "", "", , "p", , , , , , "Hundredths", , FALSE, , ""))</f>
        <v>90.9</v>
      </c>
      <c r="O2372" s="10">
        <f>IF(ISERROR(_xll.Storm.ExcelMacros.GvDaily("/GCL&lt;1&gt;", O$3, A2372, "", "", "", , "p", , , , , , "Hundredths", , FALSE, , "")), 87.52, _xll.Storm.ExcelMacros.GvDaily("/GCL&lt;1&gt;", O$3, A2372, "", "", "", , "p", , , , , , "Hundredths", , FALSE, , ""))</f>
        <v>87.52</v>
      </c>
      <c r="P2372" s="10">
        <f>IF(ISERROR(_xll.Storm.ExcelMacros.GvDaily("/GCL&lt;2&gt;", P$3, A2372, "", "", "", , "p", , , , , , "Hundredths", , FALSE, , "")), 82.19, _xll.Storm.ExcelMacros.GvDaily("/GCL&lt;2&gt;", P$3, A2372, "", "", "", , "p", , , , , , "Hundredths", , FALSE, , ""))</f>
        <v>82.19</v>
      </c>
      <c r="Q2372" s="10">
        <f>IF(ISERROR(_xll.Storm.ExcelMacros.GvDaily("/GCL&lt;3&gt;", Q$3, A2372, "", "", "", , "p", , , , , , "Hundredths", , FALSE, , "")), 77.94, _xll.Storm.ExcelMacros.GvDaily("/GCL&lt;3&gt;", Q$3, A2372, "", "", "", , "p", , , , , , "Hundredths", , FALSE, , ""))</f>
        <v>77.94</v>
      </c>
      <c r="R2372" s="10">
        <f>IF(ISERROR(_xll.Storm.ExcelMacros.GvDaily("/GCL&lt;4&gt;", R$3, A2372, "", "", "", , "p", , , , , , "Hundredths", , FALSE, , "")), 75.02, _xll.Storm.ExcelMacros.GvDaily("/GCL&lt;4&gt;", R$3, A2372, "", "", "", , "p", , , , , , "Hundredths", , FALSE, , ""))</f>
        <v>75.02</v>
      </c>
      <c r="S2372" s="10">
        <f>IF(ISERROR(_xll.Storm.ExcelMacros.GvDaily("/GCL&lt;5&gt;", S$3, A2372, "", "", "", , "p", , , , , , "Hundredths", , FALSE, , "")), 72.98, _xll.Storm.ExcelMacros.GvDaily("/GCL&lt;5&gt;", S$3, A2372, "", "", "", , "p", , , , , , "Hundredths", , FALSE, , ""))</f>
        <v>72.98</v>
      </c>
      <c r="T2372" s="10">
        <f>IF(ISERROR(_xll.Storm.ExcelMacros.GvDaily("/GCL&lt;6&gt;", T$3, A2372, "", "", "", , "p", , , , , , "Hundredths", , FALSE, , "")), 71.41, _xll.Storm.ExcelMacros.GvDaily("/GCL&lt;6&gt;", T$3, A2372, "", "", "", , "p", , , , , , "Hundredths", , FALSE, , ""))</f>
        <v>71.41</v>
      </c>
      <c r="U2372" s="10">
        <f>IF(ISERROR(_xll.Storm.ExcelMacros.GvDaily("/GCL&lt;7&gt;", U$3, A2372, "", "", "", , "p", , , , , , "Hundredths", , FALSE, , "")), 70.23, _xll.Storm.ExcelMacros.GvDaily("/GCL&lt;7&gt;", U$3, A2372, "", "", "", , "p", , , , , , "Hundredths", , FALSE, , ""))</f>
        <v>70.23</v>
      </c>
      <c r="V2372" s="10">
        <f>IF(ISERROR(_xll.Storm.ExcelMacros.GvDaily("/GCL&lt;8&gt;", V$3, A2372, "", "", "", , "p", , , , , , "Hundredths", , FALSE, , "")), 69.24, _xll.Storm.ExcelMacros.GvDaily("/GCL&lt;8&gt;", V$3, A2372, "", "", "", , "p", , , , , , "Hundredths", , FALSE, , ""))</f>
        <v>69.239999999999995</v>
      </c>
      <c r="W2372" s="10">
        <f>IF(ISERROR(_xll.Storm.ExcelMacros.GvDaily("/GCL&lt;9&gt;", W$3, A2372, "", "", "", , "p", , , , , , "Hundredths", , FALSE, , "")), 68.36, _xll.Storm.ExcelMacros.GvDaily("/GCL&lt;9&gt;", W$3, A2372, "", "", "", , "p", , , , , , "Hundredths", , FALSE, , ""))</f>
        <v>68.36</v>
      </c>
      <c r="X2372" s="10">
        <f>IF(ISERROR(_xll.Storm.ExcelMacros.GvDaily("/GCL&lt;10&gt;", X$3, A2372, "", "", "", , "p", , , , , , "Hundredths", , FALSE, , "")), 67.59, _xll.Storm.ExcelMacros.GvDaily("/GCL&lt;10&gt;", X$3, A2372, "", "", "", , "p", , , , , , "Hundredths", , FALSE, , ""))</f>
        <v>67.59</v>
      </c>
      <c r="Y2372" s="10">
        <f>IF(ISERROR(_xll.Storm.ExcelMacros.GvDaily("/GCL&lt;11&gt;", Y$3, A2372, "", "", "", , "p", , , , , , "Hundredths", , FALSE, , "")), 66.98, _xll.Storm.ExcelMacros.GvDaily("/GCL&lt;11&gt;", Y$3, A2372, "", "", "", , "p", , , , , , "Hundredths", , FALSE, , ""))</f>
        <v>66.98</v>
      </c>
      <c r="Z2372" s="11">
        <f>IF(ISERROR(_xll.Storm.ExcelMacros.GvDaily("/DBI&lt;0&gt;", Z$3, A2372, "", "", "", , "p", , , , , , "Thousandths", , FALSE, , "")), 99.814, _xll.Storm.ExcelMacros.GvDaily("/DBI&lt;0&gt;", Z$3, A2372, "", "", "", , "p", , , , , , "Thousandths", , FALSE, , ""))</f>
        <v>99.814000000000007</v>
      </c>
      <c r="AA2372" s="11">
        <f>IF(ISERROR(_xll.Storm.ExcelMacros.GvDaily("/DBI&lt;1&gt;", AA$3, A2372, "", "", "", , "p", , , , , , "Thousandths", , FALSE, , "")), 86.741, _xll.Storm.ExcelMacros.GvDaily("/DBI&lt;1&gt;", AA$3, A2372, "", "", "", , "p", , , , , , "Thousandths", , FALSE, , ""))</f>
        <v>86.741</v>
      </c>
      <c r="AB2372" s="11">
        <f>IF(ISERROR(_xll.Storm.ExcelMacros.GvDaily("/DBI&lt;2&gt;", AB$3, A2372, "", "", "", , "p", , , , , , "Thousandths", , FALSE, , "")), 81.952, _xll.Storm.ExcelMacros.GvDaily("/DBI&lt;2&gt;", AB$3, A2372, "", "", "", , "p", , , , , , "Thousandths", , FALSE, , ""))</f>
        <v>81.951999999999998</v>
      </c>
      <c r="AC2372" s="11">
        <f>IF(ISERROR(_xll.Storm.ExcelMacros.GvDaily("/DBI&lt;3&gt;", AC$3, A2372, "", "", "", , "p", , , , , , "Thousandths", , FALSE, , "")), 79.669, _xll.Storm.ExcelMacros.GvDaily("/DBI&lt;3&gt;", AC$3, A2372, "", "", "", , "p", , , , , , "Thousandths", , FALSE, , ""))</f>
        <v>79.668999999999997</v>
      </c>
      <c r="AD2372" s="11">
        <f>IF(ISERROR(_xll.Storm.ExcelMacros.GvDaily("/DBI&lt;4&gt;", AD$3, A2372, "", "", "", , "p", , , , , , "Thousandths", , FALSE, , "")), 78.168, _xll.Storm.ExcelMacros.GvDaily("/DBI&lt;4&gt;", AD$3, A2372, "", "", "", , "p", , , , , , "Thousandths", , FALSE, , ""))</f>
        <v>78.168000000000006</v>
      </c>
      <c r="AE2372" s="11">
        <f>IF(ISERROR(_xll.Storm.ExcelMacros.GvDaily("/DBI&lt;5&gt;", AE$3, A2372, "", "", "", , "p", , , , , , "Thousandths", , FALSE, , "")), 76.905, _xll.Storm.ExcelMacros.GvDaily("/DBI&lt;5&gt;", AE$3, A2372, "", "", "", , "p", , , , , , "Thousandths", , FALSE, , ""))</f>
        <v>76.905000000000001</v>
      </c>
      <c r="AF2372" s="11">
        <f>IF(ISERROR(_xll.Storm.ExcelMacros.GvDaily("/DBI&lt;6&gt;", AF$3, A2372, "", "", "", , "p", , , , , , "Thousandths", , FALSE, , "")), 75.932, _xll.Storm.ExcelMacros.GvDaily("/DBI&lt;6&gt;", AF$3, A2372, "", "", "", , "p", , , , , , "Thousandths", , FALSE, , ""))</f>
        <v>75.932000000000002</v>
      </c>
      <c r="AG2372" s="11">
        <f>IF(ISERROR(_xll.Storm.ExcelMacros.GvDaily("/DBI&lt;7&gt;", AG$3, A2372, "", "", "", , "p", , , , , , "Thousandths", , FALSE, , "")), 74.992, _xll.Storm.ExcelMacros.GvDaily("/DBI&lt;7&gt;", AG$3, A2372, "", "", "", , "p", , , , , , "Thousandths", , FALSE, , ""))</f>
        <v>74.992000000000004</v>
      </c>
      <c r="AH2372" s="11">
        <f>IF(ISERROR(_xll.Storm.ExcelMacros.GvDaily("/DBI&lt;8&gt;", AH$3, A2372, "", "", "", , "p", , , , , , "Thousandths", , FALSE, , "")), 74.114, _xll.Storm.ExcelMacros.GvDaily("/DBI&lt;8&gt;", AH$3, A2372, "", "", "", , "p", , , , , , "Thousandths", , FALSE, , ""))</f>
        <v>74.114000000000004</v>
      </c>
      <c r="AI2372" s="11">
        <f>IF(ISERROR(_xll.Storm.ExcelMacros.GvDaily("/DBI&lt;9&gt;", AI$3, A2372, "", "", "", , "p", , , , , , "Thousandths", , FALSE, , "")), 73.325, _xll.Storm.ExcelMacros.GvDaily("/DBI&lt;9&gt;", AI$3, A2372, "", "", "", , "p", , , , , , "Thousandths", , FALSE, , ""))</f>
        <v>73.325000000000003</v>
      </c>
      <c r="AJ2372" s="11">
        <f>IF(ISERROR(_xll.Storm.ExcelMacros.GvDaily("/DBI&lt;10&gt;", AJ$3, A2372, "", "", "", , "p", , , , , , "Thousandths", , FALSE, , "")), 72.736, _xll.Storm.ExcelMacros.GvDaily("/DBI&lt;10&gt;", AJ$3, A2372, "", "", "", , "p", , , , , , "Thousandths", , FALSE, , ""))</f>
        <v>72.736000000000004</v>
      </c>
      <c r="AK2372" s="11">
        <f>IF(ISERROR(_xll.Storm.ExcelMacros.GvDaily("/DBI&lt;11&gt;", AK$3, A2372, "", "", "", , "p", , , , , , "Thousandths", , FALSE, , "")), 72.242, _xll.Storm.ExcelMacros.GvDaily("/DBI&lt;11&gt;", AK$3, A2372, "", "", "", , "p", , , , , , "Thousandths", , FALSE, , ""))</f>
        <v>72.242000000000004</v>
      </c>
      <c r="AL2372" s="11"/>
    </row>
    <row r="2373" spans="1:38" x14ac:dyDescent="0.3">
      <c r="A2373" s="9">
        <f>DATE(2026, 3, 9)</f>
        <v>46090</v>
      </c>
      <c r="B2373" s="10">
        <f>IF(ISERROR(_xll.Storm.ExcelMacros.GvDaily("/BRN&lt;0&gt;", B$3, A2373, "", "", "", , "p", , , , , , "Hundredths", , FALSE, , "")), 98.96, _xll.Storm.ExcelMacros.GvDaily("/BRN&lt;0&gt;", B$3, A2373, "", "", "", , "p", , , , , , "Hundredths", , FALSE, , ""))</f>
        <v>98.960000000000008</v>
      </c>
      <c r="C2373" s="10">
        <f>IF(ISERROR(_xll.Storm.ExcelMacros.GvDaily("/BRN&lt;1&gt;", C$3, A2373, "", "", "", , "p", , , , , , "Hundredths", , FALSE, , "")), 93.72, _xll.Storm.ExcelMacros.GvDaily("/BRN&lt;1&gt;", C$3, A2373, "", "", "", , "p", , , , , , "Hundredths", , FALSE, , ""))</f>
        <v>93.72</v>
      </c>
      <c r="D2373" s="10">
        <f>IF(ISERROR(_xll.Storm.ExcelMacros.GvDaily("/BRN&lt;2&gt;", D$3, A2373, "", "", "", , "p", , , , , , "Hundredths", , FALSE, , "")), 88.95, _xll.Storm.ExcelMacros.GvDaily("/BRN&lt;2&gt;", D$3, A2373, "", "", "", , "p", , , , , , "Hundredths", , FALSE, , ""))</f>
        <v>88.95</v>
      </c>
      <c r="E2373" s="10">
        <f>IF(ISERROR(_xll.Storm.ExcelMacros.GvDaily("/BRN&lt;3&gt;", E$3, A2373, "", "", "", , "p", , , , , , "Hundredths", , FALSE, , "")), 85.23, _xll.Storm.ExcelMacros.GvDaily("/BRN&lt;3&gt;", E$3, A2373, "", "", "", , "p", , , , , , "Hundredths", , FALSE, , ""))</f>
        <v>85.23</v>
      </c>
      <c r="F2373" s="10">
        <f>IF(ISERROR(_xll.Storm.ExcelMacros.GvDaily("/BRN&lt;4&gt;", F$3, A2373, "", "", "", , "p", , , , , , "Hundredths", , FALSE, , "")), 82.4, _xll.Storm.ExcelMacros.GvDaily("/BRN&lt;4&gt;", F$3, A2373, "", "", "", , "p", , , , , , "Hundredths", , FALSE, , ""))</f>
        <v>82.4</v>
      </c>
      <c r="G2373" s="10">
        <f>IF(ISERROR(_xll.Storm.ExcelMacros.GvDaily("/BRN&lt;5&gt;", G$3, A2373, "", "", "", , "p", , , , , , "Hundredths", , FALSE, , "")), 80.15, _xll.Storm.ExcelMacros.GvDaily("/BRN&lt;5&gt;", G$3, A2373, "", "", "", , "p", , , , , , "Hundredths", , FALSE, , ""))</f>
        <v>80.150000000000006</v>
      </c>
      <c r="H2373" s="10">
        <f>IF(ISERROR(_xll.Storm.ExcelMacros.GvDaily("/BRN&lt;6&gt;", H$3, A2373, "", "", "", , "p", , , , , , "Hundredths", , FALSE, , "")), 78.41, _xll.Storm.ExcelMacros.GvDaily("/BRN&lt;6&gt;", H$3, A2373, "", "", "", , "p", , , , , , "Hundredths", , FALSE, , ""))</f>
        <v>78.41</v>
      </c>
      <c r="I2373" s="10">
        <f>IF(ISERROR(_xll.Storm.ExcelMacros.GvDaily("/BRN&lt;7&gt;", I$3, A2373, "", "", "", , "p", , , , , , "Hundredths", , FALSE, , "")), 77.06, _xll.Storm.ExcelMacros.GvDaily("/BRN&lt;7&gt;", I$3, A2373, "", "", "", , "p", , , , , , "Hundredths", , FALSE, , ""))</f>
        <v>77.06</v>
      </c>
      <c r="J2373" s="10">
        <f>IF(ISERROR(_xll.Storm.ExcelMacros.GvDaily("/BRN&lt;8&gt;", J$3, A2373, "", "", "", , "p", , , , , , "Hundredths", , FALSE, , "")), 75.88, _xll.Storm.ExcelMacros.GvDaily("/BRN&lt;8&gt;", J$3, A2373, "", "", "", , "p", , , , , , "Hundredths", , FALSE, , ""))</f>
        <v>75.88</v>
      </c>
      <c r="K2373" s="10">
        <f>IF(ISERROR(_xll.Storm.ExcelMacros.GvDaily("/BRN&lt;9&gt;", K$3, A2373, "", "", "", , "p", , , , , , "Hundredths", , FALSE, , "")), 74.9, _xll.Storm.ExcelMacros.GvDaily("/BRN&lt;9&gt;", K$3, A2373, "", "", "", , "p", , , , , , "Hundredths", , FALSE, , ""))</f>
        <v>74.900000000000006</v>
      </c>
      <c r="L2373" s="10">
        <f>IF(ISERROR(_xll.Storm.ExcelMacros.GvDaily("/BRN&lt;10&gt;", L$3, A2373, "", "", "", , "p", , , , , , "Hundredths", , FALSE, , "")), 74.11, _xll.Storm.ExcelMacros.GvDaily("/BRN&lt;10&gt;", L$3, A2373, "", "", "", , "p", , , , , , "Hundredths", , FALSE, , ""))</f>
        <v>74.11</v>
      </c>
      <c r="M2373" s="10">
        <f>IF(ISERROR(_xll.Storm.ExcelMacros.GvDaily("/BRN&lt;11&gt;", M$3, A2373, "", "", "", , "p", , , , , , "Hundredths", , FALSE, , "")), 73.47, _xll.Storm.ExcelMacros.GvDaily("/BRN&lt;11&gt;", M$3, A2373, "", "", "", , "p", , , , , , "Hundredths", , FALSE, , ""))</f>
        <v>73.47</v>
      </c>
      <c r="N2373" s="10">
        <f>IF(ISERROR(_xll.Storm.ExcelMacros.GvDaily("/GCL&lt;0&gt;", N$3, A2373, "", "", "", , "p", , , , , , "Hundredths", , FALSE, , "")), 94.77, _xll.Storm.ExcelMacros.GvDaily("/GCL&lt;0&gt;", N$3, A2373, "", "", "", , "p", , , , , , "Hundredths", , FALSE, , ""))</f>
        <v>94.77</v>
      </c>
      <c r="O2373" s="10">
        <f>IF(ISERROR(_xll.Storm.ExcelMacros.GvDaily("/GCL&lt;1&gt;", O$3, A2373, "", "", "", , "p", , , , , , "Hundredths", , FALSE, , "")), 91.48, _xll.Storm.ExcelMacros.GvDaily("/GCL&lt;1&gt;", O$3, A2373, "", "", "", , "p", , , , , , "Hundredths", , FALSE, , ""))</f>
        <v>91.48</v>
      </c>
      <c r="P2373" s="10">
        <f>IF(ISERROR(_xll.Storm.ExcelMacros.GvDaily("/GCL&lt;2&gt;", P$3, A2373, "", "", "", , "p", , , , , , "Hundredths", , FALSE, , "")), 86.67, _xll.Storm.ExcelMacros.GvDaily("/GCL&lt;2&gt;", P$3, A2373, "", "", "", , "p", , , , , , "Hundredths", , FALSE, , ""))</f>
        <v>86.67</v>
      </c>
      <c r="Q2373" s="10">
        <f>IF(ISERROR(_xll.Storm.ExcelMacros.GvDaily("/GCL&lt;3&gt;", Q$3, A2373, "", "", "", , "p", , , , , , "Hundredths", , FALSE, , "")), 82.25, _xll.Storm.ExcelMacros.GvDaily("/GCL&lt;3&gt;", Q$3, A2373, "", "", "", , "p", , , , , , "Hundredths", , FALSE, , ""))</f>
        <v>82.25</v>
      </c>
      <c r="R2373" s="10">
        <f>IF(ISERROR(_xll.Storm.ExcelMacros.GvDaily("/GCL&lt;4&gt;", R$3, A2373, "", "", "", , "p", , , , , , "Hundredths", , FALSE, , "")), 78.78, _xll.Storm.ExcelMacros.GvDaily("/GCL&lt;4&gt;", R$3, A2373, "", "", "", , "p", , , , , , "Hundredths", , FALSE, , ""))</f>
        <v>78.78</v>
      </c>
      <c r="S2373" s="10">
        <f>IF(ISERROR(_xll.Storm.ExcelMacros.GvDaily("/GCL&lt;5&gt;", S$3, A2373, "", "", "", , "p", , , , , , "Hundredths", , FALSE, , "")), 76.14, _xll.Storm.ExcelMacros.GvDaily("/GCL&lt;5&gt;", S$3, A2373, "", "", "", , "p", , , , , , "Hundredths", , FALSE, , ""))</f>
        <v>76.14</v>
      </c>
      <c r="T2373" s="10">
        <f>IF(ISERROR(_xll.Storm.ExcelMacros.GvDaily("/GCL&lt;6&gt;", T$3, A2373, "", "", "", , "p", , , , , , "Hundredths", , FALSE, , "")), 74.02, _xll.Storm.ExcelMacros.GvDaily("/GCL&lt;6&gt;", T$3, A2373, "", "", "", , "p", , , , , , "Hundredths", , FALSE, , ""))</f>
        <v>74.02</v>
      </c>
      <c r="U2373" s="10">
        <f>IF(ISERROR(_xll.Storm.ExcelMacros.GvDaily("/GCL&lt;7&gt;", U$3, A2373, "", "", "", , "p", , , , , , "Hundredths", , FALSE, , "")), 72.44, _xll.Storm.ExcelMacros.GvDaily("/GCL&lt;7&gt;", U$3, A2373, "", "", "", , "p", , , , , , "Hundredths", , FALSE, , ""))</f>
        <v>72.44</v>
      </c>
      <c r="V2373" s="10">
        <f>IF(ISERROR(_xll.Storm.ExcelMacros.GvDaily("/GCL&lt;8&gt;", V$3, A2373, "", "", "", , "p", , , , , , "Hundredths", , FALSE, , "")), 71.17, _xll.Storm.ExcelMacros.GvDaily("/GCL&lt;8&gt;", V$3, A2373, "", "", "", , "p", , , , , , "Hundredths", , FALSE, , ""))</f>
        <v>71.17</v>
      </c>
      <c r="W2373" s="10">
        <f>IF(ISERROR(_xll.Storm.ExcelMacros.GvDaily("/GCL&lt;9&gt;", W$3, A2373, "", "", "", , "p", , , , , , "Hundredths", , FALSE, , "")), 70.08, _xll.Storm.ExcelMacros.GvDaily("/GCL&lt;9&gt;", W$3, A2373, "", "", "", , "p", , , , , , "Hundredths", , FALSE, , ""))</f>
        <v>70.08</v>
      </c>
      <c r="X2373" s="10">
        <f>IF(ISERROR(_xll.Storm.ExcelMacros.GvDaily("/GCL&lt;10&gt;", X$3, A2373, "", "", "", , "p", , , , , , "Hundredths", , FALSE, , "")), 69.19, _xll.Storm.ExcelMacros.GvDaily("/GCL&lt;10&gt;", X$3, A2373, "", "", "", , "p", , , , , , "Hundredths", , FALSE, , ""))</f>
        <v>69.19</v>
      </c>
      <c r="Y2373" s="10">
        <f>IF(ISERROR(_xll.Storm.ExcelMacros.GvDaily("/GCL&lt;11&gt;", Y$3, A2373, "", "", "", , "p", , , , , , "Hundredths", , FALSE, , "")), 68.49, _xll.Storm.ExcelMacros.GvDaily("/GCL&lt;11&gt;", Y$3, A2373, "", "", "", , "p", , , , , , "Hundredths", , FALSE, , ""))</f>
        <v>68.489999999999995</v>
      </c>
      <c r="Z2373" s="11">
        <f>IF(ISERROR(_xll.Storm.ExcelMacros.GvDaily("/DBI&lt;0&gt;", Z$3, A2373, "", "", "", , "p", , , , , , "Thousandths", , FALSE, , "")), 109.05, _xll.Storm.ExcelMacros.GvDaily("/DBI&lt;0&gt;", Z$3, A2373, "", "", "", , "p", , , , , , "Thousandths", , FALSE, , ""))</f>
        <v>109.05</v>
      </c>
      <c r="AA2373" s="11">
        <f>IF(ISERROR(_xll.Storm.ExcelMacros.GvDaily("/DBI&lt;1&gt;", AA$3, A2373, "", "", "", , "p", , , , , , "Thousandths", , FALSE, , "")), 93.423, _xll.Storm.ExcelMacros.GvDaily("/DBI&lt;1&gt;", AA$3, A2373, "", "", "", , "p", , , , , , "Thousandths", , FALSE, , ""))</f>
        <v>93.423000000000002</v>
      </c>
      <c r="AB2373" s="11">
        <f>IF(ISERROR(_xll.Storm.ExcelMacros.GvDaily("/DBI&lt;2&gt;", AB$3, A2373, "", "", "", , "p", , , , , , "Thousandths", , FALSE, , "")), 88.233, _xll.Storm.ExcelMacros.GvDaily("/DBI&lt;2&gt;", AB$3, A2373, "", "", "", , "p", , , , , , "Thousandths", , FALSE, , ""))</f>
        <v>88.233000000000004</v>
      </c>
      <c r="AC2373" s="11">
        <f>IF(ISERROR(_xll.Storm.ExcelMacros.GvDaily("/DBI&lt;3&gt;", AC$3, A2373, "", "", "", , "p", , , , , , "Thousandths", , FALSE, , "")), 85.531, _xll.Storm.ExcelMacros.GvDaily("/DBI&lt;3&gt;", AC$3, A2373, "", "", "", , "p", , , , , , "Thousandths", , FALSE, , ""))</f>
        <v>85.531000000000006</v>
      </c>
      <c r="AD2373" s="11">
        <f>IF(ISERROR(_xll.Storm.ExcelMacros.GvDaily("/DBI&lt;4&gt;", AD$3, A2373, "", "", "", , "p", , , , , , "Thousandths", , FALSE, , "")), 83.452, _xll.Storm.ExcelMacros.GvDaily("/DBI&lt;4&gt;", AD$3, A2373, "", "", "", , "p", , , , , , "Thousandths", , FALSE, , ""))</f>
        <v>83.451999999999998</v>
      </c>
      <c r="AE2373" s="11">
        <f>IF(ISERROR(_xll.Storm.ExcelMacros.GvDaily("/DBI&lt;5&gt;", AE$3, A2373, "", "", "", , "p", , , , , , "Thousandths", , FALSE, , "")), 81.544, _xll.Storm.ExcelMacros.GvDaily("/DBI&lt;5&gt;", AE$3, A2373, "", "", "", , "p", , , , , , "Thousandths", , FALSE, , ""))</f>
        <v>81.543999999999997</v>
      </c>
      <c r="AF2373" s="11">
        <f>IF(ISERROR(_xll.Storm.ExcelMacros.GvDaily("/DBI&lt;6&gt;", AF$3, A2373, "", "", "", , "p", , , , , , "Thousandths", , FALSE, , "")), 80.074, _xll.Storm.ExcelMacros.GvDaily("/DBI&lt;6&gt;", AF$3, A2373, "", "", "", , "p", , , , , , "Thousandths", , FALSE, , ""))</f>
        <v>80.073999999999998</v>
      </c>
      <c r="AG2373" s="11">
        <f>IF(ISERROR(_xll.Storm.ExcelMacros.GvDaily("/DBI&lt;7&gt;", AG$3, A2373, "", "", "", , "p", , , , , , "Thousandths", , FALSE, , "")), 78.708, _xll.Storm.ExcelMacros.GvDaily("/DBI&lt;7&gt;", AG$3, A2373, "", "", "", , "p", , , , , , "Thousandths", , FALSE, , ""))</f>
        <v>78.707999999999998</v>
      </c>
      <c r="AH2373" s="11">
        <f>IF(ISERROR(_xll.Storm.ExcelMacros.GvDaily("/DBI&lt;8&gt;", AH$3, A2373, "", "", "", , "p", , , , , , "Thousandths", , FALSE, , "")), 77.523, _xll.Storm.ExcelMacros.GvDaily("/DBI&lt;8&gt;", AH$3, A2373, "", "", "", , "p", , , , , , "Thousandths", , FALSE, , ""))</f>
        <v>77.522999999999996</v>
      </c>
      <c r="AI2373" s="11">
        <f>IF(ISERROR(_xll.Storm.ExcelMacros.GvDaily("/DBI&lt;9&gt;", AI$3, A2373, "", "", "", , "p", , , , , , "Thousandths", , FALSE, , "")), 76.518, _xll.Storm.ExcelMacros.GvDaily("/DBI&lt;9&gt;", AI$3, A2373, "", "", "", , "p", , , , , , "Thousandths", , FALSE, , ""))</f>
        <v>76.518000000000001</v>
      </c>
      <c r="AJ2373" s="11">
        <f>IF(ISERROR(_xll.Storm.ExcelMacros.GvDaily("/DBI&lt;10&gt;", AJ$3, A2373, "", "", "", , "p", , , , , , "Thousandths", , FALSE, , "")), 75.768, _xll.Storm.ExcelMacros.GvDaily("/DBI&lt;10&gt;", AJ$3, A2373, "", "", "", , "p", , , , , , "Thousandths", , FALSE, , ""))</f>
        <v>75.768000000000001</v>
      </c>
      <c r="AK2373" s="11">
        <f>IF(ISERROR(_xll.Storm.ExcelMacros.GvDaily("/DBI&lt;11&gt;", AK$3, A2373, "", "", "", , "p", , , , , , "Thousandths", , FALSE, , "")), 75.125, _xll.Storm.ExcelMacros.GvDaily("/DBI&lt;11&gt;", AK$3, A2373, "", "", "", , "p", , , , , , "Thousandths", , FALSE, , ""))</f>
        <v>75.125</v>
      </c>
      <c r="AL2373" s="11"/>
    </row>
    <row r="2374" spans="1:38" x14ac:dyDescent="0.3">
      <c r="A2374" s="9">
        <f>DATE(2026, 3, 10)</f>
        <v>46091</v>
      </c>
      <c r="B2374" s="10">
        <f>IF(ISERROR(_xll.Storm.ExcelMacros.GvDaily("/BRN&lt;0&gt;", B$3, A2374, "", "", "", , "p", , , , , , "Hundredths", , FALSE, , "")), 87.8, _xll.Storm.ExcelMacros.GvDaily("/BRN&lt;0&gt;", B$3, A2374, "", "", "", , "p", , , , , , "Hundredths", , FALSE, , ""))</f>
        <v>87.8</v>
      </c>
      <c r="C2374" s="10">
        <f>IF(ISERROR(_xll.Storm.ExcelMacros.GvDaily("/BRN&lt;1&gt;", C$3, A2374, "", "", "", , "p", , , , , , "Hundredths", , FALSE, , "")), 85.27, _xll.Storm.ExcelMacros.GvDaily("/BRN&lt;1&gt;", C$3, A2374, "", "", "", , "p", , , , , , "Hundredths", , FALSE, , ""))</f>
        <v>85.27</v>
      </c>
      <c r="D2374" s="10">
        <f>IF(ISERROR(_xll.Storm.ExcelMacros.GvDaily("/BRN&lt;2&gt;", D$3, A2374, "", "", "", , "p", , , , , , "Hundredths", , FALSE, , "")), 82.6, _xll.Storm.ExcelMacros.GvDaily("/BRN&lt;2&gt;", D$3, A2374, "", "", "", , "p", , , , , , "Hundredths", , FALSE, , ""))</f>
        <v>82.600000000000009</v>
      </c>
      <c r="E2374" s="10">
        <f>IF(ISERROR(_xll.Storm.ExcelMacros.GvDaily("/BRN&lt;3&gt;", E$3, A2374, "", "", "", , "p", , , , , , "Hundredths", , FALSE, , "")), 80.29, _xll.Storm.ExcelMacros.GvDaily("/BRN&lt;3&gt;", E$3, A2374, "", "", "", , "p", , , , , , "Hundredths", , FALSE, , ""))</f>
        <v>80.290000000000006</v>
      </c>
      <c r="F2374" s="10">
        <f>IF(ISERROR(_xll.Storm.ExcelMacros.GvDaily("/BRN&lt;4&gt;", F$3, A2374, "", "", "", , "p", , , , , , "Hundredths", , FALSE, , "")), 78.44, _xll.Storm.ExcelMacros.GvDaily("/BRN&lt;4&gt;", F$3, A2374, "", "", "", , "p", , , , , , "Hundredths", , FALSE, , ""))</f>
        <v>78.44</v>
      </c>
      <c r="G2374" s="10">
        <f>IF(ISERROR(_xll.Storm.ExcelMacros.GvDaily("/BRN&lt;5&gt;", G$3, A2374, "", "", "", , "p", , , , , , "Hundredths", , FALSE, , "")), 76.91, _xll.Storm.ExcelMacros.GvDaily("/BRN&lt;5&gt;", G$3, A2374, "", "", "", , "p", , , , , , "Hundredths", , FALSE, , ""))</f>
        <v>76.91</v>
      </c>
      <c r="H2374" s="10">
        <f>IF(ISERROR(_xll.Storm.ExcelMacros.GvDaily("/BRN&lt;6&gt;", H$3, A2374, "", "", "", , "p", , , , , , "Hundredths", , FALSE, , "")), 75.69, _xll.Storm.ExcelMacros.GvDaily("/BRN&lt;6&gt;", H$3, A2374, "", "", "", , "p", , , , , , "Hundredths", , FALSE, , ""))</f>
        <v>75.69</v>
      </c>
      <c r="I2374" s="10">
        <f>IF(ISERROR(_xll.Storm.ExcelMacros.GvDaily("/BRN&lt;7&gt;", I$3, A2374, "", "", "", , "p", , , , , , "Hundredths", , FALSE, , "")), 74.7, _xll.Storm.ExcelMacros.GvDaily("/BRN&lt;7&gt;", I$3, A2374, "", "", "", , "p", , , , , , "Hundredths", , FALSE, , ""))</f>
        <v>74.7</v>
      </c>
      <c r="J2374" s="10">
        <f>IF(ISERROR(_xll.Storm.ExcelMacros.GvDaily("/BRN&lt;8&gt;", J$3, A2374, "", "", "", , "p", , , , , , "Hundredths", , FALSE, , "")), 73.82, _xll.Storm.ExcelMacros.GvDaily("/BRN&lt;8&gt;", J$3, A2374, "", "", "", , "p", , , , , , "Hundredths", , FALSE, , ""))</f>
        <v>73.820000000000007</v>
      </c>
      <c r="K2374" s="10">
        <f>IF(ISERROR(_xll.Storm.ExcelMacros.GvDaily("/BRN&lt;9&gt;", K$3, A2374, "", "", "", , "p", , , , , , "Hundredths", , FALSE, , "")), 73.09, _xll.Storm.ExcelMacros.GvDaily("/BRN&lt;9&gt;", K$3, A2374, "", "", "", , "p", , , , , , "Hundredths", , FALSE, , ""))</f>
        <v>73.09</v>
      </c>
      <c r="L2374" s="10">
        <f>IF(ISERROR(_xll.Storm.ExcelMacros.GvDaily("/BRN&lt;10&gt;", L$3, A2374, "", "", "", , "p", , , , , , "Hundredths", , FALSE, , "")), 72.52, _xll.Storm.ExcelMacros.GvDaily("/BRN&lt;10&gt;", L$3, A2374, "", "", "", , "p", , , , , , "Hundredths", , FALSE, , ""))</f>
        <v>72.52</v>
      </c>
      <c r="M2374" s="10">
        <f>IF(ISERROR(_xll.Storm.ExcelMacros.GvDaily("/BRN&lt;11&gt;", M$3, A2374, "", "", "", , "p", , , , , , "Hundredths", , FALSE, , "")), 72.05, _xll.Storm.ExcelMacros.GvDaily("/BRN&lt;11&gt;", M$3, A2374, "", "", "", , "p", , , , , , "Hundredths", , FALSE, , ""))</f>
        <v>72.05</v>
      </c>
      <c r="N2374" s="10">
        <f>IF(ISERROR(_xll.Storm.ExcelMacros.GvDaily("/GCL&lt;0&gt;", N$3, A2374, "", "", "", , "p", , , , , , "Hundredths", , FALSE, , "")), 83.45, _xll.Storm.ExcelMacros.GvDaily("/GCL&lt;0&gt;", N$3, A2374, "", "", "", , "p", , , , , , "Hundredths", , FALSE, , ""))</f>
        <v>83.45</v>
      </c>
      <c r="O2374" s="10">
        <f>IF(ISERROR(_xll.Storm.ExcelMacros.GvDaily("/GCL&lt;1&gt;", O$3, A2374, "", "", "", , "p", , , , , , "Hundredths", , FALSE, , "")), 82.1, _xll.Storm.ExcelMacros.GvDaily("/GCL&lt;1&gt;", O$3, A2374, "", "", "", , "p", , , , , , "Hundredths", , FALSE, , ""))</f>
        <v>82.100000000000009</v>
      </c>
      <c r="P2374" s="10">
        <f>IF(ISERROR(_xll.Storm.ExcelMacros.GvDaily("/GCL&lt;2&gt;", P$3, A2374, "", "", "", , "p", , , , , , "Hundredths", , FALSE, , "")), 79.44, _xll.Storm.ExcelMacros.GvDaily("/GCL&lt;2&gt;", P$3, A2374, "", "", "", , "p", , , , , , "Hundredths", , FALSE, , ""))</f>
        <v>79.44</v>
      </c>
      <c r="Q2374" s="10">
        <f>IF(ISERROR(_xll.Storm.ExcelMacros.GvDaily("/GCL&lt;3&gt;", Q$3, A2374, "", "", "", , "p", , , , , , "Hundredths", , FALSE, , "")), 76.93, _xll.Storm.ExcelMacros.GvDaily("/GCL&lt;3&gt;", Q$3, A2374, "", "", "", , "p", , , , , , "Hundredths", , FALSE, , ""))</f>
        <v>76.930000000000007</v>
      </c>
      <c r="R2374" s="10">
        <f>IF(ISERROR(_xll.Storm.ExcelMacros.GvDaily("/GCL&lt;4&gt;", R$3, A2374, "", "", "", , "p", , , , , , "Hundredths", , FALSE, , "")), 74.75, _xll.Storm.ExcelMacros.GvDaily("/GCL&lt;4&gt;", R$3, A2374, "", "", "", , "p", , , , , , "Hundredths", , FALSE, , ""))</f>
        <v>74.75</v>
      </c>
      <c r="S2374" s="10">
        <f>IF(ISERROR(_xll.Storm.ExcelMacros.GvDaily("/GCL&lt;5&gt;", S$3, A2374, "", "", "", , "p", , , , , , "Hundredths", , FALSE, , "")), 72.95, _xll.Storm.ExcelMacros.GvDaily("/GCL&lt;5&gt;", S$3, A2374, "", "", "", , "p", , , , , , "Hundredths", , FALSE, , ""))</f>
        <v>72.95</v>
      </c>
      <c r="T2374" s="10">
        <f>IF(ISERROR(_xll.Storm.ExcelMacros.GvDaily("/GCL&lt;6&gt;", T$3, A2374, "", "", "", , "p", , , , , , "Hundredths", , FALSE, , "")), 71.46, _xll.Storm.ExcelMacros.GvDaily("/GCL&lt;6&gt;", T$3, A2374, "", "", "", , "p", , , , , , "Hundredths", , FALSE, , ""))</f>
        <v>71.460000000000008</v>
      </c>
      <c r="U2374" s="10">
        <f>IF(ISERROR(_xll.Storm.ExcelMacros.GvDaily("/GCL&lt;7&gt;", U$3, A2374, "", "", "", , "p", , , , , , "Hundredths", , FALSE, , "")), 70.32, _xll.Storm.ExcelMacros.GvDaily("/GCL&lt;7&gt;", U$3, A2374, "", "", "", , "p", , , , , , "Hundredths", , FALSE, , ""))</f>
        <v>70.320000000000007</v>
      </c>
      <c r="V2374" s="10">
        <f>IF(ISERROR(_xll.Storm.ExcelMacros.GvDaily("/GCL&lt;8&gt;", V$3, A2374, "", "", "", , "p", , , , , , "Hundredths", , FALSE, , "")), 69.37, _xll.Storm.ExcelMacros.GvDaily("/GCL&lt;8&gt;", V$3, A2374, "", "", "", , "p", , , , , , "Hundredths", , FALSE, , ""))</f>
        <v>69.37</v>
      </c>
      <c r="W2374" s="10">
        <f>IF(ISERROR(_xll.Storm.ExcelMacros.GvDaily("/GCL&lt;9&gt;", W$3, A2374, "", "", "", , "p", , , , , , "Hundredths", , FALSE, , "")), 68.55, _xll.Storm.ExcelMacros.GvDaily("/GCL&lt;9&gt;", W$3, A2374, "", "", "", , "p", , , , , , "Hundredths", , FALSE, , ""))</f>
        <v>68.55</v>
      </c>
      <c r="X2374" s="10">
        <f>IF(ISERROR(_xll.Storm.ExcelMacros.GvDaily("/GCL&lt;10&gt;", X$3, A2374, "", "", "", , "p", , , , , , "Hundredths", , FALSE, , "")), 67.88, _xll.Storm.ExcelMacros.GvDaily("/GCL&lt;10&gt;", X$3, A2374, "", "", "", , "p", , , , , , "Hundredths", , FALSE, , ""))</f>
        <v>67.88</v>
      </c>
      <c r="Y2374" s="10">
        <f>IF(ISERROR(_xll.Storm.ExcelMacros.GvDaily("/GCL&lt;11&gt;", Y$3, A2374, "", "", "", , "p", , , , , , "Hundredths", , FALSE, , "")), 67.35, _xll.Storm.ExcelMacros.GvDaily("/GCL&lt;11&gt;", Y$3, A2374, "", "", "", , "p", , , , , , "Hundredths", , FALSE, , ""))</f>
        <v>67.349999999999994</v>
      </c>
      <c r="Z2374" s="11">
        <f>IF(ISERROR(_xll.Storm.ExcelMacros.GvDaily("/DBI&lt;0&gt;", Z$3, A2374, "", "", "", , "p", , , , , , "Thousandths", , FALSE, , "")), 105.884, _xll.Storm.ExcelMacros.GvDaily("/DBI&lt;0&gt;", Z$3, A2374, "", "", "", , "p", , , , , , "Thousandths", , FALSE, , ""))</f>
        <v>105.884</v>
      </c>
      <c r="AA2374" s="11">
        <f>IF(ISERROR(_xll.Storm.ExcelMacros.GvDaily("/DBI&lt;1&gt;", AA$3, A2374, "", "", "", , "p", , , , , , "Thousandths", , FALSE, , "")), 85.123, _xll.Storm.ExcelMacros.GvDaily("/DBI&lt;1&gt;", AA$3, A2374, "", "", "", , "p", , , , , , "Thousandths", , FALSE, , ""))</f>
        <v>85.123000000000005</v>
      </c>
      <c r="AB2374" s="11">
        <f>IF(ISERROR(_xll.Storm.ExcelMacros.GvDaily("/DBI&lt;2&gt;", AB$3, A2374, "", "", "", , "p", , , , , , "Thousandths", , FALSE, , "")), 80.87, _xll.Storm.ExcelMacros.GvDaily("/DBI&lt;2&gt;", AB$3, A2374, "", "", "", , "p", , , , , , "Thousandths", , FALSE, , ""))</f>
        <v>80.87</v>
      </c>
      <c r="AC2374" s="11">
        <f>IF(ISERROR(_xll.Storm.ExcelMacros.GvDaily("/DBI&lt;3&gt;", AC$3, A2374, "", "", "", , "p", , , , , , "Thousandths", , FALSE, , "")), 79.486, _xll.Storm.ExcelMacros.GvDaily("/DBI&lt;3&gt;", AC$3, A2374, "", "", "", , "p", , , , , , "Thousandths", , FALSE, , ""))</f>
        <v>79.486000000000004</v>
      </c>
      <c r="AD2374" s="11">
        <f>IF(ISERROR(_xll.Storm.ExcelMacros.GvDaily("/DBI&lt;4&gt;", AD$3, A2374, "", "", "", , "p", , , , , , "Thousandths", , FALSE, , "")), 78.243, _xll.Storm.ExcelMacros.GvDaily("/DBI&lt;4&gt;", AD$3, A2374, "", "", "", , "p", , , , , , "Thousandths", , FALSE, , ""))</f>
        <v>78.242999999999995</v>
      </c>
      <c r="AE2374" s="11">
        <f>IF(ISERROR(_xll.Storm.ExcelMacros.GvDaily("/DBI&lt;5&gt;", AE$3, A2374, "", "", "", , "p", , , , , , "Thousandths", , FALSE, , "")), 77.02, _xll.Storm.ExcelMacros.GvDaily("/DBI&lt;5&gt;", AE$3, A2374, "", "", "", , "p", , , , , , "Thousandths", , FALSE, , ""))</f>
        <v>77.02</v>
      </c>
      <c r="AF2374" s="11">
        <f>IF(ISERROR(_xll.Storm.ExcelMacros.GvDaily("/DBI&lt;6&gt;", AF$3, A2374, "", "", "", , "p", , , , , , "Thousandths", , FALSE, , "")), 75.952, _xll.Storm.ExcelMacros.GvDaily("/DBI&lt;6&gt;", AF$3, A2374, "", "", "", , "p", , , , , , "Thousandths", , FALSE, , ""))</f>
        <v>75.951999999999998</v>
      </c>
      <c r="AG2374" s="11">
        <f>IF(ISERROR(_xll.Storm.ExcelMacros.GvDaily("/DBI&lt;7&gt;", AG$3, A2374, "", "", "", , "p", , , , , , "Thousandths", , FALSE, , "")), 74.975, _xll.Storm.ExcelMacros.GvDaily("/DBI&lt;7&gt;", AG$3, A2374, "", "", "", , "p", , , , , , "Thousandths", , FALSE, , ""))</f>
        <v>74.975000000000009</v>
      </c>
      <c r="AH2374" s="11">
        <f>IF(ISERROR(_xll.Storm.ExcelMacros.GvDaily("/DBI&lt;8&gt;", AH$3, A2374, "", "", "", , "p", , , , , , "Thousandths", , FALSE, , "")), 74.105, _xll.Storm.ExcelMacros.GvDaily("/DBI&lt;8&gt;", AH$3, A2374, "", "", "", , "p", , , , , , "Thousandths", , FALSE, , ""))</f>
        <v>74.105000000000004</v>
      </c>
      <c r="AI2374" s="11">
        <f>IF(ISERROR(_xll.Storm.ExcelMacros.GvDaily("/DBI&lt;9&gt;", AI$3, A2374, "", "", "", , "p", , , , , , "Thousandths", , FALSE, , "")), 73.388, _xll.Storm.ExcelMacros.GvDaily("/DBI&lt;9&gt;", AI$3, A2374, "", "", "", , "p", , , , , , "Thousandths", , FALSE, , ""))</f>
        <v>73.388000000000005</v>
      </c>
      <c r="AJ2374" s="11">
        <f>IF(ISERROR(_xll.Storm.ExcelMacros.GvDaily("/DBI&lt;10&gt;", AJ$3, A2374, "", "", "", , "p", , , , , , "Thousandths", , FALSE, , "")), 72.872, _xll.Storm.ExcelMacros.GvDaily("/DBI&lt;10&gt;", AJ$3, A2374, "", "", "", , "p", , , , , , "Thousandths", , FALSE, , ""))</f>
        <v>72.872</v>
      </c>
      <c r="AK2374" s="11">
        <f>IF(ISERROR(_xll.Storm.ExcelMacros.GvDaily("/DBI&lt;11&gt;", AK$3, A2374, "", "", "", , "p", , , , , , "Thousandths", , FALSE, , "")), 72.437, _xll.Storm.ExcelMacros.GvDaily("/DBI&lt;11&gt;", AK$3, A2374, "", "", "", , "p", , , , , , "Thousandths", , FALSE, , ""))</f>
        <v>72.436999999999998</v>
      </c>
      <c r="AL2374" s="11"/>
    </row>
    <row r="2375" spans="1:38" x14ac:dyDescent="0.3">
      <c r="A2375" s="9">
        <f>DATE(2026, 3, 11)</f>
        <v>46092</v>
      </c>
      <c r="B2375" s="10">
        <f>IF(ISERROR(_xll.Storm.ExcelMacros.GvDaily("/BRN&lt;0&gt;", B$3, A2375, "", "", "", , "p", , , , , , "Hundredths", , FALSE, , "")), 91.98, _xll.Storm.ExcelMacros.GvDaily("/BRN&lt;0&gt;", B$3, A2375, "", "", "", , "p", , , , , , "Hundredths", , FALSE, , ""))</f>
        <v>91.98</v>
      </c>
      <c r="C2375" s="10">
        <f>IF(ISERROR(_xll.Storm.ExcelMacros.GvDaily("/BRN&lt;1&gt;", C$3, A2375, "", "", "", , "p", , , , , , "Hundredths", , FALSE, , "")), 89.35, _xll.Storm.ExcelMacros.GvDaily("/BRN&lt;1&gt;", C$3, A2375, "", "", "", , "p", , , , , , "Hundredths", , FALSE, , ""))</f>
        <v>89.350000000000009</v>
      </c>
      <c r="D2375" s="10">
        <f>IF(ISERROR(_xll.Storm.ExcelMacros.GvDaily("/BRN&lt;2&gt;", D$3, A2375, "", "", "", , "p", , , , , , "Hundredths", , FALSE, , "")), 86.71, _xll.Storm.ExcelMacros.GvDaily("/BRN&lt;2&gt;", D$3, A2375, "", "", "", , "p", , , , , , "Hundredths", , FALSE, , ""))</f>
        <v>86.710000000000008</v>
      </c>
      <c r="E2375" s="10">
        <f>IF(ISERROR(_xll.Storm.ExcelMacros.GvDaily("/BRN&lt;3&gt;", E$3, A2375, "", "", "", , "p", , , , , , "Hundredths", , FALSE, , "")), 84.32, _xll.Storm.ExcelMacros.GvDaily("/BRN&lt;3&gt;", E$3, A2375, "", "", "", , "p", , , , , , "Hundredths", , FALSE, , ""))</f>
        <v>84.320000000000007</v>
      </c>
      <c r="F2375" s="10">
        <f>IF(ISERROR(_xll.Storm.ExcelMacros.GvDaily("/BRN&lt;4&gt;", F$3, A2375, "", "", "", , "p", , , , , , "Hundredths", , FALSE, , "")), 82.28, _xll.Storm.ExcelMacros.GvDaily("/BRN&lt;4&gt;", F$3, A2375, "", "", "", , "p", , , , , , "Hundredths", , FALSE, , ""))</f>
        <v>82.28</v>
      </c>
      <c r="G2375" s="10">
        <f>IF(ISERROR(_xll.Storm.ExcelMacros.GvDaily("/BRN&lt;5&gt;", G$3, A2375, "", "", "", , "p", , , , , , "Hundredths", , FALSE, , "")), 80.51, _xll.Storm.ExcelMacros.GvDaily("/BRN&lt;5&gt;", G$3, A2375, "", "", "", , "p", , , , , , "Hundredths", , FALSE, , ""))</f>
        <v>80.510000000000005</v>
      </c>
      <c r="H2375" s="10">
        <f>IF(ISERROR(_xll.Storm.ExcelMacros.GvDaily("/BRN&lt;6&gt;", H$3, A2375, "", "", "", , "p", , , , , , "Hundredths", , FALSE, , "")), 79.03, _xll.Storm.ExcelMacros.GvDaily("/BRN&lt;6&gt;", H$3, A2375, "", "", "", , "p", , , , , , "Hundredths", , FALSE, , ""))</f>
        <v>79.03</v>
      </c>
      <c r="I2375" s="10">
        <f>IF(ISERROR(_xll.Storm.ExcelMacros.GvDaily("/BRN&lt;7&gt;", I$3, A2375, "", "", "", , "p", , , , , , "Hundredths", , FALSE, , "")), 77.77, _xll.Storm.ExcelMacros.GvDaily("/BRN&lt;7&gt;", I$3, A2375, "", "", "", , "p", , , , , , "Hundredths", , FALSE, , ""))</f>
        <v>77.77</v>
      </c>
      <c r="J2375" s="10">
        <f>IF(ISERROR(_xll.Storm.ExcelMacros.GvDaily("/BRN&lt;8&gt;", J$3, A2375, "", "", "", , "p", , , , , , "Hundredths", , FALSE, , "")), 76.63, _xll.Storm.ExcelMacros.GvDaily("/BRN&lt;8&gt;", J$3, A2375, "", "", "", , "p", , , , , , "Hundredths", , FALSE, , ""))</f>
        <v>76.63</v>
      </c>
      <c r="K2375" s="10">
        <f>IF(ISERROR(_xll.Storm.ExcelMacros.GvDaily("/BRN&lt;9&gt;", K$3, A2375, "", "", "", , "p", , , , , , "Hundredths", , FALSE, , "")), 75.64, _xll.Storm.ExcelMacros.GvDaily("/BRN&lt;9&gt;", K$3, A2375, "", "", "", , "p", , , , , , "Hundredths", , FALSE, , ""))</f>
        <v>75.64</v>
      </c>
      <c r="L2375" s="10">
        <f>IF(ISERROR(_xll.Storm.ExcelMacros.GvDaily("/BRN&lt;10&gt;", L$3, A2375, "", "", "", , "p", , , , , , "Hundredths", , FALSE, , "")), 74.83, _xll.Storm.ExcelMacros.GvDaily("/BRN&lt;10&gt;", L$3, A2375, "", "", "", , "p", , , , , , "Hundredths", , FALSE, , ""))</f>
        <v>74.83</v>
      </c>
      <c r="M2375" s="10">
        <f>IF(ISERROR(_xll.Storm.ExcelMacros.GvDaily("/BRN&lt;11&gt;", M$3, A2375, "", "", "", , "p", , , , , , "Hundredths", , FALSE, , "")), 74.17, _xll.Storm.ExcelMacros.GvDaily("/BRN&lt;11&gt;", M$3, A2375, "", "", "", , "p", , , , , , "Hundredths", , FALSE, , ""))</f>
        <v>74.17</v>
      </c>
      <c r="N2375" s="10">
        <f>IF(ISERROR(_xll.Storm.ExcelMacros.GvDaily("/GCL&lt;0&gt;", N$3, A2375, "", "", "", , "p", , , , , , "Hundredths", , FALSE, , "")), 87.25, _xll.Storm.ExcelMacros.GvDaily("/GCL&lt;0&gt;", N$3, A2375, "", "", "", , "p", , , , , , "Hundredths", , FALSE, , ""))</f>
        <v>87.25</v>
      </c>
      <c r="O2375" s="10">
        <f>IF(ISERROR(_xll.Storm.ExcelMacros.GvDaily("/GCL&lt;1&gt;", O$3, A2375, "", "", "", , "p", , , , , , "Hundredths", , FALSE, , "")), 86.07, _xll.Storm.ExcelMacros.GvDaily("/GCL&lt;1&gt;", O$3, A2375, "", "", "", , "p", , , , , , "Hundredths", , FALSE, , ""))</f>
        <v>86.070000000000007</v>
      </c>
      <c r="P2375" s="10">
        <f>IF(ISERROR(_xll.Storm.ExcelMacros.GvDaily("/GCL&lt;2&gt;", P$3, A2375, "", "", "", , "p", , , , , , "Hundredths", , FALSE, , "")), 83.48, _xll.Storm.ExcelMacros.GvDaily("/GCL&lt;2&gt;", P$3, A2375, "", "", "", , "p", , , , , , "Hundredths", , FALSE, , ""))</f>
        <v>83.48</v>
      </c>
      <c r="Q2375" s="10">
        <f>IF(ISERROR(_xll.Storm.ExcelMacros.GvDaily("/GCL&lt;3&gt;", Q$3, A2375, "", "", "", , "p", , , , , , "Hundredths", , FALSE, , "")), 81.04, _xll.Storm.ExcelMacros.GvDaily("/GCL&lt;3&gt;", Q$3, A2375, "", "", "", , "p", , , , , , "Hundredths", , FALSE, , ""))</f>
        <v>81.040000000000006</v>
      </c>
      <c r="R2375" s="10">
        <f>IF(ISERROR(_xll.Storm.ExcelMacros.GvDaily("/GCL&lt;4&gt;", R$3, A2375, "", "", "", , "p", , , , , , "Hundredths", , FALSE, , "")), 78.82, _xll.Storm.ExcelMacros.GvDaily("/GCL&lt;4&gt;", R$3, A2375, "", "", "", , "p", , , , , , "Hundredths", , FALSE, , ""))</f>
        <v>78.820000000000007</v>
      </c>
      <c r="S2375" s="10">
        <f>IF(ISERROR(_xll.Storm.ExcelMacros.GvDaily("/GCL&lt;5&gt;", S$3, A2375, "", "", "", , "p", , , , , , "Hundredths", , FALSE, , "")), 76.82, _xll.Storm.ExcelMacros.GvDaily("/GCL&lt;5&gt;", S$3, A2375, "", "", "", , "p", , , , , , "Hundredths", , FALSE, , ""))</f>
        <v>76.820000000000007</v>
      </c>
      <c r="T2375" s="10">
        <f>IF(ISERROR(_xll.Storm.ExcelMacros.GvDaily("/GCL&lt;6&gt;", T$3, A2375, "", "", "", , "p", , , , , , "Hundredths", , FALSE, , "")), 75.04, _xll.Storm.ExcelMacros.GvDaily("/GCL&lt;6&gt;", T$3, A2375, "", "", "", , "p", , , , , , "Hundredths", , FALSE, , ""))</f>
        <v>75.040000000000006</v>
      </c>
      <c r="U2375" s="10">
        <f>IF(ISERROR(_xll.Storm.ExcelMacros.GvDaily("/GCL&lt;7&gt;", U$3, A2375, "", "", "", , "p", , , , , , "Hundredths", , FALSE, , "")), 73.58, _xll.Storm.ExcelMacros.GvDaily("/GCL&lt;7&gt;", U$3, A2375, "", "", "", , "p", , , , , , "Hundredths", , FALSE, , ""))</f>
        <v>73.58</v>
      </c>
      <c r="V2375" s="10">
        <f>IF(ISERROR(_xll.Storm.ExcelMacros.GvDaily("/GCL&lt;8&gt;", V$3, A2375, "", "", "", , "p", , , , , , "Hundredths", , FALSE, , "")), 72.31, _xll.Storm.ExcelMacros.GvDaily("/GCL&lt;8&gt;", V$3, A2375, "", "", "", , "p", , , , , , "Hundredths", , FALSE, , ""))</f>
        <v>72.31</v>
      </c>
      <c r="W2375" s="10">
        <f>IF(ISERROR(_xll.Storm.ExcelMacros.GvDaily("/GCL&lt;9&gt;", W$3, A2375, "", "", "", , "p", , , , , , "Hundredths", , FALSE, , "")), 71.2, _xll.Storm.ExcelMacros.GvDaily("/GCL&lt;9&gt;", W$3, A2375, "", "", "", , "p", , , , , , "Hundredths", , FALSE, , ""))</f>
        <v>71.2</v>
      </c>
      <c r="X2375" s="10">
        <f>IF(ISERROR(_xll.Storm.ExcelMacros.GvDaily("/GCL&lt;10&gt;", X$3, A2375, "", "", "", , "p", , , , , , "Hundredths", , FALSE, , "")), 70.25, _xll.Storm.ExcelMacros.GvDaily("/GCL&lt;10&gt;", X$3, A2375, "", "", "", , "p", , , , , , "Hundredths", , FALSE, , ""))</f>
        <v>70.25</v>
      </c>
      <c r="Y2375" s="10">
        <f>IF(ISERROR(_xll.Storm.ExcelMacros.GvDaily("/GCL&lt;11&gt;", Y$3, A2375, "", "", "", , "p", , , , , , "Hundredths", , FALSE, , "")), 69.49, _xll.Storm.ExcelMacros.GvDaily("/GCL&lt;11&gt;", Y$3, A2375, "", "", "", , "p", , , , , , "Hundredths", , FALSE, , ""))</f>
        <v>69.489999999999995</v>
      </c>
      <c r="Z2375" s="11">
        <f>IF(ISERROR(_xll.Storm.ExcelMacros.GvDaily("/DBI&lt;0&gt;", Z$3, A2375, "", "", "", , "p", , , , , , "Thousandths", , FALSE, , "")), 114.578, _xll.Storm.ExcelMacros.GvDaily("/DBI&lt;0&gt;", Z$3, A2375, "", "", "", , "p", , , , , , "Thousandths", , FALSE, , ""))</f>
        <v>114.578</v>
      </c>
      <c r="AA2375" s="11">
        <f>IF(ISERROR(_xll.Storm.ExcelMacros.GvDaily("/DBI&lt;1&gt;", AA$3, A2375, "", "", "", , "p", , , , , , "Thousandths", , FALSE, , "")), 89.874, _xll.Storm.ExcelMacros.GvDaily("/DBI&lt;1&gt;", AA$3, A2375, "", "", "", , "p", , , , , , "Thousandths", , FALSE, , ""))</f>
        <v>89.873999999999995</v>
      </c>
      <c r="AB2375" s="11">
        <f>IF(ISERROR(_xll.Storm.ExcelMacros.GvDaily("/DBI&lt;2&gt;", AB$3, A2375, "", "", "", , "p", , , , , , "Thousandths", , FALSE, , "")), 85.424, _xll.Storm.ExcelMacros.GvDaily("/DBI&lt;2&gt;", AB$3, A2375, "", "", "", , "p", , , , , , "Thousandths", , FALSE, , ""))</f>
        <v>85.424000000000007</v>
      </c>
      <c r="AC2375" s="11">
        <f>IF(ISERROR(_xll.Storm.ExcelMacros.GvDaily("/DBI&lt;3&gt;", AC$3, A2375, "", "", "", , "p", , , , , , "Thousandths", , FALSE, , "")), 83.164, _xll.Storm.ExcelMacros.GvDaily("/DBI&lt;3&gt;", AC$3, A2375, "", "", "", , "p", , , , , , "Thousandths", , FALSE, , ""))</f>
        <v>83.164000000000001</v>
      </c>
      <c r="AD2375" s="11">
        <f>IF(ISERROR(_xll.Storm.ExcelMacros.GvDaily("/DBI&lt;4&gt;", AD$3, A2375, "", "", "", , "p", , , , , , "Thousandths", , FALSE, , "")), 81.739, _xll.Storm.ExcelMacros.GvDaily("/DBI&lt;4&gt;", AD$3, A2375, "", "", "", , "p", , , , , , "Thousandths", , FALSE, , ""))</f>
        <v>81.739000000000004</v>
      </c>
      <c r="AE2375" s="11">
        <f>IF(ISERROR(_xll.Storm.ExcelMacros.GvDaily("/DBI&lt;5&gt;", AE$3, A2375, "", "", "", , "p", , , , , , "Thousandths", , FALSE, , "")), 80.388, _xll.Storm.ExcelMacros.GvDaily("/DBI&lt;5&gt;", AE$3, A2375, "", "", "", , "p", , , , , , "Thousandths", , FALSE, , ""))</f>
        <v>80.388000000000005</v>
      </c>
      <c r="AF2375" s="11">
        <f>IF(ISERROR(_xll.Storm.ExcelMacros.GvDaily("/DBI&lt;6&gt;", AF$3, A2375, "", "", "", , "p", , , , , , "Thousandths", , FALSE, , "")), 79.175, _xll.Storm.ExcelMacros.GvDaily("/DBI&lt;6&gt;", AF$3, A2375, "", "", "", , "p", , , , , , "Thousandths", , FALSE, , ""))</f>
        <v>79.174999999999997</v>
      </c>
      <c r="AG2375" s="11">
        <f>IF(ISERROR(_xll.Storm.ExcelMacros.GvDaily("/DBI&lt;7&gt;", AG$3, A2375, "", "", "", , "p", , , , , , "Thousandths", , FALSE, , "")), 78.017, _xll.Storm.ExcelMacros.GvDaily("/DBI&lt;7&gt;", AG$3, A2375, "", "", "", , "p", , , , , , "Thousandths", , FALSE, , ""))</f>
        <v>78.016999999999996</v>
      </c>
      <c r="AH2375" s="11">
        <f>IF(ISERROR(_xll.Storm.ExcelMacros.GvDaily("/DBI&lt;8&gt;", AH$3, A2375, "", "", "", , "p", , , , , , "Thousandths", , FALSE, , "")), 76.947, _xll.Storm.ExcelMacros.GvDaily("/DBI&lt;8&gt;", AH$3, A2375, "", "", "", , "p", , , , , , "Thousandths", , FALSE, , ""))</f>
        <v>76.947000000000003</v>
      </c>
      <c r="AI2375" s="11">
        <f>IF(ISERROR(_xll.Storm.ExcelMacros.GvDaily("/DBI&lt;9&gt;", AI$3, A2375, "", "", "", , "p", , , , , , "Thousandths", , FALSE, , "")), 75.94, _xll.Storm.ExcelMacros.GvDaily("/DBI&lt;9&gt;", AI$3, A2375, "", "", "", , "p", , , , , , "Thousandths", , FALSE, , ""))</f>
        <v>75.94</v>
      </c>
      <c r="AJ2375" s="11">
        <f>IF(ISERROR(_xll.Storm.ExcelMacros.GvDaily("/DBI&lt;10&gt;", AJ$3, A2375, "", "", "", , "p", , , , , , "Thousandths", , FALSE, , "")), 75.182, _xll.Storm.ExcelMacros.GvDaily("/DBI&lt;10&gt;", AJ$3, A2375, "", "", "", , "p", , , , , , "Thousandths", , FALSE, , ""))</f>
        <v>75.182000000000002</v>
      </c>
      <c r="AK2375" s="11">
        <f>IF(ISERROR(_xll.Storm.ExcelMacros.GvDaily("/DBI&lt;11&gt;", AK$3, A2375, "", "", "", , "p", , , , , , "Thousandths", , FALSE, , "")), 74.564, _xll.Storm.ExcelMacros.GvDaily("/DBI&lt;11&gt;", AK$3, A2375, "", "", "", , "p", , , , , , "Thousandths", , FALSE, , ""))</f>
        <v>74.564000000000007</v>
      </c>
      <c r="AL2375" s="11"/>
    </row>
    <row r="2376" spans="1:38" x14ac:dyDescent="0.3">
      <c r="A2376" s="9">
        <f>DATE(2026, 3, 12)</f>
        <v>46093</v>
      </c>
      <c r="B2376" s="10">
        <f>IF(ISERROR(_xll.Storm.ExcelMacros.GvDaily("/BRN&lt;0&gt;", B$3, A2376, "", "", "", , "p", , , , , , "Hundredths", , FALSE, , "")), 100.46, _xll.Storm.ExcelMacros.GvDaily("/BRN&lt;0&gt;", B$3, A2376, "", "", "", , "p", , , , , , "Hundredths", , FALSE, , ""))</f>
        <v>100.46000000000001</v>
      </c>
      <c r="C2376" s="10">
        <f>IF(ISERROR(_xll.Storm.ExcelMacros.GvDaily("/BRN&lt;1&gt;", C$3, A2376, "", "", "", , "p", , , , , , "Hundredths", , FALSE, , "")), 96.63, _xll.Storm.ExcelMacros.GvDaily("/BRN&lt;1&gt;", C$3, A2376, "", "", "", , "p", , , , , , "Hundredths", , FALSE, , ""))</f>
        <v>96.63</v>
      </c>
      <c r="D2376" s="10">
        <f>IF(ISERROR(_xll.Storm.ExcelMacros.GvDaily("/BRN&lt;2&gt;", D$3, A2376, "", "", "", , "p", , , , , , "Hundredths", , FALSE, , "")), 92.88, _xll.Storm.ExcelMacros.GvDaily("/BRN&lt;2&gt;", D$3, A2376, "", "", "", , "p", , , , , , "Hundredths", , FALSE, , ""))</f>
        <v>92.88</v>
      </c>
      <c r="E2376" s="10">
        <f>IF(ISERROR(_xll.Storm.ExcelMacros.GvDaily("/BRN&lt;3&gt;", E$3, A2376, "", "", "", , "p", , , , , , "Hundredths", , FALSE, , "")), 89.55, _xll.Storm.ExcelMacros.GvDaily("/BRN&lt;3&gt;", E$3, A2376, "", "", "", , "p", , , , , , "Hundredths", , FALSE, , ""))</f>
        <v>89.55</v>
      </c>
      <c r="F2376" s="10">
        <f>IF(ISERROR(_xll.Storm.ExcelMacros.GvDaily("/BRN&lt;4&gt;", F$3, A2376, "", "", "", , "p", , , , , , "Hundredths", , FALSE, , "")), 86.8, _xll.Storm.ExcelMacros.GvDaily("/BRN&lt;4&gt;", F$3, A2376, "", "", "", , "p", , , , , , "Hundredths", , FALSE, , ""))</f>
        <v>86.8</v>
      </c>
      <c r="G2376" s="10">
        <f>IF(ISERROR(_xll.Storm.ExcelMacros.GvDaily("/BRN&lt;5&gt;", G$3, A2376, "", "", "", , "p", , , , , , "Hundredths", , FALSE, , "")), 84.42, _xll.Storm.ExcelMacros.GvDaily("/BRN&lt;5&gt;", G$3, A2376, "", "", "", , "p", , , , , , "Hundredths", , FALSE, , ""))</f>
        <v>84.42</v>
      </c>
      <c r="H2376" s="10">
        <f>IF(ISERROR(_xll.Storm.ExcelMacros.GvDaily("/BRN&lt;6&gt;", H$3, A2376, "", "", "", , "p", , , , , , "Hundredths", , FALSE, , "")), 82.41, _xll.Storm.ExcelMacros.GvDaily("/BRN&lt;6&gt;", H$3, A2376, "", "", "", , "p", , , , , , "Hundredths", , FALSE, , ""))</f>
        <v>82.41</v>
      </c>
      <c r="I2376" s="10">
        <f>IF(ISERROR(_xll.Storm.ExcelMacros.GvDaily("/BRN&lt;7&gt;", I$3, A2376, "", "", "", , "p", , , , , , "Hundredths", , FALSE, , "")), 80.72, _xll.Storm.ExcelMacros.GvDaily("/BRN&lt;7&gt;", I$3, A2376, "", "", "", , "p", , , , , , "Hundredths", , FALSE, , ""))</f>
        <v>80.72</v>
      </c>
      <c r="J2376" s="10">
        <f>IF(ISERROR(_xll.Storm.ExcelMacros.GvDaily("/BRN&lt;8&gt;", J$3, A2376, "", "", "", , "p", , , , , , "Hundredths", , FALSE, , "")), 79.24, _xll.Storm.ExcelMacros.GvDaily("/BRN&lt;8&gt;", J$3, A2376, "", "", "", , "p", , , , , , "Hundredths", , FALSE, , ""))</f>
        <v>79.239999999999995</v>
      </c>
      <c r="K2376" s="10">
        <f>IF(ISERROR(_xll.Storm.ExcelMacros.GvDaily("/BRN&lt;9&gt;", K$3, A2376, "", "", "", , "p", , , , , , "Hundredths", , FALSE, , "")), 77.98, _xll.Storm.ExcelMacros.GvDaily("/BRN&lt;9&gt;", K$3, A2376, "", "", "", , "p", , , , , , "Hundredths", , FALSE, , ""))</f>
        <v>77.98</v>
      </c>
      <c r="L2376" s="10">
        <f>IF(ISERROR(_xll.Storm.ExcelMacros.GvDaily("/BRN&lt;10&gt;", L$3, A2376, "", "", "", , "p", , , , , , "Hundredths", , FALSE, , "")), 76.97, _xll.Storm.ExcelMacros.GvDaily("/BRN&lt;10&gt;", L$3, A2376, "", "", "", , "p", , , , , , "Hundredths", , FALSE, , ""))</f>
        <v>76.97</v>
      </c>
      <c r="M2376" s="10">
        <f>IF(ISERROR(_xll.Storm.ExcelMacros.GvDaily("/BRN&lt;11&gt;", M$3, A2376, "", "", "", , "p", , , , , , "Hundredths", , FALSE, , "")), 76.15, _xll.Storm.ExcelMacros.GvDaily("/BRN&lt;11&gt;", M$3, A2376, "", "", "", , "p", , , , , , "Hundredths", , FALSE, , ""))</f>
        <v>76.150000000000006</v>
      </c>
      <c r="N2376" s="10">
        <f>IF(ISERROR(_xll.Storm.ExcelMacros.GvDaily("/GCL&lt;0&gt;", N$3, A2376, "", "", "", , "p", , , , , , "Hundredths", , FALSE, , "")), 95.73, _xll.Storm.ExcelMacros.GvDaily("/GCL&lt;0&gt;", N$3, A2376, "", "", "", , "p", , , , , , "Hundredths", , FALSE, , ""))</f>
        <v>95.73</v>
      </c>
      <c r="O2376" s="10">
        <f>IF(ISERROR(_xll.Storm.ExcelMacros.GvDaily("/GCL&lt;1&gt;", O$3, A2376, "", "", "", , "p", , , , , , "Hundredths", , FALSE, , "")), 94.43, _xll.Storm.ExcelMacros.GvDaily("/GCL&lt;1&gt;", O$3, A2376, "", "", "", , "p", , , , , , "Hundredths", , FALSE, , ""))</f>
        <v>94.43</v>
      </c>
      <c r="P2376" s="10">
        <f>IF(ISERROR(_xll.Storm.ExcelMacros.GvDaily("/GCL&lt;2&gt;", P$3, A2376, "", "", "", , "p", , , , , , "Hundredths", , FALSE, , "")), 90.48, _xll.Storm.ExcelMacros.GvDaily("/GCL&lt;2&gt;", P$3, A2376, "", "", "", , "p", , , , , , "Hundredths", , FALSE, , ""))</f>
        <v>90.48</v>
      </c>
      <c r="Q2376" s="10">
        <f>IF(ISERROR(_xll.Storm.ExcelMacros.GvDaily("/GCL&lt;3&gt;", Q$3, A2376, "", "", "", , "p", , , , , , "Hundredths", , FALSE, , "")), 86.97, _xll.Storm.ExcelMacros.GvDaily("/GCL&lt;3&gt;", Q$3, A2376, "", "", "", , "p", , , , , , "Hundredths", , FALSE, , ""))</f>
        <v>86.97</v>
      </c>
      <c r="R2376" s="10">
        <f>IF(ISERROR(_xll.Storm.ExcelMacros.GvDaily("/GCL&lt;4&gt;", R$3, A2376, "", "", "", , "p", , , , , , "Hundredths", , FALSE, , "")), 83.93, _xll.Storm.ExcelMacros.GvDaily("/GCL&lt;4&gt;", R$3, A2376, "", "", "", , "p", , , , , , "Hundredths", , FALSE, , ""))</f>
        <v>83.93</v>
      </c>
      <c r="S2376" s="10">
        <f>IF(ISERROR(_xll.Storm.ExcelMacros.GvDaily("/GCL&lt;5&gt;", S$3, A2376, "", "", "", , "p", , , , , , "Hundredths", , FALSE, , "")), 81.28, _xll.Storm.ExcelMacros.GvDaily("/GCL&lt;5&gt;", S$3, A2376, "", "", "", , "p", , , , , , "Hundredths", , FALSE, , ""))</f>
        <v>81.28</v>
      </c>
      <c r="T2376" s="10">
        <f>IF(ISERROR(_xll.Storm.ExcelMacros.GvDaily("/GCL&lt;6&gt;", T$3, A2376, "", "", "", , "p", , , , , , "Hundredths", , FALSE, , "")), 78.89, _xll.Storm.ExcelMacros.GvDaily("/GCL&lt;6&gt;", T$3, A2376, "", "", "", , "p", , , , , , "Hundredths", , FALSE, , ""))</f>
        <v>78.89</v>
      </c>
      <c r="U2376" s="10">
        <f>IF(ISERROR(_xll.Storm.ExcelMacros.GvDaily("/GCL&lt;7&gt;", U$3, A2376, "", "", "", , "p", , , , , , "Hundredths", , FALSE, , "")), 76.88, _xll.Storm.ExcelMacros.GvDaily("/GCL&lt;7&gt;", U$3, A2376, "", "", "", , "p", , , , , , "Hundredths", , FALSE, , ""))</f>
        <v>76.88</v>
      </c>
      <c r="V2376" s="10">
        <f>IF(ISERROR(_xll.Storm.ExcelMacros.GvDaily("/GCL&lt;8&gt;", V$3, A2376, "", "", "", , "p", , , , , , "Hundredths", , FALSE, , "")), 75.17, _xll.Storm.ExcelMacros.GvDaily("/GCL&lt;8&gt;", V$3, A2376, "", "", "", , "p", , , , , , "Hundredths", , FALSE, , ""))</f>
        <v>75.17</v>
      </c>
      <c r="W2376" s="10">
        <f>IF(ISERROR(_xll.Storm.ExcelMacros.GvDaily("/GCL&lt;9&gt;", W$3, A2376, "", "", "", , "p", , , , , , "Hundredths", , FALSE, , "")), 73.71, _xll.Storm.ExcelMacros.GvDaily("/GCL&lt;9&gt;", W$3, A2376, "", "", "", , "p", , , , , , "Hundredths", , FALSE, , ""))</f>
        <v>73.710000000000008</v>
      </c>
      <c r="X2376" s="10">
        <f>IF(ISERROR(_xll.Storm.ExcelMacros.GvDaily("/GCL&lt;10&gt;", X$3, A2376, "", "", "", , "p", , , , , , "Hundredths", , FALSE, , "")), 72.5, _xll.Storm.ExcelMacros.GvDaily("/GCL&lt;10&gt;", X$3, A2376, "", "", "", , "p", , , , , , "Hundredths", , FALSE, , ""))</f>
        <v>72.5</v>
      </c>
      <c r="Y2376" s="10">
        <f>IF(ISERROR(_xll.Storm.ExcelMacros.GvDaily("/GCL&lt;11&gt;", Y$3, A2376, "", "", "", , "p", , , , , , "Hundredths", , FALSE, , "")), 71.53, _xll.Storm.ExcelMacros.GvDaily("/GCL&lt;11&gt;", Y$3, A2376, "", "", "", , "p", , , , , , "Hundredths", , FALSE, , ""))</f>
        <v>71.53</v>
      </c>
      <c r="Z2376" s="11">
        <f>IF(ISERROR(_xll.Storm.ExcelMacros.GvDaily("/DBI&lt;0&gt;", Z$3, A2376, "", "", "", , "p", , , , , , "Thousandths", , FALSE, , "")), 124.768, _xll.Storm.ExcelMacros.GvDaily("/DBI&lt;0&gt;", Z$3, A2376, "", "", "", , "p", , , , , , "Thousandths", , FALSE, , ""))</f>
        <v>124.768</v>
      </c>
      <c r="AA2376" s="11">
        <f>IF(ISERROR(_xll.Storm.ExcelMacros.GvDaily("/DBI&lt;1&gt;", AA$3, A2376, "", "", "", , "p", , , , , , "Thousandths", , FALSE, , "")), 101.211, _xll.Storm.ExcelMacros.GvDaily("/DBI&lt;1&gt;", AA$3, A2376, "", "", "", , "p", , , , , , "Thousandths", , FALSE, , ""))</f>
        <v>101.211</v>
      </c>
      <c r="AB2376" s="11">
        <f>IF(ISERROR(_xll.Storm.ExcelMacros.GvDaily("/DBI&lt;2&gt;", AB$3, A2376, "", "", "", , "p", , , , , , "Thousandths", , FALSE, , "")), 93.261, _xll.Storm.ExcelMacros.GvDaily("/DBI&lt;2&gt;", AB$3, A2376, "", "", "", , "p", , , , , , "Thousandths", , FALSE, , ""))</f>
        <v>93.260999999999996</v>
      </c>
      <c r="AC2376" s="11">
        <f>IF(ISERROR(_xll.Storm.ExcelMacros.GvDaily("/DBI&lt;3&gt;", AC$3, A2376, "", "", "", , "p", , , , , , "Thousandths", , FALSE, , "")), 89.754, _xll.Storm.ExcelMacros.GvDaily("/DBI&lt;3&gt;", AC$3, A2376, "", "", "", , "p", , , , , , "Thousandths", , FALSE, , ""))</f>
        <v>89.754000000000005</v>
      </c>
      <c r="AD2376" s="11">
        <f>IF(ISERROR(_xll.Storm.ExcelMacros.GvDaily("/DBI&lt;4&gt;", AD$3, A2376, "", "", "", , "p", , , , , , "Thousandths", , FALSE, , "")), 87.235, _xll.Storm.ExcelMacros.GvDaily("/DBI&lt;4&gt;", AD$3, A2376, "", "", "", , "p", , , , , , "Thousandths", , FALSE, , ""))</f>
        <v>87.234999999999999</v>
      </c>
      <c r="AE2376" s="11">
        <f>IF(ISERROR(_xll.Storm.ExcelMacros.GvDaily("/DBI&lt;5&gt;", AE$3, A2376, "", "", "", , "p", , , , , , "Thousandths", , FALSE, , "")), 84.992, _xll.Storm.ExcelMacros.GvDaily("/DBI&lt;5&gt;", AE$3, A2376, "", "", "", , "p", , , , , , "Thousandths", , FALSE, , ""))</f>
        <v>84.992000000000004</v>
      </c>
      <c r="AF2376" s="11">
        <f>IF(ISERROR(_xll.Storm.ExcelMacros.GvDaily("/DBI&lt;6&gt;", AF$3, A2376, "", "", "", , "p", , , , , , "Thousandths", , FALSE, , "")), 83.162, _xll.Storm.ExcelMacros.GvDaily("/DBI&lt;6&gt;", AF$3, A2376, "", "", "", , "p", , , , , , "Thousandths", , FALSE, , ""))</f>
        <v>83.162000000000006</v>
      </c>
      <c r="AG2376" s="11">
        <f>IF(ISERROR(_xll.Storm.ExcelMacros.GvDaily("/DBI&lt;7&gt;", AG$3, A2376, "", "", "", , "p", , , , , , "Thousandths", , FALSE, , "")), 81.483, _xll.Storm.ExcelMacros.GvDaily("/DBI&lt;7&gt;", AG$3, A2376, "", "", "", , "p", , , , , , "Thousandths", , FALSE, , ""))</f>
        <v>81.483000000000004</v>
      </c>
      <c r="AH2376" s="11">
        <f>IF(ISERROR(_xll.Storm.ExcelMacros.GvDaily("/DBI&lt;8&gt;", AH$3, A2376, "", "", "", , "p", , , , , , "Thousandths", , FALSE, , "")), 80.008, _xll.Storm.ExcelMacros.GvDaily("/DBI&lt;8&gt;", AH$3, A2376, "", "", "", , "p", , , , , , "Thousandths", , FALSE, , ""))</f>
        <v>80.007999999999996</v>
      </c>
      <c r="AI2376" s="11">
        <f>IF(ISERROR(_xll.Storm.ExcelMacros.GvDaily("/DBI&lt;9&gt;", AI$3, A2376, "", "", "", , "p", , , , , , "Thousandths", , FALSE, , "")), 78.678, _xll.Storm.ExcelMacros.GvDaily("/DBI&lt;9&gt;", AI$3, A2376, "", "", "", , "p", , , , , , "Thousandths", , FALSE, , ""))</f>
        <v>78.677999999999997</v>
      </c>
      <c r="AJ2376" s="11">
        <f>IF(ISERROR(_xll.Storm.ExcelMacros.GvDaily("/DBI&lt;10&gt;", AJ$3, A2376, "", "", "", , "p", , , , , , "Thousandths", , FALSE, , "")), 77.679, _xll.Storm.ExcelMacros.GvDaily("/DBI&lt;10&gt;", AJ$3, A2376, "", "", "", , "p", , , , , , "Thousandths", , FALSE, , ""))</f>
        <v>77.679000000000002</v>
      </c>
      <c r="AK2376" s="11">
        <f>IF(ISERROR(_xll.Storm.ExcelMacros.GvDaily("/DBI&lt;11&gt;", AK$3, A2376, "", "", "", , "p", , , , , , "Thousandths", , FALSE, , "")), 76.839, _xll.Storm.ExcelMacros.GvDaily("/DBI&lt;11&gt;", AK$3, A2376, "", "", "", , "p", , , , , , "Thousandths", , FALSE, , ""))</f>
        <v>76.838999999999999</v>
      </c>
      <c r="AL2376" s="11"/>
    </row>
    <row r="2377" spans="1:38" x14ac:dyDescent="0.3">
      <c r="A2377" s="9">
        <f>DATE(2026, 3, 13)</f>
        <v>46094</v>
      </c>
      <c r="B2377" s="10">
        <f>IF(ISERROR(_xll.Storm.ExcelMacros.GvDaily("/BRN&lt;0&gt;", B$3, A2377, "", "", "", , "p", , , , , , "Hundredths", , FALSE, , "")), 103.14, _xll.Storm.ExcelMacros.GvDaily("/BRN&lt;0&gt;", B$3, A2377, "", "", "", , "p", , , , , , "Hundredths", , FALSE, , ""))</f>
        <v>103.14</v>
      </c>
      <c r="C2377" s="10">
        <f>IF(ISERROR(_xll.Storm.ExcelMacros.GvDaily("/BRN&lt;1&gt;", C$3, A2377, "", "", "", , "p", , , , , , "Hundredths", , FALSE, , "")), 98.91, _xll.Storm.ExcelMacros.GvDaily("/BRN&lt;1&gt;", C$3, A2377, "", "", "", , "p", , , , , , "Hundredths", , FALSE, , ""))</f>
        <v>98.91</v>
      </c>
      <c r="D2377" s="10">
        <f>IF(ISERROR(_xll.Storm.ExcelMacros.GvDaily("/BRN&lt;2&gt;", D$3, A2377, "", "", "", , "p", , , , , , "Hundredths", , FALSE, , "")), 94.67, _xll.Storm.ExcelMacros.GvDaily("/BRN&lt;2&gt;", D$3, A2377, "", "", "", , "p", , , , , , "Hundredths", , FALSE, , ""))</f>
        <v>94.67</v>
      </c>
      <c r="E2377" s="10">
        <f>IF(ISERROR(_xll.Storm.ExcelMacros.GvDaily("/BRN&lt;3&gt;", E$3, A2377, "", "", "", , "p", , , , , , "Hundredths", , FALSE, , "")), 91.03, _xll.Storm.ExcelMacros.GvDaily("/BRN&lt;3&gt;", E$3, A2377, "", "", "", , "p", , , , , , "Hundredths", , FALSE, , ""))</f>
        <v>91.03</v>
      </c>
      <c r="F2377" s="10">
        <f>IF(ISERROR(_xll.Storm.ExcelMacros.GvDaily("/BRN&lt;4&gt;", F$3, A2377, "", "", "", , "p", , , , , , "Hundredths", , FALSE, , "")), 88.11, _xll.Storm.ExcelMacros.GvDaily("/BRN&lt;4&gt;", F$3, A2377, "", "", "", , "p", , , , , , "Hundredths", , FALSE, , ""))</f>
        <v>88.11</v>
      </c>
      <c r="G2377" s="10">
        <f>IF(ISERROR(_xll.Storm.ExcelMacros.GvDaily("/BRN&lt;5&gt;", G$3, A2377, "", "", "", , "p", , , , , , "Hundredths", , FALSE, , "")), 85.66, _xll.Storm.ExcelMacros.GvDaily("/BRN&lt;5&gt;", G$3, A2377, "", "", "", , "p", , , , , , "Hundredths", , FALSE, , ""))</f>
        <v>85.66</v>
      </c>
      <c r="H2377" s="10">
        <f>IF(ISERROR(_xll.Storm.ExcelMacros.GvDaily("/BRN&lt;6&gt;", H$3, A2377, "", "", "", , "p", , , , , , "Hundredths", , FALSE, , "")), 83.64, _xll.Storm.ExcelMacros.GvDaily("/BRN&lt;6&gt;", H$3, A2377, "", "", "", , "p", , , , , , "Hundredths", , FALSE, , ""))</f>
        <v>83.64</v>
      </c>
      <c r="I2377" s="10">
        <f>IF(ISERROR(_xll.Storm.ExcelMacros.GvDaily("/BRN&lt;7&gt;", I$3, A2377, "", "", "", , "p", , , , , , "Hundredths", , FALSE, , "")), 81.97, _xll.Storm.ExcelMacros.GvDaily("/BRN&lt;7&gt;", I$3, A2377, "", "", "", , "p", , , , , , "Hundredths", , FALSE, , ""))</f>
        <v>81.97</v>
      </c>
      <c r="J2377" s="10">
        <f>IF(ISERROR(_xll.Storm.ExcelMacros.GvDaily("/BRN&lt;8&gt;", J$3, A2377, "", "", "", , "p", , , , , , "Hundredths", , FALSE, , "")), 80.48, _xll.Storm.ExcelMacros.GvDaily("/BRN&lt;8&gt;", J$3, A2377, "", "", "", , "p", , , , , , "Hundredths", , FALSE, , ""))</f>
        <v>80.48</v>
      </c>
      <c r="K2377" s="10">
        <f>IF(ISERROR(_xll.Storm.ExcelMacros.GvDaily("/BRN&lt;9&gt;", K$3, A2377, "", "", "", , "p", , , , , , "Hundredths", , FALSE, , "")), 79.21, _xll.Storm.ExcelMacros.GvDaily("/BRN&lt;9&gt;", K$3, A2377, "", "", "", , "p", , , , , , "Hundredths", , FALSE, , ""))</f>
        <v>79.210000000000008</v>
      </c>
      <c r="L2377" s="10">
        <f>IF(ISERROR(_xll.Storm.ExcelMacros.GvDaily("/BRN&lt;10&gt;", L$3, A2377, "", "", "", , "p", , , , , , "Hundredths", , FALSE, , "")), 78.15, _xll.Storm.ExcelMacros.GvDaily("/BRN&lt;10&gt;", L$3, A2377, "", "", "", , "p", , , , , , "Hundredths", , FALSE, , ""))</f>
        <v>78.150000000000006</v>
      </c>
      <c r="M2377" s="10">
        <f>IF(ISERROR(_xll.Storm.ExcelMacros.GvDaily("/BRN&lt;11&gt;", M$3, A2377, "", "", "", , "p", , , , , , "Hundredths", , FALSE, , "")), 77.27, _xll.Storm.ExcelMacros.GvDaily("/BRN&lt;11&gt;", M$3, A2377, "", "", "", , "p", , , , , , "Hundredths", , FALSE, , ""))</f>
        <v>77.27</v>
      </c>
      <c r="N2377" s="10">
        <f>IF(ISERROR(_xll.Storm.ExcelMacros.GvDaily("/GCL&lt;0&gt;", N$3, A2377, "", "", "", , "p", , , , , , "Hundredths", , FALSE, , "")), 98.71, _xll.Storm.ExcelMacros.GvDaily("/GCL&lt;0&gt;", N$3, A2377, "", "", "", , "p", , , , , , "Hundredths", , FALSE, , ""))</f>
        <v>98.710000000000008</v>
      </c>
      <c r="O2377" s="10">
        <f>IF(ISERROR(_xll.Storm.ExcelMacros.GvDaily("/GCL&lt;1&gt;", O$3, A2377, "", "", "", , "p", , , , , , "Hundredths", , FALSE, , "")), 96.84, _xll.Storm.ExcelMacros.GvDaily("/GCL&lt;1&gt;", O$3, A2377, "", "", "", , "p", , , , , , "Hundredths", , FALSE, , ""))</f>
        <v>96.84</v>
      </c>
      <c r="P2377" s="10">
        <f>IF(ISERROR(_xll.Storm.ExcelMacros.GvDaily("/GCL&lt;2&gt;", P$3, A2377, "", "", "", , "p", , , , , , "Hundredths", , FALSE, , "")), 92.48, _xll.Storm.ExcelMacros.GvDaily("/GCL&lt;2&gt;", P$3, A2377, "", "", "", , "p", , , , , , "Hundredths", , FALSE, , ""))</f>
        <v>92.48</v>
      </c>
      <c r="Q2377" s="10">
        <f>IF(ISERROR(_xll.Storm.ExcelMacros.GvDaily("/GCL&lt;3&gt;", Q$3, A2377, "", "", "", , "p", , , , , , "Hundredths", , FALSE, , "")), 88.55, _xll.Storm.ExcelMacros.GvDaily("/GCL&lt;3&gt;", Q$3, A2377, "", "", "", , "p", , , , , , "Hundredths", , FALSE, , ""))</f>
        <v>88.55</v>
      </c>
      <c r="R2377" s="10">
        <f>IF(ISERROR(_xll.Storm.ExcelMacros.GvDaily("/GCL&lt;4&gt;", R$3, A2377, "", "", "", , "p", , , , , , "Hundredths", , FALSE, , "")), 85.25, _xll.Storm.ExcelMacros.GvDaily("/GCL&lt;4&gt;", R$3, A2377, "", "", "", , "p", , , , , , "Hundredths", , FALSE, , ""))</f>
        <v>85.25</v>
      </c>
      <c r="S2377" s="10">
        <f>IF(ISERROR(_xll.Storm.ExcelMacros.GvDaily("/GCL&lt;5&gt;", S$3, A2377, "", "", "", , "p", , , , , , "Hundredths", , FALSE, , "")), 82.52, _xll.Storm.ExcelMacros.GvDaily("/GCL&lt;5&gt;", S$3, A2377, "", "", "", , "p", , , , , , "Hundredths", , FALSE, , ""))</f>
        <v>82.52</v>
      </c>
      <c r="T2377" s="10">
        <f>IF(ISERROR(_xll.Storm.ExcelMacros.GvDaily("/GCL&lt;6&gt;", T$3, A2377, "", "", "", , "p", , , , , , "Hundredths", , FALSE, , "")), 80.08, _xll.Storm.ExcelMacros.GvDaily("/GCL&lt;6&gt;", T$3, A2377, "", "", "", , "p", , , , , , "Hundredths", , FALSE, , ""))</f>
        <v>80.08</v>
      </c>
      <c r="U2377" s="10">
        <f>IF(ISERROR(_xll.Storm.ExcelMacros.GvDaily("/GCL&lt;7&gt;", U$3, A2377, "", "", "", , "p", , , , , , "Hundredths", , FALSE, , "")), 78.03, _xll.Storm.ExcelMacros.GvDaily("/GCL&lt;7&gt;", U$3, A2377, "", "", "", , "p", , , , , , "Hundredths", , FALSE, , ""))</f>
        <v>78.03</v>
      </c>
      <c r="V2377" s="10">
        <f>IF(ISERROR(_xll.Storm.ExcelMacros.GvDaily("/GCL&lt;8&gt;", V$3, A2377, "", "", "", , "p", , , , , , "Hundredths", , FALSE, , "")), 76.32, _xll.Storm.ExcelMacros.GvDaily("/GCL&lt;8&gt;", V$3, A2377, "", "", "", , "p", , , , , , "Hundredths", , FALSE, , ""))</f>
        <v>76.320000000000007</v>
      </c>
      <c r="W2377" s="10">
        <f>IF(ISERROR(_xll.Storm.ExcelMacros.GvDaily("/GCL&lt;9&gt;", W$3, A2377, "", "", "", , "p", , , , , , "Hundredths", , FALSE, , "")), 74.84, _xll.Storm.ExcelMacros.GvDaily("/GCL&lt;9&gt;", W$3, A2377, "", "", "", , "p", , , , , , "Hundredths", , FALSE, , ""))</f>
        <v>74.84</v>
      </c>
      <c r="X2377" s="10">
        <f>IF(ISERROR(_xll.Storm.ExcelMacros.GvDaily("/GCL&lt;10&gt;", X$3, A2377, "", "", "", , "p", , , , , , "Hundredths", , FALSE, , "")), 73.61, _xll.Storm.ExcelMacros.GvDaily("/GCL&lt;10&gt;", X$3, A2377, "", "", "", , "p", , , , , , "Hundredths", , FALSE, , ""))</f>
        <v>73.61</v>
      </c>
      <c r="Y2377" s="10">
        <f>IF(ISERROR(_xll.Storm.ExcelMacros.GvDaily("/GCL&lt;11&gt;", Y$3, A2377, "", "", "", , "p", , , , , , "Hundredths", , FALSE, , "")), 72.62, _xll.Storm.ExcelMacros.GvDaily("/GCL&lt;11&gt;", Y$3, A2377, "", "", "", , "p", , , , , , "Hundredths", , FALSE, , ""))</f>
        <v>72.62</v>
      </c>
      <c r="Z2377" s="11">
        <f>IF(ISERROR(_xll.Storm.ExcelMacros.GvDaily("/DBI&lt;0&gt;", Z$3, A2377, "", "", "", , "p", , , , , , "Thousandths", , FALSE, , "")), 127.598, _xll.Storm.ExcelMacros.GvDaily("/DBI&lt;0&gt;", Z$3, A2377, "", "", "", , "p", , , , , , "Thousandths", , FALSE, , ""))</f>
        <v>127.598</v>
      </c>
      <c r="AA2377" s="11">
        <f>IF(ISERROR(_xll.Storm.ExcelMacros.GvDaily("/DBI&lt;1&gt;", AA$3, A2377, "", "", "", , "p", , , , , , "Thousandths", , FALSE, , "")), 104.298, _xll.Storm.ExcelMacros.GvDaily("/DBI&lt;1&gt;", AA$3, A2377, "", "", "", , "p", , , , , , "Thousandths", , FALSE, , ""))</f>
        <v>104.298</v>
      </c>
      <c r="AB2377" s="11">
        <f>IF(ISERROR(_xll.Storm.ExcelMacros.GvDaily("/DBI&lt;2&gt;", AB$3, A2377, "", "", "", , "p", , , , , , "Thousandths", , FALSE, , "")), 95.467, _xll.Storm.ExcelMacros.GvDaily("/DBI&lt;2&gt;", AB$3, A2377, "", "", "", , "p", , , , , , "Thousandths", , FALSE, , ""))</f>
        <v>95.466999999999999</v>
      </c>
      <c r="AC2377" s="11">
        <f>IF(ISERROR(_xll.Storm.ExcelMacros.GvDaily("/DBI&lt;3&gt;", AC$3, A2377, "", "", "", , "p", , , , , , "Thousandths", , FALSE, , "")), 91.644, _xll.Storm.ExcelMacros.GvDaily("/DBI&lt;3&gt;", AC$3, A2377, "", "", "", , "p", , , , , , "Thousandths", , FALSE, , ""))</f>
        <v>91.644000000000005</v>
      </c>
      <c r="AD2377" s="11">
        <f>IF(ISERROR(_xll.Storm.ExcelMacros.GvDaily("/DBI&lt;4&gt;", AD$3, A2377, "", "", "", , "p", , , , , , "Thousandths", , FALSE, , "")), 89.112, _xll.Storm.ExcelMacros.GvDaily("/DBI&lt;4&gt;", AD$3, A2377, "", "", "", , "p", , , , , , "Thousandths", , FALSE, , ""))</f>
        <v>89.111999999999995</v>
      </c>
      <c r="AE2377" s="11">
        <f>IF(ISERROR(_xll.Storm.ExcelMacros.GvDaily("/DBI&lt;5&gt;", AE$3, A2377, "", "", "", , "p", , , , , , "Thousandths", , FALSE, , "")), 86.895, _xll.Storm.ExcelMacros.GvDaily("/DBI&lt;5&gt;", AE$3, A2377, "", "", "", , "p", , , , , , "Thousandths", , FALSE, , ""))</f>
        <v>86.894999999999996</v>
      </c>
      <c r="AF2377" s="11">
        <f>IF(ISERROR(_xll.Storm.ExcelMacros.GvDaily("/DBI&lt;6&gt;", AF$3, A2377, "", "", "", , "p", , , , , , "Thousandths", , FALSE, , "")), 85.084, _xll.Storm.ExcelMacros.GvDaily("/DBI&lt;6&gt;", AF$3, A2377, "", "", "", , "p", , , , , , "Thousandths", , FALSE, , ""))</f>
        <v>85.084000000000003</v>
      </c>
      <c r="AG2377" s="11">
        <f>IF(ISERROR(_xll.Storm.ExcelMacros.GvDaily("/DBI&lt;7&gt;", AG$3, A2377, "", "", "", , "p", , , , , , "Thousandths", , FALSE, , "")), 83.484, _xll.Storm.ExcelMacros.GvDaily("/DBI&lt;7&gt;", AG$3, A2377, "", "", "", , "p", , , , , , "Thousandths", , FALSE, , ""))</f>
        <v>83.483999999999995</v>
      </c>
      <c r="AH2377" s="11">
        <f>IF(ISERROR(_xll.Storm.ExcelMacros.GvDaily("/DBI&lt;8&gt;", AH$3, A2377, "", "", "", , "p", , , , , , "Thousandths", , FALSE, , "")), 81.994, _xll.Storm.ExcelMacros.GvDaily("/DBI&lt;8&gt;", AH$3, A2377, "", "", "", , "p", , , , , , "Thousandths", , FALSE, , ""))</f>
        <v>81.994</v>
      </c>
      <c r="AI2377" s="11">
        <f>IF(ISERROR(_xll.Storm.ExcelMacros.GvDaily("/DBI&lt;9&gt;", AI$3, A2377, "", "", "", , "p", , , , , , "Thousandths", , FALSE, , "")), 80.684, _xll.Storm.ExcelMacros.GvDaily("/DBI&lt;9&gt;", AI$3, A2377, "", "", "", , "p", , , , , , "Thousandths", , FALSE, , ""))</f>
        <v>80.683999999999997</v>
      </c>
      <c r="AJ2377" s="11">
        <f>IF(ISERROR(_xll.Storm.ExcelMacros.GvDaily("/DBI&lt;10&gt;", AJ$3, A2377, "", "", "", , "p", , , , , , "Thousandths", , FALSE, , "")), 79.626, _xll.Storm.ExcelMacros.GvDaily("/DBI&lt;10&gt;", AJ$3, A2377, "", "", "", , "p", , , , , , "Thousandths", , FALSE, , ""))</f>
        <v>79.626000000000005</v>
      </c>
      <c r="AK2377" s="11">
        <f>IF(ISERROR(_xll.Storm.ExcelMacros.GvDaily("/DBI&lt;11&gt;", AK$3, A2377, "", "", "", , "p", , , , , , "Thousandths", , FALSE, , "")), 78.731, _xll.Storm.ExcelMacros.GvDaily("/DBI&lt;11&gt;", AK$3, A2377, "", "", "", , "p", , , , , , "Thousandths", , FALSE, , ""))</f>
        <v>78.730999999999995</v>
      </c>
      <c r="AL2377" s="11"/>
    </row>
    <row r="2378" spans="1:38" x14ac:dyDescent="0.3">
      <c r="A2378" s="9">
        <f>DATE(2026, 3, 16)</f>
        <v>46097</v>
      </c>
      <c r="B2378" s="10">
        <f>IF(ISERROR(_xll.Storm.ExcelMacros.GvDaily("/BRN&lt;0&gt;", B$3, A2378, "", "", "", , "p", , , , , , "Hundredths", , FALSE, , "")), 100.21, _xll.Storm.ExcelMacros.GvDaily("/BRN&lt;0&gt;", B$3, A2378, "", "", "", , "p", , , , , , "Hundredths", , FALSE, , ""))</f>
        <v>100.21000000000001</v>
      </c>
      <c r="C2378" s="10">
        <f>IF(ISERROR(_xll.Storm.ExcelMacros.GvDaily("/BRN&lt;1&gt;", C$3, A2378, "", "", "", , "p", , , , , , "Hundredths", , FALSE, , "")), 96.04, _xll.Storm.ExcelMacros.GvDaily("/BRN&lt;1&gt;", C$3, A2378, "", "", "", , "p", , , , , , "Hundredths", , FALSE, , ""))</f>
        <v>96.04</v>
      </c>
      <c r="D2378" s="10">
        <f>IF(ISERROR(_xll.Storm.ExcelMacros.GvDaily("/BRN&lt;2&gt;", D$3, A2378, "", "", "", , "p", , , , , , "Hundredths", , FALSE, , "")), 91.76, _xll.Storm.ExcelMacros.GvDaily("/BRN&lt;2&gt;", D$3, A2378, "", "", "", , "p", , , , , , "Hundredths", , FALSE, , ""))</f>
        <v>91.76</v>
      </c>
      <c r="E2378" s="10">
        <f>IF(ISERROR(_xll.Storm.ExcelMacros.GvDaily("/BRN&lt;3&gt;", E$3, A2378, "", "", "", , "p", , , , , , "Hundredths", , FALSE, , "")), 88.22, _xll.Storm.ExcelMacros.GvDaily("/BRN&lt;3&gt;", E$3, A2378, "", "", "", , "p", , , , , , "Hundredths", , FALSE, , ""))</f>
        <v>88.22</v>
      </c>
      <c r="F2378" s="10">
        <f>IF(ISERROR(_xll.Storm.ExcelMacros.GvDaily("/BRN&lt;4&gt;", F$3, A2378, "", "", "", , "p", , , , , , "Hundredths", , FALSE, , "")), 85.52, _xll.Storm.ExcelMacros.GvDaily("/BRN&lt;4&gt;", F$3, A2378, "", "", "", , "p", , , , , , "Hundredths", , FALSE, , ""))</f>
        <v>85.52</v>
      </c>
      <c r="G2378" s="10">
        <f>IF(ISERROR(_xll.Storm.ExcelMacros.GvDaily("/BRN&lt;5&gt;", G$3, A2378, "", "", "", , "p", , , , , , "Hundredths", , FALSE, , "")), 83.4, _xll.Storm.ExcelMacros.GvDaily("/BRN&lt;5&gt;", G$3, A2378, "", "", "", , "p", , , , , , "Hundredths", , FALSE, , ""))</f>
        <v>83.4</v>
      </c>
      <c r="H2378" s="10">
        <f>IF(ISERROR(_xll.Storm.ExcelMacros.GvDaily("/BRN&lt;6&gt;", H$3, A2378, "", "", "", , "p", , , , , , "Hundredths", , FALSE, , "")), 81.75, _xll.Storm.ExcelMacros.GvDaily("/BRN&lt;6&gt;", H$3, A2378, "", "", "", , "p", , , , , , "Hundredths", , FALSE, , ""))</f>
        <v>81.75</v>
      </c>
      <c r="I2378" s="10">
        <f>IF(ISERROR(_xll.Storm.ExcelMacros.GvDaily("/BRN&lt;7&gt;", I$3, A2378, "", "", "", , "p", , , , , , "Hundredths", , FALSE, , "")), 80.42, _xll.Storm.ExcelMacros.GvDaily("/BRN&lt;7&gt;", I$3, A2378, "", "", "", , "p", , , , , , "Hundredths", , FALSE, , ""))</f>
        <v>80.42</v>
      </c>
      <c r="J2378" s="10">
        <f>IF(ISERROR(_xll.Storm.ExcelMacros.GvDaily("/BRN&lt;8&gt;", J$3, A2378, "", "", "", , "p", , , , , , "Hundredths", , FALSE, , "")), 79.23, _xll.Storm.ExcelMacros.GvDaily("/BRN&lt;8&gt;", J$3, A2378, "", "", "", , "p", , , , , , "Hundredths", , FALSE, , ""))</f>
        <v>79.23</v>
      </c>
      <c r="K2378" s="10">
        <f>IF(ISERROR(_xll.Storm.ExcelMacros.GvDaily("/BRN&lt;9&gt;", K$3, A2378, "", "", "", , "p", , , , , , "Hundredths", , FALSE, , "")), 78.19, _xll.Storm.ExcelMacros.GvDaily("/BRN&lt;9&gt;", K$3, A2378, "", "", "", , "p", , , , , , "Hundredths", , FALSE, , ""))</f>
        <v>78.19</v>
      </c>
      <c r="L2378" s="10">
        <f>IF(ISERROR(_xll.Storm.ExcelMacros.GvDaily("/BRN&lt;10&gt;", L$3, A2378, "", "", "", , "p", , , , , , "Hundredths", , FALSE, , "")), 77.32, _xll.Storm.ExcelMacros.GvDaily("/BRN&lt;10&gt;", L$3, A2378, "", "", "", , "p", , , , , , "Hundredths", , FALSE, , ""))</f>
        <v>77.320000000000007</v>
      </c>
      <c r="M2378" s="10">
        <f>IF(ISERROR(_xll.Storm.ExcelMacros.GvDaily("/BRN&lt;11&gt;", M$3, A2378, "", "", "", , "p", , , , , , "Hundredths", , FALSE, , "")), 76.59, _xll.Storm.ExcelMacros.GvDaily("/BRN&lt;11&gt;", M$3, A2378, "", "", "", , "p", , , , , , "Hundredths", , FALSE, , ""))</f>
        <v>76.59</v>
      </c>
      <c r="N2378" s="10">
        <f>IF(ISERROR(_xll.Storm.ExcelMacros.GvDaily("/GCL&lt;0&gt;", N$3, A2378, "", "", "", , "p", , , , , , "Hundredths", , FALSE, , "")), 93.5, _xll.Storm.ExcelMacros.GvDaily("/GCL&lt;0&gt;", N$3, A2378, "", "", "", , "p", , , , , , "Hundredths", , FALSE, , ""))</f>
        <v>93.5</v>
      </c>
      <c r="O2378" s="10">
        <f>IF(ISERROR(_xll.Storm.ExcelMacros.GvDaily("/GCL&lt;1&gt;", O$3, A2378, "", "", "", , "p", , , , , , "Hundredths", , FALSE, , "")), 92.46, _xll.Storm.ExcelMacros.GvDaily("/GCL&lt;1&gt;", O$3, A2378, "", "", "", , "p", , , , , , "Hundredths", , FALSE, , ""))</f>
        <v>92.460000000000008</v>
      </c>
      <c r="P2378" s="10">
        <f>IF(ISERROR(_xll.Storm.ExcelMacros.GvDaily("/GCL&lt;2&gt;", P$3, A2378, "", "", "", , "p", , , , , , "Hundredths", , FALSE, , "")), 88.54, _xll.Storm.ExcelMacros.GvDaily("/GCL&lt;2&gt;", P$3, A2378, "", "", "", , "p", , , , , , "Hundredths", , FALSE, , ""))</f>
        <v>88.54</v>
      </c>
      <c r="Q2378" s="10">
        <f>IF(ISERROR(_xll.Storm.ExcelMacros.GvDaily("/GCL&lt;3&gt;", Q$3, A2378, "", "", "", , "p", , , , , , "Hundredths", , FALSE, , "")), 84.99, _xll.Storm.ExcelMacros.GvDaily("/GCL&lt;3&gt;", Q$3, A2378, "", "", "", , "p", , , , , , "Hundredths", , FALSE, , ""))</f>
        <v>84.99</v>
      </c>
      <c r="R2378" s="10">
        <f>IF(ISERROR(_xll.Storm.ExcelMacros.GvDaily("/GCL&lt;4&gt;", R$3, A2378, "", "", "", , "p", , , , , , "Hundredths", , FALSE, , "")), 82.04, _xll.Storm.ExcelMacros.GvDaily("/GCL&lt;4&gt;", R$3, A2378, "", "", "", , "p", , , , , , "Hundredths", , FALSE, , ""))</f>
        <v>82.04</v>
      </c>
      <c r="S2378" s="10">
        <f>IF(ISERROR(_xll.Storm.ExcelMacros.GvDaily("/GCL&lt;5&gt;", S$3, A2378, "", "", "", , "p", , , , , , "Hundredths", , FALSE, , "")), 79.67, _xll.Storm.ExcelMacros.GvDaily("/GCL&lt;5&gt;", S$3, A2378, "", "", "", , "p", , , , , , "Hundredths", , FALSE, , ""))</f>
        <v>79.67</v>
      </c>
      <c r="T2378" s="10">
        <f>IF(ISERROR(_xll.Storm.ExcelMacros.GvDaily("/GCL&lt;6&gt;", T$3, A2378, "", "", "", , "p", , , , , , "Hundredths", , FALSE, , "")), 77.67, _xll.Storm.ExcelMacros.GvDaily("/GCL&lt;6&gt;", T$3, A2378, "", "", "", , "p", , , , , , "Hundredths", , FALSE, , ""))</f>
        <v>77.67</v>
      </c>
      <c r="U2378" s="10">
        <f>IF(ISERROR(_xll.Storm.ExcelMacros.GvDaily("/GCL&lt;7&gt;", U$3, A2378, "", "", "", , "p", , , , , , "Hundredths", , FALSE, , "")), 76.08, _xll.Storm.ExcelMacros.GvDaily("/GCL&lt;7&gt;", U$3, A2378, "", "", "", , "p", , , , , , "Hundredths", , FALSE, , ""))</f>
        <v>76.08</v>
      </c>
      <c r="V2378" s="10">
        <f>IF(ISERROR(_xll.Storm.ExcelMacros.GvDaily("/GCL&lt;8&gt;", V$3, A2378, "", "", "", , "p", , , , , , "Hundredths", , FALSE, , "")), 74.77, _xll.Storm.ExcelMacros.GvDaily("/GCL&lt;8&gt;", V$3, A2378, "", "", "", , "p", , , , , , "Hundredths", , FALSE, , ""))</f>
        <v>74.77</v>
      </c>
      <c r="W2378" s="10">
        <f>IF(ISERROR(_xll.Storm.ExcelMacros.GvDaily("/GCL&lt;9&gt;", W$3, A2378, "", "", "", , "p", , , , , , "Hundredths", , FALSE, , "")), 73.63, _xll.Storm.ExcelMacros.GvDaily("/GCL&lt;9&gt;", W$3, A2378, "", "", "", , "p", , , , , , "Hundredths", , FALSE, , ""))</f>
        <v>73.63</v>
      </c>
      <c r="X2378" s="10">
        <f>IF(ISERROR(_xll.Storm.ExcelMacros.GvDaily("/GCL&lt;10&gt;", X$3, A2378, "", "", "", , "p", , , , , , "Hundredths", , FALSE, , "")), 72.67, _xll.Storm.ExcelMacros.GvDaily("/GCL&lt;10&gt;", X$3, A2378, "", "", "", , "p", , , , , , "Hundredths", , FALSE, , ""))</f>
        <v>72.67</v>
      </c>
      <c r="Y2378" s="10">
        <f>IF(ISERROR(_xll.Storm.ExcelMacros.GvDaily("/GCL&lt;11&gt;", Y$3, A2378, "", "", "", , "p", , , , , , "Hundredths", , FALSE, , "")), 71.91, _xll.Storm.ExcelMacros.GvDaily("/GCL&lt;11&gt;", Y$3, A2378, "", "", "", , "p", , , , , , "Hundredths", , FALSE, , ""))</f>
        <v>71.91</v>
      </c>
      <c r="Z2378" s="11">
        <f>IF(ISERROR(_xll.Storm.ExcelMacros.GvDaily("/DBI&lt;0&gt;", Z$3, A2378, "", "", "", , "p", , , , , , "Thousandths", , FALSE, , "")), 131.957, _xll.Storm.ExcelMacros.GvDaily("/DBI&lt;0&gt;", Z$3, A2378, "", "", "", , "p", , , , , , "Thousandths", , FALSE, , ""))</f>
        <v>131.95699999999999</v>
      </c>
      <c r="AA2378" s="11">
        <f>IF(ISERROR(_xll.Storm.ExcelMacros.GvDaily("/DBI&lt;1&gt;", AA$3, A2378, "", "", "", , "p", , , , , , "Thousandths", , FALSE, , "")), 102.386, _xll.Storm.ExcelMacros.GvDaily("/DBI&lt;1&gt;", AA$3, A2378, "", "", "", , "p", , , , , , "Thousandths", , FALSE, , ""))</f>
        <v>102.386</v>
      </c>
      <c r="AB2378" s="11">
        <f>IF(ISERROR(_xll.Storm.ExcelMacros.GvDaily("/DBI&lt;2&gt;", AB$3, A2378, "", "", "", , "p", , , , , , "Thousandths", , FALSE, , "")), 92.411, _xll.Storm.ExcelMacros.GvDaily("/DBI&lt;2&gt;", AB$3, A2378, "", "", "", , "p", , , , , , "Thousandths", , FALSE, , ""))</f>
        <v>92.411000000000001</v>
      </c>
      <c r="AC2378" s="11">
        <f>IF(ISERROR(_xll.Storm.ExcelMacros.GvDaily("/DBI&lt;3&gt;", AC$3, A2378, "", "", "", , "p", , , , , , "Thousandths", , FALSE, , "")), 88.528, _xll.Storm.ExcelMacros.GvDaily("/DBI&lt;3&gt;", AC$3, A2378, "", "", "", , "p", , , , , , "Thousandths", , FALSE, , ""))</f>
        <v>88.528000000000006</v>
      </c>
      <c r="AD2378" s="11">
        <f>IF(ISERROR(_xll.Storm.ExcelMacros.GvDaily("/DBI&lt;4&gt;", AD$3, A2378, "", "", "", , "p", , , , , , "Thousandths", , FALSE, , "")), 86.377, _xll.Storm.ExcelMacros.GvDaily("/DBI&lt;4&gt;", AD$3, A2378, "", "", "", , "p", , , , , , "Thousandths", , FALSE, , ""))</f>
        <v>86.376999999999995</v>
      </c>
      <c r="AE2378" s="11">
        <f>IF(ISERROR(_xll.Storm.ExcelMacros.GvDaily("/DBI&lt;5&gt;", AE$3, A2378, "", "", "", , "p", , , , , , "Thousandths", , FALSE, , "")), 84.547, _xll.Storm.ExcelMacros.GvDaily("/DBI&lt;5&gt;", AE$3, A2378, "", "", "", , "p", , , , , , "Thousandths", , FALSE, , ""))</f>
        <v>84.546999999999997</v>
      </c>
      <c r="AF2378" s="11">
        <f>IF(ISERROR(_xll.Storm.ExcelMacros.GvDaily("/DBI&lt;6&gt;", AF$3, A2378, "", "", "", , "p", , , , , , "Thousandths", , FALSE, , "")), 83.087, _xll.Storm.ExcelMacros.GvDaily("/DBI&lt;6&gt;", AF$3, A2378, "", "", "", , "p", , , , , , "Thousandths", , FALSE, , ""))</f>
        <v>83.087000000000003</v>
      </c>
      <c r="AG2378" s="11">
        <f>IF(ISERROR(_xll.Storm.ExcelMacros.GvDaily("/DBI&lt;7&gt;", AG$3, A2378, "", "", "", , "p", , , , , , "Thousandths", , FALSE, , "")), 81.837, _xll.Storm.ExcelMacros.GvDaily("/DBI&lt;7&gt;", AG$3, A2378, "", "", "", , "p", , , , , , "Thousandths", , FALSE, , ""))</f>
        <v>81.837000000000003</v>
      </c>
      <c r="AH2378" s="11">
        <f>IF(ISERROR(_xll.Storm.ExcelMacros.GvDaily("/DBI&lt;8&gt;", AH$3, A2378, "", "", "", , "p", , , , , , "Thousandths", , FALSE, , "")), 80.677, _xll.Storm.ExcelMacros.GvDaily("/DBI&lt;8&gt;", AH$3, A2378, "", "", "", , "p", , , , , , "Thousandths", , FALSE, , ""))</f>
        <v>80.677000000000007</v>
      </c>
      <c r="AI2378" s="11">
        <f>IF(ISERROR(_xll.Storm.ExcelMacros.GvDaily("/DBI&lt;9&gt;", AI$3, A2378, "", "", "", , "p", , , , , , "Thousandths", , FALSE, , "")), 79.466, _xll.Storm.ExcelMacros.GvDaily("/DBI&lt;9&gt;", AI$3, A2378, "", "", "", , "p", , , , , , "Thousandths", , FALSE, , ""))</f>
        <v>79.466000000000008</v>
      </c>
      <c r="AJ2378" s="11">
        <f>IF(ISERROR(_xll.Storm.ExcelMacros.GvDaily("/DBI&lt;10&gt;", AJ$3, A2378, "", "", "", , "p", , , , , , "Thousandths", , FALSE, , "")), 78.624, _xll.Storm.ExcelMacros.GvDaily("/DBI&lt;10&gt;", AJ$3, A2378, "", "", "", , "p", , , , , , "Thousandths", , FALSE, , ""))</f>
        <v>78.623999999999995</v>
      </c>
      <c r="AK2378" s="11">
        <f>IF(ISERROR(_xll.Storm.ExcelMacros.GvDaily("/DBI&lt;11&gt;", AK$3, A2378, "", "", "", , "p", , , , , , "Thousandths", , FALSE, , "")), 77.881, _xll.Storm.ExcelMacros.GvDaily("/DBI&lt;11&gt;", AK$3, A2378, "", "", "", , "p", , , , , , "Thousandths", , FALSE, , ""))</f>
        <v>77.881</v>
      </c>
      <c r="AL2378" s="11"/>
    </row>
    <row r="2379" spans="1:38" x14ac:dyDescent="0.3">
      <c r="A2379" s="9">
        <f>DATE(2026, 3, 17)</f>
        <v>46098</v>
      </c>
      <c r="B2379" s="10">
        <f>IF(ISERROR(_xll.Storm.ExcelMacros.GvDaily("/BRN&lt;0&gt;", B$3, A2379, "", "", "", , "p", , , , , , "Hundredths", , FALSE, , "")), 103.42, _xll.Storm.ExcelMacros.GvDaily("/BRN&lt;0&gt;", B$3, A2379, "", "", "", , "p", , , , , , "Hundredths", , FALSE, , ""))</f>
        <v>103.42</v>
      </c>
      <c r="C2379" s="10">
        <f>IF(ISERROR(_xll.Storm.ExcelMacros.GvDaily("/BRN&lt;1&gt;", C$3, A2379, "", "", "", , "p", , , , , , "Hundredths", , FALSE, , "")), 99.39, _xll.Storm.ExcelMacros.GvDaily("/BRN&lt;1&gt;", C$3, A2379, "", "", "", , "p", , , , , , "Hundredths", , FALSE, , ""))</f>
        <v>99.39</v>
      </c>
      <c r="D2379" s="10">
        <f>IF(ISERROR(_xll.Storm.ExcelMacros.GvDaily("/BRN&lt;2&gt;", D$3, A2379, "", "", "", , "p", , , , , , "Hundredths", , FALSE, , "")), 95.02, _xll.Storm.ExcelMacros.GvDaily("/BRN&lt;2&gt;", D$3, A2379, "", "", "", , "p", , , , , , "Hundredths", , FALSE, , ""))</f>
        <v>95.02</v>
      </c>
      <c r="E2379" s="10">
        <f>IF(ISERROR(_xll.Storm.ExcelMacros.GvDaily("/BRN&lt;3&gt;", E$3, A2379, "", "", "", , "p", , , , , , "Hundredths", , FALSE, , "")), 91.21, _xll.Storm.ExcelMacros.GvDaily("/BRN&lt;3&gt;", E$3, A2379, "", "", "", , "p", , , , , , "Hundredths", , FALSE, , ""))</f>
        <v>91.210000000000008</v>
      </c>
      <c r="F2379" s="10">
        <f>IF(ISERROR(_xll.Storm.ExcelMacros.GvDaily("/BRN&lt;4&gt;", F$3, A2379, "", "", "", , "p", , , , , , "Hundredths", , FALSE, , "")), 88.21, _xll.Storm.ExcelMacros.GvDaily("/BRN&lt;4&gt;", F$3, A2379, "", "", "", , "p", , , , , , "Hundredths", , FALSE, , ""))</f>
        <v>88.210000000000008</v>
      </c>
      <c r="G2379" s="10">
        <f>IF(ISERROR(_xll.Storm.ExcelMacros.GvDaily("/BRN&lt;5&gt;", G$3, A2379, "", "", "", , "p", , , , , , "Hundredths", , FALSE, , "")), 85.79, _xll.Storm.ExcelMacros.GvDaily("/BRN&lt;5&gt;", G$3, A2379, "", "", "", , "p", , , , , , "Hundredths", , FALSE, , ""))</f>
        <v>85.79</v>
      </c>
      <c r="H2379" s="10">
        <f>IF(ISERROR(_xll.Storm.ExcelMacros.GvDaily("/BRN&lt;6&gt;", H$3, A2379, "", "", "", , "p", , , , , , "Hundredths", , FALSE, , "")), 83.95, _xll.Storm.ExcelMacros.GvDaily("/BRN&lt;6&gt;", H$3, A2379, "", "", "", , "p", , , , , , "Hundredths", , FALSE, , ""))</f>
        <v>83.95</v>
      </c>
      <c r="I2379" s="10">
        <f>IF(ISERROR(_xll.Storm.ExcelMacros.GvDaily("/BRN&lt;7&gt;", I$3, A2379, "", "", "", , "p", , , , , , "Hundredths", , FALSE, , "")), 82.47, _xll.Storm.ExcelMacros.GvDaily("/BRN&lt;7&gt;", I$3, A2379, "", "", "", , "p", , , , , , "Hundredths", , FALSE, , ""))</f>
        <v>82.47</v>
      </c>
      <c r="J2379" s="10">
        <f>IF(ISERROR(_xll.Storm.ExcelMacros.GvDaily("/BRN&lt;8&gt;", J$3, A2379, "", "", "", , "p", , , , , , "Hundredths", , FALSE, , "")), 81.14, _xll.Storm.ExcelMacros.GvDaily("/BRN&lt;8&gt;", J$3, A2379, "", "", "", , "p", , , , , , "Hundredths", , FALSE, , ""))</f>
        <v>81.14</v>
      </c>
      <c r="K2379" s="10">
        <f>IF(ISERROR(_xll.Storm.ExcelMacros.GvDaily("/BRN&lt;9&gt;", K$3, A2379, "", "", "", , "p", , , , , , "Hundredths", , FALSE, , "")), 79.96, _xll.Storm.ExcelMacros.GvDaily("/BRN&lt;9&gt;", K$3, A2379, "", "", "", , "p", , , , , , "Hundredths", , FALSE, , ""))</f>
        <v>79.960000000000008</v>
      </c>
      <c r="L2379" s="10">
        <f>IF(ISERROR(_xll.Storm.ExcelMacros.GvDaily("/BRN&lt;10&gt;", L$3, A2379, "", "", "", , "p", , , , , , "Hundredths", , FALSE, , "")), 78.95, _xll.Storm.ExcelMacros.GvDaily("/BRN&lt;10&gt;", L$3, A2379, "", "", "", , "p", , , , , , "Hundredths", , FALSE, , ""))</f>
        <v>78.95</v>
      </c>
      <c r="M2379" s="10">
        <f>IF(ISERROR(_xll.Storm.ExcelMacros.GvDaily("/BRN&lt;11&gt;", M$3, A2379, "", "", "", , "p", , , , , , "Hundredths", , FALSE, , "")), 78.11, _xll.Storm.ExcelMacros.GvDaily("/BRN&lt;11&gt;", M$3, A2379, "", "", "", , "p", , , , , , "Hundredths", , FALSE, , ""))</f>
        <v>78.11</v>
      </c>
      <c r="N2379" s="10">
        <f>IF(ISERROR(_xll.Storm.ExcelMacros.GvDaily("/GCL&lt;0&gt;", N$3, A2379, "", "", "", , "p", , , , , , "Hundredths", , FALSE, , "")), 96.21, _xll.Storm.ExcelMacros.GvDaily("/GCL&lt;0&gt;", N$3, A2379, "", "", "", , "p", , , , , , "Hundredths", , FALSE, , ""))</f>
        <v>96.210000000000008</v>
      </c>
      <c r="O2379" s="10">
        <f>IF(ISERROR(_xll.Storm.ExcelMacros.GvDaily("/GCL&lt;1&gt;", O$3, A2379, "", "", "", , "p", , , , , , "Hundredths", , FALSE, , "")), 95.53, _xll.Storm.ExcelMacros.GvDaily("/GCL&lt;1&gt;", O$3, A2379, "", "", "", , "p", , , , , , "Hundredths", , FALSE, , ""))</f>
        <v>95.53</v>
      </c>
      <c r="P2379" s="10">
        <f>IF(ISERROR(_xll.Storm.ExcelMacros.GvDaily("/GCL&lt;2&gt;", P$3, A2379, "", "", "", , "p", , , , , , "Hundredths", , FALSE, , "")), 91.64, _xll.Storm.ExcelMacros.GvDaily("/GCL&lt;2&gt;", P$3, A2379, "", "", "", , "p", , , , , , "Hundredths", , FALSE, , ""))</f>
        <v>91.64</v>
      </c>
      <c r="Q2379" s="10">
        <f>IF(ISERROR(_xll.Storm.ExcelMacros.GvDaily("/GCL&lt;3&gt;", Q$3, A2379, "", "", "", , "p", , , , , , "Hundredths", , FALSE, , "")), 87.8, _xll.Storm.ExcelMacros.GvDaily("/GCL&lt;3&gt;", Q$3, A2379, "", "", "", , "p", , , , , , "Hundredths", , FALSE, , ""))</f>
        <v>87.8</v>
      </c>
      <c r="R2379" s="10">
        <f>IF(ISERROR(_xll.Storm.ExcelMacros.GvDaily("/GCL&lt;4&gt;", R$3, A2379, "", "", "", , "p", , , , , , "Hundredths", , FALSE, , "")), 84.42, _xll.Storm.ExcelMacros.GvDaily("/GCL&lt;4&gt;", R$3, A2379, "", "", "", , "p", , , , , , "Hundredths", , FALSE, , ""))</f>
        <v>84.42</v>
      </c>
      <c r="S2379" s="10">
        <f>IF(ISERROR(_xll.Storm.ExcelMacros.GvDaily("/GCL&lt;5&gt;", S$3, A2379, "", "", "", , "p", , , , , , "Hundredths", , FALSE, , "")), 81.69, _xll.Storm.ExcelMacros.GvDaily("/GCL&lt;5&gt;", S$3, A2379, "", "", "", , "p", , , , , , "Hundredths", , FALSE, , ""))</f>
        <v>81.69</v>
      </c>
      <c r="T2379" s="10">
        <f>IF(ISERROR(_xll.Storm.ExcelMacros.GvDaily("/GCL&lt;6&gt;", T$3, A2379, "", "", "", , "p", , , , , , "Hundredths", , FALSE, , "")), 79.47, _xll.Storm.ExcelMacros.GvDaily("/GCL&lt;6&gt;", T$3, A2379, "", "", "", , "p", , , , , , "Hundredths", , FALSE, , ""))</f>
        <v>79.47</v>
      </c>
      <c r="U2379" s="10">
        <f>IF(ISERROR(_xll.Storm.ExcelMacros.GvDaily("/GCL&lt;7&gt;", U$3, A2379, "", "", "", , "p", , , , , , "Hundredths", , FALSE, , "")), 77.76, _xll.Storm.ExcelMacros.GvDaily("/GCL&lt;7&gt;", U$3, A2379, "", "", "", , "p", , , , , , "Hundredths", , FALSE, , ""))</f>
        <v>77.760000000000005</v>
      </c>
      <c r="V2379" s="10">
        <f>IF(ISERROR(_xll.Storm.ExcelMacros.GvDaily("/GCL&lt;8&gt;", V$3, A2379, "", "", "", , "p", , , , , , "Hundredths", , FALSE, , "")), 76.36, _xll.Storm.ExcelMacros.GvDaily("/GCL&lt;8&gt;", V$3, A2379, "", "", "", , "p", , , , , , "Hundredths", , FALSE, , ""))</f>
        <v>76.36</v>
      </c>
      <c r="W2379" s="10">
        <f>IF(ISERROR(_xll.Storm.ExcelMacros.GvDaily("/GCL&lt;9&gt;", W$3, A2379, "", "", "", , "p", , , , , , "Hundredths", , FALSE, , "")), 75.12, _xll.Storm.ExcelMacros.GvDaily("/GCL&lt;9&gt;", W$3, A2379, "", "", "", , "p", , , , , , "Hundredths", , FALSE, , ""))</f>
        <v>75.12</v>
      </c>
      <c r="X2379" s="10">
        <f>IF(ISERROR(_xll.Storm.ExcelMacros.GvDaily("/GCL&lt;10&gt;", X$3, A2379, "", "", "", , "p", , , , , , "Hundredths", , FALSE, , "")), 74.06, _xll.Storm.ExcelMacros.GvDaily("/GCL&lt;10&gt;", X$3, A2379, "", "", "", , "p", , , , , , "Hundredths", , FALSE, , ""))</f>
        <v>74.06</v>
      </c>
      <c r="Y2379" s="10">
        <f>IF(ISERROR(_xll.Storm.ExcelMacros.GvDaily("/GCL&lt;11&gt;", Y$3, A2379, "", "", "", , "p", , , , , , "Hundredths", , FALSE, , "")), 73.17, _xll.Storm.ExcelMacros.GvDaily("/GCL&lt;11&gt;", Y$3, A2379, "", "", "", , "p", , , , , , "Hundredths", , FALSE, , ""))</f>
        <v>73.17</v>
      </c>
      <c r="Z2379" s="11">
        <f>IF(ISERROR(_xll.Storm.ExcelMacros.GvDaily("/DBI&lt;0&gt;", Z$3, A2379, "", "", "", , "p", , , , , , "Thousandths", , FALSE, , "")), 132.663, _xll.Storm.ExcelMacros.GvDaily("/DBI&lt;0&gt;", Z$3, A2379, "", "", "", , "p", , , , , , "Thousandths", , FALSE, , ""))</f>
        <v>132.66300000000001</v>
      </c>
      <c r="AA2379" s="11">
        <f>IF(ISERROR(_xll.Storm.ExcelMacros.GvDaily("/DBI&lt;1&gt;", AA$3, A2379, "", "", "", , "p", , , , , , "Thousandths", , FALSE, , "")), 102.312, _xll.Storm.ExcelMacros.GvDaily("/DBI&lt;1&gt;", AA$3, A2379, "", "", "", , "p", , , , , , "Thousandths", , FALSE, , ""))</f>
        <v>102.312</v>
      </c>
      <c r="AB2379" s="11">
        <f>IF(ISERROR(_xll.Storm.ExcelMacros.GvDaily("/DBI&lt;2&gt;", AB$3, A2379, "", "", "", , "p", , , , , , "Thousandths", , FALSE, , "")), 93.099, _xll.Storm.ExcelMacros.GvDaily("/DBI&lt;2&gt;", AB$3, A2379, "", "", "", , "p", , , , , , "Thousandths", , FALSE, , ""))</f>
        <v>93.099000000000004</v>
      </c>
      <c r="AC2379" s="11">
        <f>IF(ISERROR(_xll.Storm.ExcelMacros.GvDaily("/DBI&lt;3&gt;", AC$3, A2379, "", "", "", , "p", , , , , , "Thousandths", , FALSE, , "")), 89.941, _xll.Storm.ExcelMacros.GvDaily("/DBI&lt;3&gt;", AC$3, A2379, "", "", "", , "p", , , , , , "Thousandths", , FALSE, , ""))</f>
        <v>89.941000000000003</v>
      </c>
      <c r="AD2379" s="11">
        <f>IF(ISERROR(_xll.Storm.ExcelMacros.GvDaily("/DBI&lt;4&gt;", AD$3, A2379, "", "", "", , "p", , , , , , "Thousandths", , FALSE, , "")), 87.795, _xll.Storm.ExcelMacros.GvDaily("/DBI&lt;4&gt;", AD$3, A2379, "", "", "", , "p", , , , , , "Thousandths", , FALSE, , ""))</f>
        <v>87.795000000000002</v>
      </c>
      <c r="AE2379" s="11">
        <f>IF(ISERROR(_xll.Storm.ExcelMacros.GvDaily("/DBI&lt;5&gt;", AE$3, A2379, "", "", "", , "p", , , , , , "Thousandths", , FALSE, , "")), 85.945, _xll.Storm.ExcelMacros.GvDaily("/DBI&lt;5&gt;", AE$3, A2379, "", "", "", , "p", , , , , , "Thousandths", , FALSE, , ""))</f>
        <v>85.945000000000007</v>
      </c>
      <c r="AF2379" s="11">
        <f>IF(ISERROR(_xll.Storm.ExcelMacros.GvDaily("/DBI&lt;6&gt;", AF$3, A2379, "", "", "", , "p", , , , , , "Thousandths", , FALSE, , "")), 84.465, _xll.Storm.ExcelMacros.GvDaily("/DBI&lt;6&gt;", AF$3, A2379, "", "", "", , "p", , , , , , "Thousandths", , FALSE, , ""))</f>
        <v>84.465000000000003</v>
      </c>
      <c r="AG2379" s="11">
        <f>IF(ISERROR(_xll.Storm.ExcelMacros.GvDaily("/DBI&lt;7&gt;", AG$3, A2379, "", "", "", , "p", , , , , , "Thousandths", , FALSE, , "")), 83.135, _xll.Storm.ExcelMacros.GvDaily("/DBI&lt;7&gt;", AG$3, A2379, "", "", "", , "p", , , , , , "Thousandths", , FALSE, , ""))</f>
        <v>83.135000000000005</v>
      </c>
      <c r="AH2379" s="11">
        <f>IF(ISERROR(_xll.Storm.ExcelMacros.GvDaily("/DBI&lt;8&gt;", AH$3, A2379, "", "", "", , "p", , , , , , "Thousandths", , FALSE, , "")), 81.905, _xll.Storm.ExcelMacros.GvDaily("/DBI&lt;8&gt;", AH$3, A2379, "", "", "", , "p", , , , , , "Thousandths", , FALSE, , ""))</f>
        <v>81.905000000000001</v>
      </c>
      <c r="AI2379" s="11">
        <f>IF(ISERROR(_xll.Storm.ExcelMacros.GvDaily("/DBI&lt;9&gt;", AI$3, A2379, "", "", "", , "p", , , , , , "Thousandths", , FALSE, , "")), 80.689, _xll.Storm.ExcelMacros.GvDaily("/DBI&lt;9&gt;", AI$3, A2379, "", "", "", , "p", , , , , , "Thousandths", , FALSE, , ""))</f>
        <v>80.689000000000007</v>
      </c>
      <c r="AJ2379" s="11">
        <f>IF(ISERROR(_xll.Storm.ExcelMacros.GvDaily("/DBI&lt;10&gt;", AJ$3, A2379, "", "", "", , "p", , , , , , "Thousandths", , FALSE, , "")), 79.729, _xll.Storm.ExcelMacros.GvDaily("/DBI&lt;10&gt;", AJ$3, A2379, "", "", "", , "p", , , , , , "Thousandths", , FALSE, , ""))</f>
        <v>79.728999999999999</v>
      </c>
      <c r="AK2379" s="11">
        <f>IF(ISERROR(_xll.Storm.ExcelMacros.GvDaily("/DBI&lt;11&gt;", AK$3, A2379, "", "", "", , "p", , , , , , "Thousandths", , FALSE, , "")), 78.897, _xll.Storm.ExcelMacros.GvDaily("/DBI&lt;11&gt;", AK$3, A2379, "", "", "", , "p", , , , , , "Thousandths", , FALSE, , ""))</f>
        <v>78.897000000000006</v>
      </c>
      <c r="AL2379" s="11"/>
    </row>
    <row r="2380" spans="1:38" x14ac:dyDescent="0.3">
      <c r="A2380" s="9">
        <f>DATE(2026, 3, 18)</f>
        <v>46099</v>
      </c>
      <c r="B2380" s="10">
        <f>IF(ISERROR(_xll.Storm.ExcelMacros.GvDaily("/BRN&lt;0&gt;", B$3, A2380, "", "", "", , "p", , , , , , "Hundredths", , FALSE, , "")), 107.38, _xll.Storm.ExcelMacros.GvDaily("/BRN&lt;0&gt;", B$3, A2380, "", "", "", , "p", , , , , , "Hundredths", , FALSE, , ""))</f>
        <v>107.38</v>
      </c>
      <c r="C2380" s="10">
        <f>IF(ISERROR(_xll.Storm.ExcelMacros.GvDaily("/BRN&lt;1&gt;", C$3, A2380, "", "", "", , "p", , , , , , "Hundredths", , FALSE, , "")), 102.92, _xll.Storm.ExcelMacros.GvDaily("/BRN&lt;1&gt;", C$3, A2380, "", "", "", , "p", , , , , , "Hundredths", , FALSE, , ""))</f>
        <v>102.92</v>
      </c>
      <c r="D2380" s="10">
        <f>IF(ISERROR(_xll.Storm.ExcelMacros.GvDaily("/BRN&lt;2&gt;", D$3, A2380, "", "", "", , "p", , , , , , "Hundredths", , FALSE, , "")), 98.16, _xll.Storm.ExcelMacros.GvDaily("/BRN&lt;2&gt;", D$3, A2380, "", "", "", , "p", , , , , , "Hundredths", , FALSE, , ""))</f>
        <v>98.16</v>
      </c>
      <c r="E2380" s="10">
        <f>IF(ISERROR(_xll.Storm.ExcelMacros.GvDaily("/BRN&lt;3&gt;", E$3, A2380, "", "", "", , "p", , , , , , "Hundredths", , FALSE, , "")), 94.01, _xll.Storm.ExcelMacros.GvDaily("/BRN&lt;3&gt;", E$3, A2380, "", "", "", , "p", , , , , , "Hundredths", , FALSE, , ""))</f>
        <v>94.01</v>
      </c>
      <c r="F2380" s="10">
        <f>IF(ISERROR(_xll.Storm.ExcelMacros.GvDaily("/BRN&lt;4&gt;", F$3, A2380, "", "", "", , "p", , , , , , "Hundredths", , FALSE, , "")), 90.76, _xll.Storm.ExcelMacros.GvDaily("/BRN&lt;4&gt;", F$3, A2380, "", "", "", , "p", , , , , , "Hundredths", , FALSE, , ""))</f>
        <v>90.76</v>
      </c>
      <c r="G2380" s="10">
        <f>IF(ISERROR(_xll.Storm.ExcelMacros.GvDaily("/BRN&lt;5&gt;", G$3, A2380, "", "", "", , "p", , , , , , "Hundredths", , FALSE, , "")), 88.19, _xll.Storm.ExcelMacros.GvDaily("/BRN&lt;5&gt;", G$3, A2380, "", "", "", , "p", , , , , , "Hundredths", , FALSE, , ""))</f>
        <v>88.19</v>
      </c>
      <c r="H2380" s="10">
        <f>IF(ISERROR(_xll.Storm.ExcelMacros.GvDaily("/BRN&lt;6&gt;", H$3, A2380, "", "", "", , "p", , , , , , "Hundredths", , FALSE, , "")), 86.26, _xll.Storm.ExcelMacros.GvDaily("/BRN&lt;6&gt;", H$3, A2380, "", "", "", , "p", , , , , , "Hundredths", , FALSE, , ""))</f>
        <v>86.26</v>
      </c>
      <c r="I2380" s="10">
        <f>IF(ISERROR(_xll.Storm.ExcelMacros.GvDaily("/BRN&lt;7&gt;", I$3, A2380, "", "", "", , "p", , , , , , "Hundredths", , FALSE, , "")), 84.74, _xll.Storm.ExcelMacros.GvDaily("/BRN&lt;7&gt;", I$3, A2380, "", "", "", , "p", , , , , , "Hundredths", , FALSE, , ""))</f>
        <v>84.74</v>
      </c>
      <c r="J2380" s="10">
        <f>IF(ISERROR(_xll.Storm.ExcelMacros.GvDaily("/BRN&lt;8&gt;", J$3, A2380, "", "", "", , "p", , , , , , "Hundredths", , FALSE, , "")), 83.39, _xll.Storm.ExcelMacros.GvDaily("/BRN&lt;8&gt;", J$3, A2380, "", "", "", , "p", , , , , , "Hundredths", , FALSE, , ""))</f>
        <v>83.39</v>
      </c>
      <c r="K2380" s="10">
        <f>IF(ISERROR(_xll.Storm.ExcelMacros.GvDaily("/BRN&lt;9&gt;", K$3, A2380, "", "", "", , "p", , , , , , "Hundredths", , FALSE, , "")), 82.21, _xll.Storm.ExcelMacros.GvDaily("/BRN&lt;9&gt;", K$3, A2380, "", "", "", , "p", , , , , , "Hundredths", , FALSE, , ""))</f>
        <v>82.210000000000008</v>
      </c>
      <c r="L2380" s="10">
        <f>IF(ISERROR(_xll.Storm.ExcelMacros.GvDaily("/BRN&lt;10&gt;", L$3, A2380, "", "", "", , "p", , , , , , "Hundredths", , FALSE, , "")), 81.23, _xll.Storm.ExcelMacros.GvDaily("/BRN&lt;10&gt;", L$3, A2380, "", "", "", , "p", , , , , , "Hundredths", , FALSE, , ""))</f>
        <v>81.23</v>
      </c>
      <c r="M2380" s="10">
        <f>IF(ISERROR(_xll.Storm.ExcelMacros.GvDaily("/BRN&lt;11&gt;", M$3, A2380, "", "", "", , "p", , , , , , "Hundredths", , FALSE, , "")), 80.39, _xll.Storm.ExcelMacros.GvDaily("/BRN&lt;11&gt;", M$3, A2380, "", "", "", , "p", , , , , , "Hundredths", , FALSE, , ""))</f>
        <v>80.39</v>
      </c>
      <c r="N2380" s="10">
        <f>IF(ISERROR(_xll.Storm.ExcelMacros.GvDaily("/GCL&lt;0&gt;", N$3, A2380, "", "", "", , "p", , , , , , "Hundredths", , FALSE, , "")), 96.32, _xll.Storm.ExcelMacros.GvDaily("/GCL&lt;0&gt;", N$3, A2380, "", "", "", , "p", , , , , , "Hundredths", , FALSE, , ""))</f>
        <v>96.320000000000007</v>
      </c>
      <c r="O2380" s="10">
        <f>IF(ISERROR(_xll.Storm.ExcelMacros.GvDaily("/GCL&lt;1&gt;", O$3, A2380, "", "", "", , "p", , , , , , "Hundredths", , FALSE, , "")), 95.46, _xll.Storm.ExcelMacros.GvDaily("/GCL&lt;1&gt;", O$3, A2380, "", "", "", , "p", , , , , , "Hundredths", , FALSE, , ""))</f>
        <v>95.460000000000008</v>
      </c>
      <c r="P2380" s="10">
        <f>IF(ISERROR(_xll.Storm.ExcelMacros.GvDaily("/GCL&lt;2&gt;", P$3, A2380, "", "", "", , "p", , , , , , "Hundredths", , FALSE, , "")), 92.43, _xll.Storm.ExcelMacros.GvDaily("/GCL&lt;2&gt;", P$3, A2380, "", "", "", , "p", , , , , , "Hundredths", , FALSE, , ""))</f>
        <v>92.43</v>
      </c>
      <c r="Q2380" s="10">
        <f>IF(ISERROR(_xll.Storm.ExcelMacros.GvDaily("/GCL&lt;3&gt;", Q$3, A2380, "", "", "", , "p", , , , , , "Hundredths", , FALSE, , "")), 89.08, _xll.Storm.ExcelMacros.GvDaily("/GCL&lt;3&gt;", Q$3, A2380, "", "", "", , "p", , , , , , "Hundredths", , FALSE, , ""))</f>
        <v>89.08</v>
      </c>
      <c r="R2380" s="10">
        <f>IF(ISERROR(_xll.Storm.ExcelMacros.GvDaily("/GCL&lt;4&gt;", R$3, A2380, "", "", "", , "p", , , , , , "Hundredths", , FALSE, , "")), 85.93, _xll.Storm.ExcelMacros.GvDaily("/GCL&lt;4&gt;", R$3, A2380, "", "", "", , "p", , , , , , "Hundredths", , FALSE, , ""))</f>
        <v>85.93</v>
      </c>
      <c r="S2380" s="10">
        <f>IF(ISERROR(_xll.Storm.ExcelMacros.GvDaily("/GCL&lt;5&gt;", S$3, A2380, "", "", "", , "p", , , , , , "Hundredths", , FALSE, , "")), 83.25, _xll.Storm.ExcelMacros.GvDaily("/GCL&lt;5&gt;", S$3, A2380, "", "", "", , "p", , , , , , "Hundredths", , FALSE, , ""))</f>
        <v>83.25</v>
      </c>
      <c r="T2380" s="10">
        <f>IF(ISERROR(_xll.Storm.ExcelMacros.GvDaily("/GCL&lt;6&gt;", T$3, A2380, "", "", "", , "p", , , , , , "Hundredths", , FALSE, , "")), 80.97, _xll.Storm.ExcelMacros.GvDaily("/GCL&lt;6&gt;", T$3, A2380, "", "", "", , "p", , , , , , "Hundredths", , FALSE, , ""))</f>
        <v>80.97</v>
      </c>
      <c r="U2380" s="10">
        <f>IF(ISERROR(_xll.Storm.ExcelMacros.GvDaily("/GCL&lt;7&gt;", U$3, A2380, "", "", "", , "p", , , , , , "Hundredths", , FALSE, , "")), 79.24, _xll.Storm.ExcelMacros.GvDaily("/GCL&lt;7&gt;", U$3, A2380, "", "", "", , "p", , , , , , "Hundredths", , FALSE, , ""))</f>
        <v>79.239999999999995</v>
      </c>
      <c r="V2380" s="10">
        <f>IF(ISERROR(_xll.Storm.ExcelMacros.GvDaily("/GCL&lt;8&gt;", V$3, A2380, "", "", "", , "p", , , , , , "Hundredths", , FALSE, , "")), 77.86, _xll.Storm.ExcelMacros.GvDaily("/GCL&lt;8&gt;", V$3, A2380, "", "", "", , "p", , , , , , "Hundredths", , FALSE, , ""))</f>
        <v>77.86</v>
      </c>
      <c r="W2380" s="10">
        <f>IF(ISERROR(_xll.Storm.ExcelMacros.GvDaily("/GCL&lt;9&gt;", W$3, A2380, "", "", "", , "p", , , , , , "Hundredths", , FALSE, , "")), 76.69, _xll.Storm.ExcelMacros.GvDaily("/GCL&lt;9&gt;", W$3, A2380, "", "", "", , "p", , , , , , "Hundredths", , FALSE, , ""))</f>
        <v>76.69</v>
      </c>
      <c r="X2380" s="10">
        <f>IF(ISERROR(_xll.Storm.ExcelMacros.GvDaily("/GCL&lt;10&gt;", X$3, A2380, "", "", "", , "p", , , , , , "Hundredths", , FALSE, , "")), 75.69, _xll.Storm.ExcelMacros.GvDaily("/GCL&lt;10&gt;", X$3, A2380, "", "", "", , "p", , , , , , "Hundredths", , FALSE, , ""))</f>
        <v>75.69</v>
      </c>
      <c r="Y2380" s="10">
        <f>IF(ISERROR(_xll.Storm.ExcelMacros.GvDaily("/GCL&lt;11&gt;", Y$3, A2380, "", "", "", , "p", , , , , , "Hundredths", , FALSE, , "")), 74.88, _xll.Storm.ExcelMacros.GvDaily("/GCL&lt;11&gt;", Y$3, A2380, "", "", "", , "p", , , , , , "Hundredths", , FALSE, , ""))</f>
        <v>74.88</v>
      </c>
      <c r="Z2380" s="11">
        <f>IF(ISERROR(_xll.Storm.ExcelMacros.GvDaily("/DBI&lt;0&gt;", Z$3, A2380, "", "", "", , "p", , , , , , "Thousandths", , FALSE, , "")), 136.412, _xll.Storm.ExcelMacros.GvDaily("/DBI&lt;0&gt;", Z$3, A2380, "", "", "", , "p", , , , , , "Thousandths", , FALSE, , ""))</f>
        <v>136.41200000000001</v>
      </c>
      <c r="AA2380" s="11">
        <f>IF(ISERROR(_xll.Storm.ExcelMacros.GvDaily("/DBI&lt;1&gt;", AA$3, A2380, "", "", "", , "p", , , , , , "Thousandths", , FALSE, , "")), 107.118, _xll.Storm.ExcelMacros.GvDaily("/DBI&lt;1&gt;", AA$3, A2380, "", "", "", , "p", , , , , , "Thousandths", , FALSE, , ""))</f>
        <v>107.11800000000001</v>
      </c>
      <c r="AB2380" s="11">
        <f>IF(ISERROR(_xll.Storm.ExcelMacros.GvDaily("/DBI&lt;2&gt;", AB$3, A2380, "", "", "", , "p", , , , , , "Thousandths", , FALSE, , "")), 96.783, _xll.Storm.ExcelMacros.GvDaily("/DBI&lt;2&gt;", AB$3, A2380, "", "", "", , "p", , , , , , "Thousandths", , FALSE, , ""))</f>
        <v>96.783000000000001</v>
      </c>
      <c r="AC2380" s="11">
        <f>IF(ISERROR(_xll.Storm.ExcelMacros.GvDaily("/DBI&lt;3&gt;", AC$3, A2380, "", "", "", , "p", , , , , , "Thousandths", , FALSE, , "")), 93.266, _xll.Storm.ExcelMacros.GvDaily("/DBI&lt;3&gt;", AC$3, A2380, "", "", "", , "p", , , , , , "Thousandths", , FALSE, , ""))</f>
        <v>93.266000000000005</v>
      </c>
      <c r="AD2380" s="11">
        <f>IF(ISERROR(_xll.Storm.ExcelMacros.GvDaily("/DBI&lt;4&gt;", AD$3, A2380, "", "", "", , "p", , , , , , "Thousandths", , FALSE, , "")), 90.592, _xll.Storm.ExcelMacros.GvDaily("/DBI&lt;4&gt;", AD$3, A2380, "", "", "", , "p", , , , , , "Thousandths", , FALSE, , ""))</f>
        <v>90.591999999999999</v>
      </c>
      <c r="AE2380" s="11">
        <f>IF(ISERROR(_xll.Storm.ExcelMacros.GvDaily("/DBI&lt;5&gt;", AE$3, A2380, "", "", "", , "p", , , , , , "Thousandths", , FALSE, , "")), 88.376, _xll.Storm.ExcelMacros.GvDaily("/DBI&lt;5&gt;", AE$3, A2380, "", "", "", , "p", , , , , , "Thousandths", , FALSE, , ""))</f>
        <v>88.376000000000005</v>
      </c>
      <c r="AF2380" s="11">
        <f>IF(ISERROR(_xll.Storm.ExcelMacros.GvDaily("/DBI&lt;6&gt;", AF$3, A2380, "", "", "", , "p", , , , , , "Thousandths", , FALSE, , "")), 86.731, _xll.Storm.ExcelMacros.GvDaily("/DBI&lt;6&gt;", AF$3, A2380, "", "", "", , "p", , , , , , "Thousandths", , FALSE, , ""))</f>
        <v>86.731000000000009</v>
      </c>
      <c r="AG2380" s="11">
        <f>IF(ISERROR(_xll.Storm.ExcelMacros.GvDaily("/DBI&lt;7&gt;", AG$3, A2380, "", "", "", , "p", , , , , , "Thousandths", , FALSE, , "")), 85.319, _xll.Storm.ExcelMacros.GvDaily("/DBI&lt;7&gt;", AG$3, A2380, "", "", "", , "p", , , , , , "Thousandths", , FALSE, , ""))</f>
        <v>85.319000000000003</v>
      </c>
      <c r="AH2380" s="11">
        <f>IF(ISERROR(_xll.Storm.ExcelMacros.GvDaily("/DBI&lt;8&gt;", AH$3, A2380, "", "", "", , "p", , , , , , "Thousandths", , FALSE, , "")), 84.014, _xll.Storm.ExcelMacros.GvDaily("/DBI&lt;8&gt;", AH$3, A2380, "", "", "", , "p", , , , , , "Thousandths", , FALSE, , ""))</f>
        <v>84.013999999999996</v>
      </c>
      <c r="AI2380" s="11">
        <f>IF(ISERROR(_xll.Storm.ExcelMacros.GvDaily("/DBI&lt;9&gt;", AI$3, A2380, "", "", "", , "p", , , , , , "Thousandths", , FALSE, , "")), 82.821, _xll.Storm.ExcelMacros.GvDaily("/DBI&lt;9&gt;", AI$3, A2380, "", "", "", , "p", , , , , , "Thousandths", , FALSE, , ""))</f>
        <v>82.820999999999998</v>
      </c>
      <c r="AJ2380" s="11">
        <f>IF(ISERROR(_xll.Storm.ExcelMacros.GvDaily("/DBI&lt;10&gt;", AJ$3, A2380, "", "", "", , "p", , , , , , "Thousandths", , FALSE, , "")), 81.888, _xll.Storm.ExcelMacros.GvDaily("/DBI&lt;10&gt;", AJ$3, A2380, "", "", "", , "p", , , , , , "Thousandths", , FALSE, , ""))</f>
        <v>81.888000000000005</v>
      </c>
      <c r="AK2380" s="11">
        <f>IF(ISERROR(_xll.Storm.ExcelMacros.GvDaily("/DBI&lt;11&gt;", AK$3, A2380, "", "", "", , "p", , , , , , "Thousandths", , FALSE, , "")), 81.055, _xll.Storm.ExcelMacros.GvDaily("/DBI&lt;11&gt;", AK$3, A2380, "", "", "", , "p", , , , , , "Thousandths", , FALSE, , ""))</f>
        <v>81.055000000000007</v>
      </c>
      <c r="AL2380" s="11"/>
    </row>
    <row r="2381" spans="1:38" x14ac:dyDescent="0.3">
      <c r="A2381" s="9">
        <f>DATE(2026, 3, 19)</f>
        <v>46100</v>
      </c>
      <c r="B2381" s="10">
        <f>IF(ISERROR(_xll.Storm.ExcelMacros.GvDaily("/BRN&lt;0&gt;", B$3, A2381, "", "", "", , "p", , , , , , "Hundredths", , FALSE, , "")), 108.65, _xll.Storm.ExcelMacros.GvDaily("/BRN&lt;0&gt;", B$3, A2381, "", "", "", , "p", , , , , , "Hundredths", , FALSE, , ""))</f>
        <v>108.65</v>
      </c>
      <c r="C2381" s="10">
        <f>IF(ISERROR(_xll.Storm.ExcelMacros.GvDaily("/BRN&lt;1&gt;", C$3, A2381, "", "", "", , "p", , , , , , "Hundredths", , FALSE, , "")), 103.78, _xll.Storm.ExcelMacros.GvDaily("/BRN&lt;1&gt;", C$3, A2381, "", "", "", , "p", , , , , , "Hundredths", , FALSE, , ""))</f>
        <v>103.78</v>
      </c>
      <c r="D2381" s="10">
        <f>IF(ISERROR(_xll.Storm.ExcelMacros.GvDaily("/BRN&lt;2&gt;", D$3, A2381, "", "", "", , "p", , , , , , "Hundredths", , FALSE, , "")), 98.46, _xll.Storm.ExcelMacros.GvDaily("/BRN&lt;2&gt;", D$3, A2381, "", "", "", , "p", , , , , , "Hundredths", , FALSE, , ""))</f>
        <v>98.460000000000008</v>
      </c>
      <c r="E2381" s="10">
        <f>IF(ISERROR(_xll.Storm.ExcelMacros.GvDaily("/BRN&lt;3&gt;", E$3, A2381, "", "", "", , "p", , , , , , "Hundredths", , FALSE, , "")), 94.05, _xll.Storm.ExcelMacros.GvDaily("/BRN&lt;3&gt;", E$3, A2381, "", "", "", , "p", , , , , , "Hundredths", , FALSE, , ""))</f>
        <v>94.05</v>
      </c>
      <c r="F2381" s="10">
        <f>IF(ISERROR(_xll.Storm.ExcelMacros.GvDaily("/BRN&lt;4&gt;", F$3, A2381, "", "", "", , "p", , , , , , "Hundredths", , FALSE, , "")), 90.89, _xll.Storm.ExcelMacros.GvDaily("/BRN&lt;4&gt;", F$3, A2381, "", "", "", , "p", , , , , , "Hundredths", , FALSE, , ""))</f>
        <v>90.89</v>
      </c>
      <c r="G2381" s="10">
        <f>IF(ISERROR(_xll.Storm.ExcelMacros.GvDaily("/BRN&lt;5&gt;", G$3, A2381, "", "", "", , "p", , , , , , "Hundredths", , FALSE, , "")), 88.39, _xll.Storm.ExcelMacros.GvDaily("/BRN&lt;5&gt;", G$3, A2381, "", "", "", , "p", , , , , , "Hundredths", , FALSE, , ""))</f>
        <v>88.39</v>
      </c>
      <c r="H2381" s="10">
        <f>IF(ISERROR(_xll.Storm.ExcelMacros.GvDaily("/BRN&lt;6&gt;", H$3, A2381, "", "", "", , "p", , , , , , "Hundredths", , FALSE, , "")), 86.57, _xll.Storm.ExcelMacros.GvDaily("/BRN&lt;6&gt;", H$3, A2381, "", "", "", , "p", , , , , , "Hundredths", , FALSE, , ""))</f>
        <v>86.570000000000007</v>
      </c>
      <c r="I2381" s="10">
        <f>IF(ISERROR(_xll.Storm.ExcelMacros.GvDaily("/BRN&lt;7&gt;", I$3, A2381, "", "", "", , "p", , , , , , "Hundredths", , FALSE, , "")), 85.18, _xll.Storm.ExcelMacros.GvDaily("/BRN&lt;7&gt;", I$3, A2381, "", "", "", , "p", , , , , , "Hundredths", , FALSE, , ""))</f>
        <v>85.18</v>
      </c>
      <c r="J2381" s="10">
        <f>IF(ISERROR(_xll.Storm.ExcelMacros.GvDaily("/BRN&lt;8&gt;", J$3, A2381, "", "", "", , "p", , , , , , "Hundredths", , FALSE, , "")), 83.96, _xll.Storm.ExcelMacros.GvDaily("/BRN&lt;8&gt;", J$3, A2381, "", "", "", , "p", , , , , , "Hundredths", , FALSE, , ""))</f>
        <v>83.960000000000008</v>
      </c>
      <c r="K2381" s="10">
        <f>IF(ISERROR(_xll.Storm.ExcelMacros.GvDaily("/BRN&lt;9&gt;", K$3, A2381, "", "", "", , "p", , , , , , "Hundredths", , FALSE, , "")), 82.92, _xll.Storm.ExcelMacros.GvDaily("/BRN&lt;9&gt;", K$3, A2381, "", "", "", , "p", , , , , , "Hundredths", , FALSE, , ""))</f>
        <v>82.92</v>
      </c>
      <c r="L2381" s="10">
        <f>IF(ISERROR(_xll.Storm.ExcelMacros.GvDaily("/BRN&lt;10&gt;", L$3, A2381, "", "", "", , "p", , , , , , "Hundredths", , FALSE, , "")), 82.07, _xll.Storm.ExcelMacros.GvDaily("/BRN&lt;10&gt;", L$3, A2381, "", "", "", , "p", , , , , , "Hundredths", , FALSE, , ""))</f>
        <v>82.070000000000007</v>
      </c>
      <c r="M2381" s="10">
        <f>IF(ISERROR(_xll.Storm.ExcelMacros.GvDaily("/BRN&lt;11&gt;", M$3, A2381, "", "", "", , "p", , , , , , "Hundredths", , FALSE, , "")), 81.32, _xll.Storm.ExcelMacros.GvDaily("/BRN&lt;11&gt;", M$3, A2381, "", "", "", , "p", , , , , , "Hundredths", , FALSE, , ""))</f>
        <v>81.320000000000007</v>
      </c>
      <c r="N2381" s="10">
        <f>IF(ISERROR(_xll.Storm.ExcelMacros.GvDaily("/GCL&lt;0&gt;", N$3, A2381, "", "", "", , "p", , , , , , "Hundredths", , FALSE, , "")), 96.14, _xll.Storm.ExcelMacros.GvDaily("/GCL&lt;0&gt;", N$3, A2381, "", "", "", , "p", , , , , , "Hundredths", , FALSE, , ""))</f>
        <v>96.14</v>
      </c>
      <c r="O2381" s="10">
        <f>IF(ISERROR(_xll.Storm.ExcelMacros.GvDaily("/GCL&lt;1&gt;", O$3, A2381, "", "", "", , "p", , , , , , "Hundredths", , FALSE, , "")), 95.55, _xll.Storm.ExcelMacros.GvDaily("/GCL&lt;1&gt;", O$3, A2381, "", "", "", , "p", , , , , , "Hundredths", , FALSE, , ""))</f>
        <v>95.55</v>
      </c>
      <c r="P2381" s="10">
        <f>IF(ISERROR(_xll.Storm.ExcelMacros.GvDaily("/GCL&lt;2&gt;", P$3, A2381, "", "", "", , "p", , , , , , "Hundredths", , FALSE, , "")), 92.96, _xll.Storm.ExcelMacros.GvDaily("/GCL&lt;2&gt;", P$3, A2381, "", "", "", , "p", , , , , , "Hundredths", , FALSE, , ""))</f>
        <v>92.960000000000008</v>
      </c>
      <c r="Q2381" s="10">
        <f>IF(ISERROR(_xll.Storm.ExcelMacros.GvDaily("/GCL&lt;3&gt;", Q$3, A2381, "", "", "", , "p", , , , , , "Hundredths", , FALSE, , "")), 89.97, _xll.Storm.ExcelMacros.GvDaily("/GCL&lt;3&gt;", Q$3, A2381, "", "", "", , "p", , , , , , "Hundredths", , FALSE, , ""))</f>
        <v>89.97</v>
      </c>
      <c r="R2381" s="10">
        <f>IF(ISERROR(_xll.Storm.ExcelMacros.GvDaily("/GCL&lt;4&gt;", R$3, A2381, "", "", "", , "p", , , , , , "Hundredths", , FALSE, , "")), 86.64, _xll.Storm.ExcelMacros.GvDaily("/GCL&lt;4&gt;", R$3, A2381, "", "", "", , "p", , , , , , "Hundredths", , FALSE, , ""))</f>
        <v>86.64</v>
      </c>
      <c r="S2381" s="10">
        <f>IF(ISERROR(_xll.Storm.ExcelMacros.GvDaily("/GCL&lt;5&gt;", S$3, A2381, "", "", "", , "p", , , , , , "Hundredths", , FALSE, , "")), 83.76, _xll.Storm.ExcelMacros.GvDaily("/GCL&lt;5&gt;", S$3, A2381, "", "", "", , "p", , , , , , "Hundredths", , FALSE, , ""))</f>
        <v>83.76</v>
      </c>
      <c r="T2381" s="10">
        <f>IF(ISERROR(_xll.Storm.ExcelMacros.GvDaily("/GCL&lt;6&gt;", T$3, A2381, "", "", "", , "p", , , , , , "Hundredths", , FALSE, , "")), 81.37, _xll.Storm.ExcelMacros.GvDaily("/GCL&lt;6&gt;", T$3, A2381, "", "", "", , "p", , , , , , "Hundredths", , FALSE, , ""))</f>
        <v>81.37</v>
      </c>
      <c r="U2381" s="10">
        <f>IF(ISERROR(_xll.Storm.ExcelMacros.GvDaily("/GCL&lt;7&gt;", U$3, A2381, "", "", "", , "p", , , , , , "Hundredths", , FALSE, , "")), 79.68, _xll.Storm.ExcelMacros.GvDaily("/GCL&lt;7&gt;", U$3, A2381, "", "", "", , "p", , , , , , "Hundredths", , FALSE, , ""))</f>
        <v>79.680000000000007</v>
      </c>
      <c r="V2381" s="10">
        <f>IF(ISERROR(_xll.Storm.ExcelMacros.GvDaily("/GCL&lt;8&gt;", V$3, A2381, "", "", "", , "p", , , , , , "Hundredths", , FALSE, , "")), 78.41, _xll.Storm.ExcelMacros.GvDaily("/GCL&lt;8&gt;", V$3, A2381, "", "", "", , "p", , , , , , "Hundredths", , FALSE, , ""))</f>
        <v>78.41</v>
      </c>
      <c r="W2381" s="10">
        <f>IF(ISERROR(_xll.Storm.ExcelMacros.GvDaily("/GCL&lt;9&gt;", W$3, A2381, "", "", "", , "p", , , , , , "Hundredths", , FALSE, , "")), 77.35, _xll.Storm.ExcelMacros.GvDaily("/GCL&lt;9&gt;", W$3, A2381, "", "", "", , "p", , , , , , "Hundredths", , FALSE, , ""))</f>
        <v>77.350000000000009</v>
      </c>
      <c r="X2381" s="10">
        <f>IF(ISERROR(_xll.Storm.ExcelMacros.GvDaily("/GCL&lt;10&gt;", X$3, A2381, "", "", "", , "p", , , , , , "Hundredths", , FALSE, , "")), 76.5, _xll.Storm.ExcelMacros.GvDaily("/GCL&lt;10&gt;", X$3, A2381, "", "", "", , "p", , , , , , "Hundredths", , FALSE, , ""))</f>
        <v>76.5</v>
      </c>
      <c r="Y2381" s="10">
        <f>IF(ISERROR(_xll.Storm.ExcelMacros.GvDaily("/GCL&lt;11&gt;", Y$3, A2381, "", "", "", , "p", , , , , , "Hundredths", , FALSE, , "")), 75.83, _xll.Storm.ExcelMacros.GvDaily("/GCL&lt;11&gt;", Y$3, A2381, "", "", "", , "p", , , , , , "Hundredths", , FALSE, , ""))</f>
        <v>75.83</v>
      </c>
      <c r="Z2381" s="11">
        <f>IF(ISERROR(_xll.Storm.ExcelMacros.GvDaily("/DBI&lt;0&gt;", Z$3, A2381, "", "", "", , "p", , , , , , "Thousandths", , FALSE, , "")), 136.321, _xll.Storm.ExcelMacros.GvDaily("/DBI&lt;0&gt;", Z$3, A2381, "", "", "", , "p", , , , , , "Thousandths", , FALSE, , ""))</f>
        <v>136.321</v>
      </c>
      <c r="AA2381" s="11">
        <f>IF(ISERROR(_xll.Storm.ExcelMacros.GvDaily("/DBI&lt;1&gt;", AA$3, A2381, "", "", "", , "p", , , , , , "Thousandths", , FALSE, , "")), 108.157, _xll.Storm.ExcelMacros.GvDaily("/DBI&lt;1&gt;", AA$3, A2381, "", "", "", , "p", , , , , , "Thousandths", , FALSE, , ""))</f>
        <v>108.157</v>
      </c>
      <c r="AB2381" s="11">
        <f>IF(ISERROR(_xll.Storm.ExcelMacros.GvDaily("/DBI&lt;2&gt;", AB$3, A2381, "", "", "", , "p", , , , , , "Thousandths", , FALSE, , "")), 97.54, _xll.Storm.ExcelMacros.GvDaily("/DBI&lt;2&gt;", AB$3, A2381, "", "", "", , "p", , , , , , "Thousandths", , FALSE, , ""))</f>
        <v>97.54</v>
      </c>
      <c r="AC2381" s="11">
        <f>IF(ISERROR(_xll.Storm.ExcelMacros.GvDaily("/DBI&lt;3&gt;", AC$3, A2381, "", "", "", , "p", , , , , , "Thousandths", , FALSE, , "")), 93.821, _xll.Storm.ExcelMacros.GvDaily("/DBI&lt;3&gt;", AC$3, A2381, "", "", "", , "p", , , , , , "Thousandths", , FALSE, , ""))</f>
        <v>93.820999999999998</v>
      </c>
      <c r="AD2381" s="11">
        <f>IF(ISERROR(_xll.Storm.ExcelMacros.GvDaily("/DBI&lt;4&gt;", AD$3, A2381, "", "", "", , "p", , , , , , "Thousandths", , FALSE, , "")), 91.231, _xll.Storm.ExcelMacros.GvDaily("/DBI&lt;4&gt;", AD$3, A2381, "", "", "", , "p", , , , , , "Thousandths", , FALSE, , ""))</f>
        <v>91.231000000000009</v>
      </c>
      <c r="AE2381" s="11">
        <f>IF(ISERROR(_xll.Storm.ExcelMacros.GvDaily("/DBI&lt;5&gt;", AE$3, A2381, "", "", "", , "p", , , , , , "Thousandths", , FALSE, , "")), 89.117, _xll.Storm.ExcelMacros.GvDaily("/DBI&lt;5&gt;", AE$3, A2381, "", "", "", , "p", , , , , , "Thousandths", , FALSE, , ""))</f>
        <v>89.117000000000004</v>
      </c>
      <c r="AF2381" s="11">
        <f>IF(ISERROR(_xll.Storm.ExcelMacros.GvDaily("/DBI&lt;6&gt;", AF$3, A2381, "", "", "", , "p", , , , , , "Thousandths", , FALSE, , "")), 87.607, _xll.Storm.ExcelMacros.GvDaily("/DBI&lt;6&gt;", AF$3, A2381, "", "", "", , "p", , , , , , "Thousandths", , FALSE, , ""))</f>
        <v>87.606999999999999</v>
      </c>
      <c r="AG2381" s="11">
        <f>IF(ISERROR(_xll.Storm.ExcelMacros.GvDaily("/DBI&lt;7&gt;", AG$3, A2381, "", "", "", , "p", , , , , , "Thousandths", , FALSE, , "")), 86.285, _xll.Storm.ExcelMacros.GvDaily("/DBI&lt;7&gt;", AG$3, A2381, "", "", "", , "p", , , , , , "Thousandths", , FALSE, , ""))</f>
        <v>86.284999999999997</v>
      </c>
      <c r="AH2381" s="11">
        <f>IF(ISERROR(_xll.Storm.ExcelMacros.GvDaily("/DBI&lt;8&gt;", AH$3, A2381, "", "", "", , "p", , , , , , "Thousandths", , FALSE, , "")), 85.09, _xll.Storm.ExcelMacros.GvDaily("/DBI&lt;8&gt;", AH$3, A2381, "", "", "", , "p", , , , , , "Thousandths", , FALSE, , ""))</f>
        <v>85.09</v>
      </c>
      <c r="AI2381" s="11">
        <f>IF(ISERROR(_xll.Storm.ExcelMacros.GvDaily("/DBI&lt;9&gt;", AI$3, A2381, "", "", "", , "p", , , , , , "Thousandths", , FALSE, , "")), 84.023, _xll.Storm.ExcelMacros.GvDaily("/DBI&lt;9&gt;", AI$3, A2381, "", "", "", , "p", , , , , , "Thousandths", , FALSE, , ""))</f>
        <v>84.022999999999996</v>
      </c>
      <c r="AJ2381" s="11">
        <f>IF(ISERROR(_xll.Storm.ExcelMacros.GvDaily("/DBI&lt;10&gt;", AJ$3, A2381, "", "", "", , "p", , , , , , "Thousandths", , FALSE, , "")), 83.213, _xll.Storm.ExcelMacros.GvDaily("/DBI&lt;10&gt;", AJ$3, A2381, "", "", "", , "p", , , , , , "Thousandths", , FALSE, , ""))</f>
        <v>83.213000000000008</v>
      </c>
      <c r="AK2381" s="11">
        <f>IF(ISERROR(_xll.Storm.ExcelMacros.GvDaily("/DBI&lt;11&gt;", AK$3, A2381, "", "", "", , "p", , , , , , "Thousandths", , FALSE, , "")), 82.469, _xll.Storm.ExcelMacros.GvDaily("/DBI&lt;11&gt;", AK$3, A2381, "", "", "", , "p", , , , , , "Thousandths", , FALSE, , ""))</f>
        <v>82.469000000000008</v>
      </c>
      <c r="AL2381" s="11"/>
    </row>
    <row r="2382" spans="1:38" x14ac:dyDescent="0.3">
      <c r="A2382" s="9">
        <f>DATE(2026, 3, 20)</f>
        <v>46101</v>
      </c>
      <c r="B2382" s="10">
        <f>IF(ISERROR(_xll.Storm.ExcelMacros.GvDaily("/BRN&lt;0&gt;", B$3, A2382, "", "", "", , "p", , , , , , "Hundredths", , FALSE, , "")), 108.52, _xll.Storm.ExcelMacros.GvDaily("/BRN&lt;0&gt;", B$3, A2382, "", "", "", , "p", , , , , , "Hundredths", , FALSE, , ""))</f>
        <v>108.62</v>
      </c>
      <c r="C2382" s="10">
        <f>IF(ISERROR(_xll.Storm.ExcelMacros.GvDaily("/BRN&lt;1&gt;", C$3, A2382, "", "", "", , "p", , , , , , "Hundredths", , FALSE, , "")), 104.45, _xll.Storm.ExcelMacros.GvDaily("/BRN&lt;1&gt;", C$3, A2382, "", "", "", , "p", , , , , , "Hundredths", , FALSE, , ""))</f>
        <v>104.42</v>
      </c>
      <c r="D2382" s="10">
        <f>IF(ISERROR(_xll.Storm.ExcelMacros.GvDaily("/BRN&lt;2&gt;", D$3, A2382, "", "", "", , "p", , , , , , "Hundredths", , FALSE, , "")), 99.05, _xll.Storm.ExcelMacros.GvDaily("/BRN&lt;2&gt;", D$3, A2382, "", "", "", , "p", , , , , , "Hundredths", , FALSE, , ""))</f>
        <v>98.97</v>
      </c>
      <c r="E2382" s="10">
        <f>IF(ISERROR(_xll.Storm.ExcelMacros.GvDaily("/BRN&lt;3&gt;", E$3, A2382, "", "", "", , "p", , , , , , "Hundredths", , FALSE, , "")), 94.34, _xll.Storm.ExcelMacros.GvDaily("/BRN&lt;3&gt;", E$3, A2382, "", "", "", , "p", , , , , , "Hundredths", , FALSE, , ""))</f>
        <v>94.36</v>
      </c>
      <c r="F2382" s="10">
        <f>IF(ISERROR(_xll.Storm.ExcelMacros.GvDaily("/BRN&lt;4&gt;", F$3, A2382, "", "", "", , "p", , , , , , "Hundredths", , FALSE, , "")), 91.06, _xll.Storm.ExcelMacros.GvDaily("/BRN&lt;4&gt;", F$3, A2382, "", "", "", , "p", , , , , , "Hundredths", , FALSE, , ""))</f>
        <v>91.100000000000009</v>
      </c>
      <c r="G2382" s="10">
        <f>IF(ISERROR(_xll.Storm.ExcelMacros.GvDaily("/BRN&lt;5&gt;", G$3, A2382, "", "", "", , "p", , , , , , "Hundredths", , FALSE, , "")), 88.51, _xll.Storm.ExcelMacros.GvDaily("/BRN&lt;5&gt;", G$3, A2382, "", "", "", , "p", , , , , , "Hundredths", , FALSE, , ""))</f>
        <v>88.570000000000007</v>
      </c>
      <c r="H2382" s="10">
        <f>IF(ISERROR(_xll.Storm.ExcelMacros.GvDaily("/BRN&lt;6&gt;", H$3, A2382, "", "", "", , "p", , , , , , "Hundredths", , FALSE, , "")), 86.78, _xll.Storm.ExcelMacros.GvDaily("/BRN&lt;6&gt;", H$3, A2382, "", "", "", , "p", , , , , , "Hundredths", , FALSE, , ""))</f>
        <v>86.78</v>
      </c>
      <c r="I2382" s="10">
        <f>IF(ISERROR(_xll.Storm.ExcelMacros.GvDaily("/BRN&lt;7&gt;", I$3, A2382, "", "", "", , "p", , , , , , "Hundredths", , FALSE, , "")), 85.49, _xll.Storm.ExcelMacros.GvDaily("/BRN&lt;7&gt;", I$3, A2382, "", "", "", , "p", , , , , , "Hundredths", , FALSE, , ""))</f>
        <v>85.39</v>
      </c>
      <c r="J2382" s="10">
        <f>IF(ISERROR(_xll.Storm.ExcelMacros.GvDaily("/BRN&lt;8&gt;", J$3, A2382, "", "", "", , "p", , , , , , "Hundredths", , FALSE, , "")), 84.33, _xll.Storm.ExcelMacros.GvDaily("/BRN&lt;8&gt;", J$3, A2382, "", "", "", , "p", , , , , , "Hundredths", , FALSE, , ""))</f>
        <v>84.24</v>
      </c>
      <c r="K2382" s="10">
        <f>IF(ISERROR(_xll.Storm.ExcelMacros.GvDaily("/BRN&lt;9&gt;", K$3, A2382, "", "", "", , "p", , , , , , "Hundredths", , FALSE, , "")), 83.3, _xll.Storm.ExcelMacros.GvDaily("/BRN&lt;9&gt;", K$3, A2382, "", "", "", , "p", , , , , , "Hundredths", , FALSE, , ""))</f>
        <v>83.23</v>
      </c>
      <c r="L2382" s="10">
        <f>IF(ISERROR(_xll.Storm.ExcelMacros.GvDaily("/BRN&lt;10&gt;", L$3, A2382, "", "", "", , "p", , , , , , "Hundredths", , FALSE, , "")), 82.45, _xll.Storm.ExcelMacros.GvDaily("/BRN&lt;10&gt;", L$3, A2382, "", "", "", , "p", , , , , , "Hundredths", , FALSE, , ""))</f>
        <v>82.31</v>
      </c>
      <c r="M2382" s="10">
        <f>IF(ISERROR(_xll.Storm.ExcelMacros.GvDaily("/BRN&lt;11&gt;", M$3, A2382, "", "", "", , "p", , , , , , "Hundredths", , FALSE, , "")), 81.73, _xll.Storm.ExcelMacros.GvDaily("/BRN&lt;11&gt;", M$3, A2382, "", "", "", , "p", , , , , , "Hundredths", , FALSE, , ""))</f>
        <v>81.69</v>
      </c>
      <c r="N2382" s="10">
        <f>IF(ISERROR(_xll.Storm.ExcelMacros.GvDaily("/GCL&lt;0&gt;", N$3, A2382, "", "", "", , "p", , , , , , "Hundredths", , FALSE, , "")), 95.56, _xll.Storm.ExcelMacros.GvDaily("/GCL&lt;0&gt;", N$3, A2382, "", "", "", , "p", , , , , , "Hundredths", , FALSE, , ""))</f>
        <v>96</v>
      </c>
      <c r="O2382" s="10">
        <f>IF(ISERROR(_xll.Storm.ExcelMacros.GvDaily("/GCL&lt;1&gt;", O$3, A2382, "", "", "", , "p", , , , , , "Hundredths", , FALSE, , "")), 95.27, _xll.Storm.ExcelMacros.GvDaily("/GCL&lt;1&gt;", O$3, A2382, "", "", "", , "p", , , , , , "Hundredths", , FALSE, , ""))</f>
        <v>95.09</v>
      </c>
      <c r="P2382" s="10">
        <f>IF(ISERROR(_xll.Storm.ExcelMacros.GvDaily("/GCL&lt;2&gt;", P$3, A2382, "", "", "", , "p", , , , , , "Hundredths", , FALSE, , "")), 92.73, _xll.Storm.ExcelMacros.GvDaily("/GCL&lt;2&gt;", P$3, A2382, "", "", "", , "p", , , , , , "Hundredths", , FALSE, , ""))</f>
        <v>92.570000000000007</v>
      </c>
      <c r="Q2382" s="10">
        <f>IF(ISERROR(_xll.Storm.ExcelMacros.GvDaily("/GCL&lt;3&gt;", Q$3, A2382, "", "", "", , "p", , , , , , "Hundredths", , FALSE, , "")), 89.51, _xll.Storm.ExcelMacros.GvDaily("/GCL&lt;3&gt;", Q$3, A2382, "", "", "", , "p", , , , , , "Hundredths", , FALSE, , ""))</f>
        <v>89.42</v>
      </c>
      <c r="R2382" s="10">
        <f>IF(ISERROR(_xll.Storm.ExcelMacros.GvDaily("/GCL&lt;4&gt;", R$3, A2382, "", "", "", , "p", , , , , , "Hundredths", , FALSE, , "")), 86.06, _xll.Storm.ExcelMacros.GvDaily("/GCL&lt;4&gt;", R$3, A2382, "", "", "", , "p", , , , , , "Hundredths", , FALSE, , ""))</f>
        <v>86.06</v>
      </c>
      <c r="S2382" s="10">
        <f>IF(ISERROR(_xll.Storm.ExcelMacros.GvDaily("/GCL&lt;5&gt;", S$3, A2382, "", "", "", , "p", , , , , , "Hundredths", , FALSE, , "")), 83.25, _xll.Storm.ExcelMacros.GvDaily("/GCL&lt;5&gt;", S$3, A2382, "", "", "", , "p", , , , , , "Hundredths", , FALSE, , ""))</f>
        <v>83.3</v>
      </c>
      <c r="T2382" s="10">
        <f>IF(ISERROR(_xll.Storm.ExcelMacros.GvDaily("/GCL&lt;6&gt;", T$3, A2382, "", "", "", , "p", , , , , , "Hundredths", , FALSE, , "")), 80.99, _xll.Storm.ExcelMacros.GvDaily("/GCL&lt;6&gt;", T$3, A2382, "", "", "", , "p", , , , , , "Hundredths", , FALSE, , ""))</f>
        <v>81.09</v>
      </c>
      <c r="U2382" s="10">
        <f>IF(ISERROR(_xll.Storm.ExcelMacros.GvDaily("/GCL&lt;7&gt;", U$3, A2382, "", "", "", , "p", , , , , , "Hundredths", , FALSE, , "")), 79.26, _xll.Storm.ExcelMacros.GvDaily("/GCL&lt;7&gt;", U$3, A2382, "", "", "", , "p", , , , , , "Hundredths", , FALSE, , ""))</f>
        <v>79.53</v>
      </c>
      <c r="V2382" s="10">
        <f>IF(ISERROR(_xll.Storm.ExcelMacros.GvDaily("/GCL&lt;8&gt;", V$3, A2382, "", "", "", , "p", , , , , , "Hundredths", , FALSE, , "")), 78.25, _xll.Storm.ExcelMacros.GvDaily("/GCL&lt;8&gt;", V$3, A2382, "", "", "", , "p", , , , , , "Hundredths", , FALSE, , ""))</f>
        <v>78.3</v>
      </c>
      <c r="W2382" s="10">
        <f>IF(ISERROR(_xll.Storm.ExcelMacros.GvDaily("/GCL&lt;9&gt;", W$3, A2382, "", "", "", , "p", , , , , , "Hundredths", , FALSE, , "")), 77.32, _xll.Storm.ExcelMacros.GvDaily("/GCL&lt;9&gt;", W$3, A2382, "", "", "", , "p", , , , , , "Hundredths", , FALSE, , ""))</f>
        <v>77.36</v>
      </c>
      <c r="X2382" s="10">
        <f>IF(ISERROR(_xll.Storm.ExcelMacros.GvDaily("/GCL&lt;10&gt;", X$3, A2382, "", "", "", , "p", , , , , , "Hundredths", , FALSE, , "")), 76.56, _xll.Storm.ExcelMacros.GvDaily("/GCL&lt;10&gt;", X$3, A2382, "", "", "", , "p", , , , , , "Hundredths", , FALSE, , ""))</f>
        <v>76.59</v>
      </c>
      <c r="Y2382" s="10">
        <f>IF(ISERROR(_xll.Storm.ExcelMacros.GvDaily("/GCL&lt;11&gt;", Y$3, A2382, "", "", "", , "p", , , , , , "Hundredths", , FALSE, , "")), 75.97, _xll.Storm.ExcelMacros.GvDaily("/GCL&lt;11&gt;", Y$3, A2382, "", "", "", , "p", , , , , , "Hundredths", , FALSE, , ""))</f>
        <v>75.98</v>
      </c>
      <c r="Z2382" s="11" t="str">
        <f>IF(ISERROR(_xll.Storm.ExcelMacros.GvDaily("/DBI&lt;0&gt;", Z$3, A2382, "", "", "", , "p", , , , , , "Thousandths", , FALSE, , "")), , _xll.Storm.ExcelMacros.GvDaily("/DBI&lt;0&gt;", Z$3, A2382, "", "", "", , "p", , , , , , "Thousandths", , FALSE, , ""))</f>
        <v/>
      </c>
      <c r="AA2382" s="11">
        <f>IF(ISERROR(_xll.Storm.ExcelMacros.GvDaily("/DBI&lt;1&gt;", AA$3, A2382, "", "", "", , "p", , , , , , "Thousandths", , FALSE, , "")), 109.45, _xll.Storm.ExcelMacros.GvDaily("/DBI&lt;1&gt;", AA$3, A2382, "", "", "", , "p", , , , , , "Thousandths", , FALSE, , ""))</f>
        <v>109.45</v>
      </c>
      <c r="AB2382" s="11">
        <f>IF(ISERROR(_xll.Storm.ExcelMacros.GvDaily("/DBI&lt;2&gt;", AB$3, A2382, "", "", "", , "p", , , , , , "Thousandths", , FALSE, , "")), 99.19, _xll.Storm.ExcelMacros.GvDaily("/DBI&lt;2&gt;", AB$3, A2382, "", "", "", , "p", , , , , , "Thousandths", , FALSE, , ""))</f>
        <v>98.86</v>
      </c>
      <c r="AC2382" s="11">
        <f>IF(ISERROR(_xll.Storm.ExcelMacros.GvDaily("/DBI&lt;3&gt;", AC$3, A2382, "", "", "", , "p", , , , , , "Thousandths", , FALSE, , "")), 94.8, _xll.Storm.ExcelMacros.GvDaily("/DBI&lt;3&gt;", AC$3, A2382, "", "", "", , "p", , , , , , "Thousandths", , FALSE, , ""))</f>
        <v>94.49</v>
      </c>
      <c r="AD2382" s="11">
        <f>IF(ISERROR(_xll.Storm.ExcelMacros.GvDaily("/DBI&lt;4&gt;", AD$3, A2382, "", "", "", , "p", , , , , , "Thousandths", , FALSE, , "")), 91.45, _xll.Storm.ExcelMacros.GvDaily("/DBI&lt;4&gt;", AD$3, A2382, "", "", "", , "p", , , , , , "Thousandths", , FALSE, , ""))</f>
        <v>91.67</v>
      </c>
      <c r="AE2382" s="11" t="str">
        <f>IF(ISERROR(_xll.Storm.ExcelMacros.GvDaily("/DBI&lt;5&gt;", AE$3, A2382, "", "", "", , "p", , , , , , "Thousandths", , FALSE, , "")), , _xll.Storm.ExcelMacros.GvDaily("/DBI&lt;5&gt;", AE$3, A2382, "", "", "", , "p", , , , , , "Thousandths", , FALSE, , ""))</f>
        <v/>
      </c>
      <c r="AF2382" s="11" t="str">
        <f>IF(ISERROR(_xll.Storm.ExcelMacros.GvDaily("/DBI&lt;6&gt;", AF$3, A2382, "", "", "", , "p", , , , , , "Thousandths", , FALSE, , "")), , _xll.Storm.ExcelMacros.GvDaily("/DBI&lt;6&gt;", AF$3, A2382, "", "", "", , "p", , , , , , "Thousandths", , FALSE, , ""))</f>
        <v/>
      </c>
      <c r="AG2382" s="11" t="str">
        <f>IF(ISERROR(_xll.Storm.ExcelMacros.GvDaily("/DBI&lt;7&gt;", AG$3, A2382, "", "", "", , "p", , , , , , "Thousandths", , FALSE, , "")), , _xll.Storm.ExcelMacros.GvDaily("/DBI&lt;7&gt;", AG$3, A2382, "", "", "", , "p", , , , , , "Thousandths", , FALSE, , ""))</f>
        <v/>
      </c>
      <c r="AH2382" s="11" t="str">
        <f>IF(ISERROR(_xll.Storm.ExcelMacros.GvDaily("/DBI&lt;8&gt;", AH$3, A2382, "", "", "", , "p", , , , , , "Thousandths", , FALSE, , "")), , _xll.Storm.ExcelMacros.GvDaily("/DBI&lt;8&gt;", AH$3, A2382, "", "", "", , "p", , , , , , "Thousandths", , FALSE, , ""))</f>
        <v/>
      </c>
      <c r="AI2382" s="11" t="str">
        <f>IF(ISERROR(_xll.Storm.ExcelMacros.GvDaily("/DBI&lt;9&gt;", AI$3, A2382, "", "", "", , "p", , , , , , "Thousandths", , FALSE, , "")), , _xll.Storm.ExcelMacros.GvDaily("/DBI&lt;9&gt;", AI$3, A2382, "", "", "", , "p", , , , , , "Thousandths", , FALSE, , ""))</f>
        <v/>
      </c>
      <c r="AJ2382" s="11" t="str">
        <f>IF(ISERROR(_xll.Storm.ExcelMacros.GvDaily("/DBI&lt;10&gt;", AJ$3, A2382, "", "", "", , "p", , , , , , "Thousandths", , FALSE, , "")), , _xll.Storm.ExcelMacros.GvDaily("/DBI&lt;10&gt;", AJ$3, A2382, "", "", "", , "p", , , , , , "Thousandths", , FALSE, , ""))</f>
        <v/>
      </c>
      <c r="AK2382" s="11" t="str">
        <f>IF(ISERROR(_xll.Storm.ExcelMacros.GvDaily("/DBI&lt;11&gt;", AK$3, A2382, "", "", "", , "p", , , , , , "Thousandths", , FALSE, , "")), , _xll.Storm.ExcelMacros.GvDaily("/DBI&lt;11&gt;", AK$3, A2382, "", "", "", , "p", , , , , , "Thousandths", , FALSE, , ""))</f>
        <v/>
      </c>
      <c r="AL2382" s="11"/>
    </row>
  </sheetData>
  <pageMargins left="0.7" right="0.7" top="0.75" bottom="0.75" header="0.3" footer="0.3"/>
  <customProperties>
    <customPr name="GvHasTableInfo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crude clean</vt:lpstr>
      <vt:lpstr>raw data Crude 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Daren,LiangSPMETtr</dc:creator>
  <cp:lastModifiedBy>Daren,LiangSPMETtr</cp:lastModifiedBy>
  <dcterms:created xsi:type="dcterms:W3CDTF">2015-06-05T18:17:20Z</dcterms:created>
  <dcterms:modified xsi:type="dcterms:W3CDTF">2026-03-20T08:48:39Z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WorkbookVersion">
    <vt:i4>5</vt:i4>
  </property>
</Properties>
</file>